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7.xml" ContentType="application/vnd.openxmlformats-officedocument.drawingml.chartshapes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8.xml" ContentType="application/vnd.openxmlformats-officedocument.drawingml.chartshape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34.xml" ContentType="application/vnd.openxmlformats-officedocument.drawingml.chart+xml"/>
  <Override PartName="/xl/drawings/drawing10.xml" ContentType="application/vnd.openxmlformats-officedocument.drawingml.chartshape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1.xml" ContentType="application/vnd.openxmlformats-officedocument.drawingml.chartshapes+xml"/>
  <Override PartName="/xl/charts/chart42.xml" ContentType="application/vnd.openxmlformats-officedocument.drawingml.chart+xml"/>
  <Override PartName="/xl/drawings/drawing12.xml" ContentType="application/vnd.openxmlformats-officedocument.drawingml.chartshape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4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4.xml" ContentType="application/vnd.openxmlformats-officedocument.drawing+xml"/>
  <Override PartName="/xl/charts/chart5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15.xml" ContentType="application/vnd.openxmlformats-officedocument.drawing+xml"/>
  <Override PartName="/xl/charts/chart6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drawings/drawing16.xml" ContentType="application/vnd.openxmlformats-officedocument.drawing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Ex5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6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Ex7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84.xml" ContentType="application/vnd.openxmlformats-officedocument.drawingml.chart+xml"/>
  <Override PartName="/xl/drawings/drawing20.xml" ContentType="application/vnd.openxmlformats-officedocument.drawingml.chartshapes+xml"/>
  <Override PartName="/xl/charts/chart85.xml" ContentType="application/vnd.openxmlformats-officedocument.drawingml.chart+xml"/>
  <Override PartName="/xl/drawings/drawing21.xml" ContentType="application/vnd.openxmlformats-officedocument.drawingml.chartshapes+xml"/>
  <Override PartName="/xl/charts/chart86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8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Ex8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9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9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4.xml" ContentType="application/vnd.openxmlformats-officedocument.drawing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25.xml" ContentType="application/vnd.openxmlformats-officedocument.drawingml.chartshapes+xml"/>
  <Override PartName="/xl/charts/chart101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drawings/drawing28.xml" ContentType="application/vnd.openxmlformats-officedocument.drawingml.chartshapes+xml"/>
  <Override PartName="/xl/charts/chart104.xml" ContentType="application/vnd.openxmlformats-officedocument.drawingml.chart+xml"/>
  <Override PartName="/xl/drawings/drawing29.xml" ContentType="application/vnd.openxmlformats-officedocument.drawing+xml"/>
  <Override PartName="/xl/charts/chart10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10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10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Ex10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drawings/drawing30.xml" ContentType="application/vnd.openxmlformats-officedocument.drawing+xml"/>
  <Override PartName="/xl/charts/chartEx11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piauiniquel-my.sharepoint.com/personal/vlovera_brnickel_com/Documents/Documentos/A. Projeto Brejo Seco 10y/B. Base de datos Geotecnico/"/>
    </mc:Choice>
  </mc:AlternateContent>
  <xr:revisionPtr revIDLastSave="0" documentId="14_{AD8DC851-B84F-487B-B462-5744CF187CE1}" xr6:coauthVersionLast="47" xr6:coauthVersionMax="47" xr10:uidLastSave="{00000000-0000-0000-0000-000000000000}"/>
  <bookViews>
    <workbookView xWindow="-28920" yWindow="-4815" windowWidth="29040" windowHeight="15720" tabRatio="851" activeTab="1" xr2:uid="{00000000-000D-0000-FFFF-FFFF00000000}"/>
  </bookViews>
  <sheets>
    <sheet name="1. Collar_survey_assay" sheetId="5" r:id="rId1"/>
    <sheet name="2. Logging Brejo Seco" sheetId="22" r:id="rId2"/>
    <sheet name="3. Validacion QAQC" sheetId="50" r:id="rId3"/>
    <sheet name="4. Regresion Lineal" sheetId="38" r:id="rId4"/>
    <sheet name="5. Litologia 40 Geotec" sheetId="40" r:id="rId5"/>
    <sheet name="6. Litologia 30 Geotec" sheetId="41" r:id="rId6"/>
    <sheet name="7. Lithology 50 Geotec" sheetId="49" r:id="rId7"/>
    <sheet name="8. Lithology 20 Geotec" sheetId="48" r:id="rId8"/>
    <sheet name="10. Lithology 10 Geotec" sheetId="47" r:id="rId9"/>
    <sheet name="11. Statis Brejo Seco Geotec" sheetId="46" r:id="rId10"/>
    <sheet name="Leyenda" sheetId="3" r:id="rId11"/>
    <sheet name="0 . Blasting Model" sheetId="51" r:id="rId12"/>
    <sheet name="1. Structures" sheetId="12" r:id="rId13"/>
    <sheet name="2. Resistencia Rocha Desmonte" sheetId="10" r:id="rId14"/>
    <sheet name="3. Blasting" sheetId="30" r:id="rId15"/>
    <sheet name="40. BLASTING LITHOLOGY 40-50" sheetId="45" r:id="rId16"/>
    <sheet name="5. Quantificación de DESMONTE" sheetId="21" r:id="rId17"/>
    <sheet name="10" sheetId="34" r:id="rId18"/>
    <sheet name="30" sheetId="35" r:id="rId19"/>
    <sheet name="40" sheetId="36" r:id="rId20"/>
    <sheet name="Legend Blasting" sheetId="31" r:id="rId21"/>
    <sheet name="Planilha4" sheetId="37" r:id="rId22"/>
  </sheets>
  <externalReferences>
    <externalReference r:id="rId23"/>
  </externalReferences>
  <definedNames>
    <definedName name="_xlnm._FilterDatabase" localSheetId="12" hidden="1">'1. Structures'!$A$1:$O$102</definedName>
    <definedName name="_xlnm._FilterDatabase" localSheetId="1" hidden="1">'2. Logging Brejo Seco'!$A$2:$BT$1019</definedName>
    <definedName name="_xlnm._FilterDatabase" localSheetId="14" hidden="1">'3. Blasting'!$A$3:$BW$588</definedName>
    <definedName name="_xlnm._FilterDatabase" localSheetId="4" hidden="1">'5. Litologia 40 Geotec'!$A$2:$BP$152</definedName>
    <definedName name="_xlnm._FilterDatabase" localSheetId="16" hidden="1">'5. Quantificación de DESMONTE'!$C$4:$U$114</definedName>
    <definedName name="_xlnm._FilterDatabase" localSheetId="5" hidden="1">'6. Litologia 30 Geotec'!$A$2:$BN$86</definedName>
    <definedName name="_xlnm._FilterDatabase" localSheetId="10" hidden="1">Leyenda!$D$3:$D$10</definedName>
    <definedName name="_xlchart.v1.0" hidden="1">'2. Logging Brejo Seco'!$M$808:$M$909</definedName>
    <definedName name="_xlchart.v1.1" hidden="1">'2. Logging Brejo Seco'!$Q$808:$Q$909</definedName>
    <definedName name="_xlchart.v1.10" hidden="1">'6. Litologia 30 Geotec'!$BM$3:$BM$86</definedName>
    <definedName name="_xlchart.v1.11" hidden="1">'8. Lithology 20 Geotec'!$BM$2:$BM$68</definedName>
    <definedName name="_xlchart.v1.12" hidden="1">[1]Estadisticas!$D$23:$D$28</definedName>
    <definedName name="_xlchart.v1.13" hidden="1">[1]Estadisticas!$D$31:$D$64</definedName>
    <definedName name="_xlchart.v1.14" hidden="1">[1]Estadisticas!$D$3:$D$19</definedName>
    <definedName name="_xlchart.v1.15" hidden="1">[1]Estadisticas!$D$69</definedName>
    <definedName name="_xlchart.v1.16" hidden="1">[1]Estadisticas!$D$70:$D$82</definedName>
    <definedName name="_xlchart.v1.17" hidden="1">'3. Blasting'!$O$603:$O$636</definedName>
    <definedName name="_xlchart.v1.18" hidden="1">'3. Blasting'!$J$603:$J$636</definedName>
    <definedName name="_xlchart.v1.19" hidden="1">[1]Estadisticas!$D$23:$D$29</definedName>
    <definedName name="_xlchart.v1.2" hidden="1">'5. Litologia 40 Geotec'!$BM$3:$BM$152</definedName>
    <definedName name="_xlchart.v1.20" hidden="1">[1]Estadisticas!$D$31:$D$64</definedName>
    <definedName name="_xlchart.v1.21" hidden="1">[1]Estadisticas!$D$70:$D$92</definedName>
    <definedName name="_xlchart.v1.22" hidden="1">[1]Estadisticas!$J$5:$J$42</definedName>
    <definedName name="_xlchart.v1.23" hidden="1">[1]Estadisticas!$D$23:$D$29</definedName>
    <definedName name="_xlchart.v1.24" hidden="1">[1]Estadisticas!$D$31:$D$64</definedName>
    <definedName name="_xlchart.v1.25" hidden="1">[1]Estadisticas!$D$70:$D$92</definedName>
    <definedName name="_xlchart.v1.26" hidden="1">[1]Estadisticas!$J$5:$J$42</definedName>
    <definedName name="_xlchart.v1.3" hidden="1">'6. Litologia 30 Geotec'!$BM$3:$BM$86</definedName>
    <definedName name="_xlchart.v1.4" hidden="1">'10. Lithology 10 Geotec'!$BN$2:$BN$83</definedName>
    <definedName name="_xlchart.v1.5" hidden="1">'11. Statis Brejo Seco Geotec'!$C$76:$C$362</definedName>
    <definedName name="_xlchart.v1.6" hidden="1">'6. Litologia 30 Geotec'!$BN$3:$BN$86</definedName>
    <definedName name="_xlchart.v1.7" hidden="1">'8. Lithology 20 Geotec'!$BN$2:$BN$68</definedName>
    <definedName name="_xlchart.v1.8" hidden="1">'10. Lithology 10 Geotec'!$BM$2:$BM$83</definedName>
    <definedName name="_xlchart.v1.9" hidden="1">'11. Statis Brejo Seco Geotec'!$B$76:$B$362</definedName>
    <definedName name="AbrEspaciamiento">#REF!</definedName>
    <definedName name="Ape_osi">Leyenda!$G$47:$H$51</definedName>
    <definedName name="Apertura">Leyenda!$B$47:$D$51</definedName>
    <definedName name="Met_osi">Leyenda!$F$39:$G$43</definedName>
    <definedName name="Meteorizacion">Leyenda!$B$39:$D$43</definedName>
    <definedName name="Per_osi">Leyenda!$F$30:$G$34</definedName>
    <definedName name="Persistencia">Leyenda!$B$30:$D$34</definedName>
    <definedName name="Rell_osi">Leyenda!$F$63:$G$67</definedName>
    <definedName name="Relleno">Leyenda!$B$63:$D$67</definedName>
    <definedName name="Resistencia">Leyenda!$B$4:$B$10</definedName>
    <definedName name="RQD">Leyenda!$D$13:$D$17</definedName>
    <definedName name="Rug_osi">Leyenda!$F$55:$G$59</definedName>
    <definedName name="Rugosidad">Leyenda!$B$54:$D$59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51" i="22" l="1"/>
  <c r="AI152" i="22"/>
  <c r="AI153" i="22"/>
  <c r="AI154" i="22"/>
  <c r="AI155" i="22"/>
  <c r="AI156" i="22"/>
  <c r="AI157" i="22"/>
  <c r="AI158" i="22"/>
  <c r="AI159" i="22"/>
  <c r="AI160" i="22"/>
  <c r="AI161" i="22"/>
  <c r="AI162" i="22"/>
  <c r="AI163" i="22"/>
  <c r="AI164" i="22"/>
  <c r="AI165" i="22"/>
  <c r="AI166" i="22"/>
  <c r="AI167" i="22"/>
  <c r="AI168" i="22"/>
  <c r="AI169" i="22"/>
  <c r="AI170" i="22"/>
  <c r="AI171" i="22"/>
  <c r="AI172" i="22"/>
  <c r="AI173" i="22"/>
  <c r="AI174" i="22"/>
  <c r="AI175" i="22"/>
  <c r="AI176" i="22"/>
  <c r="AI177" i="22"/>
  <c r="AI178" i="22"/>
  <c r="AI179" i="22"/>
  <c r="AI180" i="22"/>
  <c r="AI181" i="22"/>
  <c r="AI182" i="22"/>
  <c r="AI183" i="22"/>
  <c r="AI184" i="22"/>
  <c r="AI185" i="22"/>
  <c r="AI186" i="22"/>
  <c r="AI187" i="22"/>
  <c r="AI188" i="22"/>
  <c r="AI189" i="22"/>
  <c r="AI190" i="22"/>
  <c r="AI191" i="22"/>
  <c r="AI192" i="22"/>
  <c r="AI193" i="22"/>
  <c r="AI194" i="22"/>
  <c r="AI195" i="22"/>
  <c r="AI196" i="22"/>
  <c r="AI197" i="22"/>
  <c r="AI198" i="22"/>
  <c r="AI199" i="22"/>
  <c r="AI200" i="22"/>
  <c r="AI201" i="22"/>
  <c r="AI202" i="22"/>
  <c r="AI203" i="22"/>
  <c r="AI204" i="22"/>
  <c r="AI205" i="22"/>
  <c r="AI206" i="22"/>
  <c r="AI207" i="22"/>
  <c r="AI208" i="22"/>
  <c r="AI209" i="22"/>
  <c r="AI210" i="22"/>
  <c r="AI211" i="22"/>
  <c r="AI212" i="22"/>
  <c r="AI213" i="22"/>
  <c r="AI214" i="22"/>
  <c r="AI215" i="22"/>
  <c r="AI216" i="22"/>
  <c r="AI217" i="22"/>
  <c r="AI218" i="22"/>
  <c r="AI219" i="22"/>
  <c r="AI220" i="22"/>
  <c r="AI221" i="22"/>
  <c r="AI222" i="22"/>
  <c r="AI223" i="22"/>
  <c r="AI224" i="22"/>
  <c r="AI225" i="22"/>
  <c r="AI226" i="22"/>
  <c r="AI227" i="22"/>
  <c r="AI228" i="22"/>
  <c r="AI229" i="22"/>
  <c r="AI230" i="22"/>
  <c r="AI231" i="22"/>
  <c r="AI232" i="22"/>
  <c r="AI233" i="22"/>
  <c r="AI234" i="22"/>
  <c r="AI235" i="22"/>
  <c r="AI236" i="22"/>
  <c r="AI237" i="22"/>
  <c r="AI238" i="22"/>
  <c r="AI239" i="22"/>
  <c r="AI240" i="22"/>
  <c r="AI241" i="22"/>
  <c r="AI242" i="22"/>
  <c r="AI243" i="22"/>
  <c r="AI244" i="22"/>
  <c r="AI245" i="22"/>
  <c r="AI246" i="22"/>
  <c r="AI247" i="22"/>
  <c r="AI248" i="22"/>
  <c r="AI249" i="22"/>
  <c r="AI250" i="22"/>
  <c r="AI251" i="22"/>
  <c r="AI252" i="22"/>
  <c r="AI253" i="22"/>
  <c r="AI254" i="22"/>
  <c r="AI255" i="22"/>
  <c r="AI256" i="22"/>
  <c r="AI257" i="22"/>
  <c r="AI258" i="22"/>
  <c r="AI259" i="22"/>
  <c r="AI260" i="22"/>
  <c r="AI261" i="22"/>
  <c r="AI262" i="22"/>
  <c r="AI263" i="22"/>
  <c r="AI264" i="22"/>
  <c r="AI265" i="22"/>
  <c r="AI266" i="22"/>
  <c r="AI267" i="22"/>
  <c r="AI268" i="22"/>
  <c r="AI269" i="22"/>
  <c r="AI270" i="22"/>
  <c r="AI271" i="22"/>
  <c r="AI272" i="22"/>
  <c r="AI273" i="22"/>
  <c r="AI274" i="22"/>
  <c r="AI275" i="22"/>
  <c r="AI276" i="22"/>
  <c r="AI277" i="22"/>
  <c r="AI278" i="22"/>
  <c r="AI279" i="22"/>
  <c r="AI280" i="22"/>
  <c r="AI281" i="22"/>
  <c r="AI282" i="22"/>
  <c r="AI283" i="22"/>
  <c r="AI284" i="22"/>
  <c r="AI285" i="22"/>
  <c r="AI286" i="22"/>
  <c r="AI287" i="22"/>
  <c r="AI288" i="22"/>
  <c r="AI289" i="22"/>
  <c r="AI290" i="22"/>
  <c r="AI291" i="22"/>
  <c r="AI292" i="22"/>
  <c r="AI293" i="22"/>
  <c r="AI294" i="22"/>
  <c r="AI295" i="22"/>
  <c r="AI296" i="22"/>
  <c r="AI297" i="22"/>
  <c r="AI298" i="22"/>
  <c r="AI299" i="22"/>
  <c r="AI300" i="22"/>
  <c r="AI301" i="22"/>
  <c r="AI302" i="22"/>
  <c r="AI303" i="22"/>
  <c r="AI304" i="22"/>
  <c r="AI305" i="22"/>
  <c r="AI306" i="22"/>
  <c r="AI307" i="22"/>
  <c r="AI308" i="22"/>
  <c r="AI309" i="22"/>
  <c r="AI310" i="22"/>
  <c r="AI311" i="22"/>
  <c r="AI312" i="22"/>
  <c r="AI313" i="22"/>
  <c r="AI314" i="22"/>
  <c r="AI315" i="22"/>
  <c r="AI316" i="22"/>
  <c r="AI317" i="22"/>
  <c r="AI318" i="22"/>
  <c r="AI319" i="22"/>
  <c r="AI320" i="22"/>
  <c r="AI321" i="22"/>
  <c r="AI322" i="22"/>
  <c r="AI323" i="22"/>
  <c r="AI324" i="22"/>
  <c r="AI325" i="22"/>
  <c r="AI326" i="22"/>
  <c r="AI327" i="22"/>
  <c r="AI328" i="22"/>
  <c r="AI329" i="22"/>
  <c r="AI330" i="22"/>
  <c r="AI331" i="22"/>
  <c r="AI332" i="22"/>
  <c r="AI333" i="22"/>
  <c r="AI334" i="22"/>
  <c r="AI335" i="22"/>
  <c r="AI336" i="22"/>
  <c r="AI337" i="22"/>
  <c r="AI338" i="22"/>
  <c r="AI339" i="22"/>
  <c r="AI340" i="22"/>
  <c r="AI341" i="22"/>
  <c r="AI342" i="22"/>
  <c r="AI343" i="22"/>
  <c r="AI344" i="22"/>
  <c r="AI345" i="22"/>
  <c r="AI346" i="22"/>
  <c r="AI347" i="22"/>
  <c r="AI348" i="22"/>
  <c r="AI349" i="22"/>
  <c r="AI350" i="22"/>
  <c r="AI351" i="22"/>
  <c r="AI352" i="22"/>
  <c r="AI353" i="22"/>
  <c r="AI354" i="22"/>
  <c r="AI355" i="22"/>
  <c r="AI356" i="22"/>
  <c r="AI357" i="22"/>
  <c r="AI358" i="22"/>
  <c r="AI359" i="22"/>
  <c r="AI360" i="22"/>
  <c r="AI361" i="22"/>
  <c r="AI362" i="22"/>
  <c r="AI363" i="22"/>
  <c r="AI364" i="22"/>
  <c r="AI365" i="22"/>
  <c r="AI366" i="22"/>
  <c r="AI367" i="22"/>
  <c r="AI368" i="22"/>
  <c r="AI369" i="22"/>
  <c r="AI370" i="22"/>
  <c r="AI371" i="22"/>
  <c r="AI372" i="22"/>
  <c r="AI373" i="22"/>
  <c r="AI374" i="22"/>
  <c r="AI375" i="22"/>
  <c r="AI376" i="22"/>
  <c r="AI377" i="22"/>
  <c r="AI378" i="22"/>
  <c r="AI379" i="22"/>
  <c r="AI380" i="22"/>
  <c r="AI381" i="22"/>
  <c r="AI382" i="22"/>
  <c r="AI383" i="22"/>
  <c r="AI384" i="22"/>
  <c r="AI385" i="22"/>
  <c r="AI386" i="22"/>
  <c r="AI387" i="22"/>
  <c r="AI388" i="22"/>
  <c r="AI389" i="22"/>
  <c r="AI390" i="22"/>
  <c r="AI391" i="22"/>
  <c r="AI392" i="22"/>
  <c r="AI393" i="22"/>
  <c r="AI394" i="22"/>
  <c r="AI395" i="22"/>
  <c r="AI396" i="22"/>
  <c r="AI397" i="22"/>
  <c r="AI398" i="22"/>
  <c r="AI399" i="22"/>
  <c r="AI400" i="22"/>
  <c r="AI401" i="22"/>
  <c r="AI402" i="22"/>
  <c r="AI403" i="22"/>
  <c r="AI404" i="22"/>
  <c r="AI405" i="22"/>
  <c r="AI406" i="22"/>
  <c r="AI407" i="22"/>
  <c r="AI408" i="22"/>
  <c r="AI409" i="22"/>
  <c r="AI410" i="22"/>
  <c r="AI411" i="22"/>
  <c r="AI412" i="22"/>
  <c r="AI413" i="22"/>
  <c r="AI414" i="22"/>
  <c r="AI415" i="22"/>
  <c r="AI416" i="22"/>
  <c r="AI417" i="22"/>
  <c r="AI418" i="22"/>
  <c r="AI419" i="22"/>
  <c r="AI420" i="22"/>
  <c r="AI421" i="22"/>
  <c r="AI422" i="22"/>
  <c r="AI423" i="22"/>
  <c r="AI424" i="22"/>
  <c r="AI425" i="22"/>
  <c r="AI426" i="22"/>
  <c r="AI427" i="22"/>
  <c r="AI428" i="22"/>
  <c r="AI429" i="22"/>
  <c r="AI430" i="22"/>
  <c r="AI431" i="22"/>
  <c r="AI432" i="22"/>
  <c r="AI433" i="22"/>
  <c r="AI434" i="22"/>
  <c r="AI435" i="22"/>
  <c r="AI436" i="22"/>
  <c r="AI437" i="22"/>
  <c r="AI438" i="22"/>
  <c r="AI439" i="22"/>
  <c r="AI440" i="22"/>
  <c r="AI441" i="22"/>
  <c r="AI442" i="22"/>
  <c r="AI443" i="22"/>
  <c r="AI444" i="22"/>
  <c r="AI445" i="22"/>
  <c r="AI446" i="22"/>
  <c r="AI447" i="22"/>
  <c r="AI448" i="22"/>
  <c r="AI449" i="22"/>
  <c r="AI450" i="22"/>
  <c r="AI451" i="22"/>
  <c r="AI452" i="22"/>
  <c r="AI453" i="22"/>
  <c r="AI454" i="22"/>
  <c r="AI455" i="22"/>
  <c r="AI456" i="22"/>
  <c r="AI457" i="22"/>
  <c r="AI458" i="22"/>
  <c r="AI459" i="22"/>
  <c r="AI460" i="22"/>
  <c r="AI461" i="22"/>
  <c r="AI462" i="22"/>
  <c r="AI463" i="22"/>
  <c r="AI464" i="22"/>
  <c r="AI465" i="22"/>
  <c r="AI466" i="22"/>
  <c r="AI467" i="22"/>
  <c r="AI468" i="22"/>
  <c r="AI469" i="22"/>
  <c r="AI470" i="22"/>
  <c r="AI471" i="22"/>
  <c r="AI472" i="22"/>
  <c r="AI473" i="22"/>
  <c r="AI474" i="22"/>
  <c r="AI475" i="22"/>
  <c r="AI476" i="22"/>
  <c r="AI477" i="22"/>
  <c r="AI478" i="22"/>
  <c r="AI479" i="22"/>
  <c r="AI480" i="22"/>
  <c r="AI481" i="22"/>
  <c r="AI482" i="22"/>
  <c r="AI483" i="22"/>
  <c r="AI484" i="22"/>
  <c r="AI485" i="22"/>
  <c r="AI486" i="22"/>
  <c r="AI487" i="22"/>
  <c r="AI488" i="22"/>
  <c r="AI489" i="22"/>
  <c r="AI490" i="22"/>
  <c r="AI491" i="22"/>
  <c r="AI492" i="22"/>
  <c r="AI493" i="22"/>
  <c r="AI494" i="22"/>
  <c r="AI495" i="22"/>
  <c r="AI496" i="22"/>
  <c r="AI497" i="22"/>
  <c r="AI498" i="22"/>
  <c r="AI499" i="22"/>
  <c r="AI500" i="22"/>
  <c r="AI501" i="22"/>
  <c r="AI502" i="22"/>
  <c r="AI503" i="22"/>
  <c r="AI504" i="22"/>
  <c r="AI505" i="22"/>
  <c r="AI506" i="22"/>
  <c r="AI507" i="22"/>
  <c r="AI508" i="22"/>
  <c r="AI509" i="22"/>
  <c r="AI510" i="22"/>
  <c r="AI511" i="22"/>
  <c r="AI512" i="22"/>
  <c r="AI513" i="22"/>
  <c r="AI514" i="22"/>
  <c r="AI515" i="22"/>
  <c r="AI516" i="22"/>
  <c r="AI517" i="22"/>
  <c r="AI518" i="22"/>
  <c r="AI519" i="22"/>
  <c r="AI520" i="22"/>
  <c r="AI521" i="22"/>
  <c r="AI522" i="22"/>
  <c r="AI523" i="22"/>
  <c r="AI524" i="22"/>
  <c r="AI525" i="22"/>
  <c r="AI526" i="22"/>
  <c r="AI527" i="22"/>
  <c r="AI528" i="22"/>
  <c r="AI529" i="22"/>
  <c r="AI530" i="22"/>
  <c r="AI531" i="22"/>
  <c r="AI532" i="22"/>
  <c r="AI533" i="22"/>
  <c r="AI534" i="22"/>
  <c r="AI535" i="22"/>
  <c r="AI536" i="22"/>
  <c r="AI537" i="22"/>
  <c r="AI538" i="22"/>
  <c r="AI539" i="22"/>
  <c r="AI540" i="22"/>
  <c r="AI541" i="22"/>
  <c r="AI542" i="22"/>
  <c r="AI543" i="22"/>
  <c r="AI544" i="22"/>
  <c r="AI545" i="22"/>
  <c r="AI546" i="22"/>
  <c r="AI547" i="22"/>
  <c r="AI548" i="22"/>
  <c r="AI549" i="22"/>
  <c r="AI550" i="22"/>
  <c r="AI551" i="22"/>
  <c r="AI552" i="22"/>
  <c r="AI553" i="22"/>
  <c r="AI554" i="22"/>
  <c r="AI555" i="22"/>
  <c r="AI556" i="22"/>
  <c r="AI557" i="22"/>
  <c r="AI558" i="22"/>
  <c r="AI559" i="22"/>
  <c r="AI560" i="22"/>
  <c r="AI561" i="22"/>
  <c r="AI562" i="22"/>
  <c r="AI563" i="22"/>
  <c r="AI564" i="22"/>
  <c r="AI565" i="22"/>
  <c r="AI566" i="22"/>
  <c r="AI567" i="22"/>
  <c r="AI568" i="22"/>
  <c r="AI569" i="22"/>
  <c r="AI570" i="22"/>
  <c r="AI571" i="22"/>
  <c r="AI572" i="22"/>
  <c r="AI573" i="22"/>
  <c r="AI574" i="22"/>
  <c r="AI575" i="22"/>
  <c r="AI576" i="22"/>
  <c r="AI577" i="22"/>
  <c r="AI578" i="22"/>
  <c r="AI579" i="22"/>
  <c r="AI580" i="22"/>
  <c r="AI581" i="22"/>
  <c r="AI582" i="22"/>
  <c r="AI583" i="22"/>
  <c r="AI584" i="22"/>
  <c r="AI585" i="22"/>
  <c r="AI586" i="22"/>
  <c r="AI587" i="22"/>
  <c r="AI588" i="22"/>
  <c r="AI589" i="22"/>
  <c r="AI590" i="22"/>
  <c r="AI591" i="22"/>
  <c r="AI592" i="22"/>
  <c r="AI593" i="22"/>
  <c r="AI594" i="22"/>
  <c r="AI595" i="22"/>
  <c r="AI596" i="22"/>
  <c r="AI597" i="22"/>
  <c r="AI598" i="22"/>
  <c r="AI599" i="22"/>
  <c r="AI600" i="22"/>
  <c r="AI601" i="22"/>
  <c r="AI602" i="22"/>
  <c r="AI603" i="22"/>
  <c r="AI604" i="22"/>
  <c r="AI605" i="22"/>
  <c r="AI606" i="22"/>
  <c r="AI607" i="22"/>
  <c r="AI608" i="22"/>
  <c r="AI609" i="22"/>
  <c r="AI610" i="22"/>
  <c r="AI611" i="22"/>
  <c r="AI612" i="22"/>
  <c r="AI613" i="22"/>
  <c r="AI614" i="22"/>
  <c r="AI615" i="22"/>
  <c r="AI616" i="22"/>
  <c r="AI617" i="22"/>
  <c r="AI618" i="22"/>
  <c r="AI619" i="22"/>
  <c r="AI620" i="22"/>
  <c r="AI621" i="22"/>
  <c r="AI622" i="22"/>
  <c r="AI623" i="22"/>
  <c r="AI624" i="22"/>
  <c r="AI625" i="22"/>
  <c r="AI626" i="22"/>
  <c r="AI627" i="22"/>
  <c r="AI628" i="22"/>
  <c r="AI629" i="22"/>
  <c r="AI630" i="22"/>
  <c r="AI631" i="22"/>
  <c r="AI632" i="22"/>
  <c r="AI633" i="22"/>
  <c r="AI634" i="22"/>
  <c r="AI635" i="22"/>
  <c r="AI636" i="22"/>
  <c r="AI637" i="22"/>
  <c r="AI638" i="22"/>
  <c r="AI639" i="22"/>
  <c r="AI640" i="22"/>
  <c r="AI641" i="22"/>
  <c r="AI642" i="22"/>
  <c r="AI643" i="22"/>
  <c r="AI644" i="22"/>
  <c r="AI645" i="22"/>
  <c r="AI646" i="22"/>
  <c r="AI647" i="22"/>
  <c r="AI648" i="22"/>
  <c r="AI649" i="22"/>
  <c r="AI650" i="22"/>
  <c r="AI651" i="22"/>
  <c r="AI652" i="22"/>
  <c r="AI653" i="22"/>
  <c r="AI654" i="22"/>
  <c r="AI655" i="22"/>
  <c r="AI656" i="22"/>
  <c r="AI657" i="22"/>
  <c r="AI658" i="22"/>
  <c r="AI659" i="22"/>
  <c r="AI660" i="22"/>
  <c r="AI661" i="22"/>
  <c r="AI662" i="22"/>
  <c r="AI663" i="22"/>
  <c r="AI664" i="22"/>
  <c r="AI665" i="22"/>
  <c r="AI666" i="22"/>
  <c r="AI667" i="22"/>
  <c r="AI668" i="22"/>
  <c r="AI669" i="22"/>
  <c r="AI670" i="22"/>
  <c r="AI671" i="22"/>
  <c r="AI672" i="22"/>
  <c r="AI673" i="22"/>
  <c r="AI674" i="22"/>
  <c r="AI675" i="22"/>
  <c r="AI676" i="22"/>
  <c r="AI677" i="22"/>
  <c r="AI678" i="22"/>
  <c r="AI679" i="22"/>
  <c r="AI680" i="22"/>
  <c r="AI681" i="22"/>
  <c r="AI682" i="22"/>
  <c r="AI683" i="22"/>
  <c r="AI684" i="22"/>
  <c r="AI685" i="22"/>
  <c r="AI686" i="22"/>
  <c r="AI687" i="22"/>
  <c r="AI688" i="22"/>
  <c r="AI689" i="22"/>
  <c r="AI690" i="22"/>
  <c r="AI691" i="22"/>
  <c r="AI692" i="22"/>
  <c r="AI693" i="22"/>
  <c r="AI694" i="22"/>
  <c r="AI695" i="22"/>
  <c r="AI696" i="22"/>
  <c r="AI697" i="22"/>
  <c r="AI698" i="22"/>
  <c r="AI699" i="22"/>
  <c r="AI700" i="22"/>
  <c r="AI701" i="22"/>
  <c r="AI702" i="22"/>
  <c r="AI703" i="22"/>
  <c r="AI704" i="22"/>
  <c r="AI705" i="22"/>
  <c r="AI706" i="22"/>
  <c r="AI707" i="22"/>
  <c r="AI708" i="22"/>
  <c r="AI709" i="22"/>
  <c r="AI710" i="22"/>
  <c r="AI711" i="22"/>
  <c r="AI712" i="22"/>
  <c r="AI713" i="22"/>
  <c r="AI714" i="22"/>
  <c r="AI715" i="22"/>
  <c r="AI716" i="22"/>
  <c r="AI717" i="22"/>
  <c r="AI718" i="22"/>
  <c r="AI719" i="22"/>
  <c r="AI720" i="22"/>
  <c r="AI721" i="22"/>
  <c r="AI722" i="22"/>
  <c r="AI723" i="22"/>
  <c r="AI724" i="22"/>
  <c r="AI725" i="22"/>
  <c r="AI726" i="22"/>
  <c r="AI727" i="22"/>
  <c r="AI728" i="22"/>
  <c r="AI729" i="22"/>
  <c r="AI730" i="22"/>
  <c r="AI731" i="22"/>
  <c r="AI732" i="22"/>
  <c r="AI733" i="22"/>
  <c r="AI734" i="22"/>
  <c r="AI735" i="22"/>
  <c r="AI736" i="22"/>
  <c r="AI737" i="22"/>
  <c r="AI738" i="22"/>
  <c r="AI739" i="22"/>
  <c r="AI740" i="22"/>
  <c r="AI741" i="22"/>
  <c r="AI742" i="22"/>
  <c r="AI743" i="22"/>
  <c r="AI744" i="22"/>
  <c r="AI745" i="22"/>
  <c r="AI746" i="22"/>
  <c r="AI747" i="22"/>
  <c r="AI748" i="22"/>
  <c r="AI749" i="22"/>
  <c r="AI750" i="22"/>
  <c r="AI751" i="22"/>
  <c r="AI752" i="22"/>
  <c r="AI753" i="22"/>
  <c r="AI754" i="22"/>
  <c r="AI755" i="22"/>
  <c r="AI756" i="22"/>
  <c r="AI757" i="22"/>
  <c r="AI758" i="22"/>
  <c r="AI759" i="22"/>
  <c r="AI760" i="22"/>
  <c r="AI761" i="22"/>
  <c r="AI762" i="22"/>
  <c r="AI763" i="22"/>
  <c r="AI764" i="22"/>
  <c r="AI765" i="22"/>
  <c r="AI766" i="22"/>
  <c r="AI767" i="22"/>
  <c r="AI768" i="22"/>
  <c r="AI769" i="22"/>
  <c r="AI770" i="22"/>
  <c r="AI771" i="22"/>
  <c r="AI772" i="22"/>
  <c r="AI773" i="22"/>
  <c r="AI774" i="22"/>
  <c r="AI775" i="22"/>
  <c r="AI776" i="22"/>
  <c r="AI777" i="22"/>
  <c r="AI778" i="22"/>
  <c r="AI779" i="22"/>
  <c r="AI780" i="22"/>
  <c r="AI781" i="22"/>
  <c r="AI782" i="22"/>
  <c r="AI783" i="22"/>
  <c r="AI784" i="22"/>
  <c r="AI785" i="22"/>
  <c r="AI786" i="22"/>
  <c r="AI787" i="22"/>
  <c r="AI788" i="22"/>
  <c r="AI789" i="22"/>
  <c r="AI790" i="22"/>
  <c r="AI791" i="22"/>
  <c r="AI792" i="22"/>
  <c r="AI793" i="22"/>
  <c r="AI794" i="22"/>
  <c r="AI795" i="22"/>
  <c r="AI796" i="22"/>
  <c r="AI797" i="22"/>
  <c r="AI798" i="22"/>
  <c r="AI799" i="22"/>
  <c r="AI800" i="22"/>
  <c r="AI801" i="22"/>
  <c r="AI802" i="22"/>
  <c r="AI803" i="22"/>
  <c r="AI804" i="22"/>
  <c r="AI805" i="22"/>
  <c r="AI806" i="22"/>
  <c r="AI807" i="22"/>
  <c r="AI808" i="22"/>
  <c r="AI809" i="22"/>
  <c r="AI810" i="22"/>
  <c r="AI811" i="22"/>
  <c r="AI812" i="22"/>
  <c r="AI813" i="22"/>
  <c r="AI814" i="22"/>
  <c r="AI815" i="22"/>
  <c r="AI816" i="22"/>
  <c r="AI817" i="22"/>
  <c r="AI818" i="22"/>
  <c r="AI819" i="22"/>
  <c r="AI820" i="22"/>
  <c r="AI821" i="22"/>
  <c r="AI822" i="22"/>
  <c r="AI823" i="22"/>
  <c r="AI824" i="22"/>
  <c r="AI825" i="22"/>
  <c r="AI826" i="22"/>
  <c r="AI827" i="22"/>
  <c r="AI828" i="22"/>
  <c r="AI829" i="22"/>
  <c r="AI830" i="22"/>
  <c r="AI831" i="22"/>
  <c r="AI832" i="22"/>
  <c r="AI833" i="22"/>
  <c r="AI834" i="22"/>
  <c r="AI835" i="22"/>
  <c r="AI836" i="22"/>
  <c r="AI837" i="22"/>
  <c r="AI838" i="22"/>
  <c r="AI839" i="22"/>
  <c r="AI840" i="22"/>
  <c r="AI841" i="22"/>
  <c r="AI842" i="22"/>
  <c r="AI843" i="22"/>
  <c r="AI844" i="22"/>
  <c r="AI845" i="22"/>
  <c r="AI846" i="22"/>
  <c r="AI847" i="22"/>
  <c r="AI848" i="22"/>
  <c r="AI849" i="22"/>
  <c r="AI850" i="22"/>
  <c r="AI851" i="22"/>
  <c r="AI852" i="22"/>
  <c r="AI853" i="22"/>
  <c r="AI854" i="22"/>
  <c r="AI855" i="22"/>
  <c r="AI856" i="22"/>
  <c r="AI857" i="22"/>
  <c r="AI858" i="22"/>
  <c r="AI859" i="22"/>
  <c r="AI860" i="22"/>
  <c r="AI861" i="22"/>
  <c r="AI862" i="22"/>
  <c r="AI863" i="22"/>
  <c r="AI864" i="22"/>
  <c r="AI865" i="22"/>
  <c r="AI866" i="22"/>
  <c r="AI867" i="22"/>
  <c r="AI868" i="22"/>
  <c r="AI869" i="22"/>
  <c r="AI870" i="22"/>
  <c r="AI871" i="22"/>
  <c r="AI872" i="22"/>
  <c r="AI873" i="22"/>
  <c r="AI874" i="22"/>
  <c r="AI875" i="22"/>
  <c r="AI876" i="22"/>
  <c r="AI877" i="22"/>
  <c r="AI878" i="22"/>
  <c r="AI879" i="22"/>
  <c r="AI880" i="22"/>
  <c r="AI881" i="22"/>
  <c r="AI882" i="22"/>
  <c r="AI883" i="22"/>
  <c r="AI884" i="22"/>
  <c r="AI885" i="22"/>
  <c r="AI886" i="22"/>
  <c r="AI887" i="22"/>
  <c r="AI888" i="22"/>
  <c r="AI889" i="22"/>
  <c r="AI890" i="22"/>
  <c r="AI891" i="22"/>
  <c r="AI892" i="22"/>
  <c r="AI893" i="22"/>
  <c r="AI894" i="22"/>
  <c r="AI895" i="22"/>
  <c r="AI896" i="22"/>
  <c r="AI897" i="22"/>
  <c r="AI898" i="22"/>
  <c r="AI899" i="22"/>
  <c r="AI900" i="22"/>
  <c r="AI901" i="22"/>
  <c r="AI902" i="22"/>
  <c r="AI903" i="22"/>
  <c r="AI904" i="22"/>
  <c r="AI905" i="22"/>
  <c r="AI906" i="22"/>
  <c r="AI907" i="22"/>
  <c r="AI908" i="22"/>
  <c r="AI909" i="22"/>
  <c r="AI910" i="22"/>
  <c r="AI911" i="22"/>
  <c r="AI912" i="22"/>
  <c r="AI913" i="22"/>
  <c r="AI914" i="22"/>
  <c r="AI915" i="22"/>
  <c r="AI916" i="22"/>
  <c r="AI917" i="22"/>
  <c r="AI918" i="22"/>
  <c r="AI919" i="22"/>
  <c r="AI920" i="22"/>
  <c r="AI921" i="22"/>
  <c r="AI922" i="22"/>
  <c r="AI923" i="22"/>
  <c r="AI924" i="22"/>
  <c r="AI925" i="22"/>
  <c r="AI926" i="22"/>
  <c r="AI927" i="22"/>
  <c r="AI928" i="22"/>
  <c r="AI929" i="22"/>
  <c r="AI930" i="22"/>
  <c r="AI931" i="22"/>
  <c r="AI932" i="22"/>
  <c r="AI933" i="22"/>
  <c r="AI934" i="22"/>
  <c r="AI935" i="22"/>
  <c r="AI936" i="22"/>
  <c r="AI937" i="22"/>
  <c r="AI938" i="22"/>
  <c r="AI939" i="22"/>
  <c r="AI940" i="22"/>
  <c r="AI941" i="22"/>
  <c r="AI942" i="22"/>
  <c r="AI943" i="22"/>
  <c r="AI944" i="22"/>
  <c r="AI945" i="22"/>
  <c r="AI946" i="22"/>
  <c r="AI947" i="22"/>
  <c r="AI948" i="22"/>
  <c r="AI949" i="22"/>
  <c r="AI950" i="22"/>
  <c r="AI951" i="22"/>
  <c r="AI952" i="22"/>
  <c r="AI953" i="22"/>
  <c r="AI954" i="22"/>
  <c r="AI955" i="22"/>
  <c r="AI956" i="22"/>
  <c r="AI957" i="22"/>
  <c r="AI958" i="22"/>
  <c r="AI959" i="22"/>
  <c r="AI960" i="22"/>
  <c r="AI961" i="22"/>
  <c r="AI962" i="22"/>
  <c r="AI963" i="22"/>
  <c r="AI964" i="22"/>
  <c r="AI965" i="22"/>
  <c r="AI966" i="22"/>
  <c r="AI967" i="22"/>
  <c r="AI968" i="22"/>
  <c r="AI969" i="22"/>
  <c r="AI970" i="22"/>
  <c r="AI971" i="22"/>
  <c r="AI972" i="22"/>
  <c r="AI973" i="22"/>
  <c r="AI974" i="22"/>
  <c r="AI975" i="22"/>
  <c r="AI976" i="22"/>
  <c r="AI977" i="22"/>
  <c r="AI978" i="22"/>
  <c r="AI979" i="22"/>
  <c r="AI980" i="22"/>
  <c r="AI981" i="22"/>
  <c r="AI982" i="22"/>
  <c r="AI983" i="22"/>
  <c r="AI984" i="22"/>
  <c r="AI985" i="22"/>
  <c r="AI986" i="22"/>
  <c r="AI987" i="22"/>
  <c r="AI988" i="22"/>
  <c r="AI989" i="22"/>
  <c r="AI990" i="22"/>
  <c r="AI991" i="22"/>
  <c r="AI992" i="22"/>
  <c r="AI993" i="22"/>
  <c r="AI994" i="22"/>
  <c r="AI995" i="22"/>
  <c r="AI996" i="22"/>
  <c r="AI997" i="22"/>
  <c r="AI998" i="22"/>
  <c r="AI999" i="22"/>
  <c r="AI1000" i="22"/>
  <c r="AI1001" i="22"/>
  <c r="AI1002" i="22"/>
  <c r="AI1003" i="22"/>
  <c r="AI1004" i="22"/>
  <c r="AI1005" i="22"/>
  <c r="AI1006" i="22"/>
  <c r="AI1007" i="22"/>
  <c r="AI1008" i="22"/>
  <c r="AI1009" i="22"/>
  <c r="AI1010" i="22"/>
  <c r="AI1011" i="22"/>
  <c r="AI1012" i="22"/>
  <c r="AI1013" i="22"/>
  <c r="AI1014" i="22"/>
  <c r="AI1015" i="22"/>
  <c r="AI1016" i="22"/>
  <c r="AI1017" i="22"/>
  <c r="AI1018" i="22"/>
  <c r="AI1019" i="22"/>
  <c r="AI125" i="22"/>
  <c r="AI126" i="22"/>
  <c r="AI127" i="22"/>
  <c r="AI128" i="22"/>
  <c r="AI129" i="22"/>
  <c r="AI130" i="22"/>
  <c r="AI131" i="22"/>
  <c r="AI132" i="22"/>
  <c r="AI133" i="22"/>
  <c r="AI134" i="22"/>
  <c r="AI135" i="22"/>
  <c r="AI136" i="22"/>
  <c r="AI137" i="22"/>
  <c r="AI138" i="22"/>
  <c r="AI139" i="22"/>
  <c r="AI140" i="22"/>
  <c r="AI141" i="22"/>
  <c r="AI142" i="22"/>
  <c r="AI143" i="22"/>
  <c r="AI144" i="22"/>
  <c r="AI145" i="22"/>
  <c r="AI146" i="22"/>
  <c r="AI147" i="22"/>
  <c r="AI148" i="22"/>
  <c r="AI149" i="22"/>
  <c r="AI150" i="22"/>
  <c r="AI124" i="22"/>
  <c r="AI78" i="22"/>
  <c r="H3" i="22" l="1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H282" i="22"/>
  <c r="H283" i="22"/>
  <c r="H284" i="22"/>
  <c r="H285" i="22"/>
  <c r="H286" i="22"/>
  <c r="H287" i="22"/>
  <c r="H288" i="22"/>
  <c r="H289" i="22"/>
  <c r="H290" i="22"/>
  <c r="H291" i="22"/>
  <c r="H292" i="22"/>
  <c r="H293" i="22"/>
  <c r="H294" i="22"/>
  <c r="H295" i="22"/>
  <c r="H296" i="22"/>
  <c r="H297" i="22"/>
  <c r="H298" i="22"/>
  <c r="H299" i="22"/>
  <c r="H300" i="22"/>
  <c r="H301" i="22"/>
  <c r="H302" i="22"/>
  <c r="H303" i="22"/>
  <c r="H304" i="22"/>
  <c r="H305" i="22"/>
  <c r="H306" i="22"/>
  <c r="H307" i="22"/>
  <c r="H308" i="22"/>
  <c r="H309" i="22"/>
  <c r="H310" i="22"/>
  <c r="H311" i="22"/>
  <c r="H312" i="22"/>
  <c r="H313" i="22"/>
  <c r="H314" i="22"/>
  <c r="H315" i="22"/>
  <c r="H316" i="22"/>
  <c r="H317" i="22"/>
  <c r="H318" i="22"/>
  <c r="H319" i="22"/>
  <c r="H320" i="22"/>
  <c r="H321" i="22"/>
  <c r="H322" i="22"/>
  <c r="H323" i="22"/>
  <c r="H324" i="22"/>
  <c r="H325" i="22"/>
  <c r="H326" i="22"/>
  <c r="H327" i="22"/>
  <c r="H328" i="22"/>
  <c r="H329" i="22"/>
  <c r="H330" i="22"/>
  <c r="H331" i="22"/>
  <c r="H332" i="22"/>
  <c r="H333" i="22"/>
  <c r="H334" i="22"/>
  <c r="H335" i="22"/>
  <c r="H336" i="22"/>
  <c r="H337" i="22"/>
  <c r="H338" i="22"/>
  <c r="H339" i="22"/>
  <c r="H340" i="22"/>
  <c r="H341" i="22"/>
  <c r="H342" i="22"/>
  <c r="H343" i="22"/>
  <c r="H344" i="22"/>
  <c r="H345" i="22"/>
  <c r="H346" i="22"/>
  <c r="H347" i="22"/>
  <c r="H348" i="22"/>
  <c r="H349" i="22"/>
  <c r="H350" i="22"/>
  <c r="H351" i="22"/>
  <c r="H352" i="22"/>
  <c r="H353" i="22"/>
  <c r="H354" i="22"/>
  <c r="H355" i="22"/>
  <c r="H356" i="22"/>
  <c r="H357" i="22"/>
  <c r="H358" i="22"/>
  <c r="H359" i="22"/>
  <c r="H360" i="22"/>
  <c r="H361" i="22"/>
  <c r="H362" i="22"/>
  <c r="H363" i="22"/>
  <c r="H364" i="22"/>
  <c r="H365" i="22"/>
  <c r="H366" i="22"/>
  <c r="H367" i="22"/>
  <c r="H368" i="22"/>
  <c r="H369" i="22"/>
  <c r="H370" i="22"/>
  <c r="H371" i="22"/>
  <c r="H372" i="22"/>
  <c r="H373" i="22"/>
  <c r="H374" i="22"/>
  <c r="H375" i="22"/>
  <c r="H376" i="22"/>
  <c r="H377" i="22"/>
  <c r="H378" i="22"/>
  <c r="H379" i="22"/>
  <c r="H380" i="22"/>
  <c r="H381" i="22"/>
  <c r="H382" i="22"/>
  <c r="H383" i="22"/>
  <c r="H384" i="22"/>
  <c r="H385" i="22"/>
  <c r="H386" i="22"/>
  <c r="H387" i="22"/>
  <c r="H388" i="22"/>
  <c r="H389" i="22"/>
  <c r="H390" i="22"/>
  <c r="H391" i="22"/>
  <c r="H392" i="22"/>
  <c r="H393" i="22"/>
  <c r="H394" i="22"/>
  <c r="H395" i="22"/>
  <c r="H396" i="22"/>
  <c r="H397" i="22"/>
  <c r="H398" i="22"/>
  <c r="H399" i="22"/>
  <c r="H400" i="22"/>
  <c r="H401" i="22"/>
  <c r="H402" i="22"/>
  <c r="H403" i="22"/>
  <c r="H404" i="22"/>
  <c r="H405" i="22"/>
  <c r="H406" i="22"/>
  <c r="H407" i="22"/>
  <c r="H408" i="22"/>
  <c r="H409" i="22"/>
  <c r="H410" i="22"/>
  <c r="H411" i="22"/>
  <c r="H412" i="22"/>
  <c r="H413" i="22"/>
  <c r="H414" i="22"/>
  <c r="H415" i="22"/>
  <c r="H416" i="22"/>
  <c r="H417" i="22"/>
  <c r="H418" i="22"/>
  <c r="H419" i="22"/>
  <c r="H420" i="22"/>
  <c r="H421" i="22"/>
  <c r="H422" i="22"/>
  <c r="H423" i="22"/>
  <c r="H424" i="22"/>
  <c r="H425" i="22"/>
  <c r="H426" i="22"/>
  <c r="H427" i="22"/>
  <c r="H428" i="22"/>
  <c r="H429" i="22"/>
  <c r="H430" i="22"/>
  <c r="H431" i="22"/>
  <c r="H432" i="22"/>
  <c r="H433" i="22"/>
  <c r="H434" i="22"/>
  <c r="H435" i="22"/>
  <c r="H436" i="22"/>
  <c r="H437" i="22"/>
  <c r="H438" i="22"/>
  <c r="H439" i="22"/>
  <c r="H440" i="22"/>
  <c r="H441" i="22"/>
  <c r="H442" i="22"/>
  <c r="H443" i="22"/>
  <c r="H444" i="22"/>
  <c r="H445" i="22"/>
  <c r="H446" i="22"/>
  <c r="H447" i="22"/>
  <c r="H448" i="22"/>
  <c r="H449" i="22"/>
  <c r="H450" i="22"/>
  <c r="H451" i="22"/>
  <c r="H452" i="22"/>
  <c r="H453" i="22"/>
  <c r="H454" i="22"/>
  <c r="H455" i="22"/>
  <c r="H456" i="22"/>
  <c r="H457" i="22"/>
  <c r="H458" i="22"/>
  <c r="H459" i="22"/>
  <c r="H460" i="22"/>
  <c r="H461" i="22"/>
  <c r="H462" i="22"/>
  <c r="H463" i="22"/>
  <c r="H464" i="22"/>
  <c r="H465" i="22"/>
  <c r="H466" i="22"/>
  <c r="H467" i="22"/>
  <c r="H468" i="22"/>
  <c r="H469" i="22"/>
  <c r="H470" i="22"/>
  <c r="H471" i="22"/>
  <c r="H472" i="22"/>
  <c r="H473" i="22"/>
  <c r="H474" i="22"/>
  <c r="H475" i="22"/>
  <c r="H476" i="22"/>
  <c r="H477" i="22"/>
  <c r="H478" i="22"/>
  <c r="H479" i="22"/>
  <c r="H480" i="22"/>
  <c r="H481" i="22"/>
  <c r="H482" i="22"/>
  <c r="H483" i="22"/>
  <c r="H484" i="22"/>
  <c r="H485" i="22"/>
  <c r="H486" i="22"/>
  <c r="H487" i="22"/>
  <c r="H488" i="22"/>
  <c r="H489" i="22"/>
  <c r="H490" i="22"/>
  <c r="H491" i="22"/>
  <c r="H492" i="22"/>
  <c r="H493" i="22"/>
  <c r="H494" i="22"/>
  <c r="H495" i="22"/>
  <c r="H496" i="22"/>
  <c r="H497" i="22"/>
  <c r="H498" i="22"/>
  <c r="H499" i="22"/>
  <c r="H500" i="22"/>
  <c r="H501" i="22"/>
  <c r="H502" i="22"/>
  <c r="H503" i="22"/>
  <c r="H504" i="22"/>
  <c r="H505" i="22"/>
  <c r="H506" i="22"/>
  <c r="H507" i="22"/>
  <c r="H508" i="22"/>
  <c r="H509" i="22"/>
  <c r="H510" i="22"/>
  <c r="H511" i="22"/>
  <c r="H512" i="22"/>
  <c r="H513" i="22"/>
  <c r="H514" i="22"/>
  <c r="H515" i="22"/>
  <c r="H516" i="22"/>
  <c r="H517" i="22"/>
  <c r="H518" i="22"/>
  <c r="H519" i="22"/>
  <c r="H520" i="22"/>
  <c r="H521" i="22"/>
  <c r="H522" i="22"/>
  <c r="H523" i="22"/>
  <c r="H524" i="22"/>
  <c r="H525" i="22"/>
  <c r="H526" i="22"/>
  <c r="H527" i="22"/>
  <c r="H528" i="22"/>
  <c r="H529" i="22"/>
  <c r="H530" i="22"/>
  <c r="H531" i="22"/>
  <c r="H532" i="22"/>
  <c r="H533" i="22"/>
  <c r="H534" i="22"/>
  <c r="H535" i="22"/>
  <c r="H536" i="22"/>
  <c r="H537" i="22"/>
  <c r="H538" i="22"/>
  <c r="H539" i="22"/>
  <c r="H540" i="22"/>
  <c r="H541" i="22"/>
  <c r="H542" i="22"/>
  <c r="H543" i="22"/>
  <c r="H544" i="22"/>
  <c r="H545" i="22"/>
  <c r="H546" i="22"/>
  <c r="H547" i="22"/>
  <c r="H548" i="22"/>
  <c r="H549" i="22"/>
  <c r="H550" i="22"/>
  <c r="H551" i="22"/>
  <c r="H552" i="22"/>
  <c r="H553" i="22"/>
  <c r="H554" i="22"/>
  <c r="H555" i="22"/>
  <c r="H556" i="22"/>
  <c r="H557" i="22"/>
  <c r="H558" i="22"/>
  <c r="H559" i="22"/>
  <c r="H560" i="22"/>
  <c r="H561" i="22"/>
  <c r="H562" i="22"/>
  <c r="H563" i="22"/>
  <c r="H564" i="22"/>
  <c r="H565" i="22"/>
  <c r="H566" i="22"/>
  <c r="H567" i="22"/>
  <c r="H568" i="22"/>
  <c r="H569" i="22"/>
  <c r="H570" i="22"/>
  <c r="H571" i="22"/>
  <c r="H572" i="22"/>
  <c r="H573" i="22"/>
  <c r="H574" i="22"/>
  <c r="H575" i="22"/>
  <c r="H576" i="22"/>
  <c r="H577" i="22"/>
  <c r="H578" i="22"/>
  <c r="H579" i="22"/>
  <c r="H580" i="22"/>
  <c r="H581" i="22"/>
  <c r="H582" i="22"/>
  <c r="H583" i="22"/>
  <c r="H584" i="22"/>
  <c r="H585" i="22"/>
  <c r="H586" i="22"/>
  <c r="H587" i="22"/>
  <c r="H980" i="22"/>
  <c r="H981" i="22"/>
  <c r="H982" i="22"/>
  <c r="H1001" i="22"/>
  <c r="H1002" i="22"/>
  <c r="H1003" i="22"/>
  <c r="H1004" i="22"/>
  <c r="H1005" i="22"/>
  <c r="H1000" i="22"/>
  <c r="H984" i="22"/>
  <c r="H985" i="22"/>
  <c r="H986" i="22"/>
  <c r="H987" i="22"/>
  <c r="H988" i="22"/>
  <c r="H989" i="22"/>
  <c r="H990" i="22"/>
  <c r="H991" i="22"/>
  <c r="H992" i="22"/>
  <c r="H993" i="22"/>
  <c r="H994" i="22"/>
  <c r="H995" i="22"/>
  <c r="H983" i="22"/>
  <c r="H970" i="22"/>
  <c r="H969" i="22"/>
  <c r="H956" i="22"/>
  <c r="H957" i="22"/>
  <c r="H958" i="22"/>
  <c r="H959" i="22"/>
  <c r="H960" i="22"/>
  <c r="H955" i="22"/>
  <c r="H949" i="22"/>
  <c r="H950" i="22"/>
  <c r="H951" i="22"/>
  <c r="H948" i="22"/>
  <c r="H940" i="22"/>
  <c r="H941" i="22"/>
  <c r="H942" i="22"/>
  <c r="H943" i="22"/>
  <c r="H939" i="22"/>
  <c r="H929" i="22"/>
  <c r="H930" i="22"/>
  <c r="H931" i="22"/>
  <c r="H932" i="22"/>
  <c r="H933" i="22"/>
  <c r="H928" i="22"/>
  <c r="H922" i="22"/>
  <c r="H923" i="22"/>
  <c r="H924" i="22"/>
  <c r="H925" i="22"/>
  <c r="H926" i="22"/>
  <c r="H921" i="22"/>
  <c r="H913" i="22"/>
  <c r="H914" i="22"/>
  <c r="H912" i="22"/>
  <c r="H900" i="22"/>
  <c r="H901" i="22"/>
  <c r="H902" i="22"/>
  <c r="H903" i="22"/>
  <c r="H904" i="22"/>
  <c r="H905" i="22"/>
  <c r="H906" i="22"/>
  <c r="H907" i="22"/>
  <c r="H908" i="22"/>
  <c r="H909" i="22"/>
  <c r="H910" i="22"/>
  <c r="H911" i="22"/>
  <c r="H899" i="22"/>
  <c r="H886" i="22"/>
  <c r="H887" i="22"/>
  <c r="H888" i="22"/>
  <c r="H885" i="22"/>
  <c r="H847" i="22"/>
  <c r="H848" i="22"/>
  <c r="H849" i="22"/>
  <c r="H850" i="22"/>
  <c r="H851" i="22"/>
  <c r="H852" i="22"/>
  <c r="H846" i="22"/>
  <c r="H834" i="22"/>
  <c r="H841" i="22"/>
  <c r="H842" i="22"/>
  <c r="H843" i="22"/>
  <c r="H844" i="22"/>
  <c r="H845" i="22"/>
  <c r="H833" i="22"/>
  <c r="H830" i="22"/>
  <c r="H831" i="22"/>
  <c r="H798" i="22"/>
  <c r="H797" i="22"/>
  <c r="H796" i="22"/>
  <c r="H795" i="22"/>
  <c r="H794" i="22"/>
  <c r="H783" i="22"/>
  <c r="H782" i="22"/>
  <c r="H781" i="22"/>
  <c r="H770" i="22"/>
  <c r="H771" i="22"/>
  <c r="H769" i="22"/>
  <c r="H757" i="22"/>
  <c r="H758" i="22"/>
  <c r="H759" i="22"/>
  <c r="H756" i="22"/>
  <c r="H829" i="22"/>
  <c r="H742" i="22"/>
  <c r="H741" i="22"/>
  <c r="H678" i="22"/>
  <c r="H679" i="22"/>
  <c r="H680" i="22"/>
  <c r="H681" i="22"/>
  <c r="H682" i="22"/>
  <c r="H683" i="22"/>
  <c r="H684" i="22"/>
  <c r="H685" i="22"/>
  <c r="H686" i="22"/>
  <c r="H687" i="22"/>
  <c r="H688" i="22"/>
  <c r="H689" i="22"/>
  <c r="H690" i="22"/>
  <c r="H691" i="22"/>
  <c r="H692" i="22"/>
  <c r="H693" i="22"/>
  <c r="H694" i="22"/>
  <c r="H695" i="22"/>
  <c r="H696" i="22"/>
  <c r="H697" i="22"/>
  <c r="H698" i="22"/>
  <c r="H699" i="22"/>
  <c r="H700" i="22"/>
  <c r="H677" i="22"/>
  <c r="K596" i="22"/>
  <c r="BH233" i="22"/>
  <c r="BH234" i="22"/>
  <c r="BH235" i="22"/>
  <c r="BH236" i="22"/>
  <c r="BH237" i="22"/>
  <c r="BH238" i="22"/>
  <c r="BH239" i="22"/>
  <c r="BH240" i="22"/>
  <c r="BH241" i="22"/>
  <c r="BH242" i="22"/>
  <c r="BH243" i="22"/>
  <c r="BH244" i="22"/>
  <c r="BH245" i="22"/>
  <c r="BH246" i="22"/>
  <c r="BH247" i="22"/>
  <c r="BH248" i="22"/>
  <c r="BH249" i="22"/>
  <c r="BH250" i="22"/>
  <c r="BH251" i="22"/>
  <c r="BH252" i="22"/>
  <c r="BH253" i="22"/>
  <c r="BH254" i="22"/>
  <c r="BH255" i="22"/>
  <c r="BH256" i="22"/>
  <c r="BH257" i="22"/>
  <c r="BH258" i="22"/>
  <c r="BH259" i="22"/>
  <c r="BH260" i="22"/>
  <c r="BH261" i="22"/>
  <c r="BH262" i="22"/>
  <c r="BH263" i="22"/>
  <c r="BH264" i="22"/>
  <c r="BH265" i="22"/>
  <c r="BH266" i="22"/>
  <c r="BH267" i="22"/>
  <c r="BH268" i="22"/>
  <c r="BH269" i="22"/>
  <c r="BH270" i="22"/>
  <c r="BH271" i="22"/>
  <c r="BH272" i="22"/>
  <c r="BH273" i="22"/>
  <c r="BH274" i="22"/>
  <c r="BH275" i="22"/>
  <c r="BH276" i="22"/>
  <c r="BH277" i="22"/>
  <c r="BH278" i="22"/>
  <c r="BH279" i="22"/>
  <c r="BH280" i="22"/>
  <c r="BH281" i="22"/>
  <c r="BH282" i="22"/>
  <c r="BH283" i="22"/>
  <c r="BH284" i="22"/>
  <c r="BH285" i="22"/>
  <c r="BH286" i="22"/>
  <c r="BH287" i="22"/>
  <c r="BH288" i="22"/>
  <c r="BH289" i="22"/>
  <c r="BH290" i="22"/>
  <c r="BH291" i="22"/>
  <c r="BH292" i="22"/>
  <c r="BH293" i="22"/>
  <c r="BH294" i="22"/>
  <c r="BH295" i="22"/>
  <c r="BH296" i="22"/>
  <c r="BH297" i="22"/>
  <c r="BH298" i="22"/>
  <c r="BH299" i="22"/>
  <c r="BH300" i="22"/>
  <c r="BH301" i="22"/>
  <c r="BH302" i="22"/>
  <c r="BH303" i="22"/>
  <c r="BH304" i="22"/>
  <c r="BH305" i="22"/>
  <c r="BH306" i="22"/>
  <c r="BH307" i="22"/>
  <c r="BH308" i="22"/>
  <c r="BH309" i="22"/>
  <c r="BH310" i="22"/>
  <c r="BH311" i="22"/>
  <c r="BH312" i="22"/>
  <c r="BH313" i="22"/>
  <c r="BH314" i="22"/>
  <c r="BH315" i="22"/>
  <c r="BH316" i="22"/>
  <c r="BH317" i="22"/>
  <c r="BH318" i="22"/>
  <c r="BH319" i="22"/>
  <c r="BH320" i="22"/>
  <c r="BH321" i="22"/>
  <c r="BH322" i="22"/>
  <c r="BH323" i="22"/>
  <c r="BH324" i="22"/>
  <c r="BH325" i="22"/>
  <c r="BH326" i="22"/>
  <c r="BH327" i="22"/>
  <c r="BH328" i="22"/>
  <c r="BH329" i="22"/>
  <c r="BH330" i="22"/>
  <c r="BH331" i="22"/>
  <c r="BH332" i="22"/>
  <c r="BH333" i="22"/>
  <c r="BH334" i="22"/>
  <c r="BH335" i="22"/>
  <c r="BH336" i="22"/>
  <c r="BH337" i="22"/>
  <c r="BH338" i="22"/>
  <c r="BH339" i="22"/>
  <c r="BH340" i="22"/>
  <c r="BH341" i="22"/>
  <c r="BH342" i="22"/>
  <c r="BH343" i="22"/>
  <c r="BH344" i="22"/>
  <c r="BH345" i="22"/>
  <c r="BH346" i="22"/>
  <c r="BH347" i="22"/>
  <c r="BH348" i="22"/>
  <c r="BH349" i="22"/>
  <c r="BH350" i="22"/>
  <c r="BH351" i="22"/>
  <c r="BH352" i="22"/>
  <c r="BC248" i="22"/>
  <c r="BC249" i="22"/>
  <c r="BC250" i="22"/>
  <c r="BC251" i="22"/>
  <c r="BC252" i="22"/>
  <c r="BC253" i="22"/>
  <c r="BC254" i="22"/>
  <c r="BC255" i="22"/>
  <c r="BC256" i="22"/>
  <c r="BC257" i="22"/>
  <c r="BC258" i="22"/>
  <c r="BC259" i="22"/>
  <c r="BC260" i="22"/>
  <c r="BC261" i="22"/>
  <c r="BC262" i="22"/>
  <c r="BC263" i="22"/>
  <c r="BC264" i="22"/>
  <c r="BC265" i="22"/>
  <c r="BC266" i="22"/>
  <c r="BC267" i="22"/>
  <c r="BC268" i="22"/>
  <c r="BC269" i="22"/>
  <c r="BC270" i="22"/>
  <c r="BC271" i="22"/>
  <c r="BC272" i="22"/>
  <c r="BC273" i="22"/>
  <c r="BC274" i="22"/>
  <c r="BC275" i="22"/>
  <c r="BC276" i="22"/>
  <c r="BC277" i="22"/>
  <c r="BC278" i="22"/>
  <c r="BC279" i="22"/>
  <c r="BC280" i="22"/>
  <c r="BC281" i="22"/>
  <c r="BC282" i="22"/>
  <c r="BC283" i="22"/>
  <c r="BC284" i="22"/>
  <c r="BC285" i="22"/>
  <c r="BC286" i="22"/>
  <c r="BC287" i="22"/>
  <c r="BC288" i="22"/>
  <c r="BC289" i="22"/>
  <c r="BC290" i="22"/>
  <c r="BC291" i="22"/>
  <c r="BC292" i="22"/>
  <c r="BC293" i="22"/>
  <c r="BC294" i="22"/>
  <c r="BC295" i="22"/>
  <c r="BC296" i="22"/>
  <c r="BC297" i="22"/>
  <c r="BC298" i="22"/>
  <c r="BC299" i="22"/>
  <c r="BC300" i="22"/>
  <c r="BC301" i="22"/>
  <c r="BC302" i="22"/>
  <c r="BC303" i="22"/>
  <c r="BC304" i="22"/>
  <c r="BC305" i="22"/>
  <c r="BC306" i="22"/>
  <c r="BC307" i="22"/>
  <c r="BC308" i="22"/>
  <c r="BC309" i="22"/>
  <c r="BC310" i="22"/>
  <c r="BC311" i="22"/>
  <c r="BC312" i="22"/>
  <c r="BC313" i="22"/>
  <c r="BC314" i="22"/>
  <c r="BC315" i="22"/>
  <c r="BC316" i="22"/>
  <c r="BC317" i="22"/>
  <c r="BC318" i="22"/>
  <c r="BC319" i="22"/>
  <c r="BC320" i="22"/>
  <c r="BC321" i="22"/>
  <c r="BC322" i="22"/>
  <c r="BC323" i="22"/>
  <c r="BC324" i="22"/>
  <c r="BC325" i="22"/>
  <c r="BC326" i="22"/>
  <c r="BC327" i="22"/>
  <c r="BC328" i="22"/>
  <c r="BC329" i="22"/>
  <c r="BC330" i="22"/>
  <c r="BC331" i="22"/>
  <c r="BC332" i="22"/>
  <c r="BC333" i="22"/>
  <c r="BC334" i="22"/>
  <c r="BC335" i="22"/>
  <c r="BC336" i="22"/>
  <c r="BC337" i="22"/>
  <c r="BC338" i="22"/>
  <c r="BC339" i="22"/>
  <c r="BC340" i="22"/>
  <c r="BC341" i="22"/>
  <c r="BC342" i="22"/>
  <c r="BC343" i="22"/>
  <c r="BC344" i="22"/>
  <c r="BC345" i="22"/>
  <c r="BC346" i="22"/>
  <c r="BC347" i="22"/>
  <c r="BC348" i="22"/>
  <c r="BC349" i="22"/>
  <c r="BC350" i="22"/>
  <c r="BC351" i="22"/>
  <c r="BC352" i="22"/>
  <c r="AM4" i="22"/>
  <c r="BH4" i="22" s="1"/>
  <c r="AM5" i="22"/>
  <c r="BH5" i="22" s="1"/>
  <c r="AM6" i="22"/>
  <c r="BH6" i="22" s="1"/>
  <c r="AM7" i="22"/>
  <c r="BH7" i="22" s="1"/>
  <c r="AM8" i="22"/>
  <c r="BH8" i="22" s="1"/>
  <c r="AM12" i="22"/>
  <c r="BH12" i="22" s="1"/>
  <c r="AM13" i="22"/>
  <c r="BH13" i="22" s="1"/>
  <c r="AM14" i="22"/>
  <c r="BH14" i="22" s="1"/>
  <c r="AM15" i="22"/>
  <c r="BH15" i="22" s="1"/>
  <c r="AM16" i="22"/>
  <c r="BH16" i="22" s="1"/>
  <c r="AM113" i="22"/>
  <c r="BH113" i="22" s="1"/>
  <c r="AM114" i="22"/>
  <c r="BH114" i="22" s="1"/>
  <c r="AM115" i="22"/>
  <c r="BC115" i="22" s="1"/>
  <c r="AM116" i="22"/>
  <c r="BH116" i="22" s="1"/>
  <c r="AM117" i="22"/>
  <c r="BC117" i="22" s="1"/>
  <c r="AM118" i="22"/>
  <c r="BC118" i="22" s="1"/>
  <c r="AM119" i="22"/>
  <c r="BC119" i="22" s="1"/>
  <c r="AM120" i="22"/>
  <c r="BC120" i="22" s="1"/>
  <c r="AM121" i="22"/>
  <c r="BC121" i="22" s="1"/>
  <c r="AM122" i="22"/>
  <c r="BC122" i="22" s="1"/>
  <c r="AM123" i="22"/>
  <c r="BC123" i="22" s="1"/>
  <c r="AM124" i="22"/>
  <c r="BH124" i="22" s="1"/>
  <c r="AM125" i="22"/>
  <c r="BH125" i="22" s="1"/>
  <c r="AM126" i="22"/>
  <c r="BH126" i="22" s="1"/>
  <c r="AM127" i="22"/>
  <c r="BH127" i="22" s="1"/>
  <c r="AM128" i="22"/>
  <c r="BC128" i="22" s="1"/>
  <c r="AM129" i="22"/>
  <c r="BC129" i="22" s="1"/>
  <c r="AM130" i="22"/>
  <c r="BC130" i="22" s="1"/>
  <c r="AM131" i="22"/>
  <c r="BC131" i="22" s="1"/>
  <c r="AM132" i="22"/>
  <c r="BC132" i="22" s="1"/>
  <c r="AM133" i="22"/>
  <c r="BC133" i="22" s="1"/>
  <c r="AM134" i="22"/>
  <c r="BC134" i="22" s="1"/>
  <c r="AM135" i="22"/>
  <c r="BC135" i="22" s="1"/>
  <c r="AM136" i="22"/>
  <c r="BH136" i="22" s="1"/>
  <c r="AM137" i="22"/>
  <c r="BC137" i="22" s="1"/>
  <c r="AM138" i="22"/>
  <c r="BC138" i="22" s="1"/>
  <c r="AM139" i="22"/>
  <c r="BH139" i="22" s="1"/>
  <c r="AM140" i="22"/>
  <c r="BC140" i="22" s="1"/>
  <c r="AM141" i="22"/>
  <c r="BC141" i="22" s="1"/>
  <c r="AM142" i="22"/>
  <c r="BC142" i="22" s="1"/>
  <c r="AM143" i="22"/>
  <c r="BC143" i="22" s="1"/>
  <c r="AM144" i="22"/>
  <c r="BH144" i="22" s="1"/>
  <c r="AM145" i="22"/>
  <c r="BH145" i="22" s="1"/>
  <c r="AM146" i="22"/>
  <c r="BH146" i="22" s="1"/>
  <c r="AM147" i="22"/>
  <c r="BH147" i="22" s="1"/>
  <c r="AM148" i="22"/>
  <c r="BH148" i="22" s="1"/>
  <c r="AM149" i="22"/>
  <c r="BH149" i="22" s="1"/>
  <c r="AM150" i="22"/>
  <c r="BC150" i="22" s="1"/>
  <c r="AM151" i="22"/>
  <c r="BC151" i="22" s="1"/>
  <c r="AM152" i="22"/>
  <c r="BH152" i="22" s="1"/>
  <c r="AM153" i="22"/>
  <c r="BH153" i="22" s="1"/>
  <c r="AM154" i="22"/>
  <c r="BH154" i="22" s="1"/>
  <c r="AM155" i="22"/>
  <c r="BC155" i="22" s="1"/>
  <c r="AM156" i="22"/>
  <c r="BC156" i="22" s="1"/>
  <c r="AM157" i="22"/>
  <c r="BC157" i="22" s="1"/>
  <c r="AM158" i="22"/>
  <c r="BC158" i="22" s="1"/>
  <c r="AM159" i="22"/>
  <c r="BC159" i="22" s="1"/>
  <c r="AM160" i="22"/>
  <c r="BC160" i="22" s="1"/>
  <c r="AM161" i="22"/>
  <c r="BC161" i="22" s="1"/>
  <c r="AM162" i="22"/>
  <c r="BC162" i="22" s="1"/>
  <c r="AM163" i="22"/>
  <c r="BC163" i="22" s="1"/>
  <c r="AM164" i="22"/>
  <c r="BH164" i="22" s="1"/>
  <c r="AM165" i="22"/>
  <c r="BH165" i="22" s="1"/>
  <c r="AM166" i="22"/>
  <c r="BC166" i="22" s="1"/>
  <c r="AM167" i="22"/>
  <c r="BH167" i="22" s="1"/>
  <c r="AM168" i="22"/>
  <c r="BH168" i="22" s="1"/>
  <c r="AM169" i="22"/>
  <c r="BH169" i="22" s="1"/>
  <c r="AM170" i="22"/>
  <c r="BH170" i="22" s="1"/>
  <c r="AM171" i="22"/>
  <c r="BH171" i="22" s="1"/>
  <c r="AM172" i="22"/>
  <c r="BH172" i="22" s="1"/>
  <c r="AM173" i="22"/>
  <c r="BH173" i="22" s="1"/>
  <c r="AM174" i="22"/>
  <c r="BH174" i="22" s="1"/>
  <c r="AM175" i="22"/>
  <c r="BH175" i="22" s="1"/>
  <c r="AM176" i="22"/>
  <c r="BH176" i="22" s="1"/>
  <c r="AM177" i="22"/>
  <c r="BH177" i="22" s="1"/>
  <c r="AM178" i="22"/>
  <c r="BC178" i="22" s="1"/>
  <c r="AM179" i="22"/>
  <c r="BC179" i="22" s="1"/>
  <c r="AM180" i="22"/>
  <c r="BH180" i="22" s="1"/>
  <c r="AM181" i="22"/>
  <c r="BH181" i="22" s="1"/>
  <c r="AM182" i="22"/>
  <c r="BH182" i="22" s="1"/>
  <c r="AM183" i="22"/>
  <c r="BH183" i="22" s="1"/>
  <c r="AM184" i="22"/>
  <c r="BH184" i="22" s="1"/>
  <c r="AM185" i="22"/>
  <c r="BC185" i="22" s="1"/>
  <c r="AM186" i="22"/>
  <c r="BC186" i="22" s="1"/>
  <c r="AM187" i="22"/>
  <c r="BC187" i="22" s="1"/>
  <c r="AM188" i="22"/>
  <c r="BC188" i="22" s="1"/>
  <c r="AM189" i="22"/>
  <c r="BC189" i="22" s="1"/>
  <c r="AM190" i="22"/>
  <c r="BH190" i="22" s="1"/>
  <c r="AM191" i="22"/>
  <c r="BC191" i="22" s="1"/>
  <c r="AM192" i="22"/>
  <c r="BC192" i="22" s="1"/>
  <c r="AM193" i="22"/>
  <c r="BH193" i="22" s="1"/>
  <c r="AM194" i="22"/>
  <c r="BC194" i="22" s="1"/>
  <c r="AM195" i="22"/>
  <c r="BC195" i="22" s="1"/>
  <c r="AM196" i="22"/>
  <c r="BC196" i="22" s="1"/>
  <c r="AM197" i="22"/>
  <c r="BC197" i="22" s="1"/>
  <c r="AM198" i="22"/>
  <c r="BC198" i="22" s="1"/>
  <c r="AM199" i="22"/>
  <c r="BH199" i="22" s="1"/>
  <c r="AM200" i="22"/>
  <c r="BH200" i="22" s="1"/>
  <c r="AM201" i="22"/>
  <c r="BH201" i="22" s="1"/>
  <c r="AM202" i="22"/>
  <c r="BH202" i="22" s="1"/>
  <c r="AM203" i="22"/>
  <c r="BC203" i="22" s="1"/>
  <c r="AM204" i="22"/>
  <c r="BC204" i="22" s="1"/>
  <c r="AM205" i="22"/>
  <c r="BC205" i="22" s="1"/>
  <c r="AM206" i="22"/>
  <c r="BC206" i="22" s="1"/>
  <c r="AM207" i="22"/>
  <c r="BC207" i="22" s="1"/>
  <c r="AM208" i="22"/>
  <c r="BC208" i="22" s="1"/>
  <c r="AM209" i="22"/>
  <c r="BC209" i="22" s="1"/>
  <c r="AM210" i="22"/>
  <c r="BH210" i="22" s="1"/>
  <c r="AM211" i="22"/>
  <c r="BC211" i="22" s="1"/>
  <c r="AM212" i="22"/>
  <c r="BH212" i="22" s="1"/>
  <c r="AM213" i="22"/>
  <c r="BH213" i="22" s="1"/>
  <c r="AM214" i="22"/>
  <c r="BH214" i="22" s="1"/>
  <c r="AM215" i="22"/>
  <c r="BH215" i="22" s="1"/>
  <c r="AM216" i="22"/>
  <c r="BH216" i="22" s="1"/>
  <c r="AM217" i="22"/>
  <c r="BH217" i="22" s="1"/>
  <c r="AM218" i="22"/>
  <c r="BH218" i="22" s="1"/>
  <c r="AM219" i="22"/>
  <c r="BC219" i="22" s="1"/>
  <c r="AM220" i="22"/>
  <c r="BC220" i="22" s="1"/>
  <c r="AM221" i="22"/>
  <c r="BH221" i="22" s="1"/>
  <c r="AM222" i="22"/>
  <c r="BC222" i="22" s="1"/>
  <c r="AM223" i="22"/>
  <c r="BC223" i="22" s="1"/>
  <c r="AM224" i="22"/>
  <c r="BC224" i="22" s="1"/>
  <c r="AM225" i="22"/>
  <c r="BC225" i="22" s="1"/>
  <c r="AM226" i="22"/>
  <c r="BC226" i="22" s="1"/>
  <c r="AM227" i="22"/>
  <c r="BH227" i="22" s="1"/>
  <c r="AM228" i="22"/>
  <c r="BH228" i="22" s="1"/>
  <c r="AM229" i="22"/>
  <c r="BH229" i="22" s="1"/>
  <c r="AM230" i="22"/>
  <c r="BH230" i="22" s="1"/>
  <c r="AM231" i="22"/>
  <c r="BH231" i="22" s="1"/>
  <c r="AM232" i="22"/>
  <c r="BC232" i="22" s="1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AJ114" i="22"/>
  <c r="AJ115" i="22"/>
  <c r="AJ116" i="22"/>
  <c r="AJ117" i="22"/>
  <c r="AJ118" i="22"/>
  <c r="AJ119" i="22"/>
  <c r="AJ120" i="22"/>
  <c r="AJ121" i="22"/>
  <c r="AJ122" i="22"/>
  <c r="AJ123" i="22"/>
  <c r="AJ124" i="22"/>
  <c r="AJ125" i="22"/>
  <c r="AJ126" i="22"/>
  <c r="AJ127" i="22"/>
  <c r="AJ128" i="22"/>
  <c r="AJ129" i="22"/>
  <c r="AJ130" i="22"/>
  <c r="AJ131" i="22"/>
  <c r="AJ132" i="22"/>
  <c r="AJ133" i="22"/>
  <c r="AJ134" i="22"/>
  <c r="AJ135" i="22"/>
  <c r="AJ136" i="22"/>
  <c r="AJ137" i="22"/>
  <c r="AJ138" i="22"/>
  <c r="AJ139" i="22"/>
  <c r="AJ140" i="22"/>
  <c r="AJ141" i="22"/>
  <c r="AJ142" i="22"/>
  <c r="AJ113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113" i="22"/>
  <c r="BS4" i="22"/>
  <c r="BS5" i="22"/>
  <c r="BS6" i="22"/>
  <c r="BS7" i="22"/>
  <c r="BS8" i="22"/>
  <c r="BS9" i="22"/>
  <c r="BS10" i="22"/>
  <c r="BS11" i="22"/>
  <c r="BS12" i="22"/>
  <c r="BS13" i="22"/>
  <c r="BS14" i="22"/>
  <c r="BS15" i="22"/>
  <c r="BS16" i="22"/>
  <c r="BS17" i="22"/>
  <c r="BS18" i="22"/>
  <c r="BS19" i="22"/>
  <c r="BS20" i="22"/>
  <c r="BS21" i="22"/>
  <c r="BS22" i="22"/>
  <c r="BS23" i="22"/>
  <c r="BS24" i="22"/>
  <c r="BS25" i="22"/>
  <c r="BS26" i="22"/>
  <c r="BS27" i="22"/>
  <c r="BS28" i="22"/>
  <c r="BS29" i="22"/>
  <c r="BS30" i="22"/>
  <c r="BS31" i="22"/>
  <c r="BS32" i="22"/>
  <c r="BS33" i="22"/>
  <c r="BS34" i="22"/>
  <c r="BS35" i="22"/>
  <c r="BS36" i="22"/>
  <c r="BS37" i="22"/>
  <c r="BS38" i="22"/>
  <c r="BS39" i="22"/>
  <c r="BS40" i="22"/>
  <c r="BS41" i="22"/>
  <c r="BS42" i="22"/>
  <c r="BS43" i="22"/>
  <c r="BS44" i="22"/>
  <c r="BS45" i="22"/>
  <c r="BS46" i="22"/>
  <c r="BS47" i="22"/>
  <c r="BS48" i="22"/>
  <c r="BS49" i="22"/>
  <c r="BS50" i="22"/>
  <c r="BS51" i="22"/>
  <c r="BS52" i="22"/>
  <c r="BS53" i="22"/>
  <c r="BS54" i="22"/>
  <c r="BS55" i="22"/>
  <c r="BS56" i="22"/>
  <c r="BS57" i="22"/>
  <c r="BS58" i="22"/>
  <c r="BS59" i="22"/>
  <c r="BS60" i="22"/>
  <c r="BS61" i="22"/>
  <c r="BS62" i="22"/>
  <c r="BS63" i="22"/>
  <c r="BS64" i="22"/>
  <c r="BS65" i="22"/>
  <c r="BS66" i="22"/>
  <c r="BS67" i="22"/>
  <c r="BS68" i="22"/>
  <c r="BS69" i="22"/>
  <c r="BS70" i="22"/>
  <c r="BS71" i="22"/>
  <c r="BS72" i="22"/>
  <c r="BS73" i="22"/>
  <c r="BS74" i="22"/>
  <c r="BS75" i="22"/>
  <c r="BS76" i="22"/>
  <c r="BS77" i="22"/>
  <c r="BS78" i="22"/>
  <c r="BS79" i="22"/>
  <c r="BS80" i="22"/>
  <c r="BS81" i="22"/>
  <c r="BS82" i="22"/>
  <c r="BS83" i="22"/>
  <c r="BS84" i="22"/>
  <c r="BS85" i="22"/>
  <c r="BS86" i="22"/>
  <c r="BS87" i="22"/>
  <c r="BS88" i="22"/>
  <c r="BS89" i="22"/>
  <c r="BS90" i="22"/>
  <c r="BS91" i="22"/>
  <c r="BS92" i="22"/>
  <c r="BS93" i="22"/>
  <c r="BS94" i="22"/>
  <c r="BS95" i="22"/>
  <c r="BS96" i="22"/>
  <c r="BS97" i="22"/>
  <c r="BS98" i="22"/>
  <c r="BS99" i="22"/>
  <c r="BS100" i="22"/>
  <c r="BS101" i="22"/>
  <c r="BS102" i="22"/>
  <c r="BS103" i="22"/>
  <c r="BS104" i="22"/>
  <c r="BS105" i="22"/>
  <c r="BS106" i="22"/>
  <c r="BS107" i="22"/>
  <c r="BS108" i="22"/>
  <c r="BS109" i="22"/>
  <c r="BS110" i="22"/>
  <c r="BS111" i="22"/>
  <c r="BS112" i="22"/>
  <c r="BS113" i="22"/>
  <c r="BS114" i="22"/>
  <c r="BS115" i="22"/>
  <c r="BS116" i="22"/>
  <c r="BS117" i="22"/>
  <c r="BS118" i="22"/>
  <c r="BS119" i="22"/>
  <c r="BS120" i="22"/>
  <c r="BS121" i="22"/>
  <c r="BS122" i="22"/>
  <c r="BS123" i="22"/>
  <c r="BS124" i="22"/>
  <c r="BS125" i="22"/>
  <c r="BS126" i="22"/>
  <c r="BS127" i="22"/>
  <c r="BS128" i="22"/>
  <c r="BS129" i="22"/>
  <c r="BS130" i="22"/>
  <c r="BS131" i="22"/>
  <c r="BS132" i="22"/>
  <c r="BS133" i="22"/>
  <c r="BS134" i="22"/>
  <c r="BS135" i="22"/>
  <c r="BS136" i="22"/>
  <c r="BS137" i="22"/>
  <c r="BS138" i="22"/>
  <c r="BS139" i="22"/>
  <c r="BS140" i="22"/>
  <c r="BS141" i="22"/>
  <c r="BS142" i="22"/>
  <c r="BS143" i="22"/>
  <c r="BS144" i="22"/>
  <c r="BS145" i="22"/>
  <c r="BS146" i="22"/>
  <c r="BS147" i="22"/>
  <c r="BS148" i="22"/>
  <c r="BS149" i="22"/>
  <c r="BS150" i="22"/>
  <c r="BS151" i="22"/>
  <c r="BS152" i="22"/>
  <c r="BS153" i="22"/>
  <c r="BS154" i="22"/>
  <c r="BS155" i="22"/>
  <c r="BS156" i="22"/>
  <c r="BS157" i="22"/>
  <c r="BS158" i="22"/>
  <c r="BS159" i="22"/>
  <c r="BS160" i="22"/>
  <c r="BS161" i="22"/>
  <c r="BS162" i="22"/>
  <c r="BS163" i="22"/>
  <c r="BS164" i="22"/>
  <c r="BS165" i="22"/>
  <c r="BS166" i="22"/>
  <c r="BS167" i="22"/>
  <c r="BS168" i="22"/>
  <c r="BS169" i="22"/>
  <c r="BS170" i="22"/>
  <c r="BS171" i="22"/>
  <c r="BS172" i="22"/>
  <c r="BS173" i="22"/>
  <c r="BS174" i="22"/>
  <c r="BS175" i="22"/>
  <c r="BS176" i="22"/>
  <c r="BS177" i="22"/>
  <c r="BS178" i="22"/>
  <c r="BS179" i="22"/>
  <c r="BS180" i="22"/>
  <c r="BS181" i="22"/>
  <c r="BS182" i="22"/>
  <c r="BS183" i="22"/>
  <c r="BS184" i="22"/>
  <c r="BS185" i="22"/>
  <c r="BS186" i="22"/>
  <c r="BS187" i="22"/>
  <c r="BS188" i="22"/>
  <c r="BS189" i="22"/>
  <c r="BS190" i="22"/>
  <c r="BS191" i="22"/>
  <c r="BS192" i="22"/>
  <c r="BS193" i="22"/>
  <c r="BS194" i="22"/>
  <c r="BS195" i="22"/>
  <c r="BS196" i="22"/>
  <c r="BS197" i="22"/>
  <c r="BS198" i="22"/>
  <c r="BS199" i="22"/>
  <c r="BS200" i="22"/>
  <c r="BS201" i="22"/>
  <c r="BS202" i="22"/>
  <c r="BS203" i="22"/>
  <c r="BS204" i="22"/>
  <c r="BS205" i="22"/>
  <c r="BS206" i="22"/>
  <c r="BS207" i="22"/>
  <c r="BS208" i="22"/>
  <c r="BS209" i="22"/>
  <c r="BS210" i="22"/>
  <c r="BS211" i="22"/>
  <c r="BS212" i="22"/>
  <c r="BS213" i="22"/>
  <c r="BS214" i="22"/>
  <c r="BS215" i="22"/>
  <c r="BS216" i="22"/>
  <c r="BS217" i="22"/>
  <c r="BS218" i="22"/>
  <c r="BS219" i="22"/>
  <c r="BS220" i="22"/>
  <c r="BS221" i="22"/>
  <c r="BS222" i="22"/>
  <c r="BS223" i="22"/>
  <c r="BS224" i="22"/>
  <c r="BS225" i="22"/>
  <c r="BS226" i="22"/>
  <c r="BS227" i="22"/>
  <c r="BS228" i="22"/>
  <c r="BS229" i="22"/>
  <c r="BS230" i="22"/>
  <c r="BS231" i="22"/>
  <c r="BS232" i="22"/>
  <c r="BS233" i="22"/>
  <c r="BS234" i="22"/>
  <c r="BS235" i="22"/>
  <c r="BS236" i="22"/>
  <c r="BS237" i="22"/>
  <c r="BS238" i="22"/>
  <c r="BS239" i="22"/>
  <c r="BS240" i="22"/>
  <c r="BS241" i="22"/>
  <c r="BS242" i="22"/>
  <c r="BS243" i="22"/>
  <c r="BS244" i="22"/>
  <c r="BS245" i="22"/>
  <c r="BS246" i="22"/>
  <c r="BS247" i="22"/>
  <c r="BS248" i="22"/>
  <c r="BS249" i="22"/>
  <c r="BS250" i="22"/>
  <c r="BS251" i="22"/>
  <c r="BS252" i="22"/>
  <c r="BS253" i="22"/>
  <c r="BS254" i="22"/>
  <c r="BS255" i="22"/>
  <c r="BS256" i="22"/>
  <c r="BS257" i="22"/>
  <c r="BS258" i="22"/>
  <c r="BS259" i="22"/>
  <c r="BS260" i="22"/>
  <c r="BS261" i="22"/>
  <c r="BS262" i="22"/>
  <c r="BS263" i="22"/>
  <c r="BS264" i="22"/>
  <c r="BS265" i="22"/>
  <c r="BS266" i="22"/>
  <c r="BS267" i="22"/>
  <c r="BS268" i="22"/>
  <c r="BS269" i="22"/>
  <c r="BS270" i="22"/>
  <c r="BS271" i="22"/>
  <c r="BS272" i="22"/>
  <c r="BS273" i="22"/>
  <c r="BS274" i="22"/>
  <c r="BS275" i="22"/>
  <c r="BS276" i="22"/>
  <c r="BS277" i="22"/>
  <c r="BS278" i="22"/>
  <c r="BS279" i="22"/>
  <c r="BS280" i="22"/>
  <c r="BS281" i="22"/>
  <c r="BS282" i="22"/>
  <c r="BS283" i="22"/>
  <c r="BS284" i="22"/>
  <c r="BS285" i="22"/>
  <c r="BS286" i="22"/>
  <c r="BS287" i="22"/>
  <c r="BS288" i="22"/>
  <c r="BS289" i="22"/>
  <c r="BS290" i="22"/>
  <c r="BS291" i="22"/>
  <c r="BS292" i="22"/>
  <c r="BS293" i="22"/>
  <c r="BS294" i="22"/>
  <c r="BS295" i="22"/>
  <c r="BS296" i="22"/>
  <c r="BS297" i="22"/>
  <c r="BS298" i="22"/>
  <c r="BS299" i="22"/>
  <c r="BS300" i="22"/>
  <c r="BS301" i="22"/>
  <c r="BS302" i="22"/>
  <c r="BS303" i="22"/>
  <c r="BS304" i="22"/>
  <c r="BS305" i="22"/>
  <c r="BS306" i="22"/>
  <c r="BS307" i="22"/>
  <c r="BS308" i="22"/>
  <c r="BS309" i="22"/>
  <c r="BS310" i="22"/>
  <c r="BS311" i="22"/>
  <c r="BS312" i="22"/>
  <c r="BS313" i="22"/>
  <c r="BS314" i="22"/>
  <c r="BS315" i="22"/>
  <c r="BS316" i="22"/>
  <c r="BS317" i="22"/>
  <c r="BS318" i="22"/>
  <c r="BS319" i="22"/>
  <c r="BS320" i="22"/>
  <c r="BS321" i="22"/>
  <c r="BS322" i="22"/>
  <c r="BS323" i="22"/>
  <c r="BS324" i="22"/>
  <c r="BS325" i="22"/>
  <c r="BS326" i="22"/>
  <c r="BS327" i="22"/>
  <c r="BS328" i="22"/>
  <c r="BS329" i="22"/>
  <c r="BS330" i="22"/>
  <c r="BS331" i="22"/>
  <c r="BS332" i="22"/>
  <c r="BS333" i="22"/>
  <c r="BS334" i="22"/>
  <c r="BS335" i="22"/>
  <c r="BS336" i="22"/>
  <c r="BS337" i="22"/>
  <c r="BS338" i="22"/>
  <c r="BS339" i="22"/>
  <c r="BS340" i="22"/>
  <c r="BS341" i="22"/>
  <c r="BS342" i="22"/>
  <c r="BS343" i="22"/>
  <c r="BS344" i="22"/>
  <c r="BS345" i="22"/>
  <c r="BS346" i="22"/>
  <c r="BS347" i="22"/>
  <c r="BS348" i="22"/>
  <c r="BS349" i="22"/>
  <c r="BS350" i="22"/>
  <c r="BS351" i="22"/>
  <c r="BS352" i="22"/>
  <c r="BS353" i="22"/>
  <c r="BS354" i="22"/>
  <c r="BS355" i="22"/>
  <c r="BS356" i="22"/>
  <c r="BS357" i="22"/>
  <c r="BS358" i="22"/>
  <c r="BS359" i="22"/>
  <c r="BS360" i="22"/>
  <c r="BS361" i="22"/>
  <c r="BS362" i="22"/>
  <c r="BS363" i="22"/>
  <c r="BS364" i="22"/>
  <c r="BS365" i="22"/>
  <c r="BS366" i="22"/>
  <c r="BS367" i="22"/>
  <c r="BS368" i="22"/>
  <c r="BS369" i="22"/>
  <c r="BS370" i="22"/>
  <c r="BS371" i="22"/>
  <c r="BS372" i="22"/>
  <c r="BS373" i="22"/>
  <c r="BS374" i="22"/>
  <c r="BS375" i="22"/>
  <c r="BS376" i="22"/>
  <c r="BS377" i="22"/>
  <c r="BS378" i="22"/>
  <c r="BS379" i="22"/>
  <c r="BS380" i="22"/>
  <c r="BS381" i="22"/>
  <c r="BS382" i="22"/>
  <c r="BS383" i="22"/>
  <c r="BS384" i="22"/>
  <c r="BS385" i="22"/>
  <c r="BS386" i="22"/>
  <c r="BS387" i="22"/>
  <c r="BS388" i="22"/>
  <c r="BS389" i="22"/>
  <c r="BS390" i="22"/>
  <c r="BS391" i="22"/>
  <c r="BS392" i="22"/>
  <c r="BS393" i="22"/>
  <c r="BS394" i="22"/>
  <c r="BS395" i="22"/>
  <c r="BS396" i="22"/>
  <c r="BS397" i="22"/>
  <c r="BS398" i="22"/>
  <c r="BS399" i="22"/>
  <c r="BS400" i="22"/>
  <c r="BS401" i="22"/>
  <c r="BS402" i="22"/>
  <c r="BS403" i="22"/>
  <c r="BS404" i="22"/>
  <c r="BS405" i="22"/>
  <c r="BS406" i="22"/>
  <c r="BS407" i="22"/>
  <c r="BS408" i="22"/>
  <c r="BS409" i="22"/>
  <c r="BS410" i="22"/>
  <c r="BS411" i="22"/>
  <c r="BS412" i="22"/>
  <c r="BS413" i="22"/>
  <c r="BS414" i="22"/>
  <c r="BS415" i="22"/>
  <c r="BS416" i="22"/>
  <c r="BS417" i="22"/>
  <c r="BS418" i="22"/>
  <c r="BS419" i="22"/>
  <c r="BS420" i="22"/>
  <c r="BS421" i="22"/>
  <c r="BS422" i="22"/>
  <c r="BS423" i="22"/>
  <c r="BS424" i="22"/>
  <c r="BS425" i="22"/>
  <c r="BS426" i="22"/>
  <c r="BS427" i="22"/>
  <c r="BS428" i="22"/>
  <c r="BS429" i="22"/>
  <c r="BS430" i="22"/>
  <c r="BS431" i="22"/>
  <c r="BS432" i="22"/>
  <c r="BS433" i="22"/>
  <c r="BS434" i="22"/>
  <c r="BS435" i="22"/>
  <c r="BS436" i="22"/>
  <c r="BS437" i="22"/>
  <c r="BS438" i="22"/>
  <c r="BS439" i="22"/>
  <c r="BS440" i="22"/>
  <c r="BS441" i="22"/>
  <c r="BS442" i="22"/>
  <c r="BS443" i="22"/>
  <c r="BS444" i="22"/>
  <c r="BS445" i="22"/>
  <c r="BS446" i="22"/>
  <c r="BS447" i="22"/>
  <c r="BS448" i="22"/>
  <c r="BS449" i="22"/>
  <c r="BS450" i="22"/>
  <c r="BS451" i="22"/>
  <c r="BS452" i="22"/>
  <c r="BS453" i="22"/>
  <c r="BS454" i="22"/>
  <c r="BS455" i="22"/>
  <c r="BS456" i="22"/>
  <c r="BS457" i="22"/>
  <c r="BS458" i="22"/>
  <c r="BS459" i="22"/>
  <c r="BS460" i="22"/>
  <c r="BS461" i="22"/>
  <c r="BS462" i="22"/>
  <c r="BS463" i="22"/>
  <c r="BS464" i="22"/>
  <c r="BS465" i="22"/>
  <c r="BS466" i="22"/>
  <c r="BS467" i="22"/>
  <c r="BS468" i="22"/>
  <c r="BS469" i="22"/>
  <c r="BS470" i="22"/>
  <c r="BS471" i="22"/>
  <c r="BS472" i="22"/>
  <c r="BS473" i="22"/>
  <c r="BS474" i="22"/>
  <c r="BS475" i="22"/>
  <c r="BS476" i="22"/>
  <c r="BS477" i="22"/>
  <c r="BS478" i="22"/>
  <c r="BS479" i="22"/>
  <c r="BS480" i="22"/>
  <c r="BS481" i="22"/>
  <c r="BS482" i="22"/>
  <c r="BS483" i="22"/>
  <c r="BS484" i="22"/>
  <c r="BS485" i="22"/>
  <c r="BS486" i="22"/>
  <c r="BS487" i="22"/>
  <c r="BS488" i="22"/>
  <c r="BS489" i="22"/>
  <c r="BS490" i="22"/>
  <c r="BS491" i="22"/>
  <c r="BS492" i="22"/>
  <c r="BS493" i="22"/>
  <c r="BS494" i="22"/>
  <c r="BS495" i="22"/>
  <c r="BS496" i="22"/>
  <c r="BS497" i="22"/>
  <c r="BS498" i="22"/>
  <c r="BS499" i="22"/>
  <c r="BS500" i="22"/>
  <c r="BS501" i="22"/>
  <c r="BS502" i="22"/>
  <c r="BS503" i="22"/>
  <c r="BS504" i="22"/>
  <c r="BS505" i="22"/>
  <c r="BS506" i="22"/>
  <c r="BS507" i="22"/>
  <c r="BS508" i="22"/>
  <c r="BS509" i="22"/>
  <c r="BS510" i="22"/>
  <c r="BS511" i="22"/>
  <c r="BS512" i="22"/>
  <c r="BS513" i="22"/>
  <c r="BS514" i="22"/>
  <c r="BS515" i="22"/>
  <c r="BS516" i="22"/>
  <c r="BS517" i="22"/>
  <c r="BS518" i="22"/>
  <c r="BS519" i="22"/>
  <c r="BS520" i="22"/>
  <c r="BS521" i="22"/>
  <c r="BS522" i="22"/>
  <c r="BS523" i="22"/>
  <c r="BS524" i="22"/>
  <c r="BS525" i="22"/>
  <c r="BS526" i="22"/>
  <c r="BS527" i="22"/>
  <c r="BS528" i="22"/>
  <c r="BS529" i="22"/>
  <c r="BS530" i="22"/>
  <c r="BS531" i="22"/>
  <c r="BS532" i="22"/>
  <c r="BS533" i="22"/>
  <c r="BS534" i="22"/>
  <c r="BS535" i="22"/>
  <c r="BS536" i="22"/>
  <c r="BS537" i="22"/>
  <c r="BS538" i="22"/>
  <c r="BS539" i="22"/>
  <c r="BS540" i="22"/>
  <c r="BS541" i="22"/>
  <c r="BS542" i="22"/>
  <c r="BS543" i="22"/>
  <c r="BS544" i="22"/>
  <c r="BS545" i="22"/>
  <c r="BS546" i="22"/>
  <c r="BS547" i="22"/>
  <c r="BS548" i="22"/>
  <c r="BS549" i="22"/>
  <c r="BS550" i="22"/>
  <c r="BS551" i="22"/>
  <c r="BS552" i="22"/>
  <c r="BS553" i="22"/>
  <c r="BS554" i="22"/>
  <c r="BS555" i="22"/>
  <c r="BS556" i="22"/>
  <c r="BS557" i="22"/>
  <c r="BS558" i="22"/>
  <c r="BS559" i="22"/>
  <c r="BS560" i="22"/>
  <c r="BS561" i="22"/>
  <c r="BS562" i="22"/>
  <c r="BS563" i="22"/>
  <c r="BS564" i="22"/>
  <c r="BS565" i="22"/>
  <c r="BS566" i="22"/>
  <c r="BS567" i="22"/>
  <c r="BS568" i="22"/>
  <c r="BS569" i="22"/>
  <c r="BS570" i="22"/>
  <c r="BS571" i="22"/>
  <c r="BS572" i="22"/>
  <c r="BS573" i="22"/>
  <c r="BS574" i="22"/>
  <c r="BS575" i="22"/>
  <c r="BS576" i="22"/>
  <c r="BS577" i="22"/>
  <c r="BS578" i="22"/>
  <c r="BS579" i="22"/>
  <c r="BS580" i="22"/>
  <c r="BS581" i="22"/>
  <c r="BS582" i="22"/>
  <c r="BS583" i="22"/>
  <c r="BS584" i="22"/>
  <c r="BS585" i="22"/>
  <c r="BS586" i="22"/>
  <c r="BS587" i="22"/>
  <c r="BS3" i="22"/>
  <c r="AI113" i="22"/>
  <c r="AI114" i="22"/>
  <c r="AI115" i="22"/>
  <c r="AI116" i="22"/>
  <c r="AI117" i="22"/>
  <c r="AI118" i="22"/>
  <c r="AI119" i="22"/>
  <c r="AI120" i="22"/>
  <c r="AI121" i="22"/>
  <c r="AI122" i="22"/>
  <c r="AI123" i="22"/>
  <c r="BH353" i="22"/>
  <c r="BH354" i="22"/>
  <c r="BH355" i="22"/>
  <c r="BH356" i="22"/>
  <c r="BH357" i="22"/>
  <c r="BC358" i="22"/>
  <c r="BC359" i="22"/>
  <c r="BC360" i="22"/>
  <c r="BC361" i="22"/>
  <c r="BC362" i="22"/>
  <c r="BC363" i="22"/>
  <c r="BC364" i="22"/>
  <c r="BC365" i="22"/>
  <c r="BC366" i="22"/>
  <c r="BC367" i="22"/>
  <c r="BC368" i="22"/>
  <c r="BC369" i="22"/>
  <c r="BC370" i="22"/>
  <c r="BC371" i="22"/>
  <c r="BC372" i="22"/>
  <c r="BC373" i="22"/>
  <c r="BC374" i="22"/>
  <c r="BC375" i="22"/>
  <c r="BC376" i="22"/>
  <c r="BC377" i="22"/>
  <c r="BC378" i="22"/>
  <c r="BC379" i="22"/>
  <c r="BC380" i="22"/>
  <c r="BC381" i="22"/>
  <c r="BC382" i="22"/>
  <c r="BC383" i="22"/>
  <c r="BC384" i="22"/>
  <c r="BC385" i="22"/>
  <c r="BC386" i="22"/>
  <c r="BC387" i="22"/>
  <c r="BC388" i="22"/>
  <c r="BC389" i="22"/>
  <c r="BC390" i="22"/>
  <c r="BC391" i="22"/>
  <c r="BC392" i="22"/>
  <c r="BC393" i="22"/>
  <c r="BC394" i="22"/>
  <c r="BC395" i="22"/>
  <c r="BC396" i="22"/>
  <c r="BC397" i="22"/>
  <c r="BC398" i="22"/>
  <c r="BC399" i="22"/>
  <c r="BC400" i="22"/>
  <c r="BC401" i="22"/>
  <c r="BC402" i="22"/>
  <c r="BC403" i="22"/>
  <c r="BC404" i="22"/>
  <c r="BC405" i="22"/>
  <c r="BC406" i="22"/>
  <c r="BC407" i="22"/>
  <c r="BC408" i="22"/>
  <c r="BC409" i="22"/>
  <c r="BC410" i="22"/>
  <c r="BC411" i="22"/>
  <c r="BC412" i="22"/>
  <c r="BC413" i="22"/>
  <c r="BC414" i="22"/>
  <c r="BC415" i="22"/>
  <c r="BC416" i="22"/>
  <c r="BC417" i="22"/>
  <c r="BC418" i="22"/>
  <c r="BC419" i="22"/>
  <c r="BC420" i="22"/>
  <c r="BC421" i="22"/>
  <c r="BC422" i="22"/>
  <c r="BC423" i="22"/>
  <c r="BC424" i="22"/>
  <c r="BC425" i="22"/>
  <c r="BC426" i="22"/>
  <c r="BC427" i="22"/>
  <c r="BC428" i="22"/>
  <c r="BC429" i="22"/>
  <c r="BC430" i="22"/>
  <c r="BC431" i="22"/>
  <c r="BC432" i="22"/>
  <c r="BC433" i="22"/>
  <c r="BC434" i="22"/>
  <c r="BC435" i="22"/>
  <c r="BC436" i="22"/>
  <c r="BC437" i="22"/>
  <c r="BC438" i="22"/>
  <c r="BC439" i="22"/>
  <c r="BC440" i="22"/>
  <c r="BC441" i="22"/>
  <c r="BC442" i="22"/>
  <c r="BC443" i="22"/>
  <c r="BC444" i="22"/>
  <c r="BC445" i="22"/>
  <c r="BC446" i="22"/>
  <c r="BC447" i="22"/>
  <c r="BC448" i="22"/>
  <c r="BC449" i="22"/>
  <c r="BC450" i="22"/>
  <c r="BC451" i="22"/>
  <c r="BC452" i="22"/>
  <c r="BC453" i="22"/>
  <c r="BC454" i="22"/>
  <c r="BC455" i="22"/>
  <c r="BC456" i="22"/>
  <c r="BC457" i="22"/>
  <c r="BC458" i="22"/>
  <c r="BC459" i="22"/>
  <c r="BC460" i="22"/>
  <c r="BC461" i="22"/>
  <c r="BC462" i="22"/>
  <c r="BC463" i="22"/>
  <c r="BC464" i="22"/>
  <c r="BC465" i="22"/>
  <c r="BC466" i="22"/>
  <c r="BC467" i="22"/>
  <c r="BC468" i="22"/>
  <c r="BC469" i="22"/>
  <c r="BC470" i="22"/>
  <c r="BC471" i="22"/>
  <c r="BC472" i="22"/>
  <c r="BC473" i="22"/>
  <c r="BC474" i="22"/>
  <c r="BC475" i="22"/>
  <c r="BC476" i="22"/>
  <c r="BC477" i="22"/>
  <c r="BC478" i="22"/>
  <c r="BC479" i="22"/>
  <c r="BC480" i="22"/>
  <c r="BC481" i="22"/>
  <c r="BC482" i="22"/>
  <c r="BC483" i="22"/>
  <c r="BC484" i="22"/>
  <c r="BC485" i="22"/>
  <c r="BC486" i="22"/>
  <c r="BC487" i="22"/>
  <c r="BC488" i="22"/>
  <c r="BC489" i="22"/>
  <c r="BC490" i="22"/>
  <c r="BC491" i="22"/>
  <c r="BC492" i="22"/>
  <c r="BC493" i="22"/>
  <c r="BC494" i="22"/>
  <c r="BC495" i="22"/>
  <c r="BC496" i="22"/>
  <c r="BC497" i="22"/>
  <c r="BC498" i="22"/>
  <c r="BC499" i="22"/>
  <c r="BC500" i="22"/>
  <c r="BC501" i="22"/>
  <c r="BC502" i="22"/>
  <c r="BC503" i="22"/>
  <c r="BC504" i="22"/>
  <c r="BC505" i="22"/>
  <c r="BC506" i="22"/>
  <c r="BC507" i="22"/>
  <c r="BC508" i="22"/>
  <c r="BC509" i="22"/>
  <c r="BC510" i="22"/>
  <c r="BC511" i="22"/>
  <c r="BC512" i="22"/>
  <c r="BC513" i="22"/>
  <c r="BC514" i="22"/>
  <c r="BC515" i="22"/>
  <c r="BC516" i="22"/>
  <c r="BC517" i="22"/>
  <c r="BC518" i="22"/>
  <c r="BC519" i="22"/>
  <c r="BC520" i="22"/>
  <c r="BC521" i="22"/>
  <c r="BC522" i="22"/>
  <c r="BC523" i="22"/>
  <c r="BC524" i="22"/>
  <c r="BC525" i="22"/>
  <c r="BC526" i="22"/>
  <c r="BC527" i="22"/>
  <c r="BC528" i="22"/>
  <c r="BC529" i="22"/>
  <c r="BC530" i="22"/>
  <c r="BC531" i="22"/>
  <c r="BC532" i="22"/>
  <c r="BC533" i="22"/>
  <c r="BC534" i="22"/>
  <c r="BC535" i="22"/>
  <c r="BC536" i="22"/>
  <c r="BC537" i="22"/>
  <c r="BC538" i="22"/>
  <c r="BC539" i="22"/>
  <c r="BC540" i="22"/>
  <c r="BC541" i="22"/>
  <c r="BC542" i="22"/>
  <c r="BC543" i="22"/>
  <c r="BC544" i="22"/>
  <c r="BC545" i="22"/>
  <c r="BC546" i="22"/>
  <c r="BC547" i="22"/>
  <c r="BC548" i="22"/>
  <c r="BC549" i="22"/>
  <c r="BC550" i="22"/>
  <c r="BC551" i="22"/>
  <c r="BC552" i="22"/>
  <c r="BC553" i="22"/>
  <c r="BC554" i="22"/>
  <c r="BC555" i="22"/>
  <c r="BC556" i="22"/>
  <c r="BC557" i="22"/>
  <c r="BC558" i="22"/>
  <c r="BC559" i="22"/>
  <c r="BC560" i="22"/>
  <c r="BC561" i="22"/>
  <c r="BC562" i="22"/>
  <c r="BC563" i="22"/>
  <c r="BC564" i="22"/>
  <c r="BC565" i="22"/>
  <c r="BC566" i="22"/>
  <c r="BC567" i="22"/>
  <c r="BC568" i="22"/>
  <c r="BC569" i="22"/>
  <c r="BC570" i="22"/>
  <c r="BC571" i="22"/>
  <c r="BC572" i="22"/>
  <c r="BC573" i="22"/>
  <c r="BC574" i="22"/>
  <c r="BC575" i="22"/>
  <c r="BC576" i="22"/>
  <c r="BC577" i="22"/>
  <c r="BC578" i="22"/>
  <c r="BC579" i="22"/>
  <c r="BC580" i="22"/>
  <c r="BC581" i="22"/>
  <c r="BC582" i="22"/>
  <c r="BC583" i="22"/>
  <c r="BC584" i="22"/>
  <c r="BC585" i="22"/>
  <c r="BC586" i="22"/>
  <c r="BC587" i="22"/>
  <c r="BC588" i="22"/>
  <c r="BC589" i="22"/>
  <c r="BC590" i="22"/>
  <c r="BC591" i="22"/>
  <c r="BC592" i="22"/>
  <c r="BC593" i="22"/>
  <c r="BC594" i="22"/>
  <c r="BC595" i="22"/>
  <c r="BC596" i="22"/>
  <c r="BC597" i="22"/>
  <c r="BC598" i="22"/>
  <c r="BC599" i="22"/>
  <c r="BC600" i="22"/>
  <c r="BC601" i="22"/>
  <c r="BC602" i="22"/>
  <c r="BC603" i="22"/>
  <c r="BC604" i="22"/>
  <c r="BC605" i="22"/>
  <c r="BC606" i="22"/>
  <c r="BC607" i="22"/>
  <c r="BC608" i="22"/>
  <c r="BC609" i="22"/>
  <c r="BC610" i="22"/>
  <c r="BC611" i="22"/>
  <c r="BC612" i="22"/>
  <c r="BC613" i="22"/>
  <c r="BC614" i="22"/>
  <c r="BC615" i="22"/>
  <c r="BC616" i="22"/>
  <c r="BC617" i="22"/>
  <c r="BC618" i="22"/>
  <c r="BC619" i="22"/>
  <c r="BC620" i="22"/>
  <c r="BC621" i="22"/>
  <c r="BC622" i="22"/>
  <c r="BC623" i="22"/>
  <c r="BC624" i="22"/>
  <c r="BC625" i="22"/>
  <c r="BC626" i="22"/>
  <c r="BC627" i="22"/>
  <c r="BC628" i="22"/>
  <c r="BC629" i="22"/>
  <c r="BC630" i="22"/>
  <c r="BC631" i="22"/>
  <c r="BC632" i="22"/>
  <c r="BC633" i="22"/>
  <c r="BC634" i="22"/>
  <c r="BC635" i="22"/>
  <c r="BC636" i="22"/>
  <c r="BC637" i="22"/>
  <c r="BC638" i="22"/>
  <c r="BC639" i="22"/>
  <c r="BC640" i="22"/>
  <c r="BC641" i="22"/>
  <c r="BC642" i="22"/>
  <c r="BC643" i="22"/>
  <c r="BC644" i="22"/>
  <c r="BC645" i="22"/>
  <c r="BC646" i="22"/>
  <c r="BC647" i="22"/>
  <c r="BC648" i="22"/>
  <c r="BC649" i="22"/>
  <c r="BC650" i="22"/>
  <c r="BC651" i="22"/>
  <c r="BC652" i="22"/>
  <c r="BC653" i="22"/>
  <c r="BC654" i="22"/>
  <c r="BC655" i="22"/>
  <c r="BC656" i="22"/>
  <c r="BC657" i="22"/>
  <c r="BC658" i="22"/>
  <c r="BC659" i="22"/>
  <c r="BC660" i="22"/>
  <c r="BC661" i="22"/>
  <c r="BC662" i="22"/>
  <c r="BC663" i="22"/>
  <c r="BC664" i="22"/>
  <c r="BC665" i="22"/>
  <c r="BC666" i="22"/>
  <c r="BC667" i="22"/>
  <c r="BC668" i="22"/>
  <c r="BC669" i="22"/>
  <c r="BC670" i="22"/>
  <c r="BC671" i="22"/>
  <c r="BC672" i="22"/>
  <c r="BC673" i="22"/>
  <c r="BC674" i="22"/>
  <c r="BC675" i="22"/>
  <c r="BC676" i="22"/>
  <c r="BC677" i="22"/>
  <c r="BC678" i="22"/>
  <c r="BC679" i="22"/>
  <c r="BC680" i="22"/>
  <c r="BC681" i="22"/>
  <c r="BC682" i="22"/>
  <c r="BC683" i="22"/>
  <c r="BC684" i="22"/>
  <c r="BC685" i="22"/>
  <c r="BC686" i="22"/>
  <c r="BC687" i="22"/>
  <c r="BC688" i="22"/>
  <c r="BC689" i="22"/>
  <c r="BC690" i="22"/>
  <c r="BC691" i="22"/>
  <c r="BC692" i="22"/>
  <c r="BC693" i="22"/>
  <c r="BC694" i="22"/>
  <c r="BC695" i="22"/>
  <c r="BC696" i="22"/>
  <c r="BC697" i="22"/>
  <c r="BC698" i="22"/>
  <c r="BC699" i="22"/>
  <c r="BC700" i="22"/>
  <c r="BC701" i="22"/>
  <c r="BC702" i="22"/>
  <c r="BC703" i="22"/>
  <c r="BC704" i="22"/>
  <c r="BC705" i="22"/>
  <c r="BC706" i="22"/>
  <c r="BC707" i="22"/>
  <c r="BC708" i="22"/>
  <c r="BC709" i="22"/>
  <c r="BC710" i="22"/>
  <c r="BC711" i="22"/>
  <c r="BC712" i="22"/>
  <c r="BC713" i="22"/>
  <c r="BC714" i="22"/>
  <c r="BC715" i="22"/>
  <c r="BC716" i="22"/>
  <c r="BC717" i="22"/>
  <c r="BC718" i="22"/>
  <c r="BC719" i="22"/>
  <c r="BC720" i="22"/>
  <c r="BC721" i="22"/>
  <c r="BC722" i="22"/>
  <c r="BC723" i="22"/>
  <c r="BC724" i="22"/>
  <c r="BC725" i="22"/>
  <c r="BC726" i="22"/>
  <c r="BC727" i="22"/>
  <c r="BC728" i="22"/>
  <c r="BC729" i="22"/>
  <c r="BC730" i="22"/>
  <c r="BC731" i="22"/>
  <c r="BC732" i="22"/>
  <c r="BC733" i="22"/>
  <c r="BC734" i="22"/>
  <c r="BC735" i="22"/>
  <c r="BC736" i="22"/>
  <c r="BC737" i="22"/>
  <c r="BC738" i="22"/>
  <c r="BC739" i="22"/>
  <c r="BC740" i="22"/>
  <c r="BC741" i="22"/>
  <c r="BC742" i="22"/>
  <c r="BC743" i="22"/>
  <c r="BC744" i="22"/>
  <c r="BC745" i="22"/>
  <c r="BC746" i="22"/>
  <c r="BC747" i="22"/>
  <c r="BC748" i="22"/>
  <c r="BC749" i="22"/>
  <c r="BC750" i="22"/>
  <c r="BC751" i="22"/>
  <c r="BC752" i="22"/>
  <c r="BC753" i="22"/>
  <c r="BC754" i="22"/>
  <c r="BC755" i="22"/>
  <c r="BC756" i="22"/>
  <c r="BC757" i="22"/>
  <c r="BC758" i="22"/>
  <c r="BC759" i="22"/>
  <c r="BC760" i="22"/>
  <c r="BC761" i="22"/>
  <c r="BC762" i="22"/>
  <c r="BC763" i="22"/>
  <c r="BC764" i="22"/>
  <c r="BC765" i="22"/>
  <c r="BC766" i="22"/>
  <c r="BC767" i="22"/>
  <c r="BC768" i="22"/>
  <c r="BC769" i="22"/>
  <c r="BC770" i="22"/>
  <c r="BC771" i="22"/>
  <c r="BC772" i="22"/>
  <c r="BC773" i="22"/>
  <c r="BC774" i="22"/>
  <c r="BC775" i="22"/>
  <c r="BC776" i="22"/>
  <c r="BC777" i="22"/>
  <c r="BC778" i="22"/>
  <c r="BC779" i="22"/>
  <c r="BC780" i="22"/>
  <c r="BC781" i="22"/>
  <c r="BC782" i="22"/>
  <c r="BC783" i="22"/>
  <c r="BC784" i="22"/>
  <c r="BC785" i="22"/>
  <c r="BC786" i="22"/>
  <c r="BC787" i="22"/>
  <c r="BC788" i="22"/>
  <c r="BC789" i="22"/>
  <c r="BC790" i="22"/>
  <c r="BC791" i="22"/>
  <c r="BC792" i="22"/>
  <c r="BC793" i="22"/>
  <c r="BC794" i="22"/>
  <c r="BC795" i="22"/>
  <c r="BC796" i="22"/>
  <c r="BC797" i="22"/>
  <c r="BC798" i="22"/>
  <c r="BC799" i="22"/>
  <c r="BC800" i="22"/>
  <c r="BC801" i="22"/>
  <c r="BC802" i="22"/>
  <c r="BC803" i="22"/>
  <c r="BC804" i="22"/>
  <c r="BC805" i="22"/>
  <c r="BC806" i="22"/>
  <c r="BC807" i="22"/>
  <c r="BC808" i="22"/>
  <c r="BC809" i="22"/>
  <c r="BC810" i="22"/>
  <c r="BC811" i="22"/>
  <c r="BC812" i="22"/>
  <c r="BC813" i="22"/>
  <c r="BC814" i="22"/>
  <c r="BC815" i="22"/>
  <c r="BC816" i="22"/>
  <c r="BC817" i="22"/>
  <c r="BC818" i="22"/>
  <c r="BC819" i="22"/>
  <c r="BC820" i="22"/>
  <c r="BC821" i="22"/>
  <c r="BC822" i="22"/>
  <c r="BC823" i="22"/>
  <c r="BC824" i="22"/>
  <c r="BC825" i="22"/>
  <c r="BC826" i="22"/>
  <c r="BC827" i="22"/>
  <c r="BC828" i="22"/>
  <c r="BC829" i="22"/>
  <c r="BC830" i="22"/>
  <c r="BC831" i="22"/>
  <c r="BC832" i="22"/>
  <c r="BC833" i="22"/>
  <c r="BC834" i="22"/>
  <c r="BC835" i="22"/>
  <c r="BC836" i="22"/>
  <c r="BC837" i="22"/>
  <c r="BC838" i="22"/>
  <c r="BC839" i="22"/>
  <c r="BC840" i="22"/>
  <c r="BC841" i="22"/>
  <c r="BC842" i="22"/>
  <c r="BC843" i="22"/>
  <c r="BC844" i="22"/>
  <c r="BC845" i="22"/>
  <c r="BC846" i="22"/>
  <c r="BC847" i="22"/>
  <c r="BC848" i="22"/>
  <c r="BC849" i="22"/>
  <c r="BC850" i="22"/>
  <c r="BC851" i="22"/>
  <c r="BC852" i="22"/>
  <c r="BC853" i="22"/>
  <c r="BC854" i="22"/>
  <c r="BC855" i="22"/>
  <c r="BC856" i="22"/>
  <c r="BC857" i="22"/>
  <c r="BC858" i="22"/>
  <c r="BC859" i="22"/>
  <c r="BC860" i="22"/>
  <c r="BC861" i="22"/>
  <c r="BC862" i="22"/>
  <c r="BC863" i="22"/>
  <c r="BC864" i="22"/>
  <c r="BC865" i="22"/>
  <c r="BC866" i="22"/>
  <c r="BC867" i="22"/>
  <c r="BC868" i="22"/>
  <c r="BC869" i="22"/>
  <c r="BC870" i="22"/>
  <c r="BC871" i="22"/>
  <c r="BC872" i="22"/>
  <c r="BC873" i="22"/>
  <c r="BC874" i="22"/>
  <c r="BC875" i="22"/>
  <c r="BC876" i="22"/>
  <c r="BC877" i="22"/>
  <c r="BC878" i="22"/>
  <c r="BC879" i="22"/>
  <c r="BC880" i="22"/>
  <c r="BC881" i="22"/>
  <c r="BC882" i="22"/>
  <c r="BC883" i="22"/>
  <c r="BC884" i="22"/>
  <c r="BC885" i="22"/>
  <c r="BC886" i="22"/>
  <c r="BC887" i="22"/>
  <c r="BC888" i="22"/>
  <c r="BC889" i="22"/>
  <c r="BC890" i="22"/>
  <c r="BC891" i="22"/>
  <c r="BC892" i="22"/>
  <c r="BC893" i="22"/>
  <c r="BC894" i="22"/>
  <c r="BC895" i="22"/>
  <c r="BC896" i="22"/>
  <c r="BC897" i="22"/>
  <c r="BC898" i="22"/>
  <c r="BC899" i="22"/>
  <c r="BC900" i="22"/>
  <c r="BC901" i="22"/>
  <c r="BC902" i="22"/>
  <c r="BC903" i="22"/>
  <c r="BC904" i="22"/>
  <c r="BC905" i="22"/>
  <c r="BC906" i="22"/>
  <c r="BC907" i="22"/>
  <c r="BC908" i="22"/>
  <c r="BC909" i="22"/>
  <c r="BC910" i="22"/>
  <c r="BC911" i="22"/>
  <c r="BC912" i="22"/>
  <c r="BC913" i="22"/>
  <c r="BC914" i="22"/>
  <c r="BC915" i="22"/>
  <c r="BC916" i="22"/>
  <c r="BC917" i="22"/>
  <c r="BC918" i="22"/>
  <c r="BC919" i="22"/>
  <c r="BC920" i="22"/>
  <c r="BC921" i="22"/>
  <c r="BC922" i="22"/>
  <c r="BC923" i="22"/>
  <c r="BC924" i="22"/>
  <c r="BC925" i="22"/>
  <c r="BC926" i="22"/>
  <c r="BC927" i="22"/>
  <c r="BC928" i="22"/>
  <c r="BC929" i="22"/>
  <c r="BC930" i="22"/>
  <c r="BC931" i="22"/>
  <c r="BC932" i="22"/>
  <c r="BC933" i="22"/>
  <c r="BC934" i="22"/>
  <c r="BC935" i="22"/>
  <c r="BC936" i="22"/>
  <c r="BC937" i="22"/>
  <c r="BC938" i="22"/>
  <c r="BC939" i="22"/>
  <c r="BC940" i="22"/>
  <c r="BC941" i="22"/>
  <c r="BC942" i="22"/>
  <c r="BC943" i="22"/>
  <c r="BC944" i="22"/>
  <c r="BC945" i="22"/>
  <c r="BC946" i="22"/>
  <c r="BC947" i="22"/>
  <c r="BC948" i="22"/>
  <c r="BC949" i="22"/>
  <c r="BC950" i="22"/>
  <c r="BC951" i="22"/>
  <c r="BC952" i="22"/>
  <c r="BC953" i="22"/>
  <c r="BC954" i="22"/>
  <c r="BC955" i="22"/>
  <c r="BC956" i="22"/>
  <c r="BC957" i="22"/>
  <c r="BC958" i="22"/>
  <c r="BC959" i="22"/>
  <c r="BC960" i="22"/>
  <c r="BC961" i="22"/>
  <c r="BC962" i="22"/>
  <c r="BC963" i="22"/>
  <c r="BC964" i="22"/>
  <c r="BC965" i="22"/>
  <c r="BC966" i="22"/>
  <c r="BC967" i="22"/>
  <c r="BC968" i="22"/>
  <c r="BC969" i="22"/>
  <c r="BC970" i="22"/>
  <c r="BC971" i="22"/>
  <c r="BC972" i="22"/>
  <c r="BC973" i="22"/>
  <c r="BC974" i="22"/>
  <c r="BC975" i="22"/>
  <c r="BC976" i="22"/>
  <c r="BC977" i="22"/>
  <c r="BC978" i="22"/>
  <c r="BC979" i="22"/>
  <c r="BC980" i="22"/>
  <c r="BC981" i="22"/>
  <c r="BC982" i="22"/>
  <c r="BC983" i="22"/>
  <c r="BC984" i="22"/>
  <c r="BC985" i="22"/>
  <c r="BC986" i="22"/>
  <c r="BC987" i="22"/>
  <c r="BC988" i="22"/>
  <c r="BC989" i="22"/>
  <c r="BC990" i="22"/>
  <c r="BC991" i="22"/>
  <c r="BC992" i="22"/>
  <c r="BC993" i="22"/>
  <c r="BC994" i="22"/>
  <c r="BC995" i="22"/>
  <c r="BC996" i="22"/>
  <c r="BC997" i="22"/>
  <c r="BC998" i="22"/>
  <c r="BC999" i="22"/>
  <c r="BC1000" i="22"/>
  <c r="BC1001" i="22"/>
  <c r="BC1002" i="22"/>
  <c r="BC1003" i="22"/>
  <c r="BC1004" i="22"/>
  <c r="BC1005" i="22"/>
  <c r="BC1006" i="22"/>
  <c r="BC1007" i="22"/>
  <c r="BC1008" i="22"/>
  <c r="BC1009" i="22"/>
  <c r="BC1010" i="22"/>
  <c r="BC1011" i="22"/>
  <c r="BC1012" i="22"/>
  <c r="BC1013" i="22"/>
  <c r="BC1014" i="22"/>
  <c r="BC1015" i="22"/>
  <c r="BC1016" i="22"/>
  <c r="BC1017" i="22"/>
  <c r="BC1018" i="22"/>
  <c r="BC1019" i="22"/>
  <c r="BC233" i="22"/>
  <c r="BC234" i="22"/>
  <c r="BC235" i="22"/>
  <c r="BC236" i="22"/>
  <c r="BC237" i="22"/>
  <c r="BC238" i="22"/>
  <c r="BC239" i="22"/>
  <c r="BC240" i="22"/>
  <c r="BC241" i="22"/>
  <c r="BC242" i="22"/>
  <c r="BC243" i="22"/>
  <c r="BC244" i="22"/>
  <c r="BC245" i="22"/>
  <c r="BC246" i="22"/>
  <c r="BC247" i="22"/>
  <c r="BC353" i="22"/>
  <c r="BC354" i="22"/>
  <c r="BC355" i="22"/>
  <c r="BC356" i="22"/>
  <c r="BC357" i="22"/>
  <c r="AJ12" i="22"/>
  <c r="AJ13" i="22"/>
  <c r="AJ14" i="22"/>
  <c r="AJ15" i="22"/>
  <c r="AJ16" i="22"/>
  <c r="AJ3" i="22"/>
  <c r="AJ4" i="22"/>
  <c r="AJ5" i="22"/>
  <c r="AJ6" i="22"/>
  <c r="AJ7" i="22"/>
  <c r="AJ8" i="22"/>
  <c r="AI12" i="22"/>
  <c r="AI13" i="22"/>
  <c r="AI14" i="22"/>
  <c r="AI15" i="22"/>
  <c r="AI16" i="22"/>
  <c r="AI3" i="22"/>
  <c r="AI4" i="22"/>
  <c r="AI5" i="22"/>
  <c r="AI6" i="22"/>
  <c r="AI7" i="22"/>
  <c r="AI8" i="22"/>
  <c r="AM3" i="22"/>
  <c r="BH3" i="22" s="1"/>
  <c r="AH112" i="22"/>
  <c r="AJ112" i="22" s="1"/>
  <c r="AH111" i="22"/>
  <c r="AM111" i="22" s="1"/>
  <c r="BC111" i="22" s="1"/>
  <c r="AH110" i="22"/>
  <c r="AJ110" i="22" s="1"/>
  <c r="AH109" i="22"/>
  <c r="AI109" i="22" s="1"/>
  <c r="AH108" i="22"/>
  <c r="AM108" i="22" s="1"/>
  <c r="AH107" i="22"/>
  <c r="AM107" i="22" s="1"/>
  <c r="BH107" i="22" s="1"/>
  <c r="AH106" i="22"/>
  <c r="AM106" i="22" s="1"/>
  <c r="BH106" i="22" s="1"/>
  <c r="AH105" i="22"/>
  <c r="AM105" i="22" s="1"/>
  <c r="BH105" i="22" s="1"/>
  <c r="AH104" i="22"/>
  <c r="AJ104" i="22" s="1"/>
  <c r="AH103" i="22"/>
  <c r="AJ103" i="22" s="1"/>
  <c r="AH102" i="22"/>
  <c r="AJ102" i="22" s="1"/>
  <c r="AH101" i="22"/>
  <c r="AI101" i="22" s="1"/>
  <c r="AH100" i="22"/>
  <c r="AM100" i="22" s="1"/>
  <c r="BH100" i="22" s="1"/>
  <c r="AH99" i="22"/>
  <c r="AM99" i="22" s="1"/>
  <c r="BH99" i="22" s="1"/>
  <c r="AH98" i="22"/>
  <c r="AM98" i="22" s="1"/>
  <c r="BH98" i="22" s="1"/>
  <c r="AH97" i="22"/>
  <c r="AI97" i="22" s="1"/>
  <c r="AH96" i="22"/>
  <c r="AJ96" i="22" s="1"/>
  <c r="AH95" i="22"/>
  <c r="AJ95" i="22" s="1"/>
  <c r="AH94" i="22"/>
  <c r="AM94" i="22" s="1"/>
  <c r="BH94" i="22" s="1"/>
  <c r="AH93" i="22"/>
  <c r="AJ93" i="22" s="1"/>
  <c r="AH92" i="22"/>
  <c r="AJ92" i="22" s="1"/>
  <c r="AH91" i="22"/>
  <c r="AM91" i="22" s="1"/>
  <c r="BH91" i="22" s="1"/>
  <c r="AH90" i="22"/>
  <c r="AM90" i="22" s="1"/>
  <c r="BC90" i="22" s="1"/>
  <c r="AH89" i="22"/>
  <c r="AI89" i="22" s="1"/>
  <c r="AH88" i="22"/>
  <c r="AM88" i="22" s="1"/>
  <c r="BH88" i="22" s="1"/>
  <c r="AH87" i="22"/>
  <c r="AM87" i="22" s="1"/>
  <c r="BH87" i="22" s="1"/>
  <c r="AH86" i="22"/>
  <c r="AM86" i="22" s="1"/>
  <c r="BH86" i="22" s="1"/>
  <c r="AH85" i="22"/>
  <c r="AM85" i="22" s="1"/>
  <c r="BH85" i="22" s="1"/>
  <c r="AH84" i="22"/>
  <c r="AJ84" i="22" s="1"/>
  <c r="AH83" i="22"/>
  <c r="AM83" i="22" s="1"/>
  <c r="BH83" i="22" s="1"/>
  <c r="AH82" i="22"/>
  <c r="AM82" i="22" s="1"/>
  <c r="BH82" i="22" s="1"/>
  <c r="AH81" i="22"/>
  <c r="AI81" i="22" s="1"/>
  <c r="AH80" i="22"/>
  <c r="AM80" i="22" s="1"/>
  <c r="BH80" i="22" s="1"/>
  <c r="AH79" i="22"/>
  <c r="AI79" i="22" s="1"/>
  <c r="AH78" i="22"/>
  <c r="AH77" i="22"/>
  <c r="AI77" i="22" s="1"/>
  <c r="AH76" i="22"/>
  <c r="AJ76" i="22" s="1"/>
  <c r="AH75" i="22"/>
  <c r="AJ75" i="22" s="1"/>
  <c r="AH74" i="22"/>
  <c r="AI74" i="22" s="1"/>
  <c r="AH73" i="22"/>
  <c r="AJ73" i="22" s="1"/>
  <c r="AH72" i="22"/>
  <c r="AJ72" i="22" s="1"/>
  <c r="AH71" i="22"/>
  <c r="AI71" i="22" s="1"/>
  <c r="AH70" i="22"/>
  <c r="AJ70" i="22" s="1"/>
  <c r="AH69" i="22"/>
  <c r="AI69" i="22" s="1"/>
  <c r="AH68" i="22"/>
  <c r="AM68" i="22" s="1"/>
  <c r="BC68" i="22" s="1"/>
  <c r="AH67" i="22"/>
  <c r="AM67" i="22" s="1"/>
  <c r="BH67" i="22" s="1"/>
  <c r="AH66" i="22"/>
  <c r="AM66" i="22" s="1"/>
  <c r="BH66" i="22" s="1"/>
  <c r="AH65" i="22"/>
  <c r="AM65" i="22" s="1"/>
  <c r="BH65" i="22" s="1"/>
  <c r="AH64" i="22"/>
  <c r="AJ64" i="22" s="1"/>
  <c r="AH63" i="22"/>
  <c r="AJ63" i="22" s="1"/>
  <c r="AH62" i="22"/>
  <c r="AJ62" i="22" s="1"/>
  <c r="AH61" i="22"/>
  <c r="AI61" i="22" s="1"/>
  <c r="AH60" i="22"/>
  <c r="AM60" i="22" s="1"/>
  <c r="BH60" i="22" s="1"/>
  <c r="AH59" i="22"/>
  <c r="AJ59" i="22" s="1"/>
  <c r="AH58" i="22"/>
  <c r="AM58" i="22" s="1"/>
  <c r="BH58" i="22" s="1"/>
  <c r="AH57" i="22"/>
  <c r="AM57" i="22" s="1"/>
  <c r="BH57" i="22" s="1"/>
  <c r="AH56" i="22"/>
  <c r="AJ56" i="22" s="1"/>
  <c r="AH55" i="22"/>
  <c r="AJ55" i="22" s="1"/>
  <c r="AH54" i="22"/>
  <c r="AM54" i="22" s="1"/>
  <c r="BH54" i="22" s="1"/>
  <c r="AH53" i="22"/>
  <c r="AJ53" i="22" s="1"/>
  <c r="AH52" i="22"/>
  <c r="AJ52" i="22" s="1"/>
  <c r="AH51" i="22"/>
  <c r="AI51" i="22" s="1"/>
  <c r="AH50" i="22"/>
  <c r="AM50" i="22" s="1"/>
  <c r="BC50" i="22" s="1"/>
  <c r="AH49" i="22"/>
  <c r="AI49" i="22" s="1"/>
  <c r="AH48" i="22"/>
  <c r="AM48" i="22" s="1"/>
  <c r="BC48" i="22" s="1"/>
  <c r="AH47" i="22"/>
  <c r="AM47" i="22" s="1"/>
  <c r="BH47" i="22" s="1"/>
  <c r="AH46" i="22"/>
  <c r="AM46" i="22" s="1"/>
  <c r="BH46" i="22" s="1"/>
  <c r="AH45" i="22"/>
  <c r="AM45" i="22" s="1"/>
  <c r="BH45" i="22" s="1"/>
  <c r="AH44" i="22"/>
  <c r="AM44" i="22" s="1"/>
  <c r="BH44" i="22" s="1"/>
  <c r="AH43" i="22"/>
  <c r="AJ43" i="22" s="1"/>
  <c r="AH42" i="22"/>
  <c r="AM42" i="22" s="1"/>
  <c r="BH42" i="22" s="1"/>
  <c r="AH41" i="22"/>
  <c r="AI41" i="22" s="1"/>
  <c r="AH40" i="22"/>
  <c r="AM40" i="22" s="1"/>
  <c r="BH40" i="22" s="1"/>
  <c r="AH39" i="22"/>
  <c r="AM39" i="22" s="1"/>
  <c r="BH39" i="22" s="1"/>
  <c r="AH38" i="22"/>
  <c r="AM38" i="22" s="1"/>
  <c r="BH38" i="22" s="1"/>
  <c r="AH37" i="22"/>
  <c r="AJ37" i="22" s="1"/>
  <c r="AH36" i="22"/>
  <c r="AJ36" i="22" s="1"/>
  <c r="AH35" i="22"/>
  <c r="AJ35" i="22" s="1"/>
  <c r="AH34" i="22"/>
  <c r="AM34" i="22" s="1"/>
  <c r="BH34" i="22" s="1"/>
  <c r="AH33" i="22"/>
  <c r="AJ33" i="22" s="1"/>
  <c r="AH32" i="22"/>
  <c r="AJ32" i="22" s="1"/>
  <c r="AH31" i="22"/>
  <c r="AI31" i="22" s="1"/>
  <c r="AH30" i="22"/>
  <c r="AM30" i="22" s="1"/>
  <c r="BH30" i="22" s="1"/>
  <c r="AH29" i="22"/>
  <c r="AI29" i="22" s="1"/>
  <c r="AH28" i="22"/>
  <c r="AM28" i="22" s="1"/>
  <c r="BC28" i="22" s="1"/>
  <c r="AH27" i="22"/>
  <c r="AM27" i="22" s="1"/>
  <c r="BH27" i="22" s="1"/>
  <c r="AH26" i="22"/>
  <c r="AM26" i="22" s="1"/>
  <c r="BH26" i="22" s="1"/>
  <c r="AH25" i="22"/>
  <c r="AM25" i="22" s="1"/>
  <c r="BH25" i="22" s="1"/>
  <c r="AH24" i="22"/>
  <c r="AM24" i="22" s="1"/>
  <c r="BH24" i="22" s="1"/>
  <c r="AH23" i="22"/>
  <c r="AJ23" i="22" s="1"/>
  <c r="AH22" i="22"/>
  <c r="AM22" i="22" s="1"/>
  <c r="BH22" i="22" s="1"/>
  <c r="AH21" i="22"/>
  <c r="AI21" i="22" s="1"/>
  <c r="AH20" i="22"/>
  <c r="AM20" i="22" s="1"/>
  <c r="BH20" i="22" s="1"/>
  <c r="AH19" i="22"/>
  <c r="AJ19" i="22" s="1"/>
  <c r="AH18" i="22"/>
  <c r="AJ18" i="22" s="1"/>
  <c r="AH17" i="22"/>
  <c r="AM17" i="22" s="1"/>
  <c r="BH17" i="22" s="1"/>
  <c r="AH10" i="22"/>
  <c r="AM10" i="22" s="1"/>
  <c r="AH11" i="22"/>
  <c r="AJ11" i="22" s="1"/>
  <c r="AH9" i="22"/>
  <c r="AJ9" i="22" s="1"/>
  <c r="U1" i="22"/>
  <c r="BH512" i="22"/>
  <c r="E24" i="5"/>
  <c r="E23" i="5"/>
  <c r="AV951" i="22"/>
  <c r="AW951" i="22"/>
  <c r="AX951" i="22"/>
  <c r="AY951" i="22"/>
  <c r="AZ951" i="22"/>
  <c r="BF951" i="22"/>
  <c r="BH951" i="22"/>
  <c r="BK951" i="22"/>
  <c r="BL951" i="22"/>
  <c r="BM951" i="22"/>
  <c r="BN951" i="22"/>
  <c r="BO951" i="22"/>
  <c r="BP951" i="22"/>
  <c r="AV952" i="22"/>
  <c r="AW952" i="22"/>
  <c r="AX952" i="22"/>
  <c r="AY952" i="22"/>
  <c r="AZ952" i="22"/>
  <c r="BF952" i="22"/>
  <c r="BH952" i="22"/>
  <c r="BK952" i="22"/>
  <c r="BL952" i="22"/>
  <c r="BM952" i="22"/>
  <c r="BN952" i="22"/>
  <c r="BO952" i="22"/>
  <c r="BP952" i="22"/>
  <c r="AV953" i="22"/>
  <c r="AW953" i="22"/>
  <c r="AX953" i="22"/>
  <c r="AY953" i="22"/>
  <c r="AZ953" i="22"/>
  <c r="BF953" i="22"/>
  <c r="BH953" i="22"/>
  <c r="BK953" i="22"/>
  <c r="BL953" i="22"/>
  <c r="BM953" i="22"/>
  <c r="BN953" i="22"/>
  <c r="BO953" i="22"/>
  <c r="BP953" i="22"/>
  <c r="AV954" i="22"/>
  <c r="AW954" i="22"/>
  <c r="AX954" i="22"/>
  <c r="AY954" i="22"/>
  <c r="AZ954" i="22"/>
  <c r="BF954" i="22"/>
  <c r="BH954" i="22"/>
  <c r="BK954" i="22"/>
  <c r="BL954" i="22"/>
  <c r="BM954" i="22"/>
  <c r="BN954" i="22"/>
  <c r="BO954" i="22"/>
  <c r="BP954" i="22"/>
  <c r="AV955" i="22"/>
  <c r="AW955" i="22"/>
  <c r="AX955" i="22"/>
  <c r="AY955" i="22"/>
  <c r="AZ955" i="22"/>
  <c r="BF955" i="22"/>
  <c r="BH955" i="22"/>
  <c r="BK955" i="22"/>
  <c r="BL955" i="22"/>
  <c r="BM955" i="22"/>
  <c r="BN955" i="22"/>
  <c r="BO955" i="22"/>
  <c r="BP955" i="22"/>
  <c r="AV956" i="22"/>
  <c r="AW956" i="22"/>
  <c r="AX956" i="22"/>
  <c r="AY956" i="22"/>
  <c r="AZ956" i="22"/>
  <c r="BF956" i="22"/>
  <c r="BH956" i="22"/>
  <c r="BK956" i="22"/>
  <c r="BL956" i="22"/>
  <c r="BM956" i="22"/>
  <c r="BN956" i="22"/>
  <c r="BO956" i="22"/>
  <c r="BP956" i="22"/>
  <c r="AV957" i="22"/>
  <c r="AW957" i="22"/>
  <c r="AX957" i="22"/>
  <c r="AY957" i="22"/>
  <c r="AZ957" i="22"/>
  <c r="BF957" i="22"/>
  <c r="BH957" i="22"/>
  <c r="BK957" i="22"/>
  <c r="BL957" i="22"/>
  <c r="BM957" i="22"/>
  <c r="BN957" i="22"/>
  <c r="BO957" i="22"/>
  <c r="BP957" i="22"/>
  <c r="AV958" i="22"/>
  <c r="AW958" i="22"/>
  <c r="AX958" i="22"/>
  <c r="AY958" i="22"/>
  <c r="AZ958" i="22"/>
  <c r="BF958" i="22"/>
  <c r="BH958" i="22"/>
  <c r="BK958" i="22"/>
  <c r="BL958" i="22"/>
  <c r="BM958" i="22"/>
  <c r="BN958" i="22"/>
  <c r="BO958" i="22"/>
  <c r="BP958" i="22"/>
  <c r="AV959" i="22"/>
  <c r="AW959" i="22"/>
  <c r="AX959" i="22"/>
  <c r="AY959" i="22"/>
  <c r="AZ959" i="22"/>
  <c r="BF959" i="22"/>
  <c r="BH959" i="22"/>
  <c r="BK959" i="22"/>
  <c r="BL959" i="22"/>
  <c r="BM959" i="22"/>
  <c r="BN959" i="22"/>
  <c r="BO959" i="22"/>
  <c r="BP959" i="22"/>
  <c r="AV960" i="22"/>
  <c r="AW960" i="22"/>
  <c r="AX960" i="22"/>
  <c r="AY960" i="22"/>
  <c r="AZ960" i="22"/>
  <c r="BF960" i="22"/>
  <c r="BH960" i="22"/>
  <c r="BK960" i="22"/>
  <c r="BL960" i="22"/>
  <c r="BM960" i="22"/>
  <c r="BN960" i="22"/>
  <c r="BO960" i="22"/>
  <c r="BP960" i="22"/>
  <c r="AV961" i="22"/>
  <c r="AW961" i="22"/>
  <c r="AX961" i="22"/>
  <c r="AY961" i="22"/>
  <c r="AZ961" i="22"/>
  <c r="BF961" i="22"/>
  <c r="BH961" i="22"/>
  <c r="BK961" i="22"/>
  <c r="BL961" i="22"/>
  <c r="BM961" i="22"/>
  <c r="BN961" i="22"/>
  <c r="BO961" i="22"/>
  <c r="BP961" i="22"/>
  <c r="AV962" i="22"/>
  <c r="AW962" i="22"/>
  <c r="AX962" i="22"/>
  <c r="AY962" i="22"/>
  <c r="AZ962" i="22"/>
  <c r="BF962" i="22"/>
  <c r="BH962" i="22"/>
  <c r="BK962" i="22"/>
  <c r="BL962" i="22"/>
  <c r="BM962" i="22"/>
  <c r="BN962" i="22"/>
  <c r="BO962" i="22"/>
  <c r="BP962" i="22"/>
  <c r="AV963" i="22"/>
  <c r="AW963" i="22"/>
  <c r="AX963" i="22"/>
  <c r="AY963" i="22"/>
  <c r="AZ963" i="22"/>
  <c r="BF963" i="22"/>
  <c r="BH963" i="22"/>
  <c r="BK963" i="22"/>
  <c r="BL963" i="22"/>
  <c r="BM963" i="22"/>
  <c r="BN963" i="22"/>
  <c r="BO963" i="22"/>
  <c r="BP963" i="22"/>
  <c r="AV964" i="22"/>
  <c r="AW964" i="22"/>
  <c r="AX964" i="22"/>
  <c r="AY964" i="22"/>
  <c r="AZ964" i="22"/>
  <c r="BF964" i="22"/>
  <c r="BH964" i="22"/>
  <c r="BK964" i="22"/>
  <c r="BL964" i="22"/>
  <c r="BM964" i="22"/>
  <c r="BN964" i="22"/>
  <c r="BO964" i="22"/>
  <c r="BP964" i="22"/>
  <c r="AV965" i="22"/>
  <c r="AW965" i="22"/>
  <c r="AX965" i="22"/>
  <c r="AY965" i="22"/>
  <c r="AZ965" i="22"/>
  <c r="BF965" i="22"/>
  <c r="BH965" i="22"/>
  <c r="BK965" i="22"/>
  <c r="BL965" i="22"/>
  <c r="BM965" i="22"/>
  <c r="BN965" i="22"/>
  <c r="BO965" i="22"/>
  <c r="BP965" i="22"/>
  <c r="AV966" i="22"/>
  <c r="AW966" i="22"/>
  <c r="AX966" i="22"/>
  <c r="AY966" i="22"/>
  <c r="AZ966" i="22"/>
  <c r="BF966" i="22"/>
  <c r="BH966" i="22"/>
  <c r="BK966" i="22"/>
  <c r="BL966" i="22"/>
  <c r="BM966" i="22"/>
  <c r="BN966" i="22"/>
  <c r="BO966" i="22"/>
  <c r="BP966" i="22"/>
  <c r="AV967" i="22"/>
  <c r="AW967" i="22"/>
  <c r="AX967" i="22"/>
  <c r="AY967" i="22"/>
  <c r="AZ967" i="22"/>
  <c r="BF967" i="22"/>
  <c r="BH967" i="22"/>
  <c r="BK967" i="22"/>
  <c r="BL967" i="22"/>
  <c r="BM967" i="22"/>
  <c r="BN967" i="22"/>
  <c r="BO967" i="22"/>
  <c r="BP967" i="22"/>
  <c r="AV968" i="22"/>
  <c r="AW968" i="22"/>
  <c r="AX968" i="22"/>
  <c r="AY968" i="22"/>
  <c r="AZ968" i="22"/>
  <c r="BF968" i="22"/>
  <c r="BH968" i="22"/>
  <c r="BK968" i="22"/>
  <c r="BL968" i="22"/>
  <c r="BM968" i="22"/>
  <c r="BN968" i="22"/>
  <c r="BO968" i="22"/>
  <c r="BP968" i="22"/>
  <c r="AV969" i="22"/>
  <c r="AW969" i="22"/>
  <c r="AX969" i="22"/>
  <c r="AY969" i="22"/>
  <c r="AZ969" i="22"/>
  <c r="BF969" i="22"/>
  <c r="BH969" i="22"/>
  <c r="BK969" i="22"/>
  <c r="BL969" i="22"/>
  <c r="BM969" i="22"/>
  <c r="BN969" i="22"/>
  <c r="BO969" i="22"/>
  <c r="BP969" i="22"/>
  <c r="AV970" i="22"/>
  <c r="AW970" i="22"/>
  <c r="AX970" i="22"/>
  <c r="AY970" i="22"/>
  <c r="AZ970" i="22"/>
  <c r="BF970" i="22"/>
  <c r="BH970" i="22"/>
  <c r="BK970" i="22"/>
  <c r="BL970" i="22"/>
  <c r="BM970" i="22"/>
  <c r="BN970" i="22"/>
  <c r="BO970" i="22"/>
  <c r="BP970" i="22"/>
  <c r="AV971" i="22"/>
  <c r="AW971" i="22"/>
  <c r="AX971" i="22"/>
  <c r="AY971" i="22"/>
  <c r="AZ971" i="22"/>
  <c r="BF971" i="22"/>
  <c r="BH971" i="22"/>
  <c r="BK971" i="22"/>
  <c r="BL971" i="22"/>
  <c r="BM971" i="22"/>
  <c r="BN971" i="22"/>
  <c r="BO971" i="22"/>
  <c r="BP971" i="22"/>
  <c r="AV972" i="22"/>
  <c r="AW972" i="22"/>
  <c r="AX972" i="22"/>
  <c r="AY972" i="22"/>
  <c r="AZ972" i="22"/>
  <c r="BF972" i="22"/>
  <c r="BH972" i="22"/>
  <c r="BK972" i="22"/>
  <c r="BL972" i="22"/>
  <c r="BM972" i="22"/>
  <c r="BN972" i="22"/>
  <c r="BO972" i="22"/>
  <c r="BP972" i="22"/>
  <c r="AV973" i="22"/>
  <c r="AW973" i="22"/>
  <c r="AX973" i="22"/>
  <c r="AY973" i="22"/>
  <c r="AZ973" i="22"/>
  <c r="BF973" i="22"/>
  <c r="BH973" i="22"/>
  <c r="BK973" i="22"/>
  <c r="BL973" i="22"/>
  <c r="BM973" i="22"/>
  <c r="BN973" i="22"/>
  <c r="BO973" i="22"/>
  <c r="BP973" i="22"/>
  <c r="AV974" i="22"/>
  <c r="AW974" i="22"/>
  <c r="AX974" i="22"/>
  <c r="AY974" i="22"/>
  <c r="AZ974" i="22"/>
  <c r="BF974" i="22"/>
  <c r="BH974" i="22"/>
  <c r="BK974" i="22"/>
  <c r="BL974" i="22"/>
  <c r="BM974" i="22"/>
  <c r="BN974" i="22"/>
  <c r="BO974" i="22"/>
  <c r="BP974" i="22"/>
  <c r="AV975" i="22"/>
  <c r="AW975" i="22"/>
  <c r="AX975" i="22"/>
  <c r="AY975" i="22"/>
  <c r="AZ975" i="22"/>
  <c r="BF975" i="22"/>
  <c r="BH975" i="22"/>
  <c r="BK975" i="22"/>
  <c r="BL975" i="22"/>
  <c r="BM975" i="22"/>
  <c r="BN975" i="22"/>
  <c r="BO975" i="22"/>
  <c r="BP975" i="22"/>
  <c r="AV976" i="22"/>
  <c r="AW976" i="22"/>
  <c r="AX976" i="22"/>
  <c r="AY976" i="22"/>
  <c r="AZ976" i="22"/>
  <c r="BF976" i="22"/>
  <c r="BH976" i="22"/>
  <c r="BK976" i="22"/>
  <c r="BL976" i="22"/>
  <c r="BM976" i="22"/>
  <c r="BN976" i="22"/>
  <c r="BO976" i="22"/>
  <c r="BP976" i="22"/>
  <c r="AV977" i="22"/>
  <c r="AW977" i="22"/>
  <c r="AX977" i="22"/>
  <c r="AY977" i="22"/>
  <c r="AZ977" i="22"/>
  <c r="BF977" i="22"/>
  <c r="BH977" i="22"/>
  <c r="BK977" i="22"/>
  <c r="BL977" i="22"/>
  <c r="BM977" i="22"/>
  <c r="BN977" i="22"/>
  <c r="BO977" i="22"/>
  <c r="BP977" i="22"/>
  <c r="AV978" i="22"/>
  <c r="AW978" i="22"/>
  <c r="AX978" i="22"/>
  <c r="AY978" i="22"/>
  <c r="AZ978" i="22"/>
  <c r="BF978" i="22"/>
  <c r="BH978" i="22"/>
  <c r="BK978" i="22"/>
  <c r="BL978" i="22"/>
  <c r="BM978" i="22"/>
  <c r="BN978" i="22"/>
  <c r="BO978" i="22"/>
  <c r="BP978" i="22"/>
  <c r="AV979" i="22"/>
  <c r="AW979" i="22"/>
  <c r="AX979" i="22"/>
  <c r="AY979" i="22"/>
  <c r="AZ979" i="22"/>
  <c r="BF979" i="22"/>
  <c r="BH979" i="22"/>
  <c r="BK979" i="22"/>
  <c r="BL979" i="22"/>
  <c r="BM979" i="22"/>
  <c r="BN979" i="22"/>
  <c r="BO979" i="22"/>
  <c r="BP979" i="22"/>
  <c r="AV980" i="22"/>
  <c r="AW980" i="22"/>
  <c r="AX980" i="22"/>
  <c r="AY980" i="22"/>
  <c r="AZ980" i="22"/>
  <c r="BF980" i="22"/>
  <c r="BH980" i="22"/>
  <c r="BK980" i="22"/>
  <c r="BL980" i="22"/>
  <c r="BM980" i="22"/>
  <c r="BN980" i="22"/>
  <c r="BO980" i="22"/>
  <c r="BP980" i="22"/>
  <c r="AV981" i="22"/>
  <c r="AW981" i="22"/>
  <c r="AX981" i="22"/>
  <c r="AY981" i="22"/>
  <c r="AZ981" i="22"/>
  <c r="BF981" i="22"/>
  <c r="BH981" i="22"/>
  <c r="BK981" i="22"/>
  <c r="BL981" i="22"/>
  <c r="BM981" i="22"/>
  <c r="BN981" i="22"/>
  <c r="BO981" i="22"/>
  <c r="BP981" i="22"/>
  <c r="AV982" i="22"/>
  <c r="AW982" i="22"/>
  <c r="AX982" i="22"/>
  <c r="AY982" i="22"/>
  <c r="AZ982" i="22"/>
  <c r="BF982" i="22"/>
  <c r="BH982" i="22"/>
  <c r="BK982" i="22"/>
  <c r="BL982" i="22"/>
  <c r="BM982" i="22"/>
  <c r="BN982" i="22"/>
  <c r="BO982" i="22"/>
  <c r="BP982" i="22"/>
  <c r="AV983" i="22"/>
  <c r="AW983" i="22"/>
  <c r="AX983" i="22"/>
  <c r="AY983" i="22"/>
  <c r="AZ983" i="22"/>
  <c r="BF983" i="22"/>
  <c r="BH983" i="22"/>
  <c r="BK983" i="22"/>
  <c r="BL983" i="22"/>
  <c r="BM983" i="22"/>
  <c r="BN983" i="22"/>
  <c r="BO983" i="22"/>
  <c r="BP983" i="22"/>
  <c r="AV984" i="22"/>
  <c r="AW984" i="22"/>
  <c r="AX984" i="22"/>
  <c r="AY984" i="22"/>
  <c r="AZ984" i="22"/>
  <c r="BF984" i="22"/>
  <c r="BH984" i="22"/>
  <c r="BK984" i="22"/>
  <c r="BL984" i="22"/>
  <c r="BM984" i="22"/>
  <c r="BN984" i="22"/>
  <c r="BO984" i="22"/>
  <c r="BP984" i="22"/>
  <c r="AV985" i="22"/>
  <c r="AW985" i="22"/>
  <c r="AX985" i="22"/>
  <c r="AY985" i="22"/>
  <c r="AZ985" i="22"/>
  <c r="BF985" i="22"/>
  <c r="BH985" i="22"/>
  <c r="BK985" i="22"/>
  <c r="BL985" i="22"/>
  <c r="BM985" i="22"/>
  <c r="BN985" i="22"/>
  <c r="BO985" i="22"/>
  <c r="BP985" i="22"/>
  <c r="AV986" i="22"/>
  <c r="AW986" i="22"/>
  <c r="AX986" i="22"/>
  <c r="AY986" i="22"/>
  <c r="AZ986" i="22"/>
  <c r="BF986" i="22"/>
  <c r="BH986" i="22"/>
  <c r="BK986" i="22"/>
  <c r="BL986" i="22"/>
  <c r="BM986" i="22"/>
  <c r="BN986" i="22"/>
  <c r="BO986" i="22"/>
  <c r="BP986" i="22"/>
  <c r="AV987" i="22"/>
  <c r="AW987" i="22"/>
  <c r="AX987" i="22"/>
  <c r="AY987" i="22"/>
  <c r="AZ987" i="22"/>
  <c r="BF987" i="22"/>
  <c r="BH987" i="22"/>
  <c r="BK987" i="22"/>
  <c r="BL987" i="22"/>
  <c r="BM987" i="22"/>
  <c r="BN987" i="22"/>
  <c r="BO987" i="22"/>
  <c r="BP987" i="22"/>
  <c r="AV988" i="22"/>
  <c r="AW988" i="22"/>
  <c r="AX988" i="22"/>
  <c r="AY988" i="22"/>
  <c r="AZ988" i="22"/>
  <c r="BF988" i="22"/>
  <c r="BH988" i="22"/>
  <c r="BK988" i="22"/>
  <c r="BL988" i="22"/>
  <c r="BM988" i="22"/>
  <c r="BN988" i="22"/>
  <c r="BO988" i="22"/>
  <c r="BP988" i="22"/>
  <c r="AV989" i="22"/>
  <c r="AW989" i="22"/>
  <c r="AX989" i="22"/>
  <c r="AY989" i="22"/>
  <c r="AZ989" i="22"/>
  <c r="BF989" i="22"/>
  <c r="BH989" i="22"/>
  <c r="BK989" i="22"/>
  <c r="BL989" i="22"/>
  <c r="BM989" i="22"/>
  <c r="BN989" i="22"/>
  <c r="BO989" i="22"/>
  <c r="BP989" i="22"/>
  <c r="AV990" i="22"/>
  <c r="AW990" i="22"/>
  <c r="AX990" i="22"/>
  <c r="AY990" i="22"/>
  <c r="AZ990" i="22"/>
  <c r="BF990" i="22"/>
  <c r="BH990" i="22"/>
  <c r="BK990" i="22"/>
  <c r="BL990" i="22"/>
  <c r="BM990" i="22"/>
  <c r="BN990" i="22"/>
  <c r="BO990" i="22"/>
  <c r="BP990" i="22"/>
  <c r="AV991" i="22"/>
  <c r="AW991" i="22"/>
  <c r="AX991" i="22"/>
  <c r="AY991" i="22"/>
  <c r="AZ991" i="22"/>
  <c r="BF991" i="22"/>
  <c r="BH991" i="22"/>
  <c r="BK991" i="22"/>
  <c r="BL991" i="22"/>
  <c r="BM991" i="22"/>
  <c r="BN991" i="22"/>
  <c r="BO991" i="22"/>
  <c r="BP991" i="22"/>
  <c r="AV992" i="22"/>
  <c r="AW992" i="22"/>
  <c r="AX992" i="22"/>
  <c r="AY992" i="22"/>
  <c r="AZ992" i="22"/>
  <c r="BF992" i="22"/>
  <c r="BH992" i="22"/>
  <c r="BK992" i="22"/>
  <c r="BL992" i="22"/>
  <c r="BM992" i="22"/>
  <c r="BN992" i="22"/>
  <c r="BO992" i="22"/>
  <c r="BP992" i="22"/>
  <c r="AV993" i="22"/>
  <c r="AW993" i="22"/>
  <c r="AX993" i="22"/>
  <c r="AY993" i="22"/>
  <c r="AZ993" i="22"/>
  <c r="BF993" i="22"/>
  <c r="BH993" i="22"/>
  <c r="BK993" i="22"/>
  <c r="BL993" i="22"/>
  <c r="BM993" i="22"/>
  <c r="BN993" i="22"/>
  <c r="BO993" i="22"/>
  <c r="BP993" i="22"/>
  <c r="AV994" i="22"/>
  <c r="AW994" i="22"/>
  <c r="AX994" i="22"/>
  <c r="AY994" i="22"/>
  <c r="AZ994" i="22"/>
  <c r="BF994" i="22"/>
  <c r="BH994" i="22"/>
  <c r="BK994" i="22"/>
  <c r="BL994" i="22"/>
  <c r="BM994" i="22"/>
  <c r="BN994" i="22"/>
  <c r="BO994" i="22"/>
  <c r="BP994" i="22"/>
  <c r="AV995" i="22"/>
  <c r="AW995" i="22"/>
  <c r="AX995" i="22"/>
  <c r="AY995" i="22"/>
  <c r="AZ995" i="22"/>
  <c r="BF995" i="22"/>
  <c r="BH995" i="22"/>
  <c r="BK995" i="22"/>
  <c r="BL995" i="22"/>
  <c r="BM995" i="22"/>
  <c r="BN995" i="22"/>
  <c r="BO995" i="22"/>
  <c r="BP995" i="22"/>
  <c r="AV996" i="22"/>
  <c r="AW996" i="22"/>
  <c r="AX996" i="22"/>
  <c r="AY996" i="22"/>
  <c r="AZ996" i="22"/>
  <c r="BF996" i="22"/>
  <c r="BH996" i="22"/>
  <c r="BK996" i="22"/>
  <c r="BL996" i="22"/>
  <c r="BM996" i="22"/>
  <c r="BN996" i="22"/>
  <c r="BO996" i="22"/>
  <c r="BP996" i="22"/>
  <c r="AV997" i="22"/>
  <c r="AW997" i="22"/>
  <c r="AX997" i="22"/>
  <c r="AY997" i="22"/>
  <c r="AZ997" i="22"/>
  <c r="BF997" i="22"/>
  <c r="BH997" i="22"/>
  <c r="BK997" i="22"/>
  <c r="BL997" i="22"/>
  <c r="BM997" i="22"/>
  <c r="BN997" i="22"/>
  <c r="BO997" i="22"/>
  <c r="BP997" i="22"/>
  <c r="AV998" i="22"/>
  <c r="AW998" i="22"/>
  <c r="AX998" i="22"/>
  <c r="AY998" i="22"/>
  <c r="AZ998" i="22"/>
  <c r="BF998" i="22"/>
  <c r="BH998" i="22"/>
  <c r="BK998" i="22"/>
  <c r="BL998" i="22"/>
  <c r="BM998" i="22"/>
  <c r="BN998" i="22"/>
  <c r="BO998" i="22"/>
  <c r="BP998" i="22"/>
  <c r="AV999" i="22"/>
  <c r="AW999" i="22"/>
  <c r="AX999" i="22"/>
  <c r="AY999" i="22"/>
  <c r="AZ999" i="22"/>
  <c r="BF999" i="22"/>
  <c r="BH999" i="22"/>
  <c r="BK999" i="22"/>
  <c r="BL999" i="22"/>
  <c r="BM999" i="22"/>
  <c r="BN999" i="22"/>
  <c r="BO999" i="22"/>
  <c r="BP999" i="22"/>
  <c r="AV1000" i="22"/>
  <c r="AW1000" i="22"/>
  <c r="AX1000" i="22"/>
  <c r="AY1000" i="22"/>
  <c r="AZ1000" i="22"/>
  <c r="BF1000" i="22"/>
  <c r="BH1000" i="22"/>
  <c r="BK1000" i="22"/>
  <c r="BL1000" i="22"/>
  <c r="BM1000" i="22"/>
  <c r="BN1000" i="22"/>
  <c r="BO1000" i="22"/>
  <c r="BP1000" i="22"/>
  <c r="AV1001" i="22"/>
  <c r="AW1001" i="22"/>
  <c r="AX1001" i="22"/>
  <c r="AY1001" i="22"/>
  <c r="AZ1001" i="22"/>
  <c r="BF1001" i="22"/>
  <c r="BH1001" i="22"/>
  <c r="BK1001" i="22"/>
  <c r="BL1001" i="22"/>
  <c r="BM1001" i="22"/>
  <c r="BN1001" i="22"/>
  <c r="BO1001" i="22"/>
  <c r="BP1001" i="22"/>
  <c r="AV1002" i="22"/>
  <c r="AW1002" i="22"/>
  <c r="AX1002" i="22"/>
  <c r="AY1002" i="22"/>
  <c r="AZ1002" i="22"/>
  <c r="BF1002" i="22"/>
  <c r="BH1002" i="22"/>
  <c r="BK1002" i="22"/>
  <c r="BL1002" i="22"/>
  <c r="BM1002" i="22"/>
  <c r="BN1002" i="22"/>
  <c r="BO1002" i="22"/>
  <c r="BP1002" i="22"/>
  <c r="AV1003" i="22"/>
  <c r="AW1003" i="22"/>
  <c r="AX1003" i="22"/>
  <c r="AY1003" i="22"/>
  <c r="AZ1003" i="22"/>
  <c r="BF1003" i="22"/>
  <c r="BH1003" i="22"/>
  <c r="BK1003" i="22"/>
  <c r="BL1003" i="22"/>
  <c r="BM1003" i="22"/>
  <c r="BN1003" i="22"/>
  <c r="BO1003" i="22"/>
  <c r="BP1003" i="22"/>
  <c r="AV1004" i="22"/>
  <c r="AW1004" i="22"/>
  <c r="AX1004" i="22"/>
  <c r="AY1004" i="22"/>
  <c r="AZ1004" i="22"/>
  <c r="BF1004" i="22"/>
  <c r="BH1004" i="22"/>
  <c r="BK1004" i="22"/>
  <c r="BL1004" i="22"/>
  <c r="BM1004" i="22"/>
  <c r="BN1004" i="22"/>
  <c r="BO1004" i="22"/>
  <c r="BP1004" i="22"/>
  <c r="AV1005" i="22"/>
  <c r="AW1005" i="22"/>
  <c r="AX1005" i="22"/>
  <c r="AY1005" i="22"/>
  <c r="AZ1005" i="22"/>
  <c r="BF1005" i="22"/>
  <c r="BH1005" i="22"/>
  <c r="BK1005" i="22"/>
  <c r="BL1005" i="22"/>
  <c r="BM1005" i="22"/>
  <c r="BN1005" i="22"/>
  <c r="BO1005" i="22"/>
  <c r="BP1005" i="22"/>
  <c r="AV1006" i="22"/>
  <c r="AW1006" i="22"/>
  <c r="AX1006" i="22"/>
  <c r="AY1006" i="22"/>
  <c r="AZ1006" i="22"/>
  <c r="BF1006" i="22"/>
  <c r="BH1006" i="22"/>
  <c r="BK1006" i="22"/>
  <c r="BL1006" i="22"/>
  <c r="BM1006" i="22"/>
  <c r="BN1006" i="22"/>
  <c r="BO1006" i="22"/>
  <c r="BP1006" i="22"/>
  <c r="AV1007" i="22"/>
  <c r="AW1007" i="22"/>
  <c r="AX1007" i="22"/>
  <c r="AY1007" i="22"/>
  <c r="AZ1007" i="22"/>
  <c r="BF1007" i="22"/>
  <c r="BH1007" i="22"/>
  <c r="BK1007" i="22"/>
  <c r="BL1007" i="22"/>
  <c r="BM1007" i="22"/>
  <c r="BN1007" i="22"/>
  <c r="BO1007" i="22"/>
  <c r="BP1007" i="22"/>
  <c r="AV1008" i="22"/>
  <c r="AW1008" i="22"/>
  <c r="AX1008" i="22"/>
  <c r="AY1008" i="22"/>
  <c r="AZ1008" i="22"/>
  <c r="BF1008" i="22"/>
  <c r="BH1008" i="22"/>
  <c r="BK1008" i="22"/>
  <c r="BL1008" i="22"/>
  <c r="BM1008" i="22"/>
  <c r="BN1008" i="22"/>
  <c r="BO1008" i="22"/>
  <c r="BP1008" i="22"/>
  <c r="AV1009" i="22"/>
  <c r="AW1009" i="22"/>
  <c r="AX1009" i="22"/>
  <c r="AY1009" i="22"/>
  <c r="AZ1009" i="22"/>
  <c r="BF1009" i="22"/>
  <c r="BH1009" i="22"/>
  <c r="BK1009" i="22"/>
  <c r="BL1009" i="22"/>
  <c r="BM1009" i="22"/>
  <c r="BN1009" i="22"/>
  <c r="BO1009" i="22"/>
  <c r="BP1009" i="22"/>
  <c r="AV1010" i="22"/>
  <c r="AW1010" i="22"/>
  <c r="AX1010" i="22"/>
  <c r="AY1010" i="22"/>
  <c r="AZ1010" i="22"/>
  <c r="BF1010" i="22"/>
  <c r="BH1010" i="22"/>
  <c r="BK1010" i="22"/>
  <c r="BL1010" i="22"/>
  <c r="BM1010" i="22"/>
  <c r="BN1010" i="22"/>
  <c r="BO1010" i="22"/>
  <c r="BP1010" i="22"/>
  <c r="AV1011" i="22"/>
  <c r="AW1011" i="22"/>
  <c r="AX1011" i="22"/>
  <c r="AY1011" i="22"/>
  <c r="AZ1011" i="22"/>
  <c r="BF1011" i="22"/>
  <c r="BH1011" i="22"/>
  <c r="BK1011" i="22"/>
  <c r="BL1011" i="22"/>
  <c r="BM1011" i="22"/>
  <c r="BN1011" i="22"/>
  <c r="BO1011" i="22"/>
  <c r="BP1011" i="22"/>
  <c r="AV1012" i="22"/>
  <c r="AW1012" i="22"/>
  <c r="AX1012" i="22"/>
  <c r="AY1012" i="22"/>
  <c r="AZ1012" i="22"/>
  <c r="BF1012" i="22"/>
  <c r="BH1012" i="22"/>
  <c r="BK1012" i="22"/>
  <c r="BL1012" i="22"/>
  <c r="BM1012" i="22"/>
  <c r="BN1012" i="22"/>
  <c r="BO1012" i="22"/>
  <c r="BP1012" i="22"/>
  <c r="AV1013" i="22"/>
  <c r="AW1013" i="22"/>
  <c r="AX1013" i="22"/>
  <c r="AY1013" i="22"/>
  <c r="AZ1013" i="22"/>
  <c r="BF1013" i="22"/>
  <c r="BH1013" i="22"/>
  <c r="BK1013" i="22"/>
  <c r="BL1013" i="22"/>
  <c r="BM1013" i="22"/>
  <c r="BN1013" i="22"/>
  <c r="BO1013" i="22"/>
  <c r="BP1013" i="22"/>
  <c r="AV1014" i="22"/>
  <c r="AW1014" i="22"/>
  <c r="AX1014" i="22"/>
  <c r="AY1014" i="22"/>
  <c r="AZ1014" i="22"/>
  <c r="BF1014" i="22"/>
  <c r="BH1014" i="22"/>
  <c r="BK1014" i="22"/>
  <c r="BL1014" i="22"/>
  <c r="BM1014" i="22"/>
  <c r="BN1014" i="22"/>
  <c r="BO1014" i="22"/>
  <c r="BP1014" i="22"/>
  <c r="AV1015" i="22"/>
  <c r="AW1015" i="22"/>
  <c r="AX1015" i="22"/>
  <c r="AY1015" i="22"/>
  <c r="AZ1015" i="22"/>
  <c r="BF1015" i="22"/>
  <c r="BH1015" i="22"/>
  <c r="BK1015" i="22"/>
  <c r="BL1015" i="22"/>
  <c r="BM1015" i="22"/>
  <c r="BN1015" i="22"/>
  <c r="BO1015" i="22"/>
  <c r="BP1015" i="22"/>
  <c r="AV1016" i="22"/>
  <c r="AW1016" i="22"/>
  <c r="AX1016" i="22"/>
  <c r="AY1016" i="22"/>
  <c r="AZ1016" i="22"/>
  <c r="BF1016" i="22"/>
  <c r="BH1016" i="22"/>
  <c r="BK1016" i="22"/>
  <c r="BL1016" i="22"/>
  <c r="BM1016" i="22"/>
  <c r="BN1016" i="22"/>
  <c r="BO1016" i="22"/>
  <c r="BP1016" i="22"/>
  <c r="AV1017" i="22"/>
  <c r="AW1017" i="22"/>
  <c r="AX1017" i="22"/>
  <c r="AY1017" i="22"/>
  <c r="AZ1017" i="22"/>
  <c r="BF1017" i="22"/>
  <c r="BH1017" i="22"/>
  <c r="BK1017" i="22"/>
  <c r="BL1017" i="22"/>
  <c r="BM1017" i="22"/>
  <c r="BN1017" i="22"/>
  <c r="BO1017" i="22"/>
  <c r="BP1017" i="22"/>
  <c r="AV1018" i="22"/>
  <c r="AW1018" i="22"/>
  <c r="AX1018" i="22"/>
  <c r="AY1018" i="22"/>
  <c r="AZ1018" i="22"/>
  <c r="BF1018" i="22"/>
  <c r="BH1018" i="22"/>
  <c r="BK1018" i="22"/>
  <c r="BL1018" i="22"/>
  <c r="BM1018" i="22"/>
  <c r="BN1018" i="22"/>
  <c r="BO1018" i="22"/>
  <c r="BP1018" i="22"/>
  <c r="AV1019" i="22"/>
  <c r="AW1019" i="22"/>
  <c r="AX1019" i="22"/>
  <c r="AY1019" i="22"/>
  <c r="AZ1019" i="22"/>
  <c r="BF1019" i="22"/>
  <c r="BH1019" i="22"/>
  <c r="BK1019" i="22"/>
  <c r="BL1019" i="22"/>
  <c r="BM1019" i="22"/>
  <c r="BN1019" i="22"/>
  <c r="BO1019" i="22"/>
  <c r="BP1019" i="22"/>
  <c r="BF838" i="22"/>
  <c r="BH838" i="22"/>
  <c r="BK838" i="22"/>
  <c r="BL838" i="22"/>
  <c r="BM838" i="22"/>
  <c r="BN838" i="22"/>
  <c r="BO838" i="22"/>
  <c r="BP838" i="22"/>
  <c r="BF839" i="22"/>
  <c r="BH839" i="22"/>
  <c r="BK839" i="22"/>
  <c r="BL839" i="22"/>
  <c r="BM839" i="22"/>
  <c r="BN839" i="22"/>
  <c r="BO839" i="22"/>
  <c r="BP839" i="22"/>
  <c r="BF840" i="22"/>
  <c r="BH840" i="22"/>
  <c r="BK840" i="22"/>
  <c r="BL840" i="22"/>
  <c r="BM840" i="22"/>
  <c r="BN840" i="22"/>
  <c r="BO840" i="22"/>
  <c r="BP840" i="22"/>
  <c r="BF841" i="22"/>
  <c r="BH841" i="22"/>
  <c r="BK841" i="22"/>
  <c r="BL841" i="22"/>
  <c r="BM841" i="22"/>
  <c r="BN841" i="22"/>
  <c r="BO841" i="22"/>
  <c r="BP841" i="22"/>
  <c r="BF842" i="22"/>
  <c r="BH842" i="22"/>
  <c r="BK842" i="22"/>
  <c r="BL842" i="22"/>
  <c r="BM842" i="22"/>
  <c r="BN842" i="22"/>
  <c r="BO842" i="22"/>
  <c r="BP842" i="22"/>
  <c r="BF843" i="22"/>
  <c r="BH843" i="22"/>
  <c r="BK843" i="22"/>
  <c r="BL843" i="22"/>
  <c r="BM843" i="22"/>
  <c r="BN843" i="22"/>
  <c r="BO843" i="22"/>
  <c r="BP843" i="22"/>
  <c r="BF844" i="22"/>
  <c r="BH844" i="22"/>
  <c r="BK844" i="22"/>
  <c r="BL844" i="22"/>
  <c r="BM844" i="22"/>
  <c r="BN844" i="22"/>
  <c r="BO844" i="22"/>
  <c r="BP844" i="22"/>
  <c r="BF845" i="22"/>
  <c r="BH845" i="22"/>
  <c r="BK845" i="22"/>
  <c r="BL845" i="22"/>
  <c r="BM845" i="22"/>
  <c r="BN845" i="22"/>
  <c r="BO845" i="22"/>
  <c r="BP845" i="22"/>
  <c r="AV838" i="22"/>
  <c r="AW838" i="22"/>
  <c r="AX838" i="22"/>
  <c r="AY838" i="22"/>
  <c r="AZ838" i="22"/>
  <c r="AV839" i="22"/>
  <c r="AW839" i="22"/>
  <c r="AX839" i="22"/>
  <c r="AY839" i="22"/>
  <c r="AZ839" i="22"/>
  <c r="AV840" i="22"/>
  <c r="AW840" i="22"/>
  <c r="AX840" i="22"/>
  <c r="AY840" i="22"/>
  <c r="AZ840" i="22"/>
  <c r="AV841" i="22"/>
  <c r="AW841" i="22"/>
  <c r="AX841" i="22"/>
  <c r="AY841" i="22"/>
  <c r="AZ841" i="22"/>
  <c r="AV842" i="22"/>
  <c r="AW842" i="22"/>
  <c r="AX842" i="22"/>
  <c r="AY842" i="22"/>
  <c r="AZ842" i="22"/>
  <c r="AV843" i="22"/>
  <c r="AW843" i="22"/>
  <c r="AX843" i="22"/>
  <c r="AY843" i="22"/>
  <c r="AZ843" i="22"/>
  <c r="AV844" i="22"/>
  <c r="AW844" i="22"/>
  <c r="AX844" i="22"/>
  <c r="AY844" i="22"/>
  <c r="AZ844" i="22"/>
  <c r="AV845" i="22"/>
  <c r="AW845" i="22"/>
  <c r="AX845" i="22"/>
  <c r="AY845" i="22"/>
  <c r="AZ845" i="22"/>
  <c r="BH232" i="22" l="1"/>
  <c r="BH138" i="22"/>
  <c r="BH134" i="22"/>
  <c r="BH133" i="22"/>
  <c r="BH135" i="22"/>
  <c r="BH132" i="22"/>
  <c r="BH137" i="22"/>
  <c r="BH131" i="22"/>
  <c r="BH198" i="22"/>
  <c r="BH197" i="22"/>
  <c r="BH195" i="22"/>
  <c r="BH90" i="22"/>
  <c r="BH196" i="22"/>
  <c r="BH194" i="22"/>
  <c r="BH192" i="22"/>
  <c r="BH191" i="22"/>
  <c r="BH156" i="22"/>
  <c r="BH122" i="22"/>
  <c r="BH50" i="22"/>
  <c r="BC182" i="22"/>
  <c r="BH155" i="22"/>
  <c r="BH121" i="22"/>
  <c r="BH158" i="22"/>
  <c r="BH123" i="22"/>
  <c r="BC139" i="22"/>
  <c r="BH119" i="22"/>
  <c r="BH223" i="22"/>
  <c r="BH222" i="22"/>
  <c r="BH120" i="22"/>
  <c r="BC16" i="22"/>
  <c r="BH179" i="22"/>
  <c r="BH118" i="22"/>
  <c r="BH160" i="22"/>
  <c r="BC13" i="22"/>
  <c r="BH178" i="22"/>
  <c r="BH151" i="22"/>
  <c r="BH117" i="22"/>
  <c r="BC12" i="22"/>
  <c r="BH211" i="22"/>
  <c r="BH143" i="22"/>
  <c r="BH220" i="22"/>
  <c r="BH219" i="22"/>
  <c r="BH203" i="22"/>
  <c r="BH142" i="22"/>
  <c r="BH115" i="22"/>
  <c r="BH162" i="22"/>
  <c r="BH159" i="22"/>
  <c r="BH141" i="22"/>
  <c r="BH161" i="22"/>
  <c r="AM51" i="22"/>
  <c r="BC51" i="22" s="1"/>
  <c r="BH140" i="22"/>
  <c r="BH163" i="22"/>
  <c r="BH157" i="22"/>
  <c r="AM49" i="22"/>
  <c r="BC49" i="22" s="1"/>
  <c r="BH111" i="22"/>
  <c r="BC108" i="22"/>
  <c r="BH108" i="22"/>
  <c r="BC10" i="22"/>
  <c r="BH10" i="22"/>
  <c r="BH189" i="22"/>
  <c r="BH129" i="22"/>
  <c r="BH208" i="22"/>
  <c r="BH128" i="22"/>
  <c r="BH28" i="22"/>
  <c r="BH226" i="22"/>
  <c r="BH206" i="22"/>
  <c r="BH186" i="22"/>
  <c r="BH166" i="22"/>
  <c r="BH150" i="22"/>
  <c r="BH130" i="22"/>
  <c r="BH48" i="22"/>
  <c r="BH187" i="22"/>
  <c r="AM109" i="22"/>
  <c r="BC3" i="22"/>
  <c r="BH225" i="22"/>
  <c r="BH205" i="22"/>
  <c r="BH185" i="22"/>
  <c r="BH209" i="22"/>
  <c r="BH188" i="22"/>
  <c r="BH68" i="22"/>
  <c r="BH207" i="22"/>
  <c r="BH224" i="22"/>
  <c r="BH204" i="22"/>
  <c r="BC14" i="22"/>
  <c r="BC114" i="22"/>
  <c r="BC113" i="22"/>
  <c r="AM11" i="22"/>
  <c r="AM71" i="22"/>
  <c r="BC181" i="22"/>
  <c r="AM70" i="22"/>
  <c r="BC180" i="22"/>
  <c r="AM69" i="22"/>
  <c r="BC15" i="22"/>
  <c r="BC154" i="22"/>
  <c r="BC153" i="22"/>
  <c r="AM110" i="22"/>
  <c r="BH110" i="22" s="1"/>
  <c r="BC152" i="22"/>
  <c r="BC202" i="22"/>
  <c r="AM29" i="22"/>
  <c r="BC201" i="22"/>
  <c r="AM9" i="22"/>
  <c r="AM31" i="22"/>
  <c r="BC200" i="22"/>
  <c r="BC136" i="22"/>
  <c r="AM89" i="22"/>
  <c r="BC199" i="22"/>
  <c r="BC116" i="22"/>
  <c r="BC184" i="22"/>
  <c r="BC39" i="22"/>
  <c r="BC99" i="22"/>
  <c r="BC20" i="22"/>
  <c r="BC40" i="22"/>
  <c r="BC60" i="22"/>
  <c r="BC80" i="22"/>
  <c r="BC100" i="22"/>
  <c r="BC34" i="22"/>
  <c r="BC82" i="22"/>
  <c r="BC57" i="22"/>
  <c r="BC58" i="22"/>
  <c r="BC22" i="22"/>
  <c r="BC83" i="22"/>
  <c r="BC25" i="22"/>
  <c r="BC45" i="22"/>
  <c r="BC65" i="22"/>
  <c r="BC85" i="22"/>
  <c r="BC105" i="22"/>
  <c r="BC54" i="22"/>
  <c r="BC38" i="22"/>
  <c r="BC24" i="22"/>
  <c r="BC94" i="22"/>
  <c r="BC17" i="22"/>
  <c r="BC98" i="22"/>
  <c r="BC42" i="22"/>
  <c r="BC44" i="22"/>
  <c r="AM101" i="22"/>
  <c r="BH101" i="22" s="1"/>
  <c r="AM81" i="22"/>
  <c r="BH81" i="22" s="1"/>
  <c r="AM61" i="22"/>
  <c r="BH61" i="22" s="1"/>
  <c r="AM41" i="22"/>
  <c r="BH41" i="22" s="1"/>
  <c r="AM21" i="22"/>
  <c r="BH21" i="22" s="1"/>
  <c r="BC231" i="22"/>
  <c r="BC146" i="22"/>
  <c r="BC126" i="22"/>
  <c r="BC106" i="22"/>
  <c r="BC86" i="22"/>
  <c r="BC66" i="22"/>
  <c r="BC46" i="22"/>
  <c r="BC26" i="22"/>
  <c r="BC6" i="22"/>
  <c r="BC91" i="22"/>
  <c r="BC30" i="22"/>
  <c r="AM103" i="22"/>
  <c r="BH103" i="22" s="1"/>
  <c r="AM43" i="22"/>
  <c r="BH43" i="22" s="1"/>
  <c r="BC148" i="22"/>
  <c r="BC88" i="22"/>
  <c r="BC8" i="22"/>
  <c r="AM102" i="22"/>
  <c r="BH102" i="22" s="1"/>
  <c r="AM62" i="22"/>
  <c r="BH62" i="22" s="1"/>
  <c r="BC147" i="22"/>
  <c r="BC127" i="22"/>
  <c r="BC107" i="22"/>
  <c r="BC87" i="22"/>
  <c r="BC67" i="22"/>
  <c r="BC47" i="22"/>
  <c r="BC27" i="22"/>
  <c r="BC7" i="22"/>
  <c r="BC230" i="22"/>
  <c r="BC145" i="22"/>
  <c r="BC125" i="22"/>
  <c r="BC5" i="22"/>
  <c r="AM79" i="22"/>
  <c r="BH79" i="22" s="1"/>
  <c r="AM59" i="22"/>
  <c r="BH59" i="22" s="1"/>
  <c r="AM19" i="22"/>
  <c r="BH19" i="22" s="1"/>
  <c r="BC177" i="22"/>
  <c r="BC144" i="22"/>
  <c r="BC124" i="22"/>
  <c r="BC4" i="22"/>
  <c r="AM78" i="22"/>
  <c r="BH78" i="22" s="1"/>
  <c r="AM18" i="22"/>
  <c r="BH18" i="22" s="1"/>
  <c r="BC218" i="22"/>
  <c r="BC169" i="22"/>
  <c r="AM97" i="22"/>
  <c r="BH97" i="22" s="1"/>
  <c r="AM77" i="22"/>
  <c r="BH77" i="22" s="1"/>
  <c r="AM37" i="22"/>
  <c r="BH37" i="22" s="1"/>
  <c r="BC217" i="22"/>
  <c r="BC168" i="22"/>
  <c r="AM96" i="22"/>
  <c r="BH96" i="22" s="1"/>
  <c r="AM76" i="22"/>
  <c r="BH76" i="22" s="1"/>
  <c r="AM56" i="22"/>
  <c r="BH56" i="22" s="1"/>
  <c r="AM36" i="22"/>
  <c r="BH36" i="22" s="1"/>
  <c r="BC216" i="22"/>
  <c r="BC167" i="22"/>
  <c r="AM64" i="22"/>
  <c r="BH64" i="22" s="1"/>
  <c r="AM95" i="22"/>
  <c r="BH95" i="22" s="1"/>
  <c r="AM75" i="22"/>
  <c r="BH75" i="22" s="1"/>
  <c r="AM55" i="22"/>
  <c r="BH55" i="22" s="1"/>
  <c r="AM35" i="22"/>
  <c r="BH35" i="22" s="1"/>
  <c r="BC215" i="22"/>
  <c r="AM84" i="22"/>
  <c r="BH84" i="22" s="1"/>
  <c r="AM74" i="22"/>
  <c r="BH74" i="22" s="1"/>
  <c r="BC165" i="22"/>
  <c r="BC190" i="22"/>
  <c r="AM104" i="22"/>
  <c r="BH104" i="22" s="1"/>
  <c r="AM63" i="22"/>
  <c r="BH63" i="22" s="1"/>
  <c r="AM93" i="22"/>
  <c r="BH93" i="22" s="1"/>
  <c r="AM73" i="22"/>
  <c r="BH73" i="22" s="1"/>
  <c r="AM53" i="22"/>
  <c r="BH53" i="22" s="1"/>
  <c r="AM33" i="22"/>
  <c r="BH33" i="22" s="1"/>
  <c r="AM23" i="22"/>
  <c r="BH23" i="22" s="1"/>
  <c r="AM112" i="22"/>
  <c r="BH112" i="22" s="1"/>
  <c r="AM92" i="22"/>
  <c r="BH92" i="22" s="1"/>
  <c r="AM72" i="22"/>
  <c r="BH72" i="22" s="1"/>
  <c r="AM52" i="22"/>
  <c r="BH52" i="22" s="1"/>
  <c r="AM32" i="22"/>
  <c r="BH32" i="22" s="1"/>
  <c r="BC229" i="22"/>
  <c r="BC228" i="22"/>
  <c r="BC227" i="22"/>
  <c r="BC221" i="22"/>
  <c r="BC214" i="22"/>
  <c r="BC213" i="22"/>
  <c r="BC212" i="22"/>
  <c r="BC210" i="22"/>
  <c r="BC193" i="22"/>
  <c r="BC176" i="22"/>
  <c r="BC175" i="22"/>
  <c r="BC174" i="22"/>
  <c r="BC173" i="22"/>
  <c r="BC172" i="22"/>
  <c r="BC170" i="22"/>
  <c r="BC171" i="22"/>
  <c r="BC183" i="22"/>
  <c r="BC149" i="22"/>
  <c r="BC164" i="22"/>
  <c r="AJ38" i="22"/>
  <c r="AI98" i="22"/>
  <c r="AI75" i="22"/>
  <c r="AI112" i="22"/>
  <c r="AI96" i="22"/>
  <c r="AI18" i="22"/>
  <c r="AI17" i="22"/>
  <c r="AJ39" i="22"/>
  <c r="AI11" i="22"/>
  <c r="AI76" i="22"/>
  <c r="AJ80" i="22"/>
  <c r="AI111" i="22"/>
  <c r="AI99" i="22"/>
  <c r="AJ79" i="22"/>
  <c r="AI60" i="22"/>
  <c r="AJ60" i="22"/>
  <c r="AJ100" i="22"/>
  <c r="AI59" i="22"/>
  <c r="AJ57" i="22"/>
  <c r="AI20" i="22"/>
  <c r="AJ44" i="22"/>
  <c r="AI72" i="22"/>
  <c r="AJ10" i="22"/>
  <c r="AI55" i="22"/>
  <c r="AI58" i="22"/>
  <c r="AI52" i="22"/>
  <c r="AJ98" i="22"/>
  <c r="AI35" i="22"/>
  <c r="AJ97" i="22"/>
  <c r="AI32" i="22"/>
  <c r="AJ17" i="22"/>
  <c r="AJ61" i="22"/>
  <c r="AJ101" i="22"/>
  <c r="AI73" i="22"/>
  <c r="AI19" i="22"/>
  <c r="AJ99" i="22"/>
  <c r="AJ58" i="22"/>
  <c r="AJ83" i="22"/>
  <c r="AJ42" i="22"/>
  <c r="AI57" i="22"/>
  <c r="AJ82" i="22"/>
  <c r="AJ41" i="22"/>
  <c r="AI100" i="22"/>
  <c r="AI56" i="22"/>
  <c r="AJ81" i="22"/>
  <c r="AJ40" i="22"/>
  <c r="AJ77" i="22"/>
  <c r="AI95" i="22"/>
  <c r="AI48" i="22"/>
  <c r="AJ78" i="22"/>
  <c r="AJ24" i="22"/>
  <c r="AI92" i="22"/>
  <c r="AI40" i="22"/>
  <c r="AJ69" i="22"/>
  <c r="AJ22" i="22"/>
  <c r="AI80" i="22"/>
  <c r="AI39" i="22"/>
  <c r="AJ68" i="22"/>
  <c r="AJ21" i="22"/>
  <c r="AI38" i="22"/>
  <c r="AJ20" i="22"/>
  <c r="AI37" i="22"/>
  <c r="AI36" i="22"/>
  <c r="AI47" i="22"/>
  <c r="AJ47" i="22"/>
  <c r="AI27" i="22"/>
  <c r="AJ27" i="22"/>
  <c r="AI87" i="22"/>
  <c r="AJ87" i="22"/>
  <c r="AI67" i="22"/>
  <c r="AJ67" i="22"/>
  <c r="AI107" i="22"/>
  <c r="AJ107" i="22"/>
  <c r="AI25" i="22"/>
  <c r="AJ25" i="22"/>
  <c r="AI45" i="22"/>
  <c r="AJ45" i="22"/>
  <c r="AI65" i="22"/>
  <c r="AJ65" i="22"/>
  <c r="AI85" i="22"/>
  <c r="AJ85" i="22"/>
  <c r="AI105" i="22"/>
  <c r="AJ105" i="22"/>
  <c r="AI26" i="22"/>
  <c r="AJ26" i="22"/>
  <c r="AI46" i="22"/>
  <c r="AJ46" i="22"/>
  <c r="AI66" i="22"/>
  <c r="AJ66" i="22"/>
  <c r="AI86" i="22"/>
  <c r="AJ86" i="22"/>
  <c r="AI106" i="22"/>
  <c r="AJ106" i="22"/>
  <c r="AJ91" i="22"/>
  <c r="AJ88" i="22"/>
  <c r="AJ30" i="22"/>
  <c r="AJ34" i="22"/>
  <c r="AJ54" i="22"/>
  <c r="AJ74" i="22"/>
  <c r="AJ94" i="22"/>
  <c r="AI34" i="22"/>
  <c r="AJ29" i="22"/>
  <c r="AI68" i="22"/>
  <c r="AI33" i="22"/>
  <c r="AJ28" i="22"/>
  <c r="AI30" i="22"/>
  <c r="AI90" i="22"/>
  <c r="AI94" i="22"/>
  <c r="AJ109" i="22"/>
  <c r="AJ48" i="22"/>
  <c r="AI22" i="22"/>
  <c r="AI42" i="22"/>
  <c r="AI62" i="22"/>
  <c r="AI82" i="22"/>
  <c r="AI102" i="22"/>
  <c r="AI54" i="22"/>
  <c r="AI110" i="22"/>
  <c r="AJ31" i="22"/>
  <c r="AJ71" i="22"/>
  <c r="AI108" i="22"/>
  <c r="AJ90" i="22"/>
  <c r="AJ108" i="22"/>
  <c r="AI9" i="22"/>
  <c r="AI23" i="22"/>
  <c r="AI43" i="22"/>
  <c r="AI63" i="22"/>
  <c r="AI83" i="22"/>
  <c r="AI103" i="22"/>
  <c r="AI88" i="22"/>
  <c r="AI53" i="22"/>
  <c r="AI50" i="22"/>
  <c r="AI70" i="22"/>
  <c r="AJ51" i="22"/>
  <c r="AJ111" i="22"/>
  <c r="AJ89" i="22"/>
  <c r="AI93" i="22"/>
  <c r="AI28" i="22"/>
  <c r="AJ50" i="22"/>
  <c r="AJ49" i="22"/>
  <c r="AI91" i="22"/>
  <c r="AI24" i="22"/>
  <c r="AI44" i="22"/>
  <c r="AI64" i="22"/>
  <c r="AI84" i="22"/>
  <c r="AI104" i="22"/>
  <c r="AI10" i="22"/>
  <c r="BA1016" i="22"/>
  <c r="BE1016" i="22" s="1"/>
  <c r="BA965" i="22"/>
  <c r="BE965" i="22" s="1"/>
  <c r="BA1014" i="22"/>
  <c r="BE1014" i="22" s="1"/>
  <c r="BA1017" i="22"/>
  <c r="BE1017" i="22" s="1"/>
  <c r="BA1001" i="22"/>
  <c r="BE1001" i="22" s="1"/>
  <c r="BA954" i="22"/>
  <c r="BE954" i="22" s="1"/>
  <c r="BA952" i="22"/>
  <c r="BE952" i="22" s="1"/>
  <c r="BA1002" i="22"/>
  <c r="BE1002" i="22" s="1"/>
  <c r="BA955" i="22"/>
  <c r="BE955" i="22" s="1"/>
  <c r="BA1019" i="22"/>
  <c r="BE1019" i="22" s="1"/>
  <c r="BA1012" i="22"/>
  <c r="BE1012" i="22" s="1"/>
  <c r="BA960" i="22"/>
  <c r="BE960" i="22" s="1"/>
  <c r="BA997" i="22"/>
  <c r="BE997" i="22" s="1"/>
  <c r="BA989" i="22"/>
  <c r="BE989" i="22" s="1"/>
  <c r="BA981" i="22"/>
  <c r="BE981" i="22" s="1"/>
  <c r="BA1000" i="22"/>
  <c r="BE1000" i="22" s="1"/>
  <c r="BA959" i="22"/>
  <c r="BE959" i="22" s="1"/>
  <c r="BA988" i="22"/>
  <c r="BE988" i="22" s="1"/>
  <c r="BA980" i="22"/>
  <c r="BE980" i="22" s="1"/>
  <c r="BA964" i="22"/>
  <c r="BE964" i="22" s="1"/>
  <c r="BA845" i="22"/>
  <c r="BE845" i="22" s="1"/>
  <c r="BA844" i="22"/>
  <c r="BE844" i="22" s="1"/>
  <c r="BA971" i="22"/>
  <c r="BE971" i="22" s="1"/>
  <c r="BA978" i="22"/>
  <c r="BA970" i="22"/>
  <c r="BE970" i="22" s="1"/>
  <c r="BA962" i="22"/>
  <c r="BA840" i="22"/>
  <c r="BE840" i="22" s="1"/>
  <c r="BA1015" i="22"/>
  <c r="BE1015" i="22" s="1"/>
  <c r="BA1007" i="22"/>
  <c r="BE1007" i="22" s="1"/>
  <c r="BA843" i="22"/>
  <c r="BE843" i="22" s="1"/>
  <c r="BA974" i="22"/>
  <c r="BE974" i="22" s="1"/>
  <c r="BA1005" i="22"/>
  <c r="BE1005" i="22" s="1"/>
  <c r="BA958" i="22"/>
  <c r="BE958" i="22" s="1"/>
  <c r="BA951" i="22"/>
  <c r="BE951" i="22" s="1"/>
  <c r="BA1018" i="22"/>
  <c r="BA1010" i="22"/>
  <c r="BE1010" i="22" s="1"/>
  <c r="BA1009" i="22"/>
  <c r="BE1009" i="22" s="1"/>
  <c r="BA1013" i="22"/>
  <c r="BA1011" i="22"/>
  <c r="BE1011" i="22" s="1"/>
  <c r="BA1008" i="22"/>
  <c r="BE1008" i="22" s="1"/>
  <c r="BA996" i="22"/>
  <c r="BE996" i="22" s="1"/>
  <c r="BA1003" i="22"/>
  <c r="BE1003" i="22" s="1"/>
  <c r="BA999" i="22"/>
  <c r="BA998" i="22"/>
  <c r="BE998" i="22" s="1"/>
  <c r="BA1004" i="22"/>
  <c r="BE1004" i="22" s="1"/>
  <c r="BA1006" i="22"/>
  <c r="BE1006" i="22" s="1"/>
  <c r="BA995" i="22"/>
  <c r="BE995" i="22" s="1"/>
  <c r="BA994" i="22"/>
  <c r="BA993" i="22"/>
  <c r="BA992" i="22"/>
  <c r="BE992" i="22" s="1"/>
  <c r="BA987" i="22"/>
  <c r="BE987" i="22" s="1"/>
  <c r="BA986" i="22"/>
  <c r="BE986" i="22" s="1"/>
  <c r="BA991" i="22"/>
  <c r="BE991" i="22" s="1"/>
  <c r="BA990" i="22"/>
  <c r="BE990" i="22" s="1"/>
  <c r="BA985" i="22"/>
  <c r="BE985" i="22" s="1"/>
  <c r="BA984" i="22"/>
  <c r="BE984" i="22" s="1"/>
  <c r="BA983" i="22"/>
  <c r="BE983" i="22" s="1"/>
  <c r="BA982" i="22"/>
  <c r="BE982" i="22" s="1"/>
  <c r="BA979" i="22"/>
  <c r="BE979" i="22" s="1"/>
  <c r="BA977" i="22"/>
  <c r="BE977" i="22" s="1"/>
  <c r="BA976" i="22"/>
  <c r="BE976" i="22" s="1"/>
  <c r="BA975" i="22"/>
  <c r="BE975" i="22" s="1"/>
  <c r="BA973" i="22"/>
  <c r="BE973" i="22" s="1"/>
  <c r="BA972" i="22"/>
  <c r="BE972" i="22" s="1"/>
  <c r="BA969" i="22"/>
  <c r="BE969" i="22" s="1"/>
  <c r="BA968" i="22"/>
  <c r="BA967" i="22"/>
  <c r="BE967" i="22" s="1"/>
  <c r="BA966" i="22"/>
  <c r="BE966" i="22" s="1"/>
  <c r="BA963" i="22"/>
  <c r="BE963" i="22" s="1"/>
  <c r="BA961" i="22"/>
  <c r="BE961" i="22" s="1"/>
  <c r="BA957" i="22"/>
  <c r="BE957" i="22" s="1"/>
  <c r="BA956" i="22"/>
  <c r="BE956" i="22" s="1"/>
  <c r="BA953" i="22"/>
  <c r="BE953" i="22" s="1"/>
  <c r="BA838" i="22"/>
  <c r="BA841" i="22"/>
  <c r="BA842" i="22"/>
  <c r="BA839" i="22"/>
  <c r="BH49" i="22" l="1"/>
  <c r="BH51" i="22"/>
  <c r="BC69" i="22"/>
  <c r="BH69" i="22"/>
  <c r="BC71" i="22"/>
  <c r="BH71" i="22"/>
  <c r="BC11" i="22"/>
  <c r="BH11" i="22"/>
  <c r="BC31" i="22"/>
  <c r="BH31" i="22"/>
  <c r="BC9" i="22"/>
  <c r="BH9" i="22"/>
  <c r="BC70" i="22"/>
  <c r="BH70" i="22"/>
  <c r="BC29" i="22"/>
  <c r="BH29" i="22"/>
  <c r="BC109" i="22"/>
  <c r="BH109" i="22"/>
  <c r="BC89" i="22"/>
  <c r="BH89" i="22"/>
  <c r="BC110" i="22"/>
  <c r="BC93" i="22"/>
  <c r="BC32" i="22"/>
  <c r="BC23" i="22"/>
  <c r="BC81" i="22"/>
  <c r="BC104" i="22"/>
  <c r="BC56" i="22"/>
  <c r="BC77" i="22"/>
  <c r="BC19" i="22"/>
  <c r="BC79" i="22"/>
  <c r="BC55" i="22"/>
  <c r="BC95" i="22"/>
  <c r="BC92" i="22"/>
  <c r="BC62" i="22"/>
  <c r="BC61" i="22"/>
  <c r="BC36" i="22"/>
  <c r="BC35" i="22"/>
  <c r="BC75" i="22"/>
  <c r="BC72" i="22"/>
  <c r="BC41" i="22"/>
  <c r="BC33" i="22"/>
  <c r="BC97" i="22"/>
  <c r="BC101" i="22"/>
  <c r="BC53" i="22"/>
  <c r="BC73" i="22"/>
  <c r="BC43" i="22"/>
  <c r="BC59" i="22"/>
  <c r="BC63" i="22"/>
  <c r="BC74" i="22"/>
  <c r="BC18" i="22"/>
  <c r="BC52" i="22"/>
  <c r="BC64" i="22"/>
  <c r="BC21" i="22"/>
  <c r="BC112" i="22"/>
  <c r="BC37" i="22"/>
  <c r="BC102" i="22"/>
  <c r="BC103" i="22"/>
  <c r="BC76" i="22"/>
  <c r="BC96" i="22"/>
  <c r="BC84" i="22"/>
  <c r="BC78" i="22"/>
  <c r="BE978" i="22"/>
  <c r="BE999" i="22"/>
  <c r="BE962" i="22"/>
  <c r="BE1013" i="22"/>
  <c r="BE1018" i="22"/>
  <c r="BE994" i="22"/>
  <c r="BE993" i="22"/>
  <c r="BE968" i="22"/>
  <c r="BE842" i="22"/>
  <c r="BE838" i="22"/>
  <c r="BE841" i="22"/>
  <c r="BE839" i="22"/>
  <c r="AJ838" i="22" l="1"/>
  <c r="AK838" i="22" s="1"/>
  <c r="AJ839" i="22"/>
  <c r="AK839" i="22" s="1"/>
  <c r="AJ840" i="22"/>
  <c r="AK840" i="22" s="1"/>
  <c r="AJ841" i="22"/>
  <c r="AK841" i="22" s="1"/>
  <c r="AJ842" i="22"/>
  <c r="AK842" i="22" s="1"/>
  <c r="AJ843" i="22"/>
  <c r="AK843" i="22" s="1"/>
  <c r="AJ844" i="22"/>
  <c r="AK844" i="22" s="1"/>
  <c r="AJ845" i="22"/>
  <c r="AK845" i="22" s="1"/>
  <c r="AJ846" i="22"/>
  <c r="AK846" i="22" s="1"/>
  <c r="AJ847" i="22"/>
  <c r="AK847" i="22" s="1"/>
  <c r="AJ848" i="22"/>
  <c r="AK848" i="22" s="1"/>
  <c r="AJ849" i="22"/>
  <c r="AK849" i="22" s="1"/>
  <c r="AJ850" i="22"/>
  <c r="AK850" i="22" s="1"/>
  <c r="AJ784" i="22"/>
  <c r="AJ785" i="22"/>
  <c r="AK785" i="22" s="1"/>
  <c r="AJ786" i="22"/>
  <c r="AK786" i="22" s="1"/>
  <c r="Y399" i="22"/>
  <c r="Y279" i="22"/>
  <c r="P1018" i="22"/>
  <c r="Y1017" i="22"/>
  <c r="P1015" i="22"/>
  <c r="Y1015" i="22"/>
  <c r="U1015" i="22"/>
  <c r="Y1014" i="22"/>
  <c r="Y1013" i="22"/>
  <c r="Y1012" i="22"/>
  <c r="P1012" i="22"/>
  <c r="U1012" i="22"/>
  <c r="Y1010" i="22"/>
  <c r="Y1006" i="22"/>
  <c r="Y1005" i="22"/>
  <c r="P1005" i="22"/>
  <c r="Y999" i="22"/>
  <c r="Y998" i="22"/>
  <c r="Y995" i="22"/>
  <c r="Y994" i="22"/>
  <c r="P997" i="22"/>
  <c r="U997" i="22"/>
  <c r="Y993" i="22"/>
  <c r="P993" i="22"/>
  <c r="Y991" i="22"/>
  <c r="P991" i="22"/>
  <c r="P988" i="22"/>
  <c r="Y987" i="22"/>
  <c r="Y986" i="22"/>
  <c r="Y984" i="22"/>
  <c r="T984" i="22"/>
  <c r="Y978" i="22"/>
  <c r="T977" i="22"/>
  <c r="U977" i="22"/>
  <c r="Y965" i="22"/>
  <c r="Y973" i="22"/>
  <c r="U975" i="22"/>
  <c r="P975" i="22"/>
  <c r="P971" i="22"/>
  <c r="P969" i="22"/>
  <c r="T967" i="22"/>
  <c r="U967" i="22"/>
  <c r="T964" i="22"/>
  <c r="U964" i="22"/>
  <c r="P961" i="22"/>
  <c r="T959" i="22"/>
  <c r="P957" i="22"/>
  <c r="U957" i="22"/>
  <c r="P953" i="22"/>
  <c r="U947" i="22"/>
  <c r="P947" i="22"/>
  <c r="P945" i="22"/>
  <c r="U945" i="22"/>
  <c r="Y944" i="22"/>
  <c r="P942" i="22"/>
  <c r="U942" i="22"/>
  <c r="Y941" i="22"/>
  <c r="Y940" i="22"/>
  <c r="T930" i="22"/>
  <c r="Y930" i="22"/>
  <c r="U927" i="22"/>
  <c r="P927" i="22"/>
  <c r="Y926" i="22"/>
  <c r="P925" i="22"/>
  <c r="T923" i="22"/>
  <c r="U923" i="22"/>
  <c r="Y921" i="22"/>
  <c r="P921" i="22"/>
  <c r="U921" i="22"/>
  <c r="Y917" i="22"/>
  <c r="T917" i="22"/>
  <c r="Y916" i="22"/>
  <c r="T911" i="22"/>
  <c r="U911" i="22"/>
  <c r="P908" i="22"/>
  <c r="U908" i="22"/>
  <c r="U907" i="22"/>
  <c r="P907" i="22"/>
  <c r="Y906" i="22"/>
  <c r="Y902" i="22"/>
  <c r="T902" i="22"/>
  <c r="U902" i="22"/>
  <c r="T900" i="22"/>
  <c r="Y899" i="22"/>
  <c r="Y897" i="22"/>
  <c r="T897" i="22"/>
  <c r="Y893" i="22"/>
  <c r="Y892" i="22"/>
  <c r="U892" i="22"/>
  <c r="T892" i="22"/>
  <c r="Y891" i="22"/>
  <c r="Y890" i="22"/>
  <c r="P890" i="22"/>
  <c r="U883" i="22"/>
  <c r="P880" i="22"/>
  <c r="U880" i="22"/>
  <c r="U877" i="22"/>
  <c r="T854" i="22"/>
  <c r="Y854" i="22"/>
  <c r="P845" i="22"/>
  <c r="Y844" i="22"/>
  <c r="U844" i="22"/>
  <c r="M838" i="22"/>
  <c r="M843" i="22"/>
  <c r="M844" i="22"/>
  <c r="M845" i="22"/>
  <c r="Y843" i="22"/>
  <c r="T842" i="22"/>
  <c r="U842" i="22"/>
  <c r="Y840" i="22"/>
  <c r="K840" i="22"/>
  <c r="M840" i="22" s="1"/>
  <c r="K841" i="22"/>
  <c r="M841" i="22" s="1"/>
  <c r="Z841" i="22" s="1"/>
  <c r="K842" i="22"/>
  <c r="M842" i="22" s="1"/>
  <c r="K839" i="22"/>
  <c r="M839" i="22" s="1"/>
  <c r="Y839" i="22"/>
  <c r="Y837" i="22"/>
  <c r="P837" i="22"/>
  <c r="Y832" i="22"/>
  <c r="Y831" i="22"/>
  <c r="T830" i="22"/>
  <c r="P830" i="22"/>
  <c r="Y823" i="22"/>
  <c r="Y822" i="22"/>
  <c r="T818" i="22"/>
  <c r="T814" i="22"/>
  <c r="P814" i="22"/>
  <c r="P812" i="22"/>
  <c r="T797" i="22"/>
  <c r="M784" i="22"/>
  <c r="T781" i="22"/>
  <c r="Y780" i="22"/>
  <c r="P773" i="22"/>
  <c r="P769" i="22"/>
  <c r="T767" i="22"/>
  <c r="Y656" i="22"/>
  <c r="Y635" i="22"/>
  <c r="Y657" i="22"/>
  <c r="Y642" i="22"/>
  <c r="Y672" i="22"/>
  <c r="Z839" i="22" l="1"/>
  <c r="BI839" i="22" s="1"/>
  <c r="V845" i="22"/>
  <c r="BB845" i="22" s="1"/>
  <c r="Z845" i="22"/>
  <c r="BD845" i="22" s="1"/>
  <c r="N842" i="22"/>
  <c r="Z842" i="22"/>
  <c r="BD842" i="22" s="1"/>
  <c r="V840" i="22"/>
  <c r="BJ840" i="22" s="1"/>
  <c r="Z840" i="22"/>
  <c r="BD840" i="22" s="1"/>
  <c r="V784" i="22"/>
  <c r="Z784" i="22"/>
  <c r="BI784" i="22" s="1"/>
  <c r="N844" i="22"/>
  <c r="Z844" i="22"/>
  <c r="BI844" i="22" s="1"/>
  <c r="N843" i="22"/>
  <c r="Z843" i="22"/>
  <c r="BD843" i="22" s="1"/>
  <c r="V838" i="22"/>
  <c r="BB838" i="22" s="1"/>
  <c r="Z838" i="22"/>
  <c r="BI838" i="22" s="1"/>
  <c r="BI841" i="22"/>
  <c r="BD841" i="22"/>
  <c r="V844" i="22"/>
  <c r="V843" i="22"/>
  <c r="N845" i="22"/>
  <c r="V839" i="22"/>
  <c r="N839" i="22"/>
  <c r="V841" i="22"/>
  <c r="N841" i="22"/>
  <c r="V842" i="22"/>
  <c r="N840" i="22"/>
  <c r="N838" i="22"/>
  <c r="N784" i="22"/>
  <c r="T764" i="22"/>
  <c r="U764" i="22"/>
  <c r="T760" i="22"/>
  <c r="BS845" i="22" l="1"/>
  <c r="O845" i="22"/>
  <c r="BS838" i="22"/>
  <c r="O838" i="22"/>
  <c r="BS841" i="22"/>
  <c r="O841" i="22"/>
  <c r="BS842" i="22"/>
  <c r="O842" i="22"/>
  <c r="BS843" i="22"/>
  <c r="O843" i="22"/>
  <c r="BS844" i="22"/>
  <c r="O844" i="22"/>
  <c r="BS784" i="22"/>
  <c r="O784" i="22"/>
  <c r="BS840" i="22"/>
  <c r="O840" i="22"/>
  <c r="BS839" i="22"/>
  <c r="O839" i="22"/>
  <c r="BD839" i="22"/>
  <c r="BJ845" i="22"/>
  <c r="BG840" i="22"/>
  <c r="BB840" i="22"/>
  <c r="BR840" i="22" s="1"/>
  <c r="BI842" i="22"/>
  <c r="BI845" i="22"/>
  <c r="BG845" i="22"/>
  <c r="BD844" i="22"/>
  <c r="BI840" i="22"/>
  <c r="BQ840" i="22" s="1"/>
  <c r="BI843" i="22"/>
  <c r="BD838" i="22"/>
  <c r="BR838" i="22" s="1"/>
  <c r="BG838" i="22"/>
  <c r="BD784" i="22"/>
  <c r="BJ838" i="22"/>
  <c r="BQ838" i="22" s="1"/>
  <c r="BJ842" i="22"/>
  <c r="BB842" i="22"/>
  <c r="BR842" i="22" s="1"/>
  <c r="BG842" i="22"/>
  <c r="BJ841" i="22"/>
  <c r="BQ841" i="22" s="1"/>
  <c r="BB841" i="22"/>
  <c r="BR841" i="22" s="1"/>
  <c r="BG841" i="22"/>
  <c r="BJ839" i="22"/>
  <c r="BQ839" i="22" s="1"/>
  <c r="BB839" i="22"/>
  <c r="BG839" i="22"/>
  <c r="BJ843" i="22"/>
  <c r="BB843" i="22"/>
  <c r="BR843" i="22" s="1"/>
  <c r="BG843" i="22"/>
  <c r="BJ844" i="22"/>
  <c r="BQ844" i="22" s="1"/>
  <c r="BB844" i="22"/>
  <c r="BG844" i="22"/>
  <c r="BR845" i="22"/>
  <c r="K675" i="22"/>
  <c r="K676" i="22"/>
  <c r="AJ695" i="22"/>
  <c r="AK695" i="22" s="1"/>
  <c r="AJ696" i="22"/>
  <c r="AK696" i="22" s="1"/>
  <c r="AJ697" i="22"/>
  <c r="AK697" i="22" s="1"/>
  <c r="AJ698" i="22"/>
  <c r="AK698" i="22" s="1"/>
  <c r="AJ699" i="22"/>
  <c r="AK699" i="22" s="1"/>
  <c r="AJ700" i="22"/>
  <c r="AK700" i="22" s="1"/>
  <c r="AJ701" i="22"/>
  <c r="AK701" i="22" s="1"/>
  <c r="AJ702" i="22"/>
  <c r="AK702" i="22" s="1"/>
  <c r="AJ703" i="22"/>
  <c r="AK703" i="22" s="1"/>
  <c r="AJ704" i="22"/>
  <c r="AK704" i="22" s="1"/>
  <c r="AJ705" i="22"/>
  <c r="AK705" i="22" s="1"/>
  <c r="AJ706" i="22"/>
  <c r="AK706" i="22" s="1"/>
  <c r="AJ707" i="22"/>
  <c r="AK707" i="22" s="1"/>
  <c r="AJ708" i="22"/>
  <c r="AK708" i="22" s="1"/>
  <c r="AJ709" i="22"/>
  <c r="AK709" i="22" s="1"/>
  <c r="AJ710" i="22"/>
  <c r="AK710" i="22" s="1"/>
  <c r="AJ711" i="22"/>
  <c r="AK711" i="22" s="1"/>
  <c r="AJ712" i="22"/>
  <c r="AK712" i="22" s="1"/>
  <c r="AJ713" i="22"/>
  <c r="AK713" i="22" s="1"/>
  <c r="AJ714" i="22"/>
  <c r="AK714" i="22" s="1"/>
  <c r="AJ715" i="22"/>
  <c r="AK715" i="22" s="1"/>
  <c r="AJ716" i="22"/>
  <c r="AK716" i="22" s="1"/>
  <c r="AJ717" i="22"/>
  <c r="AK717" i="22" s="1"/>
  <c r="AJ718" i="22"/>
  <c r="AK718" i="22" s="1"/>
  <c r="AJ719" i="22"/>
  <c r="AK719" i="22" s="1"/>
  <c r="AJ720" i="22"/>
  <c r="AK720" i="22" s="1"/>
  <c r="AJ721" i="22"/>
  <c r="AK721" i="22" s="1"/>
  <c r="AJ722" i="22"/>
  <c r="AK722" i="22" s="1"/>
  <c r="AJ723" i="22"/>
  <c r="AK723" i="22" s="1"/>
  <c r="AJ724" i="22"/>
  <c r="AK724" i="22" s="1"/>
  <c r="AJ725" i="22"/>
  <c r="AK725" i="22" s="1"/>
  <c r="AJ726" i="22"/>
  <c r="AK726" i="22" s="1"/>
  <c r="AJ727" i="22"/>
  <c r="AK727" i="22" s="1"/>
  <c r="AJ728" i="22"/>
  <c r="AK728" i="22" s="1"/>
  <c r="AJ729" i="22"/>
  <c r="AK729" i="22" s="1"/>
  <c r="AJ730" i="22"/>
  <c r="AK730" i="22" s="1"/>
  <c r="AJ731" i="22"/>
  <c r="AK731" i="22" s="1"/>
  <c r="AJ732" i="22"/>
  <c r="AK732" i="22" s="1"/>
  <c r="AJ733" i="22"/>
  <c r="AK733" i="22" s="1"/>
  <c r="AJ734" i="22"/>
  <c r="AK734" i="22" s="1"/>
  <c r="AV677" i="22"/>
  <c r="AW677" i="22"/>
  <c r="AX677" i="22"/>
  <c r="AY677" i="22"/>
  <c r="AZ677" i="22"/>
  <c r="BF677" i="22"/>
  <c r="BH677" i="22"/>
  <c r="BK677" i="22"/>
  <c r="BL677" i="22"/>
  <c r="BM677" i="22"/>
  <c r="BN677" i="22"/>
  <c r="BO677" i="22"/>
  <c r="BP677" i="22"/>
  <c r="AV678" i="22"/>
  <c r="AW678" i="22"/>
  <c r="AX678" i="22"/>
  <c r="AY678" i="22"/>
  <c r="AZ678" i="22"/>
  <c r="BF678" i="22"/>
  <c r="BH678" i="22"/>
  <c r="BK678" i="22"/>
  <c r="BL678" i="22"/>
  <c r="BM678" i="22"/>
  <c r="BN678" i="22"/>
  <c r="BO678" i="22"/>
  <c r="BP678" i="22"/>
  <c r="AV679" i="22"/>
  <c r="AW679" i="22"/>
  <c r="AX679" i="22"/>
  <c r="AY679" i="22"/>
  <c r="AZ679" i="22"/>
  <c r="BF679" i="22"/>
  <c r="BH679" i="22"/>
  <c r="BK679" i="22"/>
  <c r="BL679" i="22"/>
  <c r="BM679" i="22"/>
  <c r="BN679" i="22"/>
  <c r="BO679" i="22"/>
  <c r="BP679" i="22"/>
  <c r="AV680" i="22"/>
  <c r="AW680" i="22"/>
  <c r="AX680" i="22"/>
  <c r="AY680" i="22"/>
  <c r="AZ680" i="22"/>
  <c r="BF680" i="22"/>
  <c r="BH680" i="22"/>
  <c r="BK680" i="22"/>
  <c r="BL680" i="22"/>
  <c r="BM680" i="22"/>
  <c r="BN680" i="22"/>
  <c r="BO680" i="22"/>
  <c r="BP680" i="22"/>
  <c r="AV681" i="22"/>
  <c r="AW681" i="22"/>
  <c r="AX681" i="22"/>
  <c r="AY681" i="22"/>
  <c r="AZ681" i="22"/>
  <c r="BF681" i="22"/>
  <c r="BH681" i="22"/>
  <c r="BK681" i="22"/>
  <c r="BL681" i="22"/>
  <c r="BM681" i="22"/>
  <c r="BN681" i="22"/>
  <c r="BO681" i="22"/>
  <c r="BP681" i="22"/>
  <c r="AV682" i="22"/>
  <c r="AW682" i="22"/>
  <c r="AX682" i="22"/>
  <c r="AY682" i="22"/>
  <c r="AZ682" i="22"/>
  <c r="BF682" i="22"/>
  <c r="BK682" i="22"/>
  <c r="BL682" i="22"/>
  <c r="BM682" i="22"/>
  <c r="BN682" i="22"/>
  <c r="BO682" i="22"/>
  <c r="BP682" i="22"/>
  <c r="AV683" i="22"/>
  <c r="AW683" i="22"/>
  <c r="AX683" i="22"/>
  <c r="AY683" i="22"/>
  <c r="AZ683" i="22"/>
  <c r="BF683" i="22"/>
  <c r="BK683" i="22"/>
  <c r="BL683" i="22"/>
  <c r="BM683" i="22"/>
  <c r="BN683" i="22"/>
  <c r="BO683" i="22"/>
  <c r="BP683" i="22"/>
  <c r="AV684" i="22"/>
  <c r="AW684" i="22"/>
  <c r="AX684" i="22"/>
  <c r="AY684" i="22"/>
  <c r="AZ684" i="22"/>
  <c r="BF684" i="22"/>
  <c r="BK684" i="22"/>
  <c r="BL684" i="22"/>
  <c r="BM684" i="22"/>
  <c r="BN684" i="22"/>
  <c r="BO684" i="22"/>
  <c r="BP684" i="22"/>
  <c r="AV685" i="22"/>
  <c r="AW685" i="22"/>
  <c r="AX685" i="22"/>
  <c r="AY685" i="22"/>
  <c r="AZ685" i="22"/>
  <c r="BF685" i="22"/>
  <c r="BK685" i="22"/>
  <c r="BL685" i="22"/>
  <c r="BM685" i="22"/>
  <c r="BN685" i="22"/>
  <c r="BO685" i="22"/>
  <c r="BP685" i="22"/>
  <c r="AV686" i="22"/>
  <c r="AW686" i="22"/>
  <c r="AX686" i="22"/>
  <c r="AY686" i="22"/>
  <c r="AZ686" i="22"/>
  <c r="BF686" i="22"/>
  <c r="BK686" i="22"/>
  <c r="BL686" i="22"/>
  <c r="BM686" i="22"/>
  <c r="BN686" i="22"/>
  <c r="BO686" i="22"/>
  <c r="BP686" i="22"/>
  <c r="AV687" i="22"/>
  <c r="AW687" i="22"/>
  <c r="AX687" i="22"/>
  <c r="AY687" i="22"/>
  <c r="AZ687" i="22"/>
  <c r="BF687" i="22"/>
  <c r="BK687" i="22"/>
  <c r="BL687" i="22"/>
  <c r="BM687" i="22"/>
  <c r="BN687" i="22"/>
  <c r="BO687" i="22"/>
  <c r="BP687" i="22"/>
  <c r="AV688" i="22"/>
  <c r="AW688" i="22"/>
  <c r="AX688" i="22"/>
  <c r="AY688" i="22"/>
  <c r="AZ688" i="22"/>
  <c r="BF688" i="22"/>
  <c r="BK688" i="22"/>
  <c r="BL688" i="22"/>
  <c r="BM688" i="22"/>
  <c r="BN688" i="22"/>
  <c r="BO688" i="22"/>
  <c r="BP688" i="22"/>
  <c r="AV689" i="22"/>
  <c r="AW689" i="22"/>
  <c r="AX689" i="22"/>
  <c r="AY689" i="22"/>
  <c r="AZ689" i="22"/>
  <c r="BF689" i="22"/>
  <c r="BK689" i="22"/>
  <c r="BL689" i="22"/>
  <c r="BM689" i="22"/>
  <c r="BN689" i="22"/>
  <c r="BO689" i="22"/>
  <c r="BP689" i="22"/>
  <c r="AV690" i="22"/>
  <c r="AW690" i="22"/>
  <c r="AX690" i="22"/>
  <c r="AY690" i="22"/>
  <c r="AZ690" i="22"/>
  <c r="BF690" i="22"/>
  <c r="BK690" i="22"/>
  <c r="BL690" i="22"/>
  <c r="BM690" i="22"/>
  <c r="BN690" i="22"/>
  <c r="BO690" i="22"/>
  <c r="BP690" i="22"/>
  <c r="AV691" i="22"/>
  <c r="AW691" i="22"/>
  <c r="AX691" i="22"/>
  <c r="AY691" i="22"/>
  <c r="AZ691" i="22"/>
  <c r="BF691" i="22"/>
  <c r="BK691" i="22"/>
  <c r="BL691" i="22"/>
  <c r="BM691" i="22"/>
  <c r="BN691" i="22"/>
  <c r="BO691" i="22"/>
  <c r="BP691" i="22"/>
  <c r="AV692" i="22"/>
  <c r="AW692" i="22"/>
  <c r="AX692" i="22"/>
  <c r="AY692" i="22"/>
  <c r="AZ692" i="22"/>
  <c r="BF692" i="22"/>
  <c r="BK692" i="22"/>
  <c r="BL692" i="22"/>
  <c r="BM692" i="22"/>
  <c r="BN692" i="22"/>
  <c r="BO692" i="22"/>
  <c r="BP692" i="22"/>
  <c r="AV693" i="22"/>
  <c r="AW693" i="22"/>
  <c r="AX693" i="22"/>
  <c r="AY693" i="22"/>
  <c r="AZ693" i="22"/>
  <c r="BF693" i="22"/>
  <c r="BK693" i="22"/>
  <c r="BL693" i="22"/>
  <c r="BM693" i="22"/>
  <c r="BN693" i="22"/>
  <c r="BO693" i="22"/>
  <c r="BP693" i="22"/>
  <c r="AV694" i="22"/>
  <c r="AW694" i="22"/>
  <c r="AX694" i="22"/>
  <c r="AY694" i="22"/>
  <c r="AZ694" i="22"/>
  <c r="BF694" i="22"/>
  <c r="BH694" i="22"/>
  <c r="BK694" i="22"/>
  <c r="BL694" i="22"/>
  <c r="BM694" i="22"/>
  <c r="BN694" i="22"/>
  <c r="BO694" i="22"/>
  <c r="BP694" i="22"/>
  <c r="AV695" i="22"/>
  <c r="AW695" i="22"/>
  <c r="AX695" i="22"/>
  <c r="AY695" i="22"/>
  <c r="AZ695" i="22"/>
  <c r="BF695" i="22"/>
  <c r="BH695" i="22"/>
  <c r="BK695" i="22"/>
  <c r="BL695" i="22"/>
  <c r="BM695" i="22"/>
  <c r="BN695" i="22"/>
  <c r="BO695" i="22"/>
  <c r="BP695" i="22"/>
  <c r="AV696" i="22"/>
  <c r="AW696" i="22"/>
  <c r="AX696" i="22"/>
  <c r="AY696" i="22"/>
  <c r="AZ696" i="22"/>
  <c r="BF696" i="22"/>
  <c r="BH696" i="22"/>
  <c r="BK696" i="22"/>
  <c r="BL696" i="22"/>
  <c r="BM696" i="22"/>
  <c r="BN696" i="22"/>
  <c r="BO696" i="22"/>
  <c r="BP696" i="22"/>
  <c r="AV697" i="22"/>
  <c r="AW697" i="22"/>
  <c r="AX697" i="22"/>
  <c r="AY697" i="22"/>
  <c r="AZ697" i="22"/>
  <c r="BF697" i="22"/>
  <c r="BH697" i="22"/>
  <c r="BK697" i="22"/>
  <c r="BL697" i="22"/>
  <c r="BM697" i="22"/>
  <c r="BN697" i="22"/>
  <c r="BO697" i="22"/>
  <c r="BP697" i="22"/>
  <c r="AV698" i="22"/>
  <c r="AW698" i="22"/>
  <c r="AX698" i="22"/>
  <c r="AY698" i="22"/>
  <c r="AZ698" i="22"/>
  <c r="BF698" i="22"/>
  <c r="BH698" i="22"/>
  <c r="BK698" i="22"/>
  <c r="BL698" i="22"/>
  <c r="BM698" i="22"/>
  <c r="BN698" i="22"/>
  <c r="BO698" i="22"/>
  <c r="BP698" i="22"/>
  <c r="AV699" i="22"/>
  <c r="AW699" i="22"/>
  <c r="AX699" i="22"/>
  <c r="AY699" i="22"/>
  <c r="AZ699" i="22"/>
  <c r="BF699" i="22"/>
  <c r="BH699" i="22"/>
  <c r="BK699" i="22"/>
  <c r="BL699" i="22"/>
  <c r="BM699" i="22"/>
  <c r="BN699" i="22"/>
  <c r="BO699" i="22"/>
  <c r="BP699" i="22"/>
  <c r="AV700" i="22"/>
  <c r="AW700" i="22"/>
  <c r="AX700" i="22"/>
  <c r="AY700" i="22"/>
  <c r="AZ700" i="22"/>
  <c r="BF700" i="22"/>
  <c r="BH700" i="22"/>
  <c r="BK700" i="22"/>
  <c r="BL700" i="22"/>
  <c r="BM700" i="22"/>
  <c r="BN700" i="22"/>
  <c r="BO700" i="22"/>
  <c r="BP700" i="22"/>
  <c r="AV701" i="22"/>
  <c r="AW701" i="22"/>
  <c r="AX701" i="22"/>
  <c r="AY701" i="22"/>
  <c r="AZ701" i="22"/>
  <c r="BF701" i="22"/>
  <c r="BH701" i="22"/>
  <c r="BK701" i="22"/>
  <c r="BL701" i="22"/>
  <c r="BM701" i="22"/>
  <c r="BN701" i="22"/>
  <c r="BO701" i="22"/>
  <c r="BP701" i="22"/>
  <c r="AV702" i="22"/>
  <c r="AW702" i="22"/>
  <c r="AX702" i="22"/>
  <c r="AY702" i="22"/>
  <c r="AZ702" i="22"/>
  <c r="BF702" i="22"/>
  <c r="BH702" i="22"/>
  <c r="BK702" i="22"/>
  <c r="BL702" i="22"/>
  <c r="BM702" i="22"/>
  <c r="BN702" i="22"/>
  <c r="BO702" i="22"/>
  <c r="BP702" i="22"/>
  <c r="AV703" i="22"/>
  <c r="AW703" i="22"/>
  <c r="AX703" i="22"/>
  <c r="AY703" i="22"/>
  <c r="AZ703" i="22"/>
  <c r="BF703" i="22"/>
  <c r="BH703" i="22"/>
  <c r="BK703" i="22"/>
  <c r="BL703" i="22"/>
  <c r="BM703" i="22"/>
  <c r="BN703" i="22"/>
  <c r="BO703" i="22"/>
  <c r="BP703" i="22"/>
  <c r="AV704" i="22"/>
  <c r="AW704" i="22"/>
  <c r="AX704" i="22"/>
  <c r="AY704" i="22"/>
  <c r="AZ704" i="22"/>
  <c r="BF704" i="22"/>
  <c r="BH704" i="22"/>
  <c r="BK704" i="22"/>
  <c r="BL704" i="22"/>
  <c r="BM704" i="22"/>
  <c r="BN704" i="22"/>
  <c r="BO704" i="22"/>
  <c r="BP704" i="22"/>
  <c r="AV705" i="22"/>
  <c r="AW705" i="22"/>
  <c r="AX705" i="22"/>
  <c r="AY705" i="22"/>
  <c r="AZ705" i="22"/>
  <c r="BF705" i="22"/>
  <c r="BH705" i="22"/>
  <c r="BK705" i="22"/>
  <c r="BL705" i="22"/>
  <c r="BM705" i="22"/>
  <c r="BN705" i="22"/>
  <c r="BO705" i="22"/>
  <c r="BP705" i="22"/>
  <c r="AV706" i="22"/>
  <c r="AW706" i="22"/>
  <c r="AX706" i="22"/>
  <c r="AY706" i="22"/>
  <c r="AZ706" i="22"/>
  <c r="BF706" i="22"/>
  <c r="BH706" i="22"/>
  <c r="BK706" i="22"/>
  <c r="BL706" i="22"/>
  <c r="BM706" i="22"/>
  <c r="BN706" i="22"/>
  <c r="BO706" i="22"/>
  <c r="BP706" i="22"/>
  <c r="AV707" i="22"/>
  <c r="AW707" i="22"/>
  <c r="AX707" i="22"/>
  <c r="AY707" i="22"/>
  <c r="AZ707" i="22"/>
  <c r="BF707" i="22"/>
  <c r="BH707" i="22"/>
  <c r="BK707" i="22"/>
  <c r="BL707" i="22"/>
  <c r="BM707" i="22"/>
  <c r="BN707" i="22"/>
  <c r="BO707" i="22"/>
  <c r="BP707" i="22"/>
  <c r="AV708" i="22"/>
  <c r="AW708" i="22"/>
  <c r="AX708" i="22"/>
  <c r="AY708" i="22"/>
  <c r="AZ708" i="22"/>
  <c r="BF708" i="22"/>
  <c r="BH708" i="22"/>
  <c r="BK708" i="22"/>
  <c r="BL708" i="22"/>
  <c r="BM708" i="22"/>
  <c r="BN708" i="22"/>
  <c r="BO708" i="22"/>
  <c r="BP708" i="22"/>
  <c r="AV709" i="22"/>
  <c r="AW709" i="22"/>
  <c r="AX709" i="22"/>
  <c r="AY709" i="22"/>
  <c r="AZ709" i="22"/>
  <c r="BF709" i="22"/>
  <c r="BH709" i="22"/>
  <c r="BK709" i="22"/>
  <c r="BL709" i="22"/>
  <c r="BM709" i="22"/>
  <c r="BN709" i="22"/>
  <c r="BO709" i="22"/>
  <c r="BP709" i="22"/>
  <c r="AV710" i="22"/>
  <c r="AW710" i="22"/>
  <c r="AX710" i="22"/>
  <c r="AY710" i="22"/>
  <c r="AZ710" i="22"/>
  <c r="BF710" i="22"/>
  <c r="BH710" i="22"/>
  <c r="BK710" i="22"/>
  <c r="BL710" i="22"/>
  <c r="BM710" i="22"/>
  <c r="BN710" i="22"/>
  <c r="BO710" i="22"/>
  <c r="BP710" i="22"/>
  <c r="AV711" i="22"/>
  <c r="AW711" i="22"/>
  <c r="AX711" i="22"/>
  <c r="AY711" i="22"/>
  <c r="AZ711" i="22"/>
  <c r="BF711" i="22"/>
  <c r="BH711" i="22"/>
  <c r="BK711" i="22"/>
  <c r="BL711" i="22"/>
  <c r="BM711" i="22"/>
  <c r="BN711" i="22"/>
  <c r="BO711" i="22"/>
  <c r="BP711" i="22"/>
  <c r="AV712" i="22"/>
  <c r="AW712" i="22"/>
  <c r="AX712" i="22"/>
  <c r="AY712" i="22"/>
  <c r="AZ712" i="22"/>
  <c r="BF712" i="22"/>
  <c r="BH712" i="22"/>
  <c r="BK712" i="22"/>
  <c r="BL712" i="22"/>
  <c r="BM712" i="22"/>
  <c r="BN712" i="22"/>
  <c r="BO712" i="22"/>
  <c r="BP712" i="22"/>
  <c r="AV713" i="22"/>
  <c r="AW713" i="22"/>
  <c r="AX713" i="22"/>
  <c r="AY713" i="22"/>
  <c r="AZ713" i="22"/>
  <c r="BF713" i="22"/>
  <c r="BH713" i="22"/>
  <c r="BK713" i="22"/>
  <c r="BL713" i="22"/>
  <c r="BM713" i="22"/>
  <c r="BN713" i="22"/>
  <c r="BO713" i="22"/>
  <c r="BP713" i="22"/>
  <c r="AV714" i="22"/>
  <c r="AW714" i="22"/>
  <c r="AX714" i="22"/>
  <c r="AY714" i="22"/>
  <c r="AZ714" i="22"/>
  <c r="BF714" i="22"/>
  <c r="BH714" i="22"/>
  <c r="BK714" i="22"/>
  <c r="BL714" i="22"/>
  <c r="BM714" i="22"/>
  <c r="BN714" i="22"/>
  <c r="BO714" i="22"/>
  <c r="BP714" i="22"/>
  <c r="AV715" i="22"/>
  <c r="AW715" i="22"/>
  <c r="AX715" i="22"/>
  <c r="AY715" i="22"/>
  <c r="AZ715" i="22"/>
  <c r="BF715" i="22"/>
  <c r="BH715" i="22"/>
  <c r="BK715" i="22"/>
  <c r="BL715" i="22"/>
  <c r="BM715" i="22"/>
  <c r="BN715" i="22"/>
  <c r="BO715" i="22"/>
  <c r="BP715" i="22"/>
  <c r="AV716" i="22"/>
  <c r="AW716" i="22"/>
  <c r="AX716" i="22"/>
  <c r="AY716" i="22"/>
  <c r="AZ716" i="22"/>
  <c r="BF716" i="22"/>
  <c r="BH716" i="22"/>
  <c r="BK716" i="22"/>
  <c r="BL716" i="22"/>
  <c r="BM716" i="22"/>
  <c r="BN716" i="22"/>
  <c r="BO716" i="22"/>
  <c r="BP716" i="22"/>
  <c r="AV717" i="22"/>
  <c r="AW717" i="22"/>
  <c r="AX717" i="22"/>
  <c r="AY717" i="22"/>
  <c r="AZ717" i="22"/>
  <c r="BF717" i="22"/>
  <c r="BH717" i="22"/>
  <c r="BK717" i="22"/>
  <c r="BL717" i="22"/>
  <c r="BM717" i="22"/>
  <c r="BN717" i="22"/>
  <c r="BO717" i="22"/>
  <c r="BP717" i="22"/>
  <c r="AV718" i="22"/>
  <c r="AW718" i="22"/>
  <c r="AX718" i="22"/>
  <c r="AY718" i="22"/>
  <c r="AZ718" i="22"/>
  <c r="BF718" i="22"/>
  <c r="BH718" i="22"/>
  <c r="BK718" i="22"/>
  <c r="BL718" i="22"/>
  <c r="BM718" i="22"/>
  <c r="BN718" i="22"/>
  <c r="BO718" i="22"/>
  <c r="BP718" i="22"/>
  <c r="AV719" i="22"/>
  <c r="AW719" i="22"/>
  <c r="AX719" i="22"/>
  <c r="AY719" i="22"/>
  <c r="AZ719" i="22"/>
  <c r="BF719" i="22"/>
  <c r="BH719" i="22"/>
  <c r="BK719" i="22"/>
  <c r="BL719" i="22"/>
  <c r="BM719" i="22"/>
  <c r="BN719" i="22"/>
  <c r="BO719" i="22"/>
  <c r="BP719" i="22"/>
  <c r="AV720" i="22"/>
  <c r="AW720" i="22"/>
  <c r="AX720" i="22"/>
  <c r="AY720" i="22"/>
  <c r="AZ720" i="22"/>
  <c r="BF720" i="22"/>
  <c r="BH720" i="22"/>
  <c r="BK720" i="22"/>
  <c r="BL720" i="22"/>
  <c r="BM720" i="22"/>
  <c r="BN720" i="22"/>
  <c r="BO720" i="22"/>
  <c r="BP720" i="22"/>
  <c r="AV721" i="22"/>
  <c r="AW721" i="22"/>
  <c r="AX721" i="22"/>
  <c r="AY721" i="22"/>
  <c r="AZ721" i="22"/>
  <c r="BF721" i="22"/>
  <c r="BH721" i="22"/>
  <c r="BK721" i="22"/>
  <c r="BL721" i="22"/>
  <c r="BM721" i="22"/>
  <c r="BN721" i="22"/>
  <c r="BO721" i="22"/>
  <c r="BP721" i="22"/>
  <c r="AV722" i="22"/>
  <c r="AW722" i="22"/>
  <c r="AX722" i="22"/>
  <c r="AY722" i="22"/>
  <c r="AZ722" i="22"/>
  <c r="BF722" i="22"/>
  <c r="BH722" i="22"/>
  <c r="BK722" i="22"/>
  <c r="BL722" i="22"/>
  <c r="BM722" i="22"/>
  <c r="BN722" i="22"/>
  <c r="BO722" i="22"/>
  <c r="BP722" i="22"/>
  <c r="AV723" i="22"/>
  <c r="AW723" i="22"/>
  <c r="AX723" i="22"/>
  <c r="AY723" i="22"/>
  <c r="AZ723" i="22"/>
  <c r="BF723" i="22"/>
  <c r="BH723" i="22"/>
  <c r="BK723" i="22"/>
  <c r="BL723" i="22"/>
  <c r="BM723" i="22"/>
  <c r="BN723" i="22"/>
  <c r="BO723" i="22"/>
  <c r="BP723" i="22"/>
  <c r="AV724" i="22"/>
  <c r="AW724" i="22"/>
  <c r="AX724" i="22"/>
  <c r="AY724" i="22"/>
  <c r="AZ724" i="22"/>
  <c r="BF724" i="22"/>
  <c r="BH724" i="22"/>
  <c r="BK724" i="22"/>
  <c r="BL724" i="22"/>
  <c r="BM724" i="22"/>
  <c r="BN724" i="22"/>
  <c r="BO724" i="22"/>
  <c r="BP724" i="22"/>
  <c r="AV725" i="22"/>
  <c r="AW725" i="22"/>
  <c r="AX725" i="22"/>
  <c r="AY725" i="22"/>
  <c r="AZ725" i="22"/>
  <c r="BF725" i="22"/>
  <c r="BH725" i="22"/>
  <c r="BK725" i="22"/>
  <c r="BL725" i="22"/>
  <c r="BM725" i="22"/>
  <c r="BN725" i="22"/>
  <c r="BO725" i="22"/>
  <c r="BP725" i="22"/>
  <c r="AV726" i="22"/>
  <c r="AW726" i="22"/>
  <c r="AX726" i="22"/>
  <c r="AY726" i="22"/>
  <c r="AZ726" i="22"/>
  <c r="BF726" i="22"/>
  <c r="BH726" i="22"/>
  <c r="BK726" i="22"/>
  <c r="BL726" i="22"/>
  <c r="BM726" i="22"/>
  <c r="BN726" i="22"/>
  <c r="BO726" i="22"/>
  <c r="BP726" i="22"/>
  <c r="AV727" i="22"/>
  <c r="AW727" i="22"/>
  <c r="AX727" i="22"/>
  <c r="AY727" i="22"/>
  <c r="AZ727" i="22"/>
  <c r="BF727" i="22"/>
  <c r="BH727" i="22"/>
  <c r="BK727" i="22"/>
  <c r="BL727" i="22"/>
  <c r="BM727" i="22"/>
  <c r="BN727" i="22"/>
  <c r="BO727" i="22"/>
  <c r="BP727" i="22"/>
  <c r="AV728" i="22"/>
  <c r="AW728" i="22"/>
  <c r="AX728" i="22"/>
  <c r="AY728" i="22"/>
  <c r="AZ728" i="22"/>
  <c r="BF728" i="22"/>
  <c r="BH728" i="22"/>
  <c r="BK728" i="22"/>
  <c r="BL728" i="22"/>
  <c r="BM728" i="22"/>
  <c r="BN728" i="22"/>
  <c r="BO728" i="22"/>
  <c r="BP728" i="22"/>
  <c r="AV729" i="22"/>
  <c r="AW729" i="22"/>
  <c r="AX729" i="22"/>
  <c r="AY729" i="22"/>
  <c r="AZ729" i="22"/>
  <c r="BF729" i="22"/>
  <c r="BH729" i="22"/>
  <c r="BK729" i="22"/>
  <c r="BL729" i="22"/>
  <c r="BM729" i="22"/>
  <c r="BN729" i="22"/>
  <c r="BO729" i="22"/>
  <c r="BP729" i="22"/>
  <c r="AV730" i="22"/>
  <c r="AW730" i="22"/>
  <c r="AX730" i="22"/>
  <c r="AY730" i="22"/>
  <c r="AZ730" i="22"/>
  <c r="BF730" i="22"/>
  <c r="BK730" i="22"/>
  <c r="BL730" i="22"/>
  <c r="BM730" i="22"/>
  <c r="BN730" i="22"/>
  <c r="BO730" i="22"/>
  <c r="BP730" i="22"/>
  <c r="AV731" i="22"/>
  <c r="AW731" i="22"/>
  <c r="AX731" i="22"/>
  <c r="AY731" i="22"/>
  <c r="AZ731" i="22"/>
  <c r="BF731" i="22"/>
  <c r="BK731" i="22"/>
  <c r="BL731" i="22"/>
  <c r="BM731" i="22"/>
  <c r="BN731" i="22"/>
  <c r="BO731" i="22"/>
  <c r="BP731" i="22"/>
  <c r="AV732" i="22"/>
  <c r="AW732" i="22"/>
  <c r="AX732" i="22"/>
  <c r="AY732" i="22"/>
  <c r="AZ732" i="22"/>
  <c r="BF732" i="22"/>
  <c r="BK732" i="22"/>
  <c r="BL732" i="22"/>
  <c r="BM732" i="22"/>
  <c r="BN732" i="22"/>
  <c r="BO732" i="22"/>
  <c r="BP732" i="22"/>
  <c r="AV733" i="22"/>
  <c r="AW733" i="22"/>
  <c r="AX733" i="22"/>
  <c r="AY733" i="22"/>
  <c r="AZ733" i="22"/>
  <c r="BF733" i="22"/>
  <c r="BH733" i="22"/>
  <c r="BK733" i="22"/>
  <c r="BL733" i="22"/>
  <c r="BM733" i="22"/>
  <c r="BN733" i="22"/>
  <c r="BO733" i="22"/>
  <c r="BP733" i="22"/>
  <c r="AV734" i="22"/>
  <c r="AW734" i="22"/>
  <c r="AX734" i="22"/>
  <c r="AY734" i="22"/>
  <c r="AZ734" i="22"/>
  <c r="BF734" i="22"/>
  <c r="BH734" i="22"/>
  <c r="BK734" i="22"/>
  <c r="BL734" i="22"/>
  <c r="BM734" i="22"/>
  <c r="BN734" i="22"/>
  <c r="BO734" i="22"/>
  <c r="BP734" i="22"/>
  <c r="AV735" i="22"/>
  <c r="AW735" i="22"/>
  <c r="AX735" i="22"/>
  <c r="AY735" i="22"/>
  <c r="AZ735" i="22"/>
  <c r="BF735" i="22"/>
  <c r="BH735" i="22"/>
  <c r="BK735" i="22"/>
  <c r="BL735" i="22"/>
  <c r="BM735" i="22"/>
  <c r="BN735" i="22"/>
  <c r="BO735" i="22"/>
  <c r="BP735" i="22"/>
  <c r="AV736" i="22"/>
  <c r="AW736" i="22"/>
  <c r="AX736" i="22"/>
  <c r="AY736" i="22"/>
  <c r="AZ736" i="22"/>
  <c r="BF736" i="22"/>
  <c r="BH736" i="22"/>
  <c r="BK736" i="22"/>
  <c r="BL736" i="22"/>
  <c r="BM736" i="22"/>
  <c r="BN736" i="22"/>
  <c r="BO736" i="22"/>
  <c r="BP736" i="22"/>
  <c r="AV737" i="22"/>
  <c r="AW737" i="22"/>
  <c r="AX737" i="22"/>
  <c r="AY737" i="22"/>
  <c r="AZ737" i="22"/>
  <c r="BF737" i="22"/>
  <c r="BH737" i="22"/>
  <c r="BK737" i="22"/>
  <c r="BL737" i="22"/>
  <c r="BM737" i="22"/>
  <c r="BN737" i="22"/>
  <c r="BO737" i="22"/>
  <c r="BP737" i="22"/>
  <c r="AV738" i="22"/>
  <c r="AW738" i="22"/>
  <c r="AX738" i="22"/>
  <c r="AY738" i="22"/>
  <c r="AZ738" i="22"/>
  <c r="BF738" i="22"/>
  <c r="BH738" i="22"/>
  <c r="BK738" i="22"/>
  <c r="BL738" i="22"/>
  <c r="BM738" i="22"/>
  <c r="BN738" i="22"/>
  <c r="BO738" i="22"/>
  <c r="BP738" i="22"/>
  <c r="AV739" i="22"/>
  <c r="AW739" i="22"/>
  <c r="AX739" i="22"/>
  <c r="AY739" i="22"/>
  <c r="AZ739" i="22"/>
  <c r="BF739" i="22"/>
  <c r="BH739" i="22"/>
  <c r="BK739" i="22"/>
  <c r="BL739" i="22"/>
  <c r="BM739" i="22"/>
  <c r="BN739" i="22"/>
  <c r="BO739" i="22"/>
  <c r="BP739" i="22"/>
  <c r="AV740" i="22"/>
  <c r="AW740" i="22"/>
  <c r="AX740" i="22"/>
  <c r="AY740" i="22"/>
  <c r="AZ740" i="22"/>
  <c r="BF740" i="22"/>
  <c r="BH740" i="22"/>
  <c r="BK740" i="22"/>
  <c r="BL740" i="22"/>
  <c r="BM740" i="22"/>
  <c r="BN740" i="22"/>
  <c r="BO740" i="22"/>
  <c r="BP740" i="22"/>
  <c r="AV741" i="22"/>
  <c r="AW741" i="22"/>
  <c r="AX741" i="22"/>
  <c r="AY741" i="22"/>
  <c r="AZ741" i="22"/>
  <c r="BF741" i="22"/>
  <c r="BH741" i="22"/>
  <c r="BK741" i="22"/>
  <c r="BL741" i="22"/>
  <c r="BM741" i="22"/>
  <c r="BN741" i="22"/>
  <c r="BO741" i="22"/>
  <c r="BP741" i="22"/>
  <c r="AV742" i="22"/>
  <c r="AW742" i="22"/>
  <c r="AX742" i="22"/>
  <c r="AY742" i="22"/>
  <c r="AZ742" i="22"/>
  <c r="BF742" i="22"/>
  <c r="BH742" i="22"/>
  <c r="BK742" i="22"/>
  <c r="BL742" i="22"/>
  <c r="BM742" i="22"/>
  <c r="BN742" i="22"/>
  <c r="BO742" i="22"/>
  <c r="BP742" i="22"/>
  <c r="AV743" i="22"/>
  <c r="AW743" i="22"/>
  <c r="AX743" i="22"/>
  <c r="AY743" i="22"/>
  <c r="AZ743" i="22"/>
  <c r="BF743" i="22"/>
  <c r="BH743" i="22"/>
  <c r="BK743" i="22"/>
  <c r="BL743" i="22"/>
  <c r="BM743" i="22"/>
  <c r="BN743" i="22"/>
  <c r="BO743" i="22"/>
  <c r="BP743" i="22"/>
  <c r="AV744" i="22"/>
  <c r="AW744" i="22"/>
  <c r="AX744" i="22"/>
  <c r="AY744" i="22"/>
  <c r="AZ744" i="22"/>
  <c r="BF744" i="22"/>
  <c r="BH744" i="22"/>
  <c r="BK744" i="22"/>
  <c r="BL744" i="22"/>
  <c r="BM744" i="22"/>
  <c r="BN744" i="22"/>
  <c r="BO744" i="22"/>
  <c r="BP744" i="22"/>
  <c r="AV745" i="22"/>
  <c r="AW745" i="22"/>
  <c r="AX745" i="22"/>
  <c r="AY745" i="22"/>
  <c r="AZ745" i="22"/>
  <c r="BF745" i="22"/>
  <c r="BH745" i="22"/>
  <c r="BK745" i="22"/>
  <c r="BL745" i="22"/>
  <c r="BM745" i="22"/>
  <c r="BN745" i="22"/>
  <c r="BO745" i="22"/>
  <c r="BP745" i="22"/>
  <c r="AV746" i="22"/>
  <c r="AW746" i="22"/>
  <c r="AX746" i="22"/>
  <c r="AY746" i="22"/>
  <c r="AZ746" i="22"/>
  <c r="BF746" i="22"/>
  <c r="BH746" i="22"/>
  <c r="BK746" i="22"/>
  <c r="BL746" i="22"/>
  <c r="BM746" i="22"/>
  <c r="BN746" i="22"/>
  <c r="BO746" i="22"/>
  <c r="BP746" i="22"/>
  <c r="AV747" i="22"/>
  <c r="AW747" i="22"/>
  <c r="AX747" i="22"/>
  <c r="AY747" i="22"/>
  <c r="AZ747" i="22"/>
  <c r="BF747" i="22"/>
  <c r="BH747" i="22"/>
  <c r="BK747" i="22"/>
  <c r="BL747" i="22"/>
  <c r="BM747" i="22"/>
  <c r="BN747" i="22"/>
  <c r="BO747" i="22"/>
  <c r="BP747" i="22"/>
  <c r="AV748" i="22"/>
  <c r="AW748" i="22"/>
  <c r="AX748" i="22"/>
  <c r="AY748" i="22"/>
  <c r="AZ748" i="22"/>
  <c r="BF748" i="22"/>
  <c r="BH748" i="22"/>
  <c r="BK748" i="22"/>
  <c r="BL748" i="22"/>
  <c r="BM748" i="22"/>
  <c r="BN748" i="22"/>
  <c r="BO748" i="22"/>
  <c r="BP748" i="22"/>
  <c r="AV749" i="22"/>
  <c r="AW749" i="22"/>
  <c r="AX749" i="22"/>
  <c r="AY749" i="22"/>
  <c r="AZ749" i="22"/>
  <c r="BF749" i="22"/>
  <c r="BH749" i="22"/>
  <c r="BK749" i="22"/>
  <c r="BL749" i="22"/>
  <c r="BM749" i="22"/>
  <c r="BN749" i="22"/>
  <c r="BO749" i="22"/>
  <c r="BP749" i="22"/>
  <c r="AV750" i="22"/>
  <c r="AW750" i="22"/>
  <c r="AX750" i="22"/>
  <c r="AY750" i="22"/>
  <c r="AZ750" i="22"/>
  <c r="BF750" i="22"/>
  <c r="BH750" i="22"/>
  <c r="BK750" i="22"/>
  <c r="BL750" i="22"/>
  <c r="BM750" i="22"/>
  <c r="BN750" i="22"/>
  <c r="BO750" i="22"/>
  <c r="BP750" i="22"/>
  <c r="AV751" i="22"/>
  <c r="AW751" i="22"/>
  <c r="AX751" i="22"/>
  <c r="AY751" i="22"/>
  <c r="AZ751" i="22"/>
  <c r="BF751" i="22"/>
  <c r="BH751" i="22"/>
  <c r="BK751" i="22"/>
  <c r="BL751" i="22"/>
  <c r="BM751" i="22"/>
  <c r="BN751" i="22"/>
  <c r="BO751" i="22"/>
  <c r="BP751" i="22"/>
  <c r="AV752" i="22"/>
  <c r="AW752" i="22"/>
  <c r="AX752" i="22"/>
  <c r="AY752" i="22"/>
  <c r="AZ752" i="22"/>
  <c r="BF752" i="22"/>
  <c r="BH752" i="22"/>
  <c r="BK752" i="22"/>
  <c r="BL752" i="22"/>
  <c r="BM752" i="22"/>
  <c r="BN752" i="22"/>
  <c r="BO752" i="22"/>
  <c r="BP752" i="22"/>
  <c r="AV753" i="22"/>
  <c r="AW753" i="22"/>
  <c r="AX753" i="22"/>
  <c r="AY753" i="22"/>
  <c r="AZ753" i="22"/>
  <c r="BF753" i="22"/>
  <c r="BH753" i="22"/>
  <c r="BK753" i="22"/>
  <c r="BL753" i="22"/>
  <c r="BM753" i="22"/>
  <c r="BN753" i="22"/>
  <c r="BO753" i="22"/>
  <c r="BP753" i="22"/>
  <c r="AV754" i="22"/>
  <c r="AW754" i="22"/>
  <c r="AX754" i="22"/>
  <c r="AY754" i="22"/>
  <c r="AZ754" i="22"/>
  <c r="BF754" i="22"/>
  <c r="BH754" i="22"/>
  <c r="BK754" i="22"/>
  <c r="BL754" i="22"/>
  <c r="BM754" i="22"/>
  <c r="BN754" i="22"/>
  <c r="BO754" i="22"/>
  <c r="BP754" i="22"/>
  <c r="AV755" i="22"/>
  <c r="AW755" i="22"/>
  <c r="AX755" i="22"/>
  <c r="AY755" i="22"/>
  <c r="AZ755" i="22"/>
  <c r="BF755" i="22"/>
  <c r="BH755" i="22"/>
  <c r="BK755" i="22"/>
  <c r="BL755" i="22"/>
  <c r="BM755" i="22"/>
  <c r="BN755" i="22"/>
  <c r="BO755" i="22"/>
  <c r="BP755" i="22"/>
  <c r="AV756" i="22"/>
  <c r="AW756" i="22"/>
  <c r="AX756" i="22"/>
  <c r="AY756" i="22"/>
  <c r="AZ756" i="22"/>
  <c r="BF756" i="22"/>
  <c r="BH756" i="22"/>
  <c r="BK756" i="22"/>
  <c r="BL756" i="22"/>
  <c r="BM756" i="22"/>
  <c r="BN756" i="22"/>
  <c r="BO756" i="22"/>
  <c r="BP756" i="22"/>
  <c r="AV757" i="22"/>
  <c r="AW757" i="22"/>
  <c r="AX757" i="22"/>
  <c r="AY757" i="22"/>
  <c r="AZ757" i="22"/>
  <c r="BF757" i="22"/>
  <c r="BH757" i="22"/>
  <c r="BK757" i="22"/>
  <c r="BL757" i="22"/>
  <c r="BM757" i="22"/>
  <c r="BN757" i="22"/>
  <c r="BO757" i="22"/>
  <c r="BP757" i="22"/>
  <c r="AV758" i="22"/>
  <c r="AW758" i="22"/>
  <c r="AX758" i="22"/>
  <c r="AY758" i="22"/>
  <c r="AZ758" i="22"/>
  <c r="BF758" i="22"/>
  <c r="BH758" i="22"/>
  <c r="BK758" i="22"/>
  <c r="BL758" i="22"/>
  <c r="BM758" i="22"/>
  <c r="BN758" i="22"/>
  <c r="BO758" i="22"/>
  <c r="BP758" i="22"/>
  <c r="AV759" i="22"/>
  <c r="AW759" i="22"/>
  <c r="AX759" i="22"/>
  <c r="AY759" i="22"/>
  <c r="AZ759" i="22"/>
  <c r="BF759" i="22"/>
  <c r="BH759" i="22"/>
  <c r="BK759" i="22"/>
  <c r="BL759" i="22"/>
  <c r="BM759" i="22"/>
  <c r="BN759" i="22"/>
  <c r="BO759" i="22"/>
  <c r="BP759" i="22"/>
  <c r="AV760" i="22"/>
  <c r="AW760" i="22"/>
  <c r="AX760" i="22"/>
  <c r="AY760" i="22"/>
  <c r="AZ760" i="22"/>
  <c r="BF760" i="22"/>
  <c r="BH760" i="22"/>
  <c r="BK760" i="22"/>
  <c r="BL760" i="22"/>
  <c r="BM760" i="22"/>
  <c r="BN760" i="22"/>
  <c r="BO760" i="22"/>
  <c r="BP760" i="22"/>
  <c r="AV761" i="22"/>
  <c r="AW761" i="22"/>
  <c r="AX761" i="22"/>
  <c r="AY761" i="22"/>
  <c r="AZ761" i="22"/>
  <c r="BF761" i="22"/>
  <c r="BH761" i="22"/>
  <c r="BK761" i="22"/>
  <c r="BL761" i="22"/>
  <c r="BM761" i="22"/>
  <c r="BN761" i="22"/>
  <c r="BO761" i="22"/>
  <c r="BP761" i="22"/>
  <c r="AV762" i="22"/>
  <c r="AW762" i="22"/>
  <c r="AX762" i="22"/>
  <c r="AY762" i="22"/>
  <c r="AZ762" i="22"/>
  <c r="BF762" i="22"/>
  <c r="BH762" i="22"/>
  <c r="BK762" i="22"/>
  <c r="BL762" i="22"/>
  <c r="BM762" i="22"/>
  <c r="BN762" i="22"/>
  <c r="BO762" i="22"/>
  <c r="BP762" i="22"/>
  <c r="AV763" i="22"/>
  <c r="AW763" i="22"/>
  <c r="AX763" i="22"/>
  <c r="AY763" i="22"/>
  <c r="AZ763" i="22"/>
  <c r="BF763" i="22"/>
  <c r="BH763" i="22"/>
  <c r="BK763" i="22"/>
  <c r="BL763" i="22"/>
  <c r="BM763" i="22"/>
  <c r="BN763" i="22"/>
  <c r="BO763" i="22"/>
  <c r="BP763" i="22"/>
  <c r="AV764" i="22"/>
  <c r="AW764" i="22"/>
  <c r="AX764" i="22"/>
  <c r="AY764" i="22"/>
  <c r="AZ764" i="22"/>
  <c r="BF764" i="22"/>
  <c r="BH764" i="22"/>
  <c r="BK764" i="22"/>
  <c r="BL764" i="22"/>
  <c r="BM764" i="22"/>
  <c r="BN764" i="22"/>
  <c r="BO764" i="22"/>
  <c r="BP764" i="22"/>
  <c r="AV765" i="22"/>
  <c r="AW765" i="22"/>
  <c r="AX765" i="22"/>
  <c r="AY765" i="22"/>
  <c r="AZ765" i="22"/>
  <c r="BF765" i="22"/>
  <c r="BH765" i="22"/>
  <c r="BK765" i="22"/>
  <c r="BL765" i="22"/>
  <c r="BM765" i="22"/>
  <c r="BN765" i="22"/>
  <c r="BO765" i="22"/>
  <c r="BP765" i="22"/>
  <c r="AV766" i="22"/>
  <c r="AW766" i="22"/>
  <c r="AX766" i="22"/>
  <c r="AY766" i="22"/>
  <c r="AZ766" i="22"/>
  <c r="BF766" i="22"/>
  <c r="BH766" i="22"/>
  <c r="BK766" i="22"/>
  <c r="BL766" i="22"/>
  <c r="BM766" i="22"/>
  <c r="BN766" i="22"/>
  <c r="BO766" i="22"/>
  <c r="BP766" i="22"/>
  <c r="AV767" i="22"/>
  <c r="AW767" i="22"/>
  <c r="AX767" i="22"/>
  <c r="AY767" i="22"/>
  <c r="AZ767" i="22"/>
  <c r="BF767" i="22"/>
  <c r="BH767" i="22"/>
  <c r="BK767" i="22"/>
  <c r="BL767" i="22"/>
  <c r="BM767" i="22"/>
  <c r="BN767" i="22"/>
  <c r="BO767" i="22"/>
  <c r="BP767" i="22"/>
  <c r="AV768" i="22"/>
  <c r="AW768" i="22"/>
  <c r="AX768" i="22"/>
  <c r="AY768" i="22"/>
  <c r="AZ768" i="22"/>
  <c r="BF768" i="22"/>
  <c r="BH768" i="22"/>
  <c r="BK768" i="22"/>
  <c r="BL768" i="22"/>
  <c r="BM768" i="22"/>
  <c r="BN768" i="22"/>
  <c r="BO768" i="22"/>
  <c r="BP768" i="22"/>
  <c r="AV769" i="22"/>
  <c r="AW769" i="22"/>
  <c r="AX769" i="22"/>
  <c r="AY769" i="22"/>
  <c r="AZ769" i="22"/>
  <c r="BF769" i="22"/>
  <c r="BH769" i="22"/>
  <c r="BK769" i="22"/>
  <c r="BL769" i="22"/>
  <c r="BM769" i="22"/>
  <c r="BN769" i="22"/>
  <c r="BO769" i="22"/>
  <c r="BP769" i="22"/>
  <c r="AV770" i="22"/>
  <c r="AW770" i="22"/>
  <c r="AX770" i="22"/>
  <c r="AY770" i="22"/>
  <c r="AZ770" i="22"/>
  <c r="BF770" i="22"/>
  <c r="BH770" i="22"/>
  <c r="BK770" i="22"/>
  <c r="BL770" i="22"/>
  <c r="BM770" i="22"/>
  <c r="BN770" i="22"/>
  <c r="BO770" i="22"/>
  <c r="BP770" i="22"/>
  <c r="AV771" i="22"/>
  <c r="AW771" i="22"/>
  <c r="AX771" i="22"/>
  <c r="AY771" i="22"/>
  <c r="AZ771" i="22"/>
  <c r="BF771" i="22"/>
  <c r="BH771" i="22"/>
  <c r="BK771" i="22"/>
  <c r="BL771" i="22"/>
  <c r="BM771" i="22"/>
  <c r="BN771" i="22"/>
  <c r="BO771" i="22"/>
  <c r="BP771" i="22"/>
  <c r="AV772" i="22"/>
  <c r="AW772" i="22"/>
  <c r="AX772" i="22"/>
  <c r="AY772" i="22"/>
  <c r="AZ772" i="22"/>
  <c r="BF772" i="22"/>
  <c r="BH772" i="22"/>
  <c r="BK772" i="22"/>
  <c r="BL772" i="22"/>
  <c r="BM772" i="22"/>
  <c r="BN772" i="22"/>
  <c r="BO772" i="22"/>
  <c r="BP772" i="22"/>
  <c r="AV773" i="22"/>
  <c r="AW773" i="22"/>
  <c r="AX773" i="22"/>
  <c r="AY773" i="22"/>
  <c r="AZ773" i="22"/>
  <c r="BF773" i="22"/>
  <c r="BH773" i="22"/>
  <c r="BK773" i="22"/>
  <c r="BL773" i="22"/>
  <c r="BM773" i="22"/>
  <c r="BN773" i="22"/>
  <c r="BO773" i="22"/>
  <c r="BP773" i="22"/>
  <c r="AV774" i="22"/>
  <c r="AW774" i="22"/>
  <c r="AX774" i="22"/>
  <c r="AY774" i="22"/>
  <c r="AZ774" i="22"/>
  <c r="BF774" i="22"/>
  <c r="BH774" i="22"/>
  <c r="BK774" i="22"/>
  <c r="BL774" i="22"/>
  <c r="BM774" i="22"/>
  <c r="BN774" i="22"/>
  <c r="BO774" i="22"/>
  <c r="BP774" i="22"/>
  <c r="AV775" i="22"/>
  <c r="AW775" i="22"/>
  <c r="AX775" i="22"/>
  <c r="AY775" i="22"/>
  <c r="AZ775" i="22"/>
  <c r="BF775" i="22"/>
  <c r="BH775" i="22"/>
  <c r="BK775" i="22"/>
  <c r="BL775" i="22"/>
  <c r="BM775" i="22"/>
  <c r="BN775" i="22"/>
  <c r="BO775" i="22"/>
  <c r="BP775" i="22"/>
  <c r="AV776" i="22"/>
  <c r="AW776" i="22"/>
  <c r="AX776" i="22"/>
  <c r="AY776" i="22"/>
  <c r="AZ776" i="22"/>
  <c r="BF776" i="22"/>
  <c r="BH776" i="22"/>
  <c r="BK776" i="22"/>
  <c r="BL776" i="22"/>
  <c r="BM776" i="22"/>
  <c r="BN776" i="22"/>
  <c r="BO776" i="22"/>
  <c r="BP776" i="22"/>
  <c r="AV777" i="22"/>
  <c r="AW777" i="22"/>
  <c r="AX777" i="22"/>
  <c r="AY777" i="22"/>
  <c r="AZ777" i="22"/>
  <c r="BF777" i="22"/>
  <c r="BK777" i="22"/>
  <c r="BL777" i="22"/>
  <c r="BM777" i="22"/>
  <c r="BN777" i="22"/>
  <c r="BO777" i="22"/>
  <c r="BP777" i="22"/>
  <c r="AV778" i="22"/>
  <c r="AW778" i="22"/>
  <c r="AX778" i="22"/>
  <c r="AY778" i="22"/>
  <c r="AZ778" i="22"/>
  <c r="BF778" i="22"/>
  <c r="BK778" i="22"/>
  <c r="BL778" i="22"/>
  <c r="BM778" i="22"/>
  <c r="BN778" i="22"/>
  <c r="BO778" i="22"/>
  <c r="BP778" i="22"/>
  <c r="AV779" i="22"/>
  <c r="AW779" i="22"/>
  <c r="AX779" i="22"/>
  <c r="AY779" i="22"/>
  <c r="AZ779" i="22"/>
  <c r="BF779" i="22"/>
  <c r="BK779" i="22"/>
  <c r="BL779" i="22"/>
  <c r="BM779" i="22"/>
  <c r="BN779" i="22"/>
  <c r="BO779" i="22"/>
  <c r="BP779" i="22"/>
  <c r="AV780" i="22"/>
  <c r="AW780" i="22"/>
  <c r="AX780" i="22"/>
  <c r="AY780" i="22"/>
  <c r="AZ780" i="22"/>
  <c r="BF780" i="22"/>
  <c r="BK780" i="22"/>
  <c r="BL780" i="22"/>
  <c r="BM780" i="22"/>
  <c r="BN780" i="22"/>
  <c r="BO780" i="22"/>
  <c r="BP780" i="22"/>
  <c r="AV781" i="22"/>
  <c r="AW781" i="22"/>
  <c r="AX781" i="22"/>
  <c r="AY781" i="22"/>
  <c r="AZ781" i="22"/>
  <c r="BF781" i="22"/>
  <c r="BH781" i="22"/>
  <c r="BK781" i="22"/>
  <c r="BL781" i="22"/>
  <c r="BM781" i="22"/>
  <c r="BN781" i="22"/>
  <c r="BO781" i="22"/>
  <c r="BP781" i="22"/>
  <c r="AV782" i="22"/>
  <c r="AW782" i="22"/>
  <c r="AX782" i="22"/>
  <c r="AY782" i="22"/>
  <c r="AZ782" i="22"/>
  <c r="BF782" i="22"/>
  <c r="BH782" i="22"/>
  <c r="BK782" i="22"/>
  <c r="BL782" i="22"/>
  <c r="BM782" i="22"/>
  <c r="BN782" i="22"/>
  <c r="BO782" i="22"/>
  <c r="BP782" i="22"/>
  <c r="AV783" i="22"/>
  <c r="AW783" i="22"/>
  <c r="AX783" i="22"/>
  <c r="AY783" i="22"/>
  <c r="AZ783" i="22"/>
  <c r="BF783" i="22"/>
  <c r="BH783" i="22"/>
  <c r="BK783" i="22"/>
  <c r="BL783" i="22"/>
  <c r="BM783" i="22"/>
  <c r="BN783" i="22"/>
  <c r="BO783" i="22"/>
  <c r="BP783" i="22"/>
  <c r="AV785" i="22"/>
  <c r="AW785" i="22"/>
  <c r="AX785" i="22"/>
  <c r="AY785" i="22"/>
  <c r="AZ785" i="22"/>
  <c r="BF785" i="22"/>
  <c r="BH785" i="22"/>
  <c r="BK785" i="22"/>
  <c r="BL785" i="22"/>
  <c r="BM785" i="22"/>
  <c r="BN785" i="22"/>
  <c r="BO785" i="22"/>
  <c r="BP785" i="22"/>
  <c r="AV786" i="22"/>
  <c r="AW786" i="22"/>
  <c r="AX786" i="22"/>
  <c r="AY786" i="22"/>
  <c r="AZ786" i="22"/>
  <c r="BF786" i="22"/>
  <c r="BH786" i="22"/>
  <c r="BK786" i="22"/>
  <c r="BL786" i="22"/>
  <c r="BM786" i="22"/>
  <c r="BN786" i="22"/>
  <c r="BO786" i="22"/>
  <c r="BP786" i="22"/>
  <c r="AV787" i="22"/>
  <c r="AW787" i="22"/>
  <c r="AX787" i="22"/>
  <c r="AY787" i="22"/>
  <c r="AZ787" i="22"/>
  <c r="BF787" i="22"/>
  <c r="BH787" i="22"/>
  <c r="BK787" i="22"/>
  <c r="BL787" i="22"/>
  <c r="BM787" i="22"/>
  <c r="BN787" i="22"/>
  <c r="BO787" i="22"/>
  <c r="BP787" i="22"/>
  <c r="AV788" i="22"/>
  <c r="AW788" i="22"/>
  <c r="AX788" i="22"/>
  <c r="AY788" i="22"/>
  <c r="AZ788" i="22"/>
  <c r="BF788" i="22"/>
  <c r="BH788" i="22"/>
  <c r="BK788" i="22"/>
  <c r="BL788" i="22"/>
  <c r="BM788" i="22"/>
  <c r="BN788" i="22"/>
  <c r="BO788" i="22"/>
  <c r="BP788" i="22"/>
  <c r="AV789" i="22"/>
  <c r="AW789" i="22"/>
  <c r="AX789" i="22"/>
  <c r="AY789" i="22"/>
  <c r="AZ789" i="22"/>
  <c r="BF789" i="22"/>
  <c r="BH789" i="22"/>
  <c r="BK789" i="22"/>
  <c r="BL789" i="22"/>
  <c r="BM789" i="22"/>
  <c r="BN789" i="22"/>
  <c r="BO789" i="22"/>
  <c r="BP789" i="22"/>
  <c r="AV790" i="22"/>
  <c r="AW790" i="22"/>
  <c r="AX790" i="22"/>
  <c r="AY790" i="22"/>
  <c r="AZ790" i="22"/>
  <c r="BF790" i="22"/>
  <c r="BH790" i="22"/>
  <c r="BK790" i="22"/>
  <c r="BL790" i="22"/>
  <c r="BM790" i="22"/>
  <c r="BN790" i="22"/>
  <c r="BO790" i="22"/>
  <c r="BP790" i="22"/>
  <c r="AV791" i="22"/>
  <c r="AW791" i="22"/>
  <c r="AX791" i="22"/>
  <c r="AY791" i="22"/>
  <c r="AZ791" i="22"/>
  <c r="BF791" i="22"/>
  <c r="BH791" i="22"/>
  <c r="BK791" i="22"/>
  <c r="BL791" i="22"/>
  <c r="BM791" i="22"/>
  <c r="BN791" i="22"/>
  <c r="BO791" i="22"/>
  <c r="BP791" i="22"/>
  <c r="AV792" i="22"/>
  <c r="AW792" i="22"/>
  <c r="AX792" i="22"/>
  <c r="AY792" i="22"/>
  <c r="AZ792" i="22"/>
  <c r="BF792" i="22"/>
  <c r="BH792" i="22"/>
  <c r="BK792" i="22"/>
  <c r="BL792" i="22"/>
  <c r="BM792" i="22"/>
  <c r="BN792" i="22"/>
  <c r="BO792" i="22"/>
  <c r="BP792" i="22"/>
  <c r="AV793" i="22"/>
  <c r="AW793" i="22"/>
  <c r="AX793" i="22"/>
  <c r="AY793" i="22"/>
  <c r="AZ793" i="22"/>
  <c r="BF793" i="22"/>
  <c r="BH793" i="22"/>
  <c r="BK793" i="22"/>
  <c r="BL793" i="22"/>
  <c r="BM793" i="22"/>
  <c r="BN793" i="22"/>
  <c r="BO793" i="22"/>
  <c r="BP793" i="22"/>
  <c r="AV794" i="22"/>
  <c r="AW794" i="22"/>
  <c r="AX794" i="22"/>
  <c r="AY794" i="22"/>
  <c r="AZ794" i="22"/>
  <c r="BF794" i="22"/>
  <c r="BH794" i="22"/>
  <c r="BK794" i="22"/>
  <c r="BL794" i="22"/>
  <c r="BM794" i="22"/>
  <c r="BN794" i="22"/>
  <c r="BO794" i="22"/>
  <c r="BP794" i="22"/>
  <c r="AV795" i="22"/>
  <c r="AW795" i="22"/>
  <c r="AX795" i="22"/>
  <c r="AY795" i="22"/>
  <c r="AZ795" i="22"/>
  <c r="BF795" i="22"/>
  <c r="BH795" i="22"/>
  <c r="BK795" i="22"/>
  <c r="BL795" i="22"/>
  <c r="BM795" i="22"/>
  <c r="BN795" i="22"/>
  <c r="BO795" i="22"/>
  <c r="BP795" i="22"/>
  <c r="AV796" i="22"/>
  <c r="AW796" i="22"/>
  <c r="AX796" i="22"/>
  <c r="AY796" i="22"/>
  <c r="AZ796" i="22"/>
  <c r="BF796" i="22"/>
  <c r="BH796" i="22"/>
  <c r="BK796" i="22"/>
  <c r="BL796" i="22"/>
  <c r="BM796" i="22"/>
  <c r="BN796" i="22"/>
  <c r="BO796" i="22"/>
  <c r="BP796" i="22"/>
  <c r="AV797" i="22"/>
  <c r="AW797" i="22"/>
  <c r="AX797" i="22"/>
  <c r="AY797" i="22"/>
  <c r="AZ797" i="22"/>
  <c r="BF797" i="22"/>
  <c r="BH797" i="22"/>
  <c r="BK797" i="22"/>
  <c r="BL797" i="22"/>
  <c r="BM797" i="22"/>
  <c r="BN797" i="22"/>
  <c r="BO797" i="22"/>
  <c r="BP797" i="22"/>
  <c r="AV798" i="22"/>
  <c r="AW798" i="22"/>
  <c r="AX798" i="22"/>
  <c r="AY798" i="22"/>
  <c r="AZ798" i="22"/>
  <c r="BF798" i="22"/>
  <c r="BH798" i="22"/>
  <c r="BK798" i="22"/>
  <c r="BL798" i="22"/>
  <c r="BM798" i="22"/>
  <c r="BN798" i="22"/>
  <c r="BO798" i="22"/>
  <c r="BP798" i="22"/>
  <c r="AV799" i="22"/>
  <c r="AW799" i="22"/>
  <c r="AX799" i="22"/>
  <c r="AY799" i="22"/>
  <c r="AZ799" i="22"/>
  <c r="BF799" i="22"/>
  <c r="BH799" i="22"/>
  <c r="BK799" i="22"/>
  <c r="BL799" i="22"/>
  <c r="BM799" i="22"/>
  <c r="BN799" i="22"/>
  <c r="BO799" i="22"/>
  <c r="BP799" i="22"/>
  <c r="AV800" i="22"/>
  <c r="AW800" i="22"/>
  <c r="AX800" i="22"/>
  <c r="AY800" i="22"/>
  <c r="AZ800" i="22"/>
  <c r="BF800" i="22"/>
  <c r="BH800" i="22"/>
  <c r="BK800" i="22"/>
  <c r="BL800" i="22"/>
  <c r="BM800" i="22"/>
  <c r="BN800" i="22"/>
  <c r="BO800" i="22"/>
  <c r="BP800" i="22"/>
  <c r="AV801" i="22"/>
  <c r="AW801" i="22"/>
  <c r="AX801" i="22"/>
  <c r="AY801" i="22"/>
  <c r="AZ801" i="22"/>
  <c r="BF801" i="22"/>
  <c r="BH801" i="22"/>
  <c r="BK801" i="22"/>
  <c r="BL801" i="22"/>
  <c r="BM801" i="22"/>
  <c r="BN801" i="22"/>
  <c r="BO801" i="22"/>
  <c r="BP801" i="22"/>
  <c r="AV802" i="22"/>
  <c r="AW802" i="22"/>
  <c r="AX802" i="22"/>
  <c r="AY802" i="22"/>
  <c r="AZ802" i="22"/>
  <c r="BF802" i="22"/>
  <c r="BH802" i="22"/>
  <c r="BK802" i="22"/>
  <c r="BL802" i="22"/>
  <c r="BM802" i="22"/>
  <c r="BN802" i="22"/>
  <c r="BO802" i="22"/>
  <c r="BP802" i="22"/>
  <c r="AV803" i="22"/>
  <c r="AW803" i="22"/>
  <c r="AX803" i="22"/>
  <c r="AY803" i="22"/>
  <c r="AZ803" i="22"/>
  <c r="BF803" i="22"/>
  <c r="BH803" i="22"/>
  <c r="BK803" i="22"/>
  <c r="BL803" i="22"/>
  <c r="BM803" i="22"/>
  <c r="BN803" i="22"/>
  <c r="BO803" i="22"/>
  <c r="BP803" i="22"/>
  <c r="AV804" i="22"/>
  <c r="AW804" i="22"/>
  <c r="AX804" i="22"/>
  <c r="AY804" i="22"/>
  <c r="AZ804" i="22"/>
  <c r="BF804" i="22"/>
  <c r="BH804" i="22"/>
  <c r="BK804" i="22"/>
  <c r="BL804" i="22"/>
  <c r="BM804" i="22"/>
  <c r="BN804" i="22"/>
  <c r="BO804" i="22"/>
  <c r="BP804" i="22"/>
  <c r="AV805" i="22"/>
  <c r="AW805" i="22"/>
  <c r="AX805" i="22"/>
  <c r="AY805" i="22"/>
  <c r="AZ805" i="22"/>
  <c r="BF805" i="22"/>
  <c r="BH805" i="22"/>
  <c r="BK805" i="22"/>
  <c r="BL805" i="22"/>
  <c r="BM805" i="22"/>
  <c r="BN805" i="22"/>
  <c r="BO805" i="22"/>
  <c r="BP805" i="22"/>
  <c r="AV806" i="22"/>
  <c r="AW806" i="22"/>
  <c r="AX806" i="22"/>
  <c r="AY806" i="22"/>
  <c r="AZ806" i="22"/>
  <c r="BF806" i="22"/>
  <c r="BH806" i="22"/>
  <c r="BK806" i="22"/>
  <c r="BL806" i="22"/>
  <c r="BM806" i="22"/>
  <c r="BN806" i="22"/>
  <c r="BO806" i="22"/>
  <c r="BP806" i="22"/>
  <c r="AV807" i="22"/>
  <c r="AW807" i="22"/>
  <c r="AX807" i="22"/>
  <c r="AY807" i="22"/>
  <c r="AZ807" i="22"/>
  <c r="BF807" i="22"/>
  <c r="BH807" i="22"/>
  <c r="BK807" i="22"/>
  <c r="BL807" i="22"/>
  <c r="BM807" i="22"/>
  <c r="BN807" i="22"/>
  <c r="BO807" i="22"/>
  <c r="BP807" i="22"/>
  <c r="AV808" i="22"/>
  <c r="AW808" i="22"/>
  <c r="AX808" i="22"/>
  <c r="AY808" i="22"/>
  <c r="AZ808" i="22"/>
  <c r="BF808" i="22"/>
  <c r="BH808" i="22"/>
  <c r="BK808" i="22"/>
  <c r="BL808" i="22"/>
  <c r="BM808" i="22"/>
  <c r="BN808" i="22"/>
  <c r="BO808" i="22"/>
  <c r="BP808" i="22"/>
  <c r="AV809" i="22"/>
  <c r="AW809" i="22"/>
  <c r="AX809" i="22"/>
  <c r="AY809" i="22"/>
  <c r="AZ809" i="22"/>
  <c r="BF809" i="22"/>
  <c r="BH809" i="22"/>
  <c r="BK809" i="22"/>
  <c r="BL809" i="22"/>
  <c r="BM809" i="22"/>
  <c r="BN809" i="22"/>
  <c r="BO809" i="22"/>
  <c r="BP809" i="22"/>
  <c r="AV810" i="22"/>
  <c r="AW810" i="22"/>
  <c r="AX810" i="22"/>
  <c r="AY810" i="22"/>
  <c r="AZ810" i="22"/>
  <c r="BF810" i="22"/>
  <c r="BH810" i="22"/>
  <c r="BK810" i="22"/>
  <c r="BL810" i="22"/>
  <c r="BM810" i="22"/>
  <c r="BN810" i="22"/>
  <c r="BO810" i="22"/>
  <c r="BP810" i="22"/>
  <c r="AV811" i="22"/>
  <c r="AW811" i="22"/>
  <c r="AX811" i="22"/>
  <c r="AY811" i="22"/>
  <c r="AZ811" i="22"/>
  <c r="BF811" i="22"/>
  <c r="BH811" i="22"/>
  <c r="BK811" i="22"/>
  <c r="BL811" i="22"/>
  <c r="BM811" i="22"/>
  <c r="BN811" i="22"/>
  <c r="BO811" i="22"/>
  <c r="BP811" i="22"/>
  <c r="AV812" i="22"/>
  <c r="AW812" i="22"/>
  <c r="AX812" i="22"/>
  <c r="AY812" i="22"/>
  <c r="AZ812" i="22"/>
  <c r="BF812" i="22"/>
  <c r="BH812" i="22"/>
  <c r="BK812" i="22"/>
  <c r="BL812" i="22"/>
  <c r="BM812" i="22"/>
  <c r="BN812" i="22"/>
  <c r="BO812" i="22"/>
  <c r="BP812" i="22"/>
  <c r="AV813" i="22"/>
  <c r="AW813" i="22"/>
  <c r="AX813" i="22"/>
  <c r="AY813" i="22"/>
  <c r="AZ813" i="22"/>
  <c r="BF813" i="22"/>
  <c r="BH813" i="22"/>
  <c r="BK813" i="22"/>
  <c r="BL813" i="22"/>
  <c r="BM813" i="22"/>
  <c r="BN813" i="22"/>
  <c r="BO813" i="22"/>
  <c r="BP813" i="22"/>
  <c r="AV814" i="22"/>
  <c r="AW814" i="22"/>
  <c r="AX814" i="22"/>
  <c r="AY814" i="22"/>
  <c r="AZ814" i="22"/>
  <c r="BF814" i="22"/>
  <c r="BH814" i="22"/>
  <c r="BK814" i="22"/>
  <c r="BL814" i="22"/>
  <c r="BM814" i="22"/>
  <c r="BN814" i="22"/>
  <c r="BO814" i="22"/>
  <c r="BP814" i="22"/>
  <c r="AV815" i="22"/>
  <c r="AW815" i="22"/>
  <c r="AX815" i="22"/>
  <c r="AY815" i="22"/>
  <c r="AZ815" i="22"/>
  <c r="BF815" i="22"/>
  <c r="BH815" i="22"/>
  <c r="BK815" i="22"/>
  <c r="BL815" i="22"/>
  <c r="BM815" i="22"/>
  <c r="BN815" i="22"/>
  <c r="BO815" i="22"/>
  <c r="BP815" i="22"/>
  <c r="AV816" i="22"/>
  <c r="AW816" i="22"/>
  <c r="AX816" i="22"/>
  <c r="AY816" i="22"/>
  <c r="AZ816" i="22"/>
  <c r="BF816" i="22"/>
  <c r="BH816" i="22"/>
  <c r="BK816" i="22"/>
  <c r="BL816" i="22"/>
  <c r="BM816" i="22"/>
  <c r="BN816" i="22"/>
  <c r="BO816" i="22"/>
  <c r="BP816" i="22"/>
  <c r="AV817" i="22"/>
  <c r="AW817" i="22"/>
  <c r="AX817" i="22"/>
  <c r="AY817" i="22"/>
  <c r="AZ817" i="22"/>
  <c r="BF817" i="22"/>
  <c r="BH817" i="22"/>
  <c r="BK817" i="22"/>
  <c r="BL817" i="22"/>
  <c r="BM817" i="22"/>
  <c r="BN817" i="22"/>
  <c r="BO817" i="22"/>
  <c r="BP817" i="22"/>
  <c r="AV818" i="22"/>
  <c r="AW818" i="22"/>
  <c r="AX818" i="22"/>
  <c r="AY818" i="22"/>
  <c r="AZ818" i="22"/>
  <c r="BF818" i="22"/>
  <c r="BH818" i="22"/>
  <c r="BK818" i="22"/>
  <c r="BL818" i="22"/>
  <c r="BM818" i="22"/>
  <c r="BN818" i="22"/>
  <c r="BO818" i="22"/>
  <c r="BP818" i="22"/>
  <c r="AV819" i="22"/>
  <c r="AW819" i="22"/>
  <c r="AX819" i="22"/>
  <c r="AY819" i="22"/>
  <c r="AZ819" i="22"/>
  <c r="BF819" i="22"/>
  <c r="BH819" i="22"/>
  <c r="BK819" i="22"/>
  <c r="BL819" i="22"/>
  <c r="BM819" i="22"/>
  <c r="BN819" i="22"/>
  <c r="BO819" i="22"/>
  <c r="BP819" i="22"/>
  <c r="AV820" i="22"/>
  <c r="AW820" i="22"/>
  <c r="AX820" i="22"/>
  <c r="AY820" i="22"/>
  <c r="AZ820" i="22"/>
  <c r="BF820" i="22"/>
  <c r="BH820" i="22"/>
  <c r="BK820" i="22"/>
  <c r="BL820" i="22"/>
  <c r="BM820" i="22"/>
  <c r="BN820" i="22"/>
  <c r="BO820" i="22"/>
  <c r="BP820" i="22"/>
  <c r="AV821" i="22"/>
  <c r="AW821" i="22"/>
  <c r="AX821" i="22"/>
  <c r="AY821" i="22"/>
  <c r="AZ821" i="22"/>
  <c r="BF821" i="22"/>
  <c r="BH821" i="22"/>
  <c r="BK821" i="22"/>
  <c r="BL821" i="22"/>
  <c r="BM821" i="22"/>
  <c r="BN821" i="22"/>
  <c r="BO821" i="22"/>
  <c r="BP821" i="22"/>
  <c r="AV822" i="22"/>
  <c r="AW822" i="22"/>
  <c r="AX822" i="22"/>
  <c r="AY822" i="22"/>
  <c r="AZ822" i="22"/>
  <c r="BF822" i="22"/>
  <c r="BH822" i="22"/>
  <c r="BK822" i="22"/>
  <c r="BL822" i="22"/>
  <c r="BM822" i="22"/>
  <c r="BN822" i="22"/>
  <c r="BO822" i="22"/>
  <c r="BP822" i="22"/>
  <c r="AV823" i="22"/>
  <c r="AW823" i="22"/>
  <c r="AX823" i="22"/>
  <c r="AY823" i="22"/>
  <c r="AZ823" i="22"/>
  <c r="BF823" i="22"/>
  <c r="BH823" i="22"/>
  <c r="BK823" i="22"/>
  <c r="BL823" i="22"/>
  <c r="BM823" i="22"/>
  <c r="BN823" i="22"/>
  <c r="BO823" i="22"/>
  <c r="BP823" i="22"/>
  <c r="AV824" i="22"/>
  <c r="AW824" i="22"/>
  <c r="AX824" i="22"/>
  <c r="AY824" i="22"/>
  <c r="AZ824" i="22"/>
  <c r="BF824" i="22"/>
  <c r="BH824" i="22"/>
  <c r="BK824" i="22"/>
  <c r="BL824" i="22"/>
  <c r="BM824" i="22"/>
  <c r="BN824" i="22"/>
  <c r="BO824" i="22"/>
  <c r="BP824" i="22"/>
  <c r="AV825" i="22"/>
  <c r="AW825" i="22"/>
  <c r="AX825" i="22"/>
  <c r="AY825" i="22"/>
  <c r="AZ825" i="22"/>
  <c r="BF825" i="22"/>
  <c r="BH825" i="22"/>
  <c r="BK825" i="22"/>
  <c r="BL825" i="22"/>
  <c r="BM825" i="22"/>
  <c r="BN825" i="22"/>
  <c r="BO825" i="22"/>
  <c r="BP825" i="22"/>
  <c r="AV826" i="22"/>
  <c r="AW826" i="22"/>
  <c r="AX826" i="22"/>
  <c r="AY826" i="22"/>
  <c r="AZ826" i="22"/>
  <c r="BF826" i="22"/>
  <c r="BH826" i="22"/>
  <c r="BK826" i="22"/>
  <c r="BL826" i="22"/>
  <c r="BM826" i="22"/>
  <c r="BN826" i="22"/>
  <c r="BO826" i="22"/>
  <c r="BP826" i="22"/>
  <c r="AV827" i="22"/>
  <c r="AW827" i="22"/>
  <c r="AX827" i="22"/>
  <c r="AY827" i="22"/>
  <c r="AZ827" i="22"/>
  <c r="BF827" i="22"/>
  <c r="BH827" i="22"/>
  <c r="BK827" i="22"/>
  <c r="BL827" i="22"/>
  <c r="BM827" i="22"/>
  <c r="BN827" i="22"/>
  <c r="BO827" i="22"/>
  <c r="BP827" i="22"/>
  <c r="AV828" i="22"/>
  <c r="AW828" i="22"/>
  <c r="AX828" i="22"/>
  <c r="AY828" i="22"/>
  <c r="AZ828" i="22"/>
  <c r="BF828" i="22"/>
  <c r="BH828" i="22"/>
  <c r="BK828" i="22"/>
  <c r="BL828" i="22"/>
  <c r="BM828" i="22"/>
  <c r="BN828" i="22"/>
  <c r="BO828" i="22"/>
  <c r="BP828" i="22"/>
  <c r="AV829" i="22"/>
  <c r="AW829" i="22"/>
  <c r="AX829" i="22"/>
  <c r="AY829" i="22"/>
  <c r="AZ829" i="22"/>
  <c r="BF829" i="22"/>
  <c r="BH829" i="22"/>
  <c r="BK829" i="22"/>
  <c r="BL829" i="22"/>
  <c r="BM829" i="22"/>
  <c r="BN829" i="22"/>
  <c r="BO829" i="22"/>
  <c r="BP829" i="22"/>
  <c r="AV830" i="22"/>
  <c r="AW830" i="22"/>
  <c r="AX830" i="22"/>
  <c r="AY830" i="22"/>
  <c r="AZ830" i="22"/>
  <c r="BF830" i="22"/>
  <c r="BH830" i="22"/>
  <c r="BK830" i="22"/>
  <c r="BL830" i="22"/>
  <c r="BM830" i="22"/>
  <c r="BN830" i="22"/>
  <c r="BO830" i="22"/>
  <c r="BP830" i="22"/>
  <c r="AV831" i="22"/>
  <c r="AW831" i="22"/>
  <c r="AX831" i="22"/>
  <c r="AY831" i="22"/>
  <c r="AZ831" i="22"/>
  <c r="BF831" i="22"/>
  <c r="BH831" i="22"/>
  <c r="BK831" i="22"/>
  <c r="BL831" i="22"/>
  <c r="BM831" i="22"/>
  <c r="BN831" i="22"/>
  <c r="BO831" i="22"/>
  <c r="BP831" i="22"/>
  <c r="AV832" i="22"/>
  <c r="AW832" i="22"/>
  <c r="AX832" i="22"/>
  <c r="AY832" i="22"/>
  <c r="AZ832" i="22"/>
  <c r="BF832" i="22"/>
  <c r="BH832" i="22"/>
  <c r="BK832" i="22"/>
  <c r="BL832" i="22"/>
  <c r="BM832" i="22"/>
  <c r="BN832" i="22"/>
  <c r="BO832" i="22"/>
  <c r="BP832" i="22"/>
  <c r="AV833" i="22"/>
  <c r="AW833" i="22"/>
  <c r="AX833" i="22"/>
  <c r="AY833" i="22"/>
  <c r="AZ833" i="22"/>
  <c r="BF833" i="22"/>
  <c r="BH833" i="22"/>
  <c r="BK833" i="22"/>
  <c r="BL833" i="22"/>
  <c r="BM833" i="22"/>
  <c r="BN833" i="22"/>
  <c r="BO833" i="22"/>
  <c r="BP833" i="22"/>
  <c r="AV834" i="22"/>
  <c r="AW834" i="22"/>
  <c r="AX834" i="22"/>
  <c r="AY834" i="22"/>
  <c r="AZ834" i="22"/>
  <c r="BF834" i="22"/>
  <c r="BH834" i="22"/>
  <c r="BK834" i="22"/>
  <c r="BL834" i="22"/>
  <c r="BM834" i="22"/>
  <c r="BN834" i="22"/>
  <c r="BO834" i="22"/>
  <c r="BP834" i="22"/>
  <c r="AV835" i="22"/>
  <c r="AW835" i="22"/>
  <c r="AX835" i="22"/>
  <c r="AY835" i="22"/>
  <c r="AZ835" i="22"/>
  <c r="BF835" i="22"/>
  <c r="BH835" i="22"/>
  <c r="BK835" i="22"/>
  <c r="BL835" i="22"/>
  <c r="BM835" i="22"/>
  <c r="BN835" i="22"/>
  <c r="BO835" i="22"/>
  <c r="BP835" i="22"/>
  <c r="AV836" i="22"/>
  <c r="AW836" i="22"/>
  <c r="AX836" i="22"/>
  <c r="AY836" i="22"/>
  <c r="AZ836" i="22"/>
  <c r="BF836" i="22"/>
  <c r="BH836" i="22"/>
  <c r="BK836" i="22"/>
  <c r="BL836" i="22"/>
  <c r="BM836" i="22"/>
  <c r="BN836" i="22"/>
  <c r="BO836" i="22"/>
  <c r="BP836" i="22"/>
  <c r="AV837" i="22"/>
  <c r="AW837" i="22"/>
  <c r="AX837" i="22"/>
  <c r="AY837" i="22"/>
  <c r="AZ837" i="22"/>
  <c r="BF837" i="22"/>
  <c r="BH837" i="22"/>
  <c r="BK837" i="22"/>
  <c r="BL837" i="22"/>
  <c r="BM837" i="22"/>
  <c r="BN837" i="22"/>
  <c r="BO837" i="22"/>
  <c r="BP837" i="22"/>
  <c r="AV846" i="22"/>
  <c r="AW846" i="22"/>
  <c r="AX846" i="22"/>
  <c r="AY846" i="22"/>
  <c r="AZ846" i="22"/>
  <c r="BF846" i="22"/>
  <c r="BH846" i="22"/>
  <c r="BK846" i="22"/>
  <c r="BL846" i="22"/>
  <c r="BM846" i="22"/>
  <c r="BN846" i="22"/>
  <c r="BO846" i="22"/>
  <c r="BP846" i="22"/>
  <c r="AV847" i="22"/>
  <c r="AW847" i="22"/>
  <c r="AX847" i="22"/>
  <c r="AY847" i="22"/>
  <c r="AZ847" i="22"/>
  <c r="BF847" i="22"/>
  <c r="BH847" i="22"/>
  <c r="BK847" i="22"/>
  <c r="BL847" i="22"/>
  <c r="BM847" i="22"/>
  <c r="BN847" i="22"/>
  <c r="BO847" i="22"/>
  <c r="BP847" i="22"/>
  <c r="AV848" i="22"/>
  <c r="AW848" i="22"/>
  <c r="AX848" i="22"/>
  <c r="AY848" i="22"/>
  <c r="AZ848" i="22"/>
  <c r="BF848" i="22"/>
  <c r="BH848" i="22"/>
  <c r="BK848" i="22"/>
  <c r="BL848" i="22"/>
  <c r="BM848" i="22"/>
  <c r="BN848" i="22"/>
  <c r="BO848" i="22"/>
  <c r="BP848" i="22"/>
  <c r="AV849" i="22"/>
  <c r="AW849" i="22"/>
  <c r="AX849" i="22"/>
  <c r="AY849" i="22"/>
  <c r="AZ849" i="22"/>
  <c r="BF849" i="22"/>
  <c r="BH849" i="22"/>
  <c r="BK849" i="22"/>
  <c r="BL849" i="22"/>
  <c r="BM849" i="22"/>
  <c r="BN849" i="22"/>
  <c r="BO849" i="22"/>
  <c r="BP849" i="22"/>
  <c r="AV850" i="22"/>
  <c r="AW850" i="22"/>
  <c r="AX850" i="22"/>
  <c r="AY850" i="22"/>
  <c r="AZ850" i="22"/>
  <c r="BF850" i="22"/>
  <c r="BH850" i="22"/>
  <c r="BK850" i="22"/>
  <c r="BL850" i="22"/>
  <c r="BM850" i="22"/>
  <c r="BN850" i="22"/>
  <c r="BO850" i="22"/>
  <c r="BP850" i="22"/>
  <c r="AV851" i="22"/>
  <c r="AW851" i="22"/>
  <c r="AX851" i="22"/>
  <c r="AY851" i="22"/>
  <c r="AZ851" i="22"/>
  <c r="BF851" i="22"/>
  <c r="BH851" i="22"/>
  <c r="BK851" i="22"/>
  <c r="BL851" i="22"/>
  <c r="BM851" i="22"/>
  <c r="BN851" i="22"/>
  <c r="BO851" i="22"/>
  <c r="BP851" i="22"/>
  <c r="AV852" i="22"/>
  <c r="AW852" i="22"/>
  <c r="AX852" i="22"/>
  <c r="AY852" i="22"/>
  <c r="AZ852" i="22"/>
  <c r="BF852" i="22"/>
  <c r="BH852" i="22"/>
  <c r="BK852" i="22"/>
  <c r="BL852" i="22"/>
  <c r="BM852" i="22"/>
  <c r="BN852" i="22"/>
  <c r="BO852" i="22"/>
  <c r="BP852" i="22"/>
  <c r="AV853" i="22"/>
  <c r="AW853" i="22"/>
  <c r="AX853" i="22"/>
  <c r="AY853" i="22"/>
  <c r="AZ853" i="22"/>
  <c r="BF853" i="22"/>
  <c r="BH853" i="22"/>
  <c r="BK853" i="22"/>
  <c r="BL853" i="22"/>
  <c r="BM853" i="22"/>
  <c r="BN853" i="22"/>
  <c r="BO853" i="22"/>
  <c r="BP853" i="22"/>
  <c r="AV854" i="22"/>
  <c r="AW854" i="22"/>
  <c r="AX854" i="22"/>
  <c r="AY854" i="22"/>
  <c r="AZ854" i="22"/>
  <c r="BF854" i="22"/>
  <c r="BK854" i="22"/>
  <c r="BL854" i="22"/>
  <c r="BM854" i="22"/>
  <c r="BN854" i="22"/>
  <c r="BO854" i="22"/>
  <c r="BP854" i="22"/>
  <c r="AV855" i="22"/>
  <c r="AW855" i="22"/>
  <c r="AX855" i="22"/>
  <c r="AY855" i="22"/>
  <c r="AZ855" i="22"/>
  <c r="BF855" i="22"/>
  <c r="BH855" i="22"/>
  <c r="BK855" i="22"/>
  <c r="BL855" i="22"/>
  <c r="BM855" i="22"/>
  <c r="BN855" i="22"/>
  <c r="BO855" i="22"/>
  <c r="BP855" i="22"/>
  <c r="AV856" i="22"/>
  <c r="AW856" i="22"/>
  <c r="AX856" i="22"/>
  <c r="AY856" i="22"/>
  <c r="AZ856" i="22"/>
  <c r="BF856" i="22"/>
  <c r="BH856" i="22"/>
  <c r="BK856" i="22"/>
  <c r="BL856" i="22"/>
  <c r="BM856" i="22"/>
  <c r="BN856" i="22"/>
  <c r="BO856" i="22"/>
  <c r="BP856" i="22"/>
  <c r="AV857" i="22"/>
  <c r="AW857" i="22"/>
  <c r="AX857" i="22"/>
  <c r="AY857" i="22"/>
  <c r="AZ857" i="22"/>
  <c r="BF857" i="22"/>
  <c r="BH857" i="22"/>
  <c r="BK857" i="22"/>
  <c r="BL857" i="22"/>
  <c r="BM857" i="22"/>
  <c r="BN857" i="22"/>
  <c r="BO857" i="22"/>
  <c r="BP857" i="22"/>
  <c r="AV858" i="22"/>
  <c r="AW858" i="22"/>
  <c r="AX858" i="22"/>
  <c r="AY858" i="22"/>
  <c r="AZ858" i="22"/>
  <c r="BF858" i="22"/>
  <c r="BH858" i="22"/>
  <c r="BK858" i="22"/>
  <c r="BL858" i="22"/>
  <c r="BM858" i="22"/>
  <c r="BN858" i="22"/>
  <c r="BO858" i="22"/>
  <c r="BP858" i="22"/>
  <c r="AV859" i="22"/>
  <c r="AW859" i="22"/>
  <c r="AX859" i="22"/>
  <c r="AY859" i="22"/>
  <c r="AZ859" i="22"/>
  <c r="BF859" i="22"/>
  <c r="BK859" i="22"/>
  <c r="BL859" i="22"/>
  <c r="BM859" i="22"/>
  <c r="BN859" i="22"/>
  <c r="BO859" i="22"/>
  <c r="BP859" i="22"/>
  <c r="AV860" i="22"/>
  <c r="AW860" i="22"/>
  <c r="AX860" i="22"/>
  <c r="AY860" i="22"/>
  <c r="AZ860" i="22"/>
  <c r="BF860" i="22"/>
  <c r="BH860" i="22"/>
  <c r="BK860" i="22"/>
  <c r="BL860" i="22"/>
  <c r="BM860" i="22"/>
  <c r="BN860" i="22"/>
  <c r="BO860" i="22"/>
  <c r="BP860" i="22"/>
  <c r="AV861" i="22"/>
  <c r="AW861" i="22"/>
  <c r="AX861" i="22"/>
  <c r="AY861" i="22"/>
  <c r="AZ861" i="22"/>
  <c r="BF861" i="22"/>
  <c r="BK861" i="22"/>
  <c r="BL861" i="22"/>
  <c r="BM861" i="22"/>
  <c r="BN861" i="22"/>
  <c r="BO861" i="22"/>
  <c r="BP861" i="22"/>
  <c r="AV862" i="22"/>
  <c r="AW862" i="22"/>
  <c r="AX862" i="22"/>
  <c r="AY862" i="22"/>
  <c r="AZ862" i="22"/>
  <c r="BF862" i="22"/>
  <c r="BH862" i="22"/>
  <c r="BK862" i="22"/>
  <c r="BL862" i="22"/>
  <c r="BM862" i="22"/>
  <c r="BN862" i="22"/>
  <c r="BO862" i="22"/>
  <c r="BP862" i="22"/>
  <c r="AV863" i="22"/>
  <c r="AW863" i="22"/>
  <c r="AX863" i="22"/>
  <c r="AY863" i="22"/>
  <c r="AZ863" i="22"/>
  <c r="BF863" i="22"/>
  <c r="BH863" i="22"/>
  <c r="BK863" i="22"/>
  <c r="BL863" i="22"/>
  <c r="BM863" i="22"/>
  <c r="BN863" i="22"/>
  <c r="BO863" i="22"/>
  <c r="BP863" i="22"/>
  <c r="AV864" i="22"/>
  <c r="AW864" i="22"/>
  <c r="AX864" i="22"/>
  <c r="AY864" i="22"/>
  <c r="AZ864" i="22"/>
  <c r="BF864" i="22"/>
  <c r="BH864" i="22"/>
  <c r="BK864" i="22"/>
  <c r="BL864" i="22"/>
  <c r="BM864" i="22"/>
  <c r="BN864" i="22"/>
  <c r="BO864" i="22"/>
  <c r="BP864" i="22"/>
  <c r="AV865" i="22"/>
  <c r="AW865" i="22"/>
  <c r="AX865" i="22"/>
  <c r="AY865" i="22"/>
  <c r="AZ865" i="22"/>
  <c r="BF865" i="22"/>
  <c r="BH865" i="22"/>
  <c r="BK865" i="22"/>
  <c r="BL865" i="22"/>
  <c r="BM865" i="22"/>
  <c r="BN865" i="22"/>
  <c r="BO865" i="22"/>
  <c r="BP865" i="22"/>
  <c r="AV866" i="22"/>
  <c r="AW866" i="22"/>
  <c r="AX866" i="22"/>
  <c r="AY866" i="22"/>
  <c r="AZ866" i="22"/>
  <c r="BF866" i="22"/>
  <c r="BH866" i="22"/>
  <c r="BK866" i="22"/>
  <c r="BL866" i="22"/>
  <c r="BM866" i="22"/>
  <c r="BN866" i="22"/>
  <c r="BO866" i="22"/>
  <c r="BP866" i="22"/>
  <c r="AV867" i="22"/>
  <c r="AW867" i="22"/>
  <c r="AX867" i="22"/>
  <c r="AY867" i="22"/>
  <c r="AZ867" i="22"/>
  <c r="BF867" i="22"/>
  <c r="BH867" i="22"/>
  <c r="BK867" i="22"/>
  <c r="BL867" i="22"/>
  <c r="BM867" i="22"/>
  <c r="BN867" i="22"/>
  <c r="BO867" i="22"/>
  <c r="BP867" i="22"/>
  <c r="AV868" i="22"/>
  <c r="AW868" i="22"/>
  <c r="AX868" i="22"/>
  <c r="AY868" i="22"/>
  <c r="AZ868" i="22"/>
  <c r="BF868" i="22"/>
  <c r="BH868" i="22"/>
  <c r="BK868" i="22"/>
  <c r="BL868" i="22"/>
  <c r="BM868" i="22"/>
  <c r="BN868" i="22"/>
  <c r="BO868" i="22"/>
  <c r="BP868" i="22"/>
  <c r="AV869" i="22"/>
  <c r="AW869" i="22"/>
  <c r="AX869" i="22"/>
  <c r="AY869" i="22"/>
  <c r="AZ869" i="22"/>
  <c r="BF869" i="22"/>
  <c r="BK869" i="22"/>
  <c r="BL869" i="22"/>
  <c r="BM869" i="22"/>
  <c r="BN869" i="22"/>
  <c r="BO869" i="22"/>
  <c r="BP869" i="22"/>
  <c r="AV870" i="22"/>
  <c r="AW870" i="22"/>
  <c r="AX870" i="22"/>
  <c r="AY870" i="22"/>
  <c r="AZ870" i="22"/>
  <c r="BF870" i="22"/>
  <c r="BH870" i="22"/>
  <c r="BK870" i="22"/>
  <c r="BL870" i="22"/>
  <c r="BM870" i="22"/>
  <c r="BN870" i="22"/>
  <c r="BO870" i="22"/>
  <c r="BP870" i="22"/>
  <c r="AV871" i="22"/>
  <c r="AW871" i="22"/>
  <c r="AX871" i="22"/>
  <c r="AY871" i="22"/>
  <c r="AZ871" i="22"/>
  <c r="BF871" i="22"/>
  <c r="BH871" i="22"/>
  <c r="BK871" i="22"/>
  <c r="BL871" i="22"/>
  <c r="BM871" i="22"/>
  <c r="BN871" i="22"/>
  <c r="BO871" i="22"/>
  <c r="BP871" i="22"/>
  <c r="AV872" i="22"/>
  <c r="AW872" i="22"/>
  <c r="AX872" i="22"/>
  <c r="AY872" i="22"/>
  <c r="AZ872" i="22"/>
  <c r="BF872" i="22"/>
  <c r="BH872" i="22"/>
  <c r="BK872" i="22"/>
  <c r="BL872" i="22"/>
  <c r="BM872" i="22"/>
  <c r="BN872" i="22"/>
  <c r="BO872" i="22"/>
  <c r="BP872" i="22"/>
  <c r="AV873" i="22"/>
  <c r="AW873" i="22"/>
  <c r="AX873" i="22"/>
  <c r="AY873" i="22"/>
  <c r="AZ873" i="22"/>
  <c r="BF873" i="22"/>
  <c r="BH873" i="22"/>
  <c r="BK873" i="22"/>
  <c r="BL873" i="22"/>
  <c r="BM873" i="22"/>
  <c r="BN873" i="22"/>
  <c r="BO873" i="22"/>
  <c r="BP873" i="22"/>
  <c r="AV874" i="22"/>
  <c r="AW874" i="22"/>
  <c r="AX874" i="22"/>
  <c r="AY874" i="22"/>
  <c r="AZ874" i="22"/>
  <c r="BF874" i="22"/>
  <c r="BH874" i="22"/>
  <c r="BK874" i="22"/>
  <c r="BL874" i="22"/>
  <c r="BM874" i="22"/>
  <c r="BN874" i="22"/>
  <c r="BO874" i="22"/>
  <c r="BP874" i="22"/>
  <c r="AV875" i="22"/>
  <c r="AW875" i="22"/>
  <c r="AX875" i="22"/>
  <c r="AY875" i="22"/>
  <c r="AZ875" i="22"/>
  <c r="BF875" i="22"/>
  <c r="BH875" i="22"/>
  <c r="BK875" i="22"/>
  <c r="BL875" i="22"/>
  <c r="BM875" i="22"/>
  <c r="BN875" i="22"/>
  <c r="BO875" i="22"/>
  <c r="BP875" i="22"/>
  <c r="AV876" i="22"/>
  <c r="AW876" i="22"/>
  <c r="AX876" i="22"/>
  <c r="AY876" i="22"/>
  <c r="AZ876" i="22"/>
  <c r="BF876" i="22"/>
  <c r="BH876" i="22"/>
  <c r="BK876" i="22"/>
  <c r="BL876" i="22"/>
  <c r="BM876" i="22"/>
  <c r="BN876" i="22"/>
  <c r="BO876" i="22"/>
  <c r="BP876" i="22"/>
  <c r="AV877" i="22"/>
  <c r="AW877" i="22"/>
  <c r="AX877" i="22"/>
  <c r="AY877" i="22"/>
  <c r="AZ877" i="22"/>
  <c r="BF877" i="22"/>
  <c r="BH877" i="22"/>
  <c r="BK877" i="22"/>
  <c r="BL877" i="22"/>
  <c r="BM877" i="22"/>
  <c r="BN877" i="22"/>
  <c r="BO877" i="22"/>
  <c r="BP877" i="22"/>
  <c r="AV878" i="22"/>
  <c r="AW878" i="22"/>
  <c r="AX878" i="22"/>
  <c r="AY878" i="22"/>
  <c r="AZ878" i="22"/>
  <c r="BF878" i="22"/>
  <c r="BH878" i="22"/>
  <c r="BK878" i="22"/>
  <c r="BL878" i="22"/>
  <c r="BM878" i="22"/>
  <c r="BN878" i="22"/>
  <c r="BO878" i="22"/>
  <c r="BP878" i="22"/>
  <c r="AV879" i="22"/>
  <c r="AW879" i="22"/>
  <c r="AX879" i="22"/>
  <c r="AY879" i="22"/>
  <c r="AZ879" i="22"/>
  <c r="BF879" i="22"/>
  <c r="BH879" i="22"/>
  <c r="BK879" i="22"/>
  <c r="BL879" i="22"/>
  <c r="BM879" i="22"/>
  <c r="BN879" i="22"/>
  <c r="BO879" i="22"/>
  <c r="BP879" i="22"/>
  <c r="AV880" i="22"/>
  <c r="AW880" i="22"/>
  <c r="AX880" i="22"/>
  <c r="AY880" i="22"/>
  <c r="AZ880" i="22"/>
  <c r="BF880" i="22"/>
  <c r="BH880" i="22"/>
  <c r="BK880" i="22"/>
  <c r="BL880" i="22"/>
  <c r="BM880" i="22"/>
  <c r="BN880" i="22"/>
  <c r="BO880" i="22"/>
  <c r="BP880" i="22"/>
  <c r="AV881" i="22"/>
  <c r="AW881" i="22"/>
  <c r="AX881" i="22"/>
  <c r="AY881" i="22"/>
  <c r="AZ881" i="22"/>
  <c r="BF881" i="22"/>
  <c r="BH881" i="22"/>
  <c r="BK881" i="22"/>
  <c r="BL881" i="22"/>
  <c r="BM881" i="22"/>
  <c r="BN881" i="22"/>
  <c r="BO881" i="22"/>
  <c r="BP881" i="22"/>
  <c r="AV882" i="22"/>
  <c r="AW882" i="22"/>
  <c r="AX882" i="22"/>
  <c r="AY882" i="22"/>
  <c r="AZ882" i="22"/>
  <c r="BF882" i="22"/>
  <c r="BH882" i="22"/>
  <c r="BK882" i="22"/>
  <c r="BL882" i="22"/>
  <c r="BM882" i="22"/>
  <c r="BN882" i="22"/>
  <c r="BO882" i="22"/>
  <c r="BP882" i="22"/>
  <c r="AV883" i="22"/>
  <c r="AW883" i="22"/>
  <c r="AX883" i="22"/>
  <c r="AY883" i="22"/>
  <c r="AZ883" i="22"/>
  <c r="BF883" i="22"/>
  <c r="BH883" i="22"/>
  <c r="BK883" i="22"/>
  <c r="BL883" i="22"/>
  <c r="BM883" i="22"/>
  <c r="BN883" i="22"/>
  <c r="BO883" i="22"/>
  <c r="BP883" i="22"/>
  <c r="AV884" i="22"/>
  <c r="AW884" i="22"/>
  <c r="AX884" i="22"/>
  <c r="AY884" i="22"/>
  <c r="AZ884" i="22"/>
  <c r="BF884" i="22"/>
  <c r="BH884" i="22"/>
  <c r="BK884" i="22"/>
  <c r="BL884" i="22"/>
  <c r="BM884" i="22"/>
  <c r="BN884" i="22"/>
  <c r="BO884" i="22"/>
  <c r="BP884" i="22"/>
  <c r="AV885" i="22"/>
  <c r="AW885" i="22"/>
  <c r="AX885" i="22"/>
  <c r="AY885" i="22"/>
  <c r="AZ885" i="22"/>
  <c r="BF885" i="22"/>
  <c r="BH885" i="22"/>
  <c r="BK885" i="22"/>
  <c r="BL885" i="22"/>
  <c r="BM885" i="22"/>
  <c r="BN885" i="22"/>
  <c r="BO885" i="22"/>
  <c r="BP885" i="22"/>
  <c r="AV886" i="22"/>
  <c r="AW886" i="22"/>
  <c r="AX886" i="22"/>
  <c r="AY886" i="22"/>
  <c r="AZ886" i="22"/>
  <c r="BF886" i="22"/>
  <c r="BH886" i="22"/>
  <c r="BK886" i="22"/>
  <c r="BL886" i="22"/>
  <c r="BM886" i="22"/>
  <c r="BN886" i="22"/>
  <c r="BO886" i="22"/>
  <c r="BP886" i="22"/>
  <c r="AV887" i="22"/>
  <c r="AW887" i="22"/>
  <c r="AX887" i="22"/>
  <c r="AY887" i="22"/>
  <c r="AZ887" i="22"/>
  <c r="BF887" i="22"/>
  <c r="BH887" i="22"/>
  <c r="BK887" i="22"/>
  <c r="BL887" i="22"/>
  <c r="BM887" i="22"/>
  <c r="BN887" i="22"/>
  <c r="BO887" i="22"/>
  <c r="BP887" i="22"/>
  <c r="AV888" i="22"/>
  <c r="AW888" i="22"/>
  <c r="AX888" i="22"/>
  <c r="AY888" i="22"/>
  <c r="AZ888" i="22"/>
  <c r="BF888" i="22"/>
  <c r="BH888" i="22"/>
  <c r="BK888" i="22"/>
  <c r="BL888" i="22"/>
  <c r="BM888" i="22"/>
  <c r="BN888" i="22"/>
  <c r="BO888" i="22"/>
  <c r="BP888" i="22"/>
  <c r="AV889" i="22"/>
  <c r="AW889" i="22"/>
  <c r="AX889" i="22"/>
  <c r="AY889" i="22"/>
  <c r="AZ889" i="22"/>
  <c r="BF889" i="22"/>
  <c r="BH889" i="22"/>
  <c r="BK889" i="22"/>
  <c r="BL889" i="22"/>
  <c r="BM889" i="22"/>
  <c r="BN889" i="22"/>
  <c r="BO889" i="22"/>
  <c r="BP889" i="22"/>
  <c r="AV890" i="22"/>
  <c r="AW890" i="22"/>
  <c r="AX890" i="22"/>
  <c r="AY890" i="22"/>
  <c r="AZ890" i="22"/>
  <c r="BF890" i="22"/>
  <c r="BH890" i="22"/>
  <c r="BK890" i="22"/>
  <c r="BL890" i="22"/>
  <c r="BM890" i="22"/>
  <c r="BN890" i="22"/>
  <c r="BO890" i="22"/>
  <c r="BP890" i="22"/>
  <c r="AV891" i="22"/>
  <c r="AW891" i="22"/>
  <c r="AX891" i="22"/>
  <c r="AY891" i="22"/>
  <c r="AZ891" i="22"/>
  <c r="BF891" i="22"/>
  <c r="BH891" i="22"/>
  <c r="BK891" i="22"/>
  <c r="BL891" i="22"/>
  <c r="BM891" i="22"/>
  <c r="BN891" i="22"/>
  <c r="BO891" i="22"/>
  <c r="BP891" i="22"/>
  <c r="AV892" i="22"/>
  <c r="AW892" i="22"/>
  <c r="AX892" i="22"/>
  <c r="AY892" i="22"/>
  <c r="AZ892" i="22"/>
  <c r="BF892" i="22"/>
  <c r="BH892" i="22"/>
  <c r="BK892" i="22"/>
  <c r="BL892" i="22"/>
  <c r="BM892" i="22"/>
  <c r="BN892" i="22"/>
  <c r="BO892" i="22"/>
  <c r="BP892" i="22"/>
  <c r="AV893" i="22"/>
  <c r="AW893" i="22"/>
  <c r="AX893" i="22"/>
  <c r="AY893" i="22"/>
  <c r="AZ893" i="22"/>
  <c r="BF893" i="22"/>
  <c r="BH893" i="22"/>
  <c r="BK893" i="22"/>
  <c r="BL893" i="22"/>
  <c r="BM893" i="22"/>
  <c r="BN893" i="22"/>
  <c r="BO893" i="22"/>
  <c r="BP893" i="22"/>
  <c r="AV894" i="22"/>
  <c r="AW894" i="22"/>
  <c r="AX894" i="22"/>
  <c r="AY894" i="22"/>
  <c r="AZ894" i="22"/>
  <c r="BF894" i="22"/>
  <c r="BH894" i="22"/>
  <c r="BK894" i="22"/>
  <c r="BL894" i="22"/>
  <c r="BM894" i="22"/>
  <c r="BN894" i="22"/>
  <c r="BO894" i="22"/>
  <c r="BP894" i="22"/>
  <c r="AV895" i="22"/>
  <c r="AW895" i="22"/>
  <c r="AX895" i="22"/>
  <c r="AY895" i="22"/>
  <c r="AZ895" i="22"/>
  <c r="BF895" i="22"/>
  <c r="BH895" i="22"/>
  <c r="BK895" i="22"/>
  <c r="BL895" i="22"/>
  <c r="BM895" i="22"/>
  <c r="BN895" i="22"/>
  <c r="BO895" i="22"/>
  <c r="BP895" i="22"/>
  <c r="AV896" i="22"/>
  <c r="AW896" i="22"/>
  <c r="AX896" i="22"/>
  <c r="AY896" i="22"/>
  <c r="AZ896" i="22"/>
  <c r="BF896" i="22"/>
  <c r="BH896" i="22"/>
  <c r="BK896" i="22"/>
  <c r="BL896" i="22"/>
  <c r="BM896" i="22"/>
  <c r="BN896" i="22"/>
  <c r="BO896" i="22"/>
  <c r="BP896" i="22"/>
  <c r="AV897" i="22"/>
  <c r="AW897" i="22"/>
  <c r="AX897" i="22"/>
  <c r="AY897" i="22"/>
  <c r="AZ897" i="22"/>
  <c r="BF897" i="22"/>
  <c r="BH897" i="22"/>
  <c r="BK897" i="22"/>
  <c r="BL897" i="22"/>
  <c r="BM897" i="22"/>
  <c r="BN897" i="22"/>
  <c r="BO897" i="22"/>
  <c r="BP897" i="22"/>
  <c r="AV898" i="22"/>
  <c r="AW898" i="22"/>
  <c r="AX898" i="22"/>
  <c r="AY898" i="22"/>
  <c r="AZ898" i="22"/>
  <c r="BF898" i="22"/>
  <c r="BH898" i="22"/>
  <c r="BK898" i="22"/>
  <c r="BL898" i="22"/>
  <c r="BM898" i="22"/>
  <c r="BN898" i="22"/>
  <c r="BO898" i="22"/>
  <c r="BP898" i="22"/>
  <c r="AV899" i="22"/>
  <c r="AW899" i="22"/>
  <c r="AX899" i="22"/>
  <c r="AY899" i="22"/>
  <c r="AZ899" i="22"/>
  <c r="BF899" i="22"/>
  <c r="BH899" i="22"/>
  <c r="BK899" i="22"/>
  <c r="BL899" i="22"/>
  <c r="BM899" i="22"/>
  <c r="BN899" i="22"/>
  <c r="BO899" i="22"/>
  <c r="BP899" i="22"/>
  <c r="AV900" i="22"/>
  <c r="AW900" i="22"/>
  <c r="AX900" i="22"/>
  <c r="AY900" i="22"/>
  <c r="AZ900" i="22"/>
  <c r="BF900" i="22"/>
  <c r="BH900" i="22"/>
  <c r="BK900" i="22"/>
  <c r="BL900" i="22"/>
  <c r="BM900" i="22"/>
  <c r="BN900" i="22"/>
  <c r="BO900" i="22"/>
  <c r="BP900" i="22"/>
  <c r="AV901" i="22"/>
  <c r="AW901" i="22"/>
  <c r="AX901" i="22"/>
  <c r="AY901" i="22"/>
  <c r="AZ901" i="22"/>
  <c r="BF901" i="22"/>
  <c r="BH901" i="22"/>
  <c r="BK901" i="22"/>
  <c r="BL901" i="22"/>
  <c r="BM901" i="22"/>
  <c r="BN901" i="22"/>
  <c r="BO901" i="22"/>
  <c r="BP901" i="22"/>
  <c r="AV902" i="22"/>
  <c r="AW902" i="22"/>
  <c r="AX902" i="22"/>
  <c r="AY902" i="22"/>
  <c r="AZ902" i="22"/>
  <c r="BF902" i="22"/>
  <c r="BH902" i="22"/>
  <c r="BK902" i="22"/>
  <c r="BL902" i="22"/>
  <c r="BM902" i="22"/>
  <c r="BN902" i="22"/>
  <c r="BO902" i="22"/>
  <c r="BP902" i="22"/>
  <c r="AV903" i="22"/>
  <c r="AW903" i="22"/>
  <c r="AX903" i="22"/>
  <c r="AY903" i="22"/>
  <c r="AZ903" i="22"/>
  <c r="BF903" i="22"/>
  <c r="BH903" i="22"/>
  <c r="BK903" i="22"/>
  <c r="BL903" i="22"/>
  <c r="BM903" i="22"/>
  <c r="BN903" i="22"/>
  <c r="BO903" i="22"/>
  <c r="BP903" i="22"/>
  <c r="AV904" i="22"/>
  <c r="AW904" i="22"/>
  <c r="AX904" i="22"/>
  <c r="AY904" i="22"/>
  <c r="AZ904" i="22"/>
  <c r="BF904" i="22"/>
  <c r="BH904" i="22"/>
  <c r="BK904" i="22"/>
  <c r="BL904" i="22"/>
  <c r="BM904" i="22"/>
  <c r="BN904" i="22"/>
  <c r="BO904" i="22"/>
  <c r="BP904" i="22"/>
  <c r="AV905" i="22"/>
  <c r="AW905" i="22"/>
  <c r="AX905" i="22"/>
  <c r="AY905" i="22"/>
  <c r="AZ905" i="22"/>
  <c r="BF905" i="22"/>
  <c r="BH905" i="22"/>
  <c r="BK905" i="22"/>
  <c r="BL905" i="22"/>
  <c r="BM905" i="22"/>
  <c r="BN905" i="22"/>
  <c r="BO905" i="22"/>
  <c r="BP905" i="22"/>
  <c r="AV906" i="22"/>
  <c r="AW906" i="22"/>
  <c r="AX906" i="22"/>
  <c r="AY906" i="22"/>
  <c r="AZ906" i="22"/>
  <c r="BF906" i="22"/>
  <c r="BH906" i="22"/>
  <c r="BK906" i="22"/>
  <c r="BL906" i="22"/>
  <c r="BM906" i="22"/>
  <c r="BN906" i="22"/>
  <c r="BO906" i="22"/>
  <c r="BP906" i="22"/>
  <c r="AV907" i="22"/>
  <c r="AW907" i="22"/>
  <c r="AX907" i="22"/>
  <c r="AY907" i="22"/>
  <c r="AZ907" i="22"/>
  <c r="BF907" i="22"/>
  <c r="BH907" i="22"/>
  <c r="BK907" i="22"/>
  <c r="BL907" i="22"/>
  <c r="BM907" i="22"/>
  <c r="BN907" i="22"/>
  <c r="BO907" i="22"/>
  <c r="BP907" i="22"/>
  <c r="AV908" i="22"/>
  <c r="AW908" i="22"/>
  <c r="AX908" i="22"/>
  <c r="AY908" i="22"/>
  <c r="AZ908" i="22"/>
  <c r="BF908" i="22"/>
  <c r="BH908" i="22"/>
  <c r="BK908" i="22"/>
  <c r="BL908" i="22"/>
  <c r="BM908" i="22"/>
  <c r="BN908" i="22"/>
  <c r="BO908" i="22"/>
  <c r="BP908" i="22"/>
  <c r="AV909" i="22"/>
  <c r="AW909" i="22"/>
  <c r="AX909" i="22"/>
  <c r="AY909" i="22"/>
  <c r="AZ909" i="22"/>
  <c r="BF909" i="22"/>
  <c r="BH909" i="22"/>
  <c r="BK909" i="22"/>
  <c r="BL909" i="22"/>
  <c r="BM909" i="22"/>
  <c r="BN909" i="22"/>
  <c r="BO909" i="22"/>
  <c r="BP909" i="22"/>
  <c r="AV910" i="22"/>
  <c r="AW910" i="22"/>
  <c r="AX910" i="22"/>
  <c r="AY910" i="22"/>
  <c r="AZ910" i="22"/>
  <c r="BF910" i="22"/>
  <c r="BH910" i="22"/>
  <c r="BK910" i="22"/>
  <c r="BL910" i="22"/>
  <c r="BM910" i="22"/>
  <c r="BN910" i="22"/>
  <c r="BO910" i="22"/>
  <c r="BP910" i="22"/>
  <c r="AV911" i="22"/>
  <c r="AW911" i="22"/>
  <c r="AX911" i="22"/>
  <c r="AY911" i="22"/>
  <c r="AZ911" i="22"/>
  <c r="BF911" i="22"/>
  <c r="BH911" i="22"/>
  <c r="BK911" i="22"/>
  <c r="BL911" i="22"/>
  <c r="BM911" i="22"/>
  <c r="BN911" i="22"/>
  <c r="BO911" i="22"/>
  <c r="BP911" i="22"/>
  <c r="AV912" i="22"/>
  <c r="AW912" i="22"/>
  <c r="AX912" i="22"/>
  <c r="AY912" i="22"/>
  <c r="AZ912" i="22"/>
  <c r="BF912" i="22"/>
  <c r="BH912" i="22"/>
  <c r="BK912" i="22"/>
  <c r="BL912" i="22"/>
  <c r="BM912" i="22"/>
  <c r="BN912" i="22"/>
  <c r="BO912" i="22"/>
  <c r="BP912" i="22"/>
  <c r="AV913" i="22"/>
  <c r="AW913" i="22"/>
  <c r="AX913" i="22"/>
  <c r="AY913" i="22"/>
  <c r="AZ913" i="22"/>
  <c r="BF913" i="22"/>
  <c r="BH913" i="22"/>
  <c r="BK913" i="22"/>
  <c r="BL913" i="22"/>
  <c r="BM913" i="22"/>
  <c r="BN913" i="22"/>
  <c r="BO913" i="22"/>
  <c r="BP913" i="22"/>
  <c r="AV914" i="22"/>
  <c r="AW914" i="22"/>
  <c r="AX914" i="22"/>
  <c r="AY914" i="22"/>
  <c r="AZ914" i="22"/>
  <c r="BF914" i="22"/>
  <c r="BH914" i="22"/>
  <c r="BK914" i="22"/>
  <c r="BL914" i="22"/>
  <c r="BM914" i="22"/>
  <c r="BN914" i="22"/>
  <c r="BO914" i="22"/>
  <c r="BP914" i="22"/>
  <c r="AV915" i="22"/>
  <c r="AW915" i="22"/>
  <c r="AX915" i="22"/>
  <c r="AY915" i="22"/>
  <c r="AZ915" i="22"/>
  <c r="BF915" i="22"/>
  <c r="BH915" i="22"/>
  <c r="BK915" i="22"/>
  <c r="BL915" i="22"/>
  <c r="BM915" i="22"/>
  <c r="BN915" i="22"/>
  <c r="BO915" i="22"/>
  <c r="BP915" i="22"/>
  <c r="AV916" i="22"/>
  <c r="AW916" i="22"/>
  <c r="AX916" i="22"/>
  <c r="AY916" i="22"/>
  <c r="AZ916" i="22"/>
  <c r="BF916" i="22"/>
  <c r="BH916" i="22"/>
  <c r="BK916" i="22"/>
  <c r="BL916" i="22"/>
  <c r="BM916" i="22"/>
  <c r="BN916" i="22"/>
  <c r="BO916" i="22"/>
  <c r="BP916" i="22"/>
  <c r="AV917" i="22"/>
  <c r="AW917" i="22"/>
  <c r="AX917" i="22"/>
  <c r="AY917" i="22"/>
  <c r="AZ917" i="22"/>
  <c r="BF917" i="22"/>
  <c r="BH917" i="22"/>
  <c r="BK917" i="22"/>
  <c r="BL917" i="22"/>
  <c r="BM917" i="22"/>
  <c r="BN917" i="22"/>
  <c r="BO917" i="22"/>
  <c r="BP917" i="22"/>
  <c r="AV918" i="22"/>
  <c r="AW918" i="22"/>
  <c r="AX918" i="22"/>
  <c r="AY918" i="22"/>
  <c r="AZ918" i="22"/>
  <c r="BF918" i="22"/>
  <c r="BH918" i="22"/>
  <c r="BK918" i="22"/>
  <c r="BL918" i="22"/>
  <c r="BM918" i="22"/>
  <c r="BN918" i="22"/>
  <c r="BO918" i="22"/>
  <c r="BP918" i="22"/>
  <c r="AV919" i="22"/>
  <c r="AW919" i="22"/>
  <c r="AX919" i="22"/>
  <c r="AY919" i="22"/>
  <c r="AZ919" i="22"/>
  <c r="BF919" i="22"/>
  <c r="BH919" i="22"/>
  <c r="BK919" i="22"/>
  <c r="BL919" i="22"/>
  <c r="BM919" i="22"/>
  <c r="BN919" i="22"/>
  <c r="BO919" i="22"/>
  <c r="BP919" i="22"/>
  <c r="AV920" i="22"/>
  <c r="AW920" i="22"/>
  <c r="AX920" i="22"/>
  <c r="AY920" i="22"/>
  <c r="AZ920" i="22"/>
  <c r="BF920" i="22"/>
  <c r="BH920" i="22"/>
  <c r="BK920" i="22"/>
  <c r="BL920" i="22"/>
  <c r="BM920" i="22"/>
  <c r="BN920" i="22"/>
  <c r="BO920" i="22"/>
  <c r="BP920" i="22"/>
  <c r="AV921" i="22"/>
  <c r="AW921" i="22"/>
  <c r="AX921" i="22"/>
  <c r="AY921" i="22"/>
  <c r="AZ921" i="22"/>
  <c r="BF921" i="22"/>
  <c r="BH921" i="22"/>
  <c r="BK921" i="22"/>
  <c r="BL921" i="22"/>
  <c r="BM921" i="22"/>
  <c r="BN921" i="22"/>
  <c r="BO921" i="22"/>
  <c r="BP921" i="22"/>
  <c r="AV922" i="22"/>
  <c r="AW922" i="22"/>
  <c r="AX922" i="22"/>
  <c r="AY922" i="22"/>
  <c r="AZ922" i="22"/>
  <c r="BF922" i="22"/>
  <c r="BH922" i="22"/>
  <c r="BK922" i="22"/>
  <c r="BL922" i="22"/>
  <c r="BM922" i="22"/>
  <c r="BN922" i="22"/>
  <c r="BO922" i="22"/>
  <c r="BP922" i="22"/>
  <c r="AV923" i="22"/>
  <c r="AW923" i="22"/>
  <c r="AX923" i="22"/>
  <c r="AY923" i="22"/>
  <c r="AZ923" i="22"/>
  <c r="BF923" i="22"/>
  <c r="BH923" i="22"/>
  <c r="BK923" i="22"/>
  <c r="BL923" i="22"/>
  <c r="BM923" i="22"/>
  <c r="BN923" i="22"/>
  <c r="BO923" i="22"/>
  <c r="BP923" i="22"/>
  <c r="AV924" i="22"/>
  <c r="AW924" i="22"/>
  <c r="AX924" i="22"/>
  <c r="AY924" i="22"/>
  <c r="AZ924" i="22"/>
  <c r="BF924" i="22"/>
  <c r="BH924" i="22"/>
  <c r="BK924" i="22"/>
  <c r="BL924" i="22"/>
  <c r="BM924" i="22"/>
  <c r="BN924" i="22"/>
  <c r="BO924" i="22"/>
  <c r="BP924" i="22"/>
  <c r="AV925" i="22"/>
  <c r="AW925" i="22"/>
  <c r="AX925" i="22"/>
  <c r="AY925" i="22"/>
  <c r="AZ925" i="22"/>
  <c r="BF925" i="22"/>
  <c r="BH925" i="22"/>
  <c r="BK925" i="22"/>
  <c r="BL925" i="22"/>
  <c r="BM925" i="22"/>
  <c r="BN925" i="22"/>
  <c r="BO925" i="22"/>
  <c r="BP925" i="22"/>
  <c r="AV926" i="22"/>
  <c r="AW926" i="22"/>
  <c r="AX926" i="22"/>
  <c r="AY926" i="22"/>
  <c r="AZ926" i="22"/>
  <c r="BF926" i="22"/>
  <c r="BH926" i="22"/>
  <c r="BK926" i="22"/>
  <c r="BL926" i="22"/>
  <c r="BM926" i="22"/>
  <c r="BN926" i="22"/>
  <c r="BO926" i="22"/>
  <c r="BP926" i="22"/>
  <c r="AV927" i="22"/>
  <c r="AW927" i="22"/>
  <c r="AX927" i="22"/>
  <c r="AY927" i="22"/>
  <c r="AZ927" i="22"/>
  <c r="BF927" i="22"/>
  <c r="BH927" i="22"/>
  <c r="BK927" i="22"/>
  <c r="BL927" i="22"/>
  <c r="BM927" i="22"/>
  <c r="BN927" i="22"/>
  <c r="BO927" i="22"/>
  <c r="BP927" i="22"/>
  <c r="AV928" i="22"/>
  <c r="AW928" i="22"/>
  <c r="AX928" i="22"/>
  <c r="AY928" i="22"/>
  <c r="AZ928" i="22"/>
  <c r="BF928" i="22"/>
  <c r="BH928" i="22"/>
  <c r="BK928" i="22"/>
  <c r="BL928" i="22"/>
  <c r="BM928" i="22"/>
  <c r="BN928" i="22"/>
  <c r="BO928" i="22"/>
  <c r="BP928" i="22"/>
  <c r="AV929" i="22"/>
  <c r="AW929" i="22"/>
  <c r="AX929" i="22"/>
  <c r="AY929" i="22"/>
  <c r="AZ929" i="22"/>
  <c r="BF929" i="22"/>
  <c r="BH929" i="22"/>
  <c r="BK929" i="22"/>
  <c r="BL929" i="22"/>
  <c r="BM929" i="22"/>
  <c r="BN929" i="22"/>
  <c r="BO929" i="22"/>
  <c r="BP929" i="22"/>
  <c r="AV930" i="22"/>
  <c r="AW930" i="22"/>
  <c r="AX930" i="22"/>
  <c r="AY930" i="22"/>
  <c r="AZ930" i="22"/>
  <c r="BF930" i="22"/>
  <c r="BH930" i="22"/>
  <c r="BK930" i="22"/>
  <c r="BL930" i="22"/>
  <c r="BM930" i="22"/>
  <c r="BN930" i="22"/>
  <c r="BO930" i="22"/>
  <c r="BP930" i="22"/>
  <c r="AV931" i="22"/>
  <c r="AW931" i="22"/>
  <c r="AX931" i="22"/>
  <c r="AY931" i="22"/>
  <c r="AZ931" i="22"/>
  <c r="BF931" i="22"/>
  <c r="BH931" i="22"/>
  <c r="BK931" i="22"/>
  <c r="BL931" i="22"/>
  <c r="BM931" i="22"/>
  <c r="BN931" i="22"/>
  <c r="BO931" i="22"/>
  <c r="BP931" i="22"/>
  <c r="AV932" i="22"/>
  <c r="AW932" i="22"/>
  <c r="AX932" i="22"/>
  <c r="AY932" i="22"/>
  <c r="AZ932" i="22"/>
  <c r="BF932" i="22"/>
  <c r="BH932" i="22"/>
  <c r="BK932" i="22"/>
  <c r="BL932" i="22"/>
  <c r="BM932" i="22"/>
  <c r="BN932" i="22"/>
  <c r="BO932" i="22"/>
  <c r="BP932" i="22"/>
  <c r="AV933" i="22"/>
  <c r="AW933" i="22"/>
  <c r="AX933" i="22"/>
  <c r="AY933" i="22"/>
  <c r="AZ933" i="22"/>
  <c r="BF933" i="22"/>
  <c r="BH933" i="22"/>
  <c r="BK933" i="22"/>
  <c r="BL933" i="22"/>
  <c r="BM933" i="22"/>
  <c r="BN933" i="22"/>
  <c r="BO933" i="22"/>
  <c r="BP933" i="22"/>
  <c r="AV934" i="22"/>
  <c r="AW934" i="22"/>
  <c r="AX934" i="22"/>
  <c r="AY934" i="22"/>
  <c r="AZ934" i="22"/>
  <c r="BF934" i="22"/>
  <c r="BH934" i="22"/>
  <c r="BK934" i="22"/>
  <c r="BL934" i="22"/>
  <c r="BM934" i="22"/>
  <c r="BN934" i="22"/>
  <c r="BO934" i="22"/>
  <c r="BP934" i="22"/>
  <c r="AV935" i="22"/>
  <c r="AW935" i="22"/>
  <c r="AX935" i="22"/>
  <c r="AY935" i="22"/>
  <c r="AZ935" i="22"/>
  <c r="BF935" i="22"/>
  <c r="BH935" i="22"/>
  <c r="BK935" i="22"/>
  <c r="BL935" i="22"/>
  <c r="BM935" i="22"/>
  <c r="BN935" i="22"/>
  <c r="BO935" i="22"/>
  <c r="BP935" i="22"/>
  <c r="AV936" i="22"/>
  <c r="AW936" i="22"/>
  <c r="AX936" i="22"/>
  <c r="AY936" i="22"/>
  <c r="AZ936" i="22"/>
  <c r="BF936" i="22"/>
  <c r="BH936" i="22"/>
  <c r="BK936" i="22"/>
  <c r="BL936" i="22"/>
  <c r="BM936" i="22"/>
  <c r="BN936" i="22"/>
  <c r="BO936" i="22"/>
  <c r="BP936" i="22"/>
  <c r="AV937" i="22"/>
  <c r="AW937" i="22"/>
  <c r="AX937" i="22"/>
  <c r="AY937" i="22"/>
  <c r="AZ937" i="22"/>
  <c r="BF937" i="22"/>
  <c r="BH937" i="22"/>
  <c r="BK937" i="22"/>
  <c r="BL937" i="22"/>
  <c r="BM937" i="22"/>
  <c r="BN937" i="22"/>
  <c r="BO937" i="22"/>
  <c r="BP937" i="22"/>
  <c r="AV938" i="22"/>
  <c r="AW938" i="22"/>
  <c r="AX938" i="22"/>
  <c r="AY938" i="22"/>
  <c r="AZ938" i="22"/>
  <c r="BF938" i="22"/>
  <c r="BH938" i="22"/>
  <c r="BK938" i="22"/>
  <c r="BL938" i="22"/>
  <c r="BM938" i="22"/>
  <c r="BN938" i="22"/>
  <c r="BO938" i="22"/>
  <c r="BP938" i="22"/>
  <c r="AV939" i="22"/>
  <c r="AW939" i="22"/>
  <c r="AX939" i="22"/>
  <c r="AY939" i="22"/>
  <c r="AZ939" i="22"/>
  <c r="BF939" i="22"/>
  <c r="BH939" i="22"/>
  <c r="BK939" i="22"/>
  <c r="BL939" i="22"/>
  <c r="BM939" i="22"/>
  <c r="BN939" i="22"/>
  <c r="BO939" i="22"/>
  <c r="BP939" i="22"/>
  <c r="AV940" i="22"/>
  <c r="AW940" i="22"/>
  <c r="AX940" i="22"/>
  <c r="AY940" i="22"/>
  <c r="AZ940" i="22"/>
  <c r="BF940" i="22"/>
  <c r="BH940" i="22"/>
  <c r="BK940" i="22"/>
  <c r="BL940" i="22"/>
  <c r="BM940" i="22"/>
  <c r="BN940" i="22"/>
  <c r="BO940" i="22"/>
  <c r="BP940" i="22"/>
  <c r="AV941" i="22"/>
  <c r="AW941" i="22"/>
  <c r="AX941" i="22"/>
  <c r="AY941" i="22"/>
  <c r="AZ941" i="22"/>
  <c r="BF941" i="22"/>
  <c r="BH941" i="22"/>
  <c r="BK941" i="22"/>
  <c r="BL941" i="22"/>
  <c r="BM941" i="22"/>
  <c r="BN941" i="22"/>
  <c r="BO941" i="22"/>
  <c r="BP941" i="22"/>
  <c r="AV942" i="22"/>
  <c r="AW942" i="22"/>
  <c r="AX942" i="22"/>
  <c r="AY942" i="22"/>
  <c r="AZ942" i="22"/>
  <c r="BF942" i="22"/>
  <c r="BH942" i="22"/>
  <c r="BK942" i="22"/>
  <c r="BL942" i="22"/>
  <c r="BM942" i="22"/>
  <c r="BN942" i="22"/>
  <c r="BO942" i="22"/>
  <c r="BP942" i="22"/>
  <c r="AV943" i="22"/>
  <c r="AW943" i="22"/>
  <c r="AX943" i="22"/>
  <c r="AY943" i="22"/>
  <c r="AZ943" i="22"/>
  <c r="BF943" i="22"/>
  <c r="BH943" i="22"/>
  <c r="BK943" i="22"/>
  <c r="BL943" i="22"/>
  <c r="BM943" i="22"/>
  <c r="BN943" i="22"/>
  <c r="BO943" i="22"/>
  <c r="BP943" i="22"/>
  <c r="AV944" i="22"/>
  <c r="AW944" i="22"/>
  <c r="AX944" i="22"/>
  <c r="AY944" i="22"/>
  <c r="AZ944" i="22"/>
  <c r="BF944" i="22"/>
  <c r="BH944" i="22"/>
  <c r="BK944" i="22"/>
  <c r="BL944" i="22"/>
  <c r="BM944" i="22"/>
  <c r="BN944" i="22"/>
  <c r="BO944" i="22"/>
  <c r="BP944" i="22"/>
  <c r="AV945" i="22"/>
  <c r="AW945" i="22"/>
  <c r="AX945" i="22"/>
  <c r="AY945" i="22"/>
  <c r="AZ945" i="22"/>
  <c r="BF945" i="22"/>
  <c r="BH945" i="22"/>
  <c r="BK945" i="22"/>
  <c r="BL945" i="22"/>
  <c r="BM945" i="22"/>
  <c r="BN945" i="22"/>
  <c r="BO945" i="22"/>
  <c r="BP945" i="22"/>
  <c r="AV946" i="22"/>
  <c r="AW946" i="22"/>
  <c r="AX946" i="22"/>
  <c r="AY946" i="22"/>
  <c r="AZ946" i="22"/>
  <c r="BF946" i="22"/>
  <c r="BH946" i="22"/>
  <c r="BK946" i="22"/>
  <c r="BL946" i="22"/>
  <c r="BM946" i="22"/>
  <c r="BN946" i="22"/>
  <c r="BO946" i="22"/>
  <c r="BP946" i="22"/>
  <c r="AV947" i="22"/>
  <c r="AW947" i="22"/>
  <c r="AX947" i="22"/>
  <c r="AY947" i="22"/>
  <c r="AZ947" i="22"/>
  <c r="BF947" i="22"/>
  <c r="BH947" i="22"/>
  <c r="BK947" i="22"/>
  <c r="BL947" i="22"/>
  <c r="BM947" i="22"/>
  <c r="BN947" i="22"/>
  <c r="BO947" i="22"/>
  <c r="BP947" i="22"/>
  <c r="AV948" i="22"/>
  <c r="AW948" i="22"/>
  <c r="AX948" i="22"/>
  <c r="AY948" i="22"/>
  <c r="AZ948" i="22"/>
  <c r="BF948" i="22"/>
  <c r="BH948" i="22"/>
  <c r="BK948" i="22"/>
  <c r="BL948" i="22"/>
  <c r="BM948" i="22"/>
  <c r="BN948" i="22"/>
  <c r="BO948" i="22"/>
  <c r="BP948" i="22"/>
  <c r="AV949" i="22"/>
  <c r="AW949" i="22"/>
  <c r="AX949" i="22"/>
  <c r="AY949" i="22"/>
  <c r="AZ949" i="22"/>
  <c r="BF949" i="22"/>
  <c r="BH949" i="22"/>
  <c r="BK949" i="22"/>
  <c r="BL949" i="22"/>
  <c r="BM949" i="22"/>
  <c r="BN949" i="22"/>
  <c r="BO949" i="22"/>
  <c r="BP949" i="22"/>
  <c r="AV950" i="22"/>
  <c r="AW950" i="22"/>
  <c r="AX950" i="22"/>
  <c r="AY950" i="22"/>
  <c r="AZ950" i="22"/>
  <c r="BF950" i="22"/>
  <c r="BH950" i="22"/>
  <c r="BK950" i="22"/>
  <c r="BL950" i="22"/>
  <c r="BM950" i="22"/>
  <c r="BN950" i="22"/>
  <c r="BO950" i="22"/>
  <c r="BP950" i="22"/>
  <c r="T753" i="22"/>
  <c r="T750" i="22"/>
  <c r="T747" i="22"/>
  <c r="T744" i="22"/>
  <c r="T736" i="22"/>
  <c r="M733" i="22"/>
  <c r="V733" i="22" s="1"/>
  <c r="T723" i="22"/>
  <c r="T719" i="22"/>
  <c r="T714" i="22"/>
  <c r="T708" i="22"/>
  <c r="Y706" i="22"/>
  <c r="T706" i="22"/>
  <c r="L702" i="22"/>
  <c r="M703" i="22"/>
  <c r="Z703" i="22" s="1"/>
  <c r="BD703" i="22" s="1"/>
  <c r="M704" i="22"/>
  <c r="Z704" i="22" s="1"/>
  <c r="BI704" i="22" s="1"/>
  <c r="T702" i="22"/>
  <c r="U702" i="22"/>
  <c r="P700" i="22"/>
  <c r="M695" i="22"/>
  <c r="Z695" i="22" s="1"/>
  <c r="BD695" i="22" s="1"/>
  <c r="M696" i="22"/>
  <c r="Z696" i="22" s="1"/>
  <c r="BI696" i="22" s="1"/>
  <c r="T693" i="22"/>
  <c r="T685" i="22"/>
  <c r="T681" i="22"/>
  <c r="BI4" i="22"/>
  <c r="BI5" i="22"/>
  <c r="BI6" i="22"/>
  <c r="BI7" i="22"/>
  <c r="BI8" i="22"/>
  <c r="BI149" i="22"/>
  <c r="BI161" i="22"/>
  <c r="BI169" i="22"/>
  <c r="BI182" i="22"/>
  <c r="BI184" i="22"/>
  <c r="BI3" i="22"/>
  <c r="BD4" i="22"/>
  <c r="BD5" i="22"/>
  <c r="BD6" i="22"/>
  <c r="BD7" i="22"/>
  <c r="BD8" i="22"/>
  <c r="BD149" i="22"/>
  <c r="BD161" i="22"/>
  <c r="BD169" i="22"/>
  <c r="BD182" i="22"/>
  <c r="BD184" i="22"/>
  <c r="BR839" i="22" l="1"/>
  <c r="BQ845" i="22"/>
  <c r="BQ842" i="22"/>
  <c r="BQ843" i="22"/>
  <c r="BR844" i="22"/>
  <c r="BA762" i="22"/>
  <c r="BE762" i="22" s="1"/>
  <c r="BA946" i="22"/>
  <c r="BE946" i="22" s="1"/>
  <c r="BA944" i="22"/>
  <c r="BE944" i="22" s="1"/>
  <c r="BA943" i="22"/>
  <c r="BE943" i="22" s="1"/>
  <c r="BA942" i="22"/>
  <c r="BE942" i="22" s="1"/>
  <c r="BA941" i="22"/>
  <c r="BE941" i="22" s="1"/>
  <c r="BA938" i="22"/>
  <c r="BE938" i="22" s="1"/>
  <c r="BA932" i="22"/>
  <c r="BE932" i="22" s="1"/>
  <c r="BA929" i="22"/>
  <c r="BE929" i="22" s="1"/>
  <c r="BA928" i="22"/>
  <c r="BE928" i="22" s="1"/>
  <c r="BA950" i="22"/>
  <c r="BE950" i="22" s="1"/>
  <c r="BA949" i="22"/>
  <c r="BE949" i="22" s="1"/>
  <c r="BA948" i="22"/>
  <c r="BE948" i="22" s="1"/>
  <c r="BA947" i="22"/>
  <c r="BE947" i="22" s="1"/>
  <c r="BA945" i="22"/>
  <c r="BE945" i="22" s="1"/>
  <c r="BA940" i="22"/>
  <c r="BE940" i="22" s="1"/>
  <c r="BA936" i="22"/>
  <c r="BE936" i="22" s="1"/>
  <c r="BA937" i="22"/>
  <c r="BE937" i="22" s="1"/>
  <c r="BA939" i="22"/>
  <c r="BE939" i="22" s="1"/>
  <c r="BA935" i="22"/>
  <c r="BE935" i="22" s="1"/>
  <c r="BA934" i="22"/>
  <c r="BE934" i="22" s="1"/>
  <c r="BA933" i="22"/>
  <c r="BE933" i="22" s="1"/>
  <c r="BA931" i="22"/>
  <c r="BE931" i="22" s="1"/>
  <c r="BA930" i="22"/>
  <c r="BE930" i="22" s="1"/>
  <c r="BA927" i="22"/>
  <c r="BE927" i="22" s="1"/>
  <c r="BA926" i="22"/>
  <c r="BE926" i="22" s="1"/>
  <c r="BA925" i="22"/>
  <c r="BE925" i="22" s="1"/>
  <c r="BA924" i="22"/>
  <c r="BE924" i="22" s="1"/>
  <c r="BA921" i="22"/>
  <c r="BE921" i="22" s="1"/>
  <c r="BA922" i="22"/>
  <c r="BE922" i="22" s="1"/>
  <c r="BA923" i="22"/>
  <c r="BE923" i="22" s="1"/>
  <c r="BA920" i="22"/>
  <c r="BE920" i="22" s="1"/>
  <c r="BA916" i="22"/>
  <c r="BE916" i="22" s="1"/>
  <c r="BA913" i="22"/>
  <c r="BE913" i="22" s="1"/>
  <c r="BA872" i="22"/>
  <c r="BE872" i="22" s="1"/>
  <c r="BA914" i="22"/>
  <c r="BE914" i="22" s="1"/>
  <c r="BA915" i="22"/>
  <c r="BE915" i="22" s="1"/>
  <c r="BA917" i="22"/>
  <c r="BE917" i="22" s="1"/>
  <c r="BA918" i="22"/>
  <c r="BE918" i="22" s="1"/>
  <c r="BA919" i="22"/>
  <c r="BE919" i="22" s="1"/>
  <c r="BA912" i="22"/>
  <c r="BE912" i="22" s="1"/>
  <c r="BA905" i="22"/>
  <c r="BE905" i="22" s="1"/>
  <c r="BA904" i="22"/>
  <c r="BE904" i="22" s="1"/>
  <c r="BA902" i="22"/>
  <c r="BE902" i="22" s="1"/>
  <c r="BA901" i="22"/>
  <c r="BE901" i="22" s="1"/>
  <c r="BA900" i="22"/>
  <c r="BE900" i="22" s="1"/>
  <c r="BA899" i="22"/>
  <c r="BE899" i="22" s="1"/>
  <c r="BA895" i="22"/>
  <c r="BE895" i="22" s="1"/>
  <c r="BA896" i="22"/>
  <c r="BE896" i="22" s="1"/>
  <c r="BA897" i="22"/>
  <c r="BE897" i="22" s="1"/>
  <c r="BA898" i="22"/>
  <c r="BE898" i="22" s="1"/>
  <c r="BA894" i="22"/>
  <c r="BE894" i="22" s="1"/>
  <c r="BA903" i="22"/>
  <c r="BE903" i="22" s="1"/>
  <c r="BA906" i="22"/>
  <c r="BE906" i="22" s="1"/>
  <c r="BA893" i="22"/>
  <c r="BE893" i="22" s="1"/>
  <c r="BA892" i="22"/>
  <c r="BE892" i="22" s="1"/>
  <c r="BA891" i="22"/>
  <c r="BE891" i="22" s="1"/>
  <c r="BA890" i="22"/>
  <c r="BE890" i="22" s="1"/>
  <c r="BA889" i="22"/>
  <c r="BE889" i="22" s="1"/>
  <c r="BA888" i="22"/>
  <c r="BE888" i="22" s="1"/>
  <c r="BA887" i="22"/>
  <c r="BE887" i="22" s="1"/>
  <c r="BA886" i="22"/>
  <c r="BE886" i="22" s="1"/>
  <c r="BA885" i="22"/>
  <c r="BE885" i="22" s="1"/>
  <c r="BA884" i="22"/>
  <c r="BE884" i="22" s="1"/>
  <c r="BA883" i="22"/>
  <c r="BE883" i="22" s="1"/>
  <c r="BA882" i="22"/>
  <c r="BE882" i="22" s="1"/>
  <c r="BA881" i="22"/>
  <c r="BE881" i="22" s="1"/>
  <c r="BA880" i="22"/>
  <c r="BE880" i="22" s="1"/>
  <c r="BA879" i="22"/>
  <c r="BE879" i="22" s="1"/>
  <c r="BA878" i="22"/>
  <c r="BE878" i="22" s="1"/>
  <c r="BA877" i="22"/>
  <c r="BE877" i="22" s="1"/>
  <c r="BA876" i="22"/>
  <c r="BE876" i="22" s="1"/>
  <c r="BA875" i="22"/>
  <c r="BE875" i="22" s="1"/>
  <c r="BA874" i="22"/>
  <c r="BE874" i="22" s="1"/>
  <c r="BA873" i="22"/>
  <c r="BE873" i="22" s="1"/>
  <c r="BA871" i="22"/>
  <c r="BE871" i="22" s="1"/>
  <c r="BA870" i="22"/>
  <c r="BE870" i="22" s="1"/>
  <c r="BA869" i="22"/>
  <c r="BE869" i="22" s="1"/>
  <c r="BA868" i="22"/>
  <c r="BE868" i="22" s="1"/>
  <c r="BA867" i="22"/>
  <c r="BE867" i="22" s="1"/>
  <c r="BA866" i="22"/>
  <c r="BE866" i="22" s="1"/>
  <c r="BA865" i="22"/>
  <c r="BE865" i="22" s="1"/>
  <c r="BA864" i="22"/>
  <c r="BE864" i="22" s="1"/>
  <c r="BA863" i="22"/>
  <c r="BE863" i="22" s="1"/>
  <c r="BA862" i="22"/>
  <c r="BE862" i="22" s="1"/>
  <c r="BA861" i="22"/>
  <c r="BE861" i="22" s="1"/>
  <c r="BA860" i="22"/>
  <c r="BE860" i="22" s="1"/>
  <c r="BA859" i="22"/>
  <c r="BE859" i="22" s="1"/>
  <c r="BA858" i="22"/>
  <c r="BE858" i="22" s="1"/>
  <c r="BA857" i="22"/>
  <c r="BE857" i="22" s="1"/>
  <c r="BA856" i="22"/>
  <c r="BE856" i="22" s="1"/>
  <c r="BA855" i="22"/>
  <c r="BE855" i="22" s="1"/>
  <c r="BA854" i="22"/>
  <c r="BE854" i="22" s="1"/>
  <c r="BA853" i="22"/>
  <c r="BE853" i="22" s="1"/>
  <c r="BA852" i="22"/>
  <c r="BE852" i="22" s="1"/>
  <c r="BA851" i="22"/>
  <c r="BE851" i="22" s="1"/>
  <c r="BA850" i="22"/>
  <c r="BE850" i="22" s="1"/>
  <c r="BA849" i="22"/>
  <c r="BE849" i="22" s="1"/>
  <c r="BA848" i="22"/>
  <c r="BE848" i="22" s="1"/>
  <c r="BA847" i="22"/>
  <c r="BE847" i="22" s="1"/>
  <c r="BA846" i="22"/>
  <c r="BE846" i="22" s="1"/>
  <c r="BA837" i="22"/>
  <c r="BE837" i="22" s="1"/>
  <c r="BA836" i="22"/>
  <c r="BE836" i="22" s="1"/>
  <c r="BA835" i="22"/>
  <c r="BE835" i="22" s="1"/>
  <c r="BA834" i="22"/>
  <c r="BE834" i="22" s="1"/>
  <c r="BA833" i="22"/>
  <c r="BE833" i="22" s="1"/>
  <c r="BA832" i="22"/>
  <c r="BE832" i="22" s="1"/>
  <c r="BA831" i="22"/>
  <c r="BE831" i="22" s="1"/>
  <c r="BA829" i="22"/>
  <c r="BE829" i="22" s="1"/>
  <c r="BA830" i="22"/>
  <c r="BE830" i="22" s="1"/>
  <c r="BA828" i="22"/>
  <c r="BE828" i="22" s="1"/>
  <c r="BA827" i="22"/>
  <c r="BE827" i="22" s="1"/>
  <c r="BA826" i="22"/>
  <c r="BE826" i="22" s="1"/>
  <c r="BA825" i="22"/>
  <c r="BE825" i="22" s="1"/>
  <c r="BA824" i="22"/>
  <c r="BE824" i="22" s="1"/>
  <c r="BA823" i="22"/>
  <c r="BE823" i="22" s="1"/>
  <c r="BA822" i="22"/>
  <c r="BE822" i="22" s="1"/>
  <c r="BA821" i="22"/>
  <c r="BE821" i="22" s="1"/>
  <c r="BA757" i="22"/>
  <c r="BE757" i="22" s="1"/>
  <c r="BA763" i="22"/>
  <c r="BE763" i="22" s="1"/>
  <c r="BA820" i="22"/>
  <c r="BE820" i="22" s="1"/>
  <c r="BA819" i="22"/>
  <c r="BE819" i="22" s="1"/>
  <c r="BA818" i="22"/>
  <c r="BE818" i="22" s="1"/>
  <c r="BA817" i="22"/>
  <c r="BE817" i="22" s="1"/>
  <c r="BA816" i="22"/>
  <c r="BE816" i="22" s="1"/>
  <c r="BA814" i="22"/>
  <c r="BE814" i="22" s="1"/>
  <c r="BA815" i="22"/>
  <c r="BE815" i="22" s="1"/>
  <c r="BA813" i="22"/>
  <c r="BE813" i="22" s="1"/>
  <c r="BA812" i="22"/>
  <c r="BE812" i="22" s="1"/>
  <c r="BA811" i="22"/>
  <c r="BE811" i="22" s="1"/>
  <c r="BA810" i="22"/>
  <c r="BE810" i="22" s="1"/>
  <c r="BA809" i="22"/>
  <c r="BE809" i="22" s="1"/>
  <c r="BA808" i="22"/>
  <c r="BE808" i="22" s="1"/>
  <c r="BA807" i="22"/>
  <c r="BE807" i="22" s="1"/>
  <c r="BA806" i="22"/>
  <c r="BE806" i="22" s="1"/>
  <c r="BA805" i="22"/>
  <c r="BE805" i="22" s="1"/>
  <c r="BA804" i="22"/>
  <c r="BE804" i="22" s="1"/>
  <c r="BA803" i="22"/>
  <c r="BE803" i="22" s="1"/>
  <c r="BA802" i="22"/>
  <c r="BE802" i="22" s="1"/>
  <c r="BA801" i="22"/>
  <c r="BE801" i="22" s="1"/>
  <c r="BA800" i="22"/>
  <c r="BE800" i="22" s="1"/>
  <c r="BA799" i="22"/>
  <c r="BE799" i="22" s="1"/>
  <c r="BA798" i="22"/>
  <c r="BE798" i="22" s="1"/>
  <c r="BA797" i="22"/>
  <c r="BE797" i="22" s="1"/>
  <c r="BA796" i="22"/>
  <c r="BE796" i="22" s="1"/>
  <c r="BA795" i="22"/>
  <c r="BE795" i="22" s="1"/>
  <c r="BA794" i="22"/>
  <c r="BE794" i="22" s="1"/>
  <c r="BA793" i="22"/>
  <c r="BE793" i="22" s="1"/>
  <c r="BA792" i="22"/>
  <c r="BE792" i="22" s="1"/>
  <c r="BA791" i="22"/>
  <c r="BE791" i="22" s="1"/>
  <c r="BA790" i="22"/>
  <c r="BE790" i="22" s="1"/>
  <c r="BA789" i="22"/>
  <c r="BE789" i="22" s="1"/>
  <c r="BA788" i="22"/>
  <c r="BE788" i="22" s="1"/>
  <c r="BA787" i="22"/>
  <c r="BE787" i="22" s="1"/>
  <c r="BA786" i="22"/>
  <c r="BE786" i="22" s="1"/>
  <c r="BA785" i="22"/>
  <c r="BE785" i="22" s="1"/>
  <c r="BA783" i="22"/>
  <c r="BE783" i="22" s="1"/>
  <c r="BA782" i="22"/>
  <c r="BE782" i="22" s="1"/>
  <c r="BA781" i="22"/>
  <c r="BE781" i="22" s="1"/>
  <c r="BA780" i="22"/>
  <c r="BE780" i="22" s="1"/>
  <c r="BA779" i="22"/>
  <c r="BE779" i="22" s="1"/>
  <c r="BA778" i="22"/>
  <c r="BE778" i="22" s="1"/>
  <c r="BA777" i="22"/>
  <c r="BE777" i="22" s="1"/>
  <c r="BA774" i="22"/>
  <c r="BE774" i="22" s="1"/>
  <c r="BA776" i="22"/>
  <c r="BE776" i="22" s="1"/>
  <c r="BA775" i="22"/>
  <c r="BE775" i="22" s="1"/>
  <c r="BA773" i="22"/>
  <c r="BE773" i="22" s="1"/>
  <c r="BA772" i="22"/>
  <c r="BE772" i="22" s="1"/>
  <c r="BA771" i="22"/>
  <c r="BE771" i="22" s="1"/>
  <c r="BA770" i="22"/>
  <c r="BE770" i="22" s="1"/>
  <c r="BA769" i="22"/>
  <c r="BE769" i="22" s="1"/>
  <c r="BA768" i="22"/>
  <c r="BE768" i="22" s="1"/>
  <c r="BA767" i="22"/>
  <c r="BE767" i="22" s="1"/>
  <c r="BA766" i="22"/>
  <c r="BE766" i="22" s="1"/>
  <c r="BA765" i="22"/>
  <c r="BE765" i="22" s="1"/>
  <c r="BA764" i="22"/>
  <c r="BE764" i="22" s="1"/>
  <c r="BA759" i="22"/>
  <c r="BE759" i="22" s="1"/>
  <c r="BA760" i="22"/>
  <c r="BE760" i="22" s="1"/>
  <c r="BA761" i="22"/>
  <c r="BE761" i="22" s="1"/>
  <c r="BA758" i="22"/>
  <c r="BE758" i="22" s="1"/>
  <c r="BA756" i="22"/>
  <c r="BE756" i="22" s="1"/>
  <c r="BA907" i="22"/>
  <c r="BE907" i="22" s="1"/>
  <c r="BA911" i="22"/>
  <c r="BE911" i="22" s="1"/>
  <c r="BA910" i="22"/>
  <c r="BE910" i="22" s="1"/>
  <c r="BA909" i="22"/>
  <c r="BE909" i="22" s="1"/>
  <c r="BA908" i="22"/>
  <c r="BB733" i="22"/>
  <c r="Z733" i="22"/>
  <c r="BD733" i="22" s="1"/>
  <c r="N695" i="22"/>
  <c r="V695" i="22"/>
  <c r="BB695" i="22" s="1"/>
  <c r="N704" i="22"/>
  <c r="V704" i="22"/>
  <c r="BJ704" i="22" s="1"/>
  <c r="BQ704" i="22" s="1"/>
  <c r="N703" i="22"/>
  <c r="V703" i="22"/>
  <c r="BB703" i="22" s="1"/>
  <c r="N696" i="22"/>
  <c r="V696" i="22"/>
  <c r="BJ696" i="22" s="1"/>
  <c r="BQ696" i="22" s="1"/>
  <c r="BA741" i="22"/>
  <c r="BE741" i="22" s="1"/>
  <c r="BA738" i="22"/>
  <c r="BE738" i="22" s="1"/>
  <c r="BA747" i="22"/>
  <c r="BE747" i="22" s="1"/>
  <c r="BA732" i="22"/>
  <c r="BE732" i="22" s="1"/>
  <c r="BA718" i="22"/>
  <c r="BE718" i="22" s="1"/>
  <c r="BA702" i="22"/>
  <c r="BE702" i="22" s="1"/>
  <c r="BA686" i="22"/>
  <c r="BE686" i="22" s="1"/>
  <c r="BA678" i="22"/>
  <c r="BE678" i="22" s="1"/>
  <c r="BA736" i="22"/>
  <c r="BE736" i="22" s="1"/>
  <c r="BA680" i="22"/>
  <c r="BE680" i="22" s="1"/>
  <c r="BA679" i="22"/>
  <c r="BE679" i="22" s="1"/>
  <c r="BA728" i="22"/>
  <c r="BA704" i="22"/>
  <c r="BE704" i="22" s="1"/>
  <c r="BA688" i="22"/>
  <c r="BE688" i="22" s="1"/>
  <c r="BA706" i="22"/>
  <c r="BE706" i="22" s="1"/>
  <c r="BJ733" i="22"/>
  <c r="BA753" i="22"/>
  <c r="BE753" i="22" s="1"/>
  <c r="BA745" i="22"/>
  <c r="BE745" i="22" s="1"/>
  <c r="BD704" i="22"/>
  <c r="BI703" i="22"/>
  <c r="BA700" i="22"/>
  <c r="BE700" i="22" s="1"/>
  <c r="BI695" i="22"/>
  <c r="BA685" i="22"/>
  <c r="BD696" i="22"/>
  <c r="BA677" i="22"/>
  <c r="BE677" i="22" s="1"/>
  <c r="BA752" i="22"/>
  <c r="BE752" i="22" s="1"/>
  <c r="BA751" i="22"/>
  <c r="BE751" i="22" s="1"/>
  <c r="BA744" i="22"/>
  <c r="BE744" i="22" s="1"/>
  <c r="BA720" i="22"/>
  <c r="BE720" i="22" s="1"/>
  <c r="BA714" i="22"/>
  <c r="BE714" i="22" s="1"/>
  <c r="BA691" i="22"/>
  <c r="BE691" i="22" s="1"/>
  <c r="BA684" i="22"/>
  <c r="BA719" i="22"/>
  <c r="BE719" i="22" s="1"/>
  <c r="BA690" i="22"/>
  <c r="BA698" i="22"/>
  <c r="BA683" i="22"/>
  <c r="BE683" i="22" s="1"/>
  <c r="BA682" i="22"/>
  <c r="BA750" i="22"/>
  <c r="BE750" i="22" s="1"/>
  <c r="BA742" i="22"/>
  <c r="BA712" i="22"/>
  <c r="BE712" i="22" s="1"/>
  <c r="BA689" i="22"/>
  <c r="BE689" i="22" s="1"/>
  <c r="BA734" i="22"/>
  <c r="BE734" i="22" s="1"/>
  <c r="BA681" i="22"/>
  <c r="BA748" i="22"/>
  <c r="BE748" i="22" s="1"/>
  <c r="BA710" i="22"/>
  <c r="BE710" i="22" s="1"/>
  <c r="BA695" i="22"/>
  <c r="BE695" i="22" s="1"/>
  <c r="BA687" i="22"/>
  <c r="BA692" i="22"/>
  <c r="BE692" i="22" s="1"/>
  <c r="BA746" i="22"/>
  <c r="BA731" i="22"/>
  <c r="BE731" i="22" s="1"/>
  <c r="BA716" i="22"/>
  <c r="BE716" i="22" s="1"/>
  <c r="BA715" i="22"/>
  <c r="BE715" i="22" s="1"/>
  <c r="BA708" i="22"/>
  <c r="BE708" i="22" s="1"/>
  <c r="BA701" i="22"/>
  <c r="BE701" i="22" s="1"/>
  <c r="BA693" i="22"/>
  <c r="BA755" i="22"/>
  <c r="BA754" i="22"/>
  <c r="BA749" i="22"/>
  <c r="BA743" i="22"/>
  <c r="BE743" i="22" s="1"/>
  <c r="BA740" i="22"/>
  <c r="BA739" i="22"/>
  <c r="BA737" i="22"/>
  <c r="BE737" i="22" s="1"/>
  <c r="BA735" i="22"/>
  <c r="BE735" i="22" s="1"/>
  <c r="BA733" i="22"/>
  <c r="BE733" i="22" s="1"/>
  <c r="BA729" i="22"/>
  <c r="BE729" i="22" s="1"/>
  <c r="BA730" i="22"/>
  <c r="BE730" i="22" s="1"/>
  <c r="BA727" i="22"/>
  <c r="BE727" i="22" s="1"/>
  <c r="BA726" i="22"/>
  <c r="BA725" i="22"/>
  <c r="BA724" i="22"/>
  <c r="BE724" i="22" s="1"/>
  <c r="BA723" i="22"/>
  <c r="BA722" i="22"/>
  <c r="BA721" i="22"/>
  <c r="BA717" i="22"/>
  <c r="BE717" i="22" s="1"/>
  <c r="BA713" i="22"/>
  <c r="BE713" i="22" s="1"/>
  <c r="BA711" i="22"/>
  <c r="BE711" i="22" s="1"/>
  <c r="BA709" i="22"/>
  <c r="BE709" i="22" s="1"/>
  <c r="BA707" i="22"/>
  <c r="BA705" i="22"/>
  <c r="BA703" i="22"/>
  <c r="BE703" i="22" s="1"/>
  <c r="BA699" i="22"/>
  <c r="BE699" i="22" s="1"/>
  <c r="BA697" i="22"/>
  <c r="BA696" i="22"/>
  <c r="BE696" i="22" s="1"/>
  <c r="BA694" i="22"/>
  <c r="BE694" i="22" s="1"/>
  <c r="AV662" i="22"/>
  <c r="AW662" i="22"/>
  <c r="AX662" i="22"/>
  <c r="AY662" i="22"/>
  <c r="AZ662" i="22"/>
  <c r="BF662" i="22"/>
  <c r="BH662" i="22"/>
  <c r="BK662" i="22"/>
  <c r="BL662" i="22"/>
  <c r="BM662" i="22"/>
  <c r="BN662" i="22"/>
  <c r="BO662" i="22"/>
  <c r="BP662" i="22"/>
  <c r="AV663" i="22"/>
  <c r="AW663" i="22"/>
  <c r="AX663" i="22"/>
  <c r="AY663" i="22"/>
  <c r="AZ663" i="22"/>
  <c r="BF663" i="22"/>
  <c r="BH663" i="22"/>
  <c r="BK663" i="22"/>
  <c r="BL663" i="22"/>
  <c r="BM663" i="22"/>
  <c r="BN663" i="22"/>
  <c r="BO663" i="22"/>
  <c r="BP663" i="22"/>
  <c r="AV664" i="22"/>
  <c r="AW664" i="22"/>
  <c r="AX664" i="22"/>
  <c r="AY664" i="22"/>
  <c r="AZ664" i="22"/>
  <c r="BF664" i="22"/>
  <c r="BH664" i="22"/>
  <c r="BK664" i="22"/>
  <c r="BL664" i="22"/>
  <c r="BM664" i="22"/>
  <c r="BN664" i="22"/>
  <c r="BO664" i="22"/>
  <c r="BP664" i="22"/>
  <c r="AV665" i="22"/>
  <c r="AW665" i="22"/>
  <c r="AX665" i="22"/>
  <c r="AY665" i="22"/>
  <c r="AZ665" i="22"/>
  <c r="BF665" i="22"/>
  <c r="BH665" i="22"/>
  <c r="BK665" i="22"/>
  <c r="BL665" i="22"/>
  <c r="BM665" i="22"/>
  <c r="BN665" i="22"/>
  <c r="BO665" i="22"/>
  <c r="BP665" i="22"/>
  <c r="AV666" i="22"/>
  <c r="AW666" i="22"/>
  <c r="AX666" i="22"/>
  <c r="AY666" i="22"/>
  <c r="AZ666" i="22"/>
  <c r="BF666" i="22"/>
  <c r="BH666" i="22"/>
  <c r="BK666" i="22"/>
  <c r="BL666" i="22"/>
  <c r="BM666" i="22"/>
  <c r="BN666" i="22"/>
  <c r="BO666" i="22"/>
  <c r="BP666" i="22"/>
  <c r="BS703" i="22" l="1"/>
  <c r="O703" i="22"/>
  <c r="BS696" i="22"/>
  <c r="O696" i="22"/>
  <c r="BS695" i="22"/>
  <c r="O695" i="22"/>
  <c r="BS704" i="22"/>
  <c r="O704" i="22"/>
  <c r="BE908" i="22"/>
  <c r="BI733" i="22"/>
  <c r="BQ733" i="22" s="1"/>
  <c r="BR733" i="22"/>
  <c r="BB696" i="22"/>
  <c r="BR696" i="22" s="1"/>
  <c r="BJ695" i="22"/>
  <c r="BQ695" i="22" s="1"/>
  <c r="BR703" i="22"/>
  <c r="BJ703" i="22"/>
  <c r="BQ703" i="22" s="1"/>
  <c r="BB704" i="22"/>
  <c r="BR704" i="22" s="1"/>
  <c r="BR695" i="22"/>
  <c r="BE739" i="22"/>
  <c r="BE693" i="22"/>
  <c r="BE698" i="22"/>
  <c r="BE685" i="22"/>
  <c r="BG704" i="22"/>
  <c r="BE742" i="22"/>
  <c r="BE682" i="22"/>
  <c r="BE749" i="22"/>
  <c r="BE681" i="22"/>
  <c r="BE684" i="22"/>
  <c r="BE707" i="22"/>
  <c r="BE740" i="22"/>
  <c r="BE728" i="22"/>
  <c r="BE690" i="22"/>
  <c r="BE746" i="22"/>
  <c r="BE725" i="22"/>
  <c r="BG703" i="22"/>
  <c r="BE697" i="22"/>
  <c r="BG695" i="22"/>
  <c r="BE687" i="22"/>
  <c r="BE722" i="22"/>
  <c r="BE723" i="22"/>
  <c r="BE754" i="22"/>
  <c r="BE755" i="22"/>
  <c r="BG733" i="22"/>
  <c r="BE726" i="22"/>
  <c r="BE721" i="22"/>
  <c r="BE705" i="22"/>
  <c r="BG696" i="22"/>
  <c r="BA666" i="22"/>
  <c r="BE666" i="22" s="1"/>
  <c r="BA663" i="22"/>
  <c r="BE663" i="22" s="1"/>
  <c r="BA664" i="22"/>
  <c r="BE664" i="22" s="1"/>
  <c r="BA665" i="22"/>
  <c r="BE665" i="22" s="1"/>
  <c r="BA662" i="22"/>
  <c r="BE662" i="22" s="1"/>
  <c r="AK4" i="22" l="1"/>
  <c r="AK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35" i="22"/>
  <c r="AK36" i="22"/>
  <c r="AK37" i="22"/>
  <c r="AK38" i="22"/>
  <c r="AK39" i="22"/>
  <c r="AK40" i="22"/>
  <c r="AK41" i="22"/>
  <c r="AK42" i="22"/>
  <c r="AK43" i="22"/>
  <c r="AK44" i="22"/>
  <c r="AK45" i="22"/>
  <c r="AK46" i="22"/>
  <c r="AK47" i="22"/>
  <c r="AK48" i="22"/>
  <c r="AK49" i="22"/>
  <c r="AK50" i="22"/>
  <c r="AK51" i="22"/>
  <c r="AK52" i="22"/>
  <c r="AK53" i="22"/>
  <c r="AK54" i="22"/>
  <c r="AK55" i="22"/>
  <c r="AK56" i="22"/>
  <c r="AK57" i="22"/>
  <c r="AK58" i="22"/>
  <c r="AK59" i="22"/>
  <c r="AK60" i="22"/>
  <c r="AK61" i="22"/>
  <c r="AK62" i="22"/>
  <c r="AK63" i="22"/>
  <c r="AK64" i="22"/>
  <c r="AK65" i="22"/>
  <c r="AK66" i="22"/>
  <c r="AK67" i="22"/>
  <c r="AK68" i="22"/>
  <c r="AK69" i="22"/>
  <c r="AK70" i="22"/>
  <c r="AK71" i="22"/>
  <c r="AK72" i="22"/>
  <c r="AK73" i="22"/>
  <c r="AK74" i="22"/>
  <c r="AK75" i="22"/>
  <c r="AK76" i="22"/>
  <c r="AK77" i="22"/>
  <c r="AK78" i="22"/>
  <c r="AK79" i="22"/>
  <c r="AK80" i="22"/>
  <c r="AK81" i="22"/>
  <c r="AK82" i="22"/>
  <c r="AK83" i="22"/>
  <c r="AK84" i="22"/>
  <c r="AK85" i="22"/>
  <c r="AK86" i="22"/>
  <c r="AK87" i="22"/>
  <c r="AK88" i="22"/>
  <c r="AK89" i="22"/>
  <c r="AK90" i="22"/>
  <c r="AK91" i="22"/>
  <c r="AK92" i="22"/>
  <c r="AK93" i="22"/>
  <c r="AK94" i="22"/>
  <c r="AK95" i="22"/>
  <c r="AK96" i="22"/>
  <c r="AK97" i="22"/>
  <c r="AK98" i="22"/>
  <c r="AK99" i="22"/>
  <c r="AK100" i="22"/>
  <c r="AK101" i="22"/>
  <c r="AK102" i="22"/>
  <c r="AK103" i="22"/>
  <c r="AK104" i="22"/>
  <c r="AK105" i="22"/>
  <c r="AK106" i="22"/>
  <c r="AK107" i="22"/>
  <c r="AK108" i="22"/>
  <c r="AK109" i="22"/>
  <c r="AK110" i="22"/>
  <c r="AK111" i="22"/>
  <c r="AK112" i="22"/>
  <c r="AK113" i="22"/>
  <c r="AK114" i="22"/>
  <c r="AK115" i="22"/>
  <c r="AK116" i="22"/>
  <c r="AK117" i="22"/>
  <c r="AK118" i="22"/>
  <c r="AK119" i="22"/>
  <c r="AK120" i="22"/>
  <c r="AK121" i="22"/>
  <c r="AK122" i="22"/>
  <c r="AK123" i="22"/>
  <c r="AK124" i="22"/>
  <c r="AK125" i="22"/>
  <c r="AK126" i="22"/>
  <c r="AK127" i="22"/>
  <c r="AK128" i="22"/>
  <c r="AK129" i="22"/>
  <c r="AK130" i="22"/>
  <c r="AK131" i="22"/>
  <c r="AK132" i="22"/>
  <c r="AK133" i="22"/>
  <c r="AK134" i="22"/>
  <c r="AK135" i="22"/>
  <c r="AK136" i="22"/>
  <c r="AK137" i="22"/>
  <c r="AK138" i="22"/>
  <c r="AK139" i="22"/>
  <c r="AK140" i="22"/>
  <c r="AK141" i="22"/>
  <c r="AK142" i="22"/>
  <c r="AJ143" i="22"/>
  <c r="AK143" i="22" s="1"/>
  <c r="AJ144" i="22"/>
  <c r="AK144" i="22" s="1"/>
  <c r="AJ145" i="22"/>
  <c r="AK145" i="22" s="1"/>
  <c r="AJ146" i="22"/>
  <c r="AK146" i="22" s="1"/>
  <c r="AJ147" i="22"/>
  <c r="AK147" i="22" s="1"/>
  <c r="AJ148" i="22"/>
  <c r="AK148" i="22" s="1"/>
  <c r="AJ149" i="22"/>
  <c r="AK149" i="22" s="1"/>
  <c r="AJ150" i="22"/>
  <c r="AK150" i="22" s="1"/>
  <c r="AJ151" i="22"/>
  <c r="AK151" i="22" s="1"/>
  <c r="AJ152" i="22"/>
  <c r="AK152" i="22" s="1"/>
  <c r="AJ153" i="22"/>
  <c r="AK153" i="22" s="1"/>
  <c r="AJ154" i="22"/>
  <c r="AK154" i="22" s="1"/>
  <c r="AJ155" i="22"/>
  <c r="AK155" i="22" s="1"/>
  <c r="AJ156" i="22"/>
  <c r="AK156" i="22" s="1"/>
  <c r="AJ157" i="22"/>
  <c r="AK157" i="22" s="1"/>
  <c r="AJ158" i="22"/>
  <c r="AK158" i="22" s="1"/>
  <c r="AJ159" i="22"/>
  <c r="AK159" i="22" s="1"/>
  <c r="AJ160" i="22"/>
  <c r="AK160" i="22" s="1"/>
  <c r="AJ161" i="22"/>
  <c r="AK161" i="22" s="1"/>
  <c r="AJ162" i="22"/>
  <c r="AK162" i="22" s="1"/>
  <c r="AJ163" i="22"/>
  <c r="AK163" i="22" s="1"/>
  <c r="AJ164" i="22"/>
  <c r="AK164" i="22" s="1"/>
  <c r="AJ165" i="22"/>
  <c r="AK165" i="22" s="1"/>
  <c r="AJ166" i="22"/>
  <c r="AK166" i="22" s="1"/>
  <c r="AJ167" i="22"/>
  <c r="AK167" i="22" s="1"/>
  <c r="AJ168" i="22"/>
  <c r="AK168" i="22" s="1"/>
  <c r="AJ169" i="22"/>
  <c r="AK169" i="22" s="1"/>
  <c r="AJ170" i="22"/>
  <c r="AK170" i="22" s="1"/>
  <c r="AJ171" i="22"/>
  <c r="AK171" i="22" s="1"/>
  <c r="AJ172" i="22"/>
  <c r="AK172" i="22" s="1"/>
  <c r="AJ173" i="22"/>
  <c r="AK173" i="22" s="1"/>
  <c r="AJ174" i="22"/>
  <c r="AK174" i="22" s="1"/>
  <c r="AJ175" i="22"/>
  <c r="AK175" i="22" s="1"/>
  <c r="AJ176" i="22"/>
  <c r="AK176" i="22" s="1"/>
  <c r="AJ177" i="22"/>
  <c r="AK177" i="22" s="1"/>
  <c r="AJ178" i="22"/>
  <c r="AK178" i="22" s="1"/>
  <c r="AJ179" i="22"/>
  <c r="AK179" i="22" s="1"/>
  <c r="AJ180" i="22"/>
  <c r="AK180" i="22" s="1"/>
  <c r="AJ181" i="22"/>
  <c r="AK181" i="22" s="1"/>
  <c r="AJ182" i="22"/>
  <c r="AK182" i="22" s="1"/>
  <c r="AJ183" i="22"/>
  <c r="AK183" i="22" s="1"/>
  <c r="AJ184" i="22"/>
  <c r="AK184" i="22" s="1"/>
  <c r="AJ185" i="22"/>
  <c r="AK185" i="22" s="1"/>
  <c r="AJ186" i="22"/>
  <c r="AK186" i="22" s="1"/>
  <c r="AJ187" i="22"/>
  <c r="AK187" i="22" s="1"/>
  <c r="AJ188" i="22"/>
  <c r="AK188" i="22" s="1"/>
  <c r="AJ189" i="22"/>
  <c r="AK189" i="22" s="1"/>
  <c r="AJ190" i="22"/>
  <c r="AK190" i="22" s="1"/>
  <c r="AJ191" i="22"/>
  <c r="AK191" i="22" s="1"/>
  <c r="AJ192" i="22"/>
  <c r="AK192" i="22" s="1"/>
  <c r="AJ193" i="22"/>
  <c r="AK193" i="22" s="1"/>
  <c r="AJ194" i="22"/>
  <c r="AK194" i="22" s="1"/>
  <c r="AJ195" i="22"/>
  <c r="AK195" i="22" s="1"/>
  <c r="AJ196" i="22"/>
  <c r="AK196" i="22" s="1"/>
  <c r="AJ197" i="22"/>
  <c r="AK197" i="22" s="1"/>
  <c r="AJ198" i="22"/>
  <c r="AK198" i="22" s="1"/>
  <c r="AJ199" i="22"/>
  <c r="AK199" i="22" s="1"/>
  <c r="AJ200" i="22"/>
  <c r="AK200" i="22" s="1"/>
  <c r="AJ201" i="22"/>
  <c r="AK201" i="22" s="1"/>
  <c r="AJ202" i="22"/>
  <c r="AK202" i="22" s="1"/>
  <c r="AJ203" i="22"/>
  <c r="AK203" i="22" s="1"/>
  <c r="AJ204" i="22"/>
  <c r="AK204" i="22" s="1"/>
  <c r="AJ205" i="22"/>
  <c r="AK205" i="22" s="1"/>
  <c r="AJ206" i="22"/>
  <c r="AK206" i="22" s="1"/>
  <c r="AJ207" i="22"/>
  <c r="AK207" i="22" s="1"/>
  <c r="AJ208" i="22"/>
  <c r="AK208" i="22" s="1"/>
  <c r="AJ209" i="22"/>
  <c r="AK209" i="22" s="1"/>
  <c r="AJ210" i="22"/>
  <c r="AK210" i="22" s="1"/>
  <c r="AJ211" i="22"/>
  <c r="AK211" i="22" s="1"/>
  <c r="AJ212" i="22"/>
  <c r="AK212" i="22" s="1"/>
  <c r="AJ213" i="22"/>
  <c r="AK213" i="22" s="1"/>
  <c r="AJ214" i="22"/>
  <c r="AK214" i="22" s="1"/>
  <c r="AJ215" i="22"/>
  <c r="AK215" i="22" s="1"/>
  <c r="AJ216" i="22"/>
  <c r="AK216" i="22" s="1"/>
  <c r="AJ217" i="22"/>
  <c r="AK217" i="22" s="1"/>
  <c r="AJ218" i="22"/>
  <c r="AK218" i="22" s="1"/>
  <c r="AJ219" i="22"/>
  <c r="AK219" i="22" s="1"/>
  <c r="AJ220" i="22"/>
  <c r="AK220" i="22" s="1"/>
  <c r="AJ221" i="22"/>
  <c r="AK221" i="22" s="1"/>
  <c r="AJ222" i="22"/>
  <c r="AK222" i="22" s="1"/>
  <c r="AJ223" i="22"/>
  <c r="AK223" i="22" s="1"/>
  <c r="AJ224" i="22"/>
  <c r="AK224" i="22" s="1"/>
  <c r="AJ225" i="22"/>
  <c r="AK225" i="22" s="1"/>
  <c r="AJ226" i="22"/>
  <c r="AK226" i="22" s="1"/>
  <c r="AJ227" i="22"/>
  <c r="AK227" i="22" s="1"/>
  <c r="AJ228" i="22"/>
  <c r="AK228" i="22" s="1"/>
  <c r="AJ229" i="22"/>
  <c r="AK229" i="22" s="1"/>
  <c r="AJ230" i="22"/>
  <c r="AK230" i="22" s="1"/>
  <c r="AJ231" i="22"/>
  <c r="AK231" i="22" s="1"/>
  <c r="AJ232" i="22"/>
  <c r="AK232" i="22" s="1"/>
  <c r="AJ233" i="22"/>
  <c r="AK233" i="22" s="1"/>
  <c r="AJ234" i="22"/>
  <c r="AK234" i="22" s="1"/>
  <c r="AJ235" i="22"/>
  <c r="AK235" i="22" s="1"/>
  <c r="AJ236" i="22"/>
  <c r="AK236" i="22" s="1"/>
  <c r="AJ237" i="22"/>
  <c r="AK237" i="22" s="1"/>
  <c r="AJ238" i="22"/>
  <c r="AK238" i="22" s="1"/>
  <c r="AJ239" i="22"/>
  <c r="AK239" i="22" s="1"/>
  <c r="AJ240" i="22"/>
  <c r="AK240" i="22" s="1"/>
  <c r="AJ241" i="22"/>
  <c r="AK241" i="22" s="1"/>
  <c r="AJ242" i="22"/>
  <c r="AK242" i="22" s="1"/>
  <c r="AJ243" i="22"/>
  <c r="AK243" i="22" s="1"/>
  <c r="AJ244" i="22"/>
  <c r="AK244" i="22" s="1"/>
  <c r="AJ245" i="22"/>
  <c r="AK245" i="22" s="1"/>
  <c r="AJ246" i="22"/>
  <c r="AK246" i="22" s="1"/>
  <c r="AJ247" i="22"/>
  <c r="AK247" i="22" s="1"/>
  <c r="AJ248" i="22"/>
  <c r="AK248" i="22" s="1"/>
  <c r="AJ249" i="22"/>
  <c r="AK249" i="22" s="1"/>
  <c r="AJ250" i="22"/>
  <c r="AK250" i="22" s="1"/>
  <c r="AJ251" i="22"/>
  <c r="AK251" i="22" s="1"/>
  <c r="AJ252" i="22"/>
  <c r="AK252" i="22" s="1"/>
  <c r="AJ253" i="22"/>
  <c r="AK253" i="22" s="1"/>
  <c r="AJ254" i="22"/>
  <c r="AK254" i="22" s="1"/>
  <c r="AJ255" i="22"/>
  <c r="AK255" i="22" s="1"/>
  <c r="AJ256" i="22"/>
  <c r="AK256" i="22" s="1"/>
  <c r="AJ257" i="22"/>
  <c r="AK257" i="22" s="1"/>
  <c r="AJ258" i="22"/>
  <c r="AK258" i="22" s="1"/>
  <c r="AJ259" i="22"/>
  <c r="AK259" i="22" s="1"/>
  <c r="AJ260" i="22"/>
  <c r="AK260" i="22" s="1"/>
  <c r="AJ261" i="22"/>
  <c r="AK261" i="22" s="1"/>
  <c r="AJ262" i="22"/>
  <c r="AK262" i="22" s="1"/>
  <c r="AJ263" i="22"/>
  <c r="AK263" i="22" s="1"/>
  <c r="AJ264" i="22"/>
  <c r="AK264" i="22" s="1"/>
  <c r="AJ265" i="22"/>
  <c r="AK265" i="22" s="1"/>
  <c r="AJ266" i="22"/>
  <c r="AK266" i="22" s="1"/>
  <c r="AJ267" i="22"/>
  <c r="AK267" i="22" s="1"/>
  <c r="AJ268" i="22"/>
  <c r="AK268" i="22" s="1"/>
  <c r="AJ269" i="22"/>
  <c r="AK269" i="22" s="1"/>
  <c r="AJ270" i="22"/>
  <c r="AK270" i="22" s="1"/>
  <c r="AJ271" i="22"/>
  <c r="AK271" i="22" s="1"/>
  <c r="AJ272" i="22"/>
  <c r="AK272" i="22" s="1"/>
  <c r="AJ273" i="22"/>
  <c r="AK273" i="22" s="1"/>
  <c r="AJ274" i="22"/>
  <c r="AK274" i="22" s="1"/>
  <c r="AJ275" i="22"/>
  <c r="AK275" i="22" s="1"/>
  <c r="AJ276" i="22"/>
  <c r="AK276" i="22" s="1"/>
  <c r="AJ277" i="22"/>
  <c r="AK277" i="22" s="1"/>
  <c r="AJ278" i="22"/>
  <c r="AK278" i="22" s="1"/>
  <c r="AJ279" i="22"/>
  <c r="AK279" i="22" s="1"/>
  <c r="AJ280" i="22"/>
  <c r="AK280" i="22" s="1"/>
  <c r="AJ281" i="22"/>
  <c r="AK281" i="22" s="1"/>
  <c r="AJ282" i="22"/>
  <c r="AK282" i="22" s="1"/>
  <c r="AJ283" i="22"/>
  <c r="AK283" i="22" s="1"/>
  <c r="AJ284" i="22"/>
  <c r="AK284" i="22" s="1"/>
  <c r="AJ285" i="22"/>
  <c r="AK285" i="22" s="1"/>
  <c r="AJ286" i="22"/>
  <c r="AK286" i="22" s="1"/>
  <c r="AJ287" i="22"/>
  <c r="AK287" i="22" s="1"/>
  <c r="AJ288" i="22"/>
  <c r="AK288" i="22" s="1"/>
  <c r="AJ289" i="22"/>
  <c r="AK289" i="22" s="1"/>
  <c r="AJ290" i="22"/>
  <c r="AK290" i="22" s="1"/>
  <c r="AJ291" i="22"/>
  <c r="AK291" i="22" s="1"/>
  <c r="AJ292" i="22"/>
  <c r="AK292" i="22" s="1"/>
  <c r="AJ293" i="22"/>
  <c r="AK293" i="22" s="1"/>
  <c r="AJ294" i="22"/>
  <c r="AK294" i="22" s="1"/>
  <c r="AJ295" i="22"/>
  <c r="AK295" i="22" s="1"/>
  <c r="AJ296" i="22"/>
  <c r="AK296" i="22" s="1"/>
  <c r="AJ297" i="22"/>
  <c r="AK297" i="22" s="1"/>
  <c r="AJ298" i="22"/>
  <c r="AK298" i="22" s="1"/>
  <c r="AJ299" i="22"/>
  <c r="AK299" i="22" s="1"/>
  <c r="AJ300" i="22"/>
  <c r="AK300" i="22" s="1"/>
  <c r="AJ301" i="22"/>
  <c r="AK301" i="22" s="1"/>
  <c r="AJ302" i="22"/>
  <c r="AK302" i="22" s="1"/>
  <c r="AJ303" i="22"/>
  <c r="AK303" i="22" s="1"/>
  <c r="AJ304" i="22"/>
  <c r="AK304" i="22" s="1"/>
  <c r="AJ305" i="22"/>
  <c r="AK305" i="22" s="1"/>
  <c r="AJ306" i="22"/>
  <c r="AK306" i="22" s="1"/>
  <c r="AJ307" i="22"/>
  <c r="AK307" i="22" s="1"/>
  <c r="AJ308" i="22"/>
  <c r="AK308" i="22" s="1"/>
  <c r="AJ309" i="22"/>
  <c r="AK309" i="22" s="1"/>
  <c r="AJ310" i="22"/>
  <c r="AK310" i="22" s="1"/>
  <c r="AJ311" i="22"/>
  <c r="AK311" i="22" s="1"/>
  <c r="AJ312" i="22"/>
  <c r="AK312" i="22" s="1"/>
  <c r="AJ313" i="22"/>
  <c r="AK313" i="22" s="1"/>
  <c r="AJ314" i="22"/>
  <c r="AK314" i="22" s="1"/>
  <c r="AJ315" i="22"/>
  <c r="AK315" i="22" s="1"/>
  <c r="AJ316" i="22"/>
  <c r="AK316" i="22" s="1"/>
  <c r="AJ317" i="22"/>
  <c r="AK317" i="22" s="1"/>
  <c r="AJ318" i="22"/>
  <c r="AK318" i="22" s="1"/>
  <c r="AJ319" i="22"/>
  <c r="AK319" i="22" s="1"/>
  <c r="AJ320" i="22"/>
  <c r="AK320" i="22" s="1"/>
  <c r="AJ321" i="22"/>
  <c r="AK321" i="22" s="1"/>
  <c r="AJ322" i="22"/>
  <c r="AK322" i="22" s="1"/>
  <c r="AJ323" i="22"/>
  <c r="AK323" i="22" s="1"/>
  <c r="AJ324" i="22"/>
  <c r="AK324" i="22" s="1"/>
  <c r="AJ325" i="22"/>
  <c r="AK325" i="22" s="1"/>
  <c r="AJ326" i="22"/>
  <c r="AK326" i="22" s="1"/>
  <c r="AJ327" i="22"/>
  <c r="AK327" i="22" s="1"/>
  <c r="AJ328" i="22"/>
  <c r="AK328" i="22" s="1"/>
  <c r="AJ329" i="22"/>
  <c r="AK329" i="22" s="1"/>
  <c r="AJ330" i="22"/>
  <c r="AK330" i="22" s="1"/>
  <c r="AJ331" i="22"/>
  <c r="AK331" i="22" s="1"/>
  <c r="AJ332" i="22"/>
  <c r="AK332" i="22" s="1"/>
  <c r="AJ333" i="22"/>
  <c r="AK333" i="22" s="1"/>
  <c r="AJ334" i="22"/>
  <c r="AK334" i="22" s="1"/>
  <c r="AJ335" i="22"/>
  <c r="AK335" i="22" s="1"/>
  <c r="AJ336" i="22"/>
  <c r="AK336" i="22" s="1"/>
  <c r="AJ337" i="22"/>
  <c r="AK337" i="22" s="1"/>
  <c r="AJ338" i="22"/>
  <c r="AK338" i="22" s="1"/>
  <c r="AJ339" i="22"/>
  <c r="AK339" i="22" s="1"/>
  <c r="AJ340" i="22"/>
  <c r="AK340" i="22" s="1"/>
  <c r="AJ341" i="22"/>
  <c r="AK341" i="22" s="1"/>
  <c r="AJ342" i="22"/>
  <c r="AK342" i="22" s="1"/>
  <c r="AJ343" i="22"/>
  <c r="AK343" i="22" s="1"/>
  <c r="AJ344" i="22"/>
  <c r="AK344" i="22" s="1"/>
  <c r="AJ345" i="22"/>
  <c r="AK345" i="22" s="1"/>
  <c r="AJ346" i="22"/>
  <c r="AK346" i="22" s="1"/>
  <c r="AJ347" i="22"/>
  <c r="AK347" i="22" s="1"/>
  <c r="AJ348" i="22"/>
  <c r="AK348" i="22" s="1"/>
  <c r="AJ349" i="22"/>
  <c r="AK349" i="22" s="1"/>
  <c r="AJ350" i="22"/>
  <c r="AK350" i="22" s="1"/>
  <c r="AJ351" i="22"/>
  <c r="AK351" i="22" s="1"/>
  <c r="AJ352" i="22"/>
  <c r="AK352" i="22" s="1"/>
  <c r="AJ353" i="22"/>
  <c r="AK353" i="22" s="1"/>
  <c r="AJ354" i="22"/>
  <c r="AK354" i="22" s="1"/>
  <c r="AJ355" i="22"/>
  <c r="AK355" i="22" s="1"/>
  <c r="AJ356" i="22"/>
  <c r="AK356" i="22" s="1"/>
  <c r="AJ357" i="22"/>
  <c r="AK357" i="22" s="1"/>
  <c r="AJ358" i="22"/>
  <c r="AK358" i="22" s="1"/>
  <c r="AJ359" i="22"/>
  <c r="AK359" i="22" s="1"/>
  <c r="AJ360" i="22"/>
  <c r="AK360" i="22" s="1"/>
  <c r="AJ361" i="22"/>
  <c r="AK361" i="22" s="1"/>
  <c r="AJ362" i="22"/>
  <c r="AK362" i="22" s="1"/>
  <c r="AJ363" i="22"/>
  <c r="AK363" i="22" s="1"/>
  <c r="AJ364" i="22"/>
  <c r="AK364" i="22" s="1"/>
  <c r="AJ365" i="22"/>
  <c r="AK365" i="22" s="1"/>
  <c r="AJ366" i="22"/>
  <c r="AK366" i="22" s="1"/>
  <c r="AJ367" i="22"/>
  <c r="AK367" i="22" s="1"/>
  <c r="AJ368" i="22"/>
  <c r="AK368" i="22" s="1"/>
  <c r="AJ369" i="22"/>
  <c r="AK369" i="22" s="1"/>
  <c r="AJ370" i="22"/>
  <c r="AK370" i="22" s="1"/>
  <c r="AJ371" i="22"/>
  <c r="AK371" i="22" s="1"/>
  <c r="AJ372" i="22"/>
  <c r="AK372" i="22" s="1"/>
  <c r="AJ373" i="22"/>
  <c r="AK373" i="22" s="1"/>
  <c r="AJ374" i="22"/>
  <c r="AK374" i="22" s="1"/>
  <c r="AJ375" i="22"/>
  <c r="AK375" i="22" s="1"/>
  <c r="AJ376" i="22"/>
  <c r="AK376" i="22" s="1"/>
  <c r="AJ377" i="22"/>
  <c r="AK377" i="22" s="1"/>
  <c r="AJ378" i="22"/>
  <c r="AK378" i="22" s="1"/>
  <c r="AJ379" i="22"/>
  <c r="AK379" i="22" s="1"/>
  <c r="AJ380" i="22"/>
  <c r="AK380" i="22" s="1"/>
  <c r="AJ381" i="22"/>
  <c r="AK381" i="22" s="1"/>
  <c r="AJ382" i="22"/>
  <c r="AK382" i="22" s="1"/>
  <c r="AJ383" i="22"/>
  <c r="AK383" i="22" s="1"/>
  <c r="AJ384" i="22"/>
  <c r="AK384" i="22" s="1"/>
  <c r="AJ385" i="22"/>
  <c r="AK385" i="22" s="1"/>
  <c r="AJ386" i="22"/>
  <c r="AK386" i="22" s="1"/>
  <c r="AJ387" i="22"/>
  <c r="AK387" i="22" s="1"/>
  <c r="AJ388" i="22"/>
  <c r="AK388" i="22" s="1"/>
  <c r="AJ389" i="22"/>
  <c r="AK389" i="22" s="1"/>
  <c r="AJ390" i="22"/>
  <c r="AK390" i="22" s="1"/>
  <c r="AJ391" i="22"/>
  <c r="AK391" i="22" s="1"/>
  <c r="AJ392" i="22"/>
  <c r="AK392" i="22" s="1"/>
  <c r="AJ393" i="22"/>
  <c r="AK393" i="22" s="1"/>
  <c r="AJ394" i="22"/>
  <c r="AK394" i="22" s="1"/>
  <c r="AJ395" i="22"/>
  <c r="AK395" i="22" s="1"/>
  <c r="AJ396" i="22"/>
  <c r="AK396" i="22" s="1"/>
  <c r="AJ397" i="22"/>
  <c r="AK397" i="22" s="1"/>
  <c r="AJ398" i="22"/>
  <c r="AK398" i="22" s="1"/>
  <c r="AJ399" i="22"/>
  <c r="AK399" i="22" s="1"/>
  <c r="AJ400" i="22"/>
  <c r="AK400" i="22" s="1"/>
  <c r="AJ401" i="22"/>
  <c r="AK401" i="22" s="1"/>
  <c r="AJ402" i="22"/>
  <c r="AK402" i="22" s="1"/>
  <c r="AJ403" i="22"/>
  <c r="AK403" i="22" s="1"/>
  <c r="AJ404" i="22"/>
  <c r="AK404" i="22" s="1"/>
  <c r="AJ405" i="22"/>
  <c r="AK405" i="22" s="1"/>
  <c r="AJ406" i="22"/>
  <c r="AK406" i="22" s="1"/>
  <c r="AJ407" i="22"/>
  <c r="AK407" i="22" s="1"/>
  <c r="AJ408" i="22"/>
  <c r="AK408" i="22" s="1"/>
  <c r="AJ409" i="22"/>
  <c r="AK409" i="22" s="1"/>
  <c r="AJ410" i="22"/>
  <c r="AK410" i="22" s="1"/>
  <c r="AJ411" i="22"/>
  <c r="AK411" i="22" s="1"/>
  <c r="AJ412" i="22"/>
  <c r="AK412" i="22" s="1"/>
  <c r="AJ413" i="22"/>
  <c r="AK413" i="22" s="1"/>
  <c r="AJ414" i="22"/>
  <c r="AK414" i="22" s="1"/>
  <c r="AJ415" i="22"/>
  <c r="AK415" i="22" s="1"/>
  <c r="AJ416" i="22"/>
  <c r="AK416" i="22" s="1"/>
  <c r="AJ417" i="22"/>
  <c r="AK417" i="22" s="1"/>
  <c r="AJ418" i="22"/>
  <c r="AK418" i="22" s="1"/>
  <c r="AJ419" i="22"/>
  <c r="AK419" i="22" s="1"/>
  <c r="AJ420" i="22"/>
  <c r="AK420" i="22" s="1"/>
  <c r="AJ421" i="22"/>
  <c r="AK421" i="22" s="1"/>
  <c r="AJ422" i="22"/>
  <c r="AK422" i="22" s="1"/>
  <c r="AJ423" i="22"/>
  <c r="AK423" i="22" s="1"/>
  <c r="AJ424" i="22"/>
  <c r="AK424" i="22" s="1"/>
  <c r="AJ425" i="22"/>
  <c r="AK425" i="22" s="1"/>
  <c r="AJ426" i="22"/>
  <c r="AK426" i="22" s="1"/>
  <c r="AJ427" i="22"/>
  <c r="AK427" i="22" s="1"/>
  <c r="AJ428" i="22"/>
  <c r="AK428" i="22" s="1"/>
  <c r="AJ429" i="22"/>
  <c r="AK429" i="22" s="1"/>
  <c r="AJ430" i="22"/>
  <c r="AK430" i="22" s="1"/>
  <c r="AJ431" i="22"/>
  <c r="AK431" i="22" s="1"/>
  <c r="AJ432" i="22"/>
  <c r="AK432" i="22" s="1"/>
  <c r="AJ433" i="22"/>
  <c r="AK433" i="22" s="1"/>
  <c r="AJ434" i="22"/>
  <c r="AK434" i="22" s="1"/>
  <c r="AJ435" i="22"/>
  <c r="AK435" i="22" s="1"/>
  <c r="AJ436" i="22"/>
  <c r="AK436" i="22" s="1"/>
  <c r="AJ437" i="22"/>
  <c r="AK437" i="22" s="1"/>
  <c r="AJ438" i="22"/>
  <c r="AK438" i="22" s="1"/>
  <c r="AJ439" i="22"/>
  <c r="AK439" i="22" s="1"/>
  <c r="AJ440" i="22"/>
  <c r="AK440" i="22" s="1"/>
  <c r="AJ441" i="22"/>
  <c r="AK441" i="22" s="1"/>
  <c r="AJ442" i="22"/>
  <c r="AK442" i="22" s="1"/>
  <c r="AJ443" i="22"/>
  <c r="AK443" i="22" s="1"/>
  <c r="AJ444" i="22"/>
  <c r="AK444" i="22" s="1"/>
  <c r="AJ445" i="22"/>
  <c r="AK445" i="22" s="1"/>
  <c r="AJ446" i="22"/>
  <c r="AK446" i="22" s="1"/>
  <c r="AJ447" i="22"/>
  <c r="AK447" i="22" s="1"/>
  <c r="AJ448" i="22"/>
  <c r="AK448" i="22" s="1"/>
  <c r="AJ449" i="22"/>
  <c r="AK449" i="22" s="1"/>
  <c r="AJ450" i="22"/>
  <c r="AK450" i="22" s="1"/>
  <c r="AJ451" i="22"/>
  <c r="AK451" i="22" s="1"/>
  <c r="AJ452" i="22"/>
  <c r="AK452" i="22" s="1"/>
  <c r="AJ453" i="22"/>
  <c r="AK453" i="22" s="1"/>
  <c r="AJ454" i="22"/>
  <c r="AK454" i="22" s="1"/>
  <c r="AJ455" i="22"/>
  <c r="AK455" i="22" s="1"/>
  <c r="AJ456" i="22"/>
  <c r="AK456" i="22" s="1"/>
  <c r="AJ457" i="22"/>
  <c r="AK457" i="22" s="1"/>
  <c r="AJ458" i="22"/>
  <c r="AK458" i="22" s="1"/>
  <c r="AJ459" i="22"/>
  <c r="AK459" i="22" s="1"/>
  <c r="AJ460" i="22"/>
  <c r="AK460" i="22" s="1"/>
  <c r="AJ461" i="22"/>
  <c r="AK461" i="22" s="1"/>
  <c r="AJ462" i="22"/>
  <c r="AK462" i="22" s="1"/>
  <c r="AJ463" i="22"/>
  <c r="AK463" i="22" s="1"/>
  <c r="AJ464" i="22"/>
  <c r="AK464" i="22" s="1"/>
  <c r="AJ465" i="22"/>
  <c r="AK465" i="22" s="1"/>
  <c r="AJ466" i="22"/>
  <c r="AK466" i="22" s="1"/>
  <c r="AJ467" i="22"/>
  <c r="AK467" i="22" s="1"/>
  <c r="AJ468" i="22"/>
  <c r="AK468" i="22" s="1"/>
  <c r="AJ469" i="22"/>
  <c r="AK469" i="22" s="1"/>
  <c r="AJ470" i="22"/>
  <c r="AK470" i="22" s="1"/>
  <c r="AJ471" i="22"/>
  <c r="AK471" i="22" s="1"/>
  <c r="AJ472" i="22"/>
  <c r="AK472" i="22" s="1"/>
  <c r="AJ473" i="22"/>
  <c r="AJ474" i="22"/>
  <c r="AJ475" i="22"/>
  <c r="AJ476" i="22"/>
  <c r="AJ477" i="22"/>
  <c r="AJ478" i="22"/>
  <c r="AJ479" i="22"/>
  <c r="AJ480" i="22"/>
  <c r="AJ481" i="22"/>
  <c r="AJ482" i="22"/>
  <c r="AJ483" i="22"/>
  <c r="AJ484" i="22"/>
  <c r="AJ485" i="22"/>
  <c r="AJ486" i="22"/>
  <c r="AJ487" i="22"/>
  <c r="AJ488" i="22"/>
  <c r="AJ489" i="22"/>
  <c r="AJ490" i="22"/>
  <c r="AJ491" i="22"/>
  <c r="AJ492" i="22"/>
  <c r="AJ493" i="22"/>
  <c r="AJ494" i="22"/>
  <c r="AJ495" i="22"/>
  <c r="AJ496" i="22"/>
  <c r="AJ497" i="22"/>
  <c r="AJ498" i="22"/>
  <c r="AJ499" i="22"/>
  <c r="AJ500" i="22"/>
  <c r="AJ501" i="22"/>
  <c r="AJ502" i="22"/>
  <c r="AJ503" i="22"/>
  <c r="AJ504" i="22"/>
  <c r="AJ505" i="22"/>
  <c r="AJ506" i="22"/>
  <c r="AJ507" i="22"/>
  <c r="AJ508" i="22"/>
  <c r="AK508" i="22" s="1"/>
  <c r="AJ509" i="22"/>
  <c r="AK509" i="22" s="1"/>
  <c r="AJ510" i="22"/>
  <c r="AK510" i="22" s="1"/>
  <c r="AJ511" i="22"/>
  <c r="AK511" i="22" s="1"/>
  <c r="AJ512" i="22"/>
  <c r="AK512" i="22" s="1"/>
  <c r="AJ513" i="22"/>
  <c r="AK513" i="22" s="1"/>
  <c r="AJ514" i="22"/>
  <c r="AK514" i="22" s="1"/>
  <c r="AJ515" i="22"/>
  <c r="AK515" i="22" s="1"/>
  <c r="AJ516" i="22"/>
  <c r="AK516" i="22" s="1"/>
  <c r="AJ517" i="22"/>
  <c r="AK517" i="22" s="1"/>
  <c r="AJ518" i="22"/>
  <c r="AK518" i="22" s="1"/>
  <c r="AJ519" i="22"/>
  <c r="AK519" i="22" s="1"/>
  <c r="AJ520" i="22"/>
  <c r="AK520" i="22" s="1"/>
  <c r="AJ521" i="22"/>
  <c r="AK521" i="22" s="1"/>
  <c r="AJ522" i="22"/>
  <c r="AK522" i="22" s="1"/>
  <c r="AJ523" i="22"/>
  <c r="AK523" i="22" s="1"/>
  <c r="AJ524" i="22"/>
  <c r="AK524" i="22" s="1"/>
  <c r="AJ525" i="22"/>
  <c r="AK525" i="22" s="1"/>
  <c r="AJ526" i="22"/>
  <c r="AK526" i="22" s="1"/>
  <c r="AJ527" i="22"/>
  <c r="AK527" i="22" s="1"/>
  <c r="AJ528" i="22"/>
  <c r="AK528" i="22" s="1"/>
  <c r="AJ529" i="22"/>
  <c r="AK529" i="22" s="1"/>
  <c r="AJ530" i="22"/>
  <c r="AK530" i="22" s="1"/>
  <c r="AJ531" i="22"/>
  <c r="AK531" i="22" s="1"/>
  <c r="AJ532" i="22"/>
  <c r="AK532" i="22" s="1"/>
  <c r="AJ533" i="22"/>
  <c r="AK533" i="22" s="1"/>
  <c r="AJ534" i="22"/>
  <c r="AK534" i="22" s="1"/>
  <c r="AJ535" i="22"/>
  <c r="AK535" i="22" s="1"/>
  <c r="AJ536" i="22"/>
  <c r="AK536" i="22" s="1"/>
  <c r="AJ537" i="22"/>
  <c r="AK537" i="22" s="1"/>
  <c r="AJ538" i="22"/>
  <c r="AK538" i="22" s="1"/>
  <c r="AJ539" i="22"/>
  <c r="AK539" i="22" s="1"/>
  <c r="AJ540" i="22"/>
  <c r="AK540" i="22" s="1"/>
  <c r="AJ541" i="22"/>
  <c r="AK541" i="22" s="1"/>
  <c r="AJ542" i="22"/>
  <c r="AK542" i="22" s="1"/>
  <c r="AJ543" i="22"/>
  <c r="AK543" i="22" s="1"/>
  <c r="AJ544" i="22"/>
  <c r="AK544" i="22" s="1"/>
  <c r="AJ545" i="22"/>
  <c r="AK545" i="22" s="1"/>
  <c r="AJ546" i="22"/>
  <c r="AK546" i="22" s="1"/>
  <c r="AJ547" i="22"/>
  <c r="AK547" i="22" s="1"/>
  <c r="AJ548" i="22"/>
  <c r="AK548" i="22" s="1"/>
  <c r="AJ549" i="22"/>
  <c r="AK549" i="22" s="1"/>
  <c r="AJ550" i="22"/>
  <c r="AK550" i="22" s="1"/>
  <c r="AJ551" i="22"/>
  <c r="AK551" i="22" s="1"/>
  <c r="AJ552" i="22"/>
  <c r="AK552" i="22" s="1"/>
  <c r="AJ553" i="22"/>
  <c r="AK553" i="22" s="1"/>
  <c r="AJ554" i="22"/>
  <c r="AK554" i="22" s="1"/>
  <c r="AJ555" i="22"/>
  <c r="AK555" i="22" s="1"/>
  <c r="AJ556" i="22"/>
  <c r="AK556" i="22" s="1"/>
  <c r="AJ557" i="22"/>
  <c r="AK557" i="22" s="1"/>
  <c r="AJ558" i="22"/>
  <c r="AK558" i="22" s="1"/>
  <c r="AJ559" i="22"/>
  <c r="AK559" i="22" s="1"/>
  <c r="AJ560" i="22"/>
  <c r="AK560" i="22" s="1"/>
  <c r="AJ561" i="22"/>
  <c r="AK561" i="22" s="1"/>
  <c r="AJ562" i="22"/>
  <c r="AK562" i="22" s="1"/>
  <c r="AJ563" i="22"/>
  <c r="AK563" i="22" s="1"/>
  <c r="AJ564" i="22"/>
  <c r="AK564" i="22" s="1"/>
  <c r="AJ565" i="22"/>
  <c r="AK565" i="22" s="1"/>
  <c r="AJ566" i="22"/>
  <c r="AK566" i="22" s="1"/>
  <c r="AJ567" i="22"/>
  <c r="AK567" i="22" s="1"/>
  <c r="AJ568" i="22"/>
  <c r="AK568" i="22" s="1"/>
  <c r="AJ569" i="22"/>
  <c r="AK569" i="22" s="1"/>
  <c r="AJ570" i="22"/>
  <c r="AK570" i="22" s="1"/>
  <c r="AJ571" i="22"/>
  <c r="AK571" i="22" s="1"/>
  <c r="AJ572" i="22"/>
  <c r="AK572" i="22" s="1"/>
  <c r="AJ573" i="22"/>
  <c r="AK573" i="22" s="1"/>
  <c r="AJ574" i="22"/>
  <c r="AK574" i="22" s="1"/>
  <c r="AJ575" i="22"/>
  <c r="AK575" i="22" s="1"/>
  <c r="AJ576" i="22"/>
  <c r="AK576" i="22" s="1"/>
  <c r="AJ577" i="22"/>
  <c r="AK577" i="22" s="1"/>
  <c r="AJ578" i="22"/>
  <c r="AK578" i="22" s="1"/>
  <c r="AJ579" i="22"/>
  <c r="AK579" i="22" s="1"/>
  <c r="AJ580" i="22"/>
  <c r="AK580" i="22" s="1"/>
  <c r="AJ581" i="22"/>
  <c r="AK581" i="22" s="1"/>
  <c r="AJ582" i="22"/>
  <c r="AK582" i="22" s="1"/>
  <c r="AJ583" i="22"/>
  <c r="AK583" i="22" s="1"/>
  <c r="AJ584" i="22"/>
  <c r="AK584" i="22" s="1"/>
  <c r="AJ585" i="22"/>
  <c r="AK585" i="22" s="1"/>
  <c r="AJ586" i="22"/>
  <c r="AK586" i="22" s="1"/>
  <c r="AJ587" i="22"/>
  <c r="AK587" i="22" s="1"/>
  <c r="AJ602" i="22"/>
  <c r="AK602" i="22" s="1"/>
  <c r="AJ603" i="22"/>
  <c r="AK603" i="22" s="1"/>
  <c r="AJ604" i="22"/>
  <c r="AK604" i="22" s="1"/>
  <c r="AJ605" i="22"/>
  <c r="AK605" i="22" s="1"/>
  <c r="AJ606" i="22"/>
  <c r="AK606" i="22" s="1"/>
  <c r="AJ607" i="22"/>
  <c r="AK607" i="22" s="1"/>
  <c r="AJ608" i="22"/>
  <c r="AK608" i="22" s="1"/>
  <c r="AJ609" i="22"/>
  <c r="AK609" i="22" s="1"/>
  <c r="AJ610" i="22"/>
  <c r="AK610" i="22" s="1"/>
  <c r="AJ611" i="22"/>
  <c r="AK611" i="22" s="1"/>
  <c r="AJ612" i="22"/>
  <c r="AK612" i="22" s="1"/>
  <c r="AJ613" i="22"/>
  <c r="AK613" i="22" s="1"/>
  <c r="AJ614" i="22"/>
  <c r="AK614" i="22" s="1"/>
  <c r="AJ615" i="22"/>
  <c r="AK615" i="22" s="1"/>
  <c r="AJ616" i="22"/>
  <c r="AK616" i="22" s="1"/>
  <c r="AJ617" i="22"/>
  <c r="AK617" i="22" s="1"/>
  <c r="AJ618" i="22"/>
  <c r="AK618" i="22" s="1"/>
  <c r="AJ619" i="22"/>
  <c r="AK619" i="22" s="1"/>
  <c r="AJ620" i="22"/>
  <c r="AK620" i="22" s="1"/>
  <c r="AJ621" i="22"/>
  <c r="AK621" i="22" s="1"/>
  <c r="AJ622" i="22"/>
  <c r="AK622" i="22" s="1"/>
  <c r="AJ623" i="22"/>
  <c r="AK623" i="22" s="1"/>
  <c r="AJ624" i="22"/>
  <c r="AK624" i="22" s="1"/>
  <c r="AJ625" i="22"/>
  <c r="AK625" i="22" s="1"/>
  <c r="AJ626" i="22"/>
  <c r="AK626" i="22" s="1"/>
  <c r="AJ627" i="22"/>
  <c r="AK627" i="22" s="1"/>
  <c r="AJ628" i="22"/>
  <c r="AK628" i="22" s="1"/>
  <c r="AJ629" i="22"/>
  <c r="AK629" i="22" s="1"/>
  <c r="AJ630" i="22"/>
  <c r="AK630" i="22" s="1"/>
  <c r="AJ631" i="22"/>
  <c r="AK631" i="22" s="1"/>
  <c r="AJ632" i="22"/>
  <c r="AK632" i="22" s="1"/>
  <c r="AJ633" i="22"/>
  <c r="AK633" i="22" s="1"/>
  <c r="AJ634" i="22"/>
  <c r="AK634" i="22" s="1"/>
  <c r="AJ635" i="22"/>
  <c r="AK635" i="22" s="1"/>
  <c r="AJ636" i="22"/>
  <c r="AK636" i="22" s="1"/>
  <c r="AJ637" i="22"/>
  <c r="AK637" i="22" s="1"/>
  <c r="AJ638" i="22"/>
  <c r="AK638" i="22" s="1"/>
  <c r="AJ639" i="22"/>
  <c r="AK639" i="22" s="1"/>
  <c r="AJ640" i="22"/>
  <c r="AK640" i="22" s="1"/>
  <c r="AJ641" i="22"/>
  <c r="AK641" i="22" s="1"/>
  <c r="AJ642" i="22"/>
  <c r="AK642" i="22" s="1"/>
  <c r="AJ643" i="22"/>
  <c r="AK643" i="22" s="1"/>
  <c r="AJ644" i="22"/>
  <c r="AK644" i="22" s="1"/>
  <c r="AJ645" i="22"/>
  <c r="AK645" i="22" s="1"/>
  <c r="AJ646" i="22"/>
  <c r="AK646" i="22" s="1"/>
  <c r="AJ647" i="22"/>
  <c r="AK647" i="22" s="1"/>
  <c r="AJ648" i="22"/>
  <c r="AK648" i="22" s="1"/>
  <c r="AJ649" i="22"/>
  <c r="AK649" i="22" s="1"/>
  <c r="AJ650" i="22"/>
  <c r="AK650" i="22" s="1"/>
  <c r="AJ651" i="22"/>
  <c r="AK651" i="22" s="1"/>
  <c r="AJ652" i="22"/>
  <c r="AK652" i="22" s="1"/>
  <c r="AJ653" i="22"/>
  <c r="AK653" i="22" s="1"/>
  <c r="AJ654" i="22"/>
  <c r="AK654" i="22" s="1"/>
  <c r="AJ655" i="22"/>
  <c r="AK655" i="22" s="1"/>
  <c r="AJ656" i="22"/>
  <c r="AK656" i="22" s="1"/>
  <c r="AJ657" i="22"/>
  <c r="AK657" i="22" s="1"/>
  <c r="AJ658" i="22"/>
  <c r="AK658" i="22" s="1"/>
  <c r="AJ659" i="22"/>
  <c r="AK659" i="22" s="1"/>
  <c r="AJ660" i="22"/>
  <c r="AK660" i="22" s="1"/>
  <c r="AJ661" i="22"/>
  <c r="AK661" i="22" s="1"/>
  <c r="AJ662" i="22"/>
  <c r="AK662" i="22" s="1"/>
  <c r="AJ663" i="22"/>
  <c r="AK663" i="22" s="1"/>
  <c r="AJ664" i="22"/>
  <c r="AK664" i="22" s="1"/>
  <c r="AJ665" i="22"/>
  <c r="AK665" i="22" s="1"/>
  <c r="AJ666" i="22"/>
  <c r="AK666" i="22" s="1"/>
  <c r="AJ667" i="22"/>
  <c r="AK667" i="22" s="1"/>
  <c r="AJ668" i="22"/>
  <c r="AK668" i="22" s="1"/>
  <c r="AJ669" i="22"/>
  <c r="AK669" i="22" s="1"/>
  <c r="AJ670" i="22"/>
  <c r="AK670" i="22" s="1"/>
  <c r="AJ671" i="22"/>
  <c r="AK671" i="22" s="1"/>
  <c r="AJ672" i="22"/>
  <c r="AK672" i="22" s="1"/>
  <c r="AJ673" i="22"/>
  <c r="AK673" i="22" s="1"/>
  <c r="AJ674" i="22"/>
  <c r="AK674" i="22" s="1"/>
  <c r="AJ675" i="22"/>
  <c r="AK675" i="22" s="1"/>
  <c r="AJ676" i="22"/>
  <c r="AK676" i="22" s="1"/>
  <c r="AJ677" i="22"/>
  <c r="AK677" i="22" s="1"/>
  <c r="AJ678" i="22"/>
  <c r="AK678" i="22" s="1"/>
  <c r="AJ679" i="22"/>
  <c r="AK679" i="22" s="1"/>
  <c r="AJ680" i="22"/>
  <c r="AK680" i="22" s="1"/>
  <c r="AJ681" i="22"/>
  <c r="AK681" i="22" s="1"/>
  <c r="AJ682" i="22"/>
  <c r="AK682" i="22" s="1"/>
  <c r="AJ683" i="22"/>
  <c r="AK683" i="22" s="1"/>
  <c r="AJ684" i="22"/>
  <c r="AK684" i="22" s="1"/>
  <c r="AJ685" i="22"/>
  <c r="AK685" i="22" s="1"/>
  <c r="AJ686" i="22"/>
  <c r="AK686" i="22" s="1"/>
  <c r="AJ687" i="22"/>
  <c r="AK687" i="22" s="1"/>
  <c r="AJ688" i="22"/>
  <c r="AK688" i="22" s="1"/>
  <c r="AJ689" i="22"/>
  <c r="AK689" i="22" s="1"/>
  <c r="AJ690" i="22"/>
  <c r="AK690" i="22" s="1"/>
  <c r="AJ691" i="22"/>
  <c r="AK691" i="22" s="1"/>
  <c r="AJ692" i="22"/>
  <c r="AK692" i="22" s="1"/>
  <c r="AJ693" i="22"/>
  <c r="AK693" i="22" s="1"/>
  <c r="AJ694" i="22"/>
  <c r="AK694" i="22" s="1"/>
  <c r="AJ735" i="22"/>
  <c r="AK735" i="22" s="1"/>
  <c r="AJ736" i="22"/>
  <c r="AK736" i="22" s="1"/>
  <c r="AJ737" i="22"/>
  <c r="AK737" i="22" s="1"/>
  <c r="AJ738" i="22"/>
  <c r="AK738" i="22" s="1"/>
  <c r="AJ739" i="22"/>
  <c r="AK739" i="22" s="1"/>
  <c r="AJ740" i="22"/>
  <c r="AK740" i="22" s="1"/>
  <c r="AJ741" i="22"/>
  <c r="AK741" i="22" s="1"/>
  <c r="AJ742" i="22"/>
  <c r="AK742" i="22" s="1"/>
  <c r="AJ743" i="22"/>
  <c r="AK743" i="22" s="1"/>
  <c r="AJ744" i="22"/>
  <c r="AK744" i="22" s="1"/>
  <c r="AJ745" i="22"/>
  <c r="AK745" i="22" s="1"/>
  <c r="AJ746" i="22"/>
  <c r="AK746" i="22" s="1"/>
  <c r="AJ747" i="22"/>
  <c r="AK747" i="22" s="1"/>
  <c r="AJ748" i="22"/>
  <c r="AK748" i="22" s="1"/>
  <c r="AJ749" i="22"/>
  <c r="AK749" i="22" s="1"/>
  <c r="AJ750" i="22"/>
  <c r="AK750" i="22" s="1"/>
  <c r="AJ751" i="22"/>
  <c r="AK751" i="22" s="1"/>
  <c r="AJ752" i="22"/>
  <c r="AK752" i="22" s="1"/>
  <c r="AJ753" i="22"/>
  <c r="AK753" i="22" s="1"/>
  <c r="AJ754" i="22"/>
  <c r="AK754" i="22" s="1"/>
  <c r="AJ755" i="22"/>
  <c r="AK755" i="22" s="1"/>
  <c r="AJ756" i="22"/>
  <c r="AK756" i="22" s="1"/>
  <c r="AJ757" i="22"/>
  <c r="AK757" i="22" s="1"/>
  <c r="AJ758" i="22"/>
  <c r="AK758" i="22" s="1"/>
  <c r="AJ759" i="22"/>
  <c r="AK759" i="22" s="1"/>
  <c r="AJ760" i="22"/>
  <c r="AK760" i="22" s="1"/>
  <c r="AJ761" i="22"/>
  <c r="AK761" i="22" s="1"/>
  <c r="AJ762" i="22"/>
  <c r="AK762" i="22" s="1"/>
  <c r="AJ763" i="22"/>
  <c r="AK763" i="22" s="1"/>
  <c r="AJ764" i="22"/>
  <c r="AK764" i="22" s="1"/>
  <c r="AJ765" i="22"/>
  <c r="AK765" i="22" s="1"/>
  <c r="AJ766" i="22"/>
  <c r="AK766" i="22" s="1"/>
  <c r="AJ767" i="22"/>
  <c r="AK767" i="22" s="1"/>
  <c r="AJ768" i="22"/>
  <c r="AK768" i="22" s="1"/>
  <c r="AJ769" i="22"/>
  <c r="AK769" i="22" s="1"/>
  <c r="AJ770" i="22"/>
  <c r="AK770" i="22" s="1"/>
  <c r="AJ771" i="22"/>
  <c r="AK771" i="22" s="1"/>
  <c r="AJ772" i="22"/>
  <c r="AK772" i="22" s="1"/>
  <c r="AJ773" i="22"/>
  <c r="AK773" i="22" s="1"/>
  <c r="AJ774" i="22"/>
  <c r="AK774" i="22" s="1"/>
  <c r="AJ775" i="22"/>
  <c r="AK775" i="22" s="1"/>
  <c r="AJ776" i="22"/>
  <c r="AK776" i="22" s="1"/>
  <c r="AJ777" i="22"/>
  <c r="AK777" i="22" s="1"/>
  <c r="AJ778" i="22"/>
  <c r="AK778" i="22" s="1"/>
  <c r="AJ779" i="22"/>
  <c r="AK779" i="22" s="1"/>
  <c r="AJ780" i="22"/>
  <c r="AK780" i="22" s="1"/>
  <c r="AJ781" i="22"/>
  <c r="AK781" i="22" s="1"/>
  <c r="AJ782" i="22"/>
  <c r="AK782" i="22" s="1"/>
  <c r="AJ783" i="22"/>
  <c r="AK783" i="22" s="1"/>
  <c r="AJ787" i="22"/>
  <c r="AK787" i="22" s="1"/>
  <c r="AJ788" i="22"/>
  <c r="AK788" i="22" s="1"/>
  <c r="AJ789" i="22"/>
  <c r="AK789" i="22" s="1"/>
  <c r="AJ790" i="22"/>
  <c r="AK790" i="22" s="1"/>
  <c r="AJ791" i="22"/>
  <c r="AK791" i="22" s="1"/>
  <c r="AJ792" i="22"/>
  <c r="AK792" i="22" s="1"/>
  <c r="AJ793" i="22"/>
  <c r="AK793" i="22" s="1"/>
  <c r="AJ794" i="22"/>
  <c r="AK794" i="22" s="1"/>
  <c r="AJ795" i="22"/>
  <c r="AK795" i="22" s="1"/>
  <c r="AJ796" i="22"/>
  <c r="AK796" i="22" s="1"/>
  <c r="AJ797" i="22"/>
  <c r="AK797" i="22" s="1"/>
  <c r="AJ798" i="22"/>
  <c r="AK798" i="22" s="1"/>
  <c r="AJ799" i="22"/>
  <c r="AK799" i="22" s="1"/>
  <c r="AJ800" i="22"/>
  <c r="AK800" i="22" s="1"/>
  <c r="AJ801" i="22"/>
  <c r="AK801" i="22" s="1"/>
  <c r="AJ802" i="22"/>
  <c r="AK802" i="22" s="1"/>
  <c r="AJ803" i="22"/>
  <c r="AK803" i="22" s="1"/>
  <c r="AJ804" i="22"/>
  <c r="AK804" i="22" s="1"/>
  <c r="AJ805" i="22"/>
  <c r="AK805" i="22" s="1"/>
  <c r="AJ806" i="22"/>
  <c r="AK806" i="22" s="1"/>
  <c r="AJ807" i="22"/>
  <c r="AK807" i="22" s="1"/>
  <c r="AJ808" i="22"/>
  <c r="AK808" i="22" s="1"/>
  <c r="AJ809" i="22"/>
  <c r="AK809" i="22" s="1"/>
  <c r="AJ810" i="22"/>
  <c r="AK810" i="22" s="1"/>
  <c r="AJ811" i="22"/>
  <c r="AK811" i="22" s="1"/>
  <c r="AJ812" i="22"/>
  <c r="AK812" i="22" s="1"/>
  <c r="AJ813" i="22"/>
  <c r="AK813" i="22" s="1"/>
  <c r="AJ814" i="22"/>
  <c r="AK814" i="22" s="1"/>
  <c r="AJ815" i="22"/>
  <c r="AK815" i="22" s="1"/>
  <c r="AJ816" i="22"/>
  <c r="AK816" i="22" s="1"/>
  <c r="AJ817" i="22"/>
  <c r="AK817" i="22" s="1"/>
  <c r="AJ818" i="22"/>
  <c r="AK818" i="22" s="1"/>
  <c r="AJ819" i="22"/>
  <c r="AK819" i="22" s="1"/>
  <c r="AJ820" i="22"/>
  <c r="AK820" i="22" s="1"/>
  <c r="AJ821" i="22"/>
  <c r="AK821" i="22" s="1"/>
  <c r="AJ822" i="22"/>
  <c r="AK822" i="22" s="1"/>
  <c r="AJ823" i="22"/>
  <c r="AK823" i="22" s="1"/>
  <c r="AJ824" i="22"/>
  <c r="AK824" i="22" s="1"/>
  <c r="AJ825" i="22"/>
  <c r="AK825" i="22" s="1"/>
  <c r="AJ826" i="22"/>
  <c r="AK826" i="22" s="1"/>
  <c r="AJ827" i="22"/>
  <c r="AK827" i="22" s="1"/>
  <c r="AJ828" i="22"/>
  <c r="AK828" i="22" s="1"/>
  <c r="AJ829" i="22"/>
  <c r="AK829" i="22" s="1"/>
  <c r="AJ830" i="22"/>
  <c r="AK830" i="22" s="1"/>
  <c r="AJ831" i="22"/>
  <c r="AK831" i="22" s="1"/>
  <c r="AJ832" i="22"/>
  <c r="AK832" i="22" s="1"/>
  <c r="AJ833" i="22"/>
  <c r="AK833" i="22" s="1"/>
  <c r="AJ834" i="22"/>
  <c r="AK834" i="22" s="1"/>
  <c r="AJ835" i="22"/>
  <c r="AK835" i="22" s="1"/>
  <c r="AJ836" i="22"/>
  <c r="AK836" i="22" s="1"/>
  <c r="AJ837" i="22"/>
  <c r="AK837" i="22" s="1"/>
  <c r="AJ851" i="22"/>
  <c r="AK851" i="22" s="1"/>
  <c r="AJ852" i="22"/>
  <c r="AK852" i="22" s="1"/>
  <c r="AJ853" i="22"/>
  <c r="AK853" i="22" s="1"/>
  <c r="AJ854" i="22"/>
  <c r="AK854" i="22" s="1"/>
  <c r="AJ855" i="22"/>
  <c r="AK855" i="22" s="1"/>
  <c r="AJ856" i="22"/>
  <c r="AK856" i="22" s="1"/>
  <c r="AJ857" i="22"/>
  <c r="AK857" i="22" s="1"/>
  <c r="AJ858" i="22"/>
  <c r="AK858" i="22" s="1"/>
  <c r="AJ859" i="22"/>
  <c r="AK859" i="22" s="1"/>
  <c r="AJ860" i="22"/>
  <c r="AK860" i="22" s="1"/>
  <c r="AJ861" i="22"/>
  <c r="AK861" i="22" s="1"/>
  <c r="AJ862" i="22"/>
  <c r="AK862" i="22" s="1"/>
  <c r="AJ863" i="22"/>
  <c r="AK863" i="22" s="1"/>
  <c r="AJ864" i="22"/>
  <c r="AK864" i="22" s="1"/>
  <c r="AJ865" i="22"/>
  <c r="AK865" i="22" s="1"/>
  <c r="AJ866" i="22"/>
  <c r="AK866" i="22" s="1"/>
  <c r="AJ867" i="22"/>
  <c r="AK867" i="22" s="1"/>
  <c r="AJ868" i="22"/>
  <c r="AK868" i="22" s="1"/>
  <c r="AJ869" i="22"/>
  <c r="AK869" i="22" s="1"/>
  <c r="AJ870" i="22"/>
  <c r="AK870" i="22" s="1"/>
  <c r="AJ871" i="22"/>
  <c r="AK871" i="22" s="1"/>
  <c r="AJ872" i="22"/>
  <c r="AK872" i="22" s="1"/>
  <c r="AJ873" i="22"/>
  <c r="AK873" i="22" s="1"/>
  <c r="AJ874" i="22"/>
  <c r="AK874" i="22" s="1"/>
  <c r="AJ875" i="22"/>
  <c r="AK875" i="22" s="1"/>
  <c r="AJ876" i="22"/>
  <c r="AK876" i="22" s="1"/>
  <c r="AJ877" i="22"/>
  <c r="AK877" i="22" s="1"/>
  <c r="AJ878" i="22"/>
  <c r="AK878" i="22" s="1"/>
  <c r="AJ879" i="22"/>
  <c r="AK879" i="22" s="1"/>
  <c r="AJ880" i="22"/>
  <c r="AK880" i="22" s="1"/>
  <c r="AJ881" i="22"/>
  <c r="AK881" i="22" s="1"/>
  <c r="AJ882" i="22"/>
  <c r="AK882" i="22" s="1"/>
  <c r="AJ883" i="22"/>
  <c r="AK883" i="22" s="1"/>
  <c r="AJ884" i="22"/>
  <c r="AK884" i="22" s="1"/>
  <c r="AJ885" i="22"/>
  <c r="AK885" i="22" s="1"/>
  <c r="AJ886" i="22"/>
  <c r="AK886" i="22" s="1"/>
  <c r="AJ887" i="22"/>
  <c r="AK887" i="22" s="1"/>
  <c r="AJ888" i="22"/>
  <c r="AK888" i="22" s="1"/>
  <c r="AJ889" i="22"/>
  <c r="AK889" i="22" s="1"/>
  <c r="AJ890" i="22"/>
  <c r="AK890" i="22" s="1"/>
  <c r="AJ891" i="22"/>
  <c r="AK891" i="22" s="1"/>
  <c r="AJ892" i="22"/>
  <c r="AK892" i="22" s="1"/>
  <c r="AJ893" i="22"/>
  <c r="AK893" i="22" s="1"/>
  <c r="AJ894" i="22"/>
  <c r="AK894" i="22" s="1"/>
  <c r="AJ895" i="22"/>
  <c r="AK895" i="22" s="1"/>
  <c r="AJ896" i="22"/>
  <c r="AK896" i="22" s="1"/>
  <c r="AJ897" i="22"/>
  <c r="AK897" i="22" s="1"/>
  <c r="AJ898" i="22"/>
  <c r="AK898" i="22" s="1"/>
  <c r="AJ899" i="22"/>
  <c r="AK899" i="22" s="1"/>
  <c r="AJ900" i="22"/>
  <c r="AK900" i="22" s="1"/>
  <c r="AJ901" i="22"/>
  <c r="AK901" i="22" s="1"/>
  <c r="AJ902" i="22"/>
  <c r="AK902" i="22" s="1"/>
  <c r="AJ903" i="22"/>
  <c r="AK903" i="22" s="1"/>
  <c r="AJ904" i="22"/>
  <c r="AK904" i="22" s="1"/>
  <c r="AJ905" i="22"/>
  <c r="AK905" i="22" s="1"/>
  <c r="AJ906" i="22"/>
  <c r="AK906" i="22" s="1"/>
  <c r="AJ907" i="22"/>
  <c r="AK907" i="22" s="1"/>
  <c r="AJ908" i="22"/>
  <c r="AK908" i="22" s="1"/>
  <c r="AJ909" i="22"/>
  <c r="AK909" i="22" s="1"/>
  <c r="AJ910" i="22"/>
  <c r="AK910" i="22" s="1"/>
  <c r="AJ911" i="22"/>
  <c r="AK911" i="22" s="1"/>
  <c r="AJ912" i="22"/>
  <c r="AK912" i="22" s="1"/>
  <c r="AJ913" i="22"/>
  <c r="AK913" i="22" s="1"/>
  <c r="AJ914" i="22"/>
  <c r="AK914" i="22" s="1"/>
  <c r="AJ915" i="22"/>
  <c r="AK915" i="22" s="1"/>
  <c r="AJ916" i="22"/>
  <c r="AK916" i="22" s="1"/>
  <c r="AJ917" i="22"/>
  <c r="AK917" i="22" s="1"/>
  <c r="AJ918" i="22"/>
  <c r="AK918" i="22" s="1"/>
  <c r="AJ919" i="22"/>
  <c r="AK919" i="22" s="1"/>
  <c r="AJ920" i="22"/>
  <c r="AK920" i="22" s="1"/>
  <c r="AJ921" i="22"/>
  <c r="AK921" i="22" s="1"/>
  <c r="AJ922" i="22"/>
  <c r="AK922" i="22" s="1"/>
  <c r="AJ923" i="22"/>
  <c r="AK923" i="22" s="1"/>
  <c r="AJ924" i="22"/>
  <c r="AK924" i="22" s="1"/>
  <c r="AJ925" i="22"/>
  <c r="AK925" i="22" s="1"/>
  <c r="AJ926" i="22"/>
  <c r="AK926" i="22" s="1"/>
  <c r="AJ927" i="22"/>
  <c r="AK927" i="22" s="1"/>
  <c r="AJ928" i="22"/>
  <c r="AK928" i="22" s="1"/>
  <c r="AJ929" i="22"/>
  <c r="AK929" i="22" s="1"/>
  <c r="AJ930" i="22"/>
  <c r="AK930" i="22" s="1"/>
  <c r="AJ931" i="22"/>
  <c r="AK931" i="22" s="1"/>
  <c r="AJ932" i="22"/>
  <c r="AK932" i="22" s="1"/>
  <c r="AJ933" i="22"/>
  <c r="AK933" i="22" s="1"/>
  <c r="AJ934" i="22"/>
  <c r="AK934" i="22" s="1"/>
  <c r="AJ935" i="22"/>
  <c r="AK935" i="22" s="1"/>
  <c r="AJ936" i="22"/>
  <c r="AK936" i="22" s="1"/>
  <c r="AJ937" i="22"/>
  <c r="AK937" i="22" s="1"/>
  <c r="AJ938" i="22"/>
  <c r="AK938" i="22" s="1"/>
  <c r="AJ939" i="22"/>
  <c r="AK939" i="22" s="1"/>
  <c r="AJ940" i="22"/>
  <c r="AK940" i="22" s="1"/>
  <c r="AJ941" i="22"/>
  <c r="AK941" i="22" s="1"/>
  <c r="AJ942" i="22"/>
  <c r="AK942" i="22" s="1"/>
  <c r="AJ943" i="22"/>
  <c r="AK943" i="22" s="1"/>
  <c r="AJ944" i="22"/>
  <c r="AK944" i="22" s="1"/>
  <c r="AJ945" i="22"/>
  <c r="AK945" i="22" s="1"/>
  <c r="AJ946" i="22"/>
  <c r="AK946" i="22" s="1"/>
  <c r="AJ947" i="22"/>
  <c r="AK947" i="22" s="1"/>
  <c r="AJ948" i="22"/>
  <c r="AK948" i="22" s="1"/>
  <c r="AJ949" i="22"/>
  <c r="AK949" i="22" s="1"/>
  <c r="AJ950" i="22"/>
  <c r="AK950" i="22" s="1"/>
  <c r="AJ951" i="22"/>
  <c r="AK951" i="22" s="1"/>
  <c r="AJ952" i="22"/>
  <c r="AK952" i="22" s="1"/>
  <c r="AJ953" i="22"/>
  <c r="AK953" i="22" s="1"/>
  <c r="AJ954" i="22"/>
  <c r="AK954" i="22" s="1"/>
  <c r="AJ955" i="22"/>
  <c r="AK955" i="22" s="1"/>
  <c r="AJ956" i="22"/>
  <c r="AK956" i="22" s="1"/>
  <c r="AJ957" i="22"/>
  <c r="AK957" i="22" s="1"/>
  <c r="AJ958" i="22"/>
  <c r="AK958" i="22" s="1"/>
  <c r="AJ959" i="22"/>
  <c r="AK959" i="22" s="1"/>
  <c r="AJ960" i="22"/>
  <c r="AK960" i="22" s="1"/>
  <c r="AJ961" i="22"/>
  <c r="AK961" i="22" s="1"/>
  <c r="AJ962" i="22"/>
  <c r="AK962" i="22" s="1"/>
  <c r="AJ963" i="22"/>
  <c r="AK963" i="22" s="1"/>
  <c r="AJ964" i="22"/>
  <c r="AK964" i="22" s="1"/>
  <c r="AJ965" i="22"/>
  <c r="AK965" i="22" s="1"/>
  <c r="AJ966" i="22"/>
  <c r="AK966" i="22" s="1"/>
  <c r="AJ967" i="22"/>
  <c r="AK967" i="22" s="1"/>
  <c r="AJ968" i="22"/>
  <c r="AK968" i="22" s="1"/>
  <c r="AJ969" i="22"/>
  <c r="AK969" i="22" s="1"/>
  <c r="AJ970" i="22"/>
  <c r="AK970" i="22" s="1"/>
  <c r="AJ971" i="22"/>
  <c r="AK971" i="22" s="1"/>
  <c r="AJ972" i="22"/>
  <c r="AK972" i="22" s="1"/>
  <c r="AJ973" i="22"/>
  <c r="AK973" i="22" s="1"/>
  <c r="AJ974" i="22"/>
  <c r="AK974" i="22" s="1"/>
  <c r="AJ975" i="22"/>
  <c r="AK975" i="22" s="1"/>
  <c r="AJ976" i="22"/>
  <c r="AK976" i="22" s="1"/>
  <c r="AJ977" i="22"/>
  <c r="AK977" i="22" s="1"/>
  <c r="AJ978" i="22"/>
  <c r="AK978" i="22" s="1"/>
  <c r="AJ979" i="22"/>
  <c r="AK979" i="22" s="1"/>
  <c r="AJ980" i="22"/>
  <c r="AK980" i="22" s="1"/>
  <c r="AJ981" i="22"/>
  <c r="AK981" i="22" s="1"/>
  <c r="AJ982" i="22"/>
  <c r="AK982" i="22" s="1"/>
  <c r="AJ983" i="22"/>
  <c r="AK983" i="22" s="1"/>
  <c r="AJ984" i="22"/>
  <c r="AK984" i="22" s="1"/>
  <c r="AJ985" i="22"/>
  <c r="AK985" i="22" s="1"/>
  <c r="AJ986" i="22"/>
  <c r="AK986" i="22" s="1"/>
  <c r="AJ987" i="22"/>
  <c r="AK987" i="22" s="1"/>
  <c r="AJ988" i="22"/>
  <c r="AK988" i="22" s="1"/>
  <c r="AJ989" i="22"/>
  <c r="AK989" i="22" s="1"/>
  <c r="AJ990" i="22"/>
  <c r="AK990" i="22" s="1"/>
  <c r="AJ991" i="22"/>
  <c r="AK991" i="22" s="1"/>
  <c r="AJ992" i="22"/>
  <c r="AK992" i="22" s="1"/>
  <c r="AJ993" i="22"/>
  <c r="AK993" i="22" s="1"/>
  <c r="AJ994" i="22"/>
  <c r="AK994" i="22" s="1"/>
  <c r="AJ995" i="22"/>
  <c r="AK995" i="22" s="1"/>
  <c r="AJ996" i="22"/>
  <c r="AK996" i="22" s="1"/>
  <c r="AJ997" i="22"/>
  <c r="AK997" i="22" s="1"/>
  <c r="AJ998" i="22"/>
  <c r="AK998" i="22" s="1"/>
  <c r="AJ999" i="22"/>
  <c r="AK999" i="22" s="1"/>
  <c r="AJ1000" i="22"/>
  <c r="AK1000" i="22" s="1"/>
  <c r="AJ1001" i="22"/>
  <c r="AK1001" i="22" s="1"/>
  <c r="AJ1002" i="22"/>
  <c r="AK1002" i="22" s="1"/>
  <c r="AJ1003" i="22"/>
  <c r="AK1003" i="22" s="1"/>
  <c r="AJ1004" i="22"/>
  <c r="AK1004" i="22" s="1"/>
  <c r="AJ1005" i="22"/>
  <c r="AK1005" i="22" s="1"/>
  <c r="AJ1006" i="22"/>
  <c r="AK1006" i="22" s="1"/>
  <c r="AJ1007" i="22"/>
  <c r="AK1007" i="22" s="1"/>
  <c r="AJ1008" i="22"/>
  <c r="AK1008" i="22" s="1"/>
  <c r="AJ1009" i="22"/>
  <c r="AK1009" i="22" s="1"/>
  <c r="AJ1010" i="22"/>
  <c r="AK1010" i="22" s="1"/>
  <c r="AJ1011" i="22"/>
  <c r="AK1011" i="22" s="1"/>
  <c r="AJ1012" i="22"/>
  <c r="AK1012" i="22" s="1"/>
  <c r="AJ1013" i="22"/>
  <c r="AK1013" i="22" s="1"/>
  <c r="AJ1014" i="22"/>
  <c r="AK1014" i="22" s="1"/>
  <c r="AJ1015" i="22"/>
  <c r="AK1015" i="22" s="1"/>
  <c r="AJ1016" i="22"/>
  <c r="AK1016" i="22" s="1"/>
  <c r="AJ1017" i="22"/>
  <c r="AK1017" i="22" s="1"/>
  <c r="AJ1018" i="22"/>
  <c r="AK1018" i="22" s="1"/>
  <c r="AJ1019" i="22"/>
  <c r="AK1019" i="22" s="1"/>
  <c r="AK3" i="22"/>
  <c r="T675" i="22"/>
  <c r="U675" i="22"/>
  <c r="AV670" i="22"/>
  <c r="AW670" i="22"/>
  <c r="AX670" i="22"/>
  <c r="AY670" i="22"/>
  <c r="AZ670" i="22"/>
  <c r="BF670" i="22"/>
  <c r="BH670" i="22"/>
  <c r="BK670" i="22"/>
  <c r="BL670" i="22"/>
  <c r="BM670" i="22"/>
  <c r="BN670" i="22"/>
  <c r="BO670" i="22"/>
  <c r="BP670" i="22"/>
  <c r="AV671" i="22"/>
  <c r="AW671" i="22"/>
  <c r="AX671" i="22"/>
  <c r="AY671" i="22"/>
  <c r="AZ671" i="22"/>
  <c r="BF671" i="22"/>
  <c r="BH671" i="22"/>
  <c r="BK671" i="22"/>
  <c r="BL671" i="22"/>
  <c r="BM671" i="22"/>
  <c r="BN671" i="22"/>
  <c r="BO671" i="22"/>
  <c r="BP671" i="22"/>
  <c r="AV672" i="22"/>
  <c r="AW672" i="22"/>
  <c r="AX672" i="22"/>
  <c r="AY672" i="22"/>
  <c r="AZ672" i="22"/>
  <c r="BF672" i="22"/>
  <c r="BH672" i="22"/>
  <c r="BK672" i="22"/>
  <c r="BL672" i="22"/>
  <c r="BM672" i="22"/>
  <c r="BN672" i="22"/>
  <c r="BO672" i="22"/>
  <c r="BP672" i="22"/>
  <c r="AV673" i="22"/>
  <c r="AW673" i="22"/>
  <c r="AX673" i="22"/>
  <c r="AY673" i="22"/>
  <c r="AZ673" i="22"/>
  <c r="BF673" i="22"/>
  <c r="BH673" i="22"/>
  <c r="BK673" i="22"/>
  <c r="BL673" i="22"/>
  <c r="BM673" i="22"/>
  <c r="BN673" i="22"/>
  <c r="BO673" i="22"/>
  <c r="BP673" i="22"/>
  <c r="AV674" i="22"/>
  <c r="AW674" i="22"/>
  <c r="AX674" i="22"/>
  <c r="AY674" i="22"/>
  <c r="AZ674" i="22"/>
  <c r="BF674" i="22"/>
  <c r="BH674" i="22"/>
  <c r="BK674" i="22"/>
  <c r="BL674" i="22"/>
  <c r="BM674" i="22"/>
  <c r="BN674" i="22"/>
  <c r="BO674" i="22"/>
  <c r="BP674" i="22"/>
  <c r="AV675" i="22"/>
  <c r="AW675" i="22"/>
  <c r="AX675" i="22"/>
  <c r="AY675" i="22"/>
  <c r="AZ675" i="22"/>
  <c r="BF675" i="22"/>
  <c r="BH675" i="22"/>
  <c r="BK675" i="22"/>
  <c r="BL675" i="22"/>
  <c r="BM675" i="22"/>
  <c r="BN675" i="22"/>
  <c r="BO675" i="22"/>
  <c r="BP675" i="22"/>
  <c r="AV676" i="22"/>
  <c r="AW676" i="22"/>
  <c r="AX676" i="22"/>
  <c r="AY676" i="22"/>
  <c r="AZ676" i="22"/>
  <c r="BF676" i="22"/>
  <c r="BH676" i="22"/>
  <c r="BK676" i="22"/>
  <c r="BL676" i="22"/>
  <c r="BM676" i="22"/>
  <c r="BN676" i="22"/>
  <c r="BO676" i="22"/>
  <c r="BP676" i="22"/>
  <c r="T672" i="22"/>
  <c r="T662" i="22"/>
  <c r="M663" i="22"/>
  <c r="K665" i="22"/>
  <c r="M665" i="22" s="1"/>
  <c r="Z665" i="22" s="1"/>
  <c r="K666" i="22"/>
  <c r="M666" i="22" s="1"/>
  <c r="Z666" i="22" s="1"/>
  <c r="K667" i="22"/>
  <c r="M667" i="22" s="1"/>
  <c r="Z667" i="22" s="1"/>
  <c r="K668" i="22"/>
  <c r="M668" i="22" s="1"/>
  <c r="Z668" i="22" s="1"/>
  <c r="K669" i="22"/>
  <c r="M669" i="22" s="1"/>
  <c r="Z669" i="22" s="1"/>
  <c r="K670" i="22"/>
  <c r="M670" i="22" s="1"/>
  <c r="Z670" i="22" s="1"/>
  <c r="K671" i="22"/>
  <c r="M671" i="22" s="1"/>
  <c r="Z671" i="22" s="1"/>
  <c r="K672" i="22"/>
  <c r="M672" i="22" s="1"/>
  <c r="K673" i="22"/>
  <c r="K674" i="22"/>
  <c r="K664" i="22"/>
  <c r="M664" i="22" s="1"/>
  <c r="Z664" i="22" s="1"/>
  <c r="M662" i="22"/>
  <c r="Z662" i="22" s="1"/>
  <c r="T654" i="22"/>
  <c r="T648" i="22"/>
  <c r="T643" i="22"/>
  <c r="T633" i="22"/>
  <c r="AV644" i="22"/>
  <c r="AW644" i="22"/>
  <c r="AX644" i="22"/>
  <c r="AY644" i="22"/>
  <c r="AZ644" i="22"/>
  <c r="BF644" i="22"/>
  <c r="BH644" i="22"/>
  <c r="BK644" i="22"/>
  <c r="BL644" i="22"/>
  <c r="BM644" i="22"/>
  <c r="BN644" i="22"/>
  <c r="BO644" i="22"/>
  <c r="BP644" i="22"/>
  <c r="AV645" i="22"/>
  <c r="AW645" i="22"/>
  <c r="AX645" i="22"/>
  <c r="AY645" i="22"/>
  <c r="AZ645" i="22"/>
  <c r="BF645" i="22"/>
  <c r="BH645" i="22"/>
  <c r="BK645" i="22"/>
  <c r="BL645" i="22"/>
  <c r="BM645" i="22"/>
  <c r="BN645" i="22"/>
  <c r="BO645" i="22"/>
  <c r="BP645" i="22"/>
  <c r="AV646" i="22"/>
  <c r="AW646" i="22"/>
  <c r="AX646" i="22"/>
  <c r="AY646" i="22"/>
  <c r="AZ646" i="22"/>
  <c r="BF646" i="22"/>
  <c r="BH646" i="22"/>
  <c r="BK646" i="22"/>
  <c r="BL646" i="22"/>
  <c r="BM646" i="22"/>
  <c r="BN646" i="22"/>
  <c r="BO646" i="22"/>
  <c r="BP646" i="22"/>
  <c r="AV647" i="22"/>
  <c r="AW647" i="22"/>
  <c r="AX647" i="22"/>
  <c r="AY647" i="22"/>
  <c r="AZ647" i="22"/>
  <c r="BF647" i="22"/>
  <c r="BH647" i="22"/>
  <c r="BK647" i="22"/>
  <c r="BL647" i="22"/>
  <c r="BM647" i="22"/>
  <c r="BN647" i="22"/>
  <c r="BO647" i="22"/>
  <c r="BP647" i="22"/>
  <c r="AV648" i="22"/>
  <c r="AW648" i="22"/>
  <c r="AX648" i="22"/>
  <c r="AY648" i="22"/>
  <c r="AZ648" i="22"/>
  <c r="BF648" i="22"/>
  <c r="BH648" i="22"/>
  <c r="BK648" i="22"/>
  <c r="BL648" i="22"/>
  <c r="BM648" i="22"/>
  <c r="BN648" i="22"/>
  <c r="BO648" i="22"/>
  <c r="BP648" i="22"/>
  <c r="AV649" i="22"/>
  <c r="AW649" i="22"/>
  <c r="AX649" i="22"/>
  <c r="AY649" i="22"/>
  <c r="AZ649" i="22"/>
  <c r="BF649" i="22"/>
  <c r="BH649" i="22"/>
  <c r="BK649" i="22"/>
  <c r="BL649" i="22"/>
  <c r="BM649" i="22"/>
  <c r="BN649" i="22"/>
  <c r="BO649" i="22"/>
  <c r="BP649" i="22"/>
  <c r="AV650" i="22"/>
  <c r="AW650" i="22"/>
  <c r="AX650" i="22"/>
  <c r="AY650" i="22"/>
  <c r="AZ650" i="22"/>
  <c r="BF650" i="22"/>
  <c r="BH650" i="22"/>
  <c r="BK650" i="22"/>
  <c r="BL650" i="22"/>
  <c r="BM650" i="22"/>
  <c r="BN650" i="22"/>
  <c r="BO650" i="22"/>
  <c r="BP650" i="22"/>
  <c r="AV651" i="22"/>
  <c r="AW651" i="22"/>
  <c r="AX651" i="22"/>
  <c r="AY651" i="22"/>
  <c r="AZ651" i="22"/>
  <c r="BF651" i="22"/>
  <c r="BH651" i="22"/>
  <c r="BK651" i="22"/>
  <c r="BL651" i="22"/>
  <c r="BM651" i="22"/>
  <c r="BN651" i="22"/>
  <c r="BO651" i="22"/>
  <c r="BP651" i="22"/>
  <c r="AV652" i="22"/>
  <c r="AW652" i="22"/>
  <c r="AX652" i="22"/>
  <c r="AY652" i="22"/>
  <c r="AZ652" i="22"/>
  <c r="BF652" i="22"/>
  <c r="BH652" i="22"/>
  <c r="BK652" i="22"/>
  <c r="BL652" i="22"/>
  <c r="BM652" i="22"/>
  <c r="BN652" i="22"/>
  <c r="BO652" i="22"/>
  <c r="BP652" i="22"/>
  <c r="AV653" i="22"/>
  <c r="AW653" i="22"/>
  <c r="AX653" i="22"/>
  <c r="AY653" i="22"/>
  <c r="AZ653" i="22"/>
  <c r="BF653" i="22"/>
  <c r="BH653" i="22"/>
  <c r="BK653" i="22"/>
  <c r="BL653" i="22"/>
  <c r="BM653" i="22"/>
  <c r="BN653" i="22"/>
  <c r="BO653" i="22"/>
  <c r="BP653" i="22"/>
  <c r="AV654" i="22"/>
  <c r="AW654" i="22"/>
  <c r="AX654" i="22"/>
  <c r="AY654" i="22"/>
  <c r="AZ654" i="22"/>
  <c r="BF654" i="22"/>
  <c r="BH654" i="22"/>
  <c r="BK654" i="22"/>
  <c r="BL654" i="22"/>
  <c r="BM654" i="22"/>
  <c r="BN654" i="22"/>
  <c r="BO654" i="22"/>
  <c r="BP654" i="22"/>
  <c r="AV655" i="22"/>
  <c r="AW655" i="22"/>
  <c r="AX655" i="22"/>
  <c r="AY655" i="22"/>
  <c r="AZ655" i="22"/>
  <c r="BF655" i="22"/>
  <c r="BH655" i="22"/>
  <c r="BK655" i="22"/>
  <c r="BL655" i="22"/>
  <c r="BM655" i="22"/>
  <c r="BN655" i="22"/>
  <c r="BO655" i="22"/>
  <c r="BP655" i="22"/>
  <c r="AV656" i="22"/>
  <c r="AW656" i="22"/>
  <c r="AX656" i="22"/>
  <c r="AY656" i="22"/>
  <c r="AZ656" i="22"/>
  <c r="BF656" i="22"/>
  <c r="BK656" i="22"/>
  <c r="BL656" i="22"/>
  <c r="BM656" i="22"/>
  <c r="BN656" i="22"/>
  <c r="BO656" i="22"/>
  <c r="BP656" i="22"/>
  <c r="AV657" i="22"/>
  <c r="AW657" i="22"/>
  <c r="AX657" i="22"/>
  <c r="AY657" i="22"/>
  <c r="AZ657" i="22"/>
  <c r="BF657" i="22"/>
  <c r="BK657" i="22"/>
  <c r="BL657" i="22"/>
  <c r="BM657" i="22"/>
  <c r="BN657" i="22"/>
  <c r="BO657" i="22"/>
  <c r="BP657" i="22"/>
  <c r="AV658" i="22"/>
  <c r="AW658" i="22"/>
  <c r="AX658" i="22"/>
  <c r="AY658" i="22"/>
  <c r="AZ658" i="22"/>
  <c r="BF658" i="22"/>
  <c r="BK658" i="22"/>
  <c r="BL658" i="22"/>
  <c r="BM658" i="22"/>
  <c r="BN658" i="22"/>
  <c r="BO658" i="22"/>
  <c r="BP658" i="22"/>
  <c r="AV659" i="22"/>
  <c r="AW659" i="22"/>
  <c r="AX659" i="22"/>
  <c r="AY659" i="22"/>
  <c r="AZ659" i="22"/>
  <c r="BF659" i="22"/>
  <c r="BH659" i="22"/>
  <c r="BK659" i="22"/>
  <c r="BL659" i="22"/>
  <c r="BM659" i="22"/>
  <c r="BN659" i="22"/>
  <c r="BO659" i="22"/>
  <c r="BP659" i="22"/>
  <c r="AV660" i="22"/>
  <c r="AW660" i="22"/>
  <c r="AX660" i="22"/>
  <c r="AY660" i="22"/>
  <c r="AZ660" i="22"/>
  <c r="BF660" i="22"/>
  <c r="BH660" i="22"/>
  <c r="BK660" i="22"/>
  <c r="BL660" i="22"/>
  <c r="BM660" i="22"/>
  <c r="BN660" i="22"/>
  <c r="BO660" i="22"/>
  <c r="BP660" i="22"/>
  <c r="AV661" i="22"/>
  <c r="AW661" i="22"/>
  <c r="AX661" i="22"/>
  <c r="AY661" i="22"/>
  <c r="AZ661" i="22"/>
  <c r="BF661" i="22"/>
  <c r="BH661" i="22"/>
  <c r="BK661" i="22"/>
  <c r="BL661" i="22"/>
  <c r="BM661" i="22"/>
  <c r="BN661" i="22"/>
  <c r="BO661" i="22"/>
  <c r="BP661" i="22"/>
  <c r="AV667" i="22"/>
  <c r="AW667" i="22"/>
  <c r="AX667" i="22"/>
  <c r="AY667" i="22"/>
  <c r="AZ667" i="22"/>
  <c r="BF667" i="22"/>
  <c r="BH667" i="22"/>
  <c r="BK667" i="22"/>
  <c r="BL667" i="22"/>
  <c r="BM667" i="22"/>
  <c r="BN667" i="22"/>
  <c r="BO667" i="22"/>
  <c r="BP667" i="22"/>
  <c r="AV668" i="22"/>
  <c r="AW668" i="22"/>
  <c r="AX668" i="22"/>
  <c r="AY668" i="22"/>
  <c r="AZ668" i="22"/>
  <c r="BF668" i="22"/>
  <c r="BH668" i="22"/>
  <c r="BK668" i="22"/>
  <c r="BL668" i="22"/>
  <c r="BM668" i="22"/>
  <c r="BN668" i="22"/>
  <c r="BO668" i="22"/>
  <c r="BP668" i="22"/>
  <c r="AV669" i="22"/>
  <c r="AW669" i="22"/>
  <c r="AX669" i="22"/>
  <c r="AY669" i="22"/>
  <c r="AZ669" i="22"/>
  <c r="BF669" i="22"/>
  <c r="BH669" i="22"/>
  <c r="BK669" i="22"/>
  <c r="BL669" i="22"/>
  <c r="BM669" i="22"/>
  <c r="BN669" i="22"/>
  <c r="BO669" i="22"/>
  <c r="BP669" i="22"/>
  <c r="T631" i="22"/>
  <c r="U626" i="22"/>
  <c r="T626" i="22"/>
  <c r="T622" i="22"/>
  <c r="U620" i="22"/>
  <c r="U618" i="22"/>
  <c r="T618" i="22"/>
  <c r="T616" i="22"/>
  <c r="AV604" i="22"/>
  <c r="AW604" i="22"/>
  <c r="AX604" i="22"/>
  <c r="AY604" i="22"/>
  <c r="AZ604" i="22"/>
  <c r="BF604" i="22"/>
  <c r="BH604" i="22"/>
  <c r="BK604" i="22"/>
  <c r="BL604" i="22"/>
  <c r="BM604" i="22"/>
  <c r="BN604" i="22"/>
  <c r="BO604" i="22"/>
  <c r="BP604" i="22"/>
  <c r="AV605" i="22"/>
  <c r="AW605" i="22"/>
  <c r="AX605" i="22"/>
  <c r="AY605" i="22"/>
  <c r="AZ605" i="22"/>
  <c r="BF605" i="22"/>
  <c r="BH605" i="22"/>
  <c r="BK605" i="22"/>
  <c r="BL605" i="22"/>
  <c r="BM605" i="22"/>
  <c r="BN605" i="22"/>
  <c r="BO605" i="22"/>
  <c r="BP605" i="22"/>
  <c r="AV606" i="22"/>
  <c r="AW606" i="22"/>
  <c r="AX606" i="22"/>
  <c r="AY606" i="22"/>
  <c r="AZ606" i="22"/>
  <c r="BF606" i="22"/>
  <c r="BH606" i="22"/>
  <c r="BK606" i="22"/>
  <c r="BL606" i="22"/>
  <c r="BM606" i="22"/>
  <c r="BN606" i="22"/>
  <c r="BO606" i="22"/>
  <c r="BP606" i="22"/>
  <c r="AV607" i="22"/>
  <c r="AW607" i="22"/>
  <c r="AX607" i="22"/>
  <c r="AY607" i="22"/>
  <c r="AZ607" i="22"/>
  <c r="BF607" i="22"/>
  <c r="BH607" i="22"/>
  <c r="BK607" i="22"/>
  <c r="BL607" i="22"/>
  <c r="BM607" i="22"/>
  <c r="BN607" i="22"/>
  <c r="BO607" i="22"/>
  <c r="BP607" i="22"/>
  <c r="AV608" i="22"/>
  <c r="AW608" i="22"/>
  <c r="AX608" i="22"/>
  <c r="AY608" i="22"/>
  <c r="AZ608" i="22"/>
  <c r="BF608" i="22"/>
  <c r="BH608" i="22"/>
  <c r="BK608" i="22"/>
  <c r="BL608" i="22"/>
  <c r="BM608" i="22"/>
  <c r="BN608" i="22"/>
  <c r="BO608" i="22"/>
  <c r="BP608" i="22"/>
  <c r="AV609" i="22"/>
  <c r="AW609" i="22"/>
  <c r="AX609" i="22"/>
  <c r="AY609" i="22"/>
  <c r="AZ609" i="22"/>
  <c r="BF609" i="22"/>
  <c r="BH609" i="22"/>
  <c r="BK609" i="22"/>
  <c r="BL609" i="22"/>
  <c r="BM609" i="22"/>
  <c r="BN609" i="22"/>
  <c r="BO609" i="22"/>
  <c r="BP609" i="22"/>
  <c r="AV610" i="22"/>
  <c r="AW610" i="22"/>
  <c r="AX610" i="22"/>
  <c r="AY610" i="22"/>
  <c r="AZ610" i="22"/>
  <c r="BF610" i="22"/>
  <c r="BH610" i="22"/>
  <c r="BK610" i="22"/>
  <c r="BL610" i="22"/>
  <c r="BM610" i="22"/>
  <c r="BN610" i="22"/>
  <c r="BO610" i="22"/>
  <c r="BP610" i="22"/>
  <c r="AV611" i="22"/>
  <c r="AW611" i="22"/>
  <c r="AX611" i="22"/>
  <c r="AY611" i="22"/>
  <c r="AZ611" i="22"/>
  <c r="BF611" i="22"/>
  <c r="BH611" i="22"/>
  <c r="BK611" i="22"/>
  <c r="BL611" i="22"/>
  <c r="BM611" i="22"/>
  <c r="BN611" i="22"/>
  <c r="BO611" i="22"/>
  <c r="BP611" i="22"/>
  <c r="AV612" i="22"/>
  <c r="AW612" i="22"/>
  <c r="AX612" i="22"/>
  <c r="AY612" i="22"/>
  <c r="AZ612" i="22"/>
  <c r="BF612" i="22"/>
  <c r="BH612" i="22"/>
  <c r="BK612" i="22"/>
  <c r="BL612" i="22"/>
  <c r="BM612" i="22"/>
  <c r="BN612" i="22"/>
  <c r="BO612" i="22"/>
  <c r="BP612" i="22"/>
  <c r="AV613" i="22"/>
  <c r="AW613" i="22"/>
  <c r="AX613" i="22"/>
  <c r="AY613" i="22"/>
  <c r="AZ613" i="22"/>
  <c r="BF613" i="22"/>
  <c r="BH613" i="22"/>
  <c r="BK613" i="22"/>
  <c r="BL613" i="22"/>
  <c r="BM613" i="22"/>
  <c r="BN613" i="22"/>
  <c r="BO613" i="22"/>
  <c r="BP613" i="22"/>
  <c r="AV614" i="22"/>
  <c r="AW614" i="22"/>
  <c r="AX614" i="22"/>
  <c r="AY614" i="22"/>
  <c r="AZ614" i="22"/>
  <c r="BF614" i="22"/>
  <c r="BH614" i="22"/>
  <c r="BK614" i="22"/>
  <c r="BL614" i="22"/>
  <c r="BM614" i="22"/>
  <c r="BN614" i="22"/>
  <c r="BO614" i="22"/>
  <c r="BP614" i="22"/>
  <c r="AV615" i="22"/>
  <c r="AW615" i="22"/>
  <c r="AX615" i="22"/>
  <c r="AY615" i="22"/>
  <c r="AZ615" i="22"/>
  <c r="BF615" i="22"/>
  <c r="BH615" i="22"/>
  <c r="BK615" i="22"/>
  <c r="BL615" i="22"/>
  <c r="BM615" i="22"/>
  <c r="BN615" i="22"/>
  <c r="BO615" i="22"/>
  <c r="BP615" i="22"/>
  <c r="AV616" i="22"/>
  <c r="AW616" i="22"/>
  <c r="AX616" i="22"/>
  <c r="AY616" i="22"/>
  <c r="AZ616" i="22"/>
  <c r="BF616" i="22"/>
  <c r="BH616" i="22"/>
  <c r="BK616" i="22"/>
  <c r="BL616" i="22"/>
  <c r="BM616" i="22"/>
  <c r="BN616" i="22"/>
  <c r="BO616" i="22"/>
  <c r="BP616" i="22"/>
  <c r="AV617" i="22"/>
  <c r="AW617" i="22"/>
  <c r="AX617" i="22"/>
  <c r="AY617" i="22"/>
  <c r="AZ617" i="22"/>
  <c r="BF617" i="22"/>
  <c r="BH617" i="22"/>
  <c r="BK617" i="22"/>
  <c r="BL617" i="22"/>
  <c r="BM617" i="22"/>
  <c r="BN617" i="22"/>
  <c r="BO617" i="22"/>
  <c r="BP617" i="22"/>
  <c r="AV618" i="22"/>
  <c r="AW618" i="22"/>
  <c r="AX618" i="22"/>
  <c r="AY618" i="22"/>
  <c r="AZ618" i="22"/>
  <c r="BF618" i="22"/>
  <c r="BH618" i="22"/>
  <c r="BK618" i="22"/>
  <c r="BL618" i="22"/>
  <c r="BM618" i="22"/>
  <c r="BN618" i="22"/>
  <c r="BO618" i="22"/>
  <c r="BP618" i="22"/>
  <c r="AV619" i="22"/>
  <c r="AW619" i="22"/>
  <c r="AX619" i="22"/>
  <c r="AY619" i="22"/>
  <c r="AZ619" i="22"/>
  <c r="BF619" i="22"/>
  <c r="BH619" i="22"/>
  <c r="BK619" i="22"/>
  <c r="BL619" i="22"/>
  <c r="BM619" i="22"/>
  <c r="BN619" i="22"/>
  <c r="BO619" i="22"/>
  <c r="BP619" i="22"/>
  <c r="AV620" i="22"/>
  <c r="AW620" i="22"/>
  <c r="AX620" i="22"/>
  <c r="AY620" i="22"/>
  <c r="AZ620" i="22"/>
  <c r="BF620" i="22"/>
  <c r="BH620" i="22"/>
  <c r="BK620" i="22"/>
  <c r="BL620" i="22"/>
  <c r="BM620" i="22"/>
  <c r="BN620" i="22"/>
  <c r="BO620" i="22"/>
  <c r="BP620" i="22"/>
  <c r="AV621" i="22"/>
  <c r="AW621" i="22"/>
  <c r="AX621" i="22"/>
  <c r="AY621" i="22"/>
  <c r="AZ621" i="22"/>
  <c r="BF621" i="22"/>
  <c r="BH621" i="22"/>
  <c r="BK621" i="22"/>
  <c r="BL621" i="22"/>
  <c r="BM621" i="22"/>
  <c r="BN621" i="22"/>
  <c r="BO621" i="22"/>
  <c r="BP621" i="22"/>
  <c r="AV622" i="22"/>
  <c r="AW622" i="22"/>
  <c r="AX622" i="22"/>
  <c r="AY622" i="22"/>
  <c r="AZ622" i="22"/>
  <c r="BF622" i="22"/>
  <c r="BH622" i="22"/>
  <c r="BK622" i="22"/>
  <c r="BL622" i="22"/>
  <c r="BM622" i="22"/>
  <c r="BN622" i="22"/>
  <c r="BO622" i="22"/>
  <c r="BP622" i="22"/>
  <c r="AV623" i="22"/>
  <c r="AW623" i="22"/>
  <c r="AX623" i="22"/>
  <c r="AY623" i="22"/>
  <c r="AZ623" i="22"/>
  <c r="BF623" i="22"/>
  <c r="BH623" i="22"/>
  <c r="BK623" i="22"/>
  <c r="BL623" i="22"/>
  <c r="BM623" i="22"/>
  <c r="BN623" i="22"/>
  <c r="BO623" i="22"/>
  <c r="BP623" i="22"/>
  <c r="AV624" i="22"/>
  <c r="AW624" i="22"/>
  <c r="AX624" i="22"/>
  <c r="AY624" i="22"/>
  <c r="AZ624" i="22"/>
  <c r="BF624" i="22"/>
  <c r="BH624" i="22"/>
  <c r="BK624" i="22"/>
  <c r="BL624" i="22"/>
  <c r="BM624" i="22"/>
  <c r="BN624" i="22"/>
  <c r="BO624" i="22"/>
  <c r="BP624" i="22"/>
  <c r="AV625" i="22"/>
  <c r="AW625" i="22"/>
  <c r="AX625" i="22"/>
  <c r="AY625" i="22"/>
  <c r="AZ625" i="22"/>
  <c r="BF625" i="22"/>
  <c r="BH625" i="22"/>
  <c r="BK625" i="22"/>
  <c r="BL625" i="22"/>
  <c r="BM625" i="22"/>
  <c r="BN625" i="22"/>
  <c r="BO625" i="22"/>
  <c r="BP625" i="22"/>
  <c r="AV626" i="22"/>
  <c r="AW626" i="22"/>
  <c r="AX626" i="22"/>
  <c r="AY626" i="22"/>
  <c r="AZ626" i="22"/>
  <c r="BF626" i="22"/>
  <c r="BH626" i="22"/>
  <c r="BK626" i="22"/>
  <c r="BL626" i="22"/>
  <c r="BM626" i="22"/>
  <c r="BN626" i="22"/>
  <c r="BO626" i="22"/>
  <c r="BP626" i="22"/>
  <c r="AV627" i="22"/>
  <c r="AW627" i="22"/>
  <c r="AX627" i="22"/>
  <c r="AY627" i="22"/>
  <c r="AZ627" i="22"/>
  <c r="BF627" i="22"/>
  <c r="BH627" i="22"/>
  <c r="BK627" i="22"/>
  <c r="BL627" i="22"/>
  <c r="BM627" i="22"/>
  <c r="BN627" i="22"/>
  <c r="BO627" i="22"/>
  <c r="BP627" i="22"/>
  <c r="AV628" i="22"/>
  <c r="AW628" i="22"/>
  <c r="AX628" i="22"/>
  <c r="AY628" i="22"/>
  <c r="AZ628" i="22"/>
  <c r="BF628" i="22"/>
  <c r="BH628" i="22"/>
  <c r="BK628" i="22"/>
  <c r="BL628" i="22"/>
  <c r="BM628" i="22"/>
  <c r="BN628" i="22"/>
  <c r="BO628" i="22"/>
  <c r="BP628" i="22"/>
  <c r="AV629" i="22"/>
  <c r="AW629" i="22"/>
  <c r="AX629" i="22"/>
  <c r="AY629" i="22"/>
  <c r="AZ629" i="22"/>
  <c r="BF629" i="22"/>
  <c r="BH629" i="22"/>
  <c r="BK629" i="22"/>
  <c r="BL629" i="22"/>
  <c r="BM629" i="22"/>
  <c r="BN629" i="22"/>
  <c r="BO629" i="22"/>
  <c r="BP629" i="22"/>
  <c r="AV630" i="22"/>
  <c r="AW630" i="22"/>
  <c r="AX630" i="22"/>
  <c r="AY630" i="22"/>
  <c r="AZ630" i="22"/>
  <c r="BF630" i="22"/>
  <c r="BH630" i="22"/>
  <c r="BK630" i="22"/>
  <c r="BL630" i="22"/>
  <c r="BM630" i="22"/>
  <c r="BN630" i="22"/>
  <c r="BO630" i="22"/>
  <c r="BP630" i="22"/>
  <c r="AV631" i="22"/>
  <c r="AW631" i="22"/>
  <c r="AX631" i="22"/>
  <c r="AY631" i="22"/>
  <c r="AZ631" i="22"/>
  <c r="BF631" i="22"/>
  <c r="BH631" i="22"/>
  <c r="BK631" i="22"/>
  <c r="BL631" i="22"/>
  <c r="BM631" i="22"/>
  <c r="BN631" i="22"/>
  <c r="BO631" i="22"/>
  <c r="BP631" i="22"/>
  <c r="AV632" i="22"/>
  <c r="AW632" i="22"/>
  <c r="AX632" i="22"/>
  <c r="AY632" i="22"/>
  <c r="AZ632" i="22"/>
  <c r="BF632" i="22"/>
  <c r="BH632" i="22"/>
  <c r="BK632" i="22"/>
  <c r="BL632" i="22"/>
  <c r="BM632" i="22"/>
  <c r="BN632" i="22"/>
  <c r="BO632" i="22"/>
  <c r="BP632" i="22"/>
  <c r="AV633" i="22"/>
  <c r="AW633" i="22"/>
  <c r="AX633" i="22"/>
  <c r="AY633" i="22"/>
  <c r="AZ633" i="22"/>
  <c r="BF633" i="22"/>
  <c r="BH633" i="22"/>
  <c r="BK633" i="22"/>
  <c r="BL633" i="22"/>
  <c r="BM633" i="22"/>
  <c r="BN633" i="22"/>
  <c r="BO633" i="22"/>
  <c r="BP633" i="22"/>
  <c r="AV634" i="22"/>
  <c r="AW634" i="22"/>
  <c r="AX634" i="22"/>
  <c r="AY634" i="22"/>
  <c r="AZ634" i="22"/>
  <c r="BF634" i="22"/>
  <c r="BH634" i="22"/>
  <c r="BK634" i="22"/>
  <c r="BL634" i="22"/>
  <c r="BM634" i="22"/>
  <c r="BN634" i="22"/>
  <c r="BO634" i="22"/>
  <c r="BP634" i="22"/>
  <c r="AV635" i="22"/>
  <c r="AW635" i="22"/>
  <c r="AX635" i="22"/>
  <c r="AY635" i="22"/>
  <c r="AZ635" i="22"/>
  <c r="BF635" i="22"/>
  <c r="BK635" i="22"/>
  <c r="BL635" i="22"/>
  <c r="BM635" i="22"/>
  <c r="BN635" i="22"/>
  <c r="BO635" i="22"/>
  <c r="BP635" i="22"/>
  <c r="AV636" i="22"/>
  <c r="AW636" i="22"/>
  <c r="AX636" i="22"/>
  <c r="AY636" i="22"/>
  <c r="AZ636" i="22"/>
  <c r="BF636" i="22"/>
  <c r="BK636" i="22"/>
  <c r="BL636" i="22"/>
  <c r="BM636" i="22"/>
  <c r="BN636" i="22"/>
  <c r="BO636" i="22"/>
  <c r="BP636" i="22"/>
  <c r="AV637" i="22"/>
  <c r="AW637" i="22"/>
  <c r="AX637" i="22"/>
  <c r="AY637" i="22"/>
  <c r="AZ637" i="22"/>
  <c r="BF637" i="22"/>
  <c r="BH637" i="22"/>
  <c r="BK637" i="22"/>
  <c r="BL637" i="22"/>
  <c r="BM637" i="22"/>
  <c r="BN637" i="22"/>
  <c r="BO637" i="22"/>
  <c r="BP637" i="22"/>
  <c r="AV638" i="22"/>
  <c r="AW638" i="22"/>
  <c r="AX638" i="22"/>
  <c r="AY638" i="22"/>
  <c r="AZ638" i="22"/>
  <c r="BF638" i="22"/>
  <c r="BH638" i="22"/>
  <c r="BK638" i="22"/>
  <c r="BL638" i="22"/>
  <c r="BM638" i="22"/>
  <c r="BN638" i="22"/>
  <c r="BO638" i="22"/>
  <c r="BP638" i="22"/>
  <c r="AV639" i="22"/>
  <c r="AW639" i="22"/>
  <c r="AX639" i="22"/>
  <c r="AY639" i="22"/>
  <c r="AZ639" i="22"/>
  <c r="BF639" i="22"/>
  <c r="BH639" i="22"/>
  <c r="BK639" i="22"/>
  <c r="BL639" i="22"/>
  <c r="BM639" i="22"/>
  <c r="BN639" i="22"/>
  <c r="BO639" i="22"/>
  <c r="BP639" i="22"/>
  <c r="AV640" i="22"/>
  <c r="AW640" i="22"/>
  <c r="AX640" i="22"/>
  <c r="AY640" i="22"/>
  <c r="AZ640" i="22"/>
  <c r="BF640" i="22"/>
  <c r="BH640" i="22"/>
  <c r="BK640" i="22"/>
  <c r="BL640" i="22"/>
  <c r="BM640" i="22"/>
  <c r="BN640" i="22"/>
  <c r="BO640" i="22"/>
  <c r="BP640" i="22"/>
  <c r="AV641" i="22"/>
  <c r="AW641" i="22"/>
  <c r="AX641" i="22"/>
  <c r="AY641" i="22"/>
  <c r="AZ641" i="22"/>
  <c r="BF641" i="22"/>
  <c r="BH641" i="22"/>
  <c r="BK641" i="22"/>
  <c r="BL641" i="22"/>
  <c r="BM641" i="22"/>
  <c r="BN641" i="22"/>
  <c r="BO641" i="22"/>
  <c r="BP641" i="22"/>
  <c r="AV642" i="22"/>
  <c r="AW642" i="22"/>
  <c r="AX642" i="22"/>
  <c r="AY642" i="22"/>
  <c r="AZ642" i="22"/>
  <c r="BF642" i="22"/>
  <c r="BH642" i="22"/>
  <c r="BK642" i="22"/>
  <c r="BL642" i="22"/>
  <c r="BM642" i="22"/>
  <c r="BN642" i="22"/>
  <c r="BO642" i="22"/>
  <c r="BP642" i="22"/>
  <c r="AV643" i="22"/>
  <c r="AW643" i="22"/>
  <c r="AX643" i="22"/>
  <c r="AY643" i="22"/>
  <c r="AZ643" i="22"/>
  <c r="BF643" i="22"/>
  <c r="BH643" i="22"/>
  <c r="BK643" i="22"/>
  <c r="BL643" i="22"/>
  <c r="BM643" i="22"/>
  <c r="BN643" i="22"/>
  <c r="BO643" i="22"/>
  <c r="BP643" i="22"/>
  <c r="V663" i="22" l="1"/>
  <c r="BB663" i="22" s="1"/>
  <c r="Z663" i="22"/>
  <c r="BI663" i="22" s="1"/>
  <c r="V672" i="22"/>
  <c r="Z672" i="22"/>
  <c r="BI672" i="22" s="1"/>
  <c r="N671" i="22"/>
  <c r="V671" i="22"/>
  <c r="BB671" i="22" s="1"/>
  <c r="N670" i="22"/>
  <c r="V670" i="22"/>
  <c r="BB670" i="22" s="1"/>
  <c r="N668" i="22"/>
  <c r="V668" i="22"/>
  <c r="BB668" i="22" s="1"/>
  <c r="N669" i="22"/>
  <c r="V669" i="22"/>
  <c r="BB669" i="22" s="1"/>
  <c r="N662" i="22"/>
  <c r="V662" i="22"/>
  <c r="BJ662" i="22" s="1"/>
  <c r="N667" i="22"/>
  <c r="V667" i="22"/>
  <c r="BJ667" i="22" s="1"/>
  <c r="N666" i="22"/>
  <c r="V666" i="22"/>
  <c r="BJ666" i="22" s="1"/>
  <c r="N665" i="22"/>
  <c r="V665" i="22"/>
  <c r="BB665" i="22" s="1"/>
  <c r="N664" i="22"/>
  <c r="V664" i="22"/>
  <c r="BB664" i="22" s="1"/>
  <c r="BI667" i="22"/>
  <c r="BD667" i="22"/>
  <c r="BI666" i="22"/>
  <c r="BD666" i="22"/>
  <c r="BI665" i="22"/>
  <c r="BD665" i="22"/>
  <c r="BD664" i="22"/>
  <c r="BI664" i="22"/>
  <c r="BI668" i="22"/>
  <c r="BD668" i="22"/>
  <c r="BI671" i="22"/>
  <c r="BD671" i="22"/>
  <c r="BI670" i="22"/>
  <c r="BD670" i="22"/>
  <c r="BI669" i="22"/>
  <c r="BD669" i="22"/>
  <c r="BA674" i="22"/>
  <c r="BE674" i="22" s="1"/>
  <c r="BA673" i="22"/>
  <c r="BE673" i="22" s="1"/>
  <c r="BA676" i="22"/>
  <c r="BE676" i="22" s="1"/>
  <c r="BA675" i="22"/>
  <c r="BE675" i="22" s="1"/>
  <c r="BA672" i="22"/>
  <c r="BE672" i="22" s="1"/>
  <c r="BA671" i="22"/>
  <c r="BE671" i="22" s="1"/>
  <c r="BA670" i="22"/>
  <c r="BE670" i="22" s="1"/>
  <c r="BA669" i="22"/>
  <c r="BE669" i="22" s="1"/>
  <c r="BA668" i="22"/>
  <c r="BE668" i="22" s="1"/>
  <c r="BA667" i="22"/>
  <c r="BE667" i="22" s="1"/>
  <c r="BA649" i="22"/>
  <c r="BE649" i="22" s="1"/>
  <c r="BA619" i="22"/>
  <c r="BE619" i="22" s="1"/>
  <c r="BA653" i="22"/>
  <c r="BA642" i="22"/>
  <c r="BE642" i="22" s="1"/>
  <c r="BA661" i="22"/>
  <c r="BE661" i="22" s="1"/>
  <c r="BA660" i="22"/>
  <c r="BE660" i="22" s="1"/>
  <c r="BA659" i="22"/>
  <c r="BE659" i="22" s="1"/>
  <c r="BA658" i="22"/>
  <c r="BE658" i="22" s="1"/>
  <c r="BA657" i="22"/>
  <c r="BE657" i="22" s="1"/>
  <c r="BA656" i="22"/>
  <c r="BE656" i="22" s="1"/>
  <c r="BA655" i="22"/>
  <c r="BE655" i="22" s="1"/>
  <c r="BA654" i="22"/>
  <c r="BA652" i="22"/>
  <c r="BA651" i="22"/>
  <c r="BE651" i="22" s="1"/>
  <c r="BA650" i="22"/>
  <c r="BE650" i="22" s="1"/>
  <c r="BA648" i="22"/>
  <c r="BE648" i="22" s="1"/>
  <c r="BA647" i="22"/>
  <c r="BE647" i="22" s="1"/>
  <c r="BA646" i="22"/>
  <c r="BA645" i="22"/>
  <c r="BE645" i="22" s="1"/>
  <c r="BA644" i="22"/>
  <c r="BE644" i="22" s="1"/>
  <c r="BA643" i="22"/>
  <c r="BE643" i="22" s="1"/>
  <c r="BA641" i="22"/>
  <c r="BE641" i="22" s="1"/>
  <c r="BA640" i="22"/>
  <c r="BE640" i="22" s="1"/>
  <c r="BA639" i="22"/>
  <c r="BA638" i="22"/>
  <c r="BA637" i="22"/>
  <c r="BA636" i="22"/>
  <c r="BE636" i="22" s="1"/>
  <c r="BA635" i="22"/>
  <c r="BA628" i="22"/>
  <c r="BE628" i="22" s="1"/>
  <c r="BA605" i="22"/>
  <c r="BE605" i="22" s="1"/>
  <c r="BA613" i="22"/>
  <c r="BA612" i="22"/>
  <c r="BE612" i="22" s="1"/>
  <c r="BA614" i="22"/>
  <c r="BE614" i="22" s="1"/>
  <c r="BA611" i="22"/>
  <c r="BE611" i="22" s="1"/>
  <c r="BA626" i="22"/>
  <c r="BE626" i="22" s="1"/>
  <c r="BA623" i="22"/>
  <c r="BE623" i="22" s="1"/>
  <c r="BA634" i="22"/>
  <c r="BA633" i="22"/>
  <c r="BA632" i="22"/>
  <c r="BE632" i="22" s="1"/>
  <c r="BA631" i="22"/>
  <c r="BA630" i="22"/>
  <c r="BE630" i="22" s="1"/>
  <c r="BA629" i="22"/>
  <c r="BE629" i="22" s="1"/>
  <c r="BA627" i="22"/>
  <c r="BA625" i="22"/>
  <c r="BE625" i="22" s="1"/>
  <c r="BA624" i="22"/>
  <c r="BE624" i="22" s="1"/>
  <c r="BA622" i="22"/>
  <c r="BA621" i="22"/>
  <c r="BE621" i="22" s="1"/>
  <c r="BA620" i="22"/>
  <c r="BE620" i="22" s="1"/>
  <c r="BA618" i="22"/>
  <c r="BE618" i="22" s="1"/>
  <c r="BA617" i="22"/>
  <c r="BE617" i="22" s="1"/>
  <c r="BA616" i="22"/>
  <c r="BE616" i="22" s="1"/>
  <c r="BA615" i="22"/>
  <c r="BE615" i="22" s="1"/>
  <c r="BA610" i="22"/>
  <c r="BE610" i="22" s="1"/>
  <c r="BA609" i="22"/>
  <c r="BE609" i="22" s="1"/>
  <c r="BA608" i="22"/>
  <c r="BE608" i="22" s="1"/>
  <c r="BA607" i="22"/>
  <c r="BE607" i="22" s="1"/>
  <c r="BA606" i="22"/>
  <c r="BE606" i="22" s="1"/>
  <c r="BA604" i="22"/>
  <c r="BE604" i="22" s="1"/>
  <c r="BS666" i="22" l="1"/>
  <c r="O666" i="22"/>
  <c r="BS662" i="22"/>
  <c r="O662" i="22"/>
  <c r="BS670" i="22"/>
  <c r="O670" i="22"/>
  <c r="BS667" i="22"/>
  <c r="O667" i="22"/>
  <c r="BS669" i="22"/>
  <c r="O669" i="22"/>
  <c r="BS665" i="22"/>
  <c r="O665" i="22"/>
  <c r="BS668" i="22"/>
  <c r="O668" i="22"/>
  <c r="BS671" i="22"/>
  <c r="O671" i="22"/>
  <c r="BS664" i="22"/>
  <c r="O664" i="22"/>
  <c r="BJ671" i="22"/>
  <c r="BQ671" i="22" s="1"/>
  <c r="BG664" i="22"/>
  <c r="BD663" i="22"/>
  <c r="BR663" i="22" s="1"/>
  <c r="BJ664" i="22"/>
  <c r="BQ664" i="22" s="1"/>
  <c r="BJ663" i="22"/>
  <c r="BQ663" i="22" s="1"/>
  <c r="BG663" i="22"/>
  <c r="BD672" i="22"/>
  <c r="BJ669" i="22"/>
  <c r="BQ669" i="22" s="1"/>
  <c r="BJ670" i="22"/>
  <c r="BQ670" i="22" s="1"/>
  <c r="BJ668" i="22"/>
  <c r="BQ668" i="22" s="1"/>
  <c r="BJ665" i="22"/>
  <c r="BQ665" i="22" s="1"/>
  <c r="BQ667" i="22"/>
  <c r="BB662" i="22"/>
  <c r="BG666" i="22"/>
  <c r="BB666" i="22"/>
  <c r="BR666" i="22" s="1"/>
  <c r="BG662" i="22"/>
  <c r="BB667" i="22"/>
  <c r="BR667" i="22" s="1"/>
  <c r="BG665" i="22"/>
  <c r="BR665" i="22"/>
  <c r="BR669" i="22"/>
  <c r="BR664" i="22"/>
  <c r="BQ666" i="22"/>
  <c r="BR668" i="22"/>
  <c r="BI662" i="22"/>
  <c r="BQ662" i="22" s="1"/>
  <c r="BD662" i="22"/>
  <c r="BR670" i="22"/>
  <c r="BR671" i="22"/>
  <c r="BE653" i="22"/>
  <c r="BG672" i="22"/>
  <c r="BG670" i="22"/>
  <c r="BE654" i="22"/>
  <c r="BG671" i="22"/>
  <c r="BJ672" i="22"/>
  <c r="BQ672" i="22" s="1"/>
  <c r="BB672" i="22"/>
  <c r="BG669" i="22"/>
  <c r="BE638" i="22"/>
  <c r="BG668" i="22"/>
  <c r="BG667" i="22"/>
  <c r="BE613" i="22"/>
  <c r="BE635" i="22"/>
  <c r="BE652" i="22"/>
  <c r="BE646" i="22"/>
  <c r="BE639" i="22"/>
  <c r="BE637" i="22"/>
  <c r="BE634" i="22"/>
  <c r="BE633" i="22"/>
  <c r="BE631" i="22"/>
  <c r="BE627" i="22"/>
  <c r="BE622" i="22"/>
  <c r="BR662" i="22" l="1"/>
  <c r="BR672" i="22"/>
  <c r="AG600" i="22"/>
  <c r="AJ600" i="22" s="1"/>
  <c r="AK600" i="22" s="1"/>
  <c r="AG601" i="22"/>
  <c r="AJ601" i="22" s="1"/>
  <c r="AK601" i="22" s="1"/>
  <c r="AG589" i="22"/>
  <c r="AJ589" i="22" s="1"/>
  <c r="AK589" i="22" s="1"/>
  <c r="AG590" i="22"/>
  <c r="AJ590" i="22" s="1"/>
  <c r="AK590" i="22" s="1"/>
  <c r="AG591" i="22"/>
  <c r="AJ591" i="22" s="1"/>
  <c r="AK591" i="22" s="1"/>
  <c r="AG592" i="22"/>
  <c r="AJ592" i="22" s="1"/>
  <c r="AK592" i="22" s="1"/>
  <c r="AG593" i="22"/>
  <c r="AJ593" i="22" s="1"/>
  <c r="AK593" i="22" s="1"/>
  <c r="AG594" i="22"/>
  <c r="AJ594" i="22" s="1"/>
  <c r="AK594" i="22" s="1"/>
  <c r="AG595" i="22"/>
  <c r="BH595" i="22" s="1"/>
  <c r="AG596" i="22"/>
  <c r="AJ596" i="22" s="1"/>
  <c r="AK596" i="22" s="1"/>
  <c r="AG598" i="22"/>
  <c r="AJ598" i="22" s="1"/>
  <c r="AK598" i="22" s="1"/>
  <c r="AG599" i="22"/>
  <c r="AJ599" i="22" s="1"/>
  <c r="AK599" i="22" s="1"/>
  <c r="AG588" i="22"/>
  <c r="AJ588" i="22" s="1"/>
  <c r="AK588" i="22" s="1"/>
  <c r="AV588" i="22"/>
  <c r="AW588" i="22"/>
  <c r="AX588" i="22"/>
  <c r="AY588" i="22"/>
  <c r="AZ588" i="22"/>
  <c r="BF588" i="22"/>
  <c r="BK588" i="22"/>
  <c r="BL588" i="22"/>
  <c r="BM588" i="22"/>
  <c r="BN588" i="22"/>
  <c r="BO588" i="22"/>
  <c r="BP588" i="22"/>
  <c r="AV589" i="22"/>
  <c r="AW589" i="22"/>
  <c r="AX589" i="22"/>
  <c r="AY589" i="22"/>
  <c r="AZ589" i="22"/>
  <c r="BB589" i="22"/>
  <c r="BF589" i="22"/>
  <c r="BJ589" i="22"/>
  <c r="BK589" i="22"/>
  <c r="BL589" i="22"/>
  <c r="BM589" i="22"/>
  <c r="BN589" i="22"/>
  <c r="BO589" i="22"/>
  <c r="BP589" i="22"/>
  <c r="AV590" i="22"/>
  <c r="AW590" i="22"/>
  <c r="AX590" i="22"/>
  <c r="AY590" i="22"/>
  <c r="AZ590" i="22"/>
  <c r="BB590" i="22"/>
  <c r="BF590" i="22"/>
  <c r="BJ590" i="22"/>
  <c r="BK590" i="22"/>
  <c r="BL590" i="22"/>
  <c r="BM590" i="22"/>
  <c r="BN590" i="22"/>
  <c r="BO590" i="22"/>
  <c r="BP590" i="22"/>
  <c r="AV591" i="22"/>
  <c r="AW591" i="22"/>
  <c r="AX591" i="22"/>
  <c r="AY591" i="22"/>
  <c r="AZ591" i="22"/>
  <c r="BB591" i="22"/>
  <c r="BF591" i="22"/>
  <c r="BJ591" i="22"/>
  <c r="BK591" i="22"/>
  <c r="BL591" i="22"/>
  <c r="BM591" i="22"/>
  <c r="BN591" i="22"/>
  <c r="BO591" i="22"/>
  <c r="BP591" i="22"/>
  <c r="AV592" i="22"/>
  <c r="AW592" i="22"/>
  <c r="AX592" i="22"/>
  <c r="AY592" i="22"/>
  <c r="AZ592" i="22"/>
  <c r="BB592" i="22"/>
  <c r="BF592" i="22"/>
  <c r="BJ592" i="22"/>
  <c r="BK592" i="22"/>
  <c r="BL592" i="22"/>
  <c r="BM592" i="22"/>
  <c r="BN592" i="22"/>
  <c r="BO592" i="22"/>
  <c r="BP592" i="22"/>
  <c r="AV593" i="22"/>
  <c r="AW593" i="22"/>
  <c r="AX593" i="22"/>
  <c r="AY593" i="22"/>
  <c r="AZ593" i="22"/>
  <c r="BB593" i="22"/>
  <c r="BF593" i="22"/>
  <c r="BJ593" i="22"/>
  <c r="BK593" i="22"/>
  <c r="BL593" i="22"/>
  <c r="BM593" i="22"/>
  <c r="BN593" i="22"/>
  <c r="BO593" i="22"/>
  <c r="BP593" i="22"/>
  <c r="AV594" i="22"/>
  <c r="AW594" i="22"/>
  <c r="AX594" i="22"/>
  <c r="AY594" i="22"/>
  <c r="AZ594" i="22"/>
  <c r="BB594" i="22"/>
  <c r="BF594" i="22"/>
  <c r="BJ594" i="22"/>
  <c r="BK594" i="22"/>
  <c r="BL594" i="22"/>
  <c r="BM594" i="22"/>
  <c r="BN594" i="22"/>
  <c r="BO594" i="22"/>
  <c r="BP594" i="22"/>
  <c r="AV595" i="22"/>
  <c r="AW595" i="22"/>
  <c r="AX595" i="22"/>
  <c r="AY595" i="22"/>
  <c r="AZ595" i="22"/>
  <c r="BB595" i="22"/>
  <c r="BF595" i="22"/>
  <c r="BJ595" i="22"/>
  <c r="BK595" i="22"/>
  <c r="BL595" i="22"/>
  <c r="BM595" i="22"/>
  <c r="BN595" i="22"/>
  <c r="BO595" i="22"/>
  <c r="BP595" i="22"/>
  <c r="AV596" i="22"/>
  <c r="AW596" i="22"/>
  <c r="AX596" i="22"/>
  <c r="AY596" i="22"/>
  <c r="AZ596" i="22"/>
  <c r="BB596" i="22"/>
  <c r="BF596" i="22"/>
  <c r="BJ596" i="22"/>
  <c r="BK596" i="22"/>
  <c r="BL596" i="22"/>
  <c r="BM596" i="22"/>
  <c r="BN596" i="22"/>
  <c r="BO596" i="22"/>
  <c r="BP596" i="22"/>
  <c r="AV597" i="22"/>
  <c r="AW597" i="22"/>
  <c r="AX597" i="22"/>
  <c r="AY597" i="22"/>
  <c r="AZ597" i="22"/>
  <c r="BB597" i="22"/>
  <c r="BF597" i="22"/>
  <c r="BJ597" i="22"/>
  <c r="BK597" i="22"/>
  <c r="BL597" i="22"/>
  <c r="BM597" i="22"/>
  <c r="BN597" i="22"/>
  <c r="BO597" i="22"/>
  <c r="BP597" i="22"/>
  <c r="AV598" i="22"/>
  <c r="AW598" i="22"/>
  <c r="AX598" i="22"/>
  <c r="AY598" i="22"/>
  <c r="AZ598" i="22"/>
  <c r="BF598" i="22"/>
  <c r="BK598" i="22"/>
  <c r="BL598" i="22"/>
  <c r="BM598" i="22"/>
  <c r="BN598" i="22"/>
  <c r="BO598" i="22"/>
  <c r="BP598" i="22"/>
  <c r="AV599" i="22"/>
  <c r="AW599" i="22"/>
  <c r="AX599" i="22"/>
  <c r="AY599" i="22"/>
  <c r="AZ599" i="22"/>
  <c r="BF599" i="22"/>
  <c r="BK599" i="22"/>
  <c r="BL599" i="22"/>
  <c r="BM599" i="22"/>
  <c r="BN599" i="22"/>
  <c r="BO599" i="22"/>
  <c r="BP599" i="22"/>
  <c r="AV600" i="22"/>
  <c r="AW600" i="22"/>
  <c r="AX600" i="22"/>
  <c r="AY600" i="22"/>
  <c r="AZ600" i="22"/>
  <c r="BF600" i="22"/>
  <c r="BK600" i="22"/>
  <c r="BL600" i="22"/>
  <c r="BM600" i="22"/>
  <c r="BN600" i="22"/>
  <c r="BO600" i="22"/>
  <c r="BP600" i="22"/>
  <c r="AV601" i="22"/>
  <c r="AW601" i="22"/>
  <c r="AX601" i="22"/>
  <c r="AY601" i="22"/>
  <c r="AZ601" i="22"/>
  <c r="BF601" i="22"/>
  <c r="BK601" i="22"/>
  <c r="BL601" i="22"/>
  <c r="BM601" i="22"/>
  <c r="BN601" i="22"/>
  <c r="BO601" i="22"/>
  <c r="BP601" i="22"/>
  <c r="AV602" i="22"/>
  <c r="AW602" i="22"/>
  <c r="AX602" i="22"/>
  <c r="AY602" i="22"/>
  <c r="AZ602" i="22"/>
  <c r="BF602" i="22"/>
  <c r="BK602" i="22"/>
  <c r="BL602" i="22"/>
  <c r="BM602" i="22"/>
  <c r="BN602" i="22"/>
  <c r="BO602" i="22"/>
  <c r="BP602" i="22"/>
  <c r="AV603" i="22"/>
  <c r="AW603" i="22"/>
  <c r="AX603" i="22"/>
  <c r="AY603" i="22"/>
  <c r="AZ603" i="22"/>
  <c r="BF603" i="22"/>
  <c r="BH603" i="22"/>
  <c r="BK603" i="22"/>
  <c r="BL603" i="22"/>
  <c r="BM603" i="22"/>
  <c r="BN603" i="22"/>
  <c r="BO603" i="22"/>
  <c r="BP603" i="22"/>
  <c r="P620" i="22"/>
  <c r="P613" i="22"/>
  <c r="K609" i="22"/>
  <c r="M609" i="22" s="1"/>
  <c r="Z609" i="22" s="1"/>
  <c r="K610" i="22"/>
  <c r="M610" i="22" s="1"/>
  <c r="Z610" i="22" s="1"/>
  <c r="K611" i="22"/>
  <c r="M611" i="22" s="1"/>
  <c r="Z611" i="22" s="1"/>
  <c r="K612" i="22"/>
  <c r="M612" i="22" s="1"/>
  <c r="Z612" i="22" s="1"/>
  <c r="K613" i="22"/>
  <c r="M613" i="22" s="1"/>
  <c r="K614" i="22"/>
  <c r="M614" i="22" s="1"/>
  <c r="Z614" i="22" s="1"/>
  <c r="K615" i="22"/>
  <c r="M615" i="22" s="1"/>
  <c r="Z615" i="22" s="1"/>
  <c r="K616" i="22"/>
  <c r="M616" i="22" s="1"/>
  <c r="Z616" i="22" s="1"/>
  <c r="K617" i="22"/>
  <c r="M617" i="22" s="1"/>
  <c r="Z617" i="22" s="1"/>
  <c r="K618" i="22"/>
  <c r="M618" i="22" s="1"/>
  <c r="K619" i="22"/>
  <c r="M619" i="22" s="1"/>
  <c r="Z619" i="22" s="1"/>
  <c r="K620" i="22"/>
  <c r="M620" i="22" s="1"/>
  <c r="K621" i="22"/>
  <c r="M621" i="22" s="1"/>
  <c r="Z621" i="22" s="1"/>
  <c r="K622" i="22"/>
  <c r="M622" i="22" s="1"/>
  <c r="Z622" i="22" s="1"/>
  <c r="K623" i="22"/>
  <c r="M623" i="22" s="1"/>
  <c r="Z623" i="22" s="1"/>
  <c r="K624" i="22"/>
  <c r="M624" i="22" s="1"/>
  <c r="K625" i="22"/>
  <c r="M625" i="22" s="1"/>
  <c r="Z625" i="22" s="1"/>
  <c r="K626" i="22"/>
  <c r="M626" i="22" s="1"/>
  <c r="K627" i="22"/>
  <c r="M627" i="22" s="1"/>
  <c r="Z627" i="22" s="1"/>
  <c r="K628" i="22"/>
  <c r="M628" i="22" s="1"/>
  <c r="Z628" i="22" s="1"/>
  <c r="K629" i="22"/>
  <c r="M629" i="22" s="1"/>
  <c r="Z629" i="22" s="1"/>
  <c r="K630" i="22"/>
  <c r="M630" i="22" s="1"/>
  <c r="Z630" i="22" s="1"/>
  <c r="K631" i="22"/>
  <c r="M631" i="22" s="1"/>
  <c r="Z631" i="22" s="1"/>
  <c r="K632" i="22"/>
  <c r="M632" i="22" s="1"/>
  <c r="Z632" i="22" s="1"/>
  <c r="K633" i="22"/>
  <c r="M633" i="22" s="1"/>
  <c r="Z633" i="22" s="1"/>
  <c r="K634" i="22"/>
  <c r="M634" i="22" s="1"/>
  <c r="Z634" i="22" s="1"/>
  <c r="K635" i="22"/>
  <c r="M635" i="22" s="1"/>
  <c r="Z635" i="22" s="1"/>
  <c r="K636" i="22"/>
  <c r="M636" i="22" s="1"/>
  <c r="Z636" i="22" s="1"/>
  <c r="K637" i="22"/>
  <c r="M637" i="22" s="1"/>
  <c r="Z637" i="22" s="1"/>
  <c r="K638" i="22"/>
  <c r="M638" i="22" s="1"/>
  <c r="Z638" i="22" s="1"/>
  <c r="K639" i="22"/>
  <c r="M639" i="22" s="1"/>
  <c r="Z639" i="22" s="1"/>
  <c r="K640" i="22"/>
  <c r="M640" i="22" s="1"/>
  <c r="Z640" i="22" s="1"/>
  <c r="K641" i="22"/>
  <c r="M641" i="22" s="1"/>
  <c r="Z641" i="22" s="1"/>
  <c r="K642" i="22"/>
  <c r="M642" i="22" s="1"/>
  <c r="Z642" i="22" s="1"/>
  <c r="K643" i="22"/>
  <c r="M643" i="22" s="1"/>
  <c r="K644" i="22"/>
  <c r="M644" i="22" s="1"/>
  <c r="Z644" i="22" s="1"/>
  <c r="K645" i="22"/>
  <c r="M645" i="22" s="1"/>
  <c r="Z645" i="22" s="1"/>
  <c r="K646" i="22"/>
  <c r="M646" i="22" s="1"/>
  <c r="Z646" i="22" s="1"/>
  <c r="K647" i="22"/>
  <c r="M647" i="22" s="1"/>
  <c r="Z647" i="22" s="1"/>
  <c r="K648" i="22"/>
  <c r="M648" i="22" s="1"/>
  <c r="K649" i="22"/>
  <c r="M649" i="22" s="1"/>
  <c r="Z649" i="22" s="1"/>
  <c r="K650" i="22"/>
  <c r="M650" i="22" s="1"/>
  <c r="Z650" i="22" s="1"/>
  <c r="K651" i="22"/>
  <c r="M651" i="22" s="1"/>
  <c r="Z651" i="22" s="1"/>
  <c r="K652" i="22"/>
  <c r="M652" i="22" s="1"/>
  <c r="Z652" i="22" s="1"/>
  <c r="K653" i="22"/>
  <c r="M653" i="22" s="1"/>
  <c r="Z653" i="22" s="1"/>
  <c r="K654" i="22"/>
  <c r="M654" i="22" s="1"/>
  <c r="K655" i="22"/>
  <c r="M655" i="22" s="1"/>
  <c r="Z655" i="22" s="1"/>
  <c r="K656" i="22"/>
  <c r="M656" i="22" s="1"/>
  <c r="Z656" i="22" s="1"/>
  <c r="K657" i="22"/>
  <c r="M657" i="22" s="1"/>
  <c r="Z657" i="22" s="1"/>
  <c r="K658" i="22"/>
  <c r="K659" i="22"/>
  <c r="M659" i="22" s="1"/>
  <c r="K660" i="22"/>
  <c r="K661" i="22"/>
  <c r="M661" i="22" s="1"/>
  <c r="Z661" i="22" s="1"/>
  <c r="N663" i="22"/>
  <c r="N672" i="22"/>
  <c r="M673" i="22"/>
  <c r="Z673" i="22" s="1"/>
  <c r="M674" i="22"/>
  <c r="Z674" i="22" s="1"/>
  <c r="M676" i="22"/>
  <c r="Z676" i="22" s="1"/>
  <c r="K608" i="22"/>
  <c r="M608" i="22" s="1"/>
  <c r="Z608" i="22" s="1"/>
  <c r="K607" i="22"/>
  <c r="M607" i="22" s="1"/>
  <c r="Z607" i="22" s="1"/>
  <c r="M980" i="22"/>
  <c r="Z980" i="22" s="1"/>
  <c r="K982" i="22"/>
  <c r="M982" i="22" s="1"/>
  <c r="Z982" i="22" s="1"/>
  <c r="K983" i="22"/>
  <c r="M983" i="22" s="1"/>
  <c r="Z983" i="22" s="1"/>
  <c r="K984" i="22"/>
  <c r="M984" i="22" s="1"/>
  <c r="Z984" i="22" s="1"/>
  <c r="K985" i="22"/>
  <c r="M985" i="22" s="1"/>
  <c r="Z985" i="22" s="1"/>
  <c r="K986" i="22"/>
  <c r="M986" i="22" s="1"/>
  <c r="Z986" i="22" s="1"/>
  <c r="K987" i="22"/>
  <c r="M987" i="22" s="1"/>
  <c r="Z987" i="22" s="1"/>
  <c r="K988" i="22"/>
  <c r="M988" i="22" s="1"/>
  <c r="Z988" i="22" s="1"/>
  <c r="K989" i="22"/>
  <c r="M989" i="22" s="1"/>
  <c r="Z989" i="22" s="1"/>
  <c r="K990" i="22"/>
  <c r="M990" i="22" s="1"/>
  <c r="Z990" i="22" s="1"/>
  <c r="K991" i="22"/>
  <c r="M991" i="22" s="1"/>
  <c r="Z991" i="22" s="1"/>
  <c r="K992" i="22"/>
  <c r="M992" i="22" s="1"/>
  <c r="Z992" i="22" s="1"/>
  <c r="K993" i="22"/>
  <c r="M993" i="22" s="1"/>
  <c r="Z993" i="22" s="1"/>
  <c r="K994" i="22"/>
  <c r="M994" i="22" s="1"/>
  <c r="Z994" i="22" s="1"/>
  <c r="K995" i="22"/>
  <c r="M995" i="22" s="1"/>
  <c r="Z995" i="22" s="1"/>
  <c r="K996" i="22"/>
  <c r="M996" i="22" s="1"/>
  <c r="Z996" i="22" s="1"/>
  <c r="K997" i="22"/>
  <c r="M997" i="22" s="1"/>
  <c r="Z997" i="22" s="1"/>
  <c r="K998" i="22"/>
  <c r="M998" i="22" s="1"/>
  <c r="Z998" i="22" s="1"/>
  <c r="K999" i="22"/>
  <c r="M999" i="22" s="1"/>
  <c r="Z999" i="22" s="1"/>
  <c r="K1000" i="22"/>
  <c r="M1000" i="22" s="1"/>
  <c r="Z1000" i="22" s="1"/>
  <c r="K1001" i="22"/>
  <c r="M1001" i="22" s="1"/>
  <c r="Z1001" i="22" s="1"/>
  <c r="K1002" i="22"/>
  <c r="M1002" i="22" s="1"/>
  <c r="Z1002" i="22" s="1"/>
  <c r="K1003" i="22"/>
  <c r="M1003" i="22" s="1"/>
  <c r="Z1003" i="22" s="1"/>
  <c r="K1004" i="22"/>
  <c r="M1004" i="22" s="1"/>
  <c r="Z1004" i="22" s="1"/>
  <c r="K1005" i="22"/>
  <c r="M1005" i="22" s="1"/>
  <c r="Z1005" i="22" s="1"/>
  <c r="K1006" i="22"/>
  <c r="M1006" i="22" s="1"/>
  <c r="Z1006" i="22" s="1"/>
  <c r="K1007" i="22"/>
  <c r="M1007" i="22" s="1"/>
  <c r="Z1007" i="22" s="1"/>
  <c r="K1008" i="22"/>
  <c r="M1008" i="22" s="1"/>
  <c r="Z1008" i="22" s="1"/>
  <c r="K1009" i="22"/>
  <c r="M1009" i="22" s="1"/>
  <c r="Z1009" i="22" s="1"/>
  <c r="K1010" i="22"/>
  <c r="M1010" i="22" s="1"/>
  <c r="Z1010" i="22" s="1"/>
  <c r="K1011" i="22"/>
  <c r="M1011" i="22" s="1"/>
  <c r="Z1011" i="22" s="1"/>
  <c r="K1012" i="22"/>
  <c r="M1012" i="22" s="1"/>
  <c r="Z1012" i="22" s="1"/>
  <c r="K1013" i="22"/>
  <c r="M1013" i="22" s="1"/>
  <c r="Z1013" i="22" s="1"/>
  <c r="K1014" i="22"/>
  <c r="M1014" i="22" s="1"/>
  <c r="Z1014" i="22" s="1"/>
  <c r="K1015" i="22"/>
  <c r="M1015" i="22" s="1"/>
  <c r="Z1015" i="22" s="1"/>
  <c r="K1016" i="22"/>
  <c r="M1016" i="22" s="1"/>
  <c r="Z1016" i="22" s="1"/>
  <c r="K1017" i="22"/>
  <c r="M1017" i="22" s="1"/>
  <c r="Z1017" i="22" s="1"/>
  <c r="K1018" i="22"/>
  <c r="M1018" i="22" s="1"/>
  <c r="Z1018" i="22" s="1"/>
  <c r="K1019" i="22"/>
  <c r="M1019" i="22" s="1"/>
  <c r="Z1019" i="22" s="1"/>
  <c r="K981" i="22"/>
  <c r="M981" i="22" s="1"/>
  <c r="Z981" i="22" s="1"/>
  <c r="M885" i="22"/>
  <c r="Z885" i="22" s="1"/>
  <c r="M912" i="22"/>
  <c r="Z912" i="22" s="1"/>
  <c r="M948" i="22"/>
  <c r="Z948" i="22" s="1"/>
  <c r="K966" i="22"/>
  <c r="M966" i="22" s="1"/>
  <c r="Z966" i="22" s="1"/>
  <c r="K967" i="22"/>
  <c r="M967" i="22" s="1"/>
  <c r="Z967" i="22" s="1"/>
  <c r="K968" i="22"/>
  <c r="M968" i="22" s="1"/>
  <c r="Z968" i="22" s="1"/>
  <c r="K969" i="22"/>
  <c r="M969" i="22" s="1"/>
  <c r="Z969" i="22" s="1"/>
  <c r="K970" i="22"/>
  <c r="M970" i="22" s="1"/>
  <c r="Z970" i="22" s="1"/>
  <c r="K971" i="22"/>
  <c r="M971" i="22" s="1"/>
  <c r="Z971" i="22" s="1"/>
  <c r="K972" i="22"/>
  <c r="M972" i="22" s="1"/>
  <c r="Z972" i="22" s="1"/>
  <c r="K973" i="22"/>
  <c r="M973" i="22" s="1"/>
  <c r="Z973" i="22" s="1"/>
  <c r="K974" i="22"/>
  <c r="M974" i="22" s="1"/>
  <c r="Z974" i="22" s="1"/>
  <c r="K975" i="22"/>
  <c r="M975" i="22" s="1"/>
  <c r="Z975" i="22" s="1"/>
  <c r="K976" i="22"/>
  <c r="M976" i="22" s="1"/>
  <c r="Z976" i="22" s="1"/>
  <c r="K977" i="22"/>
  <c r="M977" i="22" s="1"/>
  <c r="Z977" i="22" s="1"/>
  <c r="K978" i="22"/>
  <c r="M978" i="22" s="1"/>
  <c r="Z978" i="22" s="1"/>
  <c r="K979" i="22"/>
  <c r="M979" i="22" s="1"/>
  <c r="Z979" i="22" s="1"/>
  <c r="K952" i="22"/>
  <c r="M952" i="22" s="1"/>
  <c r="Z952" i="22" s="1"/>
  <c r="K953" i="22"/>
  <c r="M953" i="22" s="1"/>
  <c r="Z953" i="22" s="1"/>
  <c r="K954" i="22"/>
  <c r="M954" i="22" s="1"/>
  <c r="Z954" i="22" s="1"/>
  <c r="K955" i="22"/>
  <c r="M955" i="22" s="1"/>
  <c r="Z955" i="22" s="1"/>
  <c r="K956" i="22"/>
  <c r="M956" i="22" s="1"/>
  <c r="Z956" i="22" s="1"/>
  <c r="K957" i="22"/>
  <c r="M957" i="22" s="1"/>
  <c r="Z957" i="22" s="1"/>
  <c r="K958" i="22"/>
  <c r="M958" i="22" s="1"/>
  <c r="Z958" i="22" s="1"/>
  <c r="K959" i="22"/>
  <c r="M959" i="22" s="1"/>
  <c r="Z959" i="22" s="1"/>
  <c r="K960" i="22"/>
  <c r="M960" i="22" s="1"/>
  <c r="Z960" i="22" s="1"/>
  <c r="K961" i="22"/>
  <c r="M961" i="22" s="1"/>
  <c r="Z961" i="22" s="1"/>
  <c r="K962" i="22"/>
  <c r="M962" i="22" s="1"/>
  <c r="Z962" i="22" s="1"/>
  <c r="K963" i="22"/>
  <c r="M963" i="22" s="1"/>
  <c r="Z963" i="22" s="1"/>
  <c r="K964" i="22"/>
  <c r="M964" i="22" s="1"/>
  <c r="Z964" i="22" s="1"/>
  <c r="K965" i="22"/>
  <c r="M965" i="22" s="1"/>
  <c r="Z965" i="22" s="1"/>
  <c r="K950" i="22"/>
  <c r="M950" i="22" s="1"/>
  <c r="Z950" i="22" s="1"/>
  <c r="K951" i="22"/>
  <c r="M951" i="22" s="1"/>
  <c r="Z951" i="22" s="1"/>
  <c r="K949" i="22"/>
  <c r="M949" i="22" s="1"/>
  <c r="Z949" i="22" s="1"/>
  <c r="K914" i="22"/>
  <c r="M914" i="22" s="1"/>
  <c r="Z914" i="22" s="1"/>
  <c r="K915" i="22"/>
  <c r="M915" i="22" s="1"/>
  <c r="Z915" i="22" s="1"/>
  <c r="K916" i="22"/>
  <c r="M916" i="22" s="1"/>
  <c r="Z916" i="22" s="1"/>
  <c r="K917" i="22"/>
  <c r="M917" i="22" s="1"/>
  <c r="Z917" i="22" s="1"/>
  <c r="K918" i="22"/>
  <c r="M918" i="22" s="1"/>
  <c r="Z918" i="22" s="1"/>
  <c r="K919" i="22"/>
  <c r="M919" i="22" s="1"/>
  <c r="Z919" i="22" s="1"/>
  <c r="K920" i="22"/>
  <c r="M920" i="22" s="1"/>
  <c r="Z920" i="22" s="1"/>
  <c r="K921" i="22"/>
  <c r="M921" i="22" s="1"/>
  <c r="Z921" i="22" s="1"/>
  <c r="K922" i="22"/>
  <c r="M922" i="22" s="1"/>
  <c r="Z922" i="22" s="1"/>
  <c r="K923" i="22"/>
  <c r="M923" i="22" s="1"/>
  <c r="Z923" i="22" s="1"/>
  <c r="K924" i="22"/>
  <c r="M924" i="22" s="1"/>
  <c r="Z924" i="22" s="1"/>
  <c r="K925" i="22"/>
  <c r="M925" i="22" s="1"/>
  <c r="Z925" i="22" s="1"/>
  <c r="K926" i="22"/>
  <c r="M926" i="22" s="1"/>
  <c r="Z926" i="22" s="1"/>
  <c r="K927" i="22"/>
  <c r="M927" i="22" s="1"/>
  <c r="Z927" i="22" s="1"/>
  <c r="K928" i="22"/>
  <c r="M928" i="22" s="1"/>
  <c r="Z928" i="22" s="1"/>
  <c r="K929" i="22"/>
  <c r="M929" i="22" s="1"/>
  <c r="Z929" i="22" s="1"/>
  <c r="K930" i="22"/>
  <c r="M930" i="22" s="1"/>
  <c r="Z930" i="22" s="1"/>
  <c r="K931" i="22"/>
  <c r="M931" i="22" s="1"/>
  <c r="Z931" i="22" s="1"/>
  <c r="K932" i="22"/>
  <c r="M932" i="22" s="1"/>
  <c r="Z932" i="22" s="1"/>
  <c r="K933" i="22"/>
  <c r="M933" i="22" s="1"/>
  <c r="Z933" i="22" s="1"/>
  <c r="K934" i="22"/>
  <c r="M934" i="22" s="1"/>
  <c r="Z934" i="22" s="1"/>
  <c r="K935" i="22"/>
  <c r="M935" i="22" s="1"/>
  <c r="Z935" i="22" s="1"/>
  <c r="K936" i="22"/>
  <c r="M936" i="22" s="1"/>
  <c r="Z936" i="22" s="1"/>
  <c r="K937" i="22"/>
  <c r="M937" i="22" s="1"/>
  <c r="Z937" i="22" s="1"/>
  <c r="K938" i="22"/>
  <c r="M938" i="22" s="1"/>
  <c r="Z938" i="22" s="1"/>
  <c r="K939" i="22"/>
  <c r="M939" i="22" s="1"/>
  <c r="Z939" i="22" s="1"/>
  <c r="K940" i="22"/>
  <c r="M940" i="22" s="1"/>
  <c r="Z940" i="22" s="1"/>
  <c r="K941" i="22"/>
  <c r="M941" i="22" s="1"/>
  <c r="Z941" i="22" s="1"/>
  <c r="K942" i="22"/>
  <c r="M942" i="22" s="1"/>
  <c r="Z942" i="22" s="1"/>
  <c r="K943" i="22"/>
  <c r="M943" i="22" s="1"/>
  <c r="Z943" i="22" s="1"/>
  <c r="K944" i="22"/>
  <c r="M944" i="22" s="1"/>
  <c r="Z944" i="22" s="1"/>
  <c r="K945" i="22"/>
  <c r="M945" i="22" s="1"/>
  <c r="Z945" i="22" s="1"/>
  <c r="K946" i="22"/>
  <c r="M946" i="22" s="1"/>
  <c r="Z946" i="22" s="1"/>
  <c r="K947" i="22"/>
  <c r="M947" i="22" s="1"/>
  <c r="Z947" i="22" s="1"/>
  <c r="K913" i="22"/>
  <c r="M913" i="22" s="1"/>
  <c r="Z913" i="22" s="1"/>
  <c r="K897" i="22"/>
  <c r="M897" i="22" s="1"/>
  <c r="Z897" i="22" s="1"/>
  <c r="K898" i="22"/>
  <c r="M898" i="22" s="1"/>
  <c r="Z898" i="22" s="1"/>
  <c r="K899" i="22"/>
  <c r="M899" i="22" s="1"/>
  <c r="Z899" i="22" s="1"/>
  <c r="K900" i="22"/>
  <c r="M900" i="22" s="1"/>
  <c r="Z900" i="22" s="1"/>
  <c r="K901" i="22"/>
  <c r="M901" i="22" s="1"/>
  <c r="Z901" i="22" s="1"/>
  <c r="K902" i="22"/>
  <c r="M902" i="22" s="1"/>
  <c r="Z902" i="22" s="1"/>
  <c r="K903" i="22"/>
  <c r="M903" i="22" s="1"/>
  <c r="Z903" i="22" s="1"/>
  <c r="K904" i="22"/>
  <c r="M904" i="22" s="1"/>
  <c r="Z904" i="22" s="1"/>
  <c r="K905" i="22"/>
  <c r="M905" i="22" s="1"/>
  <c r="Z905" i="22" s="1"/>
  <c r="K906" i="22"/>
  <c r="M906" i="22" s="1"/>
  <c r="Z906" i="22" s="1"/>
  <c r="K907" i="22"/>
  <c r="M907" i="22" s="1"/>
  <c r="Z907" i="22" s="1"/>
  <c r="K908" i="22"/>
  <c r="M908" i="22" s="1"/>
  <c r="Z908" i="22" s="1"/>
  <c r="K909" i="22"/>
  <c r="M909" i="22" s="1"/>
  <c r="Z909" i="22" s="1"/>
  <c r="K910" i="22"/>
  <c r="M910" i="22" s="1"/>
  <c r="Z910" i="22" s="1"/>
  <c r="K911" i="22"/>
  <c r="M911" i="22" s="1"/>
  <c r="Z911" i="22" s="1"/>
  <c r="K887" i="22"/>
  <c r="M887" i="22" s="1"/>
  <c r="Z887" i="22" s="1"/>
  <c r="K888" i="22"/>
  <c r="M888" i="22" s="1"/>
  <c r="Z888" i="22" s="1"/>
  <c r="K889" i="22"/>
  <c r="M889" i="22" s="1"/>
  <c r="Z889" i="22" s="1"/>
  <c r="K890" i="22"/>
  <c r="M890" i="22" s="1"/>
  <c r="Z890" i="22" s="1"/>
  <c r="K891" i="22"/>
  <c r="M891" i="22" s="1"/>
  <c r="Z891" i="22" s="1"/>
  <c r="K892" i="22"/>
  <c r="M892" i="22" s="1"/>
  <c r="Z892" i="22" s="1"/>
  <c r="K893" i="22"/>
  <c r="M893" i="22" s="1"/>
  <c r="Z893" i="22" s="1"/>
  <c r="K894" i="22"/>
  <c r="M894" i="22" s="1"/>
  <c r="Z894" i="22" s="1"/>
  <c r="K895" i="22"/>
  <c r="M895" i="22" s="1"/>
  <c r="Z895" i="22" s="1"/>
  <c r="K896" i="22"/>
  <c r="M896" i="22" s="1"/>
  <c r="Z896" i="22" s="1"/>
  <c r="K886" i="22"/>
  <c r="M886" i="22" s="1"/>
  <c r="Z886" i="22" s="1"/>
  <c r="K867" i="22"/>
  <c r="M867" i="22" s="1"/>
  <c r="Z867" i="22" s="1"/>
  <c r="K868" i="22"/>
  <c r="M868" i="22" s="1"/>
  <c r="Z868" i="22" s="1"/>
  <c r="K869" i="22"/>
  <c r="M869" i="22" s="1"/>
  <c r="Z869" i="22" s="1"/>
  <c r="K870" i="22"/>
  <c r="M870" i="22" s="1"/>
  <c r="Z870" i="22" s="1"/>
  <c r="K871" i="22"/>
  <c r="M871" i="22" s="1"/>
  <c r="Z871" i="22" s="1"/>
  <c r="K872" i="22"/>
  <c r="M872" i="22" s="1"/>
  <c r="Z872" i="22" s="1"/>
  <c r="K873" i="22"/>
  <c r="M873" i="22" s="1"/>
  <c r="Z873" i="22" s="1"/>
  <c r="K874" i="22"/>
  <c r="M874" i="22" s="1"/>
  <c r="Z874" i="22" s="1"/>
  <c r="K875" i="22"/>
  <c r="M875" i="22" s="1"/>
  <c r="Z875" i="22" s="1"/>
  <c r="K876" i="22"/>
  <c r="M876" i="22" s="1"/>
  <c r="Z876" i="22" s="1"/>
  <c r="K877" i="22"/>
  <c r="M877" i="22" s="1"/>
  <c r="Z877" i="22" s="1"/>
  <c r="K878" i="22"/>
  <c r="M878" i="22" s="1"/>
  <c r="Z878" i="22" s="1"/>
  <c r="K879" i="22"/>
  <c r="M879" i="22" s="1"/>
  <c r="Z879" i="22" s="1"/>
  <c r="K880" i="22"/>
  <c r="M880" i="22" s="1"/>
  <c r="Z880" i="22" s="1"/>
  <c r="K881" i="22"/>
  <c r="M881" i="22" s="1"/>
  <c r="Z881" i="22" s="1"/>
  <c r="K882" i="22"/>
  <c r="M882" i="22" s="1"/>
  <c r="Z882" i="22" s="1"/>
  <c r="K883" i="22"/>
  <c r="M883" i="22" s="1"/>
  <c r="Z883" i="22" s="1"/>
  <c r="K884" i="22"/>
  <c r="M884" i="22" s="1"/>
  <c r="Z884" i="22" s="1"/>
  <c r="M846" i="22"/>
  <c r="K848" i="22"/>
  <c r="M848" i="22" s="1"/>
  <c r="Z848" i="22" s="1"/>
  <c r="K849" i="22"/>
  <c r="M849" i="22" s="1"/>
  <c r="Z849" i="22" s="1"/>
  <c r="K850" i="22"/>
  <c r="M850" i="22" s="1"/>
  <c r="Z850" i="22" s="1"/>
  <c r="K851" i="22"/>
  <c r="M851" i="22" s="1"/>
  <c r="Z851" i="22" s="1"/>
  <c r="K852" i="22"/>
  <c r="M852" i="22" s="1"/>
  <c r="Z852" i="22" s="1"/>
  <c r="K853" i="22"/>
  <c r="M853" i="22" s="1"/>
  <c r="Z853" i="22" s="1"/>
  <c r="K854" i="22"/>
  <c r="M854" i="22" s="1"/>
  <c r="Z854" i="22" s="1"/>
  <c r="K855" i="22"/>
  <c r="M855" i="22" s="1"/>
  <c r="Z855" i="22" s="1"/>
  <c r="K856" i="22"/>
  <c r="M856" i="22" s="1"/>
  <c r="Z856" i="22" s="1"/>
  <c r="K857" i="22"/>
  <c r="M857" i="22" s="1"/>
  <c r="Z857" i="22" s="1"/>
  <c r="M858" i="22"/>
  <c r="Z858" i="22" s="1"/>
  <c r="K859" i="22"/>
  <c r="M859" i="22" s="1"/>
  <c r="Z859" i="22" s="1"/>
  <c r="K860" i="22"/>
  <c r="M860" i="22" s="1"/>
  <c r="Z860" i="22" s="1"/>
  <c r="K861" i="22"/>
  <c r="M861" i="22" s="1"/>
  <c r="Z861" i="22" s="1"/>
  <c r="K862" i="22"/>
  <c r="M862" i="22" s="1"/>
  <c r="Z862" i="22" s="1"/>
  <c r="K863" i="22"/>
  <c r="M863" i="22" s="1"/>
  <c r="Z863" i="22" s="1"/>
  <c r="K864" i="22"/>
  <c r="M864" i="22" s="1"/>
  <c r="Z864" i="22" s="1"/>
  <c r="K865" i="22"/>
  <c r="M865" i="22" s="1"/>
  <c r="Z865" i="22" s="1"/>
  <c r="K866" i="22"/>
  <c r="M866" i="22" s="1"/>
  <c r="Z866" i="22" s="1"/>
  <c r="K847" i="22"/>
  <c r="M847" i="22" s="1"/>
  <c r="Z847" i="22" s="1"/>
  <c r="K829" i="22"/>
  <c r="M829" i="22" s="1"/>
  <c r="Z829" i="22" s="1"/>
  <c r="K830" i="22"/>
  <c r="M830" i="22" s="1"/>
  <c r="Z830" i="22" s="1"/>
  <c r="K831" i="22"/>
  <c r="M831" i="22" s="1"/>
  <c r="Z831" i="22" s="1"/>
  <c r="K832" i="22"/>
  <c r="M832" i="22" s="1"/>
  <c r="Z832" i="22" s="1"/>
  <c r="K833" i="22"/>
  <c r="M833" i="22" s="1"/>
  <c r="K834" i="22"/>
  <c r="M834" i="22" s="1"/>
  <c r="K835" i="22"/>
  <c r="M835" i="22" s="1"/>
  <c r="Z835" i="22" s="1"/>
  <c r="K836" i="22"/>
  <c r="M836" i="22" s="1"/>
  <c r="Z836" i="22" s="1"/>
  <c r="K837" i="22"/>
  <c r="M837" i="22" s="1"/>
  <c r="Z837" i="22" s="1"/>
  <c r="K802" i="22"/>
  <c r="M802" i="22" s="1"/>
  <c r="Z802" i="22" s="1"/>
  <c r="K803" i="22"/>
  <c r="M803" i="22" s="1"/>
  <c r="Z803" i="22" s="1"/>
  <c r="K804" i="22"/>
  <c r="M804" i="22" s="1"/>
  <c r="Z804" i="22" s="1"/>
  <c r="K805" i="22"/>
  <c r="M805" i="22" s="1"/>
  <c r="Z805" i="22" s="1"/>
  <c r="K806" i="22"/>
  <c r="M806" i="22" s="1"/>
  <c r="Z806" i="22" s="1"/>
  <c r="K807" i="22"/>
  <c r="M807" i="22" s="1"/>
  <c r="Z807" i="22" s="1"/>
  <c r="K808" i="22"/>
  <c r="M808" i="22" s="1"/>
  <c r="Z808" i="22" s="1"/>
  <c r="K809" i="22"/>
  <c r="M809" i="22" s="1"/>
  <c r="Z809" i="22" s="1"/>
  <c r="K810" i="22"/>
  <c r="M810" i="22" s="1"/>
  <c r="Z810" i="22" s="1"/>
  <c r="K811" i="22"/>
  <c r="M811" i="22" s="1"/>
  <c r="Z811" i="22" s="1"/>
  <c r="K812" i="22"/>
  <c r="M812" i="22" s="1"/>
  <c r="Z812" i="22" s="1"/>
  <c r="K813" i="22"/>
  <c r="M813" i="22" s="1"/>
  <c r="Z813" i="22" s="1"/>
  <c r="K814" i="22"/>
  <c r="M814" i="22" s="1"/>
  <c r="Z814" i="22" s="1"/>
  <c r="K815" i="22"/>
  <c r="M815" i="22" s="1"/>
  <c r="Z815" i="22" s="1"/>
  <c r="K816" i="22"/>
  <c r="M816" i="22" s="1"/>
  <c r="Z816" i="22" s="1"/>
  <c r="K817" i="22"/>
  <c r="M817" i="22" s="1"/>
  <c r="Z817" i="22" s="1"/>
  <c r="K818" i="22"/>
  <c r="M818" i="22" s="1"/>
  <c r="Z818" i="22" s="1"/>
  <c r="K819" i="22"/>
  <c r="M819" i="22" s="1"/>
  <c r="Z819" i="22" s="1"/>
  <c r="K820" i="22"/>
  <c r="M820" i="22" s="1"/>
  <c r="Z820" i="22" s="1"/>
  <c r="K821" i="22"/>
  <c r="M821" i="22" s="1"/>
  <c r="Z821" i="22" s="1"/>
  <c r="K822" i="22"/>
  <c r="M822" i="22" s="1"/>
  <c r="Z822" i="22" s="1"/>
  <c r="K823" i="22"/>
  <c r="M823" i="22" s="1"/>
  <c r="Z823" i="22" s="1"/>
  <c r="K824" i="22"/>
  <c r="M824" i="22" s="1"/>
  <c r="Z824" i="22" s="1"/>
  <c r="K825" i="22"/>
  <c r="M825" i="22" s="1"/>
  <c r="Z825" i="22" s="1"/>
  <c r="K826" i="22"/>
  <c r="M826" i="22" s="1"/>
  <c r="Z826" i="22" s="1"/>
  <c r="K827" i="22"/>
  <c r="M827" i="22" s="1"/>
  <c r="Z827" i="22" s="1"/>
  <c r="K828" i="22"/>
  <c r="M828" i="22" s="1"/>
  <c r="Z828" i="22" s="1"/>
  <c r="M756" i="22"/>
  <c r="K758" i="22"/>
  <c r="M758" i="22" s="1"/>
  <c r="K759" i="22"/>
  <c r="M759" i="22" s="1"/>
  <c r="K760" i="22"/>
  <c r="M760" i="22" s="1"/>
  <c r="K761" i="22"/>
  <c r="M761" i="22" s="1"/>
  <c r="K762" i="22"/>
  <c r="M762" i="22" s="1"/>
  <c r="K763" i="22"/>
  <c r="M763" i="22" s="1"/>
  <c r="K764" i="22"/>
  <c r="M764" i="22" s="1"/>
  <c r="K765" i="22"/>
  <c r="M765" i="22" s="1"/>
  <c r="Z765" i="22" s="1"/>
  <c r="BD765" i="22" s="1"/>
  <c r="K766" i="22"/>
  <c r="M766" i="22" s="1"/>
  <c r="Z766" i="22" s="1"/>
  <c r="BD766" i="22" s="1"/>
  <c r="K767" i="22"/>
  <c r="M767" i="22" s="1"/>
  <c r="Z767" i="22" s="1"/>
  <c r="BD767" i="22" s="1"/>
  <c r="K768" i="22"/>
  <c r="M768" i="22" s="1"/>
  <c r="Z768" i="22" s="1"/>
  <c r="BD768" i="22" s="1"/>
  <c r="K769" i="22"/>
  <c r="M769" i="22" s="1"/>
  <c r="Z769" i="22" s="1"/>
  <c r="K770" i="22"/>
  <c r="M770" i="22" s="1"/>
  <c r="Z770" i="22" s="1"/>
  <c r="K771" i="22"/>
  <c r="M771" i="22" s="1"/>
  <c r="Z771" i="22" s="1"/>
  <c r="K772" i="22"/>
  <c r="M772" i="22" s="1"/>
  <c r="Z772" i="22" s="1"/>
  <c r="K773" i="22"/>
  <c r="M773" i="22" s="1"/>
  <c r="Z773" i="22" s="1"/>
  <c r="K774" i="22"/>
  <c r="M774" i="22" s="1"/>
  <c r="Z774" i="22" s="1"/>
  <c r="K775" i="22"/>
  <c r="M775" i="22" s="1"/>
  <c r="Z775" i="22" s="1"/>
  <c r="K776" i="22"/>
  <c r="M776" i="22" s="1"/>
  <c r="Z776" i="22" s="1"/>
  <c r="K777" i="22"/>
  <c r="M777" i="22" s="1"/>
  <c r="Z777" i="22" s="1"/>
  <c r="K778" i="22"/>
  <c r="M778" i="22" s="1"/>
  <c r="Z778" i="22" s="1"/>
  <c r="K779" i="22"/>
  <c r="M779" i="22" s="1"/>
  <c r="Z779" i="22" s="1"/>
  <c r="K780" i="22"/>
  <c r="M780" i="22" s="1"/>
  <c r="Z780" i="22" s="1"/>
  <c r="K781" i="22"/>
  <c r="M781" i="22" s="1"/>
  <c r="Z781" i="22" s="1"/>
  <c r="K782" i="22"/>
  <c r="M782" i="22" s="1"/>
  <c r="Z782" i="22" s="1"/>
  <c r="K783" i="22"/>
  <c r="M783" i="22" s="1"/>
  <c r="K785" i="22"/>
  <c r="M785" i="22" s="1"/>
  <c r="Z785" i="22" s="1"/>
  <c r="K786" i="22"/>
  <c r="M786" i="22" s="1"/>
  <c r="Z786" i="22" s="1"/>
  <c r="K787" i="22"/>
  <c r="M787" i="22" s="1"/>
  <c r="Z787" i="22" s="1"/>
  <c r="K788" i="22"/>
  <c r="M788" i="22" s="1"/>
  <c r="Z788" i="22" s="1"/>
  <c r="K789" i="22"/>
  <c r="M789" i="22" s="1"/>
  <c r="Z789" i="22" s="1"/>
  <c r="K790" i="22"/>
  <c r="M790" i="22" s="1"/>
  <c r="Z790" i="22" s="1"/>
  <c r="K791" i="22"/>
  <c r="M791" i="22" s="1"/>
  <c r="Z791" i="22" s="1"/>
  <c r="K792" i="22"/>
  <c r="M792" i="22" s="1"/>
  <c r="Z792" i="22" s="1"/>
  <c r="K793" i="22"/>
  <c r="M793" i="22" s="1"/>
  <c r="Z793" i="22" s="1"/>
  <c r="K794" i="22"/>
  <c r="M794" i="22" s="1"/>
  <c r="Z794" i="22" s="1"/>
  <c r="K795" i="22"/>
  <c r="M795" i="22" s="1"/>
  <c r="Z795" i="22" s="1"/>
  <c r="K796" i="22"/>
  <c r="M796" i="22" s="1"/>
  <c r="Z796" i="22" s="1"/>
  <c r="K797" i="22"/>
  <c r="M797" i="22" s="1"/>
  <c r="Z797" i="22" s="1"/>
  <c r="K798" i="22"/>
  <c r="M798" i="22" s="1"/>
  <c r="Z798" i="22" s="1"/>
  <c r="K799" i="22"/>
  <c r="M799" i="22" s="1"/>
  <c r="Z799" i="22" s="1"/>
  <c r="K800" i="22"/>
  <c r="M800" i="22" s="1"/>
  <c r="Z800" i="22" s="1"/>
  <c r="K801" i="22"/>
  <c r="M801" i="22" s="1"/>
  <c r="Z801" i="22" s="1"/>
  <c r="K757" i="22"/>
  <c r="M757" i="22" s="1"/>
  <c r="K742" i="22"/>
  <c r="K743" i="22"/>
  <c r="K744" i="22"/>
  <c r="K745" i="22"/>
  <c r="K746" i="22"/>
  <c r="K747" i="22"/>
  <c r="K748" i="22"/>
  <c r="K749" i="22"/>
  <c r="K750" i="22"/>
  <c r="K751" i="22"/>
  <c r="K752" i="22"/>
  <c r="K753" i="22"/>
  <c r="K754" i="22"/>
  <c r="K755" i="22"/>
  <c r="M755" i="22" s="1"/>
  <c r="K731" i="22"/>
  <c r="M731" i="22" s="1"/>
  <c r="Z731" i="22" s="1"/>
  <c r="K732" i="22"/>
  <c r="K734" i="22"/>
  <c r="M734" i="22" s="1"/>
  <c r="K735" i="22"/>
  <c r="M735" i="22" s="1"/>
  <c r="K736" i="22"/>
  <c r="K737" i="22"/>
  <c r="K738" i="22"/>
  <c r="K739" i="22"/>
  <c r="K740" i="22"/>
  <c r="K741" i="22"/>
  <c r="K720" i="22"/>
  <c r="M720" i="22" s="1"/>
  <c r="Z720" i="22" s="1"/>
  <c r="K721" i="22"/>
  <c r="M721" i="22" s="1"/>
  <c r="Z721" i="22" s="1"/>
  <c r="K722" i="22"/>
  <c r="M722" i="22" s="1"/>
  <c r="Z722" i="22" s="1"/>
  <c r="K723" i="22"/>
  <c r="M723" i="22" s="1"/>
  <c r="Z723" i="22" s="1"/>
  <c r="K724" i="22"/>
  <c r="M724" i="22" s="1"/>
  <c r="Z724" i="22" s="1"/>
  <c r="K725" i="22"/>
  <c r="M725" i="22" s="1"/>
  <c r="Z725" i="22" s="1"/>
  <c r="K726" i="22"/>
  <c r="M726" i="22" s="1"/>
  <c r="Z726" i="22" s="1"/>
  <c r="K727" i="22"/>
  <c r="M727" i="22" s="1"/>
  <c r="Z727" i="22" s="1"/>
  <c r="K728" i="22"/>
  <c r="M728" i="22" s="1"/>
  <c r="Z728" i="22" s="1"/>
  <c r="K729" i="22"/>
  <c r="M729" i="22" s="1"/>
  <c r="Z729" i="22" s="1"/>
  <c r="K730" i="22"/>
  <c r="M730" i="22" s="1"/>
  <c r="Z730" i="22" s="1"/>
  <c r="K716" i="22"/>
  <c r="M716" i="22" s="1"/>
  <c r="Z716" i="22" s="1"/>
  <c r="K717" i="22"/>
  <c r="M717" i="22" s="1"/>
  <c r="Z717" i="22" s="1"/>
  <c r="K718" i="22"/>
  <c r="M718" i="22" s="1"/>
  <c r="Z718" i="22" s="1"/>
  <c r="K719" i="22"/>
  <c r="M719" i="22" s="1"/>
  <c r="Z719" i="22" s="1"/>
  <c r="K698" i="22"/>
  <c r="M698" i="22" s="1"/>
  <c r="Z698" i="22" s="1"/>
  <c r="K699" i="22"/>
  <c r="M699" i="22" s="1"/>
  <c r="Z699" i="22" s="1"/>
  <c r="K700" i="22"/>
  <c r="M700" i="22" s="1"/>
  <c r="Z700" i="22" s="1"/>
  <c r="K701" i="22"/>
  <c r="M701" i="22" s="1"/>
  <c r="Z701" i="22" s="1"/>
  <c r="K702" i="22"/>
  <c r="M702" i="22" s="1"/>
  <c r="Z702" i="22" s="1"/>
  <c r="K705" i="22"/>
  <c r="M705" i="22" s="1"/>
  <c r="Z705" i="22" s="1"/>
  <c r="K706" i="22"/>
  <c r="M706" i="22" s="1"/>
  <c r="Z706" i="22" s="1"/>
  <c r="K707" i="22"/>
  <c r="M707" i="22" s="1"/>
  <c r="Z707" i="22" s="1"/>
  <c r="K708" i="22"/>
  <c r="M708" i="22" s="1"/>
  <c r="Z708" i="22" s="1"/>
  <c r="K709" i="22"/>
  <c r="M709" i="22" s="1"/>
  <c r="Z709" i="22" s="1"/>
  <c r="K710" i="22"/>
  <c r="M710" i="22" s="1"/>
  <c r="Z710" i="22" s="1"/>
  <c r="K711" i="22"/>
  <c r="M711" i="22" s="1"/>
  <c r="Z711" i="22" s="1"/>
  <c r="K712" i="22"/>
  <c r="M712" i="22" s="1"/>
  <c r="Z712" i="22" s="1"/>
  <c r="K713" i="22"/>
  <c r="M713" i="22" s="1"/>
  <c r="Z713" i="22" s="1"/>
  <c r="K714" i="22"/>
  <c r="M714" i="22" s="1"/>
  <c r="Z714" i="22" s="1"/>
  <c r="K715" i="22"/>
  <c r="M715" i="22" s="1"/>
  <c r="Z715" i="22" s="1"/>
  <c r="K693" i="22"/>
  <c r="M693" i="22" s="1"/>
  <c r="Z693" i="22" s="1"/>
  <c r="K694" i="22"/>
  <c r="M694" i="22" s="1"/>
  <c r="Z694" i="22" s="1"/>
  <c r="K697" i="22"/>
  <c r="M697" i="22" s="1"/>
  <c r="Z697" i="22" s="1"/>
  <c r="M677" i="22"/>
  <c r="Z677" i="22" s="1"/>
  <c r="K679" i="22"/>
  <c r="M679" i="22" s="1"/>
  <c r="Z679" i="22" s="1"/>
  <c r="K680" i="22"/>
  <c r="M680" i="22" s="1"/>
  <c r="Z680" i="22" s="1"/>
  <c r="K681" i="22"/>
  <c r="M681" i="22" s="1"/>
  <c r="Z681" i="22" s="1"/>
  <c r="K682" i="22"/>
  <c r="M682" i="22" s="1"/>
  <c r="Z682" i="22" s="1"/>
  <c r="K683" i="22"/>
  <c r="M683" i="22" s="1"/>
  <c r="Z683" i="22" s="1"/>
  <c r="K684" i="22"/>
  <c r="M684" i="22" s="1"/>
  <c r="Z684" i="22" s="1"/>
  <c r="K685" i="22"/>
  <c r="M685" i="22" s="1"/>
  <c r="Z685" i="22" s="1"/>
  <c r="K686" i="22"/>
  <c r="M686" i="22" s="1"/>
  <c r="Z686" i="22" s="1"/>
  <c r="K687" i="22"/>
  <c r="M687" i="22" s="1"/>
  <c r="Z687" i="22" s="1"/>
  <c r="K688" i="22"/>
  <c r="M688" i="22" s="1"/>
  <c r="Z688" i="22" s="1"/>
  <c r="K689" i="22"/>
  <c r="M689" i="22" s="1"/>
  <c r="Z689" i="22" s="1"/>
  <c r="K690" i="22"/>
  <c r="M690" i="22" s="1"/>
  <c r="Z690" i="22" s="1"/>
  <c r="K691" i="22"/>
  <c r="M691" i="22" s="1"/>
  <c r="Z691" i="22" s="1"/>
  <c r="K692" i="22"/>
  <c r="M692" i="22" s="1"/>
  <c r="Z692" i="22" s="1"/>
  <c r="K678" i="22"/>
  <c r="M678" i="22" s="1"/>
  <c r="Z678" i="22" s="1"/>
  <c r="M588" i="22"/>
  <c r="M589" i="22"/>
  <c r="M675" i="22"/>
  <c r="Z675" i="22" s="1"/>
  <c r="K591" i="22"/>
  <c r="M591" i="22" s="1"/>
  <c r="K592" i="22"/>
  <c r="M592" i="22" s="1"/>
  <c r="K593" i="22"/>
  <c r="M593" i="22" s="1"/>
  <c r="K594" i="22"/>
  <c r="M594" i="22" s="1"/>
  <c r="K595" i="22"/>
  <c r="M595" i="22" s="1"/>
  <c r="M596" i="22"/>
  <c r="K597" i="22"/>
  <c r="M597" i="22" s="1"/>
  <c r="K598" i="22"/>
  <c r="M598" i="22" s="1"/>
  <c r="Z598" i="22" s="1"/>
  <c r="K599" i="22"/>
  <c r="M599" i="22" s="1"/>
  <c r="Z599" i="22" s="1"/>
  <c r="K600" i="22"/>
  <c r="M600" i="22" s="1"/>
  <c r="Z600" i="22" s="1"/>
  <c r="K601" i="22"/>
  <c r="M601" i="22" s="1"/>
  <c r="Z601" i="22" s="1"/>
  <c r="K602" i="22"/>
  <c r="M602" i="22" s="1"/>
  <c r="Z602" i="22" s="1"/>
  <c r="K603" i="22"/>
  <c r="M603" i="22" s="1"/>
  <c r="Z603" i="22" s="1"/>
  <c r="K604" i="22"/>
  <c r="M604" i="22" s="1"/>
  <c r="Z604" i="22" s="1"/>
  <c r="K605" i="22"/>
  <c r="M605" i="22" s="1"/>
  <c r="Z605" i="22" s="1"/>
  <c r="K606" i="22"/>
  <c r="M606" i="22" s="1"/>
  <c r="Z606" i="22" s="1"/>
  <c r="K590" i="22"/>
  <c r="M590" i="22" s="1"/>
  <c r="BV15" i="41"/>
  <c r="BV44" i="41"/>
  <c r="CO73" i="47"/>
  <c r="CO74" i="47"/>
  <c r="CO75" i="47"/>
  <c r="CO76" i="47"/>
  <c r="CO72" i="47"/>
  <c r="CJ77" i="47"/>
  <c r="CO64" i="47"/>
  <c r="CO65" i="47"/>
  <c r="CO66" i="47"/>
  <c r="CO67" i="47"/>
  <c r="CO63" i="47"/>
  <c r="CJ68" i="47"/>
  <c r="BX33" i="47"/>
  <c r="EV16" i="47"/>
  <c r="EV17" i="47"/>
  <c r="EV18" i="47"/>
  <c r="EV19" i="47"/>
  <c r="EV15" i="47"/>
  <c r="EQ21" i="47"/>
  <c r="EI14" i="47"/>
  <c r="EI15" i="47"/>
  <c r="EI16" i="47"/>
  <c r="EI17" i="47"/>
  <c r="EI13" i="47"/>
  <c r="ED19" i="47"/>
  <c r="DX13" i="47"/>
  <c r="DX14" i="47"/>
  <c r="DX15" i="47"/>
  <c r="DX16" i="47"/>
  <c r="DX12" i="47"/>
  <c r="DS18" i="47"/>
  <c r="DN13" i="47"/>
  <c r="DN14" i="47"/>
  <c r="DN15" i="47"/>
  <c r="DN16" i="47"/>
  <c r="DN12" i="47"/>
  <c r="DI18" i="47"/>
  <c r="CZ14" i="47"/>
  <c r="CZ15" i="47"/>
  <c r="CZ16" i="47"/>
  <c r="CZ17" i="47"/>
  <c r="CZ13" i="47"/>
  <c r="CU19" i="47"/>
  <c r="CL14" i="47"/>
  <c r="CL15" i="47"/>
  <c r="CL16" i="47"/>
  <c r="CL17" i="47"/>
  <c r="CL13" i="47"/>
  <c r="CG19" i="47"/>
  <c r="CM67" i="48"/>
  <c r="CM74" i="48"/>
  <c r="CM75" i="48"/>
  <c r="CM76" i="48"/>
  <c r="CM77" i="48"/>
  <c r="CM73" i="48"/>
  <c r="CH78" i="48"/>
  <c r="CM64" i="48"/>
  <c r="CM65" i="48"/>
  <c r="CM66" i="48"/>
  <c r="CM63" i="48"/>
  <c r="CH68" i="48"/>
  <c r="EX15" i="48"/>
  <c r="EX16" i="48"/>
  <c r="EX17" i="48"/>
  <c r="EX18" i="48"/>
  <c r="EX14" i="48"/>
  <c r="ES20" i="48"/>
  <c r="EJ15" i="48"/>
  <c r="EJ16" i="48"/>
  <c r="EJ17" i="48"/>
  <c r="EJ18" i="48"/>
  <c r="EJ14" i="48"/>
  <c r="EE20" i="48"/>
  <c r="DY15" i="48"/>
  <c r="DY16" i="48"/>
  <c r="DY17" i="48"/>
  <c r="DY18" i="48"/>
  <c r="DY14" i="48"/>
  <c r="DT20" i="48"/>
  <c r="DO15" i="48"/>
  <c r="DO16" i="48"/>
  <c r="DO17" i="48"/>
  <c r="DO18" i="48"/>
  <c r="DO14" i="48"/>
  <c r="DJ20" i="48"/>
  <c r="CY16" i="48"/>
  <c r="CY17" i="48"/>
  <c r="CY18" i="48"/>
  <c r="CY19" i="48"/>
  <c r="CY15" i="48"/>
  <c r="CT21" i="48"/>
  <c r="CL16" i="48"/>
  <c r="CL17" i="48"/>
  <c r="CL18" i="48"/>
  <c r="CL19" i="48"/>
  <c r="CL15" i="48"/>
  <c r="CG21" i="48"/>
  <c r="CO95" i="49"/>
  <c r="CO96" i="49"/>
  <c r="CO97" i="49"/>
  <c r="CO98" i="49"/>
  <c r="CO94" i="49"/>
  <c r="CJ99" i="49"/>
  <c r="CO65" i="49"/>
  <c r="CO62" i="49"/>
  <c r="CO63" i="49"/>
  <c r="CO64" i="49"/>
  <c r="CO61" i="49"/>
  <c r="CJ66" i="49"/>
  <c r="EX14" i="49"/>
  <c r="EX15" i="49"/>
  <c r="EX16" i="49"/>
  <c r="EX17" i="49"/>
  <c r="EX13" i="49"/>
  <c r="ES19" i="49"/>
  <c r="EJ14" i="49"/>
  <c r="EJ15" i="49"/>
  <c r="EJ16" i="49"/>
  <c r="EJ17" i="49"/>
  <c r="EJ13" i="49"/>
  <c r="EE19" i="49"/>
  <c r="DY14" i="49"/>
  <c r="DY15" i="49"/>
  <c r="DY16" i="49"/>
  <c r="DY17" i="49"/>
  <c r="DY13" i="49"/>
  <c r="DT19" i="49"/>
  <c r="DN14" i="49"/>
  <c r="DN15" i="49"/>
  <c r="DN16" i="49"/>
  <c r="DN17" i="49"/>
  <c r="DN13" i="49"/>
  <c r="DI19" i="49"/>
  <c r="AV4" i="49"/>
  <c r="AV5" i="49"/>
  <c r="AV6" i="49"/>
  <c r="AV7" i="49"/>
  <c r="AV8" i="49"/>
  <c r="AV9" i="49"/>
  <c r="AV10" i="49"/>
  <c r="AV11" i="49"/>
  <c r="AV12" i="49"/>
  <c r="AV13" i="49"/>
  <c r="AV14" i="49"/>
  <c r="AV15" i="49"/>
  <c r="AV16" i="49"/>
  <c r="AV17" i="49"/>
  <c r="AV18" i="49"/>
  <c r="AV19" i="49"/>
  <c r="AV20" i="49"/>
  <c r="AV21" i="49"/>
  <c r="AV22" i="49"/>
  <c r="AV23" i="49"/>
  <c r="AV24" i="49"/>
  <c r="AV25" i="49"/>
  <c r="AV26" i="49"/>
  <c r="AV27" i="49"/>
  <c r="AV28" i="49"/>
  <c r="AV29" i="49"/>
  <c r="AV30" i="49"/>
  <c r="AV31" i="49"/>
  <c r="AV32" i="49"/>
  <c r="AV33" i="49"/>
  <c r="AV34" i="49"/>
  <c r="AV35" i="49"/>
  <c r="AV36" i="49"/>
  <c r="AV37" i="49"/>
  <c r="AV38" i="49"/>
  <c r="AV39" i="49"/>
  <c r="AV40" i="49"/>
  <c r="AV41" i="49"/>
  <c r="AV42" i="49"/>
  <c r="AV43" i="49"/>
  <c r="AV44" i="49"/>
  <c r="AV45" i="49"/>
  <c r="AV46" i="49"/>
  <c r="AV47" i="49"/>
  <c r="AV48" i="49"/>
  <c r="AV49" i="49"/>
  <c r="AV50" i="49"/>
  <c r="AV51" i="49"/>
  <c r="AV52" i="49"/>
  <c r="AV53" i="49"/>
  <c r="AV54" i="49"/>
  <c r="AV55" i="49"/>
  <c r="AV56" i="49"/>
  <c r="AV57" i="49"/>
  <c r="AV58" i="49"/>
  <c r="AV59" i="49"/>
  <c r="AV60" i="49"/>
  <c r="AV61" i="49"/>
  <c r="AV62" i="49"/>
  <c r="AV63" i="49"/>
  <c r="AV64" i="49"/>
  <c r="AV65" i="49"/>
  <c r="AV66" i="49"/>
  <c r="AV67" i="49"/>
  <c r="AV68" i="49"/>
  <c r="AV69" i="49"/>
  <c r="AV70" i="49"/>
  <c r="AV71" i="49"/>
  <c r="AV72" i="49"/>
  <c r="AV73" i="49"/>
  <c r="AV74" i="49"/>
  <c r="AV75" i="49"/>
  <c r="AV76" i="49"/>
  <c r="AV77" i="49"/>
  <c r="AV78" i="49"/>
  <c r="AV79" i="49"/>
  <c r="AV80" i="49"/>
  <c r="AV81" i="49"/>
  <c r="AV82" i="49"/>
  <c r="AV83" i="49"/>
  <c r="AV84" i="49"/>
  <c r="AV85" i="49"/>
  <c r="AV86" i="49"/>
  <c r="AV87" i="49"/>
  <c r="AV88" i="49"/>
  <c r="AV89" i="49"/>
  <c r="AV90" i="49"/>
  <c r="AV91" i="49"/>
  <c r="AV92" i="49"/>
  <c r="AV93" i="49"/>
  <c r="AV94" i="49"/>
  <c r="AV95" i="49"/>
  <c r="AV96" i="49"/>
  <c r="AV97" i="49"/>
  <c r="AV98" i="49"/>
  <c r="AV99" i="49"/>
  <c r="AV100" i="49"/>
  <c r="AV101" i="49"/>
  <c r="AV102" i="49"/>
  <c r="AV103" i="49"/>
  <c r="AV104" i="49"/>
  <c r="AV105" i="49"/>
  <c r="AV106" i="49"/>
  <c r="AV107" i="49"/>
  <c r="AV108" i="49"/>
  <c r="AV109" i="49"/>
  <c r="AV110" i="49"/>
  <c r="AV111" i="49"/>
  <c r="AV112" i="49"/>
  <c r="AV113" i="49"/>
  <c r="AV114" i="49"/>
  <c r="AV115" i="49"/>
  <c r="AV116" i="49"/>
  <c r="AV117" i="49"/>
  <c r="AV118" i="49"/>
  <c r="AV119" i="49"/>
  <c r="AV120" i="49"/>
  <c r="AV121" i="49"/>
  <c r="AV122" i="49"/>
  <c r="AV123" i="49"/>
  <c r="AV124" i="49"/>
  <c r="AV125" i="49"/>
  <c r="AV126" i="49"/>
  <c r="AV127" i="49"/>
  <c r="AV128" i="49"/>
  <c r="AV129" i="49"/>
  <c r="AV130" i="49"/>
  <c r="AV131" i="49"/>
  <c r="AV132" i="49"/>
  <c r="AV133" i="49"/>
  <c r="AV134" i="49"/>
  <c r="AV135" i="49"/>
  <c r="AV136" i="49"/>
  <c r="AV137" i="49"/>
  <c r="AV138" i="49"/>
  <c r="AV139" i="49"/>
  <c r="AV3" i="49"/>
  <c r="BD4" i="49"/>
  <c r="BD5" i="49"/>
  <c r="BD6" i="49"/>
  <c r="BD7" i="49"/>
  <c r="BD8" i="49"/>
  <c r="BD9" i="49"/>
  <c r="BD10" i="49"/>
  <c r="BD11" i="49"/>
  <c r="BD12" i="49"/>
  <c r="BD13" i="49"/>
  <c r="BD14" i="49"/>
  <c r="BD15" i="49"/>
  <c r="BD16" i="49"/>
  <c r="BD17" i="49"/>
  <c r="BD18" i="49"/>
  <c r="BD19" i="49"/>
  <c r="BD20" i="49"/>
  <c r="BD21" i="49"/>
  <c r="BD22" i="49"/>
  <c r="BD23" i="49"/>
  <c r="BD24" i="49"/>
  <c r="BD25" i="49"/>
  <c r="BD26" i="49"/>
  <c r="BD27" i="49"/>
  <c r="BD28" i="49"/>
  <c r="BD29" i="49"/>
  <c r="BD30" i="49"/>
  <c r="BD31" i="49"/>
  <c r="BD32" i="49"/>
  <c r="BD33" i="49"/>
  <c r="BD34" i="49"/>
  <c r="BD35" i="49"/>
  <c r="BD36" i="49"/>
  <c r="BD37" i="49"/>
  <c r="BD38" i="49"/>
  <c r="BD39" i="49"/>
  <c r="BD40" i="49"/>
  <c r="BD41" i="49"/>
  <c r="BD42" i="49"/>
  <c r="BD43" i="49"/>
  <c r="BD44" i="49"/>
  <c r="BD45" i="49"/>
  <c r="BD46" i="49"/>
  <c r="BD47" i="49"/>
  <c r="BD48" i="49"/>
  <c r="BD49" i="49"/>
  <c r="BD50" i="49"/>
  <c r="BD51" i="49"/>
  <c r="BD52" i="49"/>
  <c r="BD53" i="49"/>
  <c r="BD54" i="49"/>
  <c r="BD55" i="49"/>
  <c r="BD56" i="49"/>
  <c r="BD57" i="49"/>
  <c r="BD58" i="49"/>
  <c r="BD59" i="49"/>
  <c r="BD60" i="49"/>
  <c r="BD61" i="49"/>
  <c r="BD62" i="49"/>
  <c r="BD63" i="49"/>
  <c r="BD64" i="49"/>
  <c r="BD65" i="49"/>
  <c r="BD66" i="49"/>
  <c r="BD67" i="49"/>
  <c r="BD68" i="49"/>
  <c r="BD69" i="49"/>
  <c r="BD70" i="49"/>
  <c r="BD71" i="49"/>
  <c r="BD72" i="49"/>
  <c r="BD73" i="49"/>
  <c r="BD74" i="49"/>
  <c r="BD75" i="49"/>
  <c r="BD76" i="49"/>
  <c r="BD77" i="49"/>
  <c r="BD78" i="49"/>
  <c r="BD79" i="49"/>
  <c r="BD80" i="49"/>
  <c r="BD81" i="49"/>
  <c r="BD82" i="49"/>
  <c r="BD83" i="49"/>
  <c r="BD84" i="49"/>
  <c r="BD85" i="49"/>
  <c r="BD86" i="49"/>
  <c r="BD87" i="49"/>
  <c r="BD88" i="49"/>
  <c r="BD89" i="49"/>
  <c r="BD90" i="49"/>
  <c r="BD91" i="49"/>
  <c r="BD92" i="49"/>
  <c r="BD93" i="49"/>
  <c r="BD94" i="49"/>
  <c r="BD95" i="49"/>
  <c r="BD96" i="49"/>
  <c r="BD97" i="49"/>
  <c r="BD98" i="49"/>
  <c r="BD99" i="49"/>
  <c r="BD100" i="49"/>
  <c r="BD101" i="49"/>
  <c r="BD102" i="49"/>
  <c r="BD103" i="49"/>
  <c r="BD104" i="49"/>
  <c r="BD105" i="49"/>
  <c r="BD106" i="49"/>
  <c r="BD107" i="49"/>
  <c r="BD108" i="49"/>
  <c r="BD109" i="49"/>
  <c r="BD110" i="49"/>
  <c r="BD111" i="49"/>
  <c r="BD112" i="49"/>
  <c r="BD113" i="49"/>
  <c r="BD114" i="49"/>
  <c r="BD115" i="49"/>
  <c r="BD116" i="49"/>
  <c r="BD117" i="49"/>
  <c r="BD118" i="49"/>
  <c r="BD119" i="49"/>
  <c r="BD120" i="49"/>
  <c r="BD121" i="49"/>
  <c r="BD122" i="49"/>
  <c r="BD123" i="49"/>
  <c r="BD124" i="49"/>
  <c r="BD125" i="49"/>
  <c r="BD126" i="49"/>
  <c r="BD127" i="49"/>
  <c r="BD128" i="49"/>
  <c r="BD129" i="49"/>
  <c r="BD130" i="49"/>
  <c r="BD131" i="49"/>
  <c r="BD132" i="49"/>
  <c r="BD133" i="49"/>
  <c r="BD134" i="49"/>
  <c r="BD135" i="49"/>
  <c r="BD136" i="49"/>
  <c r="BD137" i="49"/>
  <c r="BD138" i="49"/>
  <c r="BD139" i="49"/>
  <c r="BD3" i="49"/>
  <c r="CZ14" i="49"/>
  <c r="CZ15" i="49"/>
  <c r="CZ16" i="49"/>
  <c r="CZ17" i="49"/>
  <c r="CZ13" i="49"/>
  <c r="CU19" i="49"/>
  <c r="CL14" i="49"/>
  <c r="CL15" i="49"/>
  <c r="CL16" i="49"/>
  <c r="CL17" i="49"/>
  <c r="CL13" i="49"/>
  <c r="CG19" i="49"/>
  <c r="BS663" i="22" l="1"/>
  <c r="O663" i="22"/>
  <c r="BS672" i="22"/>
  <c r="O672" i="22"/>
  <c r="BI827" i="22"/>
  <c r="BD827" i="22"/>
  <c r="BD891" i="22"/>
  <c r="BI891" i="22"/>
  <c r="BI1009" i="22"/>
  <c r="BD1009" i="22"/>
  <c r="BD795" i="22"/>
  <c r="BI795" i="22"/>
  <c r="BI806" i="22"/>
  <c r="BD806" i="22"/>
  <c r="BD890" i="22"/>
  <c r="BI890" i="22"/>
  <c r="BD970" i="22"/>
  <c r="BI970" i="22"/>
  <c r="BD794" i="22"/>
  <c r="BI794" i="22"/>
  <c r="BI805" i="22"/>
  <c r="BD805" i="22"/>
  <c r="BI946" i="22"/>
  <c r="BD946" i="22"/>
  <c r="BD926" i="22"/>
  <c r="BI926" i="22"/>
  <c r="BI987" i="22"/>
  <c r="BD987" i="22"/>
  <c r="BI824" i="22"/>
  <c r="BD824" i="22"/>
  <c r="BI888" i="22"/>
  <c r="BD888" i="22"/>
  <c r="BI968" i="22"/>
  <c r="BD968" i="22"/>
  <c r="BD823" i="22"/>
  <c r="BI823" i="22"/>
  <c r="BI944" i="22"/>
  <c r="BD944" i="22"/>
  <c r="BD822" i="22"/>
  <c r="BI822" i="22"/>
  <c r="BD911" i="22"/>
  <c r="BI911" i="22"/>
  <c r="BD923" i="22"/>
  <c r="BI923" i="22"/>
  <c r="BD958" i="22"/>
  <c r="BI958" i="22"/>
  <c r="BI966" i="22"/>
  <c r="BD966" i="22"/>
  <c r="BI984" i="22"/>
  <c r="BD984" i="22"/>
  <c r="BD790" i="22"/>
  <c r="BI790" i="22"/>
  <c r="BI769" i="22"/>
  <c r="BD769" i="22"/>
  <c r="BI821" i="22"/>
  <c r="BD821" i="22"/>
  <c r="BI837" i="22"/>
  <c r="BD837" i="22"/>
  <c r="BD856" i="22"/>
  <c r="BI856" i="22"/>
  <c r="BI874" i="22"/>
  <c r="BD874" i="22"/>
  <c r="BD910" i="22"/>
  <c r="BI910" i="22"/>
  <c r="BI942" i="22"/>
  <c r="BD942" i="22"/>
  <c r="BI922" i="22"/>
  <c r="BD922" i="22"/>
  <c r="BD957" i="22"/>
  <c r="BI957" i="22"/>
  <c r="BD948" i="22"/>
  <c r="BI948" i="22"/>
  <c r="BI1003" i="22"/>
  <c r="BD1003" i="22"/>
  <c r="BD983" i="22"/>
  <c r="BI983" i="22"/>
  <c r="BD971" i="22"/>
  <c r="BI971" i="22"/>
  <c r="BI861" i="22"/>
  <c r="BD861" i="22"/>
  <c r="BI927" i="22"/>
  <c r="BD927" i="22"/>
  <c r="BD988" i="22"/>
  <c r="BI988" i="22"/>
  <c r="BD773" i="22"/>
  <c r="BI773" i="22"/>
  <c r="BI878" i="22"/>
  <c r="BD878" i="22"/>
  <c r="BD961" i="22"/>
  <c r="BI961" i="22"/>
  <c r="BI793" i="22"/>
  <c r="BD793" i="22"/>
  <c r="BD945" i="22"/>
  <c r="BI945" i="22"/>
  <c r="BI803" i="22"/>
  <c r="BD803" i="22"/>
  <c r="BI924" i="22"/>
  <c r="BD924" i="22"/>
  <c r="BI1005" i="22"/>
  <c r="BD1005" i="22"/>
  <c r="BI857" i="22"/>
  <c r="BD857" i="22"/>
  <c r="BI768" i="22"/>
  <c r="BI873" i="22"/>
  <c r="BD873" i="22"/>
  <c r="BI921" i="22"/>
  <c r="BD921" i="22"/>
  <c r="BI912" i="22"/>
  <c r="BD912" i="22"/>
  <c r="BI982" i="22"/>
  <c r="BD982" i="22"/>
  <c r="BI767" i="22"/>
  <c r="BD854" i="22"/>
  <c r="BI854" i="22"/>
  <c r="BI920" i="22"/>
  <c r="BD920" i="22"/>
  <c r="BD1001" i="22"/>
  <c r="BI1001" i="22"/>
  <c r="BD818" i="22"/>
  <c r="BI818" i="22"/>
  <c r="BI871" i="22"/>
  <c r="BD871" i="22"/>
  <c r="BD919" i="22"/>
  <c r="BI919" i="22"/>
  <c r="BI1000" i="22"/>
  <c r="BD1000" i="22"/>
  <c r="BI817" i="22"/>
  <c r="BD817" i="22"/>
  <c r="BI852" i="22"/>
  <c r="BD852" i="22"/>
  <c r="BD906" i="22"/>
  <c r="BI906" i="22"/>
  <c r="BD953" i="22"/>
  <c r="BI953" i="22"/>
  <c r="BD999" i="22"/>
  <c r="BI999" i="22"/>
  <c r="BD816" i="22"/>
  <c r="BI816" i="22"/>
  <c r="BI905" i="22"/>
  <c r="BD905" i="22"/>
  <c r="BD952" i="22"/>
  <c r="BI952" i="22"/>
  <c r="BI998" i="22"/>
  <c r="BD998" i="22"/>
  <c r="BD815" i="22"/>
  <c r="BI815" i="22"/>
  <c r="BI850" i="22"/>
  <c r="BD850" i="22"/>
  <c r="BD904" i="22"/>
  <c r="BI904" i="22"/>
  <c r="BD936" i="22"/>
  <c r="BI936" i="22"/>
  <c r="BD979" i="22"/>
  <c r="BI979" i="22"/>
  <c r="BI782" i="22"/>
  <c r="BD782" i="22"/>
  <c r="BI814" i="22"/>
  <c r="BD814" i="22"/>
  <c r="BI849" i="22"/>
  <c r="BD849" i="22"/>
  <c r="BD935" i="22"/>
  <c r="BI935" i="22"/>
  <c r="BD915" i="22"/>
  <c r="BI915" i="22"/>
  <c r="BD1016" i="22"/>
  <c r="BI1016" i="22"/>
  <c r="BI996" i="22"/>
  <c r="BD996" i="22"/>
  <c r="V757" i="22"/>
  <c r="BB757" i="22" s="1"/>
  <c r="Z757" i="22"/>
  <c r="BD781" i="22"/>
  <c r="BI781" i="22"/>
  <c r="V761" i="22"/>
  <c r="BB761" i="22" s="1"/>
  <c r="Z761" i="22"/>
  <c r="BI813" i="22"/>
  <c r="BD813" i="22"/>
  <c r="BI829" i="22"/>
  <c r="BD829" i="22"/>
  <c r="BD848" i="22"/>
  <c r="BI848" i="22"/>
  <c r="BI886" i="22"/>
  <c r="BD886" i="22"/>
  <c r="BI902" i="22"/>
  <c r="BD902" i="22"/>
  <c r="BI934" i="22"/>
  <c r="BD934" i="22"/>
  <c r="BD914" i="22"/>
  <c r="BI914" i="22"/>
  <c r="BI977" i="22"/>
  <c r="BD977" i="22"/>
  <c r="BD1015" i="22"/>
  <c r="BI1015" i="22"/>
  <c r="BD995" i="22"/>
  <c r="BI995" i="22"/>
  <c r="BD887" i="22"/>
  <c r="BI887" i="22"/>
  <c r="BD831" i="22"/>
  <c r="BI831" i="22"/>
  <c r="BD903" i="22"/>
  <c r="BI903" i="22"/>
  <c r="BI801" i="22"/>
  <c r="BD801" i="22"/>
  <c r="BI780" i="22"/>
  <c r="BD780" i="22"/>
  <c r="V760" i="22"/>
  <c r="BJ760" i="22" s="1"/>
  <c r="Z760" i="22"/>
  <c r="BD812" i="22"/>
  <c r="BI812" i="22"/>
  <c r="BI847" i="22"/>
  <c r="BD847" i="22"/>
  <c r="V846" i="22"/>
  <c r="BG846" i="22" s="1"/>
  <c r="Z846" i="22"/>
  <c r="BI896" i="22"/>
  <c r="BD896" i="22"/>
  <c r="BD901" i="22"/>
  <c r="BI901" i="22"/>
  <c r="BD933" i="22"/>
  <c r="BI933" i="22"/>
  <c r="BI949" i="22"/>
  <c r="BD949" i="22"/>
  <c r="BD976" i="22"/>
  <c r="BI976" i="22"/>
  <c r="BD1014" i="22"/>
  <c r="BI1014" i="22"/>
  <c r="BD994" i="22"/>
  <c r="BI994" i="22"/>
  <c r="BD770" i="22"/>
  <c r="BI770" i="22"/>
  <c r="V755" i="22"/>
  <c r="BB755" i="22" s="1"/>
  <c r="Z755" i="22"/>
  <c r="BD807" i="22"/>
  <c r="BI807" i="22"/>
  <c r="BI880" i="22"/>
  <c r="BD880" i="22"/>
  <c r="BD963" i="22"/>
  <c r="BI963" i="22"/>
  <c r="BI774" i="22"/>
  <c r="BD774" i="22"/>
  <c r="BI947" i="22"/>
  <c r="BD947" i="22"/>
  <c r="BI1008" i="22"/>
  <c r="BD1008" i="22"/>
  <c r="BD825" i="22"/>
  <c r="BI825" i="22"/>
  <c r="BI889" i="22"/>
  <c r="BD889" i="22"/>
  <c r="BD1007" i="22"/>
  <c r="BI1007" i="22"/>
  <c r="BD804" i="22"/>
  <c r="BI804" i="22"/>
  <c r="BD960" i="22"/>
  <c r="BI960" i="22"/>
  <c r="BI986" i="22"/>
  <c r="BD986" i="22"/>
  <c r="BD792" i="22"/>
  <c r="BI792" i="22"/>
  <c r="BI858" i="22"/>
  <c r="BD858" i="22"/>
  <c r="BD967" i="22"/>
  <c r="BI967" i="22"/>
  <c r="BD802" i="22"/>
  <c r="BI802" i="22"/>
  <c r="BI943" i="22"/>
  <c r="BD943" i="22"/>
  <c r="BD836" i="22"/>
  <c r="BI836" i="22"/>
  <c r="BD941" i="22"/>
  <c r="BI941" i="22"/>
  <c r="BD1002" i="22"/>
  <c r="BI1002" i="22"/>
  <c r="BI819" i="22"/>
  <c r="BD819" i="22"/>
  <c r="BD908" i="22"/>
  <c r="BI908" i="22"/>
  <c r="BD955" i="22"/>
  <c r="BI955" i="22"/>
  <c r="BD980" i="22"/>
  <c r="BI980" i="22"/>
  <c r="BD787" i="22"/>
  <c r="BI787" i="22"/>
  <c r="V834" i="22"/>
  <c r="Z834" i="22"/>
  <c r="BI907" i="22"/>
  <c r="BD907" i="22"/>
  <c r="BD981" i="22"/>
  <c r="BI981" i="22"/>
  <c r="BI765" i="22"/>
  <c r="BD870" i="22"/>
  <c r="BI870" i="22"/>
  <c r="BI918" i="22"/>
  <c r="BD918" i="22"/>
  <c r="BD785" i="22"/>
  <c r="BI785" i="22"/>
  <c r="BI832" i="22"/>
  <c r="BD832" i="22"/>
  <c r="BI937" i="22"/>
  <c r="BD937" i="22"/>
  <c r="BD1018" i="22"/>
  <c r="BI1018" i="22"/>
  <c r="V763" i="22"/>
  <c r="BB763" i="22" s="1"/>
  <c r="Z763" i="22"/>
  <c r="BD868" i="22"/>
  <c r="BI868" i="22"/>
  <c r="BD916" i="22"/>
  <c r="BI916" i="22"/>
  <c r="BD1017" i="22"/>
  <c r="BI1017" i="22"/>
  <c r="V762" i="22"/>
  <c r="BB762" i="22" s="1"/>
  <c r="Z762" i="22"/>
  <c r="BD830" i="22"/>
  <c r="BI830" i="22"/>
  <c r="BI867" i="22"/>
  <c r="BD867" i="22"/>
  <c r="BI978" i="22"/>
  <c r="BD978" i="22"/>
  <c r="BD800" i="22"/>
  <c r="BI800" i="22"/>
  <c r="BD779" i="22"/>
  <c r="BI779" i="22"/>
  <c r="V759" i="22"/>
  <c r="BB759" i="22" s="1"/>
  <c r="Z759" i="22"/>
  <c r="BD811" i="22"/>
  <c r="BI811" i="22"/>
  <c r="BD866" i="22"/>
  <c r="BI866" i="22"/>
  <c r="BD884" i="22"/>
  <c r="BI884" i="22"/>
  <c r="BD895" i="22"/>
  <c r="BI895" i="22"/>
  <c r="BI900" i="22"/>
  <c r="BD900" i="22"/>
  <c r="BI932" i="22"/>
  <c r="BD932" i="22"/>
  <c r="BD951" i="22"/>
  <c r="BI951" i="22"/>
  <c r="BI975" i="22"/>
  <c r="BD975" i="22"/>
  <c r="BI1013" i="22"/>
  <c r="BD1013" i="22"/>
  <c r="BI993" i="22"/>
  <c r="BD993" i="22"/>
  <c r="BD799" i="22"/>
  <c r="BI799" i="22"/>
  <c r="BI778" i="22"/>
  <c r="BD778" i="22"/>
  <c r="V758" i="22"/>
  <c r="BB758" i="22" s="1"/>
  <c r="Z758" i="22"/>
  <c r="BD810" i="22"/>
  <c r="BI810" i="22"/>
  <c r="BI865" i="22"/>
  <c r="BD865" i="22"/>
  <c r="BD883" i="22"/>
  <c r="BI883" i="22"/>
  <c r="BD894" i="22"/>
  <c r="BI894" i="22"/>
  <c r="BI899" i="22"/>
  <c r="BD899" i="22"/>
  <c r="BI931" i="22"/>
  <c r="BD931" i="22"/>
  <c r="BD950" i="22"/>
  <c r="BI950" i="22"/>
  <c r="BD974" i="22"/>
  <c r="BI974" i="22"/>
  <c r="BD1012" i="22"/>
  <c r="BI1012" i="22"/>
  <c r="BD992" i="22"/>
  <c r="BI992" i="22"/>
  <c r="BD775" i="22"/>
  <c r="BI775" i="22"/>
  <c r="BI913" i="22"/>
  <c r="BD913" i="22"/>
  <c r="BI859" i="22"/>
  <c r="BD859" i="22"/>
  <c r="BI851" i="22"/>
  <c r="BD851" i="22"/>
  <c r="BI798" i="22"/>
  <c r="BD798" i="22"/>
  <c r="BI882" i="22"/>
  <c r="BD882" i="22"/>
  <c r="BD930" i="22"/>
  <c r="BI930" i="22"/>
  <c r="BI973" i="22"/>
  <c r="BD973" i="22"/>
  <c r="BD1011" i="22"/>
  <c r="BI1011" i="22"/>
  <c r="BD796" i="22"/>
  <c r="BI796" i="22"/>
  <c r="BI862" i="22"/>
  <c r="BD862" i="22"/>
  <c r="BI928" i="22"/>
  <c r="BD928" i="22"/>
  <c r="BD989" i="22"/>
  <c r="BI989" i="22"/>
  <c r="BD826" i="22"/>
  <c r="BI826" i="22"/>
  <c r="BI879" i="22"/>
  <c r="BD879" i="22"/>
  <c r="BD962" i="22"/>
  <c r="BI962" i="22"/>
  <c r="BI860" i="22"/>
  <c r="BD860" i="22"/>
  <c r="BI969" i="22"/>
  <c r="BD969" i="22"/>
  <c r="BD772" i="22"/>
  <c r="BI772" i="22"/>
  <c r="BI877" i="22"/>
  <c r="BD877" i="22"/>
  <c r="BI925" i="22"/>
  <c r="BD925" i="22"/>
  <c r="BD1006" i="22"/>
  <c r="BI1006" i="22"/>
  <c r="BI771" i="22"/>
  <c r="BD771" i="22"/>
  <c r="BD876" i="22"/>
  <c r="BI876" i="22"/>
  <c r="BD959" i="22"/>
  <c r="BI959" i="22"/>
  <c r="BI985" i="22"/>
  <c r="BD985" i="22"/>
  <c r="BD791" i="22"/>
  <c r="BI791" i="22"/>
  <c r="BD875" i="22"/>
  <c r="BI875" i="22"/>
  <c r="BD1004" i="22"/>
  <c r="BI1004" i="22"/>
  <c r="BI789" i="22"/>
  <c r="BD789" i="22"/>
  <c r="BD820" i="22"/>
  <c r="BI820" i="22"/>
  <c r="BD855" i="22"/>
  <c r="BI855" i="22"/>
  <c r="BD909" i="22"/>
  <c r="BI909" i="22"/>
  <c r="BI956" i="22"/>
  <c r="BD956" i="22"/>
  <c r="BI788" i="22"/>
  <c r="BD788" i="22"/>
  <c r="BD835" i="22"/>
  <c r="BI835" i="22"/>
  <c r="BD872" i="22"/>
  <c r="BI872" i="22"/>
  <c r="BI940" i="22"/>
  <c r="BD940" i="22"/>
  <c r="BI885" i="22"/>
  <c r="BD885" i="22"/>
  <c r="BI766" i="22"/>
  <c r="BI853" i="22"/>
  <c r="BD853" i="22"/>
  <c r="BI939" i="22"/>
  <c r="BD939" i="22"/>
  <c r="BI954" i="22"/>
  <c r="BD954" i="22"/>
  <c r="BD786" i="22"/>
  <c r="BI786" i="22"/>
  <c r="V833" i="22"/>
  <c r="Z833" i="22"/>
  <c r="BI938" i="22"/>
  <c r="BD938" i="22"/>
  <c r="BD1019" i="22"/>
  <c r="BI1019" i="22"/>
  <c r="V764" i="22"/>
  <c r="BG764" i="22" s="1"/>
  <c r="Z764" i="22"/>
  <c r="BI869" i="22"/>
  <c r="BD869" i="22"/>
  <c r="BD917" i="22"/>
  <c r="BI917" i="22"/>
  <c r="N783" i="22"/>
  <c r="Z783" i="22"/>
  <c r="BD997" i="22"/>
  <c r="BI997" i="22"/>
  <c r="BD777" i="22"/>
  <c r="BI777" i="22"/>
  <c r="V756" i="22"/>
  <c r="BB756" i="22" s="1"/>
  <c r="Z756" i="22"/>
  <c r="BI809" i="22"/>
  <c r="BD809" i="22"/>
  <c r="BD864" i="22"/>
  <c r="BI864" i="22"/>
  <c r="BI893" i="22"/>
  <c r="BD893" i="22"/>
  <c r="BI898" i="22"/>
  <c r="BD898" i="22"/>
  <c r="BD965" i="22"/>
  <c r="BI965" i="22"/>
  <c r="BD991" i="22"/>
  <c r="BI991" i="22"/>
  <c r="BD797" i="22"/>
  <c r="BI797" i="22"/>
  <c r="BD776" i="22"/>
  <c r="BI776" i="22"/>
  <c r="BI828" i="22"/>
  <c r="BD828" i="22"/>
  <c r="BI808" i="22"/>
  <c r="BD808" i="22"/>
  <c r="BD863" i="22"/>
  <c r="BI863" i="22"/>
  <c r="BD881" i="22"/>
  <c r="BI881" i="22"/>
  <c r="BI892" i="22"/>
  <c r="BD892" i="22"/>
  <c r="BI897" i="22"/>
  <c r="BD897" i="22"/>
  <c r="BD929" i="22"/>
  <c r="BI929" i="22"/>
  <c r="BD964" i="22"/>
  <c r="BI964" i="22"/>
  <c r="BD972" i="22"/>
  <c r="BI972" i="22"/>
  <c r="BD1010" i="22"/>
  <c r="BI1010" i="22"/>
  <c r="BD990" i="22"/>
  <c r="BI990" i="22"/>
  <c r="N850" i="22"/>
  <c r="V850" i="22"/>
  <c r="N1009" i="22"/>
  <c r="V1009" i="22"/>
  <c r="N865" i="22"/>
  <c r="V865" i="22"/>
  <c r="N849" i="22"/>
  <c r="V849" i="22"/>
  <c r="N871" i="22"/>
  <c r="V871" i="22"/>
  <c r="N911" i="22"/>
  <c r="V911" i="22"/>
  <c r="N947" i="22"/>
  <c r="V947" i="22"/>
  <c r="N931" i="22"/>
  <c r="V931" i="22"/>
  <c r="N915" i="22"/>
  <c r="V915" i="22"/>
  <c r="N954" i="22"/>
  <c r="V954" i="22"/>
  <c r="N966" i="22"/>
  <c r="V966" i="22"/>
  <c r="N1008" i="22"/>
  <c r="V1008" i="22"/>
  <c r="N992" i="22"/>
  <c r="V992" i="22"/>
  <c r="N866" i="22"/>
  <c r="V866" i="22"/>
  <c r="N967" i="22"/>
  <c r="V967" i="22"/>
  <c r="N864" i="22"/>
  <c r="V864" i="22"/>
  <c r="N848" i="22"/>
  <c r="V848" i="22"/>
  <c r="N870" i="22"/>
  <c r="V870" i="22"/>
  <c r="N910" i="22"/>
  <c r="V910" i="22"/>
  <c r="N946" i="22"/>
  <c r="V946" i="22"/>
  <c r="N930" i="22"/>
  <c r="V930" i="22"/>
  <c r="N914" i="22"/>
  <c r="V914" i="22"/>
  <c r="N953" i="22"/>
  <c r="V953" i="22"/>
  <c r="N948" i="22"/>
  <c r="V948" i="22"/>
  <c r="N1007" i="22"/>
  <c r="V1007" i="22"/>
  <c r="N991" i="22"/>
  <c r="V991" i="22"/>
  <c r="N913" i="22"/>
  <c r="V913" i="22"/>
  <c r="N862" i="22"/>
  <c r="V862" i="22"/>
  <c r="N868" i="22"/>
  <c r="V868" i="22"/>
  <c r="N908" i="22"/>
  <c r="V908" i="22"/>
  <c r="N944" i="22"/>
  <c r="V944" i="22"/>
  <c r="N928" i="22"/>
  <c r="V928" i="22"/>
  <c r="N951" i="22"/>
  <c r="V951" i="22"/>
  <c r="N979" i="22"/>
  <c r="V979" i="22"/>
  <c r="N885" i="22"/>
  <c r="V885" i="22"/>
  <c r="N1005" i="22"/>
  <c r="V1005" i="22"/>
  <c r="N989" i="22"/>
  <c r="V989" i="22"/>
  <c r="N872" i="22"/>
  <c r="V872" i="22"/>
  <c r="N863" i="22"/>
  <c r="V863" i="22"/>
  <c r="N1006" i="22"/>
  <c r="V1006" i="22"/>
  <c r="N861" i="22"/>
  <c r="V861" i="22"/>
  <c r="N867" i="22"/>
  <c r="V867" i="22"/>
  <c r="N907" i="22"/>
  <c r="V907" i="22"/>
  <c r="N943" i="22"/>
  <c r="V943" i="22"/>
  <c r="N927" i="22"/>
  <c r="V927" i="22"/>
  <c r="N950" i="22"/>
  <c r="V950" i="22"/>
  <c r="N978" i="22"/>
  <c r="V978" i="22"/>
  <c r="N981" i="22"/>
  <c r="V981" i="22"/>
  <c r="N1004" i="22"/>
  <c r="V1004" i="22"/>
  <c r="N988" i="22"/>
  <c r="V988" i="22"/>
  <c r="N932" i="22"/>
  <c r="V932" i="22"/>
  <c r="N949" i="22"/>
  <c r="V949" i="22"/>
  <c r="N860" i="22"/>
  <c r="V860" i="22"/>
  <c r="N882" i="22"/>
  <c r="V882" i="22"/>
  <c r="N886" i="22"/>
  <c r="V886" i="22"/>
  <c r="N906" i="22"/>
  <c r="V906" i="22"/>
  <c r="N942" i="22"/>
  <c r="V942" i="22"/>
  <c r="N926" i="22"/>
  <c r="V926" i="22"/>
  <c r="N965" i="22"/>
  <c r="V965" i="22"/>
  <c r="N977" i="22"/>
  <c r="V977" i="22"/>
  <c r="N1019" i="22"/>
  <c r="V1019" i="22"/>
  <c r="N1003" i="22"/>
  <c r="V1003" i="22"/>
  <c r="N987" i="22"/>
  <c r="V987" i="22"/>
  <c r="N887" i="22"/>
  <c r="V887" i="22"/>
  <c r="N929" i="22"/>
  <c r="V929" i="22"/>
  <c r="N990" i="22"/>
  <c r="V990" i="22"/>
  <c r="N859" i="22"/>
  <c r="V859" i="22"/>
  <c r="N881" i="22"/>
  <c r="V881" i="22"/>
  <c r="N896" i="22"/>
  <c r="V896" i="22"/>
  <c r="N905" i="22"/>
  <c r="V905" i="22"/>
  <c r="N941" i="22"/>
  <c r="V941" i="22"/>
  <c r="N925" i="22"/>
  <c r="V925" i="22"/>
  <c r="N964" i="22"/>
  <c r="V964" i="22"/>
  <c r="N976" i="22"/>
  <c r="V976" i="22"/>
  <c r="N1018" i="22"/>
  <c r="V1018" i="22"/>
  <c r="N1002" i="22"/>
  <c r="V1002" i="22"/>
  <c r="N986" i="22"/>
  <c r="V986" i="22"/>
  <c r="N916" i="22"/>
  <c r="V916" i="22"/>
  <c r="N945" i="22"/>
  <c r="V945" i="22"/>
  <c r="N858" i="22"/>
  <c r="V858" i="22"/>
  <c r="N880" i="22"/>
  <c r="V880" i="22"/>
  <c r="N895" i="22"/>
  <c r="V895" i="22"/>
  <c r="N904" i="22"/>
  <c r="V904" i="22"/>
  <c r="N940" i="22"/>
  <c r="V940" i="22"/>
  <c r="N924" i="22"/>
  <c r="V924" i="22"/>
  <c r="N963" i="22"/>
  <c r="V963" i="22"/>
  <c r="N975" i="22"/>
  <c r="V975" i="22"/>
  <c r="N1017" i="22"/>
  <c r="V1017" i="22"/>
  <c r="N1001" i="22"/>
  <c r="V1001" i="22"/>
  <c r="N985" i="22"/>
  <c r="V985" i="22"/>
  <c r="N993" i="22"/>
  <c r="V993" i="22"/>
  <c r="N909" i="22"/>
  <c r="V909" i="22"/>
  <c r="N857" i="22"/>
  <c r="V857" i="22"/>
  <c r="N879" i="22"/>
  <c r="V879" i="22"/>
  <c r="N894" i="22"/>
  <c r="V894" i="22"/>
  <c r="N903" i="22"/>
  <c r="V903" i="22"/>
  <c r="N939" i="22"/>
  <c r="V939" i="22"/>
  <c r="N923" i="22"/>
  <c r="V923" i="22"/>
  <c r="N962" i="22"/>
  <c r="V962" i="22"/>
  <c r="N974" i="22"/>
  <c r="V974" i="22"/>
  <c r="N1016" i="22"/>
  <c r="V1016" i="22"/>
  <c r="N1000" i="22"/>
  <c r="V1000" i="22"/>
  <c r="N984" i="22"/>
  <c r="V984" i="22"/>
  <c r="N955" i="22"/>
  <c r="V955" i="22"/>
  <c r="N912" i="22"/>
  <c r="V912" i="22"/>
  <c r="N856" i="22"/>
  <c r="V856" i="22"/>
  <c r="N878" i="22"/>
  <c r="V878" i="22"/>
  <c r="N893" i="22"/>
  <c r="V893" i="22"/>
  <c r="N902" i="22"/>
  <c r="V902" i="22"/>
  <c r="N938" i="22"/>
  <c r="V938" i="22"/>
  <c r="N922" i="22"/>
  <c r="V922" i="22"/>
  <c r="N961" i="22"/>
  <c r="V961" i="22"/>
  <c r="N973" i="22"/>
  <c r="V973" i="22"/>
  <c r="N1015" i="22"/>
  <c r="V1015" i="22"/>
  <c r="N999" i="22"/>
  <c r="V999" i="22"/>
  <c r="N983" i="22"/>
  <c r="V983" i="22"/>
  <c r="N869" i="22"/>
  <c r="V869" i="22"/>
  <c r="N952" i="22"/>
  <c r="V952" i="22"/>
  <c r="N855" i="22"/>
  <c r="V855" i="22"/>
  <c r="N877" i="22"/>
  <c r="V877" i="22"/>
  <c r="N892" i="22"/>
  <c r="V892" i="22"/>
  <c r="N901" i="22"/>
  <c r="V901" i="22"/>
  <c r="N937" i="22"/>
  <c r="V937" i="22"/>
  <c r="N921" i="22"/>
  <c r="V921" i="22"/>
  <c r="N960" i="22"/>
  <c r="V960" i="22"/>
  <c r="N972" i="22"/>
  <c r="V972" i="22"/>
  <c r="N1014" i="22"/>
  <c r="V1014" i="22"/>
  <c r="N998" i="22"/>
  <c r="V998" i="22"/>
  <c r="N982" i="22"/>
  <c r="V982" i="22"/>
  <c r="N980" i="22"/>
  <c r="V980" i="22"/>
  <c r="N854" i="22"/>
  <c r="V854" i="22"/>
  <c r="N900" i="22"/>
  <c r="V900" i="22"/>
  <c r="N959" i="22"/>
  <c r="V959" i="22"/>
  <c r="N1013" i="22"/>
  <c r="V1013" i="22"/>
  <c r="N853" i="22"/>
  <c r="V853" i="22"/>
  <c r="N875" i="22"/>
  <c r="V875" i="22"/>
  <c r="N890" i="22"/>
  <c r="V890" i="22"/>
  <c r="N899" i="22"/>
  <c r="V899" i="22"/>
  <c r="N935" i="22"/>
  <c r="V935" i="22"/>
  <c r="N919" i="22"/>
  <c r="V919" i="22"/>
  <c r="N958" i="22"/>
  <c r="V958" i="22"/>
  <c r="N970" i="22"/>
  <c r="V970" i="22"/>
  <c r="N1012" i="22"/>
  <c r="V1012" i="22"/>
  <c r="N996" i="22"/>
  <c r="V996" i="22"/>
  <c r="N876" i="22"/>
  <c r="V876" i="22"/>
  <c r="N936" i="22"/>
  <c r="V936" i="22"/>
  <c r="N997" i="22"/>
  <c r="V997" i="22"/>
  <c r="N852" i="22"/>
  <c r="V852" i="22"/>
  <c r="N874" i="22"/>
  <c r="V874" i="22"/>
  <c r="N889" i="22"/>
  <c r="V889" i="22"/>
  <c r="N898" i="22"/>
  <c r="V898" i="22"/>
  <c r="N934" i="22"/>
  <c r="V934" i="22"/>
  <c r="N918" i="22"/>
  <c r="V918" i="22"/>
  <c r="N957" i="22"/>
  <c r="V957" i="22"/>
  <c r="N969" i="22"/>
  <c r="V969" i="22"/>
  <c r="N1011" i="22"/>
  <c r="V1011" i="22"/>
  <c r="N995" i="22"/>
  <c r="V995" i="22"/>
  <c r="N891" i="22"/>
  <c r="V891" i="22"/>
  <c r="N920" i="22"/>
  <c r="V920" i="22"/>
  <c r="N971" i="22"/>
  <c r="V971" i="22"/>
  <c r="N847" i="22"/>
  <c r="V847" i="22"/>
  <c r="N851" i="22"/>
  <c r="V851" i="22"/>
  <c r="N873" i="22"/>
  <c r="V873" i="22"/>
  <c r="N888" i="22"/>
  <c r="V888" i="22"/>
  <c r="N897" i="22"/>
  <c r="V897" i="22"/>
  <c r="N933" i="22"/>
  <c r="V933" i="22"/>
  <c r="N917" i="22"/>
  <c r="V917" i="22"/>
  <c r="N956" i="22"/>
  <c r="V956" i="22"/>
  <c r="N968" i="22"/>
  <c r="V968" i="22"/>
  <c r="N1010" i="22"/>
  <c r="V1010" i="22"/>
  <c r="N994" i="22"/>
  <c r="V994" i="22"/>
  <c r="N884" i="22"/>
  <c r="V884" i="22"/>
  <c r="N883" i="22"/>
  <c r="V883" i="22"/>
  <c r="V837" i="22"/>
  <c r="N837" i="22"/>
  <c r="V836" i="22"/>
  <c r="N836" i="22"/>
  <c r="V835" i="22"/>
  <c r="N835" i="22"/>
  <c r="N846" i="22"/>
  <c r="N815" i="22"/>
  <c r="V815" i="22"/>
  <c r="N794" i="22"/>
  <c r="V794" i="22"/>
  <c r="N816" i="22"/>
  <c r="V816" i="22"/>
  <c r="N814" i="22"/>
  <c r="V814" i="22"/>
  <c r="N817" i="22"/>
  <c r="V817" i="22"/>
  <c r="N813" i="22"/>
  <c r="V813" i="22"/>
  <c r="N828" i="22"/>
  <c r="V828" i="22"/>
  <c r="N812" i="22"/>
  <c r="V812" i="22"/>
  <c r="V788" i="22"/>
  <c r="N788" i="22"/>
  <c r="N827" i="22"/>
  <c r="V827" i="22"/>
  <c r="N811" i="22"/>
  <c r="V811" i="22"/>
  <c r="N787" i="22"/>
  <c r="V787" i="22"/>
  <c r="N826" i="22"/>
  <c r="V826" i="22"/>
  <c r="N810" i="22"/>
  <c r="V810" i="22"/>
  <c r="N786" i="22"/>
  <c r="V786" i="22"/>
  <c r="N825" i="22"/>
  <c r="V825" i="22"/>
  <c r="N809" i="22"/>
  <c r="V809" i="22"/>
  <c r="N801" i="22"/>
  <c r="V801" i="22"/>
  <c r="N785" i="22"/>
  <c r="V785" i="22"/>
  <c r="N824" i="22"/>
  <c r="V824" i="22"/>
  <c r="N808" i="22"/>
  <c r="V808" i="22"/>
  <c r="N834" i="22"/>
  <c r="N800" i="22"/>
  <c r="V800" i="22"/>
  <c r="N823" i="22"/>
  <c r="V823" i="22"/>
  <c r="N807" i="22"/>
  <c r="V807" i="22"/>
  <c r="N833" i="22"/>
  <c r="N799" i="22"/>
  <c r="V799" i="22"/>
  <c r="N822" i="22"/>
  <c r="V822" i="22"/>
  <c r="N806" i="22"/>
  <c r="V806" i="22"/>
  <c r="N832" i="22"/>
  <c r="V832" i="22"/>
  <c r="N798" i="22"/>
  <c r="V798" i="22"/>
  <c r="N821" i="22"/>
  <c r="V821" i="22"/>
  <c r="N805" i="22"/>
  <c r="V805" i="22"/>
  <c r="N831" i="22"/>
  <c r="V831" i="22"/>
  <c r="N797" i="22"/>
  <c r="V797" i="22"/>
  <c r="N820" i="22"/>
  <c r="V820" i="22"/>
  <c r="N804" i="22"/>
  <c r="V804" i="22"/>
  <c r="N830" i="22"/>
  <c r="V830" i="22"/>
  <c r="N793" i="22"/>
  <c r="V793" i="22"/>
  <c r="N796" i="22"/>
  <c r="V796" i="22"/>
  <c r="N819" i="22"/>
  <c r="V819" i="22"/>
  <c r="N803" i="22"/>
  <c r="V803" i="22"/>
  <c r="N829" i="22"/>
  <c r="V829" i="22"/>
  <c r="N795" i="22"/>
  <c r="V795" i="22"/>
  <c r="N818" i="22"/>
  <c r="V818" i="22"/>
  <c r="N802" i="22"/>
  <c r="V802" i="22"/>
  <c r="N778" i="22"/>
  <c r="V778" i="22"/>
  <c r="N792" i="22"/>
  <c r="V792" i="22"/>
  <c r="N775" i="22"/>
  <c r="V775" i="22"/>
  <c r="N791" i="22"/>
  <c r="V791" i="22"/>
  <c r="N774" i="22"/>
  <c r="V774" i="22"/>
  <c r="N790" i="22"/>
  <c r="V790" i="22"/>
  <c r="N773" i="22"/>
  <c r="V773" i="22"/>
  <c r="N789" i="22"/>
  <c r="V789" i="22"/>
  <c r="N772" i="22"/>
  <c r="V772" i="22"/>
  <c r="N777" i="22"/>
  <c r="V777" i="22"/>
  <c r="N776" i="22"/>
  <c r="V776" i="22"/>
  <c r="Z735" i="22"/>
  <c r="BI735" i="22" s="1"/>
  <c r="V735" i="22"/>
  <c r="N771" i="22"/>
  <c r="V771" i="22"/>
  <c r="N769" i="22"/>
  <c r="V769" i="22"/>
  <c r="Z734" i="22"/>
  <c r="BI734" i="22" s="1"/>
  <c r="V734" i="22"/>
  <c r="N768" i="22"/>
  <c r="V768" i="22"/>
  <c r="N770" i="22"/>
  <c r="V770" i="22"/>
  <c r="V783" i="22"/>
  <c r="N767" i="22"/>
  <c r="V767" i="22"/>
  <c r="N782" i="22"/>
  <c r="V782" i="22"/>
  <c r="N766" i="22"/>
  <c r="V766" i="22"/>
  <c r="N781" i="22"/>
  <c r="V781" i="22"/>
  <c r="N765" i="22"/>
  <c r="V765" i="22"/>
  <c r="N780" i="22"/>
  <c r="V780" i="22"/>
  <c r="N779" i="22"/>
  <c r="V779" i="22"/>
  <c r="BI697" i="22"/>
  <c r="BD697" i="22"/>
  <c r="BI608" i="22"/>
  <c r="BD608" i="22"/>
  <c r="BD692" i="22"/>
  <c r="BI692" i="22"/>
  <c r="BD694" i="22"/>
  <c r="BI694" i="22"/>
  <c r="BD699" i="22"/>
  <c r="BI699" i="22"/>
  <c r="BD720" i="22"/>
  <c r="BI720" i="22"/>
  <c r="N762" i="22"/>
  <c r="BI676" i="22"/>
  <c r="BD676" i="22"/>
  <c r="BI650" i="22"/>
  <c r="BD650" i="22"/>
  <c r="BD634" i="22"/>
  <c r="BI634" i="22"/>
  <c r="V618" i="22"/>
  <c r="BJ618" i="22" s="1"/>
  <c r="Z618" i="22"/>
  <c r="BD690" i="22"/>
  <c r="BI690" i="22"/>
  <c r="BD715" i="22"/>
  <c r="BI715" i="22"/>
  <c r="BI719" i="22"/>
  <c r="BD719" i="22"/>
  <c r="N760" i="22"/>
  <c r="BI673" i="22"/>
  <c r="BD673" i="22"/>
  <c r="V648" i="22"/>
  <c r="BB648" i="22" s="1"/>
  <c r="Z648" i="22"/>
  <c r="BD632" i="22"/>
  <c r="BI632" i="22"/>
  <c r="BD616" i="22"/>
  <c r="BI616" i="22"/>
  <c r="N763" i="22"/>
  <c r="BD635" i="22"/>
  <c r="BI635" i="22"/>
  <c r="BD693" i="22"/>
  <c r="BI693" i="22"/>
  <c r="BI689" i="22"/>
  <c r="BD689" i="22"/>
  <c r="BD714" i="22"/>
  <c r="BI714" i="22"/>
  <c r="BD718" i="22"/>
  <c r="BI718" i="22"/>
  <c r="N759" i="22"/>
  <c r="BI647" i="22"/>
  <c r="BD647" i="22"/>
  <c r="BI631" i="22"/>
  <c r="BD631" i="22"/>
  <c r="BI615" i="22"/>
  <c r="BD615" i="22"/>
  <c r="BI688" i="22"/>
  <c r="BD688" i="22"/>
  <c r="BD713" i="22"/>
  <c r="BI713" i="22"/>
  <c r="BD717" i="22"/>
  <c r="BI717" i="22"/>
  <c r="N758" i="22"/>
  <c r="BD646" i="22"/>
  <c r="BI646" i="22"/>
  <c r="BI630" i="22"/>
  <c r="BD630" i="22"/>
  <c r="BD614" i="22"/>
  <c r="BI614" i="22"/>
  <c r="BD700" i="22"/>
  <c r="BI700" i="22"/>
  <c r="N597" i="22"/>
  <c r="Z597" i="22"/>
  <c r="BD687" i="22"/>
  <c r="BI687" i="22"/>
  <c r="BI712" i="22"/>
  <c r="BD712" i="22"/>
  <c r="BD716" i="22"/>
  <c r="BI716" i="22"/>
  <c r="N756" i="22"/>
  <c r="BD661" i="22"/>
  <c r="BI661" i="22"/>
  <c r="BI645" i="22"/>
  <c r="BD645" i="22"/>
  <c r="BD629" i="22"/>
  <c r="BI629" i="22"/>
  <c r="V613" i="22"/>
  <c r="BG613" i="22" s="1"/>
  <c r="Z613" i="22"/>
  <c r="N596" i="22"/>
  <c r="Z596" i="22"/>
  <c r="BD686" i="22"/>
  <c r="BI686" i="22"/>
  <c r="BI711" i="22"/>
  <c r="BD711" i="22"/>
  <c r="BD730" i="22"/>
  <c r="BI730" i="22"/>
  <c r="BD644" i="22"/>
  <c r="BI644" i="22"/>
  <c r="BD628" i="22"/>
  <c r="BI628" i="22"/>
  <c r="BI612" i="22"/>
  <c r="BD612" i="22"/>
  <c r="BI678" i="22"/>
  <c r="BD678" i="22"/>
  <c r="N595" i="22"/>
  <c r="Z595" i="22"/>
  <c r="BI685" i="22"/>
  <c r="BD685" i="22"/>
  <c r="BD710" i="22"/>
  <c r="BI710" i="22"/>
  <c r="BD729" i="22"/>
  <c r="BI729" i="22"/>
  <c r="V659" i="22"/>
  <c r="BB659" i="22" s="1"/>
  <c r="Z659" i="22"/>
  <c r="V643" i="22"/>
  <c r="BB643" i="22" s="1"/>
  <c r="Z643" i="22"/>
  <c r="BD627" i="22"/>
  <c r="BI627" i="22"/>
  <c r="BI611" i="22"/>
  <c r="BD611" i="22"/>
  <c r="BD721" i="22"/>
  <c r="BI721" i="22"/>
  <c r="BD651" i="22"/>
  <c r="BI651" i="22"/>
  <c r="N761" i="22"/>
  <c r="N594" i="22"/>
  <c r="Z594" i="22"/>
  <c r="BD684" i="22"/>
  <c r="BI684" i="22"/>
  <c r="BD709" i="22"/>
  <c r="BI709" i="22"/>
  <c r="BD728" i="22"/>
  <c r="BI728" i="22"/>
  <c r="BI642" i="22"/>
  <c r="BD642" i="22"/>
  <c r="V626" i="22"/>
  <c r="BJ626" i="22" s="1"/>
  <c r="Z626" i="22"/>
  <c r="BI610" i="22"/>
  <c r="BD610" i="22"/>
  <c r="BD698" i="22"/>
  <c r="BI698" i="22"/>
  <c r="BD633" i="22"/>
  <c r="BI633" i="22"/>
  <c r="N593" i="22"/>
  <c r="Z593" i="22"/>
  <c r="BD683" i="22"/>
  <c r="BI683" i="22"/>
  <c r="BD708" i="22"/>
  <c r="BI708" i="22"/>
  <c r="BI727" i="22"/>
  <c r="BD727" i="22"/>
  <c r="N757" i="22"/>
  <c r="BI657" i="22"/>
  <c r="BD657" i="22"/>
  <c r="BI641" i="22"/>
  <c r="BD641" i="22"/>
  <c r="BI625" i="22"/>
  <c r="BD625" i="22"/>
  <c r="BD609" i="22"/>
  <c r="BI609" i="22"/>
  <c r="BD691" i="22"/>
  <c r="BI691" i="22"/>
  <c r="BD649" i="22"/>
  <c r="BI649" i="22"/>
  <c r="N592" i="22"/>
  <c r="Z592" i="22"/>
  <c r="BI682" i="22"/>
  <c r="BD682" i="22"/>
  <c r="BD707" i="22"/>
  <c r="BI707" i="22"/>
  <c r="BD726" i="22"/>
  <c r="BI726" i="22"/>
  <c r="BD731" i="22"/>
  <c r="BI731" i="22"/>
  <c r="BD656" i="22"/>
  <c r="BI656" i="22"/>
  <c r="BD640" i="22"/>
  <c r="BI640" i="22"/>
  <c r="V624" i="22"/>
  <c r="BJ624" i="22" s="1"/>
  <c r="Z624" i="22"/>
  <c r="BI619" i="22"/>
  <c r="BD619" i="22"/>
  <c r="BD617" i="22"/>
  <c r="BI617" i="22"/>
  <c r="N590" i="22"/>
  <c r="Z590" i="22"/>
  <c r="N591" i="22"/>
  <c r="Z591" i="22"/>
  <c r="BI681" i="22"/>
  <c r="BD681" i="22"/>
  <c r="BI706" i="22"/>
  <c r="BD706" i="22"/>
  <c r="BD725" i="22"/>
  <c r="BI725" i="22"/>
  <c r="BI655" i="22"/>
  <c r="BD655" i="22"/>
  <c r="BI639" i="22"/>
  <c r="BD639" i="22"/>
  <c r="BI623" i="22"/>
  <c r="BD623" i="22"/>
  <c r="BD674" i="22"/>
  <c r="BI674" i="22"/>
  <c r="BD606" i="22"/>
  <c r="BI606" i="22"/>
  <c r="BD675" i="22"/>
  <c r="BI675" i="22"/>
  <c r="BD680" i="22"/>
  <c r="BI680" i="22"/>
  <c r="BD705" i="22"/>
  <c r="BI705" i="22"/>
  <c r="BD724" i="22"/>
  <c r="BI724" i="22"/>
  <c r="V654" i="22"/>
  <c r="BB654" i="22" s="1"/>
  <c r="Z654" i="22"/>
  <c r="BD638" i="22"/>
  <c r="BI638" i="22"/>
  <c r="BI622" i="22"/>
  <c r="BD622" i="22"/>
  <c r="BI653" i="22"/>
  <c r="BD653" i="22"/>
  <c r="BD637" i="22"/>
  <c r="BI637" i="22"/>
  <c r="BI621" i="22"/>
  <c r="BD621" i="22"/>
  <c r="N589" i="22"/>
  <c r="Z589" i="22"/>
  <c r="BI679" i="22"/>
  <c r="BD679" i="22"/>
  <c r="BD702" i="22"/>
  <c r="BI702" i="22"/>
  <c r="BI723" i="22"/>
  <c r="BD723" i="22"/>
  <c r="N588" i="22"/>
  <c r="O588" i="22" s="1"/>
  <c r="Z588" i="22"/>
  <c r="BD677" i="22"/>
  <c r="BI677" i="22"/>
  <c r="BD701" i="22"/>
  <c r="BI701" i="22"/>
  <c r="BD722" i="22"/>
  <c r="BI722" i="22"/>
  <c r="N764" i="22"/>
  <c r="BD607" i="22"/>
  <c r="BI607" i="22"/>
  <c r="BI652" i="22"/>
  <c r="BD652" i="22"/>
  <c r="BI636" i="22"/>
  <c r="BD636" i="22"/>
  <c r="V620" i="22"/>
  <c r="BB620" i="22" s="1"/>
  <c r="Z620" i="22"/>
  <c r="N702" i="22"/>
  <c r="V702" i="22"/>
  <c r="N604" i="22"/>
  <c r="V604" i="22"/>
  <c r="BB604" i="22" s="1"/>
  <c r="N677" i="22"/>
  <c r="V677" i="22"/>
  <c r="N701" i="22"/>
  <c r="V701" i="22"/>
  <c r="N722" i="22"/>
  <c r="V722" i="22"/>
  <c r="N607" i="22"/>
  <c r="V607" i="22"/>
  <c r="BJ607" i="22" s="1"/>
  <c r="N652" i="22"/>
  <c r="V652" i="22"/>
  <c r="N636" i="22"/>
  <c r="V636" i="22"/>
  <c r="N637" i="22"/>
  <c r="V637" i="22"/>
  <c r="N602" i="22"/>
  <c r="V602" i="22"/>
  <c r="BJ602" i="22" s="1"/>
  <c r="N692" i="22"/>
  <c r="V692" i="22"/>
  <c r="N694" i="22"/>
  <c r="V694" i="22"/>
  <c r="N699" i="22"/>
  <c r="V699" i="22"/>
  <c r="N720" i="22"/>
  <c r="V720" i="22"/>
  <c r="N676" i="22"/>
  <c r="V676" i="22"/>
  <c r="N650" i="22"/>
  <c r="V650" i="22"/>
  <c r="N634" i="22"/>
  <c r="V634" i="22"/>
  <c r="N679" i="22"/>
  <c r="V679" i="22"/>
  <c r="N601" i="22"/>
  <c r="V601" i="22"/>
  <c r="BB601" i="22" s="1"/>
  <c r="N691" i="22"/>
  <c r="V691" i="22"/>
  <c r="N693" i="22"/>
  <c r="V693" i="22"/>
  <c r="N698" i="22"/>
  <c r="V698" i="22"/>
  <c r="N674" i="22"/>
  <c r="V674" i="22"/>
  <c r="N649" i="22"/>
  <c r="V649" i="22"/>
  <c r="N633" i="22"/>
  <c r="V633" i="22"/>
  <c r="N617" i="22"/>
  <c r="V617" i="22"/>
  <c r="N697" i="22"/>
  <c r="V697" i="22"/>
  <c r="N600" i="22"/>
  <c r="V600" i="22"/>
  <c r="BB600" i="22" s="1"/>
  <c r="N690" i="22"/>
  <c r="V690" i="22"/>
  <c r="N715" i="22"/>
  <c r="V715" i="22"/>
  <c r="N719" i="22"/>
  <c r="V719" i="22"/>
  <c r="N673" i="22"/>
  <c r="V673" i="22"/>
  <c r="N632" i="22"/>
  <c r="V632" i="22"/>
  <c r="N616" i="22"/>
  <c r="V616" i="22"/>
  <c r="N608" i="22"/>
  <c r="V608" i="22"/>
  <c r="N599" i="22"/>
  <c r="V599" i="22"/>
  <c r="BB599" i="22" s="1"/>
  <c r="N689" i="22"/>
  <c r="V689" i="22"/>
  <c r="N714" i="22"/>
  <c r="V714" i="22"/>
  <c r="N718" i="22"/>
  <c r="V718" i="22"/>
  <c r="N647" i="22"/>
  <c r="V647" i="22"/>
  <c r="N631" i="22"/>
  <c r="V631" i="22"/>
  <c r="N615" i="22"/>
  <c r="V615" i="22"/>
  <c r="N621" i="22"/>
  <c r="V621" i="22"/>
  <c r="N678" i="22"/>
  <c r="V678" i="22"/>
  <c r="N598" i="22"/>
  <c r="V598" i="22"/>
  <c r="BJ598" i="22" s="1"/>
  <c r="N688" i="22"/>
  <c r="V688" i="22"/>
  <c r="N713" i="22"/>
  <c r="V713" i="22"/>
  <c r="N717" i="22"/>
  <c r="V717" i="22"/>
  <c r="N646" i="22"/>
  <c r="V646" i="22"/>
  <c r="N630" i="22"/>
  <c r="V630" i="22"/>
  <c r="N614" i="22"/>
  <c r="V614" i="22"/>
  <c r="N687" i="22"/>
  <c r="V687" i="22"/>
  <c r="N712" i="22"/>
  <c r="V712" i="22"/>
  <c r="N716" i="22"/>
  <c r="V716" i="22"/>
  <c r="N661" i="22"/>
  <c r="V661" i="22"/>
  <c r="N645" i="22"/>
  <c r="V645" i="22"/>
  <c r="N629" i="22"/>
  <c r="V629" i="22"/>
  <c r="N635" i="22"/>
  <c r="V635" i="22"/>
  <c r="N686" i="22"/>
  <c r="V686" i="22"/>
  <c r="N711" i="22"/>
  <c r="V711" i="22"/>
  <c r="N730" i="22"/>
  <c r="V730" i="22"/>
  <c r="N644" i="22"/>
  <c r="V644" i="22"/>
  <c r="N628" i="22"/>
  <c r="V628" i="22"/>
  <c r="N612" i="22"/>
  <c r="V612" i="22"/>
  <c r="N721" i="22"/>
  <c r="V721" i="22"/>
  <c r="N685" i="22"/>
  <c r="V685" i="22"/>
  <c r="N710" i="22"/>
  <c r="V710" i="22"/>
  <c r="N729" i="22"/>
  <c r="V729" i="22"/>
  <c r="N734" i="22"/>
  <c r="N627" i="22"/>
  <c r="V627" i="22"/>
  <c r="N611" i="22"/>
  <c r="V611" i="22"/>
  <c r="N684" i="22"/>
  <c r="V684" i="22"/>
  <c r="N709" i="22"/>
  <c r="V709" i="22"/>
  <c r="N728" i="22"/>
  <c r="V728" i="22"/>
  <c r="N733" i="22"/>
  <c r="N642" i="22"/>
  <c r="V642" i="22"/>
  <c r="N610" i="22"/>
  <c r="V610" i="22"/>
  <c r="N605" i="22"/>
  <c r="V605" i="22"/>
  <c r="BJ605" i="22" s="1"/>
  <c r="N653" i="22"/>
  <c r="V653" i="22"/>
  <c r="N603" i="22"/>
  <c r="V603" i="22"/>
  <c r="BJ603" i="22" s="1"/>
  <c r="N683" i="22"/>
  <c r="V683" i="22"/>
  <c r="N708" i="22"/>
  <c r="V708" i="22"/>
  <c r="N727" i="22"/>
  <c r="V727" i="22"/>
  <c r="N657" i="22"/>
  <c r="V657" i="22"/>
  <c r="N641" i="22"/>
  <c r="V641" i="22"/>
  <c r="N625" i="22"/>
  <c r="V625" i="22"/>
  <c r="N609" i="22"/>
  <c r="V609" i="22"/>
  <c r="N682" i="22"/>
  <c r="V682" i="22"/>
  <c r="N707" i="22"/>
  <c r="V707" i="22"/>
  <c r="N726" i="22"/>
  <c r="V726" i="22"/>
  <c r="N731" i="22"/>
  <c r="V731" i="22"/>
  <c r="N656" i="22"/>
  <c r="V656" i="22"/>
  <c r="N640" i="22"/>
  <c r="V640" i="22"/>
  <c r="N723" i="22"/>
  <c r="V723" i="22"/>
  <c r="N700" i="22"/>
  <c r="V700" i="22"/>
  <c r="N651" i="22"/>
  <c r="V651" i="22"/>
  <c r="N681" i="22"/>
  <c r="V681" i="22"/>
  <c r="N706" i="22"/>
  <c r="V706" i="22"/>
  <c r="N725" i="22"/>
  <c r="V725" i="22"/>
  <c r="N655" i="22"/>
  <c r="V655" i="22"/>
  <c r="N639" i="22"/>
  <c r="V639" i="22"/>
  <c r="N623" i="22"/>
  <c r="V623" i="22"/>
  <c r="N619" i="22"/>
  <c r="V619" i="22"/>
  <c r="N606" i="22"/>
  <c r="V606" i="22"/>
  <c r="BB606" i="22" s="1"/>
  <c r="N675" i="22"/>
  <c r="V675" i="22"/>
  <c r="N680" i="22"/>
  <c r="V680" i="22"/>
  <c r="N705" i="22"/>
  <c r="V705" i="22"/>
  <c r="N724" i="22"/>
  <c r="V724" i="22"/>
  <c r="N638" i="22"/>
  <c r="V638" i="22"/>
  <c r="N622" i="22"/>
  <c r="V622" i="22"/>
  <c r="M741" i="22"/>
  <c r="M749" i="22"/>
  <c r="M740" i="22"/>
  <c r="M748" i="22"/>
  <c r="M746" i="22"/>
  <c r="M739" i="22"/>
  <c r="M738" i="22"/>
  <c r="M737" i="22"/>
  <c r="M745" i="22"/>
  <c r="M747" i="22"/>
  <c r="M744" i="22"/>
  <c r="M736" i="22"/>
  <c r="M743" i="22"/>
  <c r="M742" i="22"/>
  <c r="M732" i="22"/>
  <c r="M750" i="22"/>
  <c r="N755" i="22"/>
  <c r="M754" i="22"/>
  <c r="Z754" i="22" s="1"/>
  <c r="M751" i="22"/>
  <c r="Z751" i="22" s="1"/>
  <c r="M753" i="22"/>
  <c r="Z753" i="22" s="1"/>
  <c r="M752" i="22"/>
  <c r="Z752" i="22" s="1"/>
  <c r="BI605" i="22"/>
  <c r="BD605" i="22"/>
  <c r="BI604" i="22"/>
  <c r="BD604" i="22"/>
  <c r="BI601" i="22"/>
  <c r="BD601" i="22"/>
  <c r="BI602" i="22"/>
  <c r="BD602" i="22"/>
  <c r="BI598" i="22"/>
  <c r="BD598" i="22"/>
  <c r="BD600" i="22"/>
  <c r="BI600" i="22"/>
  <c r="BI599" i="22"/>
  <c r="BD599" i="22"/>
  <c r="BI603" i="22"/>
  <c r="BD603" i="22"/>
  <c r="AJ597" i="22"/>
  <c r="AK597" i="22" s="1"/>
  <c r="AJ595" i="22"/>
  <c r="AK595" i="22" s="1"/>
  <c r="BH597" i="22"/>
  <c r="BH594" i="22"/>
  <c r="BH590" i="22"/>
  <c r="BH598" i="22"/>
  <c r="BH596" i="22"/>
  <c r="BH591" i="22"/>
  <c r="M658" i="22"/>
  <c r="Z658" i="22" s="1"/>
  <c r="M660" i="22"/>
  <c r="Z660" i="22" s="1"/>
  <c r="N620" i="22"/>
  <c r="BA596" i="22"/>
  <c r="BE596" i="22" s="1"/>
  <c r="BA593" i="22"/>
  <c r="BE593" i="22" s="1"/>
  <c r="BA592" i="22"/>
  <c r="BE592" i="22" s="1"/>
  <c r="BA589" i="22"/>
  <c r="BE589" i="22" s="1"/>
  <c r="BA598" i="22"/>
  <c r="BE598" i="22" s="1"/>
  <c r="N643" i="22"/>
  <c r="BA597" i="22"/>
  <c r="BE597" i="22" s="1"/>
  <c r="BA600" i="22"/>
  <c r="BA599" i="22"/>
  <c r="BE599" i="22" s="1"/>
  <c r="BA601" i="22"/>
  <c r="BE601" i="22" s="1"/>
  <c r="BH593" i="22"/>
  <c r="BA595" i="22"/>
  <c r="BG595" i="22" s="1"/>
  <c r="BA594" i="22"/>
  <c r="BE594" i="22" s="1"/>
  <c r="BA591" i="22"/>
  <c r="BG591" i="22" s="1"/>
  <c r="BA590" i="22"/>
  <c r="BE590" i="22" s="1"/>
  <c r="BA588" i="22"/>
  <c r="BE588" i="22" s="1"/>
  <c r="BA603" i="22"/>
  <c r="BA602" i="22"/>
  <c r="BE602" i="22" s="1"/>
  <c r="BH602" i="22"/>
  <c r="BH601" i="22"/>
  <c r="BH600" i="22"/>
  <c r="BH599" i="22"/>
  <c r="BH592" i="22"/>
  <c r="BH589" i="22"/>
  <c r="BH588" i="22"/>
  <c r="N654" i="22"/>
  <c r="N624" i="22"/>
  <c r="N613" i="22"/>
  <c r="N648" i="22"/>
  <c r="N659" i="22"/>
  <c r="N618" i="22"/>
  <c r="N626" i="22"/>
  <c r="BN61" i="48"/>
  <c r="AY3" i="48"/>
  <c r="BN3" i="48" s="1"/>
  <c r="AY4" i="48"/>
  <c r="BN4" i="48" s="1"/>
  <c r="AY5" i="48"/>
  <c r="BN5" i="48" s="1"/>
  <c r="AY6" i="48"/>
  <c r="BN6" i="48" s="1"/>
  <c r="AY7" i="48"/>
  <c r="BN7" i="48" s="1"/>
  <c r="AY8" i="48"/>
  <c r="BN8" i="48" s="1"/>
  <c r="AY9" i="48"/>
  <c r="BN9" i="48" s="1"/>
  <c r="AY10" i="48"/>
  <c r="BN10" i="48" s="1"/>
  <c r="AY11" i="48"/>
  <c r="BN11" i="48" s="1"/>
  <c r="AY12" i="48"/>
  <c r="BN12" i="48" s="1"/>
  <c r="AY13" i="48"/>
  <c r="BN13" i="48" s="1"/>
  <c r="AY14" i="48"/>
  <c r="BN14" i="48" s="1"/>
  <c r="AY15" i="48"/>
  <c r="BN15" i="48" s="1"/>
  <c r="AY16" i="48"/>
  <c r="BN16" i="48" s="1"/>
  <c r="AY17" i="48"/>
  <c r="BN17" i="48" s="1"/>
  <c r="AY18" i="48"/>
  <c r="BN18" i="48" s="1"/>
  <c r="AY19" i="48"/>
  <c r="BN19" i="48" s="1"/>
  <c r="AY20" i="48"/>
  <c r="BN20" i="48" s="1"/>
  <c r="AY21" i="48"/>
  <c r="BN21" i="48" s="1"/>
  <c r="AY22" i="48"/>
  <c r="BN22" i="48" s="1"/>
  <c r="AY23" i="48"/>
  <c r="BN23" i="48" s="1"/>
  <c r="AY24" i="48"/>
  <c r="BN24" i="48" s="1"/>
  <c r="AY25" i="48"/>
  <c r="BN25" i="48" s="1"/>
  <c r="AY26" i="48"/>
  <c r="BN26" i="48" s="1"/>
  <c r="AY27" i="48"/>
  <c r="BN27" i="48" s="1"/>
  <c r="AY28" i="48"/>
  <c r="BN28" i="48" s="1"/>
  <c r="AY29" i="48"/>
  <c r="BN29" i="48" s="1"/>
  <c r="AY30" i="48"/>
  <c r="BN30" i="48" s="1"/>
  <c r="AY31" i="48"/>
  <c r="BN31" i="48" s="1"/>
  <c r="AY32" i="48"/>
  <c r="BN32" i="48" s="1"/>
  <c r="AY33" i="48"/>
  <c r="BN33" i="48" s="1"/>
  <c r="AY34" i="48"/>
  <c r="BN34" i="48" s="1"/>
  <c r="AY35" i="48"/>
  <c r="BN35" i="48" s="1"/>
  <c r="AY36" i="48"/>
  <c r="BN36" i="48" s="1"/>
  <c r="AY37" i="48"/>
  <c r="BN37" i="48" s="1"/>
  <c r="AY38" i="48"/>
  <c r="BN38" i="48" s="1"/>
  <c r="AY39" i="48"/>
  <c r="BN39" i="48" s="1"/>
  <c r="AY40" i="48"/>
  <c r="BN40" i="48" s="1"/>
  <c r="AY41" i="48"/>
  <c r="BN41" i="48" s="1"/>
  <c r="AY42" i="48"/>
  <c r="BN42" i="48" s="1"/>
  <c r="AY43" i="48"/>
  <c r="BN43" i="48" s="1"/>
  <c r="AY44" i="48"/>
  <c r="BN44" i="48" s="1"/>
  <c r="AY45" i="48"/>
  <c r="BN45" i="48" s="1"/>
  <c r="AY46" i="48"/>
  <c r="BN46" i="48" s="1"/>
  <c r="AY47" i="48"/>
  <c r="BN47" i="48" s="1"/>
  <c r="AY48" i="48"/>
  <c r="BN48" i="48" s="1"/>
  <c r="AY49" i="48"/>
  <c r="BN49" i="48" s="1"/>
  <c r="AY50" i="48"/>
  <c r="BN50" i="48" s="1"/>
  <c r="AY51" i="48"/>
  <c r="BN51" i="48" s="1"/>
  <c r="AY52" i="48"/>
  <c r="BN52" i="48" s="1"/>
  <c r="AY53" i="48"/>
  <c r="BN53" i="48" s="1"/>
  <c r="AY54" i="48"/>
  <c r="BN54" i="48" s="1"/>
  <c r="AY55" i="48"/>
  <c r="BN55" i="48" s="1"/>
  <c r="AY56" i="48"/>
  <c r="BN56" i="48" s="1"/>
  <c r="AY57" i="48"/>
  <c r="BN57" i="48" s="1"/>
  <c r="AY58" i="48"/>
  <c r="BN58" i="48" s="1"/>
  <c r="AY59" i="48"/>
  <c r="BN59" i="48" s="1"/>
  <c r="AY60" i="48"/>
  <c r="BN60" i="48" s="1"/>
  <c r="AY61" i="48"/>
  <c r="AY62" i="48"/>
  <c r="BN62" i="48" s="1"/>
  <c r="AY63" i="48"/>
  <c r="BN63" i="48" s="1"/>
  <c r="AY64" i="48"/>
  <c r="BN64" i="48" s="1"/>
  <c r="AY65" i="48"/>
  <c r="BN65" i="48" s="1"/>
  <c r="AY66" i="48"/>
  <c r="BN66" i="48" s="1"/>
  <c r="AY67" i="48"/>
  <c r="BN67" i="48" s="1"/>
  <c r="AY68" i="48"/>
  <c r="BN68" i="48" s="1"/>
  <c r="AY2" i="48"/>
  <c r="BN2" i="48" s="1"/>
  <c r="BD3" i="48"/>
  <c r="BM3" i="48" s="1"/>
  <c r="BD4" i="48"/>
  <c r="BM4" i="48" s="1"/>
  <c r="BD5" i="48"/>
  <c r="BM5" i="48" s="1"/>
  <c r="BD6" i="48"/>
  <c r="BM6" i="48" s="1"/>
  <c r="BD7" i="48"/>
  <c r="BM7" i="48" s="1"/>
  <c r="BD8" i="48"/>
  <c r="BM8" i="48" s="1"/>
  <c r="BD9" i="48"/>
  <c r="BM9" i="48" s="1"/>
  <c r="BD10" i="48"/>
  <c r="BM10" i="48" s="1"/>
  <c r="BD11" i="48"/>
  <c r="BM11" i="48" s="1"/>
  <c r="BD12" i="48"/>
  <c r="BM12" i="48" s="1"/>
  <c r="BD13" i="48"/>
  <c r="BM13" i="48" s="1"/>
  <c r="BD14" i="48"/>
  <c r="BM14" i="48" s="1"/>
  <c r="BD15" i="48"/>
  <c r="BM15" i="48" s="1"/>
  <c r="BD16" i="48"/>
  <c r="BM16" i="48" s="1"/>
  <c r="BD17" i="48"/>
  <c r="BM17" i="48" s="1"/>
  <c r="BD18" i="48"/>
  <c r="BM18" i="48" s="1"/>
  <c r="BD19" i="48"/>
  <c r="BM19" i="48" s="1"/>
  <c r="BD20" i="48"/>
  <c r="BM20" i="48" s="1"/>
  <c r="BD21" i="48"/>
  <c r="BM21" i="48" s="1"/>
  <c r="BD22" i="48"/>
  <c r="BM22" i="48" s="1"/>
  <c r="BD23" i="48"/>
  <c r="BM23" i="48" s="1"/>
  <c r="BD24" i="48"/>
  <c r="BM24" i="48" s="1"/>
  <c r="BD25" i="48"/>
  <c r="BM25" i="48" s="1"/>
  <c r="BD26" i="48"/>
  <c r="BM26" i="48" s="1"/>
  <c r="BD27" i="48"/>
  <c r="BM27" i="48" s="1"/>
  <c r="BD28" i="48"/>
  <c r="BM28" i="48" s="1"/>
  <c r="BD29" i="48"/>
  <c r="BM29" i="48" s="1"/>
  <c r="BD30" i="48"/>
  <c r="BM30" i="48" s="1"/>
  <c r="BD31" i="48"/>
  <c r="BM31" i="48" s="1"/>
  <c r="BD32" i="48"/>
  <c r="BM32" i="48" s="1"/>
  <c r="BD33" i="48"/>
  <c r="BM33" i="48" s="1"/>
  <c r="BD34" i="48"/>
  <c r="BM34" i="48" s="1"/>
  <c r="BD35" i="48"/>
  <c r="BM35" i="48" s="1"/>
  <c r="BD36" i="48"/>
  <c r="BM36" i="48" s="1"/>
  <c r="BD37" i="48"/>
  <c r="BM37" i="48" s="1"/>
  <c r="BD38" i="48"/>
  <c r="BM38" i="48" s="1"/>
  <c r="BD39" i="48"/>
  <c r="BM39" i="48" s="1"/>
  <c r="BD40" i="48"/>
  <c r="BM40" i="48" s="1"/>
  <c r="BD41" i="48"/>
  <c r="BM41" i="48" s="1"/>
  <c r="BD42" i="48"/>
  <c r="BM42" i="48" s="1"/>
  <c r="BD43" i="48"/>
  <c r="BM43" i="48" s="1"/>
  <c r="BD44" i="48"/>
  <c r="BM44" i="48" s="1"/>
  <c r="BD45" i="48"/>
  <c r="BM45" i="48" s="1"/>
  <c r="BD46" i="48"/>
  <c r="BM46" i="48" s="1"/>
  <c r="BD47" i="48"/>
  <c r="BM47" i="48" s="1"/>
  <c r="BD48" i="48"/>
  <c r="BM48" i="48" s="1"/>
  <c r="BD49" i="48"/>
  <c r="BM49" i="48" s="1"/>
  <c r="BD50" i="48"/>
  <c r="BM50" i="48" s="1"/>
  <c r="BD51" i="48"/>
  <c r="BM51" i="48" s="1"/>
  <c r="BD52" i="48"/>
  <c r="BM52" i="48" s="1"/>
  <c r="BD53" i="48"/>
  <c r="BM53" i="48" s="1"/>
  <c r="BD54" i="48"/>
  <c r="BM54" i="48" s="1"/>
  <c r="BD55" i="48"/>
  <c r="BM55" i="48" s="1"/>
  <c r="BD56" i="48"/>
  <c r="BM56" i="48" s="1"/>
  <c r="BD57" i="48"/>
  <c r="BM57" i="48" s="1"/>
  <c r="BD58" i="48"/>
  <c r="BM58" i="48" s="1"/>
  <c r="BD59" i="48"/>
  <c r="BM59" i="48" s="1"/>
  <c r="BD60" i="48"/>
  <c r="BM60" i="48" s="1"/>
  <c r="BD61" i="48"/>
  <c r="BM61" i="48" s="1"/>
  <c r="BD62" i="48"/>
  <c r="BM62" i="48" s="1"/>
  <c r="BD63" i="48"/>
  <c r="BM63" i="48" s="1"/>
  <c r="BD64" i="48"/>
  <c r="BM64" i="48" s="1"/>
  <c r="BD65" i="48"/>
  <c r="BM65" i="48" s="1"/>
  <c r="BD66" i="48"/>
  <c r="BM66" i="48" s="1"/>
  <c r="BD67" i="48"/>
  <c r="BM67" i="48" s="1"/>
  <c r="BD68" i="48"/>
  <c r="BM68" i="48" s="1"/>
  <c r="BD2" i="48"/>
  <c r="BM2" i="48" s="1"/>
  <c r="BS722" i="22" l="1"/>
  <c r="O722" i="22"/>
  <c r="BS771" i="22"/>
  <c r="O771" i="22"/>
  <c r="BS775" i="22"/>
  <c r="O775" i="22"/>
  <c r="BS793" i="22"/>
  <c r="O793" i="22"/>
  <c r="BS806" i="22"/>
  <c r="O806" i="22"/>
  <c r="BS801" i="22"/>
  <c r="O801" i="22"/>
  <c r="BS812" i="22"/>
  <c r="O812" i="22"/>
  <c r="BS837" i="22"/>
  <c r="O837" i="22"/>
  <c r="BS613" i="22"/>
  <c r="O613" i="22"/>
  <c r="BS733" i="22"/>
  <c r="O733" i="22"/>
  <c r="BS765" i="22"/>
  <c r="O765" i="22"/>
  <c r="BS888" i="22"/>
  <c r="O888" i="22"/>
  <c r="BS957" i="22"/>
  <c r="O957" i="22"/>
  <c r="BS996" i="22"/>
  <c r="O996" i="22"/>
  <c r="BS1013" i="22"/>
  <c r="O1013" i="22"/>
  <c r="BS921" i="22"/>
  <c r="O921" i="22"/>
  <c r="BS1015" i="22"/>
  <c r="O1015" i="22"/>
  <c r="BS955" i="22"/>
  <c r="O955" i="22"/>
  <c r="BS879" i="22"/>
  <c r="O879" i="22"/>
  <c r="BS940" i="22"/>
  <c r="O940" i="22"/>
  <c r="BS976" i="22"/>
  <c r="O976" i="22"/>
  <c r="BS887" i="22"/>
  <c r="O887" i="22"/>
  <c r="BS882" i="22"/>
  <c r="O882" i="22"/>
  <c r="BS943" i="22"/>
  <c r="O943" i="22"/>
  <c r="BS979" i="22"/>
  <c r="O979" i="22"/>
  <c r="BS948" i="22"/>
  <c r="O948" i="22"/>
  <c r="BS866" i="22"/>
  <c r="O866" i="22"/>
  <c r="BS849" i="22"/>
  <c r="O849" i="22"/>
  <c r="BS624" i="22"/>
  <c r="O624" i="22"/>
  <c r="BS675" i="22"/>
  <c r="O675" i="22"/>
  <c r="BS700" i="22"/>
  <c r="O700" i="22"/>
  <c r="BS641" i="22"/>
  <c r="O641" i="22"/>
  <c r="BS612" i="22"/>
  <c r="O612" i="22"/>
  <c r="BS716" i="22"/>
  <c r="O716" i="22"/>
  <c r="BS678" i="22"/>
  <c r="O678" i="22"/>
  <c r="BS616" i="22"/>
  <c r="O616" i="22"/>
  <c r="BS649" i="22"/>
  <c r="O649" i="22"/>
  <c r="BS720" i="22"/>
  <c r="O720" i="22"/>
  <c r="BS701" i="22"/>
  <c r="O701" i="22"/>
  <c r="BS792" i="22"/>
  <c r="O792" i="22"/>
  <c r="BS830" i="22"/>
  <c r="O830" i="22"/>
  <c r="BS822" i="22"/>
  <c r="O822" i="22"/>
  <c r="BS809" i="22"/>
  <c r="O809" i="22"/>
  <c r="BS828" i="22"/>
  <c r="O828" i="22"/>
  <c r="BS654" i="22"/>
  <c r="O654" i="22"/>
  <c r="BS643" i="22"/>
  <c r="O643" i="22"/>
  <c r="BS728" i="22"/>
  <c r="O728" i="22"/>
  <c r="BS762" i="22"/>
  <c r="O762" i="22"/>
  <c r="BS781" i="22"/>
  <c r="O781" i="22"/>
  <c r="BS883" i="22"/>
  <c r="O883" i="22"/>
  <c r="BS873" i="22"/>
  <c r="O873" i="22"/>
  <c r="BS918" i="22"/>
  <c r="O918" i="22"/>
  <c r="BS1012" i="22"/>
  <c r="O1012" i="22"/>
  <c r="BS959" i="22"/>
  <c r="O959" i="22"/>
  <c r="BS937" i="22"/>
  <c r="O937" i="22"/>
  <c r="BS973" i="22"/>
  <c r="O973" i="22"/>
  <c r="BS984" i="22"/>
  <c r="O984" i="22"/>
  <c r="BS857" i="22"/>
  <c r="O857" i="22"/>
  <c r="BS904" i="22"/>
  <c r="O904" i="22"/>
  <c r="BS964" i="22"/>
  <c r="O964" i="22"/>
  <c r="BS987" i="22"/>
  <c r="O987" i="22"/>
  <c r="BS860" i="22"/>
  <c r="O860" i="22"/>
  <c r="BS907" i="22"/>
  <c r="O907" i="22"/>
  <c r="BS951" i="22"/>
  <c r="O951" i="22"/>
  <c r="BS953" i="22"/>
  <c r="O953" i="22"/>
  <c r="BS992" i="22"/>
  <c r="O992" i="22"/>
  <c r="BS865" i="22"/>
  <c r="O865" i="22"/>
  <c r="BS651" i="22"/>
  <c r="O651" i="22"/>
  <c r="BS598" i="22"/>
  <c r="O598" i="22"/>
  <c r="BS606" i="22"/>
  <c r="O606" i="22"/>
  <c r="BS723" i="22"/>
  <c r="O723" i="22"/>
  <c r="BS657" i="22"/>
  <c r="O657" i="22"/>
  <c r="BS628" i="22"/>
  <c r="O628" i="22"/>
  <c r="BS674" i="22"/>
  <c r="O674" i="22"/>
  <c r="BS699" i="22"/>
  <c r="O699" i="22"/>
  <c r="BS677" i="22"/>
  <c r="O677" i="22"/>
  <c r="BS776" i="22"/>
  <c r="O776" i="22"/>
  <c r="BS778" i="22"/>
  <c r="O778" i="22"/>
  <c r="BS804" i="22"/>
  <c r="O804" i="22"/>
  <c r="BS825" i="22"/>
  <c r="O825" i="22"/>
  <c r="BS709" i="22"/>
  <c r="O709" i="22"/>
  <c r="BS766" i="22"/>
  <c r="O766" i="22"/>
  <c r="BS884" i="22"/>
  <c r="O884" i="22"/>
  <c r="BS851" i="22"/>
  <c r="O851" i="22"/>
  <c r="BS934" i="22"/>
  <c r="O934" i="22"/>
  <c r="BS901" i="22"/>
  <c r="O901" i="22"/>
  <c r="BS961" i="22"/>
  <c r="O961" i="22"/>
  <c r="BS1000" i="22"/>
  <c r="O1000" i="22"/>
  <c r="BS925" i="22"/>
  <c r="O925" i="22"/>
  <c r="BS1003" i="22"/>
  <c r="O1003" i="22"/>
  <c r="BS949" i="22"/>
  <c r="O949" i="22"/>
  <c r="BS914" i="22"/>
  <c r="O914" i="22"/>
  <c r="BS1008" i="22"/>
  <c r="O1008" i="22"/>
  <c r="BS1009" i="22"/>
  <c r="O1009" i="22"/>
  <c r="BS619" i="22"/>
  <c r="O619" i="22"/>
  <c r="BS644" i="22"/>
  <c r="O644" i="22"/>
  <c r="BS698" i="22"/>
  <c r="O698" i="22"/>
  <c r="BS597" i="22"/>
  <c r="O597" i="22"/>
  <c r="BS777" i="22"/>
  <c r="O777" i="22"/>
  <c r="BS817" i="22"/>
  <c r="O817" i="22"/>
  <c r="BS782" i="22"/>
  <c r="O782" i="22"/>
  <c r="BS994" i="22"/>
  <c r="O994" i="22"/>
  <c r="BS922" i="22"/>
  <c r="O922" i="22"/>
  <c r="BS1019" i="22"/>
  <c r="O1019" i="22"/>
  <c r="BS966" i="22"/>
  <c r="O966" i="22"/>
  <c r="BS623" i="22"/>
  <c r="O623" i="22"/>
  <c r="BS631" i="22"/>
  <c r="O631" i="22"/>
  <c r="BS702" i="22"/>
  <c r="O702" i="22"/>
  <c r="BS818" i="22"/>
  <c r="O818" i="22"/>
  <c r="BS810" i="22"/>
  <c r="O810" i="22"/>
  <c r="BS596" i="22"/>
  <c r="O596" i="22"/>
  <c r="BS971" i="22"/>
  <c r="O971" i="22"/>
  <c r="BS919" i="22"/>
  <c r="O919" i="22"/>
  <c r="BS877" i="22"/>
  <c r="O877" i="22"/>
  <c r="BS985" i="22"/>
  <c r="O985" i="22"/>
  <c r="BS905" i="22"/>
  <c r="O905" i="22"/>
  <c r="BS1006" i="22"/>
  <c r="O1006" i="22"/>
  <c r="BS954" i="22"/>
  <c r="O954" i="22"/>
  <c r="BS639" i="22"/>
  <c r="O639" i="22"/>
  <c r="BS711" i="22"/>
  <c r="O711" i="22"/>
  <c r="BS715" i="22"/>
  <c r="O715" i="22"/>
  <c r="BS691" i="22"/>
  <c r="O691" i="22"/>
  <c r="BS602" i="22"/>
  <c r="O602" i="22"/>
  <c r="BS795" i="22"/>
  <c r="O795" i="22"/>
  <c r="BS826" i="22"/>
  <c r="O826" i="22"/>
  <c r="BS800" i="22"/>
  <c r="O800" i="22"/>
  <c r="BS968" i="22"/>
  <c r="O968" i="22"/>
  <c r="BS920" i="22"/>
  <c r="O920" i="22"/>
  <c r="BS874" i="22"/>
  <c r="O874" i="22"/>
  <c r="BS982" i="22"/>
  <c r="O982" i="22"/>
  <c r="BS855" i="22"/>
  <c r="O855" i="22"/>
  <c r="BS962" i="22"/>
  <c r="O962" i="22"/>
  <c r="BS1001" i="22"/>
  <c r="O1001" i="22"/>
  <c r="BS896" i="22"/>
  <c r="O896" i="22"/>
  <c r="BS965" i="22"/>
  <c r="O965" i="22"/>
  <c r="BS868" i="22"/>
  <c r="O868" i="22"/>
  <c r="BS915" i="22"/>
  <c r="O915" i="22"/>
  <c r="BS655" i="22"/>
  <c r="O655" i="22"/>
  <c r="BS734" i="22"/>
  <c r="O734" i="22"/>
  <c r="BS718" i="22"/>
  <c r="O718" i="22"/>
  <c r="BS601" i="22"/>
  <c r="O601" i="22"/>
  <c r="BS594" i="22"/>
  <c r="O594" i="22"/>
  <c r="BS773" i="22"/>
  <c r="O773" i="22"/>
  <c r="BS829" i="22"/>
  <c r="O829" i="22"/>
  <c r="BS805" i="22"/>
  <c r="O805" i="22"/>
  <c r="BS787" i="22"/>
  <c r="O787" i="22"/>
  <c r="BS592" i="22"/>
  <c r="O592" i="22"/>
  <c r="BS761" i="22"/>
  <c r="O761" i="22"/>
  <c r="BS595" i="22"/>
  <c r="O595" i="22"/>
  <c r="BS891" i="22"/>
  <c r="O891" i="22"/>
  <c r="BS998" i="22"/>
  <c r="O998" i="22"/>
  <c r="BS923" i="22"/>
  <c r="O923" i="22"/>
  <c r="BS881" i="22"/>
  <c r="O881" i="22"/>
  <c r="BS862" i="22"/>
  <c r="O862" i="22"/>
  <c r="BS755" i="22"/>
  <c r="O755" i="22"/>
  <c r="BS638" i="22"/>
  <c r="O638" i="22"/>
  <c r="BS725" i="22"/>
  <c r="O725" i="22"/>
  <c r="BS707" i="22"/>
  <c r="O707" i="22"/>
  <c r="BS653" i="22"/>
  <c r="O653" i="22"/>
  <c r="BS729" i="22"/>
  <c r="O729" i="22"/>
  <c r="BS635" i="22"/>
  <c r="O635" i="22"/>
  <c r="BS717" i="22"/>
  <c r="O717" i="22"/>
  <c r="BS714" i="22"/>
  <c r="O714" i="22"/>
  <c r="BS600" i="22"/>
  <c r="O600" i="22"/>
  <c r="BS679" i="22"/>
  <c r="O679" i="22"/>
  <c r="BS636" i="22"/>
  <c r="O636" i="22"/>
  <c r="BS593" i="22"/>
  <c r="O593" i="22"/>
  <c r="BS768" i="22"/>
  <c r="O768" i="22"/>
  <c r="BS790" i="22"/>
  <c r="O790" i="22"/>
  <c r="BS803" i="22"/>
  <c r="O803" i="22"/>
  <c r="BS821" i="22"/>
  <c r="O821" i="22"/>
  <c r="BS808" i="22"/>
  <c r="O808" i="22"/>
  <c r="BS811" i="22"/>
  <c r="O811" i="22"/>
  <c r="BS815" i="22"/>
  <c r="O815" i="22"/>
  <c r="BS680" i="22"/>
  <c r="O680" i="22"/>
  <c r="BS625" i="22"/>
  <c r="O625" i="22"/>
  <c r="BS661" i="22"/>
  <c r="O661" i="22"/>
  <c r="BS608" i="22"/>
  <c r="O608" i="22"/>
  <c r="BS676" i="22"/>
  <c r="O676" i="22"/>
  <c r="BS712" i="22"/>
  <c r="O712" i="22"/>
  <c r="BS813" i="22"/>
  <c r="O813" i="22"/>
  <c r="BS900" i="22"/>
  <c r="O900" i="22"/>
  <c r="BS909" i="22"/>
  <c r="O909" i="22"/>
  <c r="BS867" i="22"/>
  <c r="O867" i="22"/>
  <c r="BS727" i="22"/>
  <c r="O727" i="22"/>
  <c r="BS615" i="22"/>
  <c r="O615" i="22"/>
  <c r="BS604" i="22"/>
  <c r="O604" i="22"/>
  <c r="BS786" i="22"/>
  <c r="O786" i="22"/>
  <c r="BS684" i="22"/>
  <c r="O684" i="22"/>
  <c r="BS807" i="22"/>
  <c r="O807" i="22"/>
  <c r="BS898" i="22"/>
  <c r="O898" i="22"/>
  <c r="BS993" i="22"/>
  <c r="O993" i="22"/>
  <c r="BS861" i="22"/>
  <c r="O861" i="22"/>
  <c r="BS730" i="22"/>
  <c r="O730" i="22"/>
  <c r="BS693" i="22"/>
  <c r="O693" i="22"/>
  <c r="BS760" i="22"/>
  <c r="O760" i="22"/>
  <c r="BS797" i="22"/>
  <c r="O797" i="22"/>
  <c r="BS611" i="22"/>
  <c r="O611" i="22"/>
  <c r="BS823" i="22"/>
  <c r="O823" i="22"/>
  <c r="BS889" i="22"/>
  <c r="O889" i="22"/>
  <c r="BS938" i="22"/>
  <c r="O938" i="22"/>
  <c r="BS977" i="22"/>
  <c r="O977" i="22"/>
  <c r="BS683" i="22"/>
  <c r="O683" i="22"/>
  <c r="BS627" i="22"/>
  <c r="O627" i="22"/>
  <c r="BS863" i="22"/>
  <c r="O863" i="22"/>
  <c r="BS590" i="22"/>
  <c r="O590" i="22"/>
  <c r="BS956" i="22"/>
  <c r="O956" i="22"/>
  <c r="BS899" i="22"/>
  <c r="O899" i="22"/>
  <c r="BS893" i="22"/>
  <c r="O893" i="22"/>
  <c r="BS916" i="22"/>
  <c r="O916" i="22"/>
  <c r="BS926" i="22"/>
  <c r="O926" i="22"/>
  <c r="BS872" i="22"/>
  <c r="O872" i="22"/>
  <c r="BS870" i="22"/>
  <c r="O870" i="22"/>
  <c r="BS931" i="22"/>
  <c r="O931" i="22"/>
  <c r="BS783" i="22"/>
  <c r="O783" i="22"/>
  <c r="BS758" i="22"/>
  <c r="O758" i="22"/>
  <c r="BS846" i="22"/>
  <c r="O846" i="22"/>
  <c r="BS917" i="22"/>
  <c r="O917" i="22"/>
  <c r="BS995" i="22"/>
  <c r="O995" i="22"/>
  <c r="BS997" i="22"/>
  <c r="O997" i="22"/>
  <c r="BS890" i="22"/>
  <c r="O890" i="22"/>
  <c r="BS1014" i="22"/>
  <c r="O1014" i="22"/>
  <c r="BS869" i="22"/>
  <c r="O869" i="22"/>
  <c r="BS878" i="22"/>
  <c r="O878" i="22"/>
  <c r="BS939" i="22"/>
  <c r="O939" i="22"/>
  <c r="BS975" i="22"/>
  <c r="O975" i="22"/>
  <c r="BS986" i="22"/>
  <c r="O986" i="22"/>
  <c r="BS859" i="22"/>
  <c r="O859" i="22"/>
  <c r="BS942" i="22"/>
  <c r="O942" i="22"/>
  <c r="BS978" i="22"/>
  <c r="O978" i="22"/>
  <c r="BS989" i="22"/>
  <c r="O989" i="22"/>
  <c r="BS913" i="22"/>
  <c r="O913" i="22"/>
  <c r="BS848" i="22"/>
  <c r="O848" i="22"/>
  <c r="BS947" i="22"/>
  <c r="O947" i="22"/>
  <c r="BS721" i="22"/>
  <c r="O721" i="22"/>
  <c r="BS633" i="22"/>
  <c r="O633" i="22"/>
  <c r="BS632" i="22"/>
  <c r="O632" i="22"/>
  <c r="BS799" i="22"/>
  <c r="O799" i="22"/>
  <c r="BS833" i="22"/>
  <c r="O833" i="22"/>
  <c r="BS970" i="22"/>
  <c r="O970" i="22"/>
  <c r="BS895" i="22"/>
  <c r="O895" i="22"/>
  <c r="BS928" i="22"/>
  <c r="O928" i="22"/>
  <c r="BS640" i="22"/>
  <c r="O640" i="22"/>
  <c r="BS687" i="22"/>
  <c r="O687" i="22"/>
  <c r="BS694" i="22"/>
  <c r="O694" i="22"/>
  <c r="BS802" i="22"/>
  <c r="O802" i="22"/>
  <c r="BS847" i="22"/>
  <c r="O847" i="22"/>
  <c r="BS958" i="22"/>
  <c r="O958" i="22"/>
  <c r="BS892" i="22"/>
  <c r="O892" i="22"/>
  <c r="BS1016" i="22"/>
  <c r="O1016" i="22"/>
  <c r="BS880" i="22"/>
  <c r="O880" i="22"/>
  <c r="BS932" i="22"/>
  <c r="O932" i="22"/>
  <c r="BS944" i="22"/>
  <c r="O944" i="22"/>
  <c r="BS850" i="22"/>
  <c r="O850" i="22"/>
  <c r="BS708" i="22"/>
  <c r="O708" i="22"/>
  <c r="BS719" i="22"/>
  <c r="O719" i="22"/>
  <c r="BS759" i="22"/>
  <c r="O759" i="22"/>
  <c r="BS772" i="22"/>
  <c r="O772" i="22"/>
  <c r="BS767" i="22"/>
  <c r="O767" i="22"/>
  <c r="BS1010" i="22"/>
  <c r="O1010" i="22"/>
  <c r="BS980" i="22"/>
  <c r="O980" i="22"/>
  <c r="BS858" i="22"/>
  <c r="O858" i="22"/>
  <c r="BS988" i="22"/>
  <c r="O988" i="22"/>
  <c r="BS946" i="22"/>
  <c r="O946" i="22"/>
  <c r="BS647" i="22"/>
  <c r="O647" i="22"/>
  <c r="BS789" i="22"/>
  <c r="O789" i="22"/>
  <c r="BS831" i="22"/>
  <c r="O831" i="22"/>
  <c r="BS816" i="22"/>
  <c r="O816" i="22"/>
  <c r="BS591" i="22"/>
  <c r="O591" i="22"/>
  <c r="BS935" i="22"/>
  <c r="O935" i="22"/>
  <c r="BS902" i="22"/>
  <c r="O902" i="22"/>
  <c r="BS945" i="22"/>
  <c r="O945" i="22"/>
  <c r="BS1004" i="22"/>
  <c r="O1004" i="22"/>
  <c r="BS910" i="22"/>
  <c r="O910" i="22"/>
  <c r="BS622" i="22"/>
  <c r="O622" i="22"/>
  <c r="BS603" i="22"/>
  <c r="O603" i="22"/>
  <c r="BS686" i="22"/>
  <c r="O686" i="22"/>
  <c r="BS690" i="22"/>
  <c r="O690" i="22"/>
  <c r="BS637" i="22"/>
  <c r="O637" i="22"/>
  <c r="BS770" i="22"/>
  <c r="O770" i="22"/>
  <c r="BS834" i="22"/>
  <c r="O834" i="22"/>
  <c r="BS794" i="22"/>
  <c r="O794" i="22"/>
  <c r="BS589" i="22"/>
  <c r="O589" i="22"/>
  <c r="BS852" i="22"/>
  <c r="O852" i="22"/>
  <c r="BS952" i="22"/>
  <c r="O952" i="22"/>
  <c r="BS1017" i="22"/>
  <c r="O1017" i="22"/>
  <c r="BS981" i="22"/>
  <c r="O981" i="22"/>
  <c r="BS724" i="22"/>
  <c r="O724" i="22"/>
  <c r="BS706" i="22"/>
  <c r="O706" i="22"/>
  <c r="BS682" i="22"/>
  <c r="O682" i="22"/>
  <c r="BS605" i="22"/>
  <c r="O605" i="22"/>
  <c r="BS710" i="22"/>
  <c r="O710" i="22"/>
  <c r="BS629" i="22"/>
  <c r="O629" i="22"/>
  <c r="BS713" i="22"/>
  <c r="O713" i="22"/>
  <c r="BS689" i="22"/>
  <c r="O689" i="22"/>
  <c r="BS697" i="22"/>
  <c r="O697" i="22"/>
  <c r="BS634" i="22"/>
  <c r="O634" i="22"/>
  <c r="BS652" i="22"/>
  <c r="O652" i="22"/>
  <c r="BS774" i="22"/>
  <c r="O774" i="22"/>
  <c r="BS819" i="22"/>
  <c r="O819" i="22"/>
  <c r="BS798" i="22"/>
  <c r="O798" i="22"/>
  <c r="BS824" i="22"/>
  <c r="O824" i="22"/>
  <c r="BS827" i="22"/>
  <c r="O827" i="22"/>
  <c r="BS835" i="22"/>
  <c r="O835" i="22"/>
  <c r="BS731" i="22"/>
  <c r="O731" i="22"/>
  <c r="BS779" i="22"/>
  <c r="O779" i="22"/>
  <c r="BS788" i="22"/>
  <c r="O788" i="22"/>
  <c r="BS933" i="22"/>
  <c r="O933" i="22"/>
  <c r="BS1011" i="22"/>
  <c r="O1011" i="22"/>
  <c r="BS936" i="22"/>
  <c r="O936" i="22"/>
  <c r="BS875" i="22"/>
  <c r="O875" i="22"/>
  <c r="BS972" i="22"/>
  <c r="O972" i="22"/>
  <c r="BS983" i="22"/>
  <c r="O983" i="22"/>
  <c r="BS856" i="22"/>
  <c r="O856" i="22"/>
  <c r="BS903" i="22"/>
  <c r="O903" i="22"/>
  <c r="BS963" i="22"/>
  <c r="O963" i="22"/>
  <c r="BS1002" i="22"/>
  <c r="O1002" i="22"/>
  <c r="BS990" i="22"/>
  <c r="O990" i="22"/>
  <c r="BS906" i="22"/>
  <c r="O906" i="22"/>
  <c r="BS950" i="22"/>
  <c r="O950" i="22"/>
  <c r="BS1005" i="22"/>
  <c r="O1005" i="22"/>
  <c r="BS991" i="22"/>
  <c r="O991" i="22"/>
  <c r="BS864" i="22"/>
  <c r="O864" i="22"/>
  <c r="BS911" i="22"/>
  <c r="O911" i="22"/>
  <c r="BS621" i="22"/>
  <c r="O621" i="22"/>
  <c r="BS630" i="22"/>
  <c r="O630" i="22"/>
  <c r="BS726" i="22"/>
  <c r="O726" i="22"/>
  <c r="BS648" i="22"/>
  <c r="O648" i="22"/>
  <c r="BS642" i="22"/>
  <c r="O642" i="22"/>
  <c r="BS673" i="22"/>
  <c r="O673" i="22"/>
  <c r="BS757" i="22"/>
  <c r="O757" i="22"/>
  <c r="BS820" i="22"/>
  <c r="O820" i="22"/>
  <c r="BS854" i="22"/>
  <c r="O854" i="22"/>
  <c r="BS941" i="22"/>
  <c r="O941" i="22"/>
  <c r="BS930" i="22"/>
  <c r="O930" i="22"/>
  <c r="BS656" i="22"/>
  <c r="O656" i="22"/>
  <c r="BS614" i="22"/>
  <c r="O614" i="22"/>
  <c r="BS692" i="22"/>
  <c r="O692" i="22"/>
  <c r="BS814" i="22"/>
  <c r="O814" i="22"/>
  <c r="BS620" i="22"/>
  <c r="O620" i="22"/>
  <c r="BS974" i="22"/>
  <c r="O974" i="22"/>
  <c r="BS908" i="22"/>
  <c r="O908" i="22"/>
  <c r="BS646" i="22"/>
  <c r="O646" i="22"/>
  <c r="BS626" i="22"/>
  <c r="O626" i="22"/>
  <c r="BS764" i="22"/>
  <c r="O764" i="22"/>
  <c r="BS618" i="22"/>
  <c r="O618" i="22"/>
  <c r="BS705" i="22"/>
  <c r="O705" i="22"/>
  <c r="BS681" i="22"/>
  <c r="O681" i="22"/>
  <c r="BS609" i="22"/>
  <c r="O609" i="22"/>
  <c r="BS610" i="22"/>
  <c r="O610" i="22"/>
  <c r="BS685" i="22"/>
  <c r="O685" i="22"/>
  <c r="BS645" i="22"/>
  <c r="O645" i="22"/>
  <c r="BS688" i="22"/>
  <c r="O688" i="22"/>
  <c r="BS599" i="22"/>
  <c r="O599" i="22"/>
  <c r="BS617" i="22"/>
  <c r="O617" i="22"/>
  <c r="BS650" i="22"/>
  <c r="O650" i="22"/>
  <c r="BS607" i="22"/>
  <c r="O607" i="22"/>
  <c r="BS756" i="22"/>
  <c r="O756" i="22"/>
  <c r="BS769" i="22"/>
  <c r="O769" i="22"/>
  <c r="BS791" i="22"/>
  <c r="O791" i="22"/>
  <c r="BS796" i="22"/>
  <c r="O796" i="22"/>
  <c r="BS832" i="22"/>
  <c r="O832" i="22"/>
  <c r="BS785" i="22"/>
  <c r="O785" i="22"/>
  <c r="BS836" i="22"/>
  <c r="O836" i="22"/>
  <c r="BS659" i="22"/>
  <c r="O659" i="22"/>
  <c r="BS763" i="22"/>
  <c r="O763" i="22"/>
  <c r="BS780" i="22"/>
  <c r="O780" i="22"/>
  <c r="BS897" i="22"/>
  <c r="O897" i="22"/>
  <c r="BS969" i="22"/>
  <c r="O969" i="22"/>
  <c r="BS876" i="22"/>
  <c r="O876" i="22"/>
  <c r="BS853" i="22"/>
  <c r="O853" i="22"/>
  <c r="BS960" i="22"/>
  <c r="O960" i="22"/>
  <c r="BS999" i="22"/>
  <c r="O999" i="22"/>
  <c r="BS912" i="22"/>
  <c r="O912" i="22"/>
  <c r="BS894" i="22"/>
  <c r="O894" i="22"/>
  <c r="BS924" i="22"/>
  <c r="O924" i="22"/>
  <c r="BS1018" i="22"/>
  <c r="O1018" i="22"/>
  <c r="BS929" i="22"/>
  <c r="O929" i="22"/>
  <c r="BS886" i="22"/>
  <c r="O886" i="22"/>
  <c r="BS927" i="22"/>
  <c r="O927" i="22"/>
  <c r="BS885" i="22"/>
  <c r="O885" i="22"/>
  <c r="BS1007" i="22"/>
  <c r="O1007" i="22"/>
  <c r="BS967" i="22"/>
  <c r="O967" i="22"/>
  <c r="BS871" i="22"/>
  <c r="O871" i="22"/>
  <c r="Q588" i="22"/>
  <c r="R588" i="22" s="1"/>
  <c r="BS588" i="22"/>
  <c r="BB760" i="22"/>
  <c r="BG760" i="22"/>
  <c r="BJ762" i="22"/>
  <c r="BB764" i="22"/>
  <c r="BG757" i="22"/>
  <c r="BJ758" i="22"/>
  <c r="BG758" i="22"/>
  <c r="BJ757" i="22"/>
  <c r="BG762" i="22"/>
  <c r="BJ764" i="22"/>
  <c r="BB618" i="22"/>
  <c r="BJ846" i="22"/>
  <c r="BB846" i="22"/>
  <c r="BJ763" i="22"/>
  <c r="BG763" i="22"/>
  <c r="BG759" i="22"/>
  <c r="BI846" i="22"/>
  <c r="BD846" i="22"/>
  <c r="BG756" i="22"/>
  <c r="BJ759" i="22"/>
  <c r="BJ756" i="22"/>
  <c r="BD783" i="22"/>
  <c r="BI783" i="22"/>
  <c r="BI833" i="22"/>
  <c r="BD833" i="22"/>
  <c r="BG761" i="22"/>
  <c r="BJ761" i="22"/>
  <c r="BI834" i="22"/>
  <c r="BD834" i="22"/>
  <c r="BJ955" i="22"/>
  <c r="BQ955" i="22" s="1"/>
  <c r="BB955" i="22"/>
  <c r="BR955" i="22" s="1"/>
  <c r="BG955" i="22"/>
  <c r="BJ1017" i="22"/>
  <c r="BQ1017" i="22" s="1"/>
  <c r="BB1017" i="22"/>
  <c r="BR1017" i="22" s="1"/>
  <c r="BG1017" i="22"/>
  <c r="BB981" i="22"/>
  <c r="BR981" i="22" s="1"/>
  <c r="BJ981" i="22"/>
  <c r="BQ981" i="22" s="1"/>
  <c r="BG981" i="22"/>
  <c r="BB1006" i="22"/>
  <c r="BR1006" i="22" s="1"/>
  <c r="BJ1006" i="22"/>
  <c r="BQ1006" i="22" s="1"/>
  <c r="BG1006" i="22"/>
  <c r="BJ970" i="22"/>
  <c r="BQ970" i="22" s="1"/>
  <c r="BB970" i="22"/>
  <c r="BR970" i="22" s="1"/>
  <c r="BG970" i="22"/>
  <c r="BB1013" i="22"/>
  <c r="BR1013" i="22" s="1"/>
  <c r="BJ1013" i="22"/>
  <c r="BQ1013" i="22" s="1"/>
  <c r="BG1013" i="22"/>
  <c r="BB972" i="22"/>
  <c r="BR972" i="22" s="1"/>
  <c r="BJ972" i="22"/>
  <c r="BQ972" i="22" s="1"/>
  <c r="BG972" i="22"/>
  <c r="BB952" i="22"/>
  <c r="BR952" i="22" s="1"/>
  <c r="BJ952" i="22"/>
  <c r="BQ952" i="22" s="1"/>
  <c r="BG952" i="22"/>
  <c r="BJ984" i="22"/>
  <c r="BQ984" i="22" s="1"/>
  <c r="BB984" i="22"/>
  <c r="BR984" i="22" s="1"/>
  <c r="BG984" i="22"/>
  <c r="BB975" i="22"/>
  <c r="BR975" i="22" s="1"/>
  <c r="BJ975" i="22"/>
  <c r="BQ975" i="22" s="1"/>
  <c r="BG975" i="22"/>
  <c r="BB987" i="22"/>
  <c r="BR987" i="22" s="1"/>
  <c r="BJ987" i="22"/>
  <c r="BQ987" i="22" s="1"/>
  <c r="BG987" i="22"/>
  <c r="BB953" i="22"/>
  <c r="BR953" i="22" s="1"/>
  <c r="BJ953" i="22"/>
  <c r="BQ953" i="22" s="1"/>
  <c r="BG953" i="22"/>
  <c r="BB967" i="22"/>
  <c r="BR967" i="22" s="1"/>
  <c r="BJ967" i="22"/>
  <c r="BQ967" i="22" s="1"/>
  <c r="BG967" i="22"/>
  <c r="BJ978" i="22"/>
  <c r="BQ978" i="22" s="1"/>
  <c r="BB978" i="22"/>
  <c r="BR978" i="22" s="1"/>
  <c r="BG978" i="22"/>
  <c r="BB995" i="22"/>
  <c r="BR995" i="22" s="1"/>
  <c r="BJ995" i="22"/>
  <c r="BQ995" i="22" s="1"/>
  <c r="BG995" i="22"/>
  <c r="BB958" i="22"/>
  <c r="BR958" i="22" s="1"/>
  <c r="BJ958" i="22"/>
  <c r="BQ958" i="22" s="1"/>
  <c r="BG958" i="22"/>
  <c r="BB959" i="22"/>
  <c r="BR959" i="22" s="1"/>
  <c r="BJ959" i="22"/>
  <c r="BQ959" i="22" s="1"/>
  <c r="BG959" i="22"/>
  <c r="BJ960" i="22"/>
  <c r="BQ960" i="22" s="1"/>
  <c r="BB960" i="22"/>
  <c r="BR960" i="22" s="1"/>
  <c r="BG960" i="22"/>
  <c r="BJ1000" i="22"/>
  <c r="BQ1000" i="22" s="1"/>
  <c r="BB1000" i="22"/>
  <c r="BR1000" i="22" s="1"/>
  <c r="BG1000" i="22"/>
  <c r="BB963" i="22"/>
  <c r="BR963" i="22" s="1"/>
  <c r="BJ963" i="22"/>
  <c r="BQ963" i="22" s="1"/>
  <c r="BG963" i="22"/>
  <c r="BB1003" i="22"/>
  <c r="BR1003" i="22" s="1"/>
  <c r="BJ1003" i="22"/>
  <c r="BQ1003" i="22" s="1"/>
  <c r="BG1003" i="22"/>
  <c r="BB1011" i="22"/>
  <c r="BR1011" i="22" s="1"/>
  <c r="BJ1011" i="22"/>
  <c r="BQ1011" i="22" s="1"/>
  <c r="BG1011" i="22"/>
  <c r="BB983" i="22"/>
  <c r="BR983" i="22" s="1"/>
  <c r="BJ983" i="22"/>
  <c r="BQ983" i="22" s="1"/>
  <c r="BG983" i="22"/>
  <c r="BJ1016" i="22"/>
  <c r="BQ1016" i="22" s="1"/>
  <c r="BB1016" i="22"/>
  <c r="BR1016" i="22" s="1"/>
  <c r="BG1016" i="22"/>
  <c r="BJ986" i="22"/>
  <c r="BQ986" i="22" s="1"/>
  <c r="BB986" i="22"/>
  <c r="BR986" i="22" s="1"/>
  <c r="BG986" i="22"/>
  <c r="BB1019" i="22"/>
  <c r="BR1019" i="22" s="1"/>
  <c r="BJ1019" i="22"/>
  <c r="BQ1019" i="22" s="1"/>
  <c r="BG1019" i="22"/>
  <c r="BB989" i="22"/>
  <c r="BR989" i="22" s="1"/>
  <c r="BJ989" i="22"/>
  <c r="BQ989" i="22" s="1"/>
  <c r="BG989" i="22"/>
  <c r="BJ992" i="22"/>
  <c r="BQ992" i="22" s="1"/>
  <c r="BB992" i="22"/>
  <c r="BR992" i="22" s="1"/>
  <c r="BG992" i="22"/>
  <c r="BJ994" i="22"/>
  <c r="BQ994" i="22" s="1"/>
  <c r="BB994" i="22"/>
  <c r="BR994" i="22" s="1"/>
  <c r="BG994" i="22"/>
  <c r="BJ969" i="22"/>
  <c r="BQ969" i="22" s="1"/>
  <c r="BB969" i="22"/>
  <c r="BR969" i="22" s="1"/>
  <c r="BG969" i="22"/>
  <c r="BB997" i="22"/>
  <c r="BR997" i="22" s="1"/>
  <c r="BJ997" i="22"/>
  <c r="BQ997" i="22" s="1"/>
  <c r="BG997" i="22"/>
  <c r="BB999" i="22"/>
  <c r="BR999" i="22" s="1"/>
  <c r="BJ999" i="22"/>
  <c r="BQ999" i="22" s="1"/>
  <c r="BG999" i="22"/>
  <c r="BB974" i="22"/>
  <c r="BR974" i="22" s="1"/>
  <c r="BJ974" i="22"/>
  <c r="BQ974" i="22" s="1"/>
  <c r="BG974" i="22"/>
  <c r="BJ1002" i="22"/>
  <c r="BQ1002" i="22" s="1"/>
  <c r="BB1002" i="22"/>
  <c r="BR1002" i="22" s="1"/>
  <c r="BG1002" i="22"/>
  <c r="BJ977" i="22"/>
  <c r="BQ977" i="22" s="1"/>
  <c r="BB977" i="22"/>
  <c r="BR977" i="22" s="1"/>
  <c r="BG977" i="22"/>
  <c r="BB1005" i="22"/>
  <c r="BR1005" i="22" s="1"/>
  <c r="BJ1005" i="22"/>
  <c r="BQ1005" i="22" s="1"/>
  <c r="BG1005" i="22"/>
  <c r="BJ1008" i="22"/>
  <c r="BQ1008" i="22" s="1"/>
  <c r="BB1008" i="22"/>
  <c r="BR1008" i="22" s="1"/>
  <c r="BG1008" i="22"/>
  <c r="BJ1010" i="22"/>
  <c r="BQ1010" i="22" s="1"/>
  <c r="BB1010" i="22"/>
  <c r="BR1010" i="22" s="1"/>
  <c r="BG1010" i="22"/>
  <c r="BB957" i="22"/>
  <c r="BR957" i="22" s="1"/>
  <c r="BJ957" i="22"/>
  <c r="BQ957" i="22" s="1"/>
  <c r="BG957" i="22"/>
  <c r="BB980" i="22"/>
  <c r="BR980" i="22" s="1"/>
  <c r="BJ980" i="22"/>
  <c r="BQ980" i="22" s="1"/>
  <c r="BG980" i="22"/>
  <c r="BB1015" i="22"/>
  <c r="BR1015" i="22" s="1"/>
  <c r="BJ1015" i="22"/>
  <c r="BQ1015" i="22" s="1"/>
  <c r="BG1015" i="22"/>
  <c r="BJ962" i="22"/>
  <c r="BQ962" i="22" s="1"/>
  <c r="BB962" i="22"/>
  <c r="BR962" i="22" s="1"/>
  <c r="BG962" i="22"/>
  <c r="BJ993" i="22"/>
  <c r="BQ993" i="22" s="1"/>
  <c r="BB993" i="22"/>
  <c r="BR993" i="22" s="1"/>
  <c r="BG993" i="22"/>
  <c r="BB1018" i="22"/>
  <c r="BR1018" i="22" s="1"/>
  <c r="BJ1018" i="22"/>
  <c r="BQ1018" i="22" s="1"/>
  <c r="BG1018" i="22"/>
  <c r="BB965" i="22"/>
  <c r="BR965" i="22" s="1"/>
  <c r="BJ965" i="22"/>
  <c r="BQ965" i="22" s="1"/>
  <c r="BG965" i="22"/>
  <c r="BB966" i="22"/>
  <c r="BR966" i="22" s="1"/>
  <c r="BJ966" i="22"/>
  <c r="BQ966" i="22" s="1"/>
  <c r="BG966" i="22"/>
  <c r="BJ968" i="22"/>
  <c r="BQ968" i="22" s="1"/>
  <c r="BB968" i="22"/>
  <c r="BR968" i="22" s="1"/>
  <c r="BG968" i="22"/>
  <c r="BB982" i="22"/>
  <c r="BR982" i="22" s="1"/>
  <c r="BJ982" i="22"/>
  <c r="BQ982" i="22" s="1"/>
  <c r="BG982" i="22"/>
  <c r="BB973" i="22"/>
  <c r="BR973" i="22" s="1"/>
  <c r="BJ973" i="22"/>
  <c r="BQ973" i="22" s="1"/>
  <c r="BG973" i="22"/>
  <c r="BJ985" i="22"/>
  <c r="BQ985" i="22" s="1"/>
  <c r="BB985" i="22"/>
  <c r="BR985" i="22" s="1"/>
  <c r="BG985" i="22"/>
  <c r="BJ976" i="22"/>
  <c r="BQ976" i="22" s="1"/>
  <c r="BB976" i="22"/>
  <c r="BR976" i="22" s="1"/>
  <c r="BG976" i="22"/>
  <c r="BB990" i="22"/>
  <c r="BR990" i="22" s="1"/>
  <c r="BJ990" i="22"/>
  <c r="BQ990" i="22" s="1"/>
  <c r="BG990" i="22"/>
  <c r="BB988" i="22"/>
  <c r="BR988" i="22" s="1"/>
  <c r="BJ988" i="22"/>
  <c r="BQ988" i="22" s="1"/>
  <c r="BG988" i="22"/>
  <c r="BB979" i="22"/>
  <c r="BR979" i="22" s="1"/>
  <c r="BJ979" i="22"/>
  <c r="BQ979" i="22" s="1"/>
  <c r="BG979" i="22"/>
  <c r="BB991" i="22"/>
  <c r="BR991" i="22" s="1"/>
  <c r="BJ991" i="22"/>
  <c r="BQ991" i="22" s="1"/>
  <c r="BG991" i="22"/>
  <c r="BJ954" i="22"/>
  <c r="BQ954" i="22" s="1"/>
  <c r="BB954" i="22"/>
  <c r="BR954" i="22" s="1"/>
  <c r="BG954" i="22"/>
  <c r="BJ1009" i="22"/>
  <c r="BQ1009" i="22" s="1"/>
  <c r="BB1009" i="22"/>
  <c r="BR1009" i="22" s="1"/>
  <c r="BG1009" i="22"/>
  <c r="BB956" i="22"/>
  <c r="BR956" i="22" s="1"/>
  <c r="BJ956" i="22"/>
  <c r="BQ956" i="22" s="1"/>
  <c r="BG956" i="22"/>
  <c r="BB971" i="22"/>
  <c r="BR971" i="22" s="1"/>
  <c r="BJ971" i="22"/>
  <c r="BQ971" i="22" s="1"/>
  <c r="BG971" i="22"/>
  <c r="BB996" i="22"/>
  <c r="BR996" i="22" s="1"/>
  <c r="BJ996" i="22"/>
  <c r="BQ996" i="22" s="1"/>
  <c r="BG996" i="22"/>
  <c r="BB998" i="22"/>
  <c r="BR998" i="22" s="1"/>
  <c r="BJ998" i="22"/>
  <c r="BQ998" i="22" s="1"/>
  <c r="BG998" i="22"/>
  <c r="BJ961" i="22"/>
  <c r="BQ961" i="22" s="1"/>
  <c r="BB961" i="22"/>
  <c r="BR961" i="22" s="1"/>
  <c r="BG961" i="22"/>
  <c r="BJ1001" i="22"/>
  <c r="BQ1001" i="22" s="1"/>
  <c r="BB1001" i="22"/>
  <c r="BR1001" i="22" s="1"/>
  <c r="BG1001" i="22"/>
  <c r="BB964" i="22"/>
  <c r="BR964" i="22" s="1"/>
  <c r="BJ964" i="22"/>
  <c r="BQ964" i="22" s="1"/>
  <c r="BG964" i="22"/>
  <c r="BB1004" i="22"/>
  <c r="BR1004" i="22" s="1"/>
  <c r="BJ1004" i="22"/>
  <c r="BQ1004" i="22" s="1"/>
  <c r="BG1004" i="22"/>
  <c r="BB951" i="22"/>
  <c r="BR951" i="22" s="1"/>
  <c r="BJ951" i="22"/>
  <c r="BQ951" i="22" s="1"/>
  <c r="BG951" i="22"/>
  <c r="BB1007" i="22"/>
  <c r="BR1007" i="22" s="1"/>
  <c r="BJ1007" i="22"/>
  <c r="BQ1007" i="22" s="1"/>
  <c r="BG1007" i="22"/>
  <c r="BB1012" i="22"/>
  <c r="BR1012" i="22" s="1"/>
  <c r="BJ1012" i="22"/>
  <c r="BQ1012" i="22" s="1"/>
  <c r="BG1012" i="22"/>
  <c r="BB1014" i="22"/>
  <c r="BR1014" i="22" s="1"/>
  <c r="BJ1014" i="22"/>
  <c r="BQ1014" i="22" s="1"/>
  <c r="BG1014" i="22"/>
  <c r="BB903" i="22"/>
  <c r="BR903" i="22" s="1"/>
  <c r="BJ903" i="22"/>
  <c r="BQ903" i="22" s="1"/>
  <c r="BG903" i="22"/>
  <c r="BJ887" i="22"/>
  <c r="BQ887" i="22" s="1"/>
  <c r="BB887" i="22"/>
  <c r="BR887" i="22" s="1"/>
  <c r="BG887" i="22"/>
  <c r="BB928" i="22"/>
  <c r="BR928" i="22" s="1"/>
  <c r="BJ928" i="22"/>
  <c r="BQ928" i="22" s="1"/>
  <c r="BG928" i="22"/>
  <c r="BB933" i="22"/>
  <c r="BR933" i="22" s="1"/>
  <c r="BJ933" i="22"/>
  <c r="BQ933" i="22" s="1"/>
  <c r="BG933" i="22"/>
  <c r="BJ891" i="22"/>
  <c r="BQ891" i="22" s="1"/>
  <c r="BB891" i="22"/>
  <c r="BR891" i="22" s="1"/>
  <c r="BG891" i="22"/>
  <c r="BB889" i="22"/>
  <c r="BR889" i="22" s="1"/>
  <c r="BJ889" i="22"/>
  <c r="BQ889" i="22" s="1"/>
  <c r="BG889" i="22"/>
  <c r="BJ938" i="22"/>
  <c r="BQ938" i="22" s="1"/>
  <c r="BB938" i="22"/>
  <c r="BR938" i="22" s="1"/>
  <c r="BG938" i="22"/>
  <c r="BB925" i="22"/>
  <c r="BR925" i="22" s="1"/>
  <c r="BJ925" i="22"/>
  <c r="BQ925" i="22" s="1"/>
  <c r="BG925" i="22"/>
  <c r="BJ948" i="22"/>
  <c r="BQ948" i="22" s="1"/>
  <c r="BB948" i="22"/>
  <c r="BR948" i="22" s="1"/>
  <c r="BG948" i="22"/>
  <c r="BB894" i="22"/>
  <c r="BR894" i="22" s="1"/>
  <c r="BJ894" i="22"/>
  <c r="BQ894" i="22" s="1"/>
  <c r="BG894" i="22"/>
  <c r="BB945" i="22"/>
  <c r="BR945" i="22" s="1"/>
  <c r="BJ945" i="22"/>
  <c r="BQ945" i="22" s="1"/>
  <c r="BG945" i="22"/>
  <c r="BB941" i="22"/>
  <c r="BR941" i="22" s="1"/>
  <c r="BJ941" i="22"/>
  <c r="BQ941" i="22" s="1"/>
  <c r="BG941" i="22"/>
  <c r="BB886" i="22"/>
  <c r="BR886" i="22" s="1"/>
  <c r="BJ886" i="22"/>
  <c r="BQ886" i="22" s="1"/>
  <c r="BG886" i="22"/>
  <c r="BB863" i="22"/>
  <c r="BR863" i="22" s="1"/>
  <c r="BJ863" i="22"/>
  <c r="BQ863" i="22" s="1"/>
  <c r="BG863" i="22"/>
  <c r="BB944" i="22"/>
  <c r="BR944" i="22" s="1"/>
  <c r="BJ944" i="22"/>
  <c r="BQ944" i="22" s="1"/>
  <c r="BG944" i="22"/>
  <c r="BJ947" i="22"/>
  <c r="BQ947" i="22" s="1"/>
  <c r="BB947" i="22"/>
  <c r="BR947" i="22" s="1"/>
  <c r="BG947" i="22"/>
  <c r="BJ858" i="22"/>
  <c r="BQ858" i="22" s="1"/>
  <c r="BB858" i="22"/>
  <c r="BR858" i="22" s="1"/>
  <c r="BG858" i="22"/>
  <c r="BJ906" i="22"/>
  <c r="BQ906" i="22" s="1"/>
  <c r="BB906" i="22"/>
  <c r="BR906" i="22" s="1"/>
  <c r="BG906" i="22"/>
  <c r="BB897" i="22"/>
  <c r="BR897" i="22" s="1"/>
  <c r="BJ897" i="22"/>
  <c r="BQ897" i="22" s="1"/>
  <c r="BG897" i="22"/>
  <c r="BJ874" i="22"/>
  <c r="BQ874" i="22" s="1"/>
  <c r="BB874" i="22"/>
  <c r="BR874" i="22" s="1"/>
  <c r="BG874" i="22"/>
  <c r="BB869" i="22"/>
  <c r="BR869" i="22" s="1"/>
  <c r="BJ869" i="22"/>
  <c r="BQ869" i="22" s="1"/>
  <c r="BG869" i="22"/>
  <c r="BB902" i="22"/>
  <c r="BR902" i="22" s="1"/>
  <c r="BJ902" i="22"/>
  <c r="BQ902" i="22" s="1"/>
  <c r="BG902" i="22"/>
  <c r="BJ931" i="22"/>
  <c r="BQ931" i="22" s="1"/>
  <c r="BB931" i="22"/>
  <c r="BR931" i="22" s="1"/>
  <c r="BG931" i="22"/>
  <c r="BB879" i="22"/>
  <c r="BR879" i="22" s="1"/>
  <c r="BJ879" i="22"/>
  <c r="BQ879" i="22" s="1"/>
  <c r="BG879" i="22"/>
  <c r="BJ916" i="22"/>
  <c r="BQ916" i="22" s="1"/>
  <c r="BB916" i="22"/>
  <c r="BR916" i="22" s="1"/>
  <c r="BG916" i="22"/>
  <c r="BB905" i="22"/>
  <c r="BR905" i="22" s="1"/>
  <c r="BJ905" i="22"/>
  <c r="BQ905" i="22" s="1"/>
  <c r="BG905" i="22"/>
  <c r="BJ882" i="22"/>
  <c r="BQ882" i="22" s="1"/>
  <c r="BB882" i="22"/>
  <c r="BR882" i="22" s="1"/>
  <c r="BG882" i="22"/>
  <c r="BB950" i="22"/>
  <c r="BR950" i="22" s="1"/>
  <c r="BJ950" i="22"/>
  <c r="BQ950" i="22" s="1"/>
  <c r="BG950" i="22"/>
  <c r="BJ872" i="22"/>
  <c r="BQ872" i="22" s="1"/>
  <c r="BB872" i="22"/>
  <c r="BR872" i="22" s="1"/>
  <c r="BG872" i="22"/>
  <c r="BJ908" i="22"/>
  <c r="BQ908" i="22" s="1"/>
  <c r="BB908" i="22"/>
  <c r="BR908" i="22" s="1"/>
  <c r="BG908" i="22"/>
  <c r="BJ914" i="22"/>
  <c r="BQ914" i="22" s="1"/>
  <c r="BB914" i="22"/>
  <c r="BR914" i="22" s="1"/>
  <c r="BG914" i="22"/>
  <c r="BJ866" i="22"/>
  <c r="BQ866" i="22" s="1"/>
  <c r="BB866" i="22"/>
  <c r="BR866" i="22" s="1"/>
  <c r="BG866" i="22"/>
  <c r="BB911" i="22"/>
  <c r="BR911" i="22" s="1"/>
  <c r="BJ911" i="22"/>
  <c r="BQ911" i="22" s="1"/>
  <c r="BG911" i="22"/>
  <c r="BJ864" i="22"/>
  <c r="BQ864" i="22" s="1"/>
  <c r="BB864" i="22"/>
  <c r="BR864" i="22" s="1"/>
  <c r="BG864" i="22"/>
  <c r="BB888" i="22"/>
  <c r="BR888" i="22" s="1"/>
  <c r="BJ888" i="22"/>
  <c r="BQ888" i="22" s="1"/>
  <c r="BG888" i="22"/>
  <c r="BB852" i="22"/>
  <c r="BR852" i="22" s="1"/>
  <c r="BJ852" i="22"/>
  <c r="BQ852" i="22" s="1"/>
  <c r="BG852" i="22"/>
  <c r="BJ919" i="22"/>
  <c r="BQ919" i="22" s="1"/>
  <c r="BB919" i="22"/>
  <c r="BR919" i="22" s="1"/>
  <c r="BG919" i="22"/>
  <c r="BJ900" i="22"/>
  <c r="BQ900" i="22" s="1"/>
  <c r="BB900" i="22"/>
  <c r="BR900" i="22" s="1"/>
  <c r="BG900" i="22"/>
  <c r="BB921" i="22"/>
  <c r="BR921" i="22" s="1"/>
  <c r="BJ921" i="22"/>
  <c r="BQ921" i="22" s="1"/>
  <c r="BG921" i="22"/>
  <c r="BB893" i="22"/>
  <c r="BR893" i="22" s="1"/>
  <c r="BJ893" i="22"/>
  <c r="BQ893" i="22" s="1"/>
  <c r="BG893" i="22"/>
  <c r="BJ857" i="22"/>
  <c r="BQ857" i="22" s="1"/>
  <c r="BB857" i="22"/>
  <c r="BR857" i="22" s="1"/>
  <c r="BG857" i="22"/>
  <c r="BJ924" i="22"/>
  <c r="BQ924" i="22" s="1"/>
  <c r="BB924" i="22"/>
  <c r="BR924" i="22" s="1"/>
  <c r="BG924" i="22"/>
  <c r="BB896" i="22"/>
  <c r="BR896" i="22" s="1"/>
  <c r="BJ896" i="22"/>
  <c r="BQ896" i="22" s="1"/>
  <c r="BG896" i="22"/>
  <c r="BB860" i="22"/>
  <c r="BR860" i="22" s="1"/>
  <c r="BJ860" i="22"/>
  <c r="BQ860" i="22" s="1"/>
  <c r="BG860" i="22"/>
  <c r="BJ927" i="22"/>
  <c r="BQ927" i="22" s="1"/>
  <c r="BB927" i="22"/>
  <c r="BR927" i="22" s="1"/>
  <c r="BG927" i="22"/>
  <c r="BB868" i="22"/>
  <c r="BR868" i="22" s="1"/>
  <c r="BJ868" i="22"/>
  <c r="BQ868" i="22" s="1"/>
  <c r="BG868" i="22"/>
  <c r="BJ930" i="22"/>
  <c r="BQ930" i="22" s="1"/>
  <c r="BB930" i="22"/>
  <c r="BR930" i="22" s="1"/>
  <c r="BG930" i="22"/>
  <c r="BB871" i="22"/>
  <c r="BR871" i="22" s="1"/>
  <c r="BJ871" i="22"/>
  <c r="BQ871" i="22" s="1"/>
  <c r="BG871" i="22"/>
  <c r="BJ873" i="22"/>
  <c r="BQ873" i="22" s="1"/>
  <c r="BB873" i="22"/>
  <c r="BR873" i="22" s="1"/>
  <c r="BG873" i="22"/>
  <c r="BB935" i="22"/>
  <c r="BR935" i="22" s="1"/>
  <c r="BJ935" i="22"/>
  <c r="BQ935" i="22" s="1"/>
  <c r="BG935" i="22"/>
  <c r="BB854" i="22"/>
  <c r="BR854" i="22" s="1"/>
  <c r="BJ854" i="22"/>
  <c r="BQ854" i="22" s="1"/>
  <c r="BG854" i="22"/>
  <c r="BB937" i="22"/>
  <c r="BR937" i="22" s="1"/>
  <c r="BJ937" i="22"/>
  <c r="BQ937" i="22" s="1"/>
  <c r="BG937" i="22"/>
  <c r="BB878" i="22"/>
  <c r="BR878" i="22" s="1"/>
  <c r="BJ878" i="22"/>
  <c r="BQ878" i="22" s="1"/>
  <c r="BG878" i="22"/>
  <c r="BB909" i="22"/>
  <c r="BR909" i="22" s="1"/>
  <c r="BJ909" i="22"/>
  <c r="BQ909" i="22" s="1"/>
  <c r="BG909" i="22"/>
  <c r="BJ940" i="22"/>
  <c r="BQ940" i="22" s="1"/>
  <c r="BB940" i="22"/>
  <c r="BR940" i="22" s="1"/>
  <c r="BG940" i="22"/>
  <c r="BJ881" i="22"/>
  <c r="BQ881" i="22" s="1"/>
  <c r="BB881" i="22"/>
  <c r="BR881" i="22" s="1"/>
  <c r="BG881" i="22"/>
  <c r="BB949" i="22"/>
  <c r="BR949" i="22" s="1"/>
  <c r="BJ949" i="22"/>
  <c r="BQ949" i="22" s="1"/>
  <c r="BG949" i="22"/>
  <c r="BB943" i="22"/>
  <c r="BR943" i="22" s="1"/>
  <c r="BJ943" i="22"/>
  <c r="BQ943" i="22" s="1"/>
  <c r="BG943" i="22"/>
  <c r="BB862" i="22"/>
  <c r="BR862" i="22" s="1"/>
  <c r="BJ862" i="22"/>
  <c r="BQ862" i="22" s="1"/>
  <c r="BG862" i="22"/>
  <c r="BJ946" i="22"/>
  <c r="BQ946" i="22" s="1"/>
  <c r="BB946" i="22"/>
  <c r="BR946" i="22" s="1"/>
  <c r="BG946" i="22"/>
  <c r="BJ849" i="22"/>
  <c r="BQ849" i="22" s="1"/>
  <c r="BB849" i="22"/>
  <c r="BR849" i="22" s="1"/>
  <c r="BG849" i="22"/>
  <c r="BB851" i="22"/>
  <c r="BR851" i="22" s="1"/>
  <c r="BJ851" i="22"/>
  <c r="BQ851" i="22" s="1"/>
  <c r="BG851" i="22"/>
  <c r="BB936" i="22"/>
  <c r="BR936" i="22" s="1"/>
  <c r="BJ936" i="22"/>
  <c r="BQ936" i="22" s="1"/>
  <c r="BG936" i="22"/>
  <c r="BJ899" i="22"/>
  <c r="BQ899" i="22" s="1"/>
  <c r="BB899" i="22"/>
  <c r="BR899" i="22" s="1"/>
  <c r="BG899" i="22"/>
  <c r="BB901" i="22"/>
  <c r="BR901" i="22" s="1"/>
  <c r="BJ901" i="22"/>
  <c r="BQ901" i="22" s="1"/>
  <c r="BG901" i="22"/>
  <c r="BJ856" i="22"/>
  <c r="BQ856" i="22" s="1"/>
  <c r="BB856" i="22"/>
  <c r="BR856" i="22" s="1"/>
  <c r="BG856" i="22"/>
  <c r="BB904" i="22"/>
  <c r="BR904" i="22" s="1"/>
  <c r="BJ904" i="22"/>
  <c r="BQ904" i="22" s="1"/>
  <c r="BG904" i="22"/>
  <c r="BB859" i="22"/>
  <c r="BR859" i="22" s="1"/>
  <c r="BJ859" i="22"/>
  <c r="BQ859" i="22" s="1"/>
  <c r="BG859" i="22"/>
  <c r="BJ932" i="22"/>
  <c r="BQ932" i="22" s="1"/>
  <c r="BB932" i="22"/>
  <c r="BR932" i="22" s="1"/>
  <c r="BG932" i="22"/>
  <c r="BJ907" i="22"/>
  <c r="BQ907" i="22" s="1"/>
  <c r="BB907" i="22"/>
  <c r="BR907" i="22" s="1"/>
  <c r="BG907" i="22"/>
  <c r="BB885" i="22"/>
  <c r="BR885" i="22" s="1"/>
  <c r="BJ885" i="22"/>
  <c r="BQ885" i="22" s="1"/>
  <c r="BG885" i="22"/>
  <c r="BB913" i="22"/>
  <c r="BR913" i="22" s="1"/>
  <c r="BJ913" i="22"/>
  <c r="BQ913" i="22" s="1"/>
  <c r="BG913" i="22"/>
  <c r="BB910" i="22"/>
  <c r="BR910" i="22" s="1"/>
  <c r="BJ910" i="22"/>
  <c r="BQ910" i="22" s="1"/>
  <c r="BG910" i="22"/>
  <c r="BJ865" i="22"/>
  <c r="BQ865" i="22" s="1"/>
  <c r="BB865" i="22"/>
  <c r="BR865" i="22" s="1"/>
  <c r="BG865" i="22"/>
  <c r="BB847" i="22"/>
  <c r="BR847" i="22" s="1"/>
  <c r="BJ847" i="22"/>
  <c r="BQ847" i="22" s="1"/>
  <c r="BG847" i="22"/>
  <c r="BB918" i="22"/>
  <c r="BR918" i="22" s="1"/>
  <c r="BJ918" i="22"/>
  <c r="BQ918" i="22" s="1"/>
  <c r="BG918" i="22"/>
  <c r="BB876" i="22"/>
  <c r="BR876" i="22" s="1"/>
  <c r="BJ876" i="22"/>
  <c r="BQ876" i="22" s="1"/>
  <c r="BG876" i="22"/>
  <c r="BJ890" i="22"/>
  <c r="BQ890" i="22" s="1"/>
  <c r="BB890" i="22"/>
  <c r="BR890" i="22" s="1"/>
  <c r="BG890" i="22"/>
  <c r="BJ892" i="22"/>
  <c r="BQ892" i="22" s="1"/>
  <c r="BB892" i="22"/>
  <c r="BR892" i="22" s="1"/>
  <c r="BG892" i="22"/>
  <c r="BB912" i="22"/>
  <c r="BR912" i="22" s="1"/>
  <c r="BJ912" i="22"/>
  <c r="BQ912" i="22" s="1"/>
  <c r="BG912" i="22"/>
  <c r="BJ923" i="22"/>
  <c r="BQ923" i="22" s="1"/>
  <c r="BB923" i="22"/>
  <c r="BR923" i="22" s="1"/>
  <c r="BG923" i="22"/>
  <c r="BJ895" i="22"/>
  <c r="BQ895" i="22" s="1"/>
  <c r="BB895" i="22"/>
  <c r="BR895" i="22" s="1"/>
  <c r="BG895" i="22"/>
  <c r="BB926" i="22"/>
  <c r="BR926" i="22" s="1"/>
  <c r="BJ926" i="22"/>
  <c r="BQ926" i="22" s="1"/>
  <c r="BG926" i="22"/>
  <c r="BB867" i="22"/>
  <c r="BR867" i="22" s="1"/>
  <c r="BJ867" i="22"/>
  <c r="BQ867" i="22" s="1"/>
  <c r="BG867" i="22"/>
  <c r="BB870" i="22"/>
  <c r="BR870" i="22" s="1"/>
  <c r="BJ870" i="22"/>
  <c r="BQ870" i="22" s="1"/>
  <c r="BG870" i="22"/>
  <c r="BB934" i="22"/>
  <c r="BR934" i="22" s="1"/>
  <c r="BJ934" i="22"/>
  <c r="BQ934" i="22" s="1"/>
  <c r="BG934" i="22"/>
  <c r="BB875" i="22"/>
  <c r="BR875" i="22" s="1"/>
  <c r="BJ875" i="22"/>
  <c r="BQ875" i="22" s="1"/>
  <c r="BG875" i="22"/>
  <c r="BJ877" i="22"/>
  <c r="BQ877" i="22" s="1"/>
  <c r="BB877" i="22"/>
  <c r="BR877" i="22" s="1"/>
  <c r="BG877" i="22"/>
  <c r="BJ939" i="22"/>
  <c r="BQ939" i="22" s="1"/>
  <c r="BB939" i="22"/>
  <c r="BR939" i="22" s="1"/>
  <c r="BG939" i="22"/>
  <c r="BJ880" i="22"/>
  <c r="BQ880" i="22" s="1"/>
  <c r="BB880" i="22"/>
  <c r="BR880" i="22" s="1"/>
  <c r="BG880" i="22"/>
  <c r="BB929" i="22"/>
  <c r="BR929" i="22" s="1"/>
  <c r="BJ929" i="22"/>
  <c r="BQ929" i="22" s="1"/>
  <c r="BG929" i="22"/>
  <c r="BB942" i="22"/>
  <c r="BR942" i="22" s="1"/>
  <c r="BJ942" i="22"/>
  <c r="BQ942" i="22" s="1"/>
  <c r="BG942" i="22"/>
  <c r="BB861" i="22"/>
  <c r="BR861" i="22" s="1"/>
  <c r="BJ861" i="22"/>
  <c r="BQ861" i="22" s="1"/>
  <c r="BG861" i="22"/>
  <c r="BJ848" i="22"/>
  <c r="BQ848" i="22" s="1"/>
  <c r="BB848" i="22"/>
  <c r="BR848" i="22" s="1"/>
  <c r="BG848" i="22"/>
  <c r="BJ915" i="22"/>
  <c r="BQ915" i="22" s="1"/>
  <c r="BB915" i="22"/>
  <c r="BR915" i="22" s="1"/>
  <c r="BG915" i="22"/>
  <c r="BJ850" i="22"/>
  <c r="BQ850" i="22" s="1"/>
  <c r="BB850" i="22"/>
  <c r="BR850" i="22" s="1"/>
  <c r="BG850" i="22"/>
  <c r="BB917" i="22"/>
  <c r="BR917" i="22" s="1"/>
  <c r="BJ917" i="22"/>
  <c r="BQ917" i="22" s="1"/>
  <c r="BG917" i="22"/>
  <c r="BB920" i="22"/>
  <c r="BR920" i="22" s="1"/>
  <c r="BJ920" i="22"/>
  <c r="BQ920" i="22" s="1"/>
  <c r="BG920" i="22"/>
  <c r="BJ898" i="22"/>
  <c r="BQ898" i="22" s="1"/>
  <c r="BB898" i="22"/>
  <c r="BR898" i="22" s="1"/>
  <c r="BG898" i="22"/>
  <c r="BJ853" i="22"/>
  <c r="BQ853" i="22" s="1"/>
  <c r="BB853" i="22"/>
  <c r="BR853" i="22" s="1"/>
  <c r="BG853" i="22"/>
  <c r="BB855" i="22"/>
  <c r="BR855" i="22" s="1"/>
  <c r="BJ855" i="22"/>
  <c r="BQ855" i="22" s="1"/>
  <c r="BG855" i="22"/>
  <c r="BJ922" i="22"/>
  <c r="BQ922" i="22" s="1"/>
  <c r="BB922" i="22"/>
  <c r="BR922" i="22" s="1"/>
  <c r="BG922" i="22"/>
  <c r="BB883" i="22"/>
  <c r="BR883" i="22" s="1"/>
  <c r="BJ883" i="22"/>
  <c r="BQ883" i="22" s="1"/>
  <c r="BG883" i="22"/>
  <c r="BB884" i="22"/>
  <c r="BR884" i="22" s="1"/>
  <c r="BJ884" i="22"/>
  <c r="BQ884" i="22" s="1"/>
  <c r="BG884" i="22"/>
  <c r="BG626" i="22"/>
  <c r="BB626" i="22"/>
  <c r="BG600" i="22"/>
  <c r="BG603" i="22"/>
  <c r="BG659" i="22"/>
  <c r="BG648" i="22"/>
  <c r="BD734" i="22"/>
  <c r="BJ648" i="22"/>
  <c r="BG620" i="22"/>
  <c r="BJ620" i="22"/>
  <c r="BJ654" i="22"/>
  <c r="BG618" i="22"/>
  <c r="BJ659" i="22"/>
  <c r="BR606" i="22"/>
  <c r="BD735" i="22"/>
  <c r="BJ831" i="22"/>
  <c r="BQ831" i="22" s="1"/>
  <c r="BB831" i="22"/>
  <c r="BR831" i="22" s="1"/>
  <c r="BG831" i="22"/>
  <c r="BB819" i="22"/>
  <c r="BR819" i="22" s="1"/>
  <c r="BJ819" i="22"/>
  <c r="BQ819" i="22" s="1"/>
  <c r="BG819" i="22"/>
  <c r="BJ805" i="22"/>
  <c r="BQ805" i="22" s="1"/>
  <c r="BB805" i="22"/>
  <c r="BR805" i="22" s="1"/>
  <c r="BG805" i="22"/>
  <c r="BJ807" i="22"/>
  <c r="BQ807" i="22" s="1"/>
  <c r="BB807" i="22"/>
  <c r="BR807" i="22" s="1"/>
  <c r="BG807" i="22"/>
  <c r="BB835" i="22"/>
  <c r="BR835" i="22" s="1"/>
  <c r="BJ835" i="22"/>
  <c r="BQ835" i="22" s="1"/>
  <c r="BG835" i="22"/>
  <c r="BJ837" i="22"/>
  <c r="BQ837" i="22" s="1"/>
  <c r="BB837" i="22"/>
  <c r="BR837" i="22" s="1"/>
  <c r="BG837" i="22"/>
  <c r="BJ813" i="22"/>
  <c r="BQ813" i="22" s="1"/>
  <c r="BB813" i="22"/>
  <c r="BR813" i="22" s="1"/>
  <c r="BG813" i="22"/>
  <c r="BB796" i="22"/>
  <c r="BR796" i="22" s="1"/>
  <c r="BJ796" i="22"/>
  <c r="BQ796" i="22" s="1"/>
  <c r="BG796" i="22"/>
  <c r="BJ821" i="22"/>
  <c r="BQ821" i="22" s="1"/>
  <c r="BB821" i="22"/>
  <c r="BR821" i="22" s="1"/>
  <c r="BG821" i="22"/>
  <c r="BJ823" i="22"/>
  <c r="BQ823" i="22" s="1"/>
  <c r="BB823" i="22"/>
  <c r="BR823" i="22" s="1"/>
  <c r="BG823" i="22"/>
  <c r="BB809" i="22"/>
  <c r="BR809" i="22" s="1"/>
  <c r="BJ809" i="22"/>
  <c r="BQ809" i="22" s="1"/>
  <c r="BG809" i="22"/>
  <c r="BB811" i="22"/>
  <c r="BR811" i="22" s="1"/>
  <c r="BJ811" i="22"/>
  <c r="BQ811" i="22" s="1"/>
  <c r="BG811" i="22"/>
  <c r="BB817" i="22"/>
  <c r="BR817" i="22" s="1"/>
  <c r="BJ817" i="22"/>
  <c r="BQ817" i="22" s="1"/>
  <c r="BG817" i="22"/>
  <c r="BB803" i="22"/>
  <c r="BR803" i="22" s="1"/>
  <c r="BJ803" i="22"/>
  <c r="BQ803" i="22" s="1"/>
  <c r="BG803" i="22"/>
  <c r="BB793" i="22"/>
  <c r="BR793" i="22" s="1"/>
  <c r="BJ793" i="22"/>
  <c r="BQ793" i="22" s="1"/>
  <c r="BG793" i="22"/>
  <c r="BJ798" i="22"/>
  <c r="BQ798" i="22" s="1"/>
  <c r="BB798" i="22"/>
  <c r="BR798" i="22" s="1"/>
  <c r="BG798" i="22"/>
  <c r="BB800" i="22"/>
  <c r="BR800" i="22" s="1"/>
  <c r="BJ800" i="22"/>
  <c r="BQ800" i="22" s="1"/>
  <c r="BG800" i="22"/>
  <c r="BB825" i="22"/>
  <c r="BR825" i="22" s="1"/>
  <c r="BJ825" i="22"/>
  <c r="BQ825" i="22" s="1"/>
  <c r="BG825" i="22"/>
  <c r="BJ827" i="22"/>
  <c r="BQ827" i="22" s="1"/>
  <c r="BB827" i="22"/>
  <c r="BR827" i="22" s="1"/>
  <c r="BG827" i="22"/>
  <c r="BB801" i="22"/>
  <c r="BR801" i="22" s="1"/>
  <c r="BJ801" i="22"/>
  <c r="BQ801" i="22" s="1"/>
  <c r="BG801" i="22"/>
  <c r="BB802" i="22"/>
  <c r="BR802" i="22" s="1"/>
  <c r="BJ802" i="22"/>
  <c r="BQ802" i="22" s="1"/>
  <c r="BG802" i="22"/>
  <c r="BJ830" i="22"/>
  <c r="BQ830" i="22" s="1"/>
  <c r="BB830" i="22"/>
  <c r="BR830" i="22" s="1"/>
  <c r="BG830" i="22"/>
  <c r="BB832" i="22"/>
  <c r="BR832" i="22" s="1"/>
  <c r="BJ832" i="22"/>
  <c r="BQ832" i="22" s="1"/>
  <c r="BG832" i="22"/>
  <c r="BB834" i="22"/>
  <c r="BJ834" i="22"/>
  <c r="BG834" i="22"/>
  <c r="BB814" i="22"/>
  <c r="BR814" i="22" s="1"/>
  <c r="BJ814" i="22"/>
  <c r="BQ814" i="22" s="1"/>
  <c r="BG814" i="22"/>
  <c r="BB818" i="22"/>
  <c r="BR818" i="22" s="1"/>
  <c r="BJ818" i="22"/>
  <c r="BQ818" i="22" s="1"/>
  <c r="BG818" i="22"/>
  <c r="BB804" i="22"/>
  <c r="BR804" i="22" s="1"/>
  <c r="BJ804" i="22"/>
  <c r="BQ804" i="22" s="1"/>
  <c r="BG804" i="22"/>
  <c r="BJ806" i="22"/>
  <c r="BQ806" i="22" s="1"/>
  <c r="BB806" i="22"/>
  <c r="BR806" i="22" s="1"/>
  <c r="BG806" i="22"/>
  <c r="BB808" i="22"/>
  <c r="BR808" i="22" s="1"/>
  <c r="BJ808" i="22"/>
  <c r="BQ808" i="22" s="1"/>
  <c r="BG808" i="22"/>
  <c r="BB836" i="22"/>
  <c r="BR836" i="22" s="1"/>
  <c r="BJ836" i="22"/>
  <c r="BQ836" i="22" s="1"/>
  <c r="BG836" i="22"/>
  <c r="BB816" i="22"/>
  <c r="BR816" i="22" s="1"/>
  <c r="BJ816" i="22"/>
  <c r="BQ816" i="22" s="1"/>
  <c r="BG816" i="22"/>
  <c r="BB613" i="22"/>
  <c r="BB795" i="22"/>
  <c r="BR795" i="22" s="1"/>
  <c r="BJ795" i="22"/>
  <c r="BQ795" i="22" s="1"/>
  <c r="BG795" i="22"/>
  <c r="BB820" i="22"/>
  <c r="BR820" i="22" s="1"/>
  <c r="BJ820" i="22"/>
  <c r="BQ820" i="22" s="1"/>
  <c r="BG820" i="22"/>
  <c r="BJ822" i="22"/>
  <c r="BQ822" i="22" s="1"/>
  <c r="BB822" i="22"/>
  <c r="BR822" i="22" s="1"/>
  <c r="BG822" i="22"/>
  <c r="BB824" i="22"/>
  <c r="BR824" i="22" s="1"/>
  <c r="BJ824" i="22"/>
  <c r="BQ824" i="22" s="1"/>
  <c r="BG824" i="22"/>
  <c r="BB810" i="22"/>
  <c r="BR810" i="22" s="1"/>
  <c r="BJ810" i="22"/>
  <c r="BQ810" i="22" s="1"/>
  <c r="BG810" i="22"/>
  <c r="BB812" i="22"/>
  <c r="BR812" i="22" s="1"/>
  <c r="BJ812" i="22"/>
  <c r="BQ812" i="22" s="1"/>
  <c r="BG812" i="22"/>
  <c r="BB794" i="22"/>
  <c r="BR794" i="22" s="1"/>
  <c r="BJ794" i="22"/>
  <c r="BQ794" i="22" s="1"/>
  <c r="BG794" i="22"/>
  <c r="BJ829" i="22"/>
  <c r="BQ829" i="22" s="1"/>
  <c r="BB829" i="22"/>
  <c r="BR829" i="22" s="1"/>
  <c r="BG829" i="22"/>
  <c r="BJ797" i="22"/>
  <c r="BQ797" i="22" s="1"/>
  <c r="BB797" i="22"/>
  <c r="BR797" i="22" s="1"/>
  <c r="BG797" i="22"/>
  <c r="BJ799" i="22"/>
  <c r="BQ799" i="22" s="1"/>
  <c r="BB799" i="22"/>
  <c r="BR799" i="22" s="1"/>
  <c r="BG799" i="22"/>
  <c r="BB826" i="22"/>
  <c r="BR826" i="22" s="1"/>
  <c r="BJ826" i="22"/>
  <c r="BQ826" i="22" s="1"/>
  <c r="BG826" i="22"/>
  <c r="BB828" i="22"/>
  <c r="BR828" i="22" s="1"/>
  <c r="BJ828" i="22"/>
  <c r="BQ828" i="22" s="1"/>
  <c r="BG828" i="22"/>
  <c r="BJ815" i="22"/>
  <c r="BQ815" i="22" s="1"/>
  <c r="BB815" i="22"/>
  <c r="BR815" i="22" s="1"/>
  <c r="BG815" i="22"/>
  <c r="BB833" i="22"/>
  <c r="BJ833" i="22"/>
  <c r="BG833" i="22"/>
  <c r="Z737" i="22"/>
  <c r="BI737" i="22" s="1"/>
  <c r="V737" i="22"/>
  <c r="BJ780" i="22"/>
  <c r="BQ780" i="22" s="1"/>
  <c r="BB780" i="22"/>
  <c r="BR780" i="22" s="1"/>
  <c r="BG780" i="22"/>
  <c r="BJ787" i="22"/>
  <c r="BQ787" i="22" s="1"/>
  <c r="BB787" i="22"/>
  <c r="BR787" i="22" s="1"/>
  <c r="BG787" i="22"/>
  <c r="BB774" i="22"/>
  <c r="BR774" i="22" s="1"/>
  <c r="BJ774" i="22"/>
  <c r="BQ774" i="22" s="1"/>
  <c r="BG774" i="22"/>
  <c r="Z745" i="22"/>
  <c r="BD745" i="22" s="1"/>
  <c r="V745" i="22"/>
  <c r="Z738" i="22"/>
  <c r="BD738" i="22" s="1"/>
  <c r="V738" i="22"/>
  <c r="BJ770" i="22"/>
  <c r="BQ770" i="22" s="1"/>
  <c r="BB770" i="22"/>
  <c r="BR770" i="22" s="1"/>
  <c r="BG770" i="22"/>
  <c r="BI753" i="22"/>
  <c r="V753" i="22"/>
  <c r="Z748" i="22"/>
  <c r="BI748" i="22" s="1"/>
  <c r="V748" i="22"/>
  <c r="BJ788" i="22"/>
  <c r="BQ788" i="22" s="1"/>
  <c r="BB788" i="22"/>
  <c r="BR788" i="22" s="1"/>
  <c r="BG788" i="22"/>
  <c r="BD751" i="22"/>
  <c r="V751" i="22"/>
  <c r="Z740" i="22"/>
  <c r="BD740" i="22" s="1"/>
  <c r="V740" i="22"/>
  <c r="BB765" i="22"/>
  <c r="BR765" i="22" s="1"/>
  <c r="BG765" i="22"/>
  <c r="BJ765" i="22"/>
  <c r="BQ765" i="22" s="1"/>
  <c r="BJ785" i="22"/>
  <c r="BQ785" i="22" s="1"/>
  <c r="BB785" i="22"/>
  <c r="BR785" i="22" s="1"/>
  <c r="BG785" i="22"/>
  <c r="BB790" i="22"/>
  <c r="BR790" i="22" s="1"/>
  <c r="BJ790" i="22"/>
  <c r="BQ790" i="22" s="1"/>
  <c r="BG790" i="22"/>
  <c r="BB791" i="22"/>
  <c r="BR791" i="22" s="1"/>
  <c r="BJ791" i="22"/>
  <c r="BQ791" i="22" s="1"/>
  <c r="BG791" i="22"/>
  <c r="BB768" i="22"/>
  <c r="BR768" i="22" s="1"/>
  <c r="BJ768" i="22"/>
  <c r="BQ768" i="22" s="1"/>
  <c r="BG768" i="22"/>
  <c r="BD754" i="22"/>
  <c r="V754" i="22"/>
  <c r="Z749" i="22"/>
  <c r="BD749" i="22" s="1"/>
  <c r="V749" i="22"/>
  <c r="BI752" i="22"/>
  <c r="V752" i="22"/>
  <c r="BB773" i="22"/>
  <c r="BR773" i="22" s="1"/>
  <c r="BJ773" i="22"/>
  <c r="BQ773" i="22" s="1"/>
  <c r="BG773" i="22"/>
  <c r="Z741" i="22"/>
  <c r="BI741" i="22" s="1"/>
  <c r="V741" i="22"/>
  <c r="BB781" i="22"/>
  <c r="BR781" i="22" s="1"/>
  <c r="BJ781" i="22"/>
  <c r="BQ781" i="22" s="1"/>
  <c r="BG781" i="22"/>
  <c r="BB775" i="22"/>
  <c r="BR775" i="22" s="1"/>
  <c r="BJ775" i="22"/>
  <c r="BQ775" i="22" s="1"/>
  <c r="BG775" i="22"/>
  <c r="Z750" i="22"/>
  <c r="BD750" i="22" s="1"/>
  <c r="V750" i="22"/>
  <c r="BB776" i="22"/>
  <c r="BR776" i="22" s="1"/>
  <c r="BJ776" i="22"/>
  <c r="BQ776" i="22" s="1"/>
  <c r="BG776" i="22"/>
  <c r="BJ771" i="22"/>
  <c r="BQ771" i="22" s="1"/>
  <c r="BB771" i="22"/>
  <c r="BR771" i="22" s="1"/>
  <c r="BG771" i="22"/>
  <c r="BB602" i="22"/>
  <c r="BR602" i="22" s="1"/>
  <c r="BB598" i="22"/>
  <c r="BR598" i="22" s="1"/>
  <c r="BB603" i="22"/>
  <c r="Z732" i="22"/>
  <c r="BI732" i="22" s="1"/>
  <c r="V732" i="22"/>
  <c r="BJ613" i="22"/>
  <c r="BQ607" i="22"/>
  <c r="BJ766" i="22"/>
  <c r="BQ766" i="22" s="1"/>
  <c r="BB766" i="22"/>
  <c r="BR766" i="22" s="1"/>
  <c r="BG766" i="22"/>
  <c r="BB769" i="22"/>
  <c r="BR769" i="22" s="1"/>
  <c r="BJ769" i="22"/>
  <c r="BQ769" i="22" s="1"/>
  <c r="BG769" i="22"/>
  <c r="BB792" i="22"/>
  <c r="BR792" i="22" s="1"/>
  <c r="BJ792" i="22"/>
  <c r="BQ792" i="22" s="1"/>
  <c r="BG792" i="22"/>
  <c r="Z739" i="22"/>
  <c r="BD739" i="22" s="1"/>
  <c r="V739" i="22"/>
  <c r="Z746" i="22"/>
  <c r="BD746" i="22" s="1"/>
  <c r="V746" i="22"/>
  <c r="Z742" i="22"/>
  <c r="BD742" i="22" s="1"/>
  <c r="V742" i="22"/>
  <c r="BB777" i="22"/>
  <c r="BR777" i="22" s="1"/>
  <c r="BJ777" i="22"/>
  <c r="BQ777" i="22" s="1"/>
  <c r="BG777" i="22"/>
  <c r="Z743" i="22"/>
  <c r="BD743" i="22" s="1"/>
  <c r="V743" i="22"/>
  <c r="BB782" i="22"/>
  <c r="BR782" i="22" s="1"/>
  <c r="BJ782" i="22"/>
  <c r="BQ782" i="22" s="1"/>
  <c r="BG782" i="22"/>
  <c r="BB786" i="22"/>
  <c r="BR786" i="22" s="1"/>
  <c r="BJ786" i="22"/>
  <c r="BQ786" i="22" s="1"/>
  <c r="BG786" i="22"/>
  <c r="Z736" i="22"/>
  <c r="BD736" i="22" s="1"/>
  <c r="V736" i="22"/>
  <c r="BJ643" i="22"/>
  <c r="BJ772" i="22"/>
  <c r="BQ772" i="22" s="1"/>
  <c r="BB772" i="22"/>
  <c r="BR772" i="22" s="1"/>
  <c r="BG772" i="22"/>
  <c r="BB767" i="22"/>
  <c r="BR767" i="22" s="1"/>
  <c r="BJ767" i="22"/>
  <c r="BQ767" i="22" s="1"/>
  <c r="BG767" i="22"/>
  <c r="Z744" i="22"/>
  <c r="BD744" i="22" s="1"/>
  <c r="V744" i="22"/>
  <c r="BG643" i="22"/>
  <c r="Z747" i="22"/>
  <c r="BI747" i="22" s="1"/>
  <c r="V747" i="22"/>
  <c r="BJ779" i="22"/>
  <c r="BQ779" i="22" s="1"/>
  <c r="BB779" i="22"/>
  <c r="BR779" i="22" s="1"/>
  <c r="BG779" i="22"/>
  <c r="BJ789" i="22"/>
  <c r="BQ789" i="22" s="1"/>
  <c r="BB789" i="22"/>
  <c r="BR789" i="22" s="1"/>
  <c r="BG789" i="22"/>
  <c r="BJ778" i="22"/>
  <c r="BQ778" i="22" s="1"/>
  <c r="BB778" i="22"/>
  <c r="BR778" i="22" s="1"/>
  <c r="BG778" i="22"/>
  <c r="BB783" i="22"/>
  <c r="BJ783" i="22"/>
  <c r="BG783" i="22"/>
  <c r="BG624" i="22"/>
  <c r="BG755" i="22"/>
  <c r="BB624" i="22"/>
  <c r="BJ755" i="22"/>
  <c r="BQ603" i="22"/>
  <c r="BD626" i="22"/>
  <c r="BI626" i="22"/>
  <c r="BQ626" i="22" s="1"/>
  <c r="BD758" i="22"/>
  <c r="BR758" i="22" s="1"/>
  <c r="BI758" i="22"/>
  <c r="BG604" i="22"/>
  <c r="BD764" i="22"/>
  <c r="BI764" i="22"/>
  <c r="BI589" i="22"/>
  <c r="BQ589" i="22" s="1"/>
  <c r="BD589" i="22"/>
  <c r="BR589" i="22" s="1"/>
  <c r="BD755" i="22"/>
  <c r="BR755" i="22" s="1"/>
  <c r="BI755" i="22"/>
  <c r="BD624" i="22"/>
  <c r="BI624" i="22"/>
  <c r="BQ624" i="22" s="1"/>
  <c r="BI595" i="22"/>
  <c r="BQ595" i="22" s="1"/>
  <c r="BD595" i="22"/>
  <c r="BI596" i="22"/>
  <c r="BQ596" i="22" s="1"/>
  <c r="BD596" i="22"/>
  <c r="BR596" i="22" s="1"/>
  <c r="BD760" i="22"/>
  <c r="BI760" i="22"/>
  <c r="BQ760" i="22" s="1"/>
  <c r="BD762" i="22"/>
  <c r="BR762" i="22" s="1"/>
  <c r="BI762" i="22"/>
  <c r="BD654" i="22"/>
  <c r="BR654" i="22" s="1"/>
  <c r="BI654" i="22"/>
  <c r="BI648" i="22"/>
  <c r="BD648" i="22"/>
  <c r="BR648" i="22" s="1"/>
  <c r="BG654" i="22"/>
  <c r="BI613" i="22"/>
  <c r="BD613" i="22"/>
  <c r="BD597" i="22"/>
  <c r="BR597" i="22" s="1"/>
  <c r="BI597" i="22"/>
  <c r="BQ597" i="22" s="1"/>
  <c r="BD757" i="22"/>
  <c r="BR757" i="22" s="1"/>
  <c r="BI757" i="22"/>
  <c r="BI592" i="22"/>
  <c r="BQ592" i="22" s="1"/>
  <c r="BD592" i="22"/>
  <c r="BR592" i="22" s="1"/>
  <c r="BJ604" i="22"/>
  <c r="BQ604" i="22" s="1"/>
  <c r="BI658" i="22"/>
  <c r="BD658" i="22"/>
  <c r="BI659" i="22"/>
  <c r="BD659" i="22"/>
  <c r="BR659" i="22" s="1"/>
  <c r="BD763" i="22"/>
  <c r="BR763" i="22" s="1"/>
  <c r="BI763" i="22"/>
  <c r="BI620" i="22"/>
  <c r="BD620" i="22"/>
  <c r="BR620" i="22" s="1"/>
  <c r="BI591" i="22"/>
  <c r="BQ591" i="22" s="1"/>
  <c r="BD591" i="22"/>
  <c r="BD618" i="22"/>
  <c r="BI618" i="22"/>
  <c r="BQ618" i="22" s="1"/>
  <c r="BD643" i="22"/>
  <c r="BR643" i="22" s="1"/>
  <c r="BI643" i="22"/>
  <c r="BI588" i="22"/>
  <c r="BD588" i="22"/>
  <c r="BD593" i="22"/>
  <c r="BR593" i="22" s="1"/>
  <c r="BI593" i="22"/>
  <c r="BQ593" i="22" s="1"/>
  <c r="BI594" i="22"/>
  <c r="BQ594" i="22" s="1"/>
  <c r="BD594" i="22"/>
  <c r="BR594" i="22" s="1"/>
  <c r="BI590" i="22"/>
  <c r="BQ590" i="22" s="1"/>
  <c r="BD590" i="22"/>
  <c r="BR590" i="22" s="1"/>
  <c r="BD761" i="22"/>
  <c r="BR761" i="22" s="1"/>
  <c r="BI761" i="22"/>
  <c r="BD756" i="22"/>
  <c r="BR756" i="22" s="1"/>
  <c r="BI756" i="22"/>
  <c r="BD759" i="22"/>
  <c r="BR759" i="22" s="1"/>
  <c r="BI759" i="22"/>
  <c r="BI660" i="22"/>
  <c r="BD660" i="22"/>
  <c r="BG605" i="22"/>
  <c r="BG606" i="22"/>
  <c r="BJ606" i="22"/>
  <c r="BQ606" i="22" s="1"/>
  <c r="BG607" i="22"/>
  <c r="BB607" i="22"/>
  <c r="BR607" i="22" s="1"/>
  <c r="BJ601" i="22"/>
  <c r="BQ601" i="22" s="1"/>
  <c r="BQ605" i="22"/>
  <c r="BJ690" i="22"/>
  <c r="BQ690" i="22" s="1"/>
  <c r="BB690" i="22"/>
  <c r="BR690" i="22" s="1"/>
  <c r="BG690" i="22"/>
  <c r="BJ693" i="22"/>
  <c r="BQ693" i="22" s="1"/>
  <c r="BB693" i="22"/>
  <c r="BR693" i="22" s="1"/>
  <c r="BG693" i="22"/>
  <c r="BJ636" i="22"/>
  <c r="BQ636" i="22" s="1"/>
  <c r="BB636" i="22"/>
  <c r="BR636" i="22" s="1"/>
  <c r="BG636" i="22"/>
  <c r="N738" i="22"/>
  <c r="BB687" i="22"/>
  <c r="BR687" i="22" s="1"/>
  <c r="BJ687" i="22"/>
  <c r="BQ687" i="22" s="1"/>
  <c r="BG687" i="22"/>
  <c r="N739" i="22"/>
  <c r="BJ611" i="22"/>
  <c r="BQ611" i="22" s="1"/>
  <c r="BB611" i="22"/>
  <c r="BR611" i="22" s="1"/>
  <c r="BG611" i="22"/>
  <c r="BJ685" i="22"/>
  <c r="BQ685" i="22" s="1"/>
  <c r="BB685" i="22"/>
  <c r="BR685" i="22" s="1"/>
  <c r="BG685" i="22"/>
  <c r="BJ635" i="22"/>
  <c r="BQ635" i="22" s="1"/>
  <c r="BB635" i="22"/>
  <c r="BR635" i="22" s="1"/>
  <c r="BG635" i="22"/>
  <c r="BB605" i="22"/>
  <c r="BR605" i="22" s="1"/>
  <c r="N752" i="22"/>
  <c r="N746" i="22"/>
  <c r="BB680" i="22"/>
  <c r="BR680" i="22" s="1"/>
  <c r="BJ680" i="22"/>
  <c r="BQ680" i="22" s="1"/>
  <c r="BG680" i="22"/>
  <c r="BB640" i="22"/>
  <c r="BR640" i="22" s="1"/>
  <c r="BJ640" i="22"/>
  <c r="BQ640" i="22" s="1"/>
  <c r="BG640" i="22"/>
  <c r="BB641" i="22"/>
  <c r="BR641" i="22" s="1"/>
  <c r="BJ641" i="22"/>
  <c r="BQ641" i="22" s="1"/>
  <c r="BG641" i="22"/>
  <c r="BB610" i="22"/>
  <c r="BR610" i="22" s="1"/>
  <c r="BJ610" i="22"/>
  <c r="BQ610" i="22" s="1"/>
  <c r="BG610" i="22"/>
  <c r="BB614" i="22"/>
  <c r="BR614" i="22" s="1"/>
  <c r="BJ614" i="22"/>
  <c r="BQ614" i="22" s="1"/>
  <c r="BG614" i="22"/>
  <c r="BJ621" i="22"/>
  <c r="BQ621" i="22" s="1"/>
  <c r="BB621" i="22"/>
  <c r="BR621" i="22" s="1"/>
  <c r="BG621" i="22"/>
  <c r="BJ608" i="22"/>
  <c r="BQ608" i="22" s="1"/>
  <c r="BB608" i="22"/>
  <c r="BR608" i="22" s="1"/>
  <c r="BG608" i="22"/>
  <c r="BJ720" i="22"/>
  <c r="BQ720" i="22" s="1"/>
  <c r="BB720" i="22"/>
  <c r="BR720" i="22" s="1"/>
  <c r="BG720" i="22"/>
  <c r="BJ600" i="22"/>
  <c r="BQ600" i="22" s="1"/>
  <c r="N751" i="22"/>
  <c r="N740" i="22"/>
  <c r="BJ675" i="22"/>
  <c r="BQ675" i="22" s="1"/>
  <c r="BB675" i="22"/>
  <c r="BR675" i="22" s="1"/>
  <c r="BG675" i="22"/>
  <c r="BB656" i="22"/>
  <c r="BR656" i="22" s="1"/>
  <c r="BJ656" i="22"/>
  <c r="BQ656" i="22" s="1"/>
  <c r="BG656" i="22"/>
  <c r="BJ657" i="22"/>
  <c r="BQ657" i="22" s="1"/>
  <c r="BB657" i="22"/>
  <c r="BR657" i="22" s="1"/>
  <c r="BG657" i="22"/>
  <c r="BB630" i="22"/>
  <c r="BR630" i="22" s="1"/>
  <c r="BJ630" i="22"/>
  <c r="BQ630" i="22" s="1"/>
  <c r="BG630" i="22"/>
  <c r="BB615" i="22"/>
  <c r="BR615" i="22" s="1"/>
  <c r="BJ615" i="22"/>
  <c r="BQ615" i="22" s="1"/>
  <c r="BG615" i="22"/>
  <c r="BB616" i="22"/>
  <c r="BR616" i="22" s="1"/>
  <c r="BJ616" i="22"/>
  <c r="BQ616" i="22" s="1"/>
  <c r="BG616" i="22"/>
  <c r="BB699" i="22"/>
  <c r="BR699" i="22" s="1"/>
  <c r="BJ699" i="22"/>
  <c r="BQ699" i="22" s="1"/>
  <c r="BG699" i="22"/>
  <c r="BB625" i="22"/>
  <c r="BR625" i="22" s="1"/>
  <c r="BJ625" i="22"/>
  <c r="BQ625" i="22" s="1"/>
  <c r="BG625" i="22"/>
  <c r="N754" i="22"/>
  <c r="N749" i="22"/>
  <c r="BB706" i="22"/>
  <c r="BR706" i="22" s="1"/>
  <c r="BJ706" i="22"/>
  <c r="BQ706" i="22" s="1"/>
  <c r="BG706" i="22"/>
  <c r="BJ612" i="22"/>
  <c r="BQ612" i="22" s="1"/>
  <c r="BB612" i="22"/>
  <c r="BR612" i="22" s="1"/>
  <c r="BG612" i="22"/>
  <c r="BJ697" i="22"/>
  <c r="BQ697" i="22" s="1"/>
  <c r="BB697" i="22"/>
  <c r="BR697" i="22" s="1"/>
  <c r="BG697" i="22"/>
  <c r="BB678" i="22"/>
  <c r="BR678" i="22" s="1"/>
  <c r="BJ678" i="22"/>
  <c r="BQ678" i="22" s="1"/>
  <c r="BG678" i="22"/>
  <c r="BB691" i="22"/>
  <c r="BR691" i="22" s="1"/>
  <c r="BJ691" i="22"/>
  <c r="BQ691" i="22" s="1"/>
  <c r="BG691" i="22"/>
  <c r="N741" i="22"/>
  <c r="BB731" i="22"/>
  <c r="BR731" i="22" s="1"/>
  <c r="BJ731" i="22"/>
  <c r="BQ731" i="22" s="1"/>
  <c r="BG731" i="22"/>
  <c r="BJ727" i="22"/>
  <c r="BQ727" i="22" s="1"/>
  <c r="BB727" i="22"/>
  <c r="BR727" i="22" s="1"/>
  <c r="BG727" i="22"/>
  <c r="BJ629" i="22"/>
  <c r="BQ629" i="22" s="1"/>
  <c r="BB629" i="22"/>
  <c r="BR629" i="22" s="1"/>
  <c r="BG629" i="22"/>
  <c r="BJ646" i="22"/>
  <c r="BQ646" i="22" s="1"/>
  <c r="BB646" i="22"/>
  <c r="BR646" i="22" s="1"/>
  <c r="BG646" i="22"/>
  <c r="BB631" i="22"/>
  <c r="BR631" i="22" s="1"/>
  <c r="BJ631" i="22"/>
  <c r="BQ631" i="22" s="1"/>
  <c r="BG631" i="22"/>
  <c r="BJ632" i="22"/>
  <c r="BQ632" i="22" s="1"/>
  <c r="BB632" i="22"/>
  <c r="BR632" i="22" s="1"/>
  <c r="BG632" i="22"/>
  <c r="BB694" i="22"/>
  <c r="BR694" i="22" s="1"/>
  <c r="BJ694" i="22"/>
  <c r="BQ694" i="22" s="1"/>
  <c r="BG694" i="22"/>
  <c r="BJ652" i="22"/>
  <c r="BQ652" i="22" s="1"/>
  <c r="BB652" i="22"/>
  <c r="BR652" i="22" s="1"/>
  <c r="BG652" i="22"/>
  <c r="N750" i="22"/>
  <c r="BJ622" i="22"/>
  <c r="BQ622" i="22" s="1"/>
  <c r="BB622" i="22"/>
  <c r="BR622" i="22" s="1"/>
  <c r="BG622" i="22"/>
  <c r="BJ681" i="22"/>
  <c r="BQ681" i="22" s="1"/>
  <c r="BB681" i="22"/>
  <c r="BR681" i="22" s="1"/>
  <c r="BG681" i="22"/>
  <c r="BJ642" i="22"/>
  <c r="BQ642" i="22" s="1"/>
  <c r="BB642" i="22"/>
  <c r="BR642" i="22" s="1"/>
  <c r="BG642" i="22"/>
  <c r="BJ628" i="22"/>
  <c r="BQ628" i="22" s="1"/>
  <c r="BB628" i="22"/>
  <c r="BR628" i="22" s="1"/>
  <c r="BG628" i="22"/>
  <c r="BJ617" i="22"/>
  <c r="BQ617" i="22" s="1"/>
  <c r="BB617" i="22"/>
  <c r="BR617" i="22" s="1"/>
  <c r="BG617" i="22"/>
  <c r="BB679" i="22"/>
  <c r="BR679" i="22" s="1"/>
  <c r="BJ679" i="22"/>
  <c r="BQ679" i="22" s="1"/>
  <c r="BG679" i="22"/>
  <c r="BB722" i="22"/>
  <c r="BR722" i="22" s="1"/>
  <c r="BJ722" i="22"/>
  <c r="BQ722" i="22" s="1"/>
  <c r="BG722" i="22"/>
  <c r="N753" i="22"/>
  <c r="BB717" i="22"/>
  <c r="BR717" i="22" s="1"/>
  <c r="BJ717" i="22"/>
  <c r="BQ717" i="22" s="1"/>
  <c r="BG717" i="22"/>
  <c r="N742" i="22"/>
  <c r="BB638" i="22"/>
  <c r="BR638" i="22" s="1"/>
  <c r="BJ638" i="22"/>
  <c r="BQ638" i="22" s="1"/>
  <c r="BG638" i="22"/>
  <c r="BJ651" i="22"/>
  <c r="BQ651" i="22" s="1"/>
  <c r="BB651" i="22"/>
  <c r="BR651" i="22" s="1"/>
  <c r="BG651" i="22"/>
  <c r="BJ734" i="22"/>
  <c r="BQ734" i="22" s="1"/>
  <c r="BB734" i="22"/>
  <c r="BG734" i="22"/>
  <c r="BB644" i="22"/>
  <c r="BR644" i="22" s="1"/>
  <c r="BJ644" i="22"/>
  <c r="BQ644" i="22" s="1"/>
  <c r="BG644" i="22"/>
  <c r="BB633" i="22"/>
  <c r="BR633" i="22" s="1"/>
  <c r="BG633" i="22"/>
  <c r="BJ633" i="22"/>
  <c r="BQ633" i="22" s="1"/>
  <c r="BB701" i="22"/>
  <c r="BR701" i="22" s="1"/>
  <c r="BJ701" i="22"/>
  <c r="BQ701" i="22" s="1"/>
  <c r="BG701" i="22"/>
  <c r="BJ647" i="22"/>
  <c r="BQ647" i="22" s="1"/>
  <c r="BB647" i="22"/>
  <c r="BR647" i="22" s="1"/>
  <c r="BG647" i="22"/>
  <c r="N743" i="22"/>
  <c r="BJ623" i="22"/>
  <c r="BQ623" i="22" s="1"/>
  <c r="BB623" i="22"/>
  <c r="BR623" i="22" s="1"/>
  <c r="BG623" i="22"/>
  <c r="BB707" i="22"/>
  <c r="BR707" i="22" s="1"/>
  <c r="BJ707" i="22"/>
  <c r="BQ707" i="22" s="1"/>
  <c r="BG707" i="22"/>
  <c r="BJ683" i="22"/>
  <c r="BQ683" i="22" s="1"/>
  <c r="BB683" i="22"/>
  <c r="BR683" i="22" s="1"/>
  <c r="BG683" i="22"/>
  <c r="BB661" i="22"/>
  <c r="BR661" i="22" s="1"/>
  <c r="BJ661" i="22"/>
  <c r="BQ661" i="22" s="1"/>
  <c r="BG661" i="22"/>
  <c r="BJ713" i="22"/>
  <c r="BQ713" i="22" s="1"/>
  <c r="BB713" i="22"/>
  <c r="BR713" i="22" s="1"/>
  <c r="BG713" i="22"/>
  <c r="BJ718" i="22"/>
  <c r="BQ718" i="22" s="1"/>
  <c r="BB718" i="22"/>
  <c r="BR718" i="22" s="1"/>
  <c r="BG718" i="22"/>
  <c r="BJ726" i="22"/>
  <c r="BQ726" i="22" s="1"/>
  <c r="BB726" i="22"/>
  <c r="BR726" i="22" s="1"/>
  <c r="BG726" i="22"/>
  <c r="BB645" i="22"/>
  <c r="BR645" i="22" s="1"/>
  <c r="BJ645" i="22"/>
  <c r="BQ645" i="22" s="1"/>
  <c r="BG645" i="22"/>
  <c r="N735" i="22"/>
  <c r="BB700" i="22"/>
  <c r="BR700" i="22" s="1"/>
  <c r="BJ700" i="22"/>
  <c r="BQ700" i="22" s="1"/>
  <c r="BG700" i="22"/>
  <c r="BJ728" i="22"/>
  <c r="BQ728" i="22" s="1"/>
  <c r="BB728" i="22"/>
  <c r="BR728" i="22" s="1"/>
  <c r="BG728" i="22"/>
  <c r="BJ735" i="22"/>
  <c r="BQ735" i="22" s="1"/>
  <c r="BB735" i="22"/>
  <c r="BG735" i="22"/>
  <c r="BB730" i="22"/>
  <c r="BR730" i="22" s="1"/>
  <c r="BJ730" i="22"/>
  <c r="BQ730" i="22" s="1"/>
  <c r="BG730" i="22"/>
  <c r="BB673" i="22"/>
  <c r="BR673" i="22" s="1"/>
  <c r="BJ673" i="22"/>
  <c r="BQ673" i="22" s="1"/>
  <c r="BG673" i="22"/>
  <c r="BB649" i="22"/>
  <c r="BR649" i="22" s="1"/>
  <c r="BJ649" i="22"/>
  <c r="BQ649" i="22" s="1"/>
  <c r="BG649" i="22"/>
  <c r="BG677" i="22"/>
  <c r="BJ677" i="22"/>
  <c r="BQ677" i="22" s="1"/>
  <c r="BB677" i="22"/>
  <c r="BR677" i="22" s="1"/>
  <c r="BB721" i="22"/>
  <c r="BR721" i="22" s="1"/>
  <c r="BJ721" i="22"/>
  <c r="BQ721" i="22" s="1"/>
  <c r="BG721" i="22"/>
  <c r="N744" i="22"/>
  <c r="BB639" i="22"/>
  <c r="BR639" i="22" s="1"/>
  <c r="BJ639" i="22"/>
  <c r="BQ639" i="22" s="1"/>
  <c r="BG639" i="22"/>
  <c r="BJ682" i="22"/>
  <c r="BQ682" i="22" s="1"/>
  <c r="BB682" i="22"/>
  <c r="BR682" i="22" s="1"/>
  <c r="BG682" i="22"/>
  <c r="BB716" i="22"/>
  <c r="BR716" i="22" s="1"/>
  <c r="BJ716" i="22"/>
  <c r="BQ716" i="22" s="1"/>
  <c r="BG716" i="22"/>
  <c r="BJ688" i="22"/>
  <c r="BQ688" i="22" s="1"/>
  <c r="BB688" i="22"/>
  <c r="BR688" i="22" s="1"/>
  <c r="BG688" i="22"/>
  <c r="BG714" i="22"/>
  <c r="BJ714" i="22"/>
  <c r="BQ714" i="22" s="1"/>
  <c r="BB714" i="22"/>
  <c r="BR714" i="22" s="1"/>
  <c r="BB634" i="22"/>
  <c r="BR634" i="22" s="1"/>
  <c r="BJ634" i="22"/>
  <c r="BQ634" i="22" s="1"/>
  <c r="BG634" i="22"/>
  <c r="BJ637" i="22"/>
  <c r="BQ637" i="22" s="1"/>
  <c r="BB637" i="22"/>
  <c r="BR637" i="22" s="1"/>
  <c r="BG637" i="22"/>
  <c r="BB627" i="22"/>
  <c r="BR627" i="22" s="1"/>
  <c r="BJ627" i="22"/>
  <c r="BQ627" i="22" s="1"/>
  <c r="BG627" i="22"/>
  <c r="BB692" i="22"/>
  <c r="BR692" i="22" s="1"/>
  <c r="BJ692" i="22"/>
  <c r="BQ692" i="22" s="1"/>
  <c r="BG692" i="22"/>
  <c r="N660" i="22"/>
  <c r="V660" i="22"/>
  <c r="N747" i="22"/>
  <c r="BJ723" i="22"/>
  <c r="BQ723" i="22" s="1"/>
  <c r="BB723" i="22"/>
  <c r="BR723" i="22" s="1"/>
  <c r="BG723" i="22"/>
  <c r="BB709" i="22"/>
  <c r="BR709" i="22" s="1"/>
  <c r="BJ709" i="22"/>
  <c r="BQ709" i="22" s="1"/>
  <c r="BG709" i="22"/>
  <c r="BB729" i="22"/>
  <c r="BR729" i="22" s="1"/>
  <c r="BJ729" i="22"/>
  <c r="BQ729" i="22" s="1"/>
  <c r="BG729" i="22"/>
  <c r="BJ711" i="22"/>
  <c r="BQ711" i="22" s="1"/>
  <c r="BB711" i="22"/>
  <c r="BR711" i="22" s="1"/>
  <c r="BG711" i="22"/>
  <c r="BB719" i="22"/>
  <c r="BR719" i="22" s="1"/>
  <c r="BJ719" i="22"/>
  <c r="BQ719" i="22" s="1"/>
  <c r="BG719" i="22"/>
  <c r="BB674" i="22"/>
  <c r="BR674" i="22" s="1"/>
  <c r="BJ674" i="22"/>
  <c r="BQ674" i="22" s="1"/>
  <c r="BG674" i="22"/>
  <c r="BJ705" i="22"/>
  <c r="BQ705" i="22" s="1"/>
  <c r="BB705" i="22"/>
  <c r="BR705" i="22" s="1"/>
  <c r="BG705" i="22"/>
  <c r="BJ676" i="22"/>
  <c r="BQ676" i="22" s="1"/>
  <c r="BB676" i="22"/>
  <c r="BR676" i="22" s="1"/>
  <c r="BG676" i="22"/>
  <c r="BB725" i="22"/>
  <c r="BR725" i="22" s="1"/>
  <c r="BJ725" i="22"/>
  <c r="BQ725" i="22" s="1"/>
  <c r="BG725" i="22"/>
  <c r="N732" i="22"/>
  <c r="BB708" i="22"/>
  <c r="BR708" i="22" s="1"/>
  <c r="BJ708" i="22"/>
  <c r="BQ708" i="22" s="1"/>
  <c r="BG708" i="22"/>
  <c r="BJ599" i="22"/>
  <c r="BQ599" i="22" s="1"/>
  <c r="N658" i="22"/>
  <c r="V658" i="22"/>
  <c r="N745" i="22"/>
  <c r="BB724" i="22"/>
  <c r="BR724" i="22" s="1"/>
  <c r="BJ724" i="22"/>
  <c r="BQ724" i="22" s="1"/>
  <c r="BG724" i="22"/>
  <c r="BB655" i="22"/>
  <c r="BR655" i="22" s="1"/>
  <c r="BJ655" i="22"/>
  <c r="BQ655" i="22" s="1"/>
  <c r="BG655" i="22"/>
  <c r="BJ609" i="22"/>
  <c r="BQ609" i="22" s="1"/>
  <c r="BB609" i="22"/>
  <c r="BR609" i="22" s="1"/>
  <c r="BG609" i="22"/>
  <c r="BB653" i="22"/>
  <c r="BR653" i="22" s="1"/>
  <c r="BJ653" i="22"/>
  <c r="BQ653" i="22" s="1"/>
  <c r="BG653" i="22"/>
  <c r="BJ712" i="22"/>
  <c r="BQ712" i="22" s="1"/>
  <c r="BB712" i="22"/>
  <c r="BR712" i="22" s="1"/>
  <c r="BG712" i="22"/>
  <c r="BJ689" i="22"/>
  <c r="BQ689" i="22" s="1"/>
  <c r="BB689" i="22"/>
  <c r="BR689" i="22" s="1"/>
  <c r="BG689" i="22"/>
  <c r="BB650" i="22"/>
  <c r="BR650" i="22" s="1"/>
  <c r="BJ650" i="22"/>
  <c r="BQ650" i="22" s="1"/>
  <c r="BG650" i="22"/>
  <c r="N748" i="22"/>
  <c r="BB619" i="22"/>
  <c r="BR619" i="22" s="1"/>
  <c r="BJ619" i="22"/>
  <c r="BQ619" i="22" s="1"/>
  <c r="BG619" i="22"/>
  <c r="N737" i="22"/>
  <c r="BB684" i="22"/>
  <c r="BR684" i="22" s="1"/>
  <c r="BJ684" i="22"/>
  <c r="BQ684" i="22" s="1"/>
  <c r="BG684" i="22"/>
  <c r="BB710" i="22"/>
  <c r="BR710" i="22" s="1"/>
  <c r="BJ710" i="22"/>
  <c r="BQ710" i="22" s="1"/>
  <c r="BG710" i="22"/>
  <c r="BB686" i="22"/>
  <c r="BR686" i="22" s="1"/>
  <c r="BJ686" i="22"/>
  <c r="BQ686" i="22" s="1"/>
  <c r="BG686" i="22"/>
  <c r="BB715" i="22"/>
  <c r="BR715" i="22" s="1"/>
  <c r="BJ715" i="22"/>
  <c r="BQ715" i="22" s="1"/>
  <c r="BG715" i="22"/>
  <c r="BJ698" i="22"/>
  <c r="BQ698" i="22" s="1"/>
  <c r="BB698" i="22"/>
  <c r="BR698" i="22" s="1"/>
  <c r="BG698" i="22"/>
  <c r="BG702" i="22"/>
  <c r="BB702" i="22"/>
  <c r="BR702" i="22" s="1"/>
  <c r="BJ702" i="22"/>
  <c r="BQ702" i="22" s="1"/>
  <c r="N736" i="22"/>
  <c r="BQ602" i="22"/>
  <c r="BR604" i="22"/>
  <c r="BQ598" i="22"/>
  <c r="BR601" i="22"/>
  <c r="BR599" i="22"/>
  <c r="BG598" i="22"/>
  <c r="BG593" i="22"/>
  <c r="BG596" i="22"/>
  <c r="BG589" i="22"/>
  <c r="BE595" i="22"/>
  <c r="BG592" i="22"/>
  <c r="BG599" i="22"/>
  <c r="BG597" i="22"/>
  <c r="BG601" i="22"/>
  <c r="BG590" i="22"/>
  <c r="BG602" i="22"/>
  <c r="BE591" i="22"/>
  <c r="BG594" i="22"/>
  <c r="BE600" i="22"/>
  <c r="BR600" i="22" s="1"/>
  <c r="BE603" i="22"/>
  <c r="BM71" i="47"/>
  <c r="BN72" i="47"/>
  <c r="AY3" i="47"/>
  <c r="BN3" i="47" s="1"/>
  <c r="AY4" i="47"/>
  <c r="BN4" i="47" s="1"/>
  <c r="AY5" i="47"/>
  <c r="BN5" i="47" s="1"/>
  <c r="AY6" i="47"/>
  <c r="BN6" i="47" s="1"/>
  <c r="AY7" i="47"/>
  <c r="BN7" i="47" s="1"/>
  <c r="AY8" i="47"/>
  <c r="BN8" i="47" s="1"/>
  <c r="AY9" i="47"/>
  <c r="BN9" i="47" s="1"/>
  <c r="AY10" i="47"/>
  <c r="BN10" i="47" s="1"/>
  <c r="AY11" i="47"/>
  <c r="BN11" i="47" s="1"/>
  <c r="AY12" i="47"/>
  <c r="BN12" i="47" s="1"/>
  <c r="AY13" i="47"/>
  <c r="BN13" i="47" s="1"/>
  <c r="AY14" i="47"/>
  <c r="BN14" i="47" s="1"/>
  <c r="AY15" i="47"/>
  <c r="BN15" i="47" s="1"/>
  <c r="AY16" i="47"/>
  <c r="BN16" i="47" s="1"/>
  <c r="AY17" i="47"/>
  <c r="BN17" i="47" s="1"/>
  <c r="AY18" i="47"/>
  <c r="BN18" i="47" s="1"/>
  <c r="AY19" i="47"/>
  <c r="BN19" i="47" s="1"/>
  <c r="AY20" i="47"/>
  <c r="BN20" i="47" s="1"/>
  <c r="AY21" i="47"/>
  <c r="BN21" i="47" s="1"/>
  <c r="AY22" i="47"/>
  <c r="BN22" i="47" s="1"/>
  <c r="AY23" i="47"/>
  <c r="BN23" i="47" s="1"/>
  <c r="AY24" i="47"/>
  <c r="BN24" i="47" s="1"/>
  <c r="AY25" i="47"/>
  <c r="BN25" i="47" s="1"/>
  <c r="AY26" i="47"/>
  <c r="BN26" i="47" s="1"/>
  <c r="AY27" i="47"/>
  <c r="BN27" i="47" s="1"/>
  <c r="AY28" i="47"/>
  <c r="BN28" i="47" s="1"/>
  <c r="AY29" i="47"/>
  <c r="BN29" i="47" s="1"/>
  <c r="AY30" i="47"/>
  <c r="BN30" i="47" s="1"/>
  <c r="AY31" i="47"/>
  <c r="BN31" i="47" s="1"/>
  <c r="AY32" i="47"/>
  <c r="BN32" i="47" s="1"/>
  <c r="AY33" i="47"/>
  <c r="BN33" i="47" s="1"/>
  <c r="AY34" i="47"/>
  <c r="BN34" i="47" s="1"/>
  <c r="AY35" i="47"/>
  <c r="BN35" i="47" s="1"/>
  <c r="AY36" i="47"/>
  <c r="BN36" i="47" s="1"/>
  <c r="AY37" i="47"/>
  <c r="BN37" i="47" s="1"/>
  <c r="AY38" i="47"/>
  <c r="BN38" i="47" s="1"/>
  <c r="AY39" i="47"/>
  <c r="BN39" i="47" s="1"/>
  <c r="AY40" i="47"/>
  <c r="BN40" i="47" s="1"/>
  <c r="AY41" i="47"/>
  <c r="BN41" i="47" s="1"/>
  <c r="AY42" i="47"/>
  <c r="BN42" i="47" s="1"/>
  <c r="AY43" i="47"/>
  <c r="BN43" i="47" s="1"/>
  <c r="AY44" i="47"/>
  <c r="BN44" i="47" s="1"/>
  <c r="AY45" i="47"/>
  <c r="BN45" i="47" s="1"/>
  <c r="AY46" i="47"/>
  <c r="BN46" i="47" s="1"/>
  <c r="AY47" i="47"/>
  <c r="BN47" i="47" s="1"/>
  <c r="AY48" i="47"/>
  <c r="BN48" i="47" s="1"/>
  <c r="AY49" i="47"/>
  <c r="BN49" i="47" s="1"/>
  <c r="AY50" i="47"/>
  <c r="BN50" i="47" s="1"/>
  <c r="AY51" i="47"/>
  <c r="BN51" i="47" s="1"/>
  <c r="AY52" i="47"/>
  <c r="BN52" i="47" s="1"/>
  <c r="AY53" i="47"/>
  <c r="BN53" i="47" s="1"/>
  <c r="AY54" i="47"/>
  <c r="BN54" i="47" s="1"/>
  <c r="AY55" i="47"/>
  <c r="BN55" i="47" s="1"/>
  <c r="AY56" i="47"/>
  <c r="BN56" i="47" s="1"/>
  <c r="AY57" i="47"/>
  <c r="BN57" i="47" s="1"/>
  <c r="AY58" i="47"/>
  <c r="BN58" i="47" s="1"/>
  <c r="AY59" i="47"/>
  <c r="BN59" i="47" s="1"/>
  <c r="AY60" i="47"/>
  <c r="BN60" i="47" s="1"/>
  <c r="AY61" i="47"/>
  <c r="BN61" i="47" s="1"/>
  <c r="AY62" i="47"/>
  <c r="BN62" i="47" s="1"/>
  <c r="AY63" i="47"/>
  <c r="BN63" i="47" s="1"/>
  <c r="AY64" i="47"/>
  <c r="BN64" i="47" s="1"/>
  <c r="AY65" i="47"/>
  <c r="BN65" i="47" s="1"/>
  <c r="AY66" i="47"/>
  <c r="BN66" i="47" s="1"/>
  <c r="AY67" i="47"/>
  <c r="BN67" i="47" s="1"/>
  <c r="AY68" i="47"/>
  <c r="BN68" i="47" s="1"/>
  <c r="AY69" i="47"/>
  <c r="BN69" i="47" s="1"/>
  <c r="AY70" i="47"/>
  <c r="BN70" i="47" s="1"/>
  <c r="AY71" i="47"/>
  <c r="BN71" i="47" s="1"/>
  <c r="AY72" i="47"/>
  <c r="AY73" i="47"/>
  <c r="BN73" i="47" s="1"/>
  <c r="AY74" i="47"/>
  <c r="BN74" i="47" s="1"/>
  <c r="AY75" i="47"/>
  <c r="BN75" i="47" s="1"/>
  <c r="AY76" i="47"/>
  <c r="BN76" i="47" s="1"/>
  <c r="AY77" i="47"/>
  <c r="BN77" i="47" s="1"/>
  <c r="AY78" i="47"/>
  <c r="BN78" i="47" s="1"/>
  <c r="AY79" i="47"/>
  <c r="BN79" i="47" s="1"/>
  <c r="AY80" i="47"/>
  <c r="BN80" i="47" s="1"/>
  <c r="AY81" i="47"/>
  <c r="BN81" i="47" s="1"/>
  <c r="AY82" i="47"/>
  <c r="BN82" i="47" s="1"/>
  <c r="AY83" i="47"/>
  <c r="BN83" i="47" s="1"/>
  <c r="AY2" i="47"/>
  <c r="BN2" i="47" s="1"/>
  <c r="BD3" i="47"/>
  <c r="BM3" i="47" s="1"/>
  <c r="BD4" i="47"/>
  <c r="BM4" i="47" s="1"/>
  <c r="BD5" i="47"/>
  <c r="BM5" i="47" s="1"/>
  <c r="BD6" i="47"/>
  <c r="BM6" i="47" s="1"/>
  <c r="BD7" i="47"/>
  <c r="BM7" i="47" s="1"/>
  <c r="BD8" i="47"/>
  <c r="BM8" i="47" s="1"/>
  <c r="BD9" i="47"/>
  <c r="BM9" i="47" s="1"/>
  <c r="BD10" i="47"/>
  <c r="BM10" i="47" s="1"/>
  <c r="BD11" i="47"/>
  <c r="BM11" i="47" s="1"/>
  <c r="BD12" i="47"/>
  <c r="BM12" i="47" s="1"/>
  <c r="BD13" i="47"/>
  <c r="BM13" i="47" s="1"/>
  <c r="BD14" i="47"/>
  <c r="BM14" i="47" s="1"/>
  <c r="BD15" i="47"/>
  <c r="BM15" i="47" s="1"/>
  <c r="BD16" i="47"/>
  <c r="BM16" i="47" s="1"/>
  <c r="BD17" i="47"/>
  <c r="BM17" i="47" s="1"/>
  <c r="BD18" i="47"/>
  <c r="BM18" i="47" s="1"/>
  <c r="BD19" i="47"/>
  <c r="BM19" i="47" s="1"/>
  <c r="BD20" i="47"/>
  <c r="BM20" i="47" s="1"/>
  <c r="BD21" i="47"/>
  <c r="BM21" i="47" s="1"/>
  <c r="BD22" i="47"/>
  <c r="BM22" i="47" s="1"/>
  <c r="BD23" i="47"/>
  <c r="BM23" i="47" s="1"/>
  <c r="BD24" i="47"/>
  <c r="BM24" i="47" s="1"/>
  <c r="BD25" i="47"/>
  <c r="BM25" i="47" s="1"/>
  <c r="BD26" i="47"/>
  <c r="BM26" i="47" s="1"/>
  <c r="BD27" i="47"/>
  <c r="BM27" i="47" s="1"/>
  <c r="BD28" i="47"/>
  <c r="BM28" i="47" s="1"/>
  <c r="BD29" i="47"/>
  <c r="BM29" i="47" s="1"/>
  <c r="BD30" i="47"/>
  <c r="BM30" i="47" s="1"/>
  <c r="BD31" i="47"/>
  <c r="BM31" i="47" s="1"/>
  <c r="BD32" i="47"/>
  <c r="BM32" i="47" s="1"/>
  <c r="BD33" i="47"/>
  <c r="BM33" i="47" s="1"/>
  <c r="BD34" i="47"/>
  <c r="BM34" i="47" s="1"/>
  <c r="BD35" i="47"/>
  <c r="BM35" i="47" s="1"/>
  <c r="BD36" i="47"/>
  <c r="BM36" i="47" s="1"/>
  <c r="BD37" i="47"/>
  <c r="BM37" i="47" s="1"/>
  <c r="BD38" i="47"/>
  <c r="BM38" i="47" s="1"/>
  <c r="BD39" i="47"/>
  <c r="BM39" i="47" s="1"/>
  <c r="BD40" i="47"/>
  <c r="BM40" i="47" s="1"/>
  <c r="BD41" i="47"/>
  <c r="BM41" i="47" s="1"/>
  <c r="BD42" i="47"/>
  <c r="BM42" i="47" s="1"/>
  <c r="BD43" i="47"/>
  <c r="BM43" i="47" s="1"/>
  <c r="BD44" i="47"/>
  <c r="BM44" i="47" s="1"/>
  <c r="BD45" i="47"/>
  <c r="BM45" i="47" s="1"/>
  <c r="BD46" i="47"/>
  <c r="BM46" i="47" s="1"/>
  <c r="BD47" i="47"/>
  <c r="BM47" i="47" s="1"/>
  <c r="BD48" i="47"/>
  <c r="BM48" i="47" s="1"/>
  <c r="BD49" i="47"/>
  <c r="BM49" i="47" s="1"/>
  <c r="BD50" i="47"/>
  <c r="BM50" i="47" s="1"/>
  <c r="BD51" i="47"/>
  <c r="BM51" i="47" s="1"/>
  <c r="BD52" i="47"/>
  <c r="BM52" i="47" s="1"/>
  <c r="BD53" i="47"/>
  <c r="BM53" i="47" s="1"/>
  <c r="BD54" i="47"/>
  <c r="BM54" i="47" s="1"/>
  <c r="BD55" i="47"/>
  <c r="BM55" i="47" s="1"/>
  <c r="BD56" i="47"/>
  <c r="BM56" i="47" s="1"/>
  <c r="BD57" i="47"/>
  <c r="BM57" i="47" s="1"/>
  <c r="BD58" i="47"/>
  <c r="BM58" i="47" s="1"/>
  <c r="BD59" i="47"/>
  <c r="BM59" i="47" s="1"/>
  <c r="BD60" i="47"/>
  <c r="BM60" i="47" s="1"/>
  <c r="BD61" i="47"/>
  <c r="BM61" i="47" s="1"/>
  <c r="BD62" i="47"/>
  <c r="BM62" i="47" s="1"/>
  <c r="BD63" i="47"/>
  <c r="BM63" i="47" s="1"/>
  <c r="BD64" i="47"/>
  <c r="BM64" i="47" s="1"/>
  <c r="BD65" i="47"/>
  <c r="BM65" i="47" s="1"/>
  <c r="BD66" i="47"/>
  <c r="BM66" i="47" s="1"/>
  <c r="BD67" i="47"/>
  <c r="BM67" i="47" s="1"/>
  <c r="BD68" i="47"/>
  <c r="BM68" i="47" s="1"/>
  <c r="BD69" i="47"/>
  <c r="BM69" i="47" s="1"/>
  <c r="BD70" i="47"/>
  <c r="BM70" i="47" s="1"/>
  <c r="BD71" i="47"/>
  <c r="BD72" i="47"/>
  <c r="BM72" i="47" s="1"/>
  <c r="BD73" i="47"/>
  <c r="BM73" i="47" s="1"/>
  <c r="BD74" i="47"/>
  <c r="BM74" i="47" s="1"/>
  <c r="BD75" i="47"/>
  <c r="BM75" i="47" s="1"/>
  <c r="BD76" i="47"/>
  <c r="BM76" i="47" s="1"/>
  <c r="BD77" i="47"/>
  <c r="BM77" i="47" s="1"/>
  <c r="BD78" i="47"/>
  <c r="BM78" i="47" s="1"/>
  <c r="BD79" i="47"/>
  <c r="BM79" i="47" s="1"/>
  <c r="BD80" i="47"/>
  <c r="BM80" i="47" s="1"/>
  <c r="BD81" i="47"/>
  <c r="BM81" i="47" s="1"/>
  <c r="BD82" i="47"/>
  <c r="BM82" i="47" s="1"/>
  <c r="BD83" i="47"/>
  <c r="BM83" i="47" s="1"/>
  <c r="BD2" i="47"/>
  <c r="BM2" i="47" s="1"/>
  <c r="BS748" i="22" l="1"/>
  <c r="O748" i="22"/>
  <c r="BS752" i="22"/>
  <c r="O752" i="22"/>
  <c r="BS745" i="22"/>
  <c r="O745" i="22"/>
  <c r="BS753" i="22"/>
  <c r="O753" i="22"/>
  <c r="BS741" i="22"/>
  <c r="O741" i="22"/>
  <c r="BS658" i="22"/>
  <c r="O658" i="22"/>
  <c r="BS744" i="22"/>
  <c r="O744" i="22"/>
  <c r="BS754" i="22"/>
  <c r="O754" i="22"/>
  <c r="BS751" i="22"/>
  <c r="O751" i="22"/>
  <c r="BS736" i="22"/>
  <c r="O736" i="22"/>
  <c r="BS747" i="22"/>
  <c r="O747" i="22"/>
  <c r="BS743" i="22"/>
  <c r="O743" i="22"/>
  <c r="BS749" i="22"/>
  <c r="O749" i="22"/>
  <c r="BS739" i="22"/>
  <c r="O739" i="22"/>
  <c r="BS737" i="22"/>
  <c r="O737" i="22"/>
  <c r="BS750" i="22"/>
  <c r="O750" i="22"/>
  <c r="BS732" i="22"/>
  <c r="O732" i="22"/>
  <c r="BS735" i="22"/>
  <c r="O735" i="22"/>
  <c r="BS740" i="22"/>
  <c r="O740" i="22"/>
  <c r="S588" i="22"/>
  <c r="U588" i="22" s="1"/>
  <c r="V588" i="22" s="1"/>
  <c r="BG588" i="22" s="1"/>
  <c r="BS738" i="22"/>
  <c r="O738" i="22"/>
  <c r="BS660" i="22"/>
  <c r="O660" i="22"/>
  <c r="BS742" i="22"/>
  <c r="O742" i="22"/>
  <c r="BS746" i="22"/>
  <c r="O746" i="22"/>
  <c r="BR764" i="22"/>
  <c r="BQ758" i="22"/>
  <c r="BQ762" i="22"/>
  <c r="BR618" i="22"/>
  <c r="BR760" i="22"/>
  <c r="BQ764" i="22"/>
  <c r="BQ757" i="22"/>
  <c r="BQ846" i="22"/>
  <c r="BR846" i="22"/>
  <c r="BQ783" i="22"/>
  <c r="BR783" i="22"/>
  <c r="BQ759" i="22"/>
  <c r="BQ833" i="22"/>
  <c r="BQ763" i="22"/>
  <c r="BR834" i="22"/>
  <c r="BR833" i="22"/>
  <c r="BQ834" i="22"/>
  <c r="BQ756" i="22"/>
  <c r="BQ761" i="22"/>
  <c r="BR626" i="22"/>
  <c r="BD737" i="22"/>
  <c r="BQ648" i="22"/>
  <c r="BQ654" i="22"/>
  <c r="BI751" i="22"/>
  <c r="BR734" i="22"/>
  <c r="BD747" i="22"/>
  <c r="BR624" i="22"/>
  <c r="BR735" i="22"/>
  <c r="BI740" i="22"/>
  <c r="BQ755" i="22"/>
  <c r="BI745" i="22"/>
  <c r="BI744" i="22"/>
  <c r="BD753" i="22"/>
  <c r="BD748" i="22"/>
  <c r="BD752" i="22"/>
  <c r="BQ620" i="22"/>
  <c r="BI746" i="22"/>
  <c r="BR613" i="22"/>
  <c r="BQ659" i="22"/>
  <c r="BR591" i="22"/>
  <c r="BD732" i="22"/>
  <c r="BQ613" i="22"/>
  <c r="BI739" i="22"/>
  <c r="BD741" i="22"/>
  <c r="BQ643" i="22"/>
  <c r="BR603" i="22"/>
  <c r="BI742" i="22"/>
  <c r="BI749" i="22"/>
  <c r="BI736" i="22"/>
  <c r="BI754" i="22"/>
  <c r="BI738" i="22"/>
  <c r="BI750" i="22"/>
  <c r="BI743" i="22"/>
  <c r="BR595" i="22"/>
  <c r="BJ742" i="22"/>
  <c r="BB742" i="22"/>
  <c r="BR742" i="22" s="1"/>
  <c r="BG742" i="22"/>
  <c r="BB746" i="22"/>
  <c r="BR746" i="22" s="1"/>
  <c r="BJ746" i="22"/>
  <c r="BG746" i="22"/>
  <c r="BB745" i="22"/>
  <c r="BR745" i="22" s="1"/>
  <c r="BJ745" i="22"/>
  <c r="BG745" i="22"/>
  <c r="BB752" i="22"/>
  <c r="BJ752" i="22"/>
  <c r="BQ752" i="22" s="1"/>
  <c r="BG752" i="22"/>
  <c r="BB658" i="22"/>
  <c r="BR658" i="22" s="1"/>
  <c r="BJ658" i="22"/>
  <c r="BQ658" i="22" s="1"/>
  <c r="BG658" i="22"/>
  <c r="BB740" i="22"/>
  <c r="BR740" i="22" s="1"/>
  <c r="BJ740" i="22"/>
  <c r="BG740" i="22"/>
  <c r="BB738" i="22"/>
  <c r="BR738" i="22" s="1"/>
  <c r="BJ738" i="22"/>
  <c r="BG738" i="22"/>
  <c r="BB739" i="22"/>
  <c r="BR739" i="22" s="1"/>
  <c r="BJ739" i="22"/>
  <c r="BG739" i="22"/>
  <c r="BB744" i="22"/>
  <c r="BR744" i="22" s="1"/>
  <c r="BJ744" i="22"/>
  <c r="BG744" i="22"/>
  <c r="BB753" i="22"/>
  <c r="BJ753" i="22"/>
  <c r="BQ753" i="22" s="1"/>
  <c r="BG753" i="22"/>
  <c r="BJ751" i="22"/>
  <c r="BB751" i="22"/>
  <c r="BR751" i="22" s="1"/>
  <c r="BG751" i="22"/>
  <c r="BB747" i="22"/>
  <c r="BJ747" i="22"/>
  <c r="BQ747" i="22" s="1"/>
  <c r="BG747" i="22"/>
  <c r="BJ741" i="22"/>
  <c r="BQ741" i="22" s="1"/>
  <c r="BB741" i="22"/>
  <c r="BG741" i="22"/>
  <c r="BJ749" i="22"/>
  <c r="BB749" i="22"/>
  <c r="BR749" i="22" s="1"/>
  <c r="BG749" i="22"/>
  <c r="BB660" i="22"/>
  <c r="BR660" i="22" s="1"/>
  <c r="BJ660" i="22"/>
  <c r="BQ660" i="22" s="1"/>
  <c r="BG660" i="22"/>
  <c r="BG736" i="22"/>
  <c r="BB736" i="22"/>
  <c r="BR736" i="22" s="1"/>
  <c r="BJ736" i="22"/>
  <c r="BB732" i="22"/>
  <c r="BJ732" i="22"/>
  <c r="BQ732" i="22" s="1"/>
  <c r="BG732" i="22"/>
  <c r="BJ743" i="22"/>
  <c r="BB743" i="22"/>
  <c r="BR743" i="22" s="1"/>
  <c r="BG743" i="22"/>
  <c r="BB754" i="22"/>
  <c r="BR754" i="22" s="1"/>
  <c r="BJ754" i="22"/>
  <c r="BG754" i="22"/>
  <c r="BB748" i="22"/>
  <c r="BJ748" i="22"/>
  <c r="BQ748" i="22" s="1"/>
  <c r="BG748" i="22"/>
  <c r="BB737" i="22"/>
  <c r="BJ737" i="22"/>
  <c r="BQ737" i="22" s="1"/>
  <c r="BG737" i="22"/>
  <c r="BB750" i="22"/>
  <c r="BR750" i="22" s="1"/>
  <c r="BJ750" i="22"/>
  <c r="BG750" i="22"/>
  <c r="BD3" i="22"/>
  <c r="BH393" i="22"/>
  <c r="BF3" i="41"/>
  <c r="AX4" i="41"/>
  <c r="AX5" i="41"/>
  <c r="AX6" i="41"/>
  <c r="AX7" i="41"/>
  <c r="AX8" i="41"/>
  <c r="AX9" i="41"/>
  <c r="AX10" i="41"/>
  <c r="AX11" i="41"/>
  <c r="AX12" i="41"/>
  <c r="AX13" i="41"/>
  <c r="AX14" i="41"/>
  <c r="AX15" i="41"/>
  <c r="AX16" i="41"/>
  <c r="AX17" i="41"/>
  <c r="AX18" i="41"/>
  <c r="AX19" i="41"/>
  <c r="AX20" i="41"/>
  <c r="AX21" i="41"/>
  <c r="AX22" i="41"/>
  <c r="AX23" i="41"/>
  <c r="AX24" i="41"/>
  <c r="AX25" i="41"/>
  <c r="AX26" i="41"/>
  <c r="AX27" i="41"/>
  <c r="AX28" i="41"/>
  <c r="AX29" i="41"/>
  <c r="AX30" i="41"/>
  <c r="AX31" i="41"/>
  <c r="AX32" i="41"/>
  <c r="AX33" i="41"/>
  <c r="AX34" i="41"/>
  <c r="AX35" i="41"/>
  <c r="AX36" i="41"/>
  <c r="AX37" i="41"/>
  <c r="AX38" i="41"/>
  <c r="AX39" i="41"/>
  <c r="AX40" i="41"/>
  <c r="AX41" i="41"/>
  <c r="AX42" i="41"/>
  <c r="AX43" i="41"/>
  <c r="AX44" i="41"/>
  <c r="AX45" i="41"/>
  <c r="AX46" i="41"/>
  <c r="AX47" i="41"/>
  <c r="AX48" i="41"/>
  <c r="AX49" i="41"/>
  <c r="AX50" i="41"/>
  <c r="AX51" i="41"/>
  <c r="AX52" i="41"/>
  <c r="AX53" i="41"/>
  <c r="AX54" i="41"/>
  <c r="AX55" i="41"/>
  <c r="AX56" i="41"/>
  <c r="AX57" i="41"/>
  <c r="AX58" i="41"/>
  <c r="AX59" i="41"/>
  <c r="AX60" i="41"/>
  <c r="AX61" i="41"/>
  <c r="AX62" i="41"/>
  <c r="AX63" i="41"/>
  <c r="AX64" i="41"/>
  <c r="AX65" i="41"/>
  <c r="AX66" i="41"/>
  <c r="AX67" i="41"/>
  <c r="AX68" i="41"/>
  <c r="AX69" i="41"/>
  <c r="AX70" i="41"/>
  <c r="AX71" i="41"/>
  <c r="AX72" i="41"/>
  <c r="AX73" i="41"/>
  <c r="AX75" i="41"/>
  <c r="BN75" i="41" s="1"/>
  <c r="AX76" i="41"/>
  <c r="BN76" i="41" s="1"/>
  <c r="AX77" i="41"/>
  <c r="BN77" i="41" s="1"/>
  <c r="AX78" i="41"/>
  <c r="BN78" i="41" s="1"/>
  <c r="AX79" i="41"/>
  <c r="BN79" i="41" s="1"/>
  <c r="AX80" i="41"/>
  <c r="BN80" i="41" s="1"/>
  <c r="AX81" i="41"/>
  <c r="BN81" i="41" s="1"/>
  <c r="AX82" i="41"/>
  <c r="BN82" i="41" s="1"/>
  <c r="AX83" i="41"/>
  <c r="BN83" i="41" s="1"/>
  <c r="AX84" i="41"/>
  <c r="BN84" i="41" s="1"/>
  <c r="AX85" i="41"/>
  <c r="BN85" i="41" s="1"/>
  <c r="AX86" i="41"/>
  <c r="BN86" i="41" s="1"/>
  <c r="AX3" i="41"/>
  <c r="BF4" i="41"/>
  <c r="BF5" i="41"/>
  <c r="BF6" i="41"/>
  <c r="BF7" i="41"/>
  <c r="BF8" i="41"/>
  <c r="BF9" i="41"/>
  <c r="BF10" i="41"/>
  <c r="BF11" i="41"/>
  <c r="BF12" i="41"/>
  <c r="BF13" i="41"/>
  <c r="BF14" i="41"/>
  <c r="BF15" i="41"/>
  <c r="BF16" i="41"/>
  <c r="BF17" i="41"/>
  <c r="BF18" i="41"/>
  <c r="BF19" i="41"/>
  <c r="BF20" i="41"/>
  <c r="BF21" i="41"/>
  <c r="BF22" i="41"/>
  <c r="BF23" i="41"/>
  <c r="BF24" i="41"/>
  <c r="BF25" i="41"/>
  <c r="BF26" i="41"/>
  <c r="BF27" i="41"/>
  <c r="BF28" i="41"/>
  <c r="BF29" i="41"/>
  <c r="BF30" i="41"/>
  <c r="BF31" i="41"/>
  <c r="BF32" i="41"/>
  <c r="BF33" i="41"/>
  <c r="BF34" i="41"/>
  <c r="BF35" i="41"/>
  <c r="BF36" i="41"/>
  <c r="BF37" i="41"/>
  <c r="BF38" i="41"/>
  <c r="BF39" i="41"/>
  <c r="BF40" i="41"/>
  <c r="BF41" i="41"/>
  <c r="BF42" i="41"/>
  <c r="BF43" i="41"/>
  <c r="BF44" i="41"/>
  <c r="BF45" i="41"/>
  <c r="BF46" i="41"/>
  <c r="BF47" i="41"/>
  <c r="BF48" i="41"/>
  <c r="BF49" i="41"/>
  <c r="BF50" i="41"/>
  <c r="BF51" i="41"/>
  <c r="BF52" i="41"/>
  <c r="BF53" i="41"/>
  <c r="BF54" i="41"/>
  <c r="BF55" i="41"/>
  <c r="BF56" i="41"/>
  <c r="BF57" i="41"/>
  <c r="BF58" i="41"/>
  <c r="BF59" i="41"/>
  <c r="BF60" i="41"/>
  <c r="BF61" i="41"/>
  <c r="BF62" i="41"/>
  <c r="BF63" i="41"/>
  <c r="BF64" i="41"/>
  <c r="BF65" i="41"/>
  <c r="BF66" i="41"/>
  <c r="BF67" i="41"/>
  <c r="BF68" i="41"/>
  <c r="BF69" i="41"/>
  <c r="BF70" i="41"/>
  <c r="BF71" i="41"/>
  <c r="BF72" i="41"/>
  <c r="BF73" i="41"/>
  <c r="BF75" i="41"/>
  <c r="BM75" i="41" s="1"/>
  <c r="BF76" i="41"/>
  <c r="BM76" i="41" s="1"/>
  <c r="BF77" i="41"/>
  <c r="BM77" i="41" s="1"/>
  <c r="BF78" i="41"/>
  <c r="BM78" i="41" s="1"/>
  <c r="BF79" i="41"/>
  <c r="BM79" i="41" s="1"/>
  <c r="BF80" i="41"/>
  <c r="BM80" i="41" s="1"/>
  <c r="BF81" i="41"/>
  <c r="BM81" i="41" s="1"/>
  <c r="BF82" i="41"/>
  <c r="BM82" i="41" s="1"/>
  <c r="BF83" i="41"/>
  <c r="BM83" i="41" s="1"/>
  <c r="BF84" i="41"/>
  <c r="BM84" i="41" s="1"/>
  <c r="BF85" i="41"/>
  <c r="BM85" i="41" s="1"/>
  <c r="BF86" i="41"/>
  <c r="BM86" i="41" s="1"/>
  <c r="W588" i="22" l="1"/>
  <c r="X588" i="22" s="1"/>
  <c r="BJ588" i="22"/>
  <c r="BQ588" i="22" s="1"/>
  <c r="BB588" i="22"/>
  <c r="BR588" i="22" s="1"/>
  <c r="BQ744" i="22"/>
  <c r="BR737" i="22"/>
  <c r="BR747" i="22"/>
  <c r="BQ740" i="22"/>
  <c r="BQ751" i="22"/>
  <c r="BR753" i="22"/>
  <c r="BQ745" i="22"/>
  <c r="BQ746" i="22"/>
  <c r="BR748" i="22"/>
  <c r="BR752" i="22"/>
  <c r="BR741" i="22"/>
  <c r="BQ736" i="22"/>
  <c r="BQ739" i="22"/>
  <c r="BQ750" i="22"/>
  <c r="BR732" i="22"/>
  <c r="BQ742" i="22"/>
  <c r="BQ754" i="22"/>
  <c r="BQ749" i="22"/>
  <c r="BQ743" i="22"/>
  <c r="BQ738" i="22"/>
  <c r="BA94" i="41"/>
  <c r="BA95" i="41"/>
  <c r="BA96" i="41"/>
  <c r="BA97" i="41"/>
  <c r="BA98" i="41"/>
  <c r="BA99" i="41"/>
  <c r="BA93" i="41"/>
  <c r="AV101" i="41"/>
  <c r="AA588" i="22" l="1"/>
  <c r="R100" i="46"/>
  <c r="R101" i="46"/>
  <c r="R102" i="46"/>
  <c r="R103" i="46"/>
  <c r="R99" i="46"/>
  <c r="M104" i="46"/>
  <c r="DT153" i="41"/>
  <c r="DT154" i="41"/>
  <c r="DT155" i="41"/>
  <c r="DT156" i="41"/>
  <c r="DT152" i="41"/>
  <c r="DO157" i="41"/>
  <c r="DT142" i="41"/>
  <c r="DT143" i="41"/>
  <c r="DT144" i="41"/>
  <c r="DT145" i="41"/>
  <c r="DT141" i="41"/>
  <c r="DO146" i="41"/>
  <c r="EP103" i="40"/>
  <c r="EK107" i="40"/>
  <c r="EP104" i="40" s="1"/>
  <c r="EK77" i="40"/>
  <c r="EP74" i="40" s="1"/>
  <c r="EP75" i="40" l="1"/>
  <c r="EP73" i="40"/>
  <c r="EP106" i="40"/>
  <c r="EP102" i="40"/>
  <c r="EP105" i="40"/>
  <c r="EP72" i="40"/>
  <c r="AB588" i="22"/>
  <c r="AX89" i="40"/>
  <c r="BN89" i="40" s="1"/>
  <c r="AX90" i="40"/>
  <c r="AX91" i="40"/>
  <c r="BN91" i="40" s="1"/>
  <c r="AX92" i="40"/>
  <c r="BN92" i="40" s="1"/>
  <c r="AX93" i="40"/>
  <c r="BN93" i="40" s="1"/>
  <c r="AX94" i="40"/>
  <c r="BN94" i="40" s="1"/>
  <c r="AX95" i="40"/>
  <c r="BN95" i="40" s="1"/>
  <c r="AX96" i="40"/>
  <c r="BN96" i="40" s="1"/>
  <c r="AX97" i="40"/>
  <c r="BN97" i="40" s="1"/>
  <c r="AX98" i="40"/>
  <c r="BN98" i="40" s="1"/>
  <c r="AX99" i="40"/>
  <c r="BN99" i="40" s="1"/>
  <c r="AX100" i="40"/>
  <c r="BN100" i="40" s="1"/>
  <c r="AX101" i="40"/>
  <c r="BN101" i="40" s="1"/>
  <c r="AX102" i="40"/>
  <c r="BN102" i="40" s="1"/>
  <c r="AX103" i="40"/>
  <c r="BN103" i="40" s="1"/>
  <c r="AX104" i="40"/>
  <c r="BN104" i="40" s="1"/>
  <c r="AX105" i="40"/>
  <c r="BN105" i="40" s="1"/>
  <c r="AX106" i="40"/>
  <c r="BN106" i="40" s="1"/>
  <c r="AX107" i="40"/>
  <c r="BN107" i="40" s="1"/>
  <c r="AX108" i="40"/>
  <c r="BN108" i="40" s="1"/>
  <c r="AX109" i="40"/>
  <c r="BN109" i="40" s="1"/>
  <c r="AX110" i="40"/>
  <c r="BN110" i="40" s="1"/>
  <c r="AX111" i="40"/>
  <c r="BN111" i="40" s="1"/>
  <c r="AX112" i="40"/>
  <c r="BN112" i="40" s="1"/>
  <c r="AX113" i="40"/>
  <c r="BN113" i="40" s="1"/>
  <c r="AX114" i="40"/>
  <c r="BN114" i="40" s="1"/>
  <c r="AX115" i="40"/>
  <c r="AX116" i="40"/>
  <c r="BN116" i="40" s="1"/>
  <c r="AX117" i="40"/>
  <c r="BN117" i="40" s="1"/>
  <c r="AX118" i="40"/>
  <c r="BN118" i="40" s="1"/>
  <c r="AX119" i="40"/>
  <c r="BN119" i="40" s="1"/>
  <c r="AX120" i="40"/>
  <c r="BN120" i="40" s="1"/>
  <c r="AX121" i="40"/>
  <c r="BN121" i="40" s="1"/>
  <c r="AX122" i="40"/>
  <c r="BN122" i="40" s="1"/>
  <c r="AX123" i="40"/>
  <c r="BN123" i="40" s="1"/>
  <c r="AX124" i="40"/>
  <c r="BN124" i="40" s="1"/>
  <c r="AX125" i="40"/>
  <c r="BN125" i="40" s="1"/>
  <c r="AX126" i="40"/>
  <c r="BN126" i="40" s="1"/>
  <c r="AX127" i="40"/>
  <c r="BN127" i="40" s="1"/>
  <c r="AX128" i="40"/>
  <c r="BN128" i="40" s="1"/>
  <c r="AX129" i="40"/>
  <c r="BN129" i="40" s="1"/>
  <c r="AX130" i="40"/>
  <c r="BN130" i="40" s="1"/>
  <c r="AX131" i="40"/>
  <c r="BN131" i="40" s="1"/>
  <c r="AX132" i="40"/>
  <c r="BN132" i="40" s="1"/>
  <c r="AX133" i="40"/>
  <c r="AX134" i="40"/>
  <c r="BN134" i="40" s="1"/>
  <c r="AX135" i="40"/>
  <c r="BN135" i="40" s="1"/>
  <c r="AX136" i="40"/>
  <c r="BN136" i="40" s="1"/>
  <c r="AX137" i="40"/>
  <c r="BN137" i="40" s="1"/>
  <c r="AX138" i="40"/>
  <c r="BN138" i="40" s="1"/>
  <c r="AX139" i="40"/>
  <c r="BN139" i="40" s="1"/>
  <c r="AX140" i="40"/>
  <c r="BN140" i="40" s="1"/>
  <c r="AX141" i="40"/>
  <c r="BN141" i="40" s="1"/>
  <c r="AX142" i="40"/>
  <c r="BN142" i="40" s="1"/>
  <c r="AX143" i="40"/>
  <c r="BN143" i="40" s="1"/>
  <c r="AX144" i="40"/>
  <c r="BN144" i="40" s="1"/>
  <c r="AX145" i="40"/>
  <c r="BN145" i="40" s="1"/>
  <c r="AX146" i="40"/>
  <c r="BN146" i="40" s="1"/>
  <c r="AX147" i="40"/>
  <c r="BN147" i="40" s="1"/>
  <c r="AX148" i="40"/>
  <c r="BN148" i="40" s="1"/>
  <c r="AX149" i="40"/>
  <c r="BN149" i="40" s="1"/>
  <c r="AX150" i="40"/>
  <c r="BN150" i="40" s="1"/>
  <c r="AX151" i="40"/>
  <c r="BN151" i="40" s="1"/>
  <c r="AX152" i="40"/>
  <c r="BN152" i="40" s="1"/>
  <c r="AX88" i="40"/>
  <c r="BN88" i="40" s="1"/>
  <c r="AX4" i="40"/>
  <c r="AX5" i="40"/>
  <c r="AX6" i="40"/>
  <c r="AX7" i="40"/>
  <c r="AX8" i="40"/>
  <c r="AX9" i="40"/>
  <c r="AX10" i="40"/>
  <c r="AX11" i="40"/>
  <c r="AX12" i="40"/>
  <c r="AX13" i="40"/>
  <c r="AX14" i="40"/>
  <c r="AX15" i="40"/>
  <c r="AX16" i="40"/>
  <c r="AX17" i="40"/>
  <c r="AX18" i="40"/>
  <c r="AX19" i="40"/>
  <c r="AX20" i="40"/>
  <c r="AX21" i="40"/>
  <c r="AX22" i="40"/>
  <c r="AX23" i="40"/>
  <c r="AX24" i="40"/>
  <c r="AX25" i="40"/>
  <c r="AX26" i="40"/>
  <c r="AX27" i="40"/>
  <c r="AX28" i="40"/>
  <c r="AX29" i="40"/>
  <c r="AX30" i="40"/>
  <c r="AX31" i="40"/>
  <c r="AX32" i="40"/>
  <c r="AX33" i="40"/>
  <c r="AX34" i="40"/>
  <c r="AX35" i="40"/>
  <c r="AX36" i="40"/>
  <c r="AX37" i="40"/>
  <c r="AX38" i="40"/>
  <c r="AX39" i="40"/>
  <c r="AX40" i="40"/>
  <c r="AX41" i="40"/>
  <c r="AX42" i="40"/>
  <c r="AX43" i="40"/>
  <c r="AX44" i="40"/>
  <c r="AX45" i="40"/>
  <c r="AX46" i="40"/>
  <c r="AX47" i="40"/>
  <c r="AX48" i="40"/>
  <c r="AX49" i="40"/>
  <c r="AX50" i="40"/>
  <c r="AX51" i="40"/>
  <c r="AX52" i="40"/>
  <c r="AX53" i="40"/>
  <c r="AX54" i="40"/>
  <c r="AX55" i="40"/>
  <c r="AX56" i="40"/>
  <c r="AX57" i="40"/>
  <c r="AX58" i="40"/>
  <c r="AX59" i="40"/>
  <c r="AX60" i="40"/>
  <c r="AX61" i="40"/>
  <c r="AX62" i="40"/>
  <c r="AX63" i="40"/>
  <c r="AX64" i="40"/>
  <c r="AX65" i="40"/>
  <c r="AX66" i="40"/>
  <c r="AX67" i="40"/>
  <c r="AX68" i="40"/>
  <c r="AX69" i="40"/>
  <c r="AX70" i="40"/>
  <c r="AX71" i="40"/>
  <c r="AX72" i="40"/>
  <c r="AX73" i="40"/>
  <c r="AX74" i="40"/>
  <c r="AX75" i="40"/>
  <c r="AX76" i="40"/>
  <c r="AX77" i="40"/>
  <c r="AX78" i="40"/>
  <c r="AX79" i="40"/>
  <c r="AX80" i="40"/>
  <c r="AX81" i="40"/>
  <c r="AX82" i="40"/>
  <c r="AX83" i="40"/>
  <c r="AX84" i="40"/>
  <c r="AX85" i="40"/>
  <c r="AX86" i="40"/>
  <c r="BB4" i="22"/>
  <c r="BB5" i="22"/>
  <c r="BB6" i="22"/>
  <c r="BB7" i="22"/>
  <c r="BB8" i="22"/>
  <c r="BJ4" i="22"/>
  <c r="BJ5" i="22"/>
  <c r="BJ6" i="22"/>
  <c r="BJ7" i="22"/>
  <c r="BJ8" i="22"/>
  <c r="BJ3" i="22"/>
  <c r="BM88" i="40"/>
  <c r="BM89" i="40"/>
  <c r="BM90" i="40"/>
  <c r="BN90" i="40"/>
  <c r="BM91" i="40"/>
  <c r="BM92" i="40"/>
  <c r="BM93" i="40"/>
  <c r="BM94" i="40"/>
  <c r="BM95" i="40"/>
  <c r="BM96" i="40"/>
  <c r="BM97" i="40"/>
  <c r="BM98" i="40"/>
  <c r="BM99" i="40"/>
  <c r="BM100" i="40"/>
  <c r="BM101" i="40"/>
  <c r="BM102" i="40"/>
  <c r="BM103" i="40"/>
  <c r="BM104" i="40"/>
  <c r="BM105" i="40"/>
  <c r="BM106" i="40"/>
  <c r="BM107" i="40"/>
  <c r="BM108" i="40"/>
  <c r="BM109" i="40"/>
  <c r="BM110" i="40"/>
  <c r="BM111" i="40"/>
  <c r="BM112" i="40"/>
  <c r="BM113" i="40"/>
  <c r="BM114" i="40"/>
  <c r="BM115" i="40"/>
  <c r="BN115" i="40"/>
  <c r="BM116" i="40"/>
  <c r="BM117" i="40"/>
  <c r="BM118" i="40"/>
  <c r="BM119" i="40"/>
  <c r="BM120" i="40"/>
  <c r="BM121" i="40"/>
  <c r="BM122" i="40"/>
  <c r="BM123" i="40"/>
  <c r="BM124" i="40"/>
  <c r="BM125" i="40"/>
  <c r="BM126" i="40"/>
  <c r="BM127" i="40"/>
  <c r="BM128" i="40"/>
  <c r="BM129" i="40"/>
  <c r="BM130" i="40"/>
  <c r="BM131" i="40"/>
  <c r="BM132" i="40"/>
  <c r="BM133" i="40"/>
  <c r="BN133" i="40"/>
  <c r="BM134" i="40"/>
  <c r="BM135" i="40"/>
  <c r="BM136" i="40"/>
  <c r="BM137" i="40"/>
  <c r="BM138" i="40"/>
  <c r="BM139" i="40"/>
  <c r="BM140" i="40"/>
  <c r="BM141" i="40"/>
  <c r="BM142" i="40"/>
  <c r="BM143" i="40"/>
  <c r="BM144" i="40"/>
  <c r="BM145" i="40"/>
  <c r="BM146" i="40"/>
  <c r="BM147" i="40"/>
  <c r="BM148" i="40"/>
  <c r="BM149" i="40"/>
  <c r="BM150" i="40"/>
  <c r="BM151" i="40"/>
  <c r="BM152" i="40"/>
  <c r="BF4" i="40"/>
  <c r="BF5" i="40"/>
  <c r="BF6" i="40"/>
  <c r="BF7" i="40"/>
  <c r="BF8" i="40"/>
  <c r="BF9" i="40"/>
  <c r="BF10" i="40"/>
  <c r="BF11" i="40"/>
  <c r="BF12" i="40"/>
  <c r="BF13" i="40"/>
  <c r="BF14" i="40"/>
  <c r="BF15" i="40"/>
  <c r="BF16" i="40"/>
  <c r="BF17" i="40"/>
  <c r="BF18" i="40"/>
  <c r="BF19" i="40"/>
  <c r="BF20" i="40"/>
  <c r="BF21" i="40"/>
  <c r="BF22" i="40"/>
  <c r="BF23" i="40"/>
  <c r="BF24" i="40"/>
  <c r="BF25" i="40"/>
  <c r="BF26" i="40"/>
  <c r="BF27" i="40"/>
  <c r="BF28" i="40"/>
  <c r="BF29" i="40"/>
  <c r="BF30" i="40"/>
  <c r="BF31" i="40"/>
  <c r="BF32" i="40"/>
  <c r="BF33" i="40"/>
  <c r="BF34" i="40"/>
  <c r="BF35" i="40"/>
  <c r="BF36" i="40"/>
  <c r="BF37" i="40"/>
  <c r="BF38" i="40"/>
  <c r="BF39" i="40"/>
  <c r="BF40" i="40"/>
  <c r="BF41" i="40"/>
  <c r="BF42" i="40"/>
  <c r="BF43" i="40"/>
  <c r="BF44" i="40"/>
  <c r="BF45" i="40"/>
  <c r="BF46" i="40"/>
  <c r="BF47" i="40"/>
  <c r="BF48" i="40"/>
  <c r="BF49" i="40"/>
  <c r="BF50" i="40"/>
  <c r="BF51" i="40"/>
  <c r="BF52" i="40"/>
  <c r="BF53" i="40"/>
  <c r="BF54" i="40"/>
  <c r="BF55" i="40"/>
  <c r="BF56" i="40"/>
  <c r="BF57" i="40"/>
  <c r="BF58" i="40"/>
  <c r="BF59" i="40"/>
  <c r="BF60" i="40"/>
  <c r="BF61" i="40"/>
  <c r="BF62" i="40"/>
  <c r="BF63" i="40"/>
  <c r="BF64" i="40"/>
  <c r="BF65" i="40"/>
  <c r="BF66" i="40"/>
  <c r="BF67" i="40"/>
  <c r="BF68" i="40"/>
  <c r="BF69" i="40"/>
  <c r="BF70" i="40"/>
  <c r="BF71" i="40"/>
  <c r="BF72" i="40"/>
  <c r="BF73" i="40"/>
  <c r="BF74" i="40"/>
  <c r="BF75" i="40"/>
  <c r="BF76" i="40"/>
  <c r="BF77" i="40"/>
  <c r="BF78" i="40"/>
  <c r="BF79" i="40"/>
  <c r="BF80" i="40"/>
  <c r="BF81" i="40"/>
  <c r="BF82" i="40"/>
  <c r="BF83" i="40"/>
  <c r="BF84" i="40"/>
  <c r="BF85" i="40"/>
  <c r="BF86" i="40"/>
  <c r="BF3" i="40"/>
  <c r="AX3" i="40"/>
  <c r="BE4" i="40"/>
  <c r="BE5" i="40"/>
  <c r="BE6" i="40"/>
  <c r="BE7" i="40"/>
  <c r="BE8" i="40"/>
  <c r="BE9" i="40"/>
  <c r="BE10" i="40"/>
  <c r="BE11" i="40"/>
  <c r="BE12" i="40"/>
  <c r="BE13" i="40"/>
  <c r="BE14" i="40"/>
  <c r="BE15" i="40"/>
  <c r="BE16" i="40"/>
  <c r="BE17" i="40"/>
  <c r="BE18" i="40"/>
  <c r="BE19" i="40"/>
  <c r="BE20" i="40"/>
  <c r="BE21" i="40"/>
  <c r="BE22" i="40"/>
  <c r="BE23" i="40"/>
  <c r="BE24" i="40"/>
  <c r="BE25" i="40"/>
  <c r="BE26" i="40"/>
  <c r="BE27" i="40"/>
  <c r="BE28" i="40"/>
  <c r="BE29" i="40"/>
  <c r="BE30" i="40"/>
  <c r="BE31" i="40"/>
  <c r="BE32" i="40"/>
  <c r="BE33" i="40"/>
  <c r="BE34" i="40"/>
  <c r="BE35" i="40"/>
  <c r="BE36" i="40"/>
  <c r="BE37" i="40"/>
  <c r="BE38" i="40"/>
  <c r="BE39" i="40"/>
  <c r="BE40" i="40"/>
  <c r="BE41" i="40"/>
  <c r="BE42" i="40"/>
  <c r="BE43" i="40"/>
  <c r="BE44" i="40"/>
  <c r="BE45" i="40"/>
  <c r="BE46" i="40"/>
  <c r="BE47" i="40"/>
  <c r="BE48" i="40"/>
  <c r="BE49" i="40"/>
  <c r="BE50" i="40"/>
  <c r="BE51" i="40"/>
  <c r="BE52" i="40"/>
  <c r="BE53" i="40"/>
  <c r="BE54" i="40"/>
  <c r="BE55" i="40"/>
  <c r="BE56" i="40"/>
  <c r="BE57" i="40"/>
  <c r="BE58" i="40"/>
  <c r="BE59" i="40"/>
  <c r="BE60" i="40"/>
  <c r="BE61" i="40"/>
  <c r="BE62" i="40"/>
  <c r="BE63" i="40"/>
  <c r="BE64" i="40"/>
  <c r="BE65" i="40"/>
  <c r="BE66" i="40"/>
  <c r="BE67" i="40"/>
  <c r="BE68" i="40"/>
  <c r="BE69" i="40"/>
  <c r="BE70" i="40"/>
  <c r="BE71" i="40"/>
  <c r="BE72" i="40"/>
  <c r="BE73" i="40"/>
  <c r="BE74" i="40"/>
  <c r="BE75" i="40"/>
  <c r="BE76" i="40"/>
  <c r="BE77" i="40"/>
  <c r="BE78" i="40"/>
  <c r="BE79" i="40"/>
  <c r="BE80" i="40"/>
  <c r="BE81" i="40"/>
  <c r="BE82" i="40"/>
  <c r="BE83" i="40"/>
  <c r="BE84" i="40"/>
  <c r="BE85" i="40"/>
  <c r="BE86" i="40"/>
  <c r="BE3" i="40"/>
  <c r="BB3" i="22"/>
  <c r="AZ5" i="41"/>
  <c r="AZ6" i="41"/>
  <c r="AZ7" i="41"/>
  <c r="AZ8" i="41"/>
  <c r="AZ9" i="41"/>
  <c r="AZ10" i="41"/>
  <c r="AZ11" i="41"/>
  <c r="AZ12" i="41"/>
  <c r="AZ13" i="41"/>
  <c r="AZ14" i="41"/>
  <c r="AZ15" i="41"/>
  <c r="AZ16" i="41"/>
  <c r="AZ17" i="41"/>
  <c r="AZ18" i="41"/>
  <c r="AZ19" i="41"/>
  <c r="AZ20" i="41"/>
  <c r="AZ21" i="41"/>
  <c r="AZ22" i="41"/>
  <c r="AZ23" i="41"/>
  <c r="AZ24" i="41"/>
  <c r="AZ25" i="41"/>
  <c r="AZ26" i="41"/>
  <c r="AZ27" i="41"/>
  <c r="AZ28" i="41"/>
  <c r="AZ29" i="41"/>
  <c r="AZ30" i="41"/>
  <c r="AZ31" i="41"/>
  <c r="AZ32" i="41"/>
  <c r="AZ33" i="41"/>
  <c r="AZ34" i="41"/>
  <c r="AZ35" i="41"/>
  <c r="AZ36" i="41"/>
  <c r="AZ37" i="41"/>
  <c r="AZ38" i="41"/>
  <c r="AZ39" i="41"/>
  <c r="AZ40" i="41"/>
  <c r="AZ41" i="41"/>
  <c r="AZ42" i="41"/>
  <c r="AZ43" i="41"/>
  <c r="AZ44" i="41"/>
  <c r="AZ45" i="41"/>
  <c r="AZ46" i="41"/>
  <c r="AZ47" i="41"/>
  <c r="AZ48" i="41"/>
  <c r="AZ49" i="41"/>
  <c r="AZ50" i="41"/>
  <c r="AZ51" i="41"/>
  <c r="AZ52" i="41"/>
  <c r="AZ53" i="41"/>
  <c r="AZ54" i="41"/>
  <c r="AZ55" i="41"/>
  <c r="AZ56" i="41"/>
  <c r="AZ57" i="41"/>
  <c r="AZ58" i="41"/>
  <c r="AZ59" i="41"/>
  <c r="AZ60" i="41"/>
  <c r="AZ61" i="41"/>
  <c r="AZ62" i="41"/>
  <c r="AZ63" i="41"/>
  <c r="AZ64" i="41"/>
  <c r="AZ65" i="41"/>
  <c r="AZ66" i="41"/>
  <c r="AZ67" i="41"/>
  <c r="AZ68" i="41"/>
  <c r="AZ69" i="41"/>
  <c r="AZ70" i="41"/>
  <c r="AZ71" i="41"/>
  <c r="AZ72" i="41"/>
  <c r="AZ73" i="41"/>
  <c r="AZ4" i="41"/>
  <c r="AZ3" i="41"/>
  <c r="AZ4" i="40"/>
  <c r="AZ5" i="40"/>
  <c r="AZ6" i="40"/>
  <c r="AZ7" i="40"/>
  <c r="AZ8" i="40"/>
  <c r="AZ9" i="40"/>
  <c r="AZ10" i="40"/>
  <c r="AZ11" i="40"/>
  <c r="AZ12" i="40"/>
  <c r="AZ13" i="40"/>
  <c r="AZ14" i="40"/>
  <c r="AZ15" i="40"/>
  <c r="AZ16" i="40"/>
  <c r="AZ17" i="40"/>
  <c r="AZ18" i="40"/>
  <c r="AZ19" i="40"/>
  <c r="AZ20" i="40"/>
  <c r="AZ21" i="40"/>
  <c r="AZ22" i="40"/>
  <c r="AZ23" i="40"/>
  <c r="AZ24" i="40"/>
  <c r="BN24" i="40" s="1"/>
  <c r="AZ25" i="40"/>
  <c r="AZ26" i="40"/>
  <c r="AZ27" i="40"/>
  <c r="AZ28" i="40"/>
  <c r="AZ29" i="40"/>
  <c r="AZ30" i="40"/>
  <c r="AZ31" i="40"/>
  <c r="AZ32" i="40"/>
  <c r="AZ33" i="40"/>
  <c r="AZ34" i="40"/>
  <c r="AZ35" i="40"/>
  <c r="AZ36" i="40"/>
  <c r="AZ37" i="40"/>
  <c r="AZ38" i="40"/>
  <c r="AZ39" i="40"/>
  <c r="AZ40" i="40"/>
  <c r="BN40" i="40" s="1"/>
  <c r="AZ41" i="40"/>
  <c r="AZ42" i="40"/>
  <c r="AZ43" i="40"/>
  <c r="AZ44" i="40"/>
  <c r="AZ45" i="40"/>
  <c r="AZ46" i="40"/>
  <c r="AZ47" i="40"/>
  <c r="AZ48" i="40"/>
  <c r="AZ49" i="40"/>
  <c r="AZ50" i="40"/>
  <c r="AZ51" i="40"/>
  <c r="AZ52" i="40"/>
  <c r="AZ53" i="40"/>
  <c r="AZ54" i="40"/>
  <c r="AZ55" i="40"/>
  <c r="AZ56" i="40"/>
  <c r="BN56" i="40" s="1"/>
  <c r="AZ57" i="40"/>
  <c r="AZ58" i="40"/>
  <c r="AZ59" i="40"/>
  <c r="AZ60" i="40"/>
  <c r="AZ61" i="40"/>
  <c r="AZ62" i="40"/>
  <c r="AZ63" i="40"/>
  <c r="AZ64" i="40"/>
  <c r="AZ65" i="40"/>
  <c r="AZ66" i="40"/>
  <c r="AZ67" i="40"/>
  <c r="AZ68" i="40"/>
  <c r="AZ69" i="40"/>
  <c r="AZ70" i="40"/>
  <c r="AZ71" i="40"/>
  <c r="AZ72" i="40"/>
  <c r="BN72" i="40" s="1"/>
  <c r="AZ73" i="40"/>
  <c r="AZ74" i="40"/>
  <c r="AZ75" i="40"/>
  <c r="AZ76" i="40"/>
  <c r="AZ77" i="40"/>
  <c r="AZ78" i="40"/>
  <c r="AZ79" i="40"/>
  <c r="AZ80" i="40"/>
  <c r="AZ81" i="40"/>
  <c r="AZ82" i="40"/>
  <c r="AZ83" i="40"/>
  <c r="AZ84" i="40"/>
  <c r="AZ85" i="40"/>
  <c r="AZ86" i="40"/>
  <c r="AZ3" i="40"/>
  <c r="AY4" i="41"/>
  <c r="AY5" i="41"/>
  <c r="AY6" i="41"/>
  <c r="AY7" i="41"/>
  <c r="AY8" i="41"/>
  <c r="AY9" i="41"/>
  <c r="AY10" i="41"/>
  <c r="AY11" i="41"/>
  <c r="AY12" i="41"/>
  <c r="BN12" i="41" s="1"/>
  <c r="AY13" i="41"/>
  <c r="BN13" i="41" s="1"/>
  <c r="AY14" i="41"/>
  <c r="BN14" i="41" s="1"/>
  <c r="AY15" i="41"/>
  <c r="BN15" i="41" s="1"/>
  <c r="AY16" i="41"/>
  <c r="AY17" i="41"/>
  <c r="AY18" i="41"/>
  <c r="AY19" i="41"/>
  <c r="AY20" i="41"/>
  <c r="AY21" i="41"/>
  <c r="AY22" i="41"/>
  <c r="AY23" i="41"/>
  <c r="AY24" i="41"/>
  <c r="AY25" i="41"/>
  <c r="AY26" i="41"/>
  <c r="AY27" i="41"/>
  <c r="AY28" i="41"/>
  <c r="BN28" i="41" s="1"/>
  <c r="AY29" i="41"/>
  <c r="AY30" i="41"/>
  <c r="AY31" i="41"/>
  <c r="AY32" i="41"/>
  <c r="AY33" i="41"/>
  <c r="AY34" i="41"/>
  <c r="AY35" i="41"/>
  <c r="AY36" i="41"/>
  <c r="AY37" i="41"/>
  <c r="AY38" i="41"/>
  <c r="AY39" i="41"/>
  <c r="AY40" i="41"/>
  <c r="AY41" i="41"/>
  <c r="AY42" i="41"/>
  <c r="AY43" i="41"/>
  <c r="BN43" i="41" s="1"/>
  <c r="AY44" i="41"/>
  <c r="BN44" i="41" s="1"/>
  <c r="AY45" i="41"/>
  <c r="AY46" i="41"/>
  <c r="BN46" i="41" s="1"/>
  <c r="AY47" i="41"/>
  <c r="AY48" i="41"/>
  <c r="AY49" i="41"/>
  <c r="AY50" i="41"/>
  <c r="AY51" i="41"/>
  <c r="AY52" i="41"/>
  <c r="AY53" i="41"/>
  <c r="AY54" i="41"/>
  <c r="AY55" i="41"/>
  <c r="AY56" i="41"/>
  <c r="AY57" i="41"/>
  <c r="AY58" i="41"/>
  <c r="AY59" i="41"/>
  <c r="BN59" i="41" s="1"/>
  <c r="AY60" i="41"/>
  <c r="BN60" i="41" s="1"/>
  <c r="AY61" i="41"/>
  <c r="BN61" i="41" s="1"/>
  <c r="AY62" i="41"/>
  <c r="BN62" i="41" s="1"/>
  <c r="AY63" i="41"/>
  <c r="BN63" i="41" s="1"/>
  <c r="AY64" i="41"/>
  <c r="AY65" i="41"/>
  <c r="AY66" i="41"/>
  <c r="AY67" i="41"/>
  <c r="AY68" i="41"/>
  <c r="AY69" i="41"/>
  <c r="AY70" i="41"/>
  <c r="AY71" i="41"/>
  <c r="AY72" i="41"/>
  <c r="AY73" i="41"/>
  <c r="AY3" i="41"/>
  <c r="BN3" i="41" s="1"/>
  <c r="BD4" i="41"/>
  <c r="BM4" i="41" s="1"/>
  <c r="BD5" i="41"/>
  <c r="BM5" i="41" s="1"/>
  <c r="BD6" i="41"/>
  <c r="BM6" i="41" s="1"/>
  <c r="BD7" i="41"/>
  <c r="BM7" i="41" s="1"/>
  <c r="BD8" i="41"/>
  <c r="BM8" i="41" s="1"/>
  <c r="BD9" i="41"/>
  <c r="BM9" i="41" s="1"/>
  <c r="BD10" i="41"/>
  <c r="BM10" i="41" s="1"/>
  <c r="BD11" i="41"/>
  <c r="BM11" i="41" s="1"/>
  <c r="BD12" i="41"/>
  <c r="BM12" i="41" s="1"/>
  <c r="BD13" i="41"/>
  <c r="BM13" i="41" s="1"/>
  <c r="BD14" i="41"/>
  <c r="BM14" i="41" s="1"/>
  <c r="BD15" i="41"/>
  <c r="BM15" i="41" s="1"/>
  <c r="BD16" i="41"/>
  <c r="BM16" i="41" s="1"/>
  <c r="BD17" i="41"/>
  <c r="BM17" i="41" s="1"/>
  <c r="BD18" i="41"/>
  <c r="BM18" i="41" s="1"/>
  <c r="BD19" i="41"/>
  <c r="BM19" i="41" s="1"/>
  <c r="BD20" i="41"/>
  <c r="BM20" i="41" s="1"/>
  <c r="BD21" i="41"/>
  <c r="BM21" i="41" s="1"/>
  <c r="BD22" i="41"/>
  <c r="BM22" i="41" s="1"/>
  <c r="BD23" i="41"/>
  <c r="BM23" i="41" s="1"/>
  <c r="BD24" i="41"/>
  <c r="BM24" i="41" s="1"/>
  <c r="BD25" i="41"/>
  <c r="BM25" i="41" s="1"/>
  <c r="BD26" i="41"/>
  <c r="BM26" i="41" s="1"/>
  <c r="BD27" i="41"/>
  <c r="BM27" i="41" s="1"/>
  <c r="BD28" i="41"/>
  <c r="BM28" i="41" s="1"/>
  <c r="BD29" i="41"/>
  <c r="BM29" i="41" s="1"/>
  <c r="BD30" i="41"/>
  <c r="BM30" i="41" s="1"/>
  <c r="BD31" i="41"/>
  <c r="BM31" i="41" s="1"/>
  <c r="BD32" i="41"/>
  <c r="BM32" i="41" s="1"/>
  <c r="BD33" i="41"/>
  <c r="BM33" i="41" s="1"/>
  <c r="BD34" i="41"/>
  <c r="BM34" i="41" s="1"/>
  <c r="BD35" i="41"/>
  <c r="BM35" i="41" s="1"/>
  <c r="BD36" i="41"/>
  <c r="BM36" i="41" s="1"/>
  <c r="BD37" i="41"/>
  <c r="BM37" i="41" s="1"/>
  <c r="BD38" i="41"/>
  <c r="BM38" i="41" s="1"/>
  <c r="BD39" i="41"/>
  <c r="BM39" i="41" s="1"/>
  <c r="BD40" i="41"/>
  <c r="BM40" i="41" s="1"/>
  <c r="BD41" i="41"/>
  <c r="BM41" i="41" s="1"/>
  <c r="BD42" i="41"/>
  <c r="BM42" i="41" s="1"/>
  <c r="BD43" i="41"/>
  <c r="BM43" i="41" s="1"/>
  <c r="BD44" i="41"/>
  <c r="BM44" i="41" s="1"/>
  <c r="BD45" i="41"/>
  <c r="BM45" i="41" s="1"/>
  <c r="BD46" i="41"/>
  <c r="BM46" i="41" s="1"/>
  <c r="BD47" i="41"/>
  <c r="BM47" i="41" s="1"/>
  <c r="BD48" i="41"/>
  <c r="BM48" i="41" s="1"/>
  <c r="BD49" i="41"/>
  <c r="BM49" i="41" s="1"/>
  <c r="BD50" i="41"/>
  <c r="BM50" i="41" s="1"/>
  <c r="BD51" i="41"/>
  <c r="BM51" i="41" s="1"/>
  <c r="BD52" i="41"/>
  <c r="BM52" i="41" s="1"/>
  <c r="BD53" i="41"/>
  <c r="BM53" i="41" s="1"/>
  <c r="BD54" i="41"/>
  <c r="BM54" i="41" s="1"/>
  <c r="BD55" i="41"/>
  <c r="BM55" i="41" s="1"/>
  <c r="BD56" i="41"/>
  <c r="BM56" i="41" s="1"/>
  <c r="BD57" i="41"/>
  <c r="BM57" i="41" s="1"/>
  <c r="BD58" i="41"/>
  <c r="BM58" i="41" s="1"/>
  <c r="BD59" i="41"/>
  <c r="BM59" i="41" s="1"/>
  <c r="BD60" i="41"/>
  <c r="BM60" i="41" s="1"/>
  <c r="BD61" i="41"/>
  <c r="BM61" i="41" s="1"/>
  <c r="BD62" i="41"/>
  <c r="BM62" i="41" s="1"/>
  <c r="BD63" i="41"/>
  <c r="BM63" i="41" s="1"/>
  <c r="BD64" i="41"/>
  <c r="BM64" i="41" s="1"/>
  <c r="BD65" i="41"/>
  <c r="BM65" i="41" s="1"/>
  <c r="BD66" i="41"/>
  <c r="BM66" i="41" s="1"/>
  <c r="BD67" i="41"/>
  <c r="BM67" i="41" s="1"/>
  <c r="BD68" i="41"/>
  <c r="BM68" i="41" s="1"/>
  <c r="BD69" i="41"/>
  <c r="BM69" i="41" s="1"/>
  <c r="BD70" i="41"/>
  <c r="BM70" i="41" s="1"/>
  <c r="BD71" i="41"/>
  <c r="BM71" i="41" s="1"/>
  <c r="BD72" i="41"/>
  <c r="BM72" i="41" s="1"/>
  <c r="BD73" i="41"/>
  <c r="BM73" i="41" s="1"/>
  <c r="BD3" i="41"/>
  <c r="BM3" i="41" s="1"/>
  <c r="BN5" i="40" l="1"/>
  <c r="BN8" i="40"/>
  <c r="BN11" i="41"/>
  <c r="BN31" i="41"/>
  <c r="BN47" i="41"/>
  <c r="BN27" i="41"/>
  <c r="BN29" i="41"/>
  <c r="BN45" i="41"/>
  <c r="BN30" i="41"/>
  <c r="AC588" i="22"/>
  <c r="AD588" i="22" s="1"/>
  <c r="BN26" i="41"/>
  <c r="BN41" i="41"/>
  <c r="BN72" i="41"/>
  <c r="BN8" i="41"/>
  <c r="BN23" i="41"/>
  <c r="BN70" i="41"/>
  <c r="BN6" i="41"/>
  <c r="BN53" i="41"/>
  <c r="BN68" i="41"/>
  <c r="BN4" i="41"/>
  <c r="BN67" i="41"/>
  <c r="BN51" i="41"/>
  <c r="BN35" i="41"/>
  <c r="BN19" i="41"/>
  <c r="BN42" i="41"/>
  <c r="BN57" i="41"/>
  <c r="BN9" i="41"/>
  <c r="BN24" i="41"/>
  <c r="BN39" i="41"/>
  <c r="BN22" i="41"/>
  <c r="BN69" i="41"/>
  <c r="BN21" i="41"/>
  <c r="BN5" i="41"/>
  <c r="BN20" i="41"/>
  <c r="BN66" i="41"/>
  <c r="BN50" i="41"/>
  <c r="BN34" i="41"/>
  <c r="BN18" i="41"/>
  <c r="BN52" i="41"/>
  <c r="BN65" i="41"/>
  <c r="BN49" i="41"/>
  <c r="BN33" i="41"/>
  <c r="BN17" i="41"/>
  <c r="BN58" i="41"/>
  <c r="BN73" i="41"/>
  <c r="BN56" i="41"/>
  <c r="BN55" i="41"/>
  <c r="BN38" i="41"/>
  <c r="BN64" i="41"/>
  <c r="BN48" i="41"/>
  <c r="BN32" i="41"/>
  <c r="BN16" i="41"/>
  <c r="BN10" i="41"/>
  <c r="BN25" i="41"/>
  <c r="BN40" i="41"/>
  <c r="BN71" i="41"/>
  <c r="BN7" i="41"/>
  <c r="BN54" i="41"/>
  <c r="BN37" i="41"/>
  <c r="BN36" i="41"/>
  <c r="BM73" i="40"/>
  <c r="BM57" i="40"/>
  <c r="BM41" i="40"/>
  <c r="BN76" i="40"/>
  <c r="BN86" i="40"/>
  <c r="BN70" i="40"/>
  <c r="BN54" i="40"/>
  <c r="BN38" i="40"/>
  <c r="BN22" i="40"/>
  <c r="BN6" i="40"/>
  <c r="BM21" i="40"/>
  <c r="BM5" i="40"/>
  <c r="BM81" i="40"/>
  <c r="BM65" i="40"/>
  <c r="BM49" i="40"/>
  <c r="BM33" i="40"/>
  <c r="BM17" i="40"/>
  <c r="BM75" i="40"/>
  <c r="BM59" i="40"/>
  <c r="BM43" i="40"/>
  <c r="BM27" i="40"/>
  <c r="BM11" i="40"/>
  <c r="BM74" i="40"/>
  <c r="BM58" i="40"/>
  <c r="BM42" i="40"/>
  <c r="BM10" i="40"/>
  <c r="BN46" i="40"/>
  <c r="BN30" i="40"/>
  <c r="BN14" i="40"/>
  <c r="BM72" i="40"/>
  <c r="BM56" i="40"/>
  <c r="BM40" i="40"/>
  <c r="BM24" i="40"/>
  <c r="BM8" i="40"/>
  <c r="BM82" i="40"/>
  <c r="BM66" i="40"/>
  <c r="BM50" i="40"/>
  <c r="BM34" i="40"/>
  <c r="BM18" i="40"/>
  <c r="BN57" i="40"/>
  <c r="BN41" i="40"/>
  <c r="BN9" i="40"/>
  <c r="BN3" i="40"/>
  <c r="BN71" i="40"/>
  <c r="BN55" i="40"/>
  <c r="BN39" i="40"/>
  <c r="BN23" i="40"/>
  <c r="BN7" i="40"/>
  <c r="BN78" i="40"/>
  <c r="BN62" i="40"/>
  <c r="BN11" i="40"/>
  <c r="BM76" i="40"/>
  <c r="BM60" i="40"/>
  <c r="BM44" i="40"/>
  <c r="BM28" i="40"/>
  <c r="BM12" i="40"/>
  <c r="BN63" i="40"/>
  <c r="BN47" i="40"/>
  <c r="BN15" i="40"/>
  <c r="BM9" i="40"/>
  <c r="BM25" i="40"/>
  <c r="BM84" i="40"/>
  <c r="BN59" i="40"/>
  <c r="BM26" i="40"/>
  <c r="BN43" i="40"/>
  <c r="BN34" i="40"/>
  <c r="BM80" i="40"/>
  <c r="BM64" i="40"/>
  <c r="BM48" i="40"/>
  <c r="BM32" i="40"/>
  <c r="BM16" i="40"/>
  <c r="BN77" i="40"/>
  <c r="BN61" i="40"/>
  <c r="BN45" i="40"/>
  <c r="BN29" i="40"/>
  <c r="BN13" i="40"/>
  <c r="BN75" i="40"/>
  <c r="BN27" i="40"/>
  <c r="BN73" i="40"/>
  <c r="BN25" i="40"/>
  <c r="BN80" i="40"/>
  <c r="BN64" i="40"/>
  <c r="BN48" i="40"/>
  <c r="BN32" i="40"/>
  <c r="BN16" i="40"/>
  <c r="BN79" i="40"/>
  <c r="BN31" i="40"/>
  <c r="BN60" i="40"/>
  <c r="BN44" i="40"/>
  <c r="BN28" i="40"/>
  <c r="BN12" i="40"/>
  <c r="BN50" i="40"/>
  <c r="BM68" i="40"/>
  <c r="BM52" i="40"/>
  <c r="BM36" i="40"/>
  <c r="BM20" i="40"/>
  <c r="BM4" i="40"/>
  <c r="BM83" i="40"/>
  <c r="BM67" i="40"/>
  <c r="BM51" i="40"/>
  <c r="BM35" i="40"/>
  <c r="BM19" i="40"/>
  <c r="BM79" i="40"/>
  <c r="BM63" i="40"/>
  <c r="BM47" i="40"/>
  <c r="BM31" i="40"/>
  <c r="BM15" i="40"/>
  <c r="BN74" i="40"/>
  <c r="BN58" i="40"/>
  <c r="BN42" i="40"/>
  <c r="BN26" i="40"/>
  <c r="BN10" i="40"/>
  <c r="BM78" i="40"/>
  <c r="BM62" i="40"/>
  <c r="BM46" i="40"/>
  <c r="BM30" i="40"/>
  <c r="BM14" i="40"/>
  <c r="BM77" i="40"/>
  <c r="BM61" i="40"/>
  <c r="BM45" i="40"/>
  <c r="BM29" i="40"/>
  <c r="BM13" i="40"/>
  <c r="BN85" i="40"/>
  <c r="BN69" i="40"/>
  <c r="BN53" i="40"/>
  <c r="BN37" i="40"/>
  <c r="BN21" i="40"/>
  <c r="BN84" i="40"/>
  <c r="BN68" i="40"/>
  <c r="BN52" i="40"/>
  <c r="BN36" i="40"/>
  <c r="BN20" i="40"/>
  <c r="BN4" i="40"/>
  <c r="BN83" i="40"/>
  <c r="BN67" i="40"/>
  <c r="BN51" i="40"/>
  <c r="BN35" i="40"/>
  <c r="BN19" i="40"/>
  <c r="BM71" i="40"/>
  <c r="BM55" i="40"/>
  <c r="BM39" i="40"/>
  <c r="BM23" i="40"/>
  <c r="BM7" i="40"/>
  <c r="BN82" i="40"/>
  <c r="BN66" i="40"/>
  <c r="BN18" i="40"/>
  <c r="BM86" i="40"/>
  <c r="BM70" i="40"/>
  <c r="BM54" i="40"/>
  <c r="BM38" i="40"/>
  <c r="BM22" i="40"/>
  <c r="BM6" i="40"/>
  <c r="BN81" i="40"/>
  <c r="BN65" i="40"/>
  <c r="BN49" i="40"/>
  <c r="BN33" i="40"/>
  <c r="BN17" i="40"/>
  <c r="BM85" i="40"/>
  <c r="BM69" i="40"/>
  <c r="BM53" i="40"/>
  <c r="BM37" i="40"/>
  <c r="BM3" i="40"/>
  <c r="ES20" i="41" l="1"/>
  <c r="EX15" i="41" s="1"/>
  <c r="EF20" i="41"/>
  <c r="EK15" i="41" s="1"/>
  <c r="DT20" i="41"/>
  <c r="DY18" i="41" s="1"/>
  <c r="DJ20" i="41"/>
  <c r="DO15" i="41" s="1"/>
  <c r="CU20" i="41"/>
  <c r="CZ14" i="41" s="1"/>
  <c r="CI20" i="41"/>
  <c r="CN16" i="41" s="1"/>
  <c r="CN15" i="41" l="1"/>
  <c r="DO17" i="41"/>
  <c r="DY17" i="41"/>
  <c r="DY16" i="41"/>
  <c r="EK14" i="41"/>
  <c r="EK16" i="41"/>
  <c r="EX14" i="41"/>
  <c r="EX18" i="41"/>
  <c r="EK17" i="41"/>
  <c r="DY15" i="41"/>
  <c r="CZ18" i="41"/>
  <c r="CZ16" i="41"/>
  <c r="EK18" i="41"/>
  <c r="CZ15" i="41"/>
  <c r="DO14" i="41"/>
  <c r="DO18" i="41"/>
  <c r="CZ17" i="41"/>
  <c r="DO16" i="41"/>
  <c r="CN14" i="41"/>
  <c r="EX17" i="41"/>
  <c r="EX16" i="41"/>
  <c r="CN18" i="41"/>
  <c r="CN17" i="41"/>
  <c r="DY14" i="41"/>
  <c r="FK22" i="40" l="1"/>
  <c r="FP17" i="40" s="1"/>
  <c r="EX22" i="40"/>
  <c r="FC20" i="40" s="1"/>
  <c r="EL22" i="40"/>
  <c r="EQ16" i="40" s="1"/>
  <c r="EC22" i="40"/>
  <c r="EH17" i="40" s="1"/>
  <c r="DQ22" i="40"/>
  <c r="DV16" i="40" s="1"/>
  <c r="DH13" i="40"/>
  <c r="DM7" i="40" s="1"/>
  <c r="DB22" i="40"/>
  <c r="EQ18" i="40" l="1"/>
  <c r="EQ17" i="40"/>
  <c r="DM9" i="40"/>
  <c r="EQ20" i="40"/>
  <c r="DM8" i="40"/>
  <c r="EQ19" i="40"/>
  <c r="DV20" i="40"/>
  <c r="FC16" i="40"/>
  <c r="DV19" i="40"/>
  <c r="DV17" i="40"/>
  <c r="FC19" i="40"/>
  <c r="FC18" i="40"/>
  <c r="DV18" i="40"/>
  <c r="EH16" i="40"/>
  <c r="FC17" i="40"/>
  <c r="EH20" i="40"/>
  <c r="EH19" i="40"/>
  <c r="FP16" i="40"/>
  <c r="EH18" i="40"/>
  <c r="FP20" i="40"/>
  <c r="FP19" i="40"/>
  <c r="DM11" i="40"/>
  <c r="FP18" i="40"/>
  <c r="DM10" i="40"/>
  <c r="CC43" i="40" l="1"/>
  <c r="CH35" i="40" s="1"/>
  <c r="CH40" i="40" l="1"/>
  <c r="CH36" i="40"/>
  <c r="CH37" i="40"/>
  <c r="CH38" i="40"/>
  <c r="CH39" i="40"/>
  <c r="CH41" i="40"/>
  <c r="BP461" i="30" l="1"/>
  <c r="BP359" i="30"/>
  <c r="BT5" i="30"/>
  <c r="BT6" i="30"/>
  <c r="BT7" i="30"/>
  <c r="BT8" i="30"/>
  <c r="BT9" i="30"/>
  <c r="BT10" i="30"/>
  <c r="BT11" i="30"/>
  <c r="BT12" i="30"/>
  <c r="BT13" i="30"/>
  <c r="BT14" i="30"/>
  <c r="BT15" i="30"/>
  <c r="BT16" i="30"/>
  <c r="BT17" i="30"/>
  <c r="BT18" i="30"/>
  <c r="BT19" i="30"/>
  <c r="BT20" i="30"/>
  <c r="BT21" i="30"/>
  <c r="BT22" i="30"/>
  <c r="BT23" i="30"/>
  <c r="BT24" i="30"/>
  <c r="BT25" i="30"/>
  <c r="BT26" i="30"/>
  <c r="BT27" i="30"/>
  <c r="BT28" i="30"/>
  <c r="BT29" i="30"/>
  <c r="BT30" i="30"/>
  <c r="BT31" i="30"/>
  <c r="BT32" i="30"/>
  <c r="BT33" i="30"/>
  <c r="BT34" i="30"/>
  <c r="BT35" i="30"/>
  <c r="BT36" i="30"/>
  <c r="BT37" i="30"/>
  <c r="BT38" i="30"/>
  <c r="BT39" i="30"/>
  <c r="BT40" i="30"/>
  <c r="BT41" i="30"/>
  <c r="BT42" i="30"/>
  <c r="BT43" i="30"/>
  <c r="BT44" i="30"/>
  <c r="BT45" i="30"/>
  <c r="BT46" i="30"/>
  <c r="BT47" i="30"/>
  <c r="BT48" i="30"/>
  <c r="BT49" i="30"/>
  <c r="BT50" i="30"/>
  <c r="BT51" i="30"/>
  <c r="BT52" i="30"/>
  <c r="BT53" i="30"/>
  <c r="BT54" i="30"/>
  <c r="BT55" i="30"/>
  <c r="BT56" i="30"/>
  <c r="BT57" i="30"/>
  <c r="BT58" i="30"/>
  <c r="BT59" i="30"/>
  <c r="BT60" i="30"/>
  <c r="BT61" i="30"/>
  <c r="BT62" i="30"/>
  <c r="BT63" i="30"/>
  <c r="BT64" i="30"/>
  <c r="BT65" i="30"/>
  <c r="BT66" i="30"/>
  <c r="BT67" i="30"/>
  <c r="BT68" i="30"/>
  <c r="BT69" i="30"/>
  <c r="BT70" i="30"/>
  <c r="BT71" i="30"/>
  <c r="BT72" i="30"/>
  <c r="BT73" i="30"/>
  <c r="BT74" i="30"/>
  <c r="BT75" i="30"/>
  <c r="BT76" i="30"/>
  <c r="BT77" i="30"/>
  <c r="BT78" i="30"/>
  <c r="BT79" i="30"/>
  <c r="BT80" i="30"/>
  <c r="BT81" i="30"/>
  <c r="BT82" i="30"/>
  <c r="BT83" i="30"/>
  <c r="BT84" i="30"/>
  <c r="BT85" i="30"/>
  <c r="BT86" i="30"/>
  <c r="BT87" i="30"/>
  <c r="BT88" i="30"/>
  <c r="BT89" i="30"/>
  <c r="BT90" i="30"/>
  <c r="BT91" i="30"/>
  <c r="BT92" i="30"/>
  <c r="BT93" i="30"/>
  <c r="BT94" i="30"/>
  <c r="BT95" i="30"/>
  <c r="BT96" i="30"/>
  <c r="BT97" i="30"/>
  <c r="BT98" i="30"/>
  <c r="BT99" i="30"/>
  <c r="BT100" i="30"/>
  <c r="BT101" i="30"/>
  <c r="BT102" i="30"/>
  <c r="BT103" i="30"/>
  <c r="BT104" i="30"/>
  <c r="BT105" i="30"/>
  <c r="BT106" i="30"/>
  <c r="BT107" i="30"/>
  <c r="BT108" i="30"/>
  <c r="BT109" i="30"/>
  <c r="BT110" i="30"/>
  <c r="BT111" i="30"/>
  <c r="BT112" i="30"/>
  <c r="BT113" i="30"/>
  <c r="BT114" i="30"/>
  <c r="BT115" i="30"/>
  <c r="BT116" i="30"/>
  <c r="BT117" i="30"/>
  <c r="BT118" i="30"/>
  <c r="BT119" i="30"/>
  <c r="BT120" i="30"/>
  <c r="BT121" i="30"/>
  <c r="BT122" i="30"/>
  <c r="BT123" i="30"/>
  <c r="BT124" i="30"/>
  <c r="BT125" i="30"/>
  <c r="BT126" i="30"/>
  <c r="BT127" i="30"/>
  <c r="BT128" i="30"/>
  <c r="BT129" i="30"/>
  <c r="BT130" i="30"/>
  <c r="BT131" i="30"/>
  <c r="BT132" i="30"/>
  <c r="BT133" i="30"/>
  <c r="BT134" i="30"/>
  <c r="BT135" i="30"/>
  <c r="BT136" i="30"/>
  <c r="BT137" i="30"/>
  <c r="BT138" i="30"/>
  <c r="BT139" i="30"/>
  <c r="BT140" i="30"/>
  <c r="BT141" i="30"/>
  <c r="BT142" i="30"/>
  <c r="BT143" i="30"/>
  <c r="BT144" i="30"/>
  <c r="BT145" i="30"/>
  <c r="BT146" i="30"/>
  <c r="BT147" i="30"/>
  <c r="BT148" i="30"/>
  <c r="BT149" i="30"/>
  <c r="BT150" i="30"/>
  <c r="BT151" i="30"/>
  <c r="BT152" i="30"/>
  <c r="BT153" i="30"/>
  <c r="BT154" i="30"/>
  <c r="BT155" i="30"/>
  <c r="BT156" i="30"/>
  <c r="BT157" i="30"/>
  <c r="BT158" i="30"/>
  <c r="BT159" i="30"/>
  <c r="BT160" i="30"/>
  <c r="BT161" i="30"/>
  <c r="BT162" i="30"/>
  <c r="BT163" i="30"/>
  <c r="BT164" i="30"/>
  <c r="BT165" i="30"/>
  <c r="BT166" i="30"/>
  <c r="BT167" i="30"/>
  <c r="BT168" i="30"/>
  <c r="BT169" i="30"/>
  <c r="BT170" i="30"/>
  <c r="BT171" i="30"/>
  <c r="BT172" i="30"/>
  <c r="BT173" i="30"/>
  <c r="BT174" i="30"/>
  <c r="BT175" i="30"/>
  <c r="BT176" i="30"/>
  <c r="BT177" i="30"/>
  <c r="BT178" i="30"/>
  <c r="BT179" i="30"/>
  <c r="BT180" i="30"/>
  <c r="BT181" i="30"/>
  <c r="BT182" i="30"/>
  <c r="BT183" i="30"/>
  <c r="BT184" i="30"/>
  <c r="BT185" i="30"/>
  <c r="BT186" i="30"/>
  <c r="BT187" i="30"/>
  <c r="BT188" i="30"/>
  <c r="BT189" i="30"/>
  <c r="BT190" i="30"/>
  <c r="BT191" i="30"/>
  <c r="BT192" i="30"/>
  <c r="BT193" i="30"/>
  <c r="BT194" i="30"/>
  <c r="BT195" i="30"/>
  <c r="BT196" i="30"/>
  <c r="BT197" i="30"/>
  <c r="BT198" i="30"/>
  <c r="BT199" i="30"/>
  <c r="BT200" i="30"/>
  <c r="BT201" i="30"/>
  <c r="BT202" i="30"/>
  <c r="BT203" i="30"/>
  <c r="BT204" i="30"/>
  <c r="BT205" i="30"/>
  <c r="BT206" i="30"/>
  <c r="BT207" i="30"/>
  <c r="BT208" i="30"/>
  <c r="BT209" i="30"/>
  <c r="BT210" i="30"/>
  <c r="BT211" i="30"/>
  <c r="BT212" i="30"/>
  <c r="BT213" i="30"/>
  <c r="BT214" i="30"/>
  <c r="BT215" i="30"/>
  <c r="BT216" i="30"/>
  <c r="BT217" i="30"/>
  <c r="BT218" i="30"/>
  <c r="BT219" i="30"/>
  <c r="BT220" i="30"/>
  <c r="BT221" i="30"/>
  <c r="BT222" i="30"/>
  <c r="BT223" i="30"/>
  <c r="BT224" i="30"/>
  <c r="BT225" i="30"/>
  <c r="BT226" i="30"/>
  <c r="BT227" i="30"/>
  <c r="BT228" i="30"/>
  <c r="BT229" i="30"/>
  <c r="BT230" i="30"/>
  <c r="BT231" i="30"/>
  <c r="BT232" i="30"/>
  <c r="BT233" i="30"/>
  <c r="BT234" i="30"/>
  <c r="BT235" i="30"/>
  <c r="BT236" i="30"/>
  <c r="BT237" i="30"/>
  <c r="BT238" i="30"/>
  <c r="BT239" i="30"/>
  <c r="BT240" i="30"/>
  <c r="BT241" i="30"/>
  <c r="BT242" i="30"/>
  <c r="BT243" i="30"/>
  <c r="BT244" i="30"/>
  <c r="BT245" i="30"/>
  <c r="BT246" i="30"/>
  <c r="BT247" i="30"/>
  <c r="BT248" i="30"/>
  <c r="BT249" i="30"/>
  <c r="BT250" i="30"/>
  <c r="BT251" i="30"/>
  <c r="BT252" i="30"/>
  <c r="BT253" i="30"/>
  <c r="BT254" i="30"/>
  <c r="BT255" i="30"/>
  <c r="BT256" i="30"/>
  <c r="BT257" i="30"/>
  <c r="BT258" i="30"/>
  <c r="BT259" i="30"/>
  <c r="BT260" i="30"/>
  <c r="BT261" i="30"/>
  <c r="BT262" i="30"/>
  <c r="BT263" i="30"/>
  <c r="BT264" i="30"/>
  <c r="BT265" i="30"/>
  <c r="BT266" i="30"/>
  <c r="BT267" i="30"/>
  <c r="BT268" i="30"/>
  <c r="BT269" i="30"/>
  <c r="BT270" i="30"/>
  <c r="BT271" i="30"/>
  <c r="BT272" i="30"/>
  <c r="BT273" i="30"/>
  <c r="BT274" i="30"/>
  <c r="BT275" i="30"/>
  <c r="BT276" i="30"/>
  <c r="BT277" i="30"/>
  <c r="BT278" i="30"/>
  <c r="BT279" i="30"/>
  <c r="BT280" i="30"/>
  <c r="BT281" i="30"/>
  <c r="BT282" i="30"/>
  <c r="BT283" i="30"/>
  <c r="BT284" i="30"/>
  <c r="BT285" i="30"/>
  <c r="BT286" i="30"/>
  <c r="BT287" i="30"/>
  <c r="BT288" i="30"/>
  <c r="BT289" i="30"/>
  <c r="BT290" i="30"/>
  <c r="BT291" i="30"/>
  <c r="BT292" i="30"/>
  <c r="BT293" i="30"/>
  <c r="BT294" i="30"/>
  <c r="BT295" i="30"/>
  <c r="BT296" i="30"/>
  <c r="BT297" i="30"/>
  <c r="BT298" i="30"/>
  <c r="BT299" i="30"/>
  <c r="BT300" i="30"/>
  <c r="BT301" i="30"/>
  <c r="BT302" i="30"/>
  <c r="BT303" i="30"/>
  <c r="BT304" i="30"/>
  <c r="BT305" i="30"/>
  <c r="BT306" i="30"/>
  <c r="BT307" i="30"/>
  <c r="BT308" i="30"/>
  <c r="BT309" i="30"/>
  <c r="BT310" i="30"/>
  <c r="BT311" i="30"/>
  <c r="BT312" i="30"/>
  <c r="BT313" i="30"/>
  <c r="BT314" i="30"/>
  <c r="BT315" i="30"/>
  <c r="BT316" i="30"/>
  <c r="BT317" i="30"/>
  <c r="BT318" i="30"/>
  <c r="BT319" i="30"/>
  <c r="BT320" i="30"/>
  <c r="BT321" i="30"/>
  <c r="BT322" i="30"/>
  <c r="BT323" i="30"/>
  <c r="BT324" i="30"/>
  <c r="BT325" i="30"/>
  <c r="BT326" i="30"/>
  <c r="BT327" i="30"/>
  <c r="BT328" i="30"/>
  <c r="BT329" i="30"/>
  <c r="BT330" i="30"/>
  <c r="BT331" i="30"/>
  <c r="BT332" i="30"/>
  <c r="BT333" i="30"/>
  <c r="BT334" i="30"/>
  <c r="BT335" i="30"/>
  <c r="BT336" i="30"/>
  <c r="BT337" i="30"/>
  <c r="BT338" i="30"/>
  <c r="BT339" i="30"/>
  <c r="BT340" i="30"/>
  <c r="BT341" i="30"/>
  <c r="BT342" i="30"/>
  <c r="BT343" i="30"/>
  <c r="BT344" i="30"/>
  <c r="BT345" i="30"/>
  <c r="BT346" i="30"/>
  <c r="BT347" i="30"/>
  <c r="BT348" i="30"/>
  <c r="BT349" i="30"/>
  <c r="BT350" i="30"/>
  <c r="BT351" i="30"/>
  <c r="BT352" i="30"/>
  <c r="BT353" i="30"/>
  <c r="BT354" i="30"/>
  <c r="BT355" i="30"/>
  <c r="BT356" i="30"/>
  <c r="BT357" i="30"/>
  <c r="BT358" i="30"/>
  <c r="BT359" i="30"/>
  <c r="BT360" i="30"/>
  <c r="BT361" i="30"/>
  <c r="BT362" i="30"/>
  <c r="BT363" i="30"/>
  <c r="BT364" i="30"/>
  <c r="BT365" i="30"/>
  <c r="BT366" i="30"/>
  <c r="BT367" i="30"/>
  <c r="BT368" i="30"/>
  <c r="BT369" i="30"/>
  <c r="BT370" i="30"/>
  <c r="BT371" i="30"/>
  <c r="BT372" i="30"/>
  <c r="BT373" i="30"/>
  <c r="BT374" i="30"/>
  <c r="BT375" i="30"/>
  <c r="BT376" i="30"/>
  <c r="BT377" i="30"/>
  <c r="BT378" i="30"/>
  <c r="BT379" i="30"/>
  <c r="BT380" i="30"/>
  <c r="BT381" i="30"/>
  <c r="BT382" i="30"/>
  <c r="BT383" i="30"/>
  <c r="BT384" i="30"/>
  <c r="BT385" i="30"/>
  <c r="BT386" i="30"/>
  <c r="BT387" i="30"/>
  <c r="BT388" i="30"/>
  <c r="BT389" i="30"/>
  <c r="BT390" i="30"/>
  <c r="BT391" i="30"/>
  <c r="BT392" i="30"/>
  <c r="BT393" i="30"/>
  <c r="BT394" i="30"/>
  <c r="BT395" i="30"/>
  <c r="BT396" i="30"/>
  <c r="BT397" i="30"/>
  <c r="BT398" i="30"/>
  <c r="BT399" i="30"/>
  <c r="BT400" i="30"/>
  <c r="BT401" i="30"/>
  <c r="BT402" i="30"/>
  <c r="BT403" i="30"/>
  <c r="BT404" i="30"/>
  <c r="BT405" i="30"/>
  <c r="BT406" i="30"/>
  <c r="BT407" i="30"/>
  <c r="BT408" i="30"/>
  <c r="BT409" i="30"/>
  <c r="BT410" i="30"/>
  <c r="BT411" i="30"/>
  <c r="BT412" i="30"/>
  <c r="BT413" i="30"/>
  <c r="BT414" i="30"/>
  <c r="BT415" i="30"/>
  <c r="BT416" i="30"/>
  <c r="BT417" i="30"/>
  <c r="BT418" i="30"/>
  <c r="BT419" i="30"/>
  <c r="BT420" i="30"/>
  <c r="BT421" i="30"/>
  <c r="BT422" i="30"/>
  <c r="BT423" i="30"/>
  <c r="BT424" i="30"/>
  <c r="BT425" i="30"/>
  <c r="BT426" i="30"/>
  <c r="BT427" i="30"/>
  <c r="BT428" i="30"/>
  <c r="BT429" i="30"/>
  <c r="BT430" i="30"/>
  <c r="BT431" i="30"/>
  <c r="BT432" i="30"/>
  <c r="BT433" i="30"/>
  <c r="BT434" i="30"/>
  <c r="BT435" i="30"/>
  <c r="BT436" i="30"/>
  <c r="BT437" i="30"/>
  <c r="BT438" i="30"/>
  <c r="BT439" i="30"/>
  <c r="BT440" i="30"/>
  <c r="BT441" i="30"/>
  <c r="BT442" i="30"/>
  <c r="BT443" i="30"/>
  <c r="BT444" i="30"/>
  <c r="BT445" i="30"/>
  <c r="BT446" i="30"/>
  <c r="BT447" i="30"/>
  <c r="BT448" i="30"/>
  <c r="BT449" i="30"/>
  <c r="BT450" i="30"/>
  <c r="BT451" i="30"/>
  <c r="BT452" i="30"/>
  <c r="BT453" i="30"/>
  <c r="BT454" i="30"/>
  <c r="BT455" i="30"/>
  <c r="BT456" i="30"/>
  <c r="BT457" i="30"/>
  <c r="BT458" i="30"/>
  <c r="BT459" i="30"/>
  <c r="BT460" i="30"/>
  <c r="BT461" i="30"/>
  <c r="BT462" i="30"/>
  <c r="BT463" i="30"/>
  <c r="BT464" i="30"/>
  <c r="BT465" i="30"/>
  <c r="BT466" i="30"/>
  <c r="BT467" i="30"/>
  <c r="BT468" i="30"/>
  <c r="BT469" i="30"/>
  <c r="BT470" i="30"/>
  <c r="BT471" i="30"/>
  <c r="BT472" i="30"/>
  <c r="BT473" i="30"/>
  <c r="BT474" i="30"/>
  <c r="BT475" i="30"/>
  <c r="BT476" i="30"/>
  <c r="BT477" i="30"/>
  <c r="BT478" i="30"/>
  <c r="BT479" i="30"/>
  <c r="BT480" i="30"/>
  <c r="BT481" i="30"/>
  <c r="BT482" i="30"/>
  <c r="BT483" i="30"/>
  <c r="BT484" i="30"/>
  <c r="BT485" i="30"/>
  <c r="BT486" i="30"/>
  <c r="BT487" i="30"/>
  <c r="BT488" i="30"/>
  <c r="BT489" i="30"/>
  <c r="BT490" i="30"/>
  <c r="BT491" i="30"/>
  <c r="BT492" i="30"/>
  <c r="BT493" i="30"/>
  <c r="BT494" i="30"/>
  <c r="BT495" i="30"/>
  <c r="BT496" i="30"/>
  <c r="BT497" i="30"/>
  <c r="BT498" i="30"/>
  <c r="BT499" i="30"/>
  <c r="BT500" i="30"/>
  <c r="BT501" i="30"/>
  <c r="BT502" i="30"/>
  <c r="BT503" i="30"/>
  <c r="BT504" i="30"/>
  <c r="BT505" i="30"/>
  <c r="BT506" i="30"/>
  <c r="BT507" i="30"/>
  <c r="BT508" i="30"/>
  <c r="BT509" i="30"/>
  <c r="BT510" i="30"/>
  <c r="BT511" i="30"/>
  <c r="BT512" i="30"/>
  <c r="BT513" i="30"/>
  <c r="BT514" i="30"/>
  <c r="BT515" i="30"/>
  <c r="BT516" i="30"/>
  <c r="BT517" i="30"/>
  <c r="BT518" i="30"/>
  <c r="BT519" i="30"/>
  <c r="BT520" i="30"/>
  <c r="BT521" i="30"/>
  <c r="BT522" i="30"/>
  <c r="BT523" i="30"/>
  <c r="BT524" i="30"/>
  <c r="BT525" i="30"/>
  <c r="BT526" i="30"/>
  <c r="BT527" i="30"/>
  <c r="BT528" i="30"/>
  <c r="BT529" i="30"/>
  <c r="BT530" i="30"/>
  <c r="BT531" i="30"/>
  <c r="BT532" i="30"/>
  <c r="BT533" i="30"/>
  <c r="BT534" i="30"/>
  <c r="BT535" i="30"/>
  <c r="BT536" i="30"/>
  <c r="BT537" i="30"/>
  <c r="BT538" i="30"/>
  <c r="BT539" i="30"/>
  <c r="BT540" i="30"/>
  <c r="BT541" i="30"/>
  <c r="BT542" i="30"/>
  <c r="BT543" i="30"/>
  <c r="BT544" i="30"/>
  <c r="BT545" i="30"/>
  <c r="BT546" i="30"/>
  <c r="BT547" i="30"/>
  <c r="BT548" i="30"/>
  <c r="BT549" i="30"/>
  <c r="BT550" i="30"/>
  <c r="BT551" i="30"/>
  <c r="BT552" i="30"/>
  <c r="BT553" i="30"/>
  <c r="BT554" i="30"/>
  <c r="BT555" i="30"/>
  <c r="BT556" i="30"/>
  <c r="BT557" i="30"/>
  <c r="BT558" i="30"/>
  <c r="BT559" i="30"/>
  <c r="BT560" i="30"/>
  <c r="BT561" i="30"/>
  <c r="BT562" i="30"/>
  <c r="BT563" i="30"/>
  <c r="BT564" i="30"/>
  <c r="BT565" i="30"/>
  <c r="BT566" i="30"/>
  <c r="BT567" i="30"/>
  <c r="BT568" i="30"/>
  <c r="BT569" i="30"/>
  <c r="BT570" i="30"/>
  <c r="BT571" i="30"/>
  <c r="BT572" i="30"/>
  <c r="BT573" i="30"/>
  <c r="BT574" i="30"/>
  <c r="BT575" i="30"/>
  <c r="BT576" i="30"/>
  <c r="BT577" i="30"/>
  <c r="BT578" i="30"/>
  <c r="BT579" i="30"/>
  <c r="BT580" i="30"/>
  <c r="BT581" i="30"/>
  <c r="BT582" i="30"/>
  <c r="BT583" i="30"/>
  <c r="BT584" i="30"/>
  <c r="BT585" i="30"/>
  <c r="BT586" i="30"/>
  <c r="BT587" i="30"/>
  <c r="BT588" i="30"/>
  <c r="BT4" i="30"/>
  <c r="BS5" i="30"/>
  <c r="BS6" i="30"/>
  <c r="BS7" i="30"/>
  <c r="BS8" i="30"/>
  <c r="BS9" i="30"/>
  <c r="BS10" i="30"/>
  <c r="BS11" i="30"/>
  <c r="BS12" i="30"/>
  <c r="BS13" i="30"/>
  <c r="BS14" i="30"/>
  <c r="BS15" i="30"/>
  <c r="BS16" i="30"/>
  <c r="BS17" i="30"/>
  <c r="BS18" i="30"/>
  <c r="BS19" i="30"/>
  <c r="BS20" i="30"/>
  <c r="BS21" i="30"/>
  <c r="BS22" i="30"/>
  <c r="BS23" i="30"/>
  <c r="BS24" i="30"/>
  <c r="BS25" i="30"/>
  <c r="BS26" i="30"/>
  <c r="BS27" i="30"/>
  <c r="BS28" i="30"/>
  <c r="BS29" i="30"/>
  <c r="BS30" i="30"/>
  <c r="BS31" i="30"/>
  <c r="BS32" i="30"/>
  <c r="BS33" i="30"/>
  <c r="BS34" i="30"/>
  <c r="BS35" i="30"/>
  <c r="BS36" i="30"/>
  <c r="BS37" i="30"/>
  <c r="BS38" i="30"/>
  <c r="BS39" i="30"/>
  <c r="BS40" i="30"/>
  <c r="BS41" i="30"/>
  <c r="BS42" i="30"/>
  <c r="BS43" i="30"/>
  <c r="BS44" i="30"/>
  <c r="BS45" i="30"/>
  <c r="BS46" i="30"/>
  <c r="BS47" i="30"/>
  <c r="BS48" i="30"/>
  <c r="BS49" i="30"/>
  <c r="BS50" i="30"/>
  <c r="BS51" i="30"/>
  <c r="BS52" i="30"/>
  <c r="BS53" i="30"/>
  <c r="BS54" i="30"/>
  <c r="BS55" i="30"/>
  <c r="BS56" i="30"/>
  <c r="BS57" i="30"/>
  <c r="BS58" i="30"/>
  <c r="BS59" i="30"/>
  <c r="BS60" i="30"/>
  <c r="BS61" i="30"/>
  <c r="BS62" i="30"/>
  <c r="BS63" i="30"/>
  <c r="BS64" i="30"/>
  <c r="BS65" i="30"/>
  <c r="BS66" i="30"/>
  <c r="BS67" i="30"/>
  <c r="BS68" i="30"/>
  <c r="BS69" i="30"/>
  <c r="BS70" i="30"/>
  <c r="BS71" i="30"/>
  <c r="BS72" i="30"/>
  <c r="BS73" i="30"/>
  <c r="BS74" i="30"/>
  <c r="BS75" i="30"/>
  <c r="BS76" i="30"/>
  <c r="BS77" i="30"/>
  <c r="BS78" i="30"/>
  <c r="BS79" i="30"/>
  <c r="BS80" i="30"/>
  <c r="BS81" i="30"/>
  <c r="BS82" i="30"/>
  <c r="BS83" i="30"/>
  <c r="BS84" i="30"/>
  <c r="BS85" i="30"/>
  <c r="BS86" i="30"/>
  <c r="BS87" i="30"/>
  <c r="BS88" i="30"/>
  <c r="BS89" i="30"/>
  <c r="BS90" i="30"/>
  <c r="BS91" i="30"/>
  <c r="BS92" i="30"/>
  <c r="BS93" i="30"/>
  <c r="BS94" i="30"/>
  <c r="BS95" i="30"/>
  <c r="BS96" i="30"/>
  <c r="BS97" i="30"/>
  <c r="BS98" i="30"/>
  <c r="BS99" i="30"/>
  <c r="BS100" i="30"/>
  <c r="BS101" i="30"/>
  <c r="BS102" i="30"/>
  <c r="BS103" i="30"/>
  <c r="BS104" i="30"/>
  <c r="BS105" i="30"/>
  <c r="BS106" i="30"/>
  <c r="BS107" i="30"/>
  <c r="BS108" i="30"/>
  <c r="BS109" i="30"/>
  <c r="BS110" i="30"/>
  <c r="BS111" i="30"/>
  <c r="BS112" i="30"/>
  <c r="BS113" i="30"/>
  <c r="BS114" i="30"/>
  <c r="BS115" i="30"/>
  <c r="BS116" i="30"/>
  <c r="BS117" i="30"/>
  <c r="BS118" i="30"/>
  <c r="BS119" i="30"/>
  <c r="BS120" i="30"/>
  <c r="BS121" i="30"/>
  <c r="BS122" i="30"/>
  <c r="BS123" i="30"/>
  <c r="BS124" i="30"/>
  <c r="BS125" i="30"/>
  <c r="BS126" i="30"/>
  <c r="BS127" i="30"/>
  <c r="BS128" i="30"/>
  <c r="BS129" i="30"/>
  <c r="BS130" i="30"/>
  <c r="BS131" i="30"/>
  <c r="BS132" i="30"/>
  <c r="BS133" i="30"/>
  <c r="BS134" i="30"/>
  <c r="BS135" i="30"/>
  <c r="BS136" i="30"/>
  <c r="BS137" i="30"/>
  <c r="BS138" i="30"/>
  <c r="BS139" i="30"/>
  <c r="BS140" i="30"/>
  <c r="BS141" i="30"/>
  <c r="BS142" i="30"/>
  <c r="BS143" i="30"/>
  <c r="BS144" i="30"/>
  <c r="BS145" i="30"/>
  <c r="BS146" i="30"/>
  <c r="BS147" i="30"/>
  <c r="BS148" i="30"/>
  <c r="BS149" i="30"/>
  <c r="BS150" i="30"/>
  <c r="BS151" i="30"/>
  <c r="BS152" i="30"/>
  <c r="BS153" i="30"/>
  <c r="BS154" i="30"/>
  <c r="BS155" i="30"/>
  <c r="BS156" i="30"/>
  <c r="BS157" i="30"/>
  <c r="BS158" i="30"/>
  <c r="BS159" i="30"/>
  <c r="BS160" i="30"/>
  <c r="BS161" i="30"/>
  <c r="BS162" i="30"/>
  <c r="BS163" i="30"/>
  <c r="BS164" i="30"/>
  <c r="BS165" i="30"/>
  <c r="BS166" i="30"/>
  <c r="BS167" i="30"/>
  <c r="BS168" i="30"/>
  <c r="BS169" i="30"/>
  <c r="BS170" i="30"/>
  <c r="BS171" i="30"/>
  <c r="BS172" i="30"/>
  <c r="BS173" i="30"/>
  <c r="BS174" i="30"/>
  <c r="BS175" i="30"/>
  <c r="BS176" i="30"/>
  <c r="BS177" i="30"/>
  <c r="BS178" i="30"/>
  <c r="BS179" i="30"/>
  <c r="BS180" i="30"/>
  <c r="BS181" i="30"/>
  <c r="BS182" i="30"/>
  <c r="BS183" i="30"/>
  <c r="BS184" i="30"/>
  <c r="BS185" i="30"/>
  <c r="BS186" i="30"/>
  <c r="BS187" i="30"/>
  <c r="BS188" i="30"/>
  <c r="BS189" i="30"/>
  <c r="BS190" i="30"/>
  <c r="BS191" i="30"/>
  <c r="BS192" i="30"/>
  <c r="BS193" i="30"/>
  <c r="BS194" i="30"/>
  <c r="BS195" i="30"/>
  <c r="BS196" i="30"/>
  <c r="BS197" i="30"/>
  <c r="BS198" i="30"/>
  <c r="BS199" i="30"/>
  <c r="BS200" i="30"/>
  <c r="BS201" i="30"/>
  <c r="BS202" i="30"/>
  <c r="BS203" i="30"/>
  <c r="BS204" i="30"/>
  <c r="BS205" i="30"/>
  <c r="BS206" i="30"/>
  <c r="BS207" i="30"/>
  <c r="BS208" i="30"/>
  <c r="BS209" i="30"/>
  <c r="BS210" i="30"/>
  <c r="BS211" i="30"/>
  <c r="BS212" i="30"/>
  <c r="BS213" i="30"/>
  <c r="BS214" i="30"/>
  <c r="BS215" i="30"/>
  <c r="BS216" i="30"/>
  <c r="BS217" i="30"/>
  <c r="BS218" i="30"/>
  <c r="BS219" i="30"/>
  <c r="BS220" i="30"/>
  <c r="BS221" i="30"/>
  <c r="BS222" i="30"/>
  <c r="BS223" i="30"/>
  <c r="BS224" i="30"/>
  <c r="BS225" i="30"/>
  <c r="BS226" i="30"/>
  <c r="BS227" i="30"/>
  <c r="BS228" i="30"/>
  <c r="BS229" i="30"/>
  <c r="BS230" i="30"/>
  <c r="BS231" i="30"/>
  <c r="BS232" i="30"/>
  <c r="BS233" i="30"/>
  <c r="BS234" i="30"/>
  <c r="BS235" i="30"/>
  <c r="BS236" i="30"/>
  <c r="BS237" i="30"/>
  <c r="BS238" i="30"/>
  <c r="BS239" i="30"/>
  <c r="BS240" i="30"/>
  <c r="BS241" i="30"/>
  <c r="BS242" i="30"/>
  <c r="BS243" i="30"/>
  <c r="BS244" i="30"/>
  <c r="BS245" i="30"/>
  <c r="BS246" i="30"/>
  <c r="BS247" i="30"/>
  <c r="BS248" i="30"/>
  <c r="BS249" i="30"/>
  <c r="BS250" i="30"/>
  <c r="BS251" i="30"/>
  <c r="BS252" i="30"/>
  <c r="BS253" i="30"/>
  <c r="BS254" i="30"/>
  <c r="BS255" i="30"/>
  <c r="BS256" i="30"/>
  <c r="BS257" i="30"/>
  <c r="BS258" i="30"/>
  <c r="BS259" i="30"/>
  <c r="BS260" i="30"/>
  <c r="BS261" i="30"/>
  <c r="BS262" i="30"/>
  <c r="BS263" i="30"/>
  <c r="BS264" i="30"/>
  <c r="BS265" i="30"/>
  <c r="BS266" i="30"/>
  <c r="BS267" i="30"/>
  <c r="BS268" i="30"/>
  <c r="BS269" i="30"/>
  <c r="BS270" i="30"/>
  <c r="BS271" i="30"/>
  <c r="BS272" i="30"/>
  <c r="BS273" i="30"/>
  <c r="BS274" i="30"/>
  <c r="BS275" i="30"/>
  <c r="BS276" i="30"/>
  <c r="BS277" i="30"/>
  <c r="BS278" i="30"/>
  <c r="BS279" i="30"/>
  <c r="BS280" i="30"/>
  <c r="BS281" i="30"/>
  <c r="BS282" i="30"/>
  <c r="BS283" i="30"/>
  <c r="BS284" i="30"/>
  <c r="BS285" i="30"/>
  <c r="BS286" i="30"/>
  <c r="BS287" i="30"/>
  <c r="BS288" i="30"/>
  <c r="BS289" i="30"/>
  <c r="BS290" i="30"/>
  <c r="BS291" i="30"/>
  <c r="BS292" i="30"/>
  <c r="BS293" i="30"/>
  <c r="BS294" i="30"/>
  <c r="BS295" i="30"/>
  <c r="BS296" i="30"/>
  <c r="BS297" i="30"/>
  <c r="BS298" i="30"/>
  <c r="BS299" i="30"/>
  <c r="BS300" i="30"/>
  <c r="BS301" i="30"/>
  <c r="BS302" i="30"/>
  <c r="BS303" i="30"/>
  <c r="BS304" i="30"/>
  <c r="BS305" i="30"/>
  <c r="BS306" i="30"/>
  <c r="BS307" i="30"/>
  <c r="BS308" i="30"/>
  <c r="BS309" i="30"/>
  <c r="BS310" i="30"/>
  <c r="BS311" i="30"/>
  <c r="BS312" i="30"/>
  <c r="BS313" i="30"/>
  <c r="BS314" i="30"/>
  <c r="BS315" i="30"/>
  <c r="BS316" i="30"/>
  <c r="BS317" i="30"/>
  <c r="BS318" i="30"/>
  <c r="BS319" i="30"/>
  <c r="BS320" i="30"/>
  <c r="BS321" i="30"/>
  <c r="BS322" i="30"/>
  <c r="BS323" i="30"/>
  <c r="BS324" i="30"/>
  <c r="BS325" i="30"/>
  <c r="BS326" i="30"/>
  <c r="BS327" i="30"/>
  <c r="BS328" i="30"/>
  <c r="BS329" i="30"/>
  <c r="BS330" i="30"/>
  <c r="BS331" i="30"/>
  <c r="BS332" i="30"/>
  <c r="BS333" i="30"/>
  <c r="BS334" i="30"/>
  <c r="BS335" i="30"/>
  <c r="BS336" i="30"/>
  <c r="BS337" i="30"/>
  <c r="BS338" i="30"/>
  <c r="BS339" i="30"/>
  <c r="BS340" i="30"/>
  <c r="BS341" i="30"/>
  <c r="BS342" i="30"/>
  <c r="BS343" i="30"/>
  <c r="BS344" i="30"/>
  <c r="BS345" i="30"/>
  <c r="BS346" i="30"/>
  <c r="BS347" i="30"/>
  <c r="BS348" i="30"/>
  <c r="BS349" i="30"/>
  <c r="BS350" i="30"/>
  <c r="BS351" i="30"/>
  <c r="BS352" i="30"/>
  <c r="BS353" i="30"/>
  <c r="BS354" i="30"/>
  <c r="BS355" i="30"/>
  <c r="BS356" i="30"/>
  <c r="BS357" i="30"/>
  <c r="BS358" i="30"/>
  <c r="BS359" i="30"/>
  <c r="BS360" i="30"/>
  <c r="BS361" i="30"/>
  <c r="BS362" i="30"/>
  <c r="BS363" i="30"/>
  <c r="BS364" i="30"/>
  <c r="BS365" i="30"/>
  <c r="BS366" i="30"/>
  <c r="BS367" i="30"/>
  <c r="BS368" i="30"/>
  <c r="BS369" i="30"/>
  <c r="BS370" i="30"/>
  <c r="BS371" i="30"/>
  <c r="BS372" i="30"/>
  <c r="BS373" i="30"/>
  <c r="BS374" i="30"/>
  <c r="BS375" i="30"/>
  <c r="BS376" i="30"/>
  <c r="BS377" i="30"/>
  <c r="BS378" i="30"/>
  <c r="BS379" i="30"/>
  <c r="BS380" i="30"/>
  <c r="BS381" i="30"/>
  <c r="BS382" i="30"/>
  <c r="BS383" i="30"/>
  <c r="BS384" i="30"/>
  <c r="BS385" i="30"/>
  <c r="BS386" i="30"/>
  <c r="BS387" i="30"/>
  <c r="BS388" i="30"/>
  <c r="BS389" i="30"/>
  <c r="BS390" i="30"/>
  <c r="BS391" i="30"/>
  <c r="BS392" i="30"/>
  <c r="BS393" i="30"/>
  <c r="BS394" i="30"/>
  <c r="BS395" i="30"/>
  <c r="BS396" i="30"/>
  <c r="BS397" i="30"/>
  <c r="BS398" i="30"/>
  <c r="BS399" i="30"/>
  <c r="BS400" i="30"/>
  <c r="BS401" i="30"/>
  <c r="BS402" i="30"/>
  <c r="BS403" i="30"/>
  <c r="BS404" i="30"/>
  <c r="BS405" i="30"/>
  <c r="BS406" i="30"/>
  <c r="BS407" i="30"/>
  <c r="BS408" i="30"/>
  <c r="BS409" i="30"/>
  <c r="BS410" i="30"/>
  <c r="BS411" i="30"/>
  <c r="BS412" i="30"/>
  <c r="BS413" i="30"/>
  <c r="BS414" i="30"/>
  <c r="BS415" i="30"/>
  <c r="BS416" i="30"/>
  <c r="BS417" i="30"/>
  <c r="BS418" i="30"/>
  <c r="BS419" i="30"/>
  <c r="BS420" i="30"/>
  <c r="BS421" i="30"/>
  <c r="BS422" i="30"/>
  <c r="BS423" i="30"/>
  <c r="BS424" i="30"/>
  <c r="BS425" i="30"/>
  <c r="BS426" i="30"/>
  <c r="BS427" i="30"/>
  <c r="BS428" i="30"/>
  <c r="BS429" i="30"/>
  <c r="BS430" i="30"/>
  <c r="BS431" i="30"/>
  <c r="BS432" i="30"/>
  <c r="BS433" i="30"/>
  <c r="BS434" i="30"/>
  <c r="BS435" i="30"/>
  <c r="BS436" i="30"/>
  <c r="BS437" i="30"/>
  <c r="BS438" i="30"/>
  <c r="BS439" i="30"/>
  <c r="BS440" i="30"/>
  <c r="BS441" i="30"/>
  <c r="BS442" i="30"/>
  <c r="BS443" i="30"/>
  <c r="BS444" i="30"/>
  <c r="BS445" i="30"/>
  <c r="BS446" i="30"/>
  <c r="BS447" i="30"/>
  <c r="BS448" i="30"/>
  <c r="BS449" i="30"/>
  <c r="BS450" i="30"/>
  <c r="BS451" i="30"/>
  <c r="BS452" i="30"/>
  <c r="BS453" i="30"/>
  <c r="BS454" i="30"/>
  <c r="BS455" i="30"/>
  <c r="BS456" i="30"/>
  <c r="BS457" i="30"/>
  <c r="BS458" i="30"/>
  <c r="BS459" i="30"/>
  <c r="BS460" i="30"/>
  <c r="BS461" i="30"/>
  <c r="BS462" i="30"/>
  <c r="BS463" i="30"/>
  <c r="BS464" i="30"/>
  <c r="BS465" i="30"/>
  <c r="BS466" i="30"/>
  <c r="BS467" i="30"/>
  <c r="BS468" i="30"/>
  <c r="BS469" i="30"/>
  <c r="BS470" i="30"/>
  <c r="BS471" i="30"/>
  <c r="BS472" i="30"/>
  <c r="BS473" i="30"/>
  <c r="BS474" i="30"/>
  <c r="BS475" i="30"/>
  <c r="BS476" i="30"/>
  <c r="BS477" i="30"/>
  <c r="BS478" i="30"/>
  <c r="BS479" i="30"/>
  <c r="BS480" i="30"/>
  <c r="BS481" i="30"/>
  <c r="BS482" i="30"/>
  <c r="BS483" i="30"/>
  <c r="BS484" i="30"/>
  <c r="BS485" i="30"/>
  <c r="BS486" i="30"/>
  <c r="BS487" i="30"/>
  <c r="BS488" i="30"/>
  <c r="BS489" i="30"/>
  <c r="BS490" i="30"/>
  <c r="BS491" i="30"/>
  <c r="BS492" i="30"/>
  <c r="BS493" i="30"/>
  <c r="BS494" i="30"/>
  <c r="BS495" i="30"/>
  <c r="BS496" i="30"/>
  <c r="BS497" i="30"/>
  <c r="BS498" i="30"/>
  <c r="BS499" i="30"/>
  <c r="BS500" i="30"/>
  <c r="BS501" i="30"/>
  <c r="BS502" i="30"/>
  <c r="BS503" i="30"/>
  <c r="BS504" i="30"/>
  <c r="BS505" i="30"/>
  <c r="BS506" i="30"/>
  <c r="BS507" i="30"/>
  <c r="BS508" i="30"/>
  <c r="BS509" i="30"/>
  <c r="BS510" i="30"/>
  <c r="BS511" i="30"/>
  <c r="BS512" i="30"/>
  <c r="BS513" i="30"/>
  <c r="BS514" i="30"/>
  <c r="BS515" i="30"/>
  <c r="BS516" i="30"/>
  <c r="BS517" i="30"/>
  <c r="BS518" i="30"/>
  <c r="BS519" i="30"/>
  <c r="BS520" i="30"/>
  <c r="BS521" i="30"/>
  <c r="BS522" i="30"/>
  <c r="BS523" i="30"/>
  <c r="BS524" i="30"/>
  <c r="BS525" i="30"/>
  <c r="BS526" i="30"/>
  <c r="BS527" i="30"/>
  <c r="BS528" i="30"/>
  <c r="BS529" i="30"/>
  <c r="BS530" i="30"/>
  <c r="BS531" i="30"/>
  <c r="BS532" i="30"/>
  <c r="BS533" i="30"/>
  <c r="BS534" i="30"/>
  <c r="BS535" i="30"/>
  <c r="BS536" i="30"/>
  <c r="BS537" i="30"/>
  <c r="BS538" i="30"/>
  <c r="BS539" i="30"/>
  <c r="BS540" i="30"/>
  <c r="BS541" i="30"/>
  <c r="BS542" i="30"/>
  <c r="BS543" i="30"/>
  <c r="BS544" i="30"/>
  <c r="BS545" i="30"/>
  <c r="BS546" i="30"/>
  <c r="BS547" i="30"/>
  <c r="BS548" i="30"/>
  <c r="BS549" i="30"/>
  <c r="BS550" i="30"/>
  <c r="BS551" i="30"/>
  <c r="BS552" i="30"/>
  <c r="BS553" i="30"/>
  <c r="BS554" i="30"/>
  <c r="BS555" i="30"/>
  <c r="BS556" i="30"/>
  <c r="BS557" i="30"/>
  <c r="BS558" i="30"/>
  <c r="BS559" i="30"/>
  <c r="BS560" i="30"/>
  <c r="BS561" i="30"/>
  <c r="BS562" i="30"/>
  <c r="BS563" i="30"/>
  <c r="BS564" i="30"/>
  <c r="BS565" i="30"/>
  <c r="BS566" i="30"/>
  <c r="BS567" i="30"/>
  <c r="BS568" i="30"/>
  <c r="BS569" i="30"/>
  <c r="BS570" i="30"/>
  <c r="BS571" i="30"/>
  <c r="BS572" i="30"/>
  <c r="BS573" i="30"/>
  <c r="BS574" i="30"/>
  <c r="BS575" i="30"/>
  <c r="BS576" i="30"/>
  <c r="BS577" i="30"/>
  <c r="BS578" i="30"/>
  <c r="BS579" i="30"/>
  <c r="BS580" i="30"/>
  <c r="BS581" i="30"/>
  <c r="BS582" i="30"/>
  <c r="BS583" i="30"/>
  <c r="BS584" i="30"/>
  <c r="BS585" i="30"/>
  <c r="BS586" i="30"/>
  <c r="BS587" i="30"/>
  <c r="BS588" i="30"/>
  <c r="BS4" i="30"/>
  <c r="BU547" i="30" l="1"/>
  <c r="BV547" i="30" s="1"/>
  <c r="BW547" i="30" s="1"/>
  <c r="BU499" i="30"/>
  <c r="BV499" i="30" s="1"/>
  <c r="BW499" i="30" s="1"/>
  <c r="BU483" i="30"/>
  <c r="BV483" i="30" s="1"/>
  <c r="BW483" i="30" s="1"/>
  <c r="BU451" i="30"/>
  <c r="BV451" i="30" s="1"/>
  <c r="BW451" i="30" s="1"/>
  <c r="BU387" i="30"/>
  <c r="BV387" i="30" s="1"/>
  <c r="BW387" i="30" s="1"/>
  <c r="BU551" i="30"/>
  <c r="BV551" i="30" s="1"/>
  <c r="BW551" i="30" s="1"/>
  <c r="BU535" i="30"/>
  <c r="BV535" i="30" s="1"/>
  <c r="BW535" i="30" s="1"/>
  <c r="BU503" i="30"/>
  <c r="BV503" i="30" s="1"/>
  <c r="BW503" i="30" s="1"/>
  <c r="BU487" i="30"/>
  <c r="BV487" i="30" s="1"/>
  <c r="BW487" i="30" s="1"/>
  <c r="BU550" i="30"/>
  <c r="BV550" i="30" s="1"/>
  <c r="BW550" i="30" s="1"/>
  <c r="BU534" i="30"/>
  <c r="BV534" i="30" s="1"/>
  <c r="BW534" i="30" s="1"/>
  <c r="BU502" i="30"/>
  <c r="BV502" i="30" s="1"/>
  <c r="BW502" i="30" s="1"/>
  <c r="BU486" i="30"/>
  <c r="BV486" i="30" s="1"/>
  <c r="BW486" i="30" s="1"/>
  <c r="BU552" i="30"/>
  <c r="BV552" i="30" s="1"/>
  <c r="BW552" i="30" s="1"/>
  <c r="BU536" i="30"/>
  <c r="BV536" i="30" s="1"/>
  <c r="BW536" i="30" s="1"/>
  <c r="BU504" i="30"/>
  <c r="BV504" i="30" s="1"/>
  <c r="BW504" i="30" s="1"/>
  <c r="BU488" i="30"/>
  <c r="BV488" i="30" s="1"/>
  <c r="BW488" i="30" s="1"/>
  <c r="BU424" i="30"/>
  <c r="BV424" i="30" s="1"/>
  <c r="BW424" i="30" s="1"/>
  <c r="BU555" i="30"/>
  <c r="BV555" i="30" s="1"/>
  <c r="BW555" i="30" s="1"/>
  <c r="BU539" i="30"/>
  <c r="BV539" i="30" s="1"/>
  <c r="BW539" i="30" s="1"/>
  <c r="BU507" i="30"/>
  <c r="BV507" i="30" s="1"/>
  <c r="BW507" i="30" s="1"/>
  <c r="BU475" i="30"/>
  <c r="BV475" i="30" s="1"/>
  <c r="BW475" i="30" s="1"/>
  <c r="BU443" i="30"/>
  <c r="BV443" i="30" s="1"/>
  <c r="BW443" i="30" s="1"/>
  <c r="BU427" i="30"/>
  <c r="BV427" i="30" s="1"/>
  <c r="BW427" i="30" s="1"/>
  <c r="BU554" i="30"/>
  <c r="BV554" i="30" s="1"/>
  <c r="BW554" i="30" s="1"/>
  <c r="BU538" i="30"/>
  <c r="BV538" i="30" s="1"/>
  <c r="BW538" i="30" s="1"/>
  <c r="BU474" i="30"/>
  <c r="BV474" i="30" s="1"/>
  <c r="BW474" i="30" s="1"/>
  <c r="BU426" i="30"/>
  <c r="BV426" i="30" s="1"/>
  <c r="BW426" i="30" s="1"/>
  <c r="BU379" i="30"/>
  <c r="BV379" i="30" s="1"/>
  <c r="BW379" i="30" s="1"/>
  <c r="BU491" i="30"/>
  <c r="BV491" i="30" s="1"/>
  <c r="BW491" i="30" s="1"/>
  <c r="BU548" i="30"/>
  <c r="BV548" i="30" s="1"/>
  <c r="BW548" i="30" s="1"/>
  <c r="BU500" i="30"/>
  <c r="BV500" i="30" s="1"/>
  <c r="BW500" i="30" s="1"/>
  <c r="BU484" i="30"/>
  <c r="BV484" i="30" s="1"/>
  <c r="BW484" i="30" s="1"/>
  <c r="BU452" i="30"/>
  <c r="BV452" i="30" s="1"/>
  <c r="BW452" i="30" s="1"/>
  <c r="BU388" i="30"/>
  <c r="BV388" i="30" s="1"/>
  <c r="BW388" i="30" s="1"/>
  <c r="BU543" i="30"/>
  <c r="BV543" i="30" s="1"/>
  <c r="BW543" i="30" s="1"/>
  <c r="BU495" i="30"/>
  <c r="BV495" i="30" s="1"/>
  <c r="BW495" i="30" s="1"/>
  <c r="BU479" i="30"/>
  <c r="BV479" i="30" s="1"/>
  <c r="BW479" i="30" s="1"/>
  <c r="BU431" i="30"/>
  <c r="BV431" i="30" s="1"/>
  <c r="BW431" i="30" s="1"/>
  <c r="BU383" i="30"/>
  <c r="BV383" i="30" s="1"/>
  <c r="BW383" i="30" s="1"/>
  <c r="BU447" i="30"/>
  <c r="BV447" i="30" s="1"/>
  <c r="BW447" i="30" s="1"/>
  <c r="BU559" i="30"/>
  <c r="BV559" i="30" s="1"/>
  <c r="BW559" i="30" s="1"/>
  <c r="BU540" i="30"/>
  <c r="BV540" i="30" s="1"/>
  <c r="BW540" i="30" s="1"/>
  <c r="BU508" i="30"/>
  <c r="BV508" i="30" s="1"/>
  <c r="BW508" i="30" s="1"/>
  <c r="BU492" i="30"/>
  <c r="BV492" i="30" s="1"/>
  <c r="BW492" i="30" s="1"/>
  <c r="BU476" i="30"/>
  <c r="BV476" i="30" s="1"/>
  <c r="BW476" i="30" s="1"/>
  <c r="BU444" i="30"/>
  <c r="BV444" i="30" s="1"/>
  <c r="BW444" i="30" s="1"/>
  <c r="BU428" i="30"/>
  <c r="BV428" i="30" s="1"/>
  <c r="BW428" i="30" s="1"/>
  <c r="BU380" i="30"/>
  <c r="BV380" i="30" s="1"/>
  <c r="BW380" i="30" s="1"/>
  <c r="BU556" i="30"/>
  <c r="BV556" i="30" s="1"/>
  <c r="BW556" i="30" s="1"/>
  <c r="BU498" i="30"/>
  <c r="BV498" i="30" s="1"/>
  <c r="BW498" i="30" s="1"/>
  <c r="BU482" i="30"/>
  <c r="BV482" i="30" s="1"/>
  <c r="BW482" i="30" s="1"/>
  <c r="BU450" i="30"/>
  <c r="BV450" i="30" s="1"/>
  <c r="BW450" i="30" s="1"/>
  <c r="BU434" i="30"/>
  <c r="BV434" i="30" s="1"/>
  <c r="BW434" i="30" s="1"/>
  <c r="BU386" i="30"/>
  <c r="BV386" i="30" s="1"/>
  <c r="BW386" i="30" s="1"/>
  <c r="BU546" i="30"/>
  <c r="BV546" i="30" s="1"/>
  <c r="BW546" i="30" s="1"/>
  <c r="BU558" i="30"/>
  <c r="BV558" i="30" s="1"/>
  <c r="BW558" i="30" s="1"/>
  <c r="BU542" i="30"/>
  <c r="BV542" i="30" s="1"/>
  <c r="BW542" i="30" s="1"/>
  <c r="BU478" i="30"/>
  <c r="BV478" i="30" s="1"/>
  <c r="BW478" i="30" s="1"/>
  <c r="BU446" i="30"/>
  <c r="BV446" i="30" s="1"/>
  <c r="BW446" i="30" s="1"/>
  <c r="BU430" i="30"/>
  <c r="BV430" i="30" s="1"/>
  <c r="BW430" i="30" s="1"/>
  <c r="BU382" i="30"/>
  <c r="BV382" i="30" s="1"/>
  <c r="BW382" i="30" s="1"/>
  <c r="BU494" i="30"/>
  <c r="BV494" i="30" s="1"/>
  <c r="BW494" i="30" s="1"/>
  <c r="BU545" i="30"/>
  <c r="BV545" i="30" s="1"/>
  <c r="BW545" i="30" s="1"/>
  <c r="BU497" i="30"/>
  <c r="BV497" i="30" s="1"/>
  <c r="BW497" i="30" s="1"/>
  <c r="BU481" i="30"/>
  <c r="BV481" i="30" s="1"/>
  <c r="BW481" i="30" s="1"/>
  <c r="BU449" i="30"/>
  <c r="BV449" i="30" s="1"/>
  <c r="BW449" i="30" s="1"/>
  <c r="BU433" i="30"/>
  <c r="BV433" i="30" s="1"/>
  <c r="BW433" i="30" s="1"/>
  <c r="BU385" i="30"/>
  <c r="BV385" i="30" s="1"/>
  <c r="BW385" i="30" s="1"/>
  <c r="BU506" i="30"/>
  <c r="BV506" i="30" s="1"/>
  <c r="BW506" i="30" s="1"/>
  <c r="BU490" i="30"/>
  <c r="BV490" i="30" s="1"/>
  <c r="BW490" i="30" s="1"/>
  <c r="BU442" i="30"/>
  <c r="BV442" i="30" s="1"/>
  <c r="BW442" i="30" s="1"/>
  <c r="BU378" i="30"/>
  <c r="BV378" i="30" s="1"/>
  <c r="BW378" i="30" s="1"/>
  <c r="BU560" i="30"/>
  <c r="BV560" i="30" s="1"/>
  <c r="BW560" i="30" s="1"/>
  <c r="BU544" i="30"/>
  <c r="BV544" i="30" s="1"/>
  <c r="BW544" i="30" s="1"/>
  <c r="BU496" i="30"/>
  <c r="BV496" i="30" s="1"/>
  <c r="BW496" i="30" s="1"/>
  <c r="BU480" i="30"/>
  <c r="BV480" i="30" s="1"/>
  <c r="BW480" i="30" s="1"/>
  <c r="BU448" i="30"/>
  <c r="BV448" i="30" s="1"/>
  <c r="BW448" i="30" s="1"/>
  <c r="BU432" i="30"/>
  <c r="BV432" i="30" s="1"/>
  <c r="BW432" i="30" s="1"/>
  <c r="BU384" i="30"/>
  <c r="BV384" i="30" s="1"/>
  <c r="BW384" i="30" s="1"/>
  <c r="BU557" i="30"/>
  <c r="BV557" i="30" s="1"/>
  <c r="BW557" i="30" s="1"/>
  <c r="BU541" i="30"/>
  <c r="BV541" i="30" s="1"/>
  <c r="BW541" i="30" s="1"/>
  <c r="BU493" i="30"/>
  <c r="BV493" i="30" s="1"/>
  <c r="BW493" i="30" s="1"/>
  <c r="BU477" i="30"/>
  <c r="BV477" i="30" s="1"/>
  <c r="BW477" i="30" s="1"/>
  <c r="BU445" i="30"/>
  <c r="BV445" i="30" s="1"/>
  <c r="BW445" i="30" s="1"/>
  <c r="BU429" i="30"/>
  <c r="BV429" i="30" s="1"/>
  <c r="BW429" i="30" s="1"/>
  <c r="BU381" i="30"/>
  <c r="BV381" i="30" s="1"/>
  <c r="BW381" i="30" s="1"/>
  <c r="BU553" i="30"/>
  <c r="BV553" i="30" s="1"/>
  <c r="BW553" i="30" s="1"/>
  <c r="BU537" i="30"/>
  <c r="BV537" i="30" s="1"/>
  <c r="BW537" i="30" s="1"/>
  <c r="BU505" i="30"/>
  <c r="BV505" i="30" s="1"/>
  <c r="BW505" i="30" s="1"/>
  <c r="BU489" i="30"/>
  <c r="BV489" i="30" s="1"/>
  <c r="BW489" i="30" s="1"/>
  <c r="BU441" i="30"/>
  <c r="BV441" i="30" s="1"/>
  <c r="BW441" i="30" s="1"/>
  <c r="BU425" i="30"/>
  <c r="BV425" i="30" s="1"/>
  <c r="BW425" i="30" s="1"/>
  <c r="BU549" i="30"/>
  <c r="BV549" i="30" s="1"/>
  <c r="BW549" i="30" s="1"/>
  <c r="BU533" i="30"/>
  <c r="BV533" i="30" s="1"/>
  <c r="BW533" i="30" s="1"/>
  <c r="BU501" i="30"/>
  <c r="BV501" i="30" s="1"/>
  <c r="BW501" i="30" s="1"/>
  <c r="BU485" i="30"/>
  <c r="BV485" i="30" s="1"/>
  <c r="BW485" i="30" s="1"/>
  <c r="BU453" i="30"/>
  <c r="BV453" i="30" s="1"/>
  <c r="BW453" i="30" s="1"/>
  <c r="BU389" i="30"/>
  <c r="BV389" i="30" s="1"/>
  <c r="BW389" i="30" s="1"/>
  <c r="Y5" i="30" l="1"/>
  <c r="BQ5" i="30" s="1"/>
  <c r="Y6" i="30"/>
  <c r="BQ6" i="30" s="1"/>
  <c r="Y7" i="30"/>
  <c r="BQ7" i="30" s="1"/>
  <c r="Y8" i="30"/>
  <c r="BQ8" i="30" s="1"/>
  <c r="Y9" i="30"/>
  <c r="BQ9" i="30" s="1"/>
  <c r="Y150" i="30"/>
  <c r="BQ150" i="30" s="1"/>
  <c r="Y162" i="30"/>
  <c r="BQ162" i="30" s="1"/>
  <c r="Y170" i="30"/>
  <c r="BQ170" i="30" s="1"/>
  <c r="Y183" i="30"/>
  <c r="BQ183" i="30" s="1"/>
  <c r="Y185" i="30"/>
  <c r="BQ185" i="30" s="1"/>
  <c r="Y413" i="30"/>
  <c r="BQ413" i="30" s="1"/>
  <c r="Y414" i="30"/>
  <c r="BQ414" i="30" s="1"/>
  <c r="Y480" i="30"/>
  <c r="Y481" i="30"/>
  <c r="Y482" i="30"/>
  <c r="Y483" i="30"/>
  <c r="Y484" i="30"/>
  <c r="Y485" i="30"/>
  <c r="Y486" i="30"/>
  <c r="Y487" i="30"/>
  <c r="Y488" i="30"/>
  <c r="Y489" i="30"/>
  <c r="Y490" i="30"/>
  <c r="Y491" i="30"/>
  <c r="Y492" i="30"/>
  <c r="Y493" i="30"/>
  <c r="Y494" i="30"/>
  <c r="Y495" i="30"/>
  <c r="Y496" i="30"/>
  <c r="Y497" i="30"/>
  <c r="Y498" i="30"/>
  <c r="Y499" i="30"/>
  <c r="Y500" i="30"/>
  <c r="Y501" i="30"/>
  <c r="Y502" i="30"/>
  <c r="Y503" i="30"/>
  <c r="Y504" i="30"/>
  <c r="Y505" i="30"/>
  <c r="Y506" i="30"/>
  <c r="Y507" i="30"/>
  <c r="Y508" i="30"/>
  <c r="Y4" i="30"/>
  <c r="BQ4" i="30" s="1"/>
  <c r="AI618" i="30" l="1"/>
  <c r="AJ617" i="30" s="1"/>
  <c r="BK588" i="30"/>
  <c r="BJ588" i="30"/>
  <c r="BI588" i="30"/>
  <c r="BH588" i="30"/>
  <c r="BG588" i="30"/>
  <c r="BF588" i="30"/>
  <c r="BC588" i="30"/>
  <c r="BA588" i="30"/>
  <c r="AY588" i="30"/>
  <c r="AX588" i="30"/>
  <c r="AW588" i="30"/>
  <c r="AU588" i="30"/>
  <c r="AT588" i="30"/>
  <c r="AS588" i="30"/>
  <c r="AR588" i="30"/>
  <c r="AQ588" i="30"/>
  <c r="W588" i="30"/>
  <c r="X588" i="30" s="1"/>
  <c r="BK587" i="30"/>
  <c r="BJ587" i="30"/>
  <c r="BI587" i="30"/>
  <c r="BH587" i="30"/>
  <c r="BG587" i="30"/>
  <c r="BF587" i="30"/>
  <c r="BC587" i="30"/>
  <c r="BA587" i="30"/>
  <c r="AY587" i="30"/>
  <c r="AX587" i="30"/>
  <c r="AW587" i="30"/>
  <c r="AU587" i="30"/>
  <c r="AT587" i="30"/>
  <c r="AS587" i="30"/>
  <c r="AR587" i="30"/>
  <c r="AQ587" i="30"/>
  <c r="W587" i="30"/>
  <c r="X587" i="30" s="1"/>
  <c r="BK586" i="30"/>
  <c r="BJ586" i="30"/>
  <c r="BI586" i="30"/>
  <c r="BH586" i="30"/>
  <c r="BG586" i="30"/>
  <c r="BF586" i="30"/>
  <c r="BC586" i="30"/>
  <c r="BA586" i="30"/>
  <c r="AY586" i="30"/>
  <c r="AX586" i="30"/>
  <c r="AW586" i="30"/>
  <c r="AU586" i="30"/>
  <c r="AT586" i="30"/>
  <c r="AS586" i="30"/>
  <c r="AR586" i="30"/>
  <c r="AQ586" i="30"/>
  <c r="W586" i="30"/>
  <c r="X586" i="30" s="1"/>
  <c r="BK585" i="30"/>
  <c r="BJ585" i="30"/>
  <c r="BI585" i="30"/>
  <c r="BH585" i="30"/>
  <c r="BG585" i="30"/>
  <c r="BF585" i="30"/>
  <c r="BC585" i="30"/>
  <c r="BA585" i="30"/>
  <c r="AY585" i="30"/>
  <c r="AX585" i="30"/>
  <c r="AW585" i="30"/>
  <c r="AU585" i="30"/>
  <c r="AT585" i="30"/>
  <c r="AS585" i="30"/>
  <c r="AR585" i="30"/>
  <c r="AQ585" i="30"/>
  <c r="W585" i="30"/>
  <c r="X585" i="30" s="1"/>
  <c r="BK584" i="30"/>
  <c r="BJ584" i="30"/>
  <c r="BI584" i="30"/>
  <c r="BH584" i="30"/>
  <c r="BG584" i="30"/>
  <c r="BF584" i="30"/>
  <c r="BC584" i="30"/>
  <c r="BA584" i="30"/>
  <c r="AY584" i="30"/>
  <c r="AX584" i="30"/>
  <c r="AW584" i="30"/>
  <c r="AU584" i="30"/>
  <c r="AT584" i="30"/>
  <c r="AS584" i="30"/>
  <c r="AR584" i="30"/>
  <c r="AQ584" i="30"/>
  <c r="W584" i="30"/>
  <c r="X584" i="30" s="1"/>
  <c r="BK583" i="30"/>
  <c r="BJ583" i="30"/>
  <c r="BI583" i="30"/>
  <c r="BH583" i="30"/>
  <c r="BG583" i="30"/>
  <c r="BF583" i="30"/>
  <c r="BC583" i="30"/>
  <c r="BA583" i="30"/>
  <c r="AY583" i="30"/>
  <c r="AX583" i="30"/>
  <c r="AW583" i="30"/>
  <c r="AU583" i="30"/>
  <c r="AT583" i="30"/>
  <c r="AS583" i="30"/>
  <c r="AR583" i="30"/>
  <c r="AQ583" i="30"/>
  <c r="W583" i="30"/>
  <c r="X583" i="30" s="1"/>
  <c r="BK582" i="30"/>
  <c r="BJ582" i="30"/>
  <c r="BI582" i="30"/>
  <c r="BH582" i="30"/>
  <c r="BG582" i="30"/>
  <c r="BF582" i="30"/>
  <c r="BC582" i="30"/>
  <c r="BA582" i="30"/>
  <c r="AY582" i="30"/>
  <c r="AX582" i="30"/>
  <c r="AW582" i="30"/>
  <c r="AU582" i="30"/>
  <c r="AT582" i="30"/>
  <c r="AS582" i="30"/>
  <c r="AR582" i="30"/>
  <c r="AQ582" i="30"/>
  <c r="W582" i="30"/>
  <c r="X582" i="30" s="1"/>
  <c r="Y582" i="30" s="1"/>
  <c r="BQ582" i="30" s="1"/>
  <c r="BK581" i="30"/>
  <c r="BJ581" i="30"/>
  <c r="BI581" i="30"/>
  <c r="BH581" i="30"/>
  <c r="BG581" i="30"/>
  <c r="BF581" i="30"/>
  <c r="BC581" i="30"/>
  <c r="BA581" i="30"/>
  <c r="AY581" i="30"/>
  <c r="AX581" i="30"/>
  <c r="AW581" i="30"/>
  <c r="AU581" i="30"/>
  <c r="AT581" i="30"/>
  <c r="AS581" i="30"/>
  <c r="AR581" i="30"/>
  <c r="AQ581" i="30"/>
  <c r="W581" i="30"/>
  <c r="X581" i="30" s="1"/>
  <c r="BK580" i="30"/>
  <c r="BJ580" i="30"/>
  <c r="BI580" i="30"/>
  <c r="BH580" i="30"/>
  <c r="BG580" i="30"/>
  <c r="BF580" i="30"/>
  <c r="BC580" i="30"/>
  <c r="BA580" i="30"/>
  <c r="AY580" i="30"/>
  <c r="AX580" i="30"/>
  <c r="AW580" i="30"/>
  <c r="AU580" i="30"/>
  <c r="AT580" i="30"/>
  <c r="AS580" i="30"/>
  <c r="AR580" i="30"/>
  <c r="AQ580" i="30"/>
  <c r="W580" i="30"/>
  <c r="X580" i="30" s="1"/>
  <c r="BK579" i="30"/>
  <c r="BJ579" i="30"/>
  <c r="BI579" i="30"/>
  <c r="BH579" i="30"/>
  <c r="BG579" i="30"/>
  <c r="BF579" i="30"/>
  <c r="BC579" i="30"/>
  <c r="BA579" i="30"/>
  <c r="AY579" i="30"/>
  <c r="AX579" i="30"/>
  <c r="AW579" i="30"/>
  <c r="AU579" i="30"/>
  <c r="AT579" i="30"/>
  <c r="AS579" i="30"/>
  <c r="AR579" i="30"/>
  <c r="AQ579" i="30"/>
  <c r="W579" i="30"/>
  <c r="X579" i="30" s="1"/>
  <c r="BK578" i="30"/>
  <c r="BJ578" i="30"/>
  <c r="BI578" i="30"/>
  <c r="BH578" i="30"/>
  <c r="BG578" i="30"/>
  <c r="BF578" i="30"/>
  <c r="BC578" i="30"/>
  <c r="BA578" i="30"/>
  <c r="AY578" i="30"/>
  <c r="AX578" i="30"/>
  <c r="AW578" i="30"/>
  <c r="AU578" i="30"/>
  <c r="AT578" i="30"/>
  <c r="AS578" i="30"/>
  <c r="AR578" i="30"/>
  <c r="AQ578" i="30"/>
  <c r="W578" i="30"/>
  <c r="X578" i="30" s="1"/>
  <c r="BK577" i="30"/>
  <c r="BJ577" i="30"/>
  <c r="BI577" i="30"/>
  <c r="BH577" i="30"/>
  <c r="BG577" i="30"/>
  <c r="BF577" i="30"/>
  <c r="BC577" i="30"/>
  <c r="BA577" i="30"/>
  <c r="AY577" i="30"/>
  <c r="AX577" i="30"/>
  <c r="AW577" i="30"/>
  <c r="AU577" i="30"/>
  <c r="AT577" i="30"/>
  <c r="AS577" i="30"/>
  <c r="AR577" i="30"/>
  <c r="AQ577" i="30"/>
  <c r="W577" i="30"/>
  <c r="X577" i="30" s="1"/>
  <c r="BK576" i="30"/>
  <c r="BJ576" i="30"/>
  <c r="BI576" i="30"/>
  <c r="BH576" i="30"/>
  <c r="BG576" i="30"/>
  <c r="BF576" i="30"/>
  <c r="BC576" i="30"/>
  <c r="BA576" i="30"/>
  <c r="AY576" i="30"/>
  <c r="AX576" i="30"/>
  <c r="AW576" i="30"/>
  <c r="AU576" i="30"/>
  <c r="AT576" i="30"/>
  <c r="AS576" i="30"/>
  <c r="AR576" i="30"/>
  <c r="AQ576" i="30"/>
  <c r="W576" i="30"/>
  <c r="R576" i="30"/>
  <c r="BK575" i="30"/>
  <c r="BJ575" i="30"/>
  <c r="BI575" i="30"/>
  <c r="BH575" i="30"/>
  <c r="BG575" i="30"/>
  <c r="BF575" i="30"/>
  <c r="BC575" i="30"/>
  <c r="BA575" i="30"/>
  <c r="AY575" i="30"/>
  <c r="AX575" i="30"/>
  <c r="AW575" i="30"/>
  <c r="AU575" i="30"/>
  <c r="AT575" i="30"/>
  <c r="AS575" i="30"/>
  <c r="AR575" i="30"/>
  <c r="AQ575" i="30"/>
  <c r="W575" i="30"/>
  <c r="X575" i="30" s="1"/>
  <c r="BK574" i="30"/>
  <c r="BJ574" i="30"/>
  <c r="BI574" i="30"/>
  <c r="BH574" i="30"/>
  <c r="BG574" i="30"/>
  <c r="BF574" i="30"/>
  <c r="BC574" i="30"/>
  <c r="BA574" i="30"/>
  <c r="AY574" i="30"/>
  <c r="AX574" i="30"/>
  <c r="AW574" i="30"/>
  <c r="AU574" i="30"/>
  <c r="AT574" i="30"/>
  <c r="AS574" i="30"/>
  <c r="AR574" i="30"/>
  <c r="AQ574" i="30"/>
  <c r="W574" i="30"/>
  <c r="X574" i="30" s="1"/>
  <c r="BK573" i="30"/>
  <c r="BJ573" i="30"/>
  <c r="BI573" i="30"/>
  <c r="BH573" i="30"/>
  <c r="BG573" i="30"/>
  <c r="BF573" i="30"/>
  <c r="BC573" i="30"/>
  <c r="BA573" i="30"/>
  <c r="AY573" i="30"/>
  <c r="AX573" i="30"/>
  <c r="AW573" i="30"/>
  <c r="AU573" i="30"/>
  <c r="AT573" i="30"/>
  <c r="AS573" i="30"/>
  <c r="AR573" i="30"/>
  <c r="AQ573" i="30"/>
  <c r="W573" i="30"/>
  <c r="X573" i="30" s="1"/>
  <c r="BK572" i="30"/>
  <c r="BJ572" i="30"/>
  <c r="BI572" i="30"/>
  <c r="BH572" i="30"/>
  <c r="BG572" i="30"/>
  <c r="BF572" i="30"/>
  <c r="BC572" i="30"/>
  <c r="BA572" i="30"/>
  <c r="AY572" i="30"/>
  <c r="AX572" i="30"/>
  <c r="AW572" i="30"/>
  <c r="AU572" i="30"/>
  <c r="AT572" i="30"/>
  <c r="AS572" i="30"/>
  <c r="AR572" i="30"/>
  <c r="AQ572" i="30"/>
  <c r="W572" i="30"/>
  <c r="X572" i="30" s="1"/>
  <c r="BK571" i="30"/>
  <c r="BJ571" i="30"/>
  <c r="BI571" i="30"/>
  <c r="BH571" i="30"/>
  <c r="BG571" i="30"/>
  <c r="BF571" i="30"/>
  <c r="BC571" i="30"/>
  <c r="BA571" i="30"/>
  <c r="AY571" i="30"/>
  <c r="AX571" i="30"/>
  <c r="AW571" i="30"/>
  <c r="AU571" i="30"/>
  <c r="AT571" i="30"/>
  <c r="AS571" i="30"/>
  <c r="AR571" i="30"/>
  <c r="AQ571" i="30"/>
  <c r="W571" i="30"/>
  <c r="X571" i="30" s="1"/>
  <c r="BK570" i="30"/>
  <c r="BJ570" i="30"/>
  <c r="BI570" i="30"/>
  <c r="BH570" i="30"/>
  <c r="BG570" i="30"/>
  <c r="BF570" i="30"/>
  <c r="BC570" i="30"/>
  <c r="BA570" i="30"/>
  <c r="AY570" i="30"/>
  <c r="AX570" i="30"/>
  <c r="AW570" i="30"/>
  <c r="AU570" i="30"/>
  <c r="AT570" i="30"/>
  <c r="AS570" i="30"/>
  <c r="AR570" i="30"/>
  <c r="AQ570" i="30"/>
  <c r="W570" i="30"/>
  <c r="X570" i="30" s="1"/>
  <c r="BK569" i="30"/>
  <c r="BJ569" i="30"/>
  <c r="BI569" i="30"/>
  <c r="BH569" i="30"/>
  <c r="BG569" i="30"/>
  <c r="BF569" i="30"/>
  <c r="BC569" i="30"/>
  <c r="BA569" i="30"/>
  <c r="AY569" i="30"/>
  <c r="AX569" i="30"/>
  <c r="AW569" i="30"/>
  <c r="AU569" i="30"/>
  <c r="AT569" i="30"/>
  <c r="AS569" i="30"/>
  <c r="AR569" i="30"/>
  <c r="AQ569" i="30"/>
  <c r="W569" i="30"/>
  <c r="X569" i="30" s="1"/>
  <c r="Y569" i="30" s="1"/>
  <c r="BQ569" i="30" s="1"/>
  <c r="BK568" i="30"/>
  <c r="BJ568" i="30"/>
  <c r="BI568" i="30"/>
  <c r="BH568" i="30"/>
  <c r="BG568" i="30"/>
  <c r="BF568" i="30"/>
  <c r="BC568" i="30"/>
  <c r="BA568" i="30"/>
  <c r="AY568" i="30"/>
  <c r="AX568" i="30"/>
  <c r="AW568" i="30"/>
  <c r="AU568" i="30"/>
  <c r="AT568" i="30"/>
  <c r="AS568" i="30"/>
  <c r="AR568" i="30"/>
  <c r="AQ568" i="30"/>
  <c r="W568" i="30"/>
  <c r="X568" i="30" s="1"/>
  <c r="BK567" i="30"/>
  <c r="BJ567" i="30"/>
  <c r="BI567" i="30"/>
  <c r="BH567" i="30"/>
  <c r="BG567" i="30"/>
  <c r="BF567" i="30"/>
  <c r="BC567" i="30"/>
  <c r="BA567" i="30"/>
  <c r="AY567" i="30"/>
  <c r="AX567" i="30"/>
  <c r="AW567" i="30"/>
  <c r="AU567" i="30"/>
  <c r="AT567" i="30"/>
  <c r="AS567" i="30"/>
  <c r="AR567" i="30"/>
  <c r="AQ567" i="30"/>
  <c r="W567" i="30"/>
  <c r="X567" i="30" s="1"/>
  <c r="BK566" i="30"/>
  <c r="BJ566" i="30"/>
  <c r="BI566" i="30"/>
  <c r="BH566" i="30"/>
  <c r="BG566" i="30"/>
  <c r="BF566" i="30"/>
  <c r="BC566" i="30"/>
  <c r="BA566" i="30"/>
  <c r="AY566" i="30"/>
  <c r="AX566" i="30"/>
  <c r="AW566" i="30"/>
  <c r="AU566" i="30"/>
  <c r="AT566" i="30"/>
  <c r="AS566" i="30"/>
  <c r="AR566" i="30"/>
  <c r="AQ566" i="30"/>
  <c r="W566" i="30"/>
  <c r="X566" i="30" s="1"/>
  <c r="BK565" i="30"/>
  <c r="BJ565" i="30"/>
  <c r="BI565" i="30"/>
  <c r="BH565" i="30"/>
  <c r="BG565" i="30"/>
  <c r="BF565" i="30"/>
  <c r="BC565" i="30"/>
  <c r="BA565" i="30"/>
  <c r="AY565" i="30"/>
  <c r="AX565" i="30"/>
  <c r="AW565" i="30"/>
  <c r="AU565" i="30"/>
  <c r="AT565" i="30"/>
  <c r="AS565" i="30"/>
  <c r="AR565" i="30"/>
  <c r="AQ565" i="30"/>
  <c r="W565" i="30"/>
  <c r="X565" i="30" s="1"/>
  <c r="BK564" i="30"/>
  <c r="BJ564" i="30"/>
  <c r="BI564" i="30"/>
  <c r="BH564" i="30"/>
  <c r="BG564" i="30"/>
  <c r="BF564" i="30"/>
  <c r="BC564" i="30"/>
  <c r="BA564" i="30"/>
  <c r="AY564" i="30"/>
  <c r="AX564" i="30"/>
  <c r="AW564" i="30"/>
  <c r="AU564" i="30"/>
  <c r="AT564" i="30"/>
  <c r="AS564" i="30"/>
  <c r="AR564" i="30"/>
  <c r="AQ564" i="30"/>
  <c r="W564" i="30"/>
  <c r="X564" i="30" s="1"/>
  <c r="BK563" i="30"/>
  <c r="BJ563" i="30"/>
  <c r="BI563" i="30"/>
  <c r="BH563" i="30"/>
  <c r="BG563" i="30"/>
  <c r="BF563" i="30"/>
  <c r="BC563" i="30"/>
  <c r="BA563" i="30"/>
  <c r="AY563" i="30"/>
  <c r="AX563" i="30"/>
  <c r="AW563" i="30"/>
  <c r="AU563" i="30"/>
  <c r="AT563" i="30"/>
  <c r="AS563" i="30"/>
  <c r="AR563" i="30"/>
  <c r="AQ563" i="30"/>
  <c r="W563" i="30"/>
  <c r="X563" i="30" s="1"/>
  <c r="BK562" i="30"/>
  <c r="BJ562" i="30"/>
  <c r="BI562" i="30"/>
  <c r="BH562" i="30"/>
  <c r="BG562" i="30"/>
  <c r="BF562" i="30"/>
  <c r="BC562" i="30"/>
  <c r="BA562" i="30"/>
  <c r="AY562" i="30"/>
  <c r="AX562" i="30"/>
  <c r="AW562" i="30"/>
  <c r="AU562" i="30"/>
  <c r="AT562" i="30"/>
  <c r="AS562" i="30"/>
  <c r="AR562" i="30"/>
  <c r="AQ562" i="30"/>
  <c r="W562" i="30"/>
  <c r="X562" i="30" s="1"/>
  <c r="BK561" i="30"/>
  <c r="BJ561" i="30"/>
  <c r="BI561" i="30"/>
  <c r="BH561" i="30"/>
  <c r="BG561" i="30"/>
  <c r="BF561" i="30"/>
  <c r="BC561" i="30"/>
  <c r="BA561" i="30"/>
  <c r="AY561" i="30"/>
  <c r="AX561" i="30"/>
  <c r="AW561" i="30"/>
  <c r="AU561" i="30"/>
  <c r="AT561" i="30"/>
  <c r="AS561" i="30"/>
  <c r="AR561" i="30"/>
  <c r="AQ561" i="30"/>
  <c r="W561" i="30"/>
  <c r="X561" i="30" s="1"/>
  <c r="BK560" i="30"/>
  <c r="BJ560" i="30"/>
  <c r="BI560" i="30"/>
  <c r="BH560" i="30"/>
  <c r="BG560" i="30"/>
  <c r="BF560" i="30"/>
  <c r="BC560" i="30"/>
  <c r="BA560" i="30"/>
  <c r="AY560" i="30"/>
  <c r="AX560" i="30"/>
  <c r="AW560" i="30"/>
  <c r="AU560" i="30"/>
  <c r="AT560" i="30"/>
  <c r="AS560" i="30"/>
  <c r="AR560" i="30"/>
  <c r="AQ560" i="30"/>
  <c r="W560" i="30"/>
  <c r="X560" i="30" s="1"/>
  <c r="BK559" i="30"/>
  <c r="BJ559" i="30"/>
  <c r="BI559" i="30"/>
  <c r="BH559" i="30"/>
  <c r="BG559" i="30"/>
  <c r="BF559" i="30"/>
  <c r="BC559" i="30"/>
  <c r="BA559" i="30"/>
  <c r="AY559" i="30"/>
  <c r="AX559" i="30"/>
  <c r="AW559" i="30"/>
  <c r="AU559" i="30"/>
  <c r="AT559" i="30"/>
  <c r="AS559" i="30"/>
  <c r="AR559" i="30"/>
  <c r="AQ559" i="30"/>
  <c r="W559" i="30"/>
  <c r="X559" i="30" s="1"/>
  <c r="BK558" i="30"/>
  <c r="BJ558" i="30"/>
  <c r="BI558" i="30"/>
  <c r="BH558" i="30"/>
  <c r="BG558" i="30"/>
  <c r="BF558" i="30"/>
  <c r="BC558" i="30"/>
  <c r="BA558" i="30"/>
  <c r="AY558" i="30"/>
  <c r="AX558" i="30"/>
  <c r="AW558" i="30"/>
  <c r="AU558" i="30"/>
  <c r="AT558" i="30"/>
  <c r="AS558" i="30"/>
  <c r="AR558" i="30"/>
  <c r="AQ558" i="30"/>
  <c r="W558" i="30"/>
  <c r="R558" i="30"/>
  <c r="BK557" i="30"/>
  <c r="BJ557" i="30"/>
  <c r="BI557" i="30"/>
  <c r="BH557" i="30"/>
  <c r="BG557" i="30"/>
  <c r="BF557" i="30"/>
  <c r="BC557" i="30"/>
  <c r="BA557" i="30"/>
  <c r="AY557" i="30"/>
  <c r="AX557" i="30"/>
  <c r="AW557" i="30"/>
  <c r="AU557" i="30"/>
  <c r="AT557" i="30"/>
  <c r="AS557" i="30"/>
  <c r="AR557" i="30"/>
  <c r="AQ557" i="30"/>
  <c r="W557" i="30"/>
  <c r="X557" i="30" s="1"/>
  <c r="Y557" i="30" s="1"/>
  <c r="BK556" i="30"/>
  <c r="BJ556" i="30"/>
  <c r="BI556" i="30"/>
  <c r="BH556" i="30"/>
  <c r="BG556" i="30"/>
  <c r="BF556" i="30"/>
  <c r="BC556" i="30"/>
  <c r="BA556" i="30"/>
  <c r="AY556" i="30"/>
  <c r="AX556" i="30"/>
  <c r="AW556" i="30"/>
  <c r="AU556" i="30"/>
  <c r="AT556" i="30"/>
  <c r="AS556" i="30"/>
  <c r="AR556" i="30"/>
  <c r="AQ556" i="30"/>
  <c r="W556" i="30"/>
  <c r="X556" i="30" s="1"/>
  <c r="BK555" i="30"/>
  <c r="BJ555" i="30"/>
  <c r="BI555" i="30"/>
  <c r="BH555" i="30"/>
  <c r="BG555" i="30"/>
  <c r="BF555" i="30"/>
  <c r="BC555" i="30"/>
  <c r="BA555" i="30"/>
  <c r="AY555" i="30"/>
  <c r="AX555" i="30"/>
  <c r="AW555" i="30"/>
  <c r="AU555" i="30"/>
  <c r="AT555" i="30"/>
  <c r="AS555" i="30"/>
  <c r="AR555" i="30"/>
  <c r="AQ555" i="30"/>
  <c r="W555" i="30"/>
  <c r="X555" i="30" s="1"/>
  <c r="BK554" i="30"/>
  <c r="BJ554" i="30"/>
  <c r="BI554" i="30"/>
  <c r="BH554" i="30"/>
  <c r="BG554" i="30"/>
  <c r="BF554" i="30"/>
  <c r="BC554" i="30"/>
  <c r="BA554" i="30"/>
  <c r="AY554" i="30"/>
  <c r="AX554" i="30"/>
  <c r="AW554" i="30"/>
  <c r="AU554" i="30"/>
  <c r="AT554" i="30"/>
  <c r="AS554" i="30"/>
  <c r="AR554" i="30"/>
  <c r="AQ554" i="30"/>
  <c r="W554" i="30"/>
  <c r="X554" i="30" s="1"/>
  <c r="S554" i="30"/>
  <c r="BK553" i="30"/>
  <c r="BJ553" i="30"/>
  <c r="BI553" i="30"/>
  <c r="BH553" i="30"/>
  <c r="BG553" i="30"/>
  <c r="BF553" i="30"/>
  <c r="BC553" i="30"/>
  <c r="BA553" i="30"/>
  <c r="AY553" i="30"/>
  <c r="AX553" i="30"/>
  <c r="AW553" i="30"/>
  <c r="AU553" i="30"/>
  <c r="AT553" i="30"/>
  <c r="AS553" i="30"/>
  <c r="AR553" i="30"/>
  <c r="AQ553" i="30"/>
  <c r="W553" i="30"/>
  <c r="X553" i="30" s="1"/>
  <c r="BK552" i="30"/>
  <c r="BJ552" i="30"/>
  <c r="BI552" i="30"/>
  <c r="BH552" i="30"/>
  <c r="BG552" i="30"/>
  <c r="BF552" i="30"/>
  <c r="BC552" i="30"/>
  <c r="BA552" i="30"/>
  <c r="AY552" i="30"/>
  <c r="AX552" i="30"/>
  <c r="AW552" i="30"/>
  <c r="AU552" i="30"/>
  <c r="AT552" i="30"/>
  <c r="AS552" i="30"/>
  <c r="AR552" i="30"/>
  <c r="AQ552" i="30"/>
  <c r="W552" i="30"/>
  <c r="X552" i="30" s="1"/>
  <c r="BK551" i="30"/>
  <c r="BJ551" i="30"/>
  <c r="BI551" i="30"/>
  <c r="BH551" i="30"/>
  <c r="BG551" i="30"/>
  <c r="BF551" i="30"/>
  <c r="BC551" i="30"/>
  <c r="BA551" i="30"/>
  <c r="AY551" i="30"/>
  <c r="AX551" i="30"/>
  <c r="AW551" i="30"/>
  <c r="AU551" i="30"/>
  <c r="AT551" i="30"/>
  <c r="AS551" i="30"/>
  <c r="AR551" i="30"/>
  <c r="AQ551" i="30"/>
  <c r="W551" i="30"/>
  <c r="X551" i="30" s="1"/>
  <c r="BK550" i="30"/>
  <c r="BJ550" i="30"/>
  <c r="BI550" i="30"/>
  <c r="BH550" i="30"/>
  <c r="BG550" i="30"/>
  <c r="BF550" i="30"/>
  <c r="BC550" i="30"/>
  <c r="BA550" i="30"/>
  <c r="AY550" i="30"/>
  <c r="AX550" i="30"/>
  <c r="AW550" i="30"/>
  <c r="AU550" i="30"/>
  <c r="AT550" i="30"/>
  <c r="AS550" i="30"/>
  <c r="AR550" i="30"/>
  <c r="AQ550" i="30"/>
  <c r="W550" i="30"/>
  <c r="X550" i="30" s="1"/>
  <c r="BK549" i="30"/>
  <c r="BJ549" i="30"/>
  <c r="BI549" i="30"/>
  <c r="BH549" i="30"/>
  <c r="BG549" i="30"/>
  <c r="BF549" i="30"/>
  <c r="BC549" i="30"/>
  <c r="BA549" i="30"/>
  <c r="AY549" i="30"/>
  <c r="AX549" i="30"/>
  <c r="AW549" i="30"/>
  <c r="AU549" i="30"/>
  <c r="AT549" i="30"/>
  <c r="AS549" i="30"/>
  <c r="AR549" i="30"/>
  <c r="AQ549" i="30"/>
  <c r="W549" i="30"/>
  <c r="X549" i="30" s="1"/>
  <c r="BK548" i="30"/>
  <c r="BJ548" i="30"/>
  <c r="BI548" i="30"/>
  <c r="BH548" i="30"/>
  <c r="BG548" i="30"/>
  <c r="BF548" i="30"/>
  <c r="BC548" i="30"/>
  <c r="BA548" i="30"/>
  <c r="AY548" i="30"/>
  <c r="AX548" i="30"/>
  <c r="AW548" i="30"/>
  <c r="AU548" i="30"/>
  <c r="AT548" i="30"/>
  <c r="AS548" i="30"/>
  <c r="AR548" i="30"/>
  <c r="AQ548" i="30"/>
  <c r="W548" i="30"/>
  <c r="X548" i="30" s="1"/>
  <c r="BK547" i="30"/>
  <c r="BJ547" i="30"/>
  <c r="BI547" i="30"/>
  <c r="BH547" i="30"/>
  <c r="BG547" i="30"/>
  <c r="BF547" i="30"/>
  <c r="BC547" i="30"/>
  <c r="BA547" i="30"/>
  <c r="AY547" i="30"/>
  <c r="AX547" i="30"/>
  <c r="AW547" i="30"/>
  <c r="AU547" i="30"/>
  <c r="AT547" i="30"/>
  <c r="AS547" i="30"/>
  <c r="AR547" i="30"/>
  <c r="AQ547" i="30"/>
  <c r="W547" i="30"/>
  <c r="X547" i="30" s="1"/>
  <c r="BK546" i="30"/>
  <c r="BJ546" i="30"/>
  <c r="BI546" i="30"/>
  <c r="BH546" i="30"/>
  <c r="BG546" i="30"/>
  <c r="BF546" i="30"/>
  <c r="BC546" i="30"/>
  <c r="BA546" i="30"/>
  <c r="AY546" i="30"/>
  <c r="AX546" i="30"/>
  <c r="AW546" i="30"/>
  <c r="AU546" i="30"/>
  <c r="AT546" i="30"/>
  <c r="AS546" i="30"/>
  <c r="AR546" i="30"/>
  <c r="AQ546" i="30"/>
  <c r="W546" i="30"/>
  <c r="X546" i="30" s="1"/>
  <c r="BK545" i="30"/>
  <c r="BJ545" i="30"/>
  <c r="BI545" i="30"/>
  <c r="BH545" i="30"/>
  <c r="BG545" i="30"/>
  <c r="BF545" i="30"/>
  <c r="BC545" i="30"/>
  <c r="BA545" i="30"/>
  <c r="AY545" i="30"/>
  <c r="AX545" i="30"/>
  <c r="AW545" i="30"/>
  <c r="AU545" i="30"/>
  <c r="AT545" i="30"/>
  <c r="AS545" i="30"/>
  <c r="AR545" i="30"/>
  <c r="AQ545" i="30"/>
  <c r="W545" i="30"/>
  <c r="X545" i="30" s="1"/>
  <c r="BK544" i="30"/>
  <c r="BJ544" i="30"/>
  <c r="BI544" i="30"/>
  <c r="BH544" i="30"/>
  <c r="BG544" i="30"/>
  <c r="BF544" i="30"/>
  <c r="BC544" i="30"/>
  <c r="BA544" i="30"/>
  <c r="AY544" i="30"/>
  <c r="AX544" i="30"/>
  <c r="AW544" i="30"/>
  <c r="AU544" i="30"/>
  <c r="AT544" i="30"/>
  <c r="AS544" i="30"/>
  <c r="AR544" i="30"/>
  <c r="AQ544" i="30"/>
  <c r="W544" i="30"/>
  <c r="X544" i="30" s="1"/>
  <c r="BK543" i="30"/>
  <c r="BJ543" i="30"/>
  <c r="BI543" i="30"/>
  <c r="BH543" i="30"/>
  <c r="BG543" i="30"/>
  <c r="BF543" i="30"/>
  <c r="BC543" i="30"/>
  <c r="BA543" i="30"/>
  <c r="AY543" i="30"/>
  <c r="AX543" i="30"/>
  <c r="AW543" i="30"/>
  <c r="AU543" i="30"/>
  <c r="AT543" i="30"/>
  <c r="AS543" i="30"/>
  <c r="AR543" i="30"/>
  <c r="AQ543" i="30"/>
  <c r="W543" i="30"/>
  <c r="X543" i="30" s="1"/>
  <c r="BK542" i="30"/>
  <c r="BJ542" i="30"/>
  <c r="BI542" i="30"/>
  <c r="BH542" i="30"/>
  <c r="BG542" i="30"/>
  <c r="BF542" i="30"/>
  <c r="BC542" i="30"/>
  <c r="BA542" i="30"/>
  <c r="AY542" i="30"/>
  <c r="AX542" i="30"/>
  <c r="AW542" i="30"/>
  <c r="AU542" i="30"/>
  <c r="AT542" i="30"/>
  <c r="AS542" i="30"/>
  <c r="AR542" i="30"/>
  <c r="AQ542" i="30"/>
  <c r="W542" i="30"/>
  <c r="X542" i="30" s="1"/>
  <c r="BK541" i="30"/>
  <c r="BJ541" i="30"/>
  <c r="BI541" i="30"/>
  <c r="BH541" i="30"/>
  <c r="BG541" i="30"/>
  <c r="BF541" i="30"/>
  <c r="BC541" i="30"/>
  <c r="BA541" i="30"/>
  <c r="AY541" i="30"/>
  <c r="AX541" i="30"/>
  <c r="AW541" i="30"/>
  <c r="AU541" i="30"/>
  <c r="AT541" i="30"/>
  <c r="AS541" i="30"/>
  <c r="AR541" i="30"/>
  <c r="AQ541" i="30"/>
  <c r="W541" i="30"/>
  <c r="X541" i="30" s="1"/>
  <c r="BK540" i="30"/>
  <c r="BJ540" i="30"/>
  <c r="BI540" i="30"/>
  <c r="BH540" i="30"/>
  <c r="BG540" i="30"/>
  <c r="BF540" i="30"/>
  <c r="BC540" i="30"/>
  <c r="BA540" i="30"/>
  <c r="AY540" i="30"/>
  <c r="AX540" i="30"/>
  <c r="AW540" i="30"/>
  <c r="AU540" i="30"/>
  <c r="AT540" i="30"/>
  <c r="AS540" i="30"/>
  <c r="AR540" i="30"/>
  <c r="AQ540" i="30"/>
  <c r="W540" i="30"/>
  <c r="X540" i="30" s="1"/>
  <c r="BK539" i="30"/>
  <c r="BJ539" i="30"/>
  <c r="BI539" i="30"/>
  <c r="BH539" i="30"/>
  <c r="BG539" i="30"/>
  <c r="BF539" i="30"/>
  <c r="BC539" i="30"/>
  <c r="BA539" i="30"/>
  <c r="AY539" i="30"/>
  <c r="AX539" i="30"/>
  <c r="AW539" i="30"/>
  <c r="AU539" i="30"/>
  <c r="AT539" i="30"/>
  <c r="AS539" i="30"/>
  <c r="AR539" i="30"/>
  <c r="AQ539" i="30"/>
  <c r="W539" i="30"/>
  <c r="X539" i="30" s="1"/>
  <c r="BK538" i="30"/>
  <c r="BJ538" i="30"/>
  <c r="BI538" i="30"/>
  <c r="BH538" i="30"/>
  <c r="BG538" i="30"/>
  <c r="BF538" i="30"/>
  <c r="BC538" i="30"/>
  <c r="BA538" i="30"/>
  <c r="AY538" i="30"/>
  <c r="AX538" i="30"/>
  <c r="AW538" i="30"/>
  <c r="AU538" i="30"/>
  <c r="AT538" i="30"/>
  <c r="AS538" i="30"/>
  <c r="AR538" i="30"/>
  <c r="AQ538" i="30"/>
  <c r="W538" i="30"/>
  <c r="X538" i="30" s="1"/>
  <c r="BK537" i="30"/>
  <c r="BJ537" i="30"/>
  <c r="BI537" i="30"/>
  <c r="BH537" i="30"/>
  <c r="BG537" i="30"/>
  <c r="BF537" i="30"/>
  <c r="BC537" i="30"/>
  <c r="BA537" i="30"/>
  <c r="AY537" i="30"/>
  <c r="AX537" i="30"/>
  <c r="AW537" i="30"/>
  <c r="AU537" i="30"/>
  <c r="AT537" i="30"/>
  <c r="AS537" i="30"/>
  <c r="AR537" i="30"/>
  <c r="AQ537" i="30"/>
  <c r="W537" i="30"/>
  <c r="X537" i="30" s="1"/>
  <c r="BK536" i="30"/>
  <c r="BJ536" i="30"/>
  <c r="BI536" i="30"/>
  <c r="BH536" i="30"/>
  <c r="BG536" i="30"/>
  <c r="BF536" i="30"/>
  <c r="BC536" i="30"/>
  <c r="BA536" i="30"/>
  <c r="AY536" i="30"/>
  <c r="AX536" i="30"/>
  <c r="AW536" i="30"/>
  <c r="AU536" i="30"/>
  <c r="AT536" i="30"/>
  <c r="AS536" i="30"/>
  <c r="AR536" i="30"/>
  <c r="AQ536" i="30"/>
  <c r="W536" i="30"/>
  <c r="X536" i="30" s="1"/>
  <c r="BK535" i="30"/>
  <c r="BJ535" i="30"/>
  <c r="BI535" i="30"/>
  <c r="BH535" i="30"/>
  <c r="BG535" i="30"/>
  <c r="BF535" i="30"/>
  <c r="BC535" i="30"/>
  <c r="BA535" i="30"/>
  <c r="AY535" i="30"/>
  <c r="AX535" i="30"/>
  <c r="AW535" i="30"/>
  <c r="AU535" i="30"/>
  <c r="AT535" i="30"/>
  <c r="AS535" i="30"/>
  <c r="AR535" i="30"/>
  <c r="AQ535" i="30"/>
  <c r="W535" i="30"/>
  <c r="X535" i="30" s="1"/>
  <c r="BK534" i="30"/>
  <c r="BJ534" i="30"/>
  <c r="BI534" i="30"/>
  <c r="BH534" i="30"/>
  <c r="BG534" i="30"/>
  <c r="BF534" i="30"/>
  <c r="BC534" i="30"/>
  <c r="BA534" i="30"/>
  <c r="AY534" i="30"/>
  <c r="AX534" i="30"/>
  <c r="AW534" i="30"/>
  <c r="AU534" i="30"/>
  <c r="AT534" i="30"/>
  <c r="AS534" i="30"/>
  <c r="AR534" i="30"/>
  <c r="AQ534" i="30"/>
  <c r="W534" i="30"/>
  <c r="X534" i="30" s="1"/>
  <c r="BK533" i="30"/>
  <c r="BJ533" i="30"/>
  <c r="BI533" i="30"/>
  <c r="BH533" i="30"/>
  <c r="BG533" i="30"/>
  <c r="BF533" i="30"/>
  <c r="BC533" i="30"/>
  <c r="BA533" i="30"/>
  <c r="AY533" i="30"/>
  <c r="AX533" i="30"/>
  <c r="AW533" i="30"/>
  <c r="AU533" i="30"/>
  <c r="AT533" i="30"/>
  <c r="AS533" i="30"/>
  <c r="AR533" i="30"/>
  <c r="AQ533" i="30"/>
  <c r="W533" i="30"/>
  <c r="X533" i="30" s="1"/>
  <c r="BK532" i="30"/>
  <c r="BJ532" i="30"/>
  <c r="BI532" i="30"/>
  <c r="BH532" i="30"/>
  <c r="BG532" i="30"/>
  <c r="BF532" i="30"/>
  <c r="BC532" i="30"/>
  <c r="BA532" i="30"/>
  <c r="AY532" i="30"/>
  <c r="AX532" i="30"/>
  <c r="AW532" i="30"/>
  <c r="AU532" i="30"/>
  <c r="AT532" i="30"/>
  <c r="AS532" i="30"/>
  <c r="AR532" i="30"/>
  <c r="AQ532" i="30"/>
  <c r="W532" i="30"/>
  <c r="X532" i="30" s="1"/>
  <c r="BK531" i="30"/>
  <c r="BJ531" i="30"/>
  <c r="BI531" i="30"/>
  <c r="BH531" i="30"/>
  <c r="BG531" i="30"/>
  <c r="BF531" i="30"/>
  <c r="BC531" i="30"/>
  <c r="BA531" i="30"/>
  <c r="AY531" i="30"/>
  <c r="AX531" i="30"/>
  <c r="AW531" i="30"/>
  <c r="AU531" i="30"/>
  <c r="AT531" i="30"/>
  <c r="AS531" i="30"/>
  <c r="AR531" i="30"/>
  <c r="AQ531" i="30"/>
  <c r="W531" i="30"/>
  <c r="X531" i="30" s="1"/>
  <c r="BK530" i="30"/>
  <c r="BJ530" i="30"/>
  <c r="BI530" i="30"/>
  <c r="BH530" i="30"/>
  <c r="BG530" i="30"/>
  <c r="BF530" i="30"/>
  <c r="BC530" i="30"/>
  <c r="BA530" i="30"/>
  <c r="AY530" i="30"/>
  <c r="AX530" i="30"/>
  <c r="AW530" i="30"/>
  <c r="AU530" i="30"/>
  <c r="AT530" i="30"/>
  <c r="AS530" i="30"/>
  <c r="AR530" i="30"/>
  <c r="AQ530" i="30"/>
  <c r="W530" i="30"/>
  <c r="X530" i="30" s="1"/>
  <c r="BK529" i="30"/>
  <c r="BJ529" i="30"/>
  <c r="BI529" i="30"/>
  <c r="BH529" i="30"/>
  <c r="BG529" i="30"/>
  <c r="BF529" i="30"/>
  <c r="BC529" i="30"/>
  <c r="BA529" i="30"/>
  <c r="AY529" i="30"/>
  <c r="AX529" i="30"/>
  <c r="AW529" i="30"/>
  <c r="AU529" i="30"/>
  <c r="AT529" i="30"/>
  <c r="AS529" i="30"/>
  <c r="AR529" i="30"/>
  <c r="AQ529" i="30"/>
  <c r="W529" i="30"/>
  <c r="X529" i="30" s="1"/>
  <c r="BK528" i="30"/>
  <c r="BJ528" i="30"/>
  <c r="BI528" i="30"/>
  <c r="BH528" i="30"/>
  <c r="BG528" i="30"/>
  <c r="BF528" i="30"/>
  <c r="BC528" i="30"/>
  <c r="BA528" i="30"/>
  <c r="AY528" i="30"/>
  <c r="AX528" i="30"/>
  <c r="AW528" i="30"/>
  <c r="AU528" i="30"/>
  <c r="AT528" i="30"/>
  <c r="AS528" i="30"/>
  <c r="AR528" i="30"/>
  <c r="AQ528" i="30"/>
  <c r="W528" i="30"/>
  <c r="X528" i="30" s="1"/>
  <c r="BK527" i="30"/>
  <c r="BJ527" i="30"/>
  <c r="BI527" i="30"/>
  <c r="BH527" i="30"/>
  <c r="BG527" i="30"/>
  <c r="BF527" i="30"/>
  <c r="BC527" i="30"/>
  <c r="BA527" i="30"/>
  <c r="AY527" i="30"/>
  <c r="AX527" i="30"/>
  <c r="AW527" i="30"/>
  <c r="AU527" i="30"/>
  <c r="AT527" i="30"/>
  <c r="AS527" i="30"/>
  <c r="AR527" i="30"/>
  <c r="AQ527" i="30"/>
  <c r="W527" i="30"/>
  <c r="X527" i="30" s="1"/>
  <c r="BK526" i="30"/>
  <c r="BJ526" i="30"/>
  <c r="BI526" i="30"/>
  <c r="BH526" i="30"/>
  <c r="BG526" i="30"/>
  <c r="BF526" i="30"/>
  <c r="BC526" i="30"/>
  <c r="BA526" i="30"/>
  <c r="AY526" i="30"/>
  <c r="AX526" i="30"/>
  <c r="AW526" i="30"/>
  <c r="AU526" i="30"/>
  <c r="AT526" i="30"/>
  <c r="AS526" i="30"/>
  <c r="AR526" i="30"/>
  <c r="AQ526" i="30"/>
  <c r="W526" i="30"/>
  <c r="X526" i="30" s="1"/>
  <c r="BK525" i="30"/>
  <c r="BJ525" i="30"/>
  <c r="BI525" i="30"/>
  <c r="BH525" i="30"/>
  <c r="BG525" i="30"/>
  <c r="BF525" i="30"/>
  <c r="BC525" i="30"/>
  <c r="BA525" i="30"/>
  <c r="AY525" i="30"/>
  <c r="AX525" i="30"/>
  <c r="AW525" i="30"/>
  <c r="AU525" i="30"/>
  <c r="AT525" i="30"/>
  <c r="AS525" i="30"/>
  <c r="AR525" i="30"/>
  <c r="AQ525" i="30"/>
  <c r="W525" i="30"/>
  <c r="X525" i="30" s="1"/>
  <c r="BK524" i="30"/>
  <c r="BJ524" i="30"/>
  <c r="BI524" i="30"/>
  <c r="BH524" i="30"/>
  <c r="BG524" i="30"/>
  <c r="BF524" i="30"/>
  <c r="BC524" i="30"/>
  <c r="BA524" i="30"/>
  <c r="AY524" i="30"/>
  <c r="AX524" i="30"/>
  <c r="AW524" i="30"/>
  <c r="AU524" i="30"/>
  <c r="AT524" i="30"/>
  <c r="AS524" i="30"/>
  <c r="AR524" i="30"/>
  <c r="AQ524" i="30"/>
  <c r="W524" i="30"/>
  <c r="X524" i="30" s="1"/>
  <c r="BK523" i="30"/>
  <c r="BJ523" i="30"/>
  <c r="BI523" i="30"/>
  <c r="BH523" i="30"/>
  <c r="BG523" i="30"/>
  <c r="BF523" i="30"/>
  <c r="BC523" i="30"/>
  <c r="BA523" i="30"/>
  <c r="AY523" i="30"/>
  <c r="AX523" i="30"/>
  <c r="AW523" i="30"/>
  <c r="AU523" i="30"/>
  <c r="AT523" i="30"/>
  <c r="AS523" i="30"/>
  <c r="AR523" i="30"/>
  <c r="AQ523" i="30"/>
  <c r="W523" i="30"/>
  <c r="X523" i="30" s="1"/>
  <c r="BK522" i="30"/>
  <c r="BJ522" i="30"/>
  <c r="BI522" i="30"/>
  <c r="BH522" i="30"/>
  <c r="BG522" i="30"/>
  <c r="BF522" i="30"/>
  <c r="BC522" i="30"/>
  <c r="BA522" i="30"/>
  <c r="AY522" i="30"/>
  <c r="AX522" i="30"/>
  <c r="AW522" i="30"/>
  <c r="AU522" i="30"/>
  <c r="AT522" i="30"/>
  <c r="AS522" i="30"/>
  <c r="AR522" i="30"/>
  <c r="AQ522" i="30"/>
  <c r="W522" i="30"/>
  <c r="X522" i="30" s="1"/>
  <c r="BK521" i="30"/>
  <c r="BJ521" i="30"/>
  <c r="BI521" i="30"/>
  <c r="BH521" i="30"/>
  <c r="BG521" i="30"/>
  <c r="BF521" i="30"/>
  <c r="BC521" i="30"/>
  <c r="BA521" i="30"/>
  <c r="AY521" i="30"/>
  <c r="AX521" i="30"/>
  <c r="AW521" i="30"/>
  <c r="AU521" i="30"/>
  <c r="AT521" i="30"/>
  <c r="AS521" i="30"/>
  <c r="AR521" i="30"/>
  <c r="AQ521" i="30"/>
  <c r="W521" i="30"/>
  <c r="X521" i="30" s="1"/>
  <c r="BK520" i="30"/>
  <c r="BJ520" i="30"/>
  <c r="BI520" i="30"/>
  <c r="BH520" i="30"/>
  <c r="BG520" i="30"/>
  <c r="BF520" i="30"/>
  <c r="BC520" i="30"/>
  <c r="BA520" i="30"/>
  <c r="AY520" i="30"/>
  <c r="AX520" i="30"/>
  <c r="AW520" i="30"/>
  <c r="AU520" i="30"/>
  <c r="AT520" i="30"/>
  <c r="AS520" i="30"/>
  <c r="AR520" i="30"/>
  <c r="AQ520" i="30"/>
  <c r="W520" i="30"/>
  <c r="X520" i="30" s="1"/>
  <c r="BK519" i="30"/>
  <c r="BJ519" i="30"/>
  <c r="BI519" i="30"/>
  <c r="BH519" i="30"/>
  <c r="BG519" i="30"/>
  <c r="BF519" i="30"/>
  <c r="BC519" i="30"/>
  <c r="BA519" i="30"/>
  <c r="AY519" i="30"/>
  <c r="AX519" i="30"/>
  <c r="AW519" i="30"/>
  <c r="AU519" i="30"/>
  <c r="AT519" i="30"/>
  <c r="AS519" i="30"/>
  <c r="AR519" i="30"/>
  <c r="AQ519" i="30"/>
  <c r="W519" i="30"/>
  <c r="X519" i="30" s="1"/>
  <c r="BK518" i="30"/>
  <c r="BJ518" i="30"/>
  <c r="BI518" i="30"/>
  <c r="BH518" i="30"/>
  <c r="BG518" i="30"/>
  <c r="BF518" i="30"/>
  <c r="BC518" i="30"/>
  <c r="BA518" i="30"/>
  <c r="AY518" i="30"/>
  <c r="AX518" i="30"/>
  <c r="AW518" i="30"/>
  <c r="AU518" i="30"/>
  <c r="AT518" i="30"/>
  <c r="AS518" i="30"/>
  <c r="AR518" i="30"/>
  <c r="AQ518" i="30"/>
  <c r="W518" i="30"/>
  <c r="X518" i="30" s="1"/>
  <c r="BK517" i="30"/>
  <c r="BJ517" i="30"/>
  <c r="BI517" i="30"/>
  <c r="BH517" i="30"/>
  <c r="BG517" i="30"/>
  <c r="BF517" i="30"/>
  <c r="BC517" i="30"/>
  <c r="BA517" i="30"/>
  <c r="AY517" i="30"/>
  <c r="AX517" i="30"/>
  <c r="AW517" i="30"/>
  <c r="AU517" i="30"/>
  <c r="AT517" i="30"/>
  <c r="AS517" i="30"/>
  <c r="AR517" i="30"/>
  <c r="AQ517" i="30"/>
  <c r="W517" i="30"/>
  <c r="X517" i="30" s="1"/>
  <c r="BK516" i="30"/>
  <c r="BJ516" i="30"/>
  <c r="BI516" i="30"/>
  <c r="BH516" i="30"/>
  <c r="BG516" i="30"/>
  <c r="BF516" i="30"/>
  <c r="BC516" i="30"/>
  <c r="BA516" i="30"/>
  <c r="AY516" i="30"/>
  <c r="AX516" i="30"/>
  <c r="AW516" i="30"/>
  <c r="AU516" i="30"/>
  <c r="AT516" i="30"/>
  <c r="AS516" i="30"/>
  <c r="AR516" i="30"/>
  <c r="AQ516" i="30"/>
  <c r="W516" i="30"/>
  <c r="X516" i="30" s="1"/>
  <c r="Y516" i="30" s="1"/>
  <c r="BQ516" i="30" s="1"/>
  <c r="BK515" i="30"/>
  <c r="BJ515" i="30"/>
  <c r="BI515" i="30"/>
  <c r="BH515" i="30"/>
  <c r="BG515" i="30"/>
  <c r="BF515" i="30"/>
  <c r="BC515" i="30"/>
  <c r="BA515" i="30"/>
  <c r="AY515" i="30"/>
  <c r="AX515" i="30"/>
  <c r="AW515" i="30"/>
  <c r="AU515" i="30"/>
  <c r="AT515" i="30"/>
  <c r="AS515" i="30"/>
  <c r="AR515" i="30"/>
  <c r="AQ515" i="30"/>
  <c r="W515" i="30"/>
  <c r="X515" i="30" s="1"/>
  <c r="BK514" i="30"/>
  <c r="BJ514" i="30"/>
  <c r="BI514" i="30"/>
  <c r="BH514" i="30"/>
  <c r="BG514" i="30"/>
  <c r="BF514" i="30"/>
  <c r="BC514" i="30"/>
  <c r="BA514" i="30"/>
  <c r="AY514" i="30"/>
  <c r="AX514" i="30"/>
  <c r="AW514" i="30"/>
  <c r="AU514" i="30"/>
  <c r="AT514" i="30"/>
  <c r="AS514" i="30"/>
  <c r="AR514" i="30"/>
  <c r="AQ514" i="30"/>
  <c r="W514" i="30"/>
  <c r="X514" i="30" s="1"/>
  <c r="BK513" i="30"/>
  <c r="BJ513" i="30"/>
  <c r="BI513" i="30"/>
  <c r="BH513" i="30"/>
  <c r="BG513" i="30"/>
  <c r="BF513" i="30"/>
  <c r="BC513" i="30"/>
  <c r="BA513" i="30"/>
  <c r="AY513" i="30"/>
  <c r="AX513" i="30"/>
  <c r="AW513" i="30"/>
  <c r="AU513" i="30"/>
  <c r="AT513" i="30"/>
  <c r="AS513" i="30"/>
  <c r="AR513" i="30"/>
  <c r="AQ513" i="30"/>
  <c r="W513" i="30"/>
  <c r="X513" i="30" s="1"/>
  <c r="BK512" i="30"/>
  <c r="BJ512" i="30"/>
  <c r="BI512" i="30"/>
  <c r="BH512" i="30"/>
  <c r="BG512" i="30"/>
  <c r="BF512" i="30"/>
  <c r="BC512" i="30"/>
  <c r="BA512" i="30"/>
  <c r="AY512" i="30"/>
  <c r="AX512" i="30"/>
  <c r="AW512" i="30"/>
  <c r="AU512" i="30"/>
  <c r="AT512" i="30"/>
  <c r="AS512" i="30"/>
  <c r="AR512" i="30"/>
  <c r="AQ512" i="30"/>
  <c r="W512" i="30"/>
  <c r="X512" i="30" s="1"/>
  <c r="BK511" i="30"/>
  <c r="BJ511" i="30"/>
  <c r="BI511" i="30"/>
  <c r="BH511" i="30"/>
  <c r="BG511" i="30"/>
  <c r="BF511" i="30"/>
  <c r="BC511" i="30"/>
  <c r="BA511" i="30"/>
  <c r="AY511" i="30"/>
  <c r="AX511" i="30"/>
  <c r="AW511" i="30"/>
  <c r="AU511" i="30"/>
  <c r="AT511" i="30"/>
  <c r="AS511" i="30"/>
  <c r="AR511" i="30"/>
  <c r="AQ511" i="30"/>
  <c r="W511" i="30"/>
  <c r="X511" i="30" s="1"/>
  <c r="H511" i="30"/>
  <c r="I511" i="30" s="1"/>
  <c r="BK510" i="30"/>
  <c r="BJ510" i="30"/>
  <c r="BI510" i="30"/>
  <c r="BH510" i="30"/>
  <c r="BG510" i="30"/>
  <c r="BF510" i="30"/>
  <c r="BC510" i="30"/>
  <c r="BA510" i="30"/>
  <c r="AY510" i="30"/>
  <c r="AX510" i="30"/>
  <c r="AW510" i="30"/>
  <c r="AU510" i="30"/>
  <c r="AT510" i="30"/>
  <c r="AS510" i="30"/>
  <c r="AR510" i="30"/>
  <c r="AQ510" i="30"/>
  <c r="W510" i="30"/>
  <c r="X510" i="30" s="1"/>
  <c r="H510" i="30"/>
  <c r="J510" i="30" s="1"/>
  <c r="BK509" i="30"/>
  <c r="BJ509" i="30"/>
  <c r="BI509" i="30"/>
  <c r="BH509" i="30"/>
  <c r="BG509" i="30"/>
  <c r="BF509" i="30"/>
  <c r="BC509" i="30"/>
  <c r="BA509" i="30"/>
  <c r="AY509" i="30"/>
  <c r="AX509" i="30"/>
  <c r="AW509" i="30"/>
  <c r="AU509" i="30"/>
  <c r="AT509" i="30"/>
  <c r="AS509" i="30"/>
  <c r="AR509" i="30"/>
  <c r="AQ509" i="30"/>
  <c r="W509" i="30"/>
  <c r="X509" i="30" s="1"/>
  <c r="J509" i="30"/>
  <c r="T509" i="30" s="1"/>
  <c r="BE509" i="30" s="1"/>
  <c r="BK508" i="30"/>
  <c r="BJ508" i="30"/>
  <c r="BI508" i="30"/>
  <c r="BH508" i="30"/>
  <c r="BG508" i="30"/>
  <c r="BF508" i="30"/>
  <c r="BD508" i="30"/>
  <c r="BC508" i="30"/>
  <c r="BA508" i="30"/>
  <c r="AY508" i="30"/>
  <c r="AX508" i="30"/>
  <c r="AW508" i="30"/>
  <c r="AU508" i="30"/>
  <c r="AT508" i="30"/>
  <c r="AS508" i="30"/>
  <c r="AR508" i="30"/>
  <c r="AQ508" i="30"/>
  <c r="AV508" i="30" s="1"/>
  <c r="H508" i="30"/>
  <c r="J508" i="30" s="1"/>
  <c r="BK507" i="30"/>
  <c r="BJ507" i="30"/>
  <c r="BI507" i="30"/>
  <c r="BH507" i="30"/>
  <c r="BG507" i="30"/>
  <c r="BF507" i="30"/>
  <c r="BD507" i="30"/>
  <c r="BC507" i="30"/>
  <c r="BA507" i="30"/>
  <c r="AY507" i="30"/>
  <c r="AX507" i="30"/>
  <c r="AW507" i="30"/>
  <c r="AU507" i="30"/>
  <c r="AT507" i="30"/>
  <c r="AS507" i="30"/>
  <c r="AR507" i="30"/>
  <c r="AQ507" i="30"/>
  <c r="AV507" i="30" s="1"/>
  <c r="AZ507" i="30" s="1"/>
  <c r="H507" i="30"/>
  <c r="J507" i="30" s="1"/>
  <c r="BK506" i="30"/>
  <c r="BJ506" i="30"/>
  <c r="BI506" i="30"/>
  <c r="BH506" i="30"/>
  <c r="BG506" i="30"/>
  <c r="BF506" i="30"/>
  <c r="BD506" i="30"/>
  <c r="BC506" i="30"/>
  <c r="BA506" i="30"/>
  <c r="AY506" i="30"/>
  <c r="AX506" i="30"/>
  <c r="AW506" i="30"/>
  <c r="AU506" i="30"/>
  <c r="AT506" i="30"/>
  <c r="AS506" i="30"/>
  <c r="AR506" i="30"/>
  <c r="AQ506" i="30"/>
  <c r="AV506" i="30" s="1"/>
  <c r="AZ506" i="30" s="1"/>
  <c r="H506" i="30"/>
  <c r="J506" i="30" s="1"/>
  <c r="BK505" i="30"/>
  <c r="BJ505" i="30"/>
  <c r="BI505" i="30"/>
  <c r="BH505" i="30"/>
  <c r="BG505" i="30"/>
  <c r="BF505" i="30"/>
  <c r="BD505" i="30"/>
  <c r="BC505" i="30"/>
  <c r="BA505" i="30"/>
  <c r="AY505" i="30"/>
  <c r="AX505" i="30"/>
  <c r="AW505" i="30"/>
  <c r="AU505" i="30"/>
  <c r="AT505" i="30"/>
  <c r="AS505" i="30"/>
  <c r="AR505" i="30"/>
  <c r="AQ505" i="30"/>
  <c r="AV505" i="30" s="1"/>
  <c r="H505" i="30"/>
  <c r="J505" i="30" s="1"/>
  <c r="L505" i="30" s="1"/>
  <c r="BK504" i="30"/>
  <c r="BJ504" i="30"/>
  <c r="BI504" i="30"/>
  <c r="BH504" i="30"/>
  <c r="BG504" i="30"/>
  <c r="BF504" i="30"/>
  <c r="BD504" i="30"/>
  <c r="BC504" i="30"/>
  <c r="BA504" i="30"/>
  <c r="AY504" i="30"/>
  <c r="AX504" i="30"/>
  <c r="AW504" i="30"/>
  <c r="AU504" i="30"/>
  <c r="AT504" i="30"/>
  <c r="AS504" i="30"/>
  <c r="AR504" i="30"/>
  <c r="AQ504" i="30"/>
  <c r="AV504" i="30" s="1"/>
  <c r="AZ504" i="30" s="1"/>
  <c r="H504" i="30"/>
  <c r="J504" i="30" s="1"/>
  <c r="L504" i="30" s="1"/>
  <c r="BK503" i="30"/>
  <c r="BJ503" i="30"/>
  <c r="BI503" i="30"/>
  <c r="BH503" i="30"/>
  <c r="BG503" i="30"/>
  <c r="BF503" i="30"/>
  <c r="BD503" i="30"/>
  <c r="BC503" i="30"/>
  <c r="BA503" i="30"/>
  <c r="AY503" i="30"/>
  <c r="AX503" i="30"/>
  <c r="AW503" i="30"/>
  <c r="AU503" i="30"/>
  <c r="AT503" i="30"/>
  <c r="AS503" i="30"/>
  <c r="AR503" i="30"/>
  <c r="AQ503" i="30"/>
  <c r="AV503" i="30" s="1"/>
  <c r="AZ503" i="30" s="1"/>
  <c r="H503" i="30"/>
  <c r="J503" i="30" s="1"/>
  <c r="BK502" i="30"/>
  <c r="BJ502" i="30"/>
  <c r="BI502" i="30"/>
  <c r="BH502" i="30"/>
  <c r="BG502" i="30"/>
  <c r="BF502" i="30"/>
  <c r="BD502" i="30"/>
  <c r="BC502" i="30"/>
  <c r="BA502" i="30"/>
  <c r="AY502" i="30"/>
  <c r="AX502" i="30"/>
  <c r="AW502" i="30"/>
  <c r="AU502" i="30"/>
  <c r="AT502" i="30"/>
  <c r="AS502" i="30"/>
  <c r="AR502" i="30"/>
  <c r="AQ502" i="30"/>
  <c r="AV502" i="30" s="1"/>
  <c r="AZ502" i="30" s="1"/>
  <c r="H502" i="30"/>
  <c r="J502" i="30" s="1"/>
  <c r="L502" i="30" s="1"/>
  <c r="BK501" i="30"/>
  <c r="BJ501" i="30"/>
  <c r="BI501" i="30"/>
  <c r="BH501" i="30"/>
  <c r="BG501" i="30"/>
  <c r="BF501" i="30"/>
  <c r="BD501" i="30"/>
  <c r="BC501" i="30"/>
  <c r="BA501" i="30"/>
  <c r="AY501" i="30"/>
  <c r="AX501" i="30"/>
  <c r="AW501" i="30"/>
  <c r="AU501" i="30"/>
  <c r="AT501" i="30"/>
  <c r="AS501" i="30"/>
  <c r="AR501" i="30"/>
  <c r="AQ501" i="30"/>
  <c r="AV501" i="30" s="1"/>
  <c r="H501" i="30"/>
  <c r="J501" i="30" s="1"/>
  <c r="BK500" i="30"/>
  <c r="BJ500" i="30"/>
  <c r="BI500" i="30"/>
  <c r="BH500" i="30"/>
  <c r="BG500" i="30"/>
  <c r="BF500" i="30"/>
  <c r="BD500" i="30"/>
  <c r="BC500" i="30"/>
  <c r="BA500" i="30"/>
  <c r="AY500" i="30"/>
  <c r="AX500" i="30"/>
  <c r="AW500" i="30"/>
  <c r="AU500" i="30"/>
  <c r="AT500" i="30"/>
  <c r="AS500" i="30"/>
  <c r="AR500" i="30"/>
  <c r="AQ500" i="30"/>
  <c r="AV500" i="30" s="1"/>
  <c r="H500" i="30"/>
  <c r="J500" i="30" s="1"/>
  <c r="L500" i="30" s="1"/>
  <c r="BK499" i="30"/>
  <c r="BJ499" i="30"/>
  <c r="BI499" i="30"/>
  <c r="BH499" i="30"/>
  <c r="BG499" i="30"/>
  <c r="BF499" i="30"/>
  <c r="BD499" i="30"/>
  <c r="BC499" i="30"/>
  <c r="BA499" i="30"/>
  <c r="AY499" i="30"/>
  <c r="AX499" i="30"/>
  <c r="AW499" i="30"/>
  <c r="AU499" i="30"/>
  <c r="AT499" i="30"/>
  <c r="AS499" i="30"/>
  <c r="AR499" i="30"/>
  <c r="AQ499" i="30"/>
  <c r="AV499" i="30" s="1"/>
  <c r="AZ499" i="30" s="1"/>
  <c r="H499" i="30"/>
  <c r="J499" i="30" s="1"/>
  <c r="L499" i="30" s="1"/>
  <c r="BK498" i="30"/>
  <c r="BJ498" i="30"/>
  <c r="BI498" i="30"/>
  <c r="BH498" i="30"/>
  <c r="BG498" i="30"/>
  <c r="BF498" i="30"/>
  <c r="BD498" i="30"/>
  <c r="BC498" i="30"/>
  <c r="BA498" i="30"/>
  <c r="AY498" i="30"/>
  <c r="AX498" i="30"/>
  <c r="AW498" i="30"/>
  <c r="AU498" i="30"/>
  <c r="AT498" i="30"/>
  <c r="AS498" i="30"/>
  <c r="AR498" i="30"/>
  <c r="AQ498" i="30"/>
  <c r="AV498" i="30" s="1"/>
  <c r="AZ498" i="30" s="1"/>
  <c r="H498" i="30"/>
  <c r="J498" i="30" s="1"/>
  <c r="BK497" i="30"/>
  <c r="BJ497" i="30"/>
  <c r="BI497" i="30"/>
  <c r="BH497" i="30"/>
  <c r="BG497" i="30"/>
  <c r="BF497" i="30"/>
  <c r="BD497" i="30"/>
  <c r="BC497" i="30"/>
  <c r="BA497" i="30"/>
  <c r="AY497" i="30"/>
  <c r="AX497" i="30"/>
  <c r="AW497" i="30"/>
  <c r="AU497" i="30"/>
  <c r="AT497" i="30"/>
  <c r="AS497" i="30"/>
  <c r="AR497" i="30"/>
  <c r="AQ497" i="30"/>
  <c r="AV497" i="30" s="1"/>
  <c r="H497" i="30"/>
  <c r="J497" i="30" s="1"/>
  <c r="BK496" i="30"/>
  <c r="BJ496" i="30"/>
  <c r="BI496" i="30"/>
  <c r="BH496" i="30"/>
  <c r="BG496" i="30"/>
  <c r="BF496" i="30"/>
  <c r="BD496" i="30"/>
  <c r="BC496" i="30"/>
  <c r="BA496" i="30"/>
  <c r="AY496" i="30"/>
  <c r="AX496" i="30"/>
  <c r="AW496" i="30"/>
  <c r="AU496" i="30"/>
  <c r="AT496" i="30"/>
  <c r="AS496" i="30"/>
  <c r="AR496" i="30"/>
  <c r="AQ496" i="30"/>
  <c r="AV496" i="30" s="1"/>
  <c r="AZ496" i="30" s="1"/>
  <c r="J496" i="30"/>
  <c r="BK495" i="30"/>
  <c r="BJ495" i="30"/>
  <c r="BI495" i="30"/>
  <c r="BH495" i="30"/>
  <c r="BG495" i="30"/>
  <c r="BF495" i="30"/>
  <c r="BD495" i="30"/>
  <c r="BC495" i="30"/>
  <c r="BA495" i="30"/>
  <c r="AY495" i="30"/>
  <c r="AX495" i="30"/>
  <c r="AW495" i="30"/>
  <c r="AU495" i="30"/>
  <c r="AT495" i="30"/>
  <c r="AS495" i="30"/>
  <c r="AR495" i="30"/>
  <c r="AQ495" i="30"/>
  <c r="AV495" i="30" s="1"/>
  <c r="H495" i="30"/>
  <c r="J495" i="30" s="1"/>
  <c r="T495" i="30" s="1"/>
  <c r="BE495" i="30" s="1"/>
  <c r="BK494" i="30"/>
  <c r="BJ494" i="30"/>
  <c r="BI494" i="30"/>
  <c r="BH494" i="30"/>
  <c r="BG494" i="30"/>
  <c r="BF494" i="30"/>
  <c r="BD494" i="30"/>
  <c r="BC494" i="30"/>
  <c r="BA494" i="30"/>
  <c r="AY494" i="30"/>
  <c r="AX494" i="30"/>
  <c r="AW494" i="30"/>
  <c r="AU494" i="30"/>
  <c r="AT494" i="30"/>
  <c r="AS494" i="30"/>
  <c r="AR494" i="30"/>
  <c r="AQ494" i="30"/>
  <c r="AV494" i="30" s="1"/>
  <c r="AZ494" i="30" s="1"/>
  <c r="H494" i="30"/>
  <c r="J494" i="30" s="1"/>
  <c r="BK493" i="30"/>
  <c r="BJ493" i="30"/>
  <c r="BI493" i="30"/>
  <c r="BH493" i="30"/>
  <c r="BG493" i="30"/>
  <c r="BF493" i="30"/>
  <c r="BD493" i="30"/>
  <c r="BC493" i="30"/>
  <c r="BA493" i="30"/>
  <c r="AY493" i="30"/>
  <c r="AX493" i="30"/>
  <c r="AW493" i="30"/>
  <c r="AU493" i="30"/>
  <c r="AT493" i="30"/>
  <c r="AS493" i="30"/>
  <c r="AR493" i="30"/>
  <c r="AQ493" i="30"/>
  <c r="AV493" i="30" s="1"/>
  <c r="H493" i="30"/>
  <c r="J493" i="30" s="1"/>
  <c r="L493" i="30" s="1"/>
  <c r="BK492" i="30"/>
  <c r="BJ492" i="30"/>
  <c r="BI492" i="30"/>
  <c r="BH492" i="30"/>
  <c r="BG492" i="30"/>
  <c r="BF492" i="30"/>
  <c r="BD492" i="30"/>
  <c r="BC492" i="30"/>
  <c r="BA492" i="30"/>
  <c r="AY492" i="30"/>
  <c r="AX492" i="30"/>
  <c r="AW492" i="30"/>
  <c r="AU492" i="30"/>
  <c r="AT492" i="30"/>
  <c r="AS492" i="30"/>
  <c r="AR492" i="30"/>
  <c r="AQ492" i="30"/>
  <c r="AV492" i="30" s="1"/>
  <c r="AZ492" i="30" s="1"/>
  <c r="H492" i="30"/>
  <c r="J492" i="30" s="1"/>
  <c r="BK491" i="30"/>
  <c r="BJ491" i="30"/>
  <c r="BI491" i="30"/>
  <c r="BH491" i="30"/>
  <c r="BG491" i="30"/>
  <c r="BF491" i="30"/>
  <c r="BD491" i="30"/>
  <c r="BC491" i="30"/>
  <c r="BA491" i="30"/>
  <c r="AY491" i="30"/>
  <c r="AX491" i="30"/>
  <c r="AW491" i="30"/>
  <c r="AU491" i="30"/>
  <c r="AT491" i="30"/>
  <c r="AS491" i="30"/>
  <c r="AR491" i="30"/>
  <c r="AQ491" i="30"/>
  <c r="AV491" i="30" s="1"/>
  <c r="H491" i="30"/>
  <c r="J491" i="30" s="1"/>
  <c r="T491" i="30" s="1"/>
  <c r="BE491" i="30" s="1"/>
  <c r="BK490" i="30"/>
  <c r="BJ490" i="30"/>
  <c r="BI490" i="30"/>
  <c r="BH490" i="30"/>
  <c r="BG490" i="30"/>
  <c r="BF490" i="30"/>
  <c r="BD490" i="30"/>
  <c r="BC490" i="30"/>
  <c r="BA490" i="30"/>
  <c r="AY490" i="30"/>
  <c r="AX490" i="30"/>
  <c r="AW490" i="30"/>
  <c r="AU490" i="30"/>
  <c r="AT490" i="30"/>
  <c r="AS490" i="30"/>
  <c r="AR490" i="30"/>
  <c r="AQ490" i="30"/>
  <c r="AV490" i="30" s="1"/>
  <c r="AZ490" i="30" s="1"/>
  <c r="H490" i="30"/>
  <c r="J490" i="30" s="1"/>
  <c r="BK489" i="30"/>
  <c r="BJ489" i="30"/>
  <c r="BI489" i="30"/>
  <c r="BH489" i="30"/>
  <c r="BG489" i="30"/>
  <c r="BF489" i="30"/>
  <c r="BD489" i="30"/>
  <c r="BC489" i="30"/>
  <c r="BA489" i="30"/>
  <c r="AY489" i="30"/>
  <c r="AX489" i="30"/>
  <c r="AW489" i="30"/>
  <c r="AU489" i="30"/>
  <c r="AT489" i="30"/>
  <c r="AS489" i="30"/>
  <c r="AR489" i="30"/>
  <c r="AQ489" i="30"/>
  <c r="AV489" i="30" s="1"/>
  <c r="AZ489" i="30" s="1"/>
  <c r="J489" i="30"/>
  <c r="T489" i="30" s="1"/>
  <c r="BE489" i="30" s="1"/>
  <c r="BK488" i="30"/>
  <c r="BJ488" i="30"/>
  <c r="BI488" i="30"/>
  <c r="BH488" i="30"/>
  <c r="BG488" i="30"/>
  <c r="BF488" i="30"/>
  <c r="BD488" i="30"/>
  <c r="BC488" i="30"/>
  <c r="BA488" i="30"/>
  <c r="AY488" i="30"/>
  <c r="AX488" i="30"/>
  <c r="AW488" i="30"/>
  <c r="AU488" i="30"/>
  <c r="AT488" i="30"/>
  <c r="AS488" i="30"/>
  <c r="AR488" i="30"/>
  <c r="AQ488" i="30"/>
  <c r="AV488" i="30" s="1"/>
  <c r="H488" i="30"/>
  <c r="J488" i="30" s="1"/>
  <c r="L488" i="30" s="1"/>
  <c r="BK487" i="30"/>
  <c r="BJ487" i="30"/>
  <c r="BI487" i="30"/>
  <c r="BH487" i="30"/>
  <c r="BG487" i="30"/>
  <c r="BF487" i="30"/>
  <c r="BD487" i="30"/>
  <c r="BC487" i="30"/>
  <c r="BA487" i="30"/>
  <c r="AY487" i="30"/>
  <c r="AX487" i="30"/>
  <c r="AW487" i="30"/>
  <c r="AU487" i="30"/>
  <c r="AT487" i="30"/>
  <c r="AS487" i="30"/>
  <c r="AR487" i="30"/>
  <c r="AQ487" i="30"/>
  <c r="AV487" i="30" s="1"/>
  <c r="H487" i="30"/>
  <c r="J487" i="30" s="1"/>
  <c r="T487" i="30" s="1"/>
  <c r="BE487" i="30" s="1"/>
  <c r="BK486" i="30"/>
  <c r="BJ486" i="30"/>
  <c r="BI486" i="30"/>
  <c r="BH486" i="30"/>
  <c r="BG486" i="30"/>
  <c r="BF486" i="30"/>
  <c r="BD486" i="30"/>
  <c r="BC486" i="30"/>
  <c r="BA486" i="30"/>
  <c r="AY486" i="30"/>
  <c r="AX486" i="30"/>
  <c r="AW486" i="30"/>
  <c r="AU486" i="30"/>
  <c r="AT486" i="30"/>
  <c r="AS486" i="30"/>
  <c r="AR486" i="30"/>
  <c r="AQ486" i="30"/>
  <c r="AV486" i="30" s="1"/>
  <c r="AZ486" i="30" s="1"/>
  <c r="H486" i="30"/>
  <c r="J486" i="30" s="1"/>
  <c r="BK485" i="30"/>
  <c r="BJ485" i="30"/>
  <c r="BI485" i="30"/>
  <c r="BH485" i="30"/>
  <c r="BG485" i="30"/>
  <c r="BF485" i="30"/>
  <c r="BD485" i="30"/>
  <c r="BC485" i="30"/>
  <c r="BA485" i="30"/>
  <c r="AY485" i="30"/>
  <c r="AX485" i="30"/>
  <c r="AW485" i="30"/>
  <c r="AU485" i="30"/>
  <c r="AT485" i="30"/>
  <c r="AS485" i="30"/>
  <c r="AR485" i="30"/>
  <c r="AQ485" i="30"/>
  <c r="AV485" i="30" s="1"/>
  <c r="AZ485" i="30" s="1"/>
  <c r="H485" i="30"/>
  <c r="J485" i="30" s="1"/>
  <c r="T485" i="30" s="1"/>
  <c r="BE485" i="30" s="1"/>
  <c r="BK484" i="30"/>
  <c r="BJ484" i="30"/>
  <c r="BI484" i="30"/>
  <c r="BH484" i="30"/>
  <c r="BG484" i="30"/>
  <c r="BF484" i="30"/>
  <c r="BD484" i="30"/>
  <c r="BC484" i="30"/>
  <c r="BA484" i="30"/>
  <c r="AY484" i="30"/>
  <c r="AX484" i="30"/>
  <c r="AW484" i="30"/>
  <c r="AU484" i="30"/>
  <c r="AT484" i="30"/>
  <c r="AS484" i="30"/>
  <c r="AR484" i="30"/>
  <c r="AQ484" i="30"/>
  <c r="AV484" i="30" s="1"/>
  <c r="H484" i="30"/>
  <c r="J484" i="30" s="1"/>
  <c r="BK483" i="30"/>
  <c r="BJ483" i="30"/>
  <c r="BI483" i="30"/>
  <c r="BH483" i="30"/>
  <c r="BG483" i="30"/>
  <c r="BF483" i="30"/>
  <c r="BD483" i="30"/>
  <c r="BC483" i="30"/>
  <c r="BA483" i="30"/>
  <c r="AY483" i="30"/>
  <c r="AX483" i="30"/>
  <c r="AW483" i="30"/>
  <c r="AU483" i="30"/>
  <c r="AT483" i="30"/>
  <c r="AS483" i="30"/>
  <c r="AR483" i="30"/>
  <c r="AQ483" i="30"/>
  <c r="AV483" i="30" s="1"/>
  <c r="H483" i="30"/>
  <c r="J483" i="30" s="1"/>
  <c r="BK482" i="30"/>
  <c r="BJ482" i="30"/>
  <c r="BI482" i="30"/>
  <c r="BH482" i="30"/>
  <c r="BG482" i="30"/>
  <c r="BF482" i="30"/>
  <c r="BD482" i="30"/>
  <c r="BC482" i="30"/>
  <c r="BA482" i="30"/>
  <c r="AY482" i="30"/>
  <c r="AX482" i="30"/>
  <c r="AW482" i="30"/>
  <c r="AU482" i="30"/>
  <c r="AT482" i="30"/>
  <c r="AS482" i="30"/>
  <c r="AR482" i="30"/>
  <c r="AQ482" i="30"/>
  <c r="AV482" i="30" s="1"/>
  <c r="H482" i="30"/>
  <c r="J482" i="30" s="1"/>
  <c r="BK481" i="30"/>
  <c r="BJ481" i="30"/>
  <c r="BI481" i="30"/>
  <c r="BH481" i="30"/>
  <c r="BG481" i="30"/>
  <c r="BF481" i="30"/>
  <c r="BD481" i="30"/>
  <c r="BC481" i="30"/>
  <c r="BA481" i="30"/>
  <c r="AY481" i="30"/>
  <c r="AX481" i="30"/>
  <c r="AW481" i="30"/>
  <c r="AU481" i="30"/>
  <c r="AT481" i="30"/>
  <c r="AS481" i="30"/>
  <c r="AR481" i="30"/>
  <c r="AQ481" i="30"/>
  <c r="AV481" i="30" s="1"/>
  <c r="H481" i="30"/>
  <c r="J481" i="30" s="1"/>
  <c r="BK480" i="30"/>
  <c r="BJ480" i="30"/>
  <c r="BI480" i="30"/>
  <c r="BH480" i="30"/>
  <c r="BG480" i="30"/>
  <c r="BF480" i="30"/>
  <c r="BD480" i="30"/>
  <c r="BC480" i="30"/>
  <c r="BA480" i="30"/>
  <c r="AY480" i="30"/>
  <c r="AX480" i="30"/>
  <c r="AW480" i="30"/>
  <c r="AU480" i="30"/>
  <c r="AT480" i="30"/>
  <c r="AS480" i="30"/>
  <c r="AR480" i="30"/>
  <c r="AQ480" i="30"/>
  <c r="AV480" i="30" s="1"/>
  <c r="AZ480" i="30" s="1"/>
  <c r="H480" i="30"/>
  <c r="J480" i="30" s="1"/>
  <c r="BK479" i="30"/>
  <c r="BJ479" i="30"/>
  <c r="BI479" i="30"/>
  <c r="BH479" i="30"/>
  <c r="BG479" i="30"/>
  <c r="BF479" i="30"/>
  <c r="BC479" i="30"/>
  <c r="BA479" i="30"/>
  <c r="AY479" i="30"/>
  <c r="AX479" i="30"/>
  <c r="AW479" i="30"/>
  <c r="AU479" i="30"/>
  <c r="AT479" i="30"/>
  <c r="AS479" i="30"/>
  <c r="AR479" i="30"/>
  <c r="AQ479" i="30"/>
  <c r="AV479" i="30" s="1"/>
  <c r="X479" i="30"/>
  <c r="H479" i="30"/>
  <c r="J479" i="30" s="1"/>
  <c r="BK478" i="30"/>
  <c r="BJ478" i="30"/>
  <c r="BI478" i="30"/>
  <c r="BH478" i="30"/>
  <c r="BG478" i="30"/>
  <c r="BF478" i="30"/>
  <c r="BC478" i="30"/>
  <c r="BA478" i="30"/>
  <c r="AY478" i="30"/>
  <c r="AX478" i="30"/>
  <c r="AW478" i="30"/>
  <c r="AU478" i="30"/>
  <c r="AT478" i="30"/>
  <c r="AS478" i="30"/>
  <c r="AR478" i="30"/>
  <c r="AQ478" i="30"/>
  <c r="AV478" i="30" s="1"/>
  <c r="X478" i="30"/>
  <c r="H478" i="30"/>
  <c r="J478" i="30" s="1"/>
  <c r="BK477" i="30"/>
  <c r="BJ477" i="30"/>
  <c r="BI477" i="30"/>
  <c r="BH477" i="30"/>
  <c r="BG477" i="30"/>
  <c r="BF477" i="30"/>
  <c r="BC477" i="30"/>
  <c r="BA477" i="30"/>
  <c r="AY477" i="30"/>
  <c r="AX477" i="30"/>
  <c r="AW477" i="30"/>
  <c r="AU477" i="30"/>
  <c r="AT477" i="30"/>
  <c r="AS477" i="30"/>
  <c r="AR477" i="30"/>
  <c r="AQ477" i="30"/>
  <c r="AV477" i="30" s="1"/>
  <c r="X477" i="30"/>
  <c r="H477" i="30"/>
  <c r="J477" i="30" s="1"/>
  <c r="T477" i="30" s="1"/>
  <c r="BE477" i="30" s="1"/>
  <c r="BK476" i="30"/>
  <c r="BJ476" i="30"/>
  <c r="BI476" i="30"/>
  <c r="BH476" i="30"/>
  <c r="BG476" i="30"/>
  <c r="BF476" i="30"/>
  <c r="BC476" i="30"/>
  <c r="BA476" i="30"/>
  <c r="AY476" i="30"/>
  <c r="AX476" i="30"/>
  <c r="AW476" i="30"/>
  <c r="AU476" i="30"/>
  <c r="AT476" i="30"/>
  <c r="AS476" i="30"/>
  <c r="AR476" i="30"/>
  <c r="AQ476" i="30"/>
  <c r="AV476" i="30" s="1"/>
  <c r="X476" i="30"/>
  <c r="H476" i="30"/>
  <c r="J476" i="30" s="1"/>
  <c r="BK475" i="30"/>
  <c r="BJ475" i="30"/>
  <c r="BI475" i="30"/>
  <c r="BH475" i="30"/>
  <c r="BG475" i="30"/>
  <c r="BF475" i="30"/>
  <c r="BC475" i="30"/>
  <c r="BA475" i="30"/>
  <c r="AY475" i="30"/>
  <c r="AX475" i="30"/>
  <c r="AW475" i="30"/>
  <c r="AU475" i="30"/>
  <c r="AT475" i="30"/>
  <c r="AS475" i="30"/>
  <c r="AR475" i="30"/>
  <c r="AQ475" i="30"/>
  <c r="AV475" i="30" s="1"/>
  <c r="AZ475" i="30" s="1"/>
  <c r="X475" i="30"/>
  <c r="H475" i="30"/>
  <c r="J475" i="30" s="1"/>
  <c r="BK474" i="30"/>
  <c r="BJ474" i="30"/>
  <c r="BI474" i="30"/>
  <c r="BH474" i="30"/>
  <c r="BG474" i="30"/>
  <c r="BF474" i="30"/>
  <c r="BC474" i="30"/>
  <c r="BA474" i="30"/>
  <c r="AY474" i="30"/>
  <c r="AX474" i="30"/>
  <c r="AW474" i="30"/>
  <c r="AU474" i="30"/>
  <c r="AT474" i="30"/>
  <c r="AS474" i="30"/>
  <c r="AR474" i="30"/>
  <c r="AQ474" i="30"/>
  <c r="AV474" i="30" s="1"/>
  <c r="AZ474" i="30" s="1"/>
  <c r="W474" i="30"/>
  <c r="X474" i="30" s="1"/>
  <c r="J474" i="30"/>
  <c r="L474" i="30" s="1"/>
  <c r="BK473" i="30"/>
  <c r="BJ473" i="30"/>
  <c r="BI473" i="30"/>
  <c r="BH473" i="30"/>
  <c r="BG473" i="30"/>
  <c r="BF473" i="30"/>
  <c r="BC473" i="30"/>
  <c r="BA473" i="30"/>
  <c r="AY473" i="30"/>
  <c r="AX473" i="30"/>
  <c r="AW473" i="30"/>
  <c r="AU473" i="30"/>
  <c r="AT473" i="30"/>
  <c r="AS473" i="30"/>
  <c r="AR473" i="30"/>
  <c r="AQ473" i="30"/>
  <c r="W473" i="30"/>
  <c r="X473" i="30" s="1"/>
  <c r="H473" i="30"/>
  <c r="J473" i="30" s="1"/>
  <c r="BK472" i="30"/>
  <c r="BJ472" i="30"/>
  <c r="BI472" i="30"/>
  <c r="BH472" i="30"/>
  <c r="BG472" i="30"/>
  <c r="BF472" i="30"/>
  <c r="BC472" i="30"/>
  <c r="BA472" i="30"/>
  <c r="AY472" i="30"/>
  <c r="AX472" i="30"/>
  <c r="AW472" i="30"/>
  <c r="AU472" i="30"/>
  <c r="AT472" i="30"/>
  <c r="AS472" i="30"/>
  <c r="AR472" i="30"/>
  <c r="AQ472" i="30"/>
  <c r="W472" i="30"/>
  <c r="X472" i="30" s="1"/>
  <c r="H472" i="30"/>
  <c r="J472" i="30" s="1"/>
  <c r="L472" i="30" s="1"/>
  <c r="BK471" i="30"/>
  <c r="BJ471" i="30"/>
  <c r="BI471" i="30"/>
  <c r="BH471" i="30"/>
  <c r="BG471" i="30"/>
  <c r="BF471" i="30"/>
  <c r="BC471" i="30"/>
  <c r="BA471" i="30"/>
  <c r="AY471" i="30"/>
  <c r="AX471" i="30"/>
  <c r="AW471" i="30"/>
  <c r="AU471" i="30"/>
  <c r="AT471" i="30"/>
  <c r="AS471" i="30"/>
  <c r="AR471" i="30"/>
  <c r="AQ471" i="30"/>
  <c r="W471" i="30"/>
  <c r="X471" i="30" s="1"/>
  <c r="H471" i="30"/>
  <c r="J471" i="30" s="1"/>
  <c r="BK470" i="30"/>
  <c r="BJ470" i="30"/>
  <c r="BI470" i="30"/>
  <c r="BH470" i="30"/>
  <c r="BG470" i="30"/>
  <c r="BF470" i="30"/>
  <c r="BC470" i="30"/>
  <c r="BA470" i="30"/>
  <c r="AY470" i="30"/>
  <c r="AX470" i="30"/>
  <c r="AW470" i="30"/>
  <c r="AU470" i="30"/>
  <c r="AT470" i="30"/>
  <c r="AS470" i="30"/>
  <c r="AR470" i="30"/>
  <c r="AQ470" i="30"/>
  <c r="W470" i="30"/>
  <c r="X470" i="30" s="1"/>
  <c r="H470" i="30"/>
  <c r="J470" i="30" s="1"/>
  <c r="BK469" i="30"/>
  <c r="BJ469" i="30"/>
  <c r="BI469" i="30"/>
  <c r="BH469" i="30"/>
  <c r="BG469" i="30"/>
  <c r="BF469" i="30"/>
  <c r="BC469" i="30"/>
  <c r="BA469" i="30"/>
  <c r="AY469" i="30"/>
  <c r="AX469" i="30"/>
  <c r="AW469" i="30"/>
  <c r="AU469" i="30"/>
  <c r="AT469" i="30"/>
  <c r="AS469" i="30"/>
  <c r="AR469" i="30"/>
  <c r="AQ469" i="30"/>
  <c r="W469" i="30"/>
  <c r="X469" i="30" s="1"/>
  <c r="H469" i="30"/>
  <c r="J469" i="30" s="1"/>
  <c r="T469" i="30" s="1"/>
  <c r="BE469" i="30" s="1"/>
  <c r="BK468" i="30"/>
  <c r="BJ468" i="30"/>
  <c r="BI468" i="30"/>
  <c r="BH468" i="30"/>
  <c r="BG468" i="30"/>
  <c r="BF468" i="30"/>
  <c r="BC468" i="30"/>
  <c r="BA468" i="30"/>
  <c r="AY468" i="30"/>
  <c r="AX468" i="30"/>
  <c r="AW468" i="30"/>
  <c r="AU468" i="30"/>
  <c r="AT468" i="30"/>
  <c r="AS468" i="30"/>
  <c r="AR468" i="30"/>
  <c r="AQ468" i="30"/>
  <c r="W468" i="30"/>
  <c r="X468" i="30" s="1"/>
  <c r="H468" i="30"/>
  <c r="J468" i="30" s="1"/>
  <c r="O468" i="30" s="1"/>
  <c r="BK467" i="30"/>
  <c r="BJ467" i="30"/>
  <c r="BI467" i="30"/>
  <c r="BH467" i="30"/>
  <c r="BG467" i="30"/>
  <c r="BF467" i="30"/>
  <c r="BC467" i="30"/>
  <c r="BA467" i="30"/>
  <c r="AY467" i="30"/>
  <c r="AX467" i="30"/>
  <c r="AW467" i="30"/>
  <c r="AU467" i="30"/>
  <c r="AT467" i="30"/>
  <c r="AS467" i="30"/>
  <c r="AR467" i="30"/>
  <c r="AQ467" i="30"/>
  <c r="W467" i="30"/>
  <c r="X467" i="30" s="1"/>
  <c r="H467" i="30"/>
  <c r="J467" i="30" s="1"/>
  <c r="BK466" i="30"/>
  <c r="BJ466" i="30"/>
  <c r="BI466" i="30"/>
  <c r="BH466" i="30"/>
  <c r="BG466" i="30"/>
  <c r="BF466" i="30"/>
  <c r="BC466" i="30"/>
  <c r="BA466" i="30"/>
  <c r="AY466" i="30"/>
  <c r="AX466" i="30"/>
  <c r="AW466" i="30"/>
  <c r="AU466" i="30"/>
  <c r="AT466" i="30"/>
  <c r="AS466" i="30"/>
  <c r="AR466" i="30"/>
  <c r="AQ466" i="30"/>
  <c r="W466" i="30"/>
  <c r="X466" i="30" s="1"/>
  <c r="H466" i="30"/>
  <c r="J466" i="30" s="1"/>
  <c r="BK465" i="30"/>
  <c r="BJ465" i="30"/>
  <c r="BI465" i="30"/>
  <c r="BH465" i="30"/>
  <c r="BG465" i="30"/>
  <c r="BF465" i="30"/>
  <c r="BC465" i="30"/>
  <c r="BA465" i="30"/>
  <c r="AY465" i="30"/>
  <c r="AX465" i="30"/>
  <c r="AW465" i="30"/>
  <c r="AU465" i="30"/>
  <c r="AT465" i="30"/>
  <c r="AS465" i="30"/>
  <c r="AR465" i="30"/>
  <c r="AQ465" i="30"/>
  <c r="W465" i="30"/>
  <c r="X465" i="30" s="1"/>
  <c r="H465" i="30"/>
  <c r="J465" i="30" s="1"/>
  <c r="BK464" i="30"/>
  <c r="BJ464" i="30"/>
  <c r="BI464" i="30"/>
  <c r="BH464" i="30"/>
  <c r="BG464" i="30"/>
  <c r="BF464" i="30"/>
  <c r="BC464" i="30"/>
  <c r="BA464" i="30"/>
  <c r="AY464" i="30"/>
  <c r="AX464" i="30"/>
  <c r="AW464" i="30"/>
  <c r="AU464" i="30"/>
  <c r="AT464" i="30"/>
  <c r="AS464" i="30"/>
  <c r="AR464" i="30"/>
  <c r="AQ464" i="30"/>
  <c r="W464" i="30"/>
  <c r="X464" i="30" s="1"/>
  <c r="H464" i="30"/>
  <c r="J464" i="30" s="1"/>
  <c r="BK463" i="30"/>
  <c r="BJ463" i="30"/>
  <c r="BI463" i="30"/>
  <c r="BH463" i="30"/>
  <c r="BG463" i="30"/>
  <c r="BF463" i="30"/>
  <c r="BC463" i="30"/>
  <c r="BA463" i="30"/>
  <c r="AY463" i="30"/>
  <c r="AX463" i="30"/>
  <c r="AW463" i="30"/>
  <c r="AU463" i="30"/>
  <c r="AT463" i="30"/>
  <c r="AS463" i="30"/>
  <c r="AR463" i="30"/>
  <c r="AQ463" i="30"/>
  <c r="W463" i="30"/>
  <c r="X463" i="30" s="1"/>
  <c r="H463" i="30"/>
  <c r="J463" i="30" s="1"/>
  <c r="BK462" i="30"/>
  <c r="BJ462" i="30"/>
  <c r="BI462" i="30"/>
  <c r="BH462" i="30"/>
  <c r="BG462" i="30"/>
  <c r="BF462" i="30"/>
  <c r="BC462" i="30"/>
  <c r="BA462" i="30"/>
  <c r="AY462" i="30"/>
  <c r="AX462" i="30"/>
  <c r="AW462" i="30"/>
  <c r="AU462" i="30"/>
  <c r="AT462" i="30"/>
  <c r="AS462" i="30"/>
  <c r="AR462" i="30"/>
  <c r="AQ462" i="30"/>
  <c r="W462" i="30"/>
  <c r="X462" i="30" s="1"/>
  <c r="H462" i="30"/>
  <c r="J462" i="30" s="1"/>
  <c r="W461" i="30"/>
  <c r="R461" i="30"/>
  <c r="J461" i="30"/>
  <c r="BK460" i="30"/>
  <c r="BJ460" i="30"/>
  <c r="BI460" i="30"/>
  <c r="BH460" i="30"/>
  <c r="BG460" i="30"/>
  <c r="BF460" i="30"/>
  <c r="BC460" i="30"/>
  <c r="BA460" i="30"/>
  <c r="AY460" i="30"/>
  <c r="AX460" i="30"/>
  <c r="AW460" i="30"/>
  <c r="AU460" i="30"/>
  <c r="AT460" i="30"/>
  <c r="AS460" i="30"/>
  <c r="AR460" i="30"/>
  <c r="AQ460" i="30"/>
  <c r="W460" i="30"/>
  <c r="X460" i="30" s="1"/>
  <c r="H460" i="30"/>
  <c r="J460" i="30" s="1"/>
  <c r="BK459" i="30"/>
  <c r="BJ459" i="30"/>
  <c r="BI459" i="30"/>
  <c r="BH459" i="30"/>
  <c r="BG459" i="30"/>
  <c r="BF459" i="30"/>
  <c r="BC459" i="30"/>
  <c r="BA459" i="30"/>
  <c r="AY459" i="30"/>
  <c r="AX459" i="30"/>
  <c r="AW459" i="30"/>
  <c r="AU459" i="30"/>
  <c r="AT459" i="30"/>
  <c r="AS459" i="30"/>
  <c r="AR459" i="30"/>
  <c r="AQ459" i="30"/>
  <c r="W459" i="30"/>
  <c r="X459" i="30" s="1"/>
  <c r="H459" i="30"/>
  <c r="J459" i="30" s="1"/>
  <c r="L459" i="30" s="1"/>
  <c r="BK458" i="30"/>
  <c r="BJ458" i="30"/>
  <c r="BI458" i="30"/>
  <c r="BH458" i="30"/>
  <c r="BG458" i="30"/>
  <c r="BF458" i="30"/>
  <c r="BC458" i="30"/>
  <c r="BA458" i="30"/>
  <c r="AY458" i="30"/>
  <c r="AX458" i="30"/>
  <c r="AW458" i="30"/>
  <c r="AU458" i="30"/>
  <c r="AT458" i="30"/>
  <c r="AS458" i="30"/>
  <c r="AR458" i="30"/>
  <c r="AQ458" i="30"/>
  <c r="W458" i="30"/>
  <c r="X458" i="30" s="1"/>
  <c r="Y458" i="30" s="1"/>
  <c r="BQ458" i="30" s="1"/>
  <c r="H458" i="30"/>
  <c r="J458" i="30" s="1"/>
  <c r="L458" i="30" s="1"/>
  <c r="BK457" i="30"/>
  <c r="BJ457" i="30"/>
  <c r="BI457" i="30"/>
  <c r="BH457" i="30"/>
  <c r="BG457" i="30"/>
  <c r="BF457" i="30"/>
  <c r="BC457" i="30"/>
  <c r="BA457" i="30"/>
  <c r="AY457" i="30"/>
  <c r="AX457" i="30"/>
  <c r="AW457" i="30"/>
  <c r="AU457" i="30"/>
  <c r="AT457" i="30"/>
  <c r="AS457" i="30"/>
  <c r="AR457" i="30"/>
  <c r="AQ457" i="30"/>
  <c r="W457" i="30"/>
  <c r="X457" i="30" s="1"/>
  <c r="Y457" i="30" s="1"/>
  <c r="BQ457" i="30" s="1"/>
  <c r="H457" i="30"/>
  <c r="J457" i="30" s="1"/>
  <c r="BK456" i="30"/>
  <c r="BJ456" i="30"/>
  <c r="BI456" i="30"/>
  <c r="BH456" i="30"/>
  <c r="BG456" i="30"/>
  <c r="BF456" i="30"/>
  <c r="BC456" i="30"/>
  <c r="BA456" i="30"/>
  <c r="AY456" i="30"/>
  <c r="AX456" i="30"/>
  <c r="AW456" i="30"/>
  <c r="AU456" i="30"/>
  <c r="AT456" i="30"/>
  <c r="AS456" i="30"/>
  <c r="AR456" i="30"/>
  <c r="AQ456" i="30"/>
  <c r="W456" i="30"/>
  <c r="X456" i="30" s="1"/>
  <c r="H456" i="30"/>
  <c r="J456" i="30" s="1"/>
  <c r="BK455" i="30"/>
  <c r="BJ455" i="30"/>
  <c r="BI455" i="30"/>
  <c r="BH455" i="30"/>
  <c r="BG455" i="30"/>
  <c r="BF455" i="30"/>
  <c r="BC455" i="30"/>
  <c r="BA455" i="30"/>
  <c r="AY455" i="30"/>
  <c r="AX455" i="30"/>
  <c r="AW455" i="30"/>
  <c r="AU455" i="30"/>
  <c r="AT455" i="30"/>
  <c r="AS455" i="30"/>
  <c r="AR455" i="30"/>
  <c r="AQ455" i="30"/>
  <c r="W455" i="30"/>
  <c r="X455" i="30" s="1"/>
  <c r="H455" i="30"/>
  <c r="J455" i="30" s="1"/>
  <c r="BK454" i="30"/>
  <c r="BJ454" i="30"/>
  <c r="BI454" i="30"/>
  <c r="BH454" i="30"/>
  <c r="BG454" i="30"/>
  <c r="BF454" i="30"/>
  <c r="BC454" i="30"/>
  <c r="BA454" i="30"/>
  <c r="AY454" i="30"/>
  <c r="AX454" i="30"/>
  <c r="AW454" i="30"/>
  <c r="AU454" i="30"/>
  <c r="AT454" i="30"/>
  <c r="AS454" i="30"/>
  <c r="AR454" i="30"/>
  <c r="AQ454" i="30"/>
  <c r="W454" i="30"/>
  <c r="X454" i="30" s="1"/>
  <c r="H454" i="30"/>
  <c r="J454" i="30" s="1"/>
  <c r="BK453" i="30"/>
  <c r="BJ453" i="30"/>
  <c r="BI453" i="30"/>
  <c r="BH453" i="30"/>
  <c r="BG453" i="30"/>
  <c r="BF453" i="30"/>
  <c r="BC453" i="30"/>
  <c r="BA453" i="30"/>
  <c r="AY453" i="30"/>
  <c r="AX453" i="30"/>
  <c r="AW453" i="30"/>
  <c r="AU453" i="30"/>
  <c r="AT453" i="30"/>
  <c r="AS453" i="30"/>
  <c r="AR453" i="30"/>
  <c r="AQ453" i="30"/>
  <c r="W453" i="30"/>
  <c r="X453" i="30" s="1"/>
  <c r="H453" i="30"/>
  <c r="J453" i="30" s="1"/>
  <c r="L453" i="30" s="1"/>
  <c r="BK452" i="30"/>
  <c r="BJ452" i="30"/>
  <c r="BI452" i="30"/>
  <c r="BH452" i="30"/>
  <c r="BG452" i="30"/>
  <c r="BF452" i="30"/>
  <c r="BC452" i="30"/>
  <c r="BA452" i="30"/>
  <c r="AY452" i="30"/>
  <c r="AX452" i="30"/>
  <c r="AW452" i="30"/>
  <c r="AU452" i="30"/>
  <c r="AT452" i="30"/>
  <c r="AS452" i="30"/>
  <c r="AR452" i="30"/>
  <c r="AQ452" i="30"/>
  <c r="W452" i="30"/>
  <c r="X452" i="30" s="1"/>
  <c r="H452" i="30"/>
  <c r="J452" i="30" s="1"/>
  <c r="BK451" i="30"/>
  <c r="BJ451" i="30"/>
  <c r="BI451" i="30"/>
  <c r="BH451" i="30"/>
  <c r="BG451" i="30"/>
  <c r="BF451" i="30"/>
  <c r="BC451" i="30"/>
  <c r="BA451" i="30"/>
  <c r="AY451" i="30"/>
  <c r="AX451" i="30"/>
  <c r="AW451" i="30"/>
  <c r="AU451" i="30"/>
  <c r="AT451" i="30"/>
  <c r="AS451" i="30"/>
  <c r="AR451" i="30"/>
  <c r="AQ451" i="30"/>
  <c r="W451" i="30"/>
  <c r="X451" i="30" s="1"/>
  <c r="H451" i="30"/>
  <c r="J451" i="30" s="1"/>
  <c r="BK450" i="30"/>
  <c r="BJ450" i="30"/>
  <c r="BI450" i="30"/>
  <c r="BH450" i="30"/>
  <c r="BG450" i="30"/>
  <c r="BF450" i="30"/>
  <c r="BC450" i="30"/>
  <c r="BA450" i="30"/>
  <c r="AY450" i="30"/>
  <c r="AX450" i="30"/>
  <c r="AW450" i="30"/>
  <c r="AU450" i="30"/>
  <c r="AT450" i="30"/>
  <c r="AS450" i="30"/>
  <c r="AR450" i="30"/>
  <c r="AQ450" i="30"/>
  <c r="W450" i="30"/>
  <c r="X450" i="30" s="1"/>
  <c r="H450" i="30"/>
  <c r="J450" i="30" s="1"/>
  <c r="BK449" i="30"/>
  <c r="BJ449" i="30"/>
  <c r="BI449" i="30"/>
  <c r="BH449" i="30"/>
  <c r="BG449" i="30"/>
  <c r="BF449" i="30"/>
  <c r="BC449" i="30"/>
  <c r="BA449" i="30"/>
  <c r="AY449" i="30"/>
  <c r="AX449" i="30"/>
  <c r="AW449" i="30"/>
  <c r="AU449" i="30"/>
  <c r="AT449" i="30"/>
  <c r="AS449" i="30"/>
  <c r="AR449" i="30"/>
  <c r="AQ449" i="30"/>
  <c r="W449" i="30"/>
  <c r="X449" i="30" s="1"/>
  <c r="H449" i="30"/>
  <c r="J449" i="30" s="1"/>
  <c r="BK448" i="30"/>
  <c r="BJ448" i="30"/>
  <c r="BI448" i="30"/>
  <c r="BH448" i="30"/>
  <c r="BG448" i="30"/>
  <c r="BF448" i="30"/>
  <c r="BC448" i="30"/>
  <c r="BA448" i="30"/>
  <c r="AY448" i="30"/>
  <c r="AX448" i="30"/>
  <c r="AW448" i="30"/>
  <c r="AU448" i="30"/>
  <c r="AT448" i="30"/>
  <c r="AS448" i="30"/>
  <c r="AR448" i="30"/>
  <c r="AQ448" i="30"/>
  <c r="W448" i="30"/>
  <c r="X448" i="30" s="1"/>
  <c r="R448" i="30"/>
  <c r="H448" i="30"/>
  <c r="J448" i="30" s="1"/>
  <c r="BK447" i="30"/>
  <c r="BJ447" i="30"/>
  <c r="BI447" i="30"/>
  <c r="BH447" i="30"/>
  <c r="BG447" i="30"/>
  <c r="BF447" i="30"/>
  <c r="BC447" i="30"/>
  <c r="BA447" i="30"/>
  <c r="AY447" i="30"/>
  <c r="AX447" i="30"/>
  <c r="AW447" i="30"/>
  <c r="AU447" i="30"/>
  <c r="AT447" i="30"/>
  <c r="AS447" i="30"/>
  <c r="AR447" i="30"/>
  <c r="AQ447" i="30"/>
  <c r="W447" i="30"/>
  <c r="X447" i="30" s="1"/>
  <c r="H447" i="30"/>
  <c r="J447" i="30" s="1"/>
  <c r="BK446" i="30"/>
  <c r="BJ446" i="30"/>
  <c r="BI446" i="30"/>
  <c r="BH446" i="30"/>
  <c r="BG446" i="30"/>
  <c r="BF446" i="30"/>
  <c r="BC446" i="30"/>
  <c r="BA446" i="30"/>
  <c r="AY446" i="30"/>
  <c r="AX446" i="30"/>
  <c r="AW446" i="30"/>
  <c r="AU446" i="30"/>
  <c r="AT446" i="30"/>
  <c r="AS446" i="30"/>
  <c r="AR446" i="30"/>
  <c r="AQ446" i="30"/>
  <c r="W446" i="30"/>
  <c r="X446" i="30" s="1"/>
  <c r="Y446" i="30" s="1"/>
  <c r="H446" i="30"/>
  <c r="J446" i="30" s="1"/>
  <c r="BK445" i="30"/>
  <c r="BJ445" i="30"/>
  <c r="BI445" i="30"/>
  <c r="BH445" i="30"/>
  <c r="BG445" i="30"/>
  <c r="BF445" i="30"/>
  <c r="BC445" i="30"/>
  <c r="BA445" i="30"/>
  <c r="AY445" i="30"/>
  <c r="AX445" i="30"/>
  <c r="AW445" i="30"/>
  <c r="AU445" i="30"/>
  <c r="AT445" i="30"/>
  <c r="AS445" i="30"/>
  <c r="AR445" i="30"/>
  <c r="AQ445" i="30"/>
  <c r="W445" i="30"/>
  <c r="X445" i="30" s="1"/>
  <c r="H445" i="30"/>
  <c r="J445" i="30" s="1"/>
  <c r="BK444" i="30"/>
  <c r="BJ444" i="30"/>
  <c r="BI444" i="30"/>
  <c r="BH444" i="30"/>
  <c r="BG444" i="30"/>
  <c r="BF444" i="30"/>
  <c r="BC444" i="30"/>
  <c r="BA444" i="30"/>
  <c r="AY444" i="30"/>
  <c r="AX444" i="30"/>
  <c r="AW444" i="30"/>
  <c r="AU444" i="30"/>
  <c r="AT444" i="30"/>
  <c r="AS444" i="30"/>
  <c r="AR444" i="30"/>
  <c r="AQ444" i="30"/>
  <c r="W444" i="30"/>
  <c r="X444" i="30" s="1"/>
  <c r="H444" i="30"/>
  <c r="J444" i="30" s="1"/>
  <c r="BK443" i="30"/>
  <c r="BJ443" i="30"/>
  <c r="BI443" i="30"/>
  <c r="BH443" i="30"/>
  <c r="BG443" i="30"/>
  <c r="BF443" i="30"/>
  <c r="BC443" i="30"/>
  <c r="BA443" i="30"/>
  <c r="AY443" i="30"/>
  <c r="AX443" i="30"/>
  <c r="AW443" i="30"/>
  <c r="AU443" i="30"/>
  <c r="AT443" i="30"/>
  <c r="AS443" i="30"/>
  <c r="AR443" i="30"/>
  <c r="AQ443" i="30"/>
  <c r="W443" i="30"/>
  <c r="X443" i="30" s="1"/>
  <c r="H443" i="30"/>
  <c r="J443" i="30" s="1"/>
  <c r="BK442" i="30"/>
  <c r="BJ442" i="30"/>
  <c r="BI442" i="30"/>
  <c r="BH442" i="30"/>
  <c r="BG442" i="30"/>
  <c r="BF442" i="30"/>
  <c r="BC442" i="30"/>
  <c r="BA442" i="30"/>
  <c r="AY442" i="30"/>
  <c r="AX442" i="30"/>
  <c r="AW442" i="30"/>
  <c r="AU442" i="30"/>
  <c r="AT442" i="30"/>
  <c r="AS442" i="30"/>
  <c r="AR442" i="30"/>
  <c r="AQ442" i="30"/>
  <c r="W442" i="30"/>
  <c r="X442" i="30" s="1"/>
  <c r="H442" i="30"/>
  <c r="J442" i="30" s="1"/>
  <c r="T442" i="30" s="1"/>
  <c r="BE442" i="30" s="1"/>
  <c r="BK441" i="30"/>
  <c r="BJ441" i="30"/>
  <c r="BI441" i="30"/>
  <c r="BH441" i="30"/>
  <c r="BG441" i="30"/>
  <c r="BF441" i="30"/>
  <c r="BC441" i="30"/>
  <c r="BA441" i="30"/>
  <c r="AY441" i="30"/>
  <c r="AX441" i="30"/>
  <c r="AW441" i="30"/>
  <c r="AU441" i="30"/>
  <c r="AT441" i="30"/>
  <c r="AS441" i="30"/>
  <c r="AR441" i="30"/>
  <c r="AQ441" i="30"/>
  <c r="W441" i="30"/>
  <c r="X441" i="30" s="1"/>
  <c r="H441" i="30"/>
  <c r="J441" i="30" s="1"/>
  <c r="BK440" i="30"/>
  <c r="BJ440" i="30"/>
  <c r="BI440" i="30"/>
  <c r="BH440" i="30"/>
  <c r="BG440" i="30"/>
  <c r="BF440" i="30"/>
  <c r="BC440" i="30"/>
  <c r="BA440" i="30"/>
  <c r="AY440" i="30"/>
  <c r="AX440" i="30"/>
  <c r="AW440" i="30"/>
  <c r="AU440" i="30"/>
  <c r="AT440" i="30"/>
  <c r="AS440" i="30"/>
  <c r="AR440" i="30"/>
  <c r="AQ440" i="30"/>
  <c r="W440" i="30"/>
  <c r="X440" i="30" s="1"/>
  <c r="H440" i="30"/>
  <c r="J440" i="30" s="1"/>
  <c r="BK439" i="30"/>
  <c r="BJ439" i="30"/>
  <c r="BI439" i="30"/>
  <c r="BH439" i="30"/>
  <c r="BG439" i="30"/>
  <c r="BF439" i="30"/>
  <c r="BC439" i="30"/>
  <c r="BA439" i="30"/>
  <c r="AY439" i="30"/>
  <c r="AX439" i="30"/>
  <c r="AW439" i="30"/>
  <c r="AU439" i="30"/>
  <c r="AT439" i="30"/>
  <c r="AS439" i="30"/>
  <c r="AR439" i="30"/>
  <c r="AQ439" i="30"/>
  <c r="W439" i="30"/>
  <c r="X439" i="30" s="1"/>
  <c r="H439" i="30"/>
  <c r="J439" i="30" s="1"/>
  <c r="L439" i="30" s="1"/>
  <c r="BK438" i="30"/>
  <c r="BJ438" i="30"/>
  <c r="BI438" i="30"/>
  <c r="BH438" i="30"/>
  <c r="BG438" i="30"/>
  <c r="BF438" i="30"/>
  <c r="BC438" i="30"/>
  <c r="BA438" i="30"/>
  <c r="AY438" i="30"/>
  <c r="AX438" i="30"/>
  <c r="AW438" i="30"/>
  <c r="AU438" i="30"/>
  <c r="AT438" i="30"/>
  <c r="AS438" i="30"/>
  <c r="AR438" i="30"/>
  <c r="AQ438" i="30"/>
  <c r="W438" i="30"/>
  <c r="X438" i="30" s="1"/>
  <c r="H438" i="30"/>
  <c r="J438" i="30" s="1"/>
  <c r="BK437" i="30"/>
  <c r="BJ437" i="30"/>
  <c r="BI437" i="30"/>
  <c r="BH437" i="30"/>
  <c r="BG437" i="30"/>
  <c r="BF437" i="30"/>
  <c r="BC437" i="30"/>
  <c r="BA437" i="30"/>
  <c r="AY437" i="30"/>
  <c r="AX437" i="30"/>
  <c r="AW437" i="30"/>
  <c r="AU437" i="30"/>
  <c r="AT437" i="30"/>
  <c r="AS437" i="30"/>
  <c r="AR437" i="30"/>
  <c r="AQ437" i="30"/>
  <c r="W437" i="30"/>
  <c r="X437" i="30" s="1"/>
  <c r="H437" i="30"/>
  <c r="J437" i="30" s="1"/>
  <c r="BK436" i="30"/>
  <c r="BJ436" i="30"/>
  <c r="BI436" i="30"/>
  <c r="BH436" i="30"/>
  <c r="BG436" i="30"/>
  <c r="BF436" i="30"/>
  <c r="BC436" i="30"/>
  <c r="BA436" i="30"/>
  <c r="AY436" i="30"/>
  <c r="AX436" i="30"/>
  <c r="AW436" i="30"/>
  <c r="AU436" i="30"/>
  <c r="AT436" i="30"/>
  <c r="AS436" i="30"/>
  <c r="AR436" i="30"/>
  <c r="AQ436" i="30"/>
  <c r="W436" i="30"/>
  <c r="X436" i="30" s="1"/>
  <c r="H436" i="30"/>
  <c r="J436" i="30" s="1"/>
  <c r="BK435" i="30"/>
  <c r="BJ435" i="30"/>
  <c r="BI435" i="30"/>
  <c r="BH435" i="30"/>
  <c r="BG435" i="30"/>
  <c r="BF435" i="30"/>
  <c r="BC435" i="30"/>
  <c r="BA435" i="30"/>
  <c r="AY435" i="30"/>
  <c r="AX435" i="30"/>
  <c r="AW435" i="30"/>
  <c r="AU435" i="30"/>
  <c r="AT435" i="30"/>
  <c r="AS435" i="30"/>
  <c r="AR435" i="30"/>
  <c r="AQ435" i="30"/>
  <c r="W435" i="30"/>
  <c r="X435" i="30" s="1"/>
  <c r="H435" i="30"/>
  <c r="J435" i="30" s="1"/>
  <c r="T435" i="30" s="1"/>
  <c r="BE435" i="30" s="1"/>
  <c r="BK434" i="30"/>
  <c r="BJ434" i="30"/>
  <c r="BI434" i="30"/>
  <c r="BH434" i="30"/>
  <c r="BG434" i="30"/>
  <c r="BF434" i="30"/>
  <c r="BC434" i="30"/>
  <c r="BA434" i="30"/>
  <c r="AY434" i="30"/>
  <c r="AX434" i="30"/>
  <c r="AW434" i="30"/>
  <c r="AU434" i="30"/>
  <c r="AT434" i="30"/>
  <c r="AS434" i="30"/>
  <c r="AR434" i="30"/>
  <c r="AQ434" i="30"/>
  <c r="W434" i="30"/>
  <c r="X434" i="30" s="1"/>
  <c r="H434" i="30"/>
  <c r="J434" i="30" s="1"/>
  <c r="BK433" i="30"/>
  <c r="BJ433" i="30"/>
  <c r="BI433" i="30"/>
  <c r="BH433" i="30"/>
  <c r="BG433" i="30"/>
  <c r="BF433" i="30"/>
  <c r="BC433" i="30"/>
  <c r="BA433" i="30"/>
  <c r="AY433" i="30"/>
  <c r="AX433" i="30"/>
  <c r="AW433" i="30"/>
  <c r="AU433" i="30"/>
  <c r="AT433" i="30"/>
  <c r="AS433" i="30"/>
  <c r="AR433" i="30"/>
  <c r="AQ433" i="30"/>
  <c r="W433" i="30"/>
  <c r="R433" i="30"/>
  <c r="H433" i="30"/>
  <c r="J433" i="30" s="1"/>
  <c r="L433" i="30" s="1"/>
  <c r="BK432" i="30"/>
  <c r="BJ432" i="30"/>
  <c r="BI432" i="30"/>
  <c r="BH432" i="30"/>
  <c r="BG432" i="30"/>
  <c r="BF432" i="30"/>
  <c r="BC432" i="30"/>
  <c r="BA432" i="30"/>
  <c r="AY432" i="30"/>
  <c r="AX432" i="30"/>
  <c r="AW432" i="30"/>
  <c r="AU432" i="30"/>
  <c r="AT432" i="30"/>
  <c r="AS432" i="30"/>
  <c r="AR432" i="30"/>
  <c r="AQ432" i="30"/>
  <c r="W432" i="30"/>
  <c r="X432" i="30" s="1"/>
  <c r="H432" i="30"/>
  <c r="J432" i="30" s="1"/>
  <c r="BK431" i="30"/>
  <c r="BJ431" i="30"/>
  <c r="BI431" i="30"/>
  <c r="BH431" i="30"/>
  <c r="BG431" i="30"/>
  <c r="BF431" i="30"/>
  <c r="BC431" i="30"/>
  <c r="BA431" i="30"/>
  <c r="AY431" i="30"/>
  <c r="AX431" i="30"/>
  <c r="AW431" i="30"/>
  <c r="AU431" i="30"/>
  <c r="AT431" i="30"/>
  <c r="AS431" i="30"/>
  <c r="AR431" i="30"/>
  <c r="AQ431" i="30"/>
  <c r="W431" i="30"/>
  <c r="X431" i="30" s="1"/>
  <c r="H431" i="30"/>
  <c r="J431" i="30" s="1"/>
  <c r="L431" i="30" s="1"/>
  <c r="BK430" i="30"/>
  <c r="BJ430" i="30"/>
  <c r="BI430" i="30"/>
  <c r="BH430" i="30"/>
  <c r="BG430" i="30"/>
  <c r="BF430" i="30"/>
  <c r="BC430" i="30"/>
  <c r="BA430" i="30"/>
  <c r="AY430" i="30"/>
  <c r="AX430" i="30"/>
  <c r="AW430" i="30"/>
  <c r="AU430" i="30"/>
  <c r="AT430" i="30"/>
  <c r="AS430" i="30"/>
  <c r="AR430" i="30"/>
  <c r="AQ430" i="30"/>
  <c r="W430" i="30"/>
  <c r="X430" i="30" s="1"/>
  <c r="H430" i="30"/>
  <c r="J430" i="30" s="1"/>
  <c r="BK429" i="30"/>
  <c r="BJ429" i="30"/>
  <c r="BI429" i="30"/>
  <c r="BH429" i="30"/>
  <c r="BG429" i="30"/>
  <c r="BF429" i="30"/>
  <c r="BC429" i="30"/>
  <c r="BA429" i="30"/>
  <c r="AY429" i="30"/>
  <c r="AX429" i="30"/>
  <c r="AW429" i="30"/>
  <c r="AU429" i="30"/>
  <c r="AT429" i="30"/>
  <c r="AS429" i="30"/>
  <c r="AR429" i="30"/>
  <c r="AQ429" i="30"/>
  <c r="W429" i="30"/>
  <c r="X429" i="30" s="1"/>
  <c r="H429" i="30"/>
  <c r="J429" i="30" s="1"/>
  <c r="BK428" i="30"/>
  <c r="BJ428" i="30"/>
  <c r="BI428" i="30"/>
  <c r="BH428" i="30"/>
  <c r="BG428" i="30"/>
  <c r="BF428" i="30"/>
  <c r="BC428" i="30"/>
  <c r="BA428" i="30"/>
  <c r="AY428" i="30"/>
  <c r="AX428" i="30"/>
  <c r="AW428" i="30"/>
  <c r="AU428" i="30"/>
  <c r="AT428" i="30"/>
  <c r="AS428" i="30"/>
  <c r="AR428" i="30"/>
  <c r="AQ428" i="30"/>
  <c r="W428" i="30"/>
  <c r="X428" i="30" s="1"/>
  <c r="H428" i="30"/>
  <c r="J428" i="30" s="1"/>
  <c r="BK427" i="30"/>
  <c r="BJ427" i="30"/>
  <c r="BI427" i="30"/>
  <c r="BH427" i="30"/>
  <c r="BG427" i="30"/>
  <c r="BF427" i="30"/>
  <c r="BC427" i="30"/>
  <c r="BA427" i="30"/>
  <c r="AY427" i="30"/>
  <c r="AX427" i="30"/>
  <c r="AW427" i="30"/>
  <c r="AU427" i="30"/>
  <c r="AT427" i="30"/>
  <c r="AS427" i="30"/>
  <c r="AR427" i="30"/>
  <c r="AQ427" i="30"/>
  <c r="W427" i="30"/>
  <c r="X427" i="30" s="1"/>
  <c r="H427" i="30"/>
  <c r="J427" i="30" s="1"/>
  <c r="BK426" i="30"/>
  <c r="BJ426" i="30"/>
  <c r="BI426" i="30"/>
  <c r="BH426" i="30"/>
  <c r="BG426" i="30"/>
  <c r="BF426" i="30"/>
  <c r="BC426" i="30"/>
  <c r="BA426" i="30"/>
  <c r="AY426" i="30"/>
  <c r="AX426" i="30"/>
  <c r="AW426" i="30"/>
  <c r="AU426" i="30"/>
  <c r="AT426" i="30"/>
  <c r="AS426" i="30"/>
  <c r="AR426" i="30"/>
  <c r="AQ426" i="30"/>
  <c r="W426" i="30"/>
  <c r="X426" i="30" s="1"/>
  <c r="H426" i="30"/>
  <c r="J426" i="30" s="1"/>
  <c r="T426" i="30" s="1"/>
  <c r="BE426" i="30" s="1"/>
  <c r="BK425" i="30"/>
  <c r="BJ425" i="30"/>
  <c r="BI425" i="30"/>
  <c r="BH425" i="30"/>
  <c r="BG425" i="30"/>
  <c r="BF425" i="30"/>
  <c r="BC425" i="30"/>
  <c r="BA425" i="30"/>
  <c r="AY425" i="30"/>
  <c r="AX425" i="30"/>
  <c r="AW425" i="30"/>
  <c r="AU425" i="30"/>
  <c r="AT425" i="30"/>
  <c r="AS425" i="30"/>
  <c r="AR425" i="30"/>
  <c r="AQ425" i="30"/>
  <c r="W425" i="30"/>
  <c r="X425" i="30" s="1"/>
  <c r="H425" i="30"/>
  <c r="J425" i="30" s="1"/>
  <c r="L425" i="30" s="1"/>
  <c r="BK424" i="30"/>
  <c r="BJ424" i="30"/>
  <c r="BI424" i="30"/>
  <c r="BH424" i="30"/>
  <c r="BG424" i="30"/>
  <c r="BF424" i="30"/>
  <c r="BC424" i="30"/>
  <c r="BA424" i="30"/>
  <c r="AY424" i="30"/>
  <c r="AX424" i="30"/>
  <c r="AW424" i="30"/>
  <c r="AU424" i="30"/>
  <c r="AT424" i="30"/>
  <c r="AS424" i="30"/>
  <c r="AR424" i="30"/>
  <c r="AQ424" i="30"/>
  <c r="W424" i="30"/>
  <c r="X424" i="30" s="1"/>
  <c r="H424" i="30"/>
  <c r="J424" i="30" s="1"/>
  <c r="T424" i="30" s="1"/>
  <c r="BE424" i="30" s="1"/>
  <c r="BK423" i="30"/>
  <c r="BJ423" i="30"/>
  <c r="BI423" i="30"/>
  <c r="BH423" i="30"/>
  <c r="BG423" i="30"/>
  <c r="BF423" i="30"/>
  <c r="BC423" i="30"/>
  <c r="BA423" i="30"/>
  <c r="AY423" i="30"/>
  <c r="AX423" i="30"/>
  <c r="AW423" i="30"/>
  <c r="AU423" i="30"/>
  <c r="AT423" i="30"/>
  <c r="AS423" i="30"/>
  <c r="AR423" i="30"/>
  <c r="AQ423" i="30"/>
  <c r="W423" i="30"/>
  <c r="X423" i="30" s="1"/>
  <c r="H423" i="30"/>
  <c r="J423" i="30" s="1"/>
  <c r="L423" i="30" s="1"/>
  <c r="BK422" i="30"/>
  <c r="BJ422" i="30"/>
  <c r="BI422" i="30"/>
  <c r="BH422" i="30"/>
  <c r="BG422" i="30"/>
  <c r="BF422" i="30"/>
  <c r="BC422" i="30"/>
  <c r="BA422" i="30"/>
  <c r="AY422" i="30"/>
  <c r="AX422" i="30"/>
  <c r="AW422" i="30"/>
  <c r="AU422" i="30"/>
  <c r="AT422" i="30"/>
  <c r="AS422" i="30"/>
  <c r="AR422" i="30"/>
  <c r="AQ422" i="30"/>
  <c r="W422" i="30"/>
  <c r="X422" i="30" s="1"/>
  <c r="H422" i="30"/>
  <c r="J422" i="30" s="1"/>
  <c r="BK421" i="30"/>
  <c r="BJ421" i="30"/>
  <c r="BI421" i="30"/>
  <c r="BH421" i="30"/>
  <c r="BG421" i="30"/>
  <c r="BF421" i="30"/>
  <c r="BC421" i="30"/>
  <c r="BA421" i="30"/>
  <c r="AY421" i="30"/>
  <c r="AX421" i="30"/>
  <c r="AW421" i="30"/>
  <c r="AU421" i="30"/>
  <c r="AT421" i="30"/>
  <c r="AS421" i="30"/>
  <c r="AR421" i="30"/>
  <c r="AQ421" i="30"/>
  <c r="W421" i="30"/>
  <c r="X421" i="30" s="1"/>
  <c r="H421" i="30"/>
  <c r="J421" i="30" s="1"/>
  <c r="T421" i="30" s="1"/>
  <c r="BE421" i="30" s="1"/>
  <c r="BK420" i="30"/>
  <c r="BJ420" i="30"/>
  <c r="BI420" i="30"/>
  <c r="BH420" i="30"/>
  <c r="BG420" i="30"/>
  <c r="BF420" i="30"/>
  <c r="BC420" i="30"/>
  <c r="BA420" i="30"/>
  <c r="AY420" i="30"/>
  <c r="AX420" i="30"/>
  <c r="AW420" i="30"/>
  <c r="AU420" i="30"/>
  <c r="AT420" i="30"/>
  <c r="AS420" i="30"/>
  <c r="AR420" i="30"/>
  <c r="AQ420" i="30"/>
  <c r="W420" i="30"/>
  <c r="X420" i="30" s="1"/>
  <c r="H420" i="30"/>
  <c r="J420" i="30" s="1"/>
  <c r="L420" i="30" s="1"/>
  <c r="BK419" i="30"/>
  <c r="BJ419" i="30"/>
  <c r="BI419" i="30"/>
  <c r="BH419" i="30"/>
  <c r="BG419" i="30"/>
  <c r="BF419" i="30"/>
  <c r="BC419" i="30"/>
  <c r="BA419" i="30"/>
  <c r="AY419" i="30"/>
  <c r="AX419" i="30"/>
  <c r="AW419" i="30"/>
  <c r="AU419" i="30"/>
  <c r="AT419" i="30"/>
  <c r="AS419" i="30"/>
  <c r="AR419" i="30"/>
  <c r="AQ419" i="30"/>
  <c r="W419" i="30"/>
  <c r="X419" i="30" s="1"/>
  <c r="H419" i="30"/>
  <c r="J419" i="30" s="1"/>
  <c r="L419" i="30" s="1"/>
  <c r="BK418" i="30"/>
  <c r="BJ418" i="30"/>
  <c r="BI418" i="30"/>
  <c r="BH418" i="30"/>
  <c r="BG418" i="30"/>
  <c r="BF418" i="30"/>
  <c r="BC418" i="30"/>
  <c r="BA418" i="30"/>
  <c r="AY418" i="30"/>
  <c r="AX418" i="30"/>
  <c r="AW418" i="30"/>
  <c r="AU418" i="30"/>
  <c r="AT418" i="30"/>
  <c r="AS418" i="30"/>
  <c r="AR418" i="30"/>
  <c r="AQ418" i="30"/>
  <c r="W418" i="30"/>
  <c r="X418" i="30" s="1"/>
  <c r="H418" i="30"/>
  <c r="J418" i="30" s="1"/>
  <c r="BK417" i="30"/>
  <c r="BJ417" i="30"/>
  <c r="BI417" i="30"/>
  <c r="BH417" i="30"/>
  <c r="BG417" i="30"/>
  <c r="BF417" i="30"/>
  <c r="BC417" i="30"/>
  <c r="BA417" i="30"/>
  <c r="AY417" i="30"/>
  <c r="AX417" i="30"/>
  <c r="AW417" i="30"/>
  <c r="AU417" i="30"/>
  <c r="AT417" i="30"/>
  <c r="AS417" i="30"/>
  <c r="AR417" i="30"/>
  <c r="AQ417" i="30"/>
  <c r="W417" i="30"/>
  <c r="X417" i="30" s="1"/>
  <c r="H417" i="30"/>
  <c r="J417" i="30" s="1"/>
  <c r="BK416" i="30"/>
  <c r="BJ416" i="30"/>
  <c r="BI416" i="30"/>
  <c r="BH416" i="30"/>
  <c r="BG416" i="30"/>
  <c r="BF416" i="30"/>
  <c r="BC416" i="30"/>
  <c r="BA416" i="30"/>
  <c r="AY416" i="30"/>
  <c r="AX416" i="30"/>
  <c r="AW416" i="30"/>
  <c r="AU416" i="30"/>
  <c r="AT416" i="30"/>
  <c r="AS416" i="30"/>
  <c r="AR416" i="30"/>
  <c r="AQ416" i="30"/>
  <c r="W416" i="30"/>
  <c r="X416" i="30" s="1"/>
  <c r="H416" i="30"/>
  <c r="J416" i="30" s="1"/>
  <c r="T416" i="30" s="1"/>
  <c r="BE416" i="30" s="1"/>
  <c r="BK415" i="30"/>
  <c r="BJ415" i="30"/>
  <c r="BI415" i="30"/>
  <c r="BH415" i="30"/>
  <c r="BG415" i="30"/>
  <c r="BF415" i="30"/>
  <c r="BC415" i="30"/>
  <c r="BA415" i="30"/>
  <c r="AY415" i="30"/>
  <c r="AX415" i="30"/>
  <c r="AW415" i="30"/>
  <c r="AU415" i="30"/>
  <c r="AT415" i="30"/>
  <c r="AS415" i="30"/>
  <c r="AR415" i="30"/>
  <c r="AQ415" i="30"/>
  <c r="W415" i="30"/>
  <c r="X415" i="30" s="1"/>
  <c r="J415" i="30"/>
  <c r="L415" i="30" s="1"/>
  <c r="BK414" i="30"/>
  <c r="BJ414" i="30"/>
  <c r="BI414" i="30"/>
  <c r="BH414" i="30"/>
  <c r="BG414" i="30"/>
  <c r="BF414" i="30"/>
  <c r="BD414" i="30"/>
  <c r="BC414" i="30"/>
  <c r="BA414" i="30"/>
  <c r="AY414" i="30"/>
  <c r="AX414" i="30"/>
  <c r="AW414" i="30"/>
  <c r="AU414" i="30"/>
  <c r="AT414" i="30"/>
  <c r="AS414" i="30"/>
  <c r="AR414" i="30"/>
  <c r="AQ414" i="30"/>
  <c r="H414" i="30"/>
  <c r="J414" i="30" s="1"/>
  <c r="L414" i="30" s="1"/>
  <c r="BK413" i="30"/>
  <c r="BJ413" i="30"/>
  <c r="BI413" i="30"/>
  <c r="BH413" i="30"/>
  <c r="BG413" i="30"/>
  <c r="BF413" i="30"/>
  <c r="BD413" i="30"/>
  <c r="BC413" i="30"/>
  <c r="BA413" i="30"/>
  <c r="AY413" i="30"/>
  <c r="AX413" i="30"/>
  <c r="AW413" i="30"/>
  <c r="AU413" i="30"/>
  <c r="AT413" i="30"/>
  <c r="AS413" i="30"/>
  <c r="AR413" i="30"/>
  <c r="AQ413" i="30"/>
  <c r="H413" i="30"/>
  <c r="J413" i="30" s="1"/>
  <c r="O413" i="30" s="1"/>
  <c r="BK412" i="30"/>
  <c r="BJ412" i="30"/>
  <c r="BI412" i="30"/>
  <c r="BH412" i="30"/>
  <c r="BG412" i="30"/>
  <c r="BF412" i="30"/>
  <c r="BC412" i="30"/>
  <c r="BA412" i="30"/>
  <c r="AY412" i="30"/>
  <c r="AX412" i="30"/>
  <c r="AW412" i="30"/>
  <c r="AU412" i="30"/>
  <c r="AT412" i="30"/>
  <c r="AS412" i="30"/>
  <c r="AR412" i="30"/>
  <c r="AQ412" i="30"/>
  <c r="W412" i="30"/>
  <c r="X412" i="30" s="1"/>
  <c r="H412" i="30"/>
  <c r="J412" i="30" s="1"/>
  <c r="BK411" i="30"/>
  <c r="BJ411" i="30"/>
  <c r="BI411" i="30"/>
  <c r="BH411" i="30"/>
  <c r="BG411" i="30"/>
  <c r="BF411" i="30"/>
  <c r="BC411" i="30"/>
  <c r="BA411" i="30"/>
  <c r="AY411" i="30"/>
  <c r="AX411" i="30"/>
  <c r="AW411" i="30"/>
  <c r="AU411" i="30"/>
  <c r="AT411" i="30"/>
  <c r="AS411" i="30"/>
  <c r="AR411" i="30"/>
  <c r="AQ411" i="30"/>
  <c r="W411" i="30"/>
  <c r="X411" i="30" s="1"/>
  <c r="H411" i="30"/>
  <c r="J411" i="30" s="1"/>
  <c r="BK410" i="30"/>
  <c r="BJ410" i="30"/>
  <c r="BI410" i="30"/>
  <c r="BH410" i="30"/>
  <c r="BG410" i="30"/>
  <c r="BF410" i="30"/>
  <c r="BC410" i="30"/>
  <c r="BA410" i="30"/>
  <c r="AY410" i="30"/>
  <c r="AX410" i="30"/>
  <c r="AW410" i="30"/>
  <c r="AU410" i="30"/>
  <c r="AT410" i="30"/>
  <c r="AS410" i="30"/>
  <c r="AR410" i="30"/>
  <c r="AQ410" i="30"/>
  <c r="W410" i="30"/>
  <c r="X410" i="30" s="1"/>
  <c r="H410" i="30"/>
  <c r="J410" i="30" s="1"/>
  <c r="L410" i="30" s="1"/>
  <c r="BK409" i="30"/>
  <c r="BJ409" i="30"/>
  <c r="BI409" i="30"/>
  <c r="BH409" i="30"/>
  <c r="BG409" i="30"/>
  <c r="BF409" i="30"/>
  <c r="BC409" i="30"/>
  <c r="BA409" i="30"/>
  <c r="AY409" i="30"/>
  <c r="AX409" i="30"/>
  <c r="AW409" i="30"/>
  <c r="AU409" i="30"/>
  <c r="AT409" i="30"/>
  <c r="AS409" i="30"/>
  <c r="AR409" i="30"/>
  <c r="AQ409" i="30"/>
  <c r="W409" i="30"/>
  <c r="X409" i="30" s="1"/>
  <c r="H409" i="30"/>
  <c r="J409" i="30" s="1"/>
  <c r="L409" i="30" s="1"/>
  <c r="BK408" i="30"/>
  <c r="BJ408" i="30"/>
  <c r="BI408" i="30"/>
  <c r="BH408" i="30"/>
  <c r="BG408" i="30"/>
  <c r="BF408" i="30"/>
  <c r="BC408" i="30"/>
  <c r="BA408" i="30"/>
  <c r="AY408" i="30"/>
  <c r="AX408" i="30"/>
  <c r="AW408" i="30"/>
  <c r="AU408" i="30"/>
  <c r="AT408" i="30"/>
  <c r="AS408" i="30"/>
  <c r="AR408" i="30"/>
  <c r="AQ408" i="30"/>
  <c r="W408" i="30"/>
  <c r="X408" i="30" s="1"/>
  <c r="H408" i="30"/>
  <c r="J408" i="30" s="1"/>
  <c r="BK407" i="30"/>
  <c r="BJ407" i="30"/>
  <c r="BI407" i="30"/>
  <c r="BH407" i="30"/>
  <c r="BG407" i="30"/>
  <c r="BF407" i="30"/>
  <c r="BC407" i="30"/>
  <c r="BA407" i="30"/>
  <c r="AY407" i="30"/>
  <c r="AX407" i="30"/>
  <c r="AW407" i="30"/>
  <c r="AU407" i="30"/>
  <c r="AT407" i="30"/>
  <c r="AS407" i="30"/>
  <c r="AR407" i="30"/>
  <c r="AQ407" i="30"/>
  <c r="W407" i="30"/>
  <c r="X407" i="30" s="1"/>
  <c r="H407" i="30"/>
  <c r="J407" i="30" s="1"/>
  <c r="L407" i="30" s="1"/>
  <c r="BK406" i="30"/>
  <c r="BJ406" i="30"/>
  <c r="BI406" i="30"/>
  <c r="BH406" i="30"/>
  <c r="BG406" i="30"/>
  <c r="BF406" i="30"/>
  <c r="BC406" i="30"/>
  <c r="BA406" i="30"/>
  <c r="AY406" i="30"/>
  <c r="AX406" i="30"/>
  <c r="AW406" i="30"/>
  <c r="AU406" i="30"/>
  <c r="AT406" i="30"/>
  <c r="AS406" i="30"/>
  <c r="AR406" i="30"/>
  <c r="AQ406" i="30"/>
  <c r="W406" i="30"/>
  <c r="X406" i="30" s="1"/>
  <c r="H406" i="30"/>
  <c r="J406" i="30" s="1"/>
  <c r="BK405" i="30"/>
  <c r="BJ405" i="30"/>
  <c r="BI405" i="30"/>
  <c r="BH405" i="30"/>
  <c r="BG405" i="30"/>
  <c r="BF405" i="30"/>
  <c r="BC405" i="30"/>
  <c r="BA405" i="30"/>
  <c r="AY405" i="30"/>
  <c r="AX405" i="30"/>
  <c r="AW405" i="30"/>
  <c r="AU405" i="30"/>
  <c r="AT405" i="30"/>
  <c r="AS405" i="30"/>
  <c r="AR405" i="30"/>
  <c r="AQ405" i="30"/>
  <c r="W405" i="30"/>
  <c r="X405" i="30" s="1"/>
  <c r="H405" i="30"/>
  <c r="J405" i="30" s="1"/>
  <c r="L405" i="30" s="1"/>
  <c r="BK404" i="30"/>
  <c r="BJ404" i="30"/>
  <c r="BI404" i="30"/>
  <c r="BH404" i="30"/>
  <c r="BG404" i="30"/>
  <c r="BF404" i="30"/>
  <c r="BC404" i="30"/>
  <c r="BA404" i="30"/>
  <c r="AY404" i="30"/>
  <c r="AX404" i="30"/>
  <c r="AW404" i="30"/>
  <c r="AU404" i="30"/>
  <c r="AT404" i="30"/>
  <c r="AS404" i="30"/>
  <c r="AR404" i="30"/>
  <c r="AQ404" i="30"/>
  <c r="W404" i="30"/>
  <c r="X404" i="30" s="1"/>
  <c r="H404" i="30"/>
  <c r="J404" i="30" s="1"/>
  <c r="T404" i="30" s="1"/>
  <c r="BE404" i="30" s="1"/>
  <c r="BK403" i="30"/>
  <c r="BJ403" i="30"/>
  <c r="BI403" i="30"/>
  <c r="BH403" i="30"/>
  <c r="BG403" i="30"/>
  <c r="BF403" i="30"/>
  <c r="BC403" i="30"/>
  <c r="BA403" i="30"/>
  <c r="AY403" i="30"/>
  <c r="AX403" i="30"/>
  <c r="AW403" i="30"/>
  <c r="AU403" i="30"/>
  <c r="AT403" i="30"/>
  <c r="AS403" i="30"/>
  <c r="AR403" i="30"/>
  <c r="AQ403" i="30"/>
  <c r="W403" i="30"/>
  <c r="X403" i="30" s="1"/>
  <c r="H403" i="30"/>
  <c r="J403" i="30" s="1"/>
  <c r="BK402" i="30"/>
  <c r="BJ402" i="30"/>
  <c r="BI402" i="30"/>
  <c r="BH402" i="30"/>
  <c r="BG402" i="30"/>
  <c r="BF402" i="30"/>
  <c r="BC402" i="30"/>
  <c r="BA402" i="30"/>
  <c r="AY402" i="30"/>
  <c r="AX402" i="30"/>
  <c r="AW402" i="30"/>
  <c r="AU402" i="30"/>
  <c r="AT402" i="30"/>
  <c r="AS402" i="30"/>
  <c r="AR402" i="30"/>
  <c r="AQ402" i="30"/>
  <c r="W402" i="30"/>
  <c r="X402" i="30" s="1"/>
  <c r="H402" i="30"/>
  <c r="J402" i="30" s="1"/>
  <c r="BK401" i="30"/>
  <c r="BJ401" i="30"/>
  <c r="BI401" i="30"/>
  <c r="BH401" i="30"/>
  <c r="BG401" i="30"/>
  <c r="BF401" i="30"/>
  <c r="BC401" i="30"/>
  <c r="BA401" i="30"/>
  <c r="AY401" i="30"/>
  <c r="AX401" i="30"/>
  <c r="AW401" i="30"/>
  <c r="AU401" i="30"/>
  <c r="AT401" i="30"/>
  <c r="AS401" i="30"/>
  <c r="AR401" i="30"/>
  <c r="AQ401" i="30"/>
  <c r="W401" i="30"/>
  <c r="X401" i="30" s="1"/>
  <c r="H401" i="30"/>
  <c r="J401" i="30" s="1"/>
  <c r="BK400" i="30"/>
  <c r="BJ400" i="30"/>
  <c r="BI400" i="30"/>
  <c r="BH400" i="30"/>
  <c r="BG400" i="30"/>
  <c r="BF400" i="30"/>
  <c r="BC400" i="30"/>
  <c r="BA400" i="30"/>
  <c r="AY400" i="30"/>
  <c r="AX400" i="30"/>
  <c r="AW400" i="30"/>
  <c r="AU400" i="30"/>
  <c r="AT400" i="30"/>
  <c r="AS400" i="30"/>
  <c r="AR400" i="30"/>
  <c r="AQ400" i="30"/>
  <c r="W400" i="30"/>
  <c r="X400" i="30" s="1"/>
  <c r="H400" i="30"/>
  <c r="J400" i="30" s="1"/>
  <c r="O400" i="30" s="1"/>
  <c r="BK399" i="30"/>
  <c r="BJ399" i="30"/>
  <c r="BI399" i="30"/>
  <c r="BH399" i="30"/>
  <c r="BG399" i="30"/>
  <c r="BF399" i="30"/>
  <c r="BC399" i="30"/>
  <c r="BA399" i="30"/>
  <c r="AY399" i="30"/>
  <c r="AX399" i="30"/>
  <c r="AW399" i="30"/>
  <c r="AU399" i="30"/>
  <c r="AT399" i="30"/>
  <c r="AS399" i="30"/>
  <c r="AR399" i="30"/>
  <c r="AQ399" i="30"/>
  <c r="W399" i="30"/>
  <c r="X399" i="30" s="1"/>
  <c r="H399" i="30"/>
  <c r="J399" i="30" s="1"/>
  <c r="BK398" i="30"/>
  <c r="BJ398" i="30"/>
  <c r="BI398" i="30"/>
  <c r="BH398" i="30"/>
  <c r="BG398" i="30"/>
  <c r="BF398" i="30"/>
  <c r="BC398" i="30"/>
  <c r="BA398" i="30"/>
  <c r="AY398" i="30"/>
  <c r="AX398" i="30"/>
  <c r="AW398" i="30"/>
  <c r="AU398" i="30"/>
  <c r="AT398" i="30"/>
  <c r="AS398" i="30"/>
  <c r="AR398" i="30"/>
  <c r="AQ398" i="30"/>
  <c r="W398" i="30"/>
  <c r="X398" i="30" s="1"/>
  <c r="H398" i="30"/>
  <c r="J398" i="30" s="1"/>
  <c r="BK397" i="30"/>
  <c r="BJ397" i="30"/>
  <c r="BI397" i="30"/>
  <c r="BH397" i="30"/>
  <c r="BG397" i="30"/>
  <c r="BF397" i="30"/>
  <c r="BC397" i="30"/>
  <c r="BA397" i="30"/>
  <c r="AY397" i="30"/>
  <c r="AX397" i="30"/>
  <c r="AW397" i="30"/>
  <c r="AU397" i="30"/>
  <c r="AT397" i="30"/>
  <c r="AS397" i="30"/>
  <c r="AR397" i="30"/>
  <c r="AQ397" i="30"/>
  <c r="W397" i="30"/>
  <c r="X397" i="30" s="1"/>
  <c r="H397" i="30"/>
  <c r="J397" i="30" s="1"/>
  <c r="L397" i="30" s="1"/>
  <c r="BK396" i="30"/>
  <c r="BJ396" i="30"/>
  <c r="BI396" i="30"/>
  <c r="BH396" i="30"/>
  <c r="BG396" i="30"/>
  <c r="BF396" i="30"/>
  <c r="BC396" i="30"/>
  <c r="BA396" i="30"/>
  <c r="AY396" i="30"/>
  <c r="AX396" i="30"/>
  <c r="AW396" i="30"/>
  <c r="AU396" i="30"/>
  <c r="AT396" i="30"/>
  <c r="AS396" i="30"/>
  <c r="AR396" i="30"/>
  <c r="AQ396" i="30"/>
  <c r="W396" i="30"/>
  <c r="X396" i="30" s="1"/>
  <c r="Y396" i="30" s="1"/>
  <c r="BQ396" i="30" s="1"/>
  <c r="H396" i="30"/>
  <c r="J396" i="30" s="1"/>
  <c r="O396" i="30" s="1"/>
  <c r="BK395" i="30"/>
  <c r="BJ395" i="30"/>
  <c r="BI395" i="30"/>
  <c r="BH395" i="30"/>
  <c r="BG395" i="30"/>
  <c r="BF395" i="30"/>
  <c r="BC395" i="30"/>
  <c r="BA395" i="30"/>
  <c r="AY395" i="30"/>
  <c r="AX395" i="30"/>
  <c r="AW395" i="30"/>
  <c r="AU395" i="30"/>
  <c r="AT395" i="30"/>
  <c r="AS395" i="30"/>
  <c r="AR395" i="30"/>
  <c r="AQ395" i="30"/>
  <c r="W395" i="30"/>
  <c r="X395" i="30" s="1"/>
  <c r="H395" i="30"/>
  <c r="J395" i="30" s="1"/>
  <c r="L395" i="30" s="1"/>
  <c r="BK394" i="30"/>
  <c r="BJ394" i="30"/>
  <c r="BI394" i="30"/>
  <c r="BH394" i="30"/>
  <c r="BG394" i="30"/>
  <c r="BF394" i="30"/>
  <c r="BC394" i="30"/>
  <c r="BA394" i="30"/>
  <c r="AY394" i="30"/>
  <c r="AX394" i="30"/>
  <c r="AW394" i="30"/>
  <c r="AU394" i="30"/>
  <c r="AT394" i="30"/>
  <c r="AS394" i="30"/>
  <c r="AR394" i="30"/>
  <c r="AQ394" i="30"/>
  <c r="W394" i="30"/>
  <c r="X394" i="30" s="1"/>
  <c r="Y394" i="30" s="1"/>
  <c r="BQ394" i="30" s="1"/>
  <c r="H394" i="30"/>
  <c r="J394" i="30" s="1"/>
  <c r="BK393" i="30"/>
  <c r="BJ393" i="30"/>
  <c r="BI393" i="30"/>
  <c r="BH393" i="30"/>
  <c r="BG393" i="30"/>
  <c r="BF393" i="30"/>
  <c r="BC393" i="30"/>
  <c r="BA393" i="30"/>
  <c r="AY393" i="30"/>
  <c r="AX393" i="30"/>
  <c r="AW393" i="30"/>
  <c r="AU393" i="30"/>
  <c r="AT393" i="30"/>
  <c r="AS393" i="30"/>
  <c r="AR393" i="30"/>
  <c r="AQ393" i="30"/>
  <c r="W393" i="30"/>
  <c r="X393" i="30" s="1"/>
  <c r="H393" i="30"/>
  <c r="J393" i="30" s="1"/>
  <c r="BK392" i="30"/>
  <c r="BJ392" i="30"/>
  <c r="BI392" i="30"/>
  <c r="BH392" i="30"/>
  <c r="BG392" i="30"/>
  <c r="BF392" i="30"/>
  <c r="BC392" i="30"/>
  <c r="BA392" i="30"/>
  <c r="AY392" i="30"/>
  <c r="AX392" i="30"/>
  <c r="AW392" i="30"/>
  <c r="AU392" i="30"/>
  <c r="AT392" i="30"/>
  <c r="AS392" i="30"/>
  <c r="AR392" i="30"/>
  <c r="AQ392" i="30"/>
  <c r="W392" i="30"/>
  <c r="X392" i="30" s="1"/>
  <c r="H392" i="30"/>
  <c r="J392" i="30" s="1"/>
  <c r="BK391" i="30"/>
  <c r="BJ391" i="30"/>
  <c r="BI391" i="30"/>
  <c r="BH391" i="30"/>
  <c r="BG391" i="30"/>
  <c r="BF391" i="30"/>
  <c r="BC391" i="30"/>
  <c r="BA391" i="30"/>
  <c r="AY391" i="30"/>
  <c r="AX391" i="30"/>
  <c r="AW391" i="30"/>
  <c r="AU391" i="30"/>
  <c r="AT391" i="30"/>
  <c r="AS391" i="30"/>
  <c r="AR391" i="30"/>
  <c r="AQ391" i="30"/>
  <c r="W391" i="30"/>
  <c r="X391" i="30" s="1"/>
  <c r="H391" i="30"/>
  <c r="J391" i="30" s="1"/>
  <c r="BK390" i="30"/>
  <c r="BJ390" i="30"/>
  <c r="BI390" i="30"/>
  <c r="BH390" i="30"/>
  <c r="BG390" i="30"/>
  <c r="BF390" i="30"/>
  <c r="BC390" i="30"/>
  <c r="BA390" i="30"/>
  <c r="AY390" i="30"/>
  <c r="AX390" i="30"/>
  <c r="AW390" i="30"/>
  <c r="AU390" i="30"/>
  <c r="AT390" i="30"/>
  <c r="AS390" i="30"/>
  <c r="AR390" i="30"/>
  <c r="AQ390" i="30"/>
  <c r="W390" i="30"/>
  <c r="X390" i="30" s="1"/>
  <c r="H390" i="30"/>
  <c r="J390" i="30" s="1"/>
  <c r="L390" i="30" s="1"/>
  <c r="BK389" i="30"/>
  <c r="BJ389" i="30"/>
  <c r="BI389" i="30"/>
  <c r="BH389" i="30"/>
  <c r="BG389" i="30"/>
  <c r="BF389" i="30"/>
  <c r="BC389" i="30"/>
  <c r="BA389" i="30"/>
  <c r="AY389" i="30"/>
  <c r="AX389" i="30"/>
  <c r="AW389" i="30"/>
  <c r="AU389" i="30"/>
  <c r="AT389" i="30"/>
  <c r="AS389" i="30"/>
  <c r="AR389" i="30"/>
  <c r="AQ389" i="30"/>
  <c r="W389" i="30"/>
  <c r="X389" i="30" s="1"/>
  <c r="H389" i="30"/>
  <c r="J389" i="30" s="1"/>
  <c r="BK388" i="30"/>
  <c r="BJ388" i="30"/>
  <c r="BI388" i="30"/>
  <c r="BH388" i="30"/>
  <c r="BG388" i="30"/>
  <c r="BF388" i="30"/>
  <c r="BC388" i="30"/>
  <c r="BA388" i="30"/>
  <c r="AY388" i="30"/>
  <c r="AX388" i="30"/>
  <c r="AW388" i="30"/>
  <c r="AU388" i="30"/>
  <c r="AT388" i="30"/>
  <c r="AS388" i="30"/>
  <c r="AR388" i="30"/>
  <c r="AQ388" i="30"/>
  <c r="W388" i="30"/>
  <c r="X388" i="30" s="1"/>
  <c r="H388" i="30"/>
  <c r="J388" i="30" s="1"/>
  <c r="BK387" i="30"/>
  <c r="BJ387" i="30"/>
  <c r="BI387" i="30"/>
  <c r="BH387" i="30"/>
  <c r="BG387" i="30"/>
  <c r="BF387" i="30"/>
  <c r="BC387" i="30"/>
  <c r="BA387" i="30"/>
  <c r="AY387" i="30"/>
  <c r="AX387" i="30"/>
  <c r="AW387" i="30"/>
  <c r="AU387" i="30"/>
  <c r="AT387" i="30"/>
  <c r="AS387" i="30"/>
  <c r="AR387" i="30"/>
  <c r="AQ387" i="30"/>
  <c r="W387" i="30"/>
  <c r="X387" i="30" s="1"/>
  <c r="H387" i="30"/>
  <c r="J387" i="30" s="1"/>
  <c r="L387" i="30" s="1"/>
  <c r="BK386" i="30"/>
  <c r="BJ386" i="30"/>
  <c r="BI386" i="30"/>
  <c r="BH386" i="30"/>
  <c r="BG386" i="30"/>
  <c r="BF386" i="30"/>
  <c r="BC386" i="30"/>
  <c r="BA386" i="30"/>
  <c r="AY386" i="30"/>
  <c r="AX386" i="30"/>
  <c r="AW386" i="30"/>
  <c r="AU386" i="30"/>
  <c r="AT386" i="30"/>
  <c r="AS386" i="30"/>
  <c r="AR386" i="30"/>
  <c r="AQ386" i="30"/>
  <c r="W386" i="30"/>
  <c r="X386" i="30" s="1"/>
  <c r="H386" i="30"/>
  <c r="J386" i="30" s="1"/>
  <c r="BK385" i="30"/>
  <c r="BJ385" i="30"/>
  <c r="BI385" i="30"/>
  <c r="BH385" i="30"/>
  <c r="BG385" i="30"/>
  <c r="BF385" i="30"/>
  <c r="BC385" i="30"/>
  <c r="BA385" i="30"/>
  <c r="AY385" i="30"/>
  <c r="AX385" i="30"/>
  <c r="AW385" i="30"/>
  <c r="AU385" i="30"/>
  <c r="AT385" i="30"/>
  <c r="AS385" i="30"/>
  <c r="AR385" i="30"/>
  <c r="AQ385" i="30"/>
  <c r="W385" i="30"/>
  <c r="X385" i="30" s="1"/>
  <c r="H385" i="30"/>
  <c r="J385" i="30" s="1"/>
  <c r="BK384" i="30"/>
  <c r="BJ384" i="30"/>
  <c r="BI384" i="30"/>
  <c r="BH384" i="30"/>
  <c r="BG384" i="30"/>
  <c r="BF384" i="30"/>
  <c r="BC384" i="30"/>
  <c r="BA384" i="30"/>
  <c r="AY384" i="30"/>
  <c r="AX384" i="30"/>
  <c r="AW384" i="30"/>
  <c r="AU384" i="30"/>
  <c r="AT384" i="30"/>
  <c r="AS384" i="30"/>
  <c r="AR384" i="30"/>
  <c r="AQ384" i="30"/>
  <c r="W384" i="30"/>
  <c r="X384" i="30" s="1"/>
  <c r="H384" i="30"/>
  <c r="J384" i="30" s="1"/>
  <c r="O384" i="30" s="1"/>
  <c r="BK383" i="30"/>
  <c r="BJ383" i="30"/>
  <c r="BI383" i="30"/>
  <c r="BH383" i="30"/>
  <c r="BG383" i="30"/>
  <c r="BF383" i="30"/>
  <c r="BC383" i="30"/>
  <c r="BA383" i="30"/>
  <c r="AY383" i="30"/>
  <c r="AX383" i="30"/>
  <c r="AW383" i="30"/>
  <c r="AU383" i="30"/>
  <c r="AT383" i="30"/>
  <c r="AS383" i="30"/>
  <c r="AR383" i="30"/>
  <c r="AQ383" i="30"/>
  <c r="W383" i="30"/>
  <c r="X383" i="30" s="1"/>
  <c r="H383" i="30"/>
  <c r="J383" i="30" s="1"/>
  <c r="BK382" i="30"/>
  <c r="BJ382" i="30"/>
  <c r="BI382" i="30"/>
  <c r="BH382" i="30"/>
  <c r="BG382" i="30"/>
  <c r="BF382" i="30"/>
  <c r="BC382" i="30"/>
  <c r="BA382" i="30"/>
  <c r="AY382" i="30"/>
  <c r="AX382" i="30"/>
  <c r="AW382" i="30"/>
  <c r="AU382" i="30"/>
  <c r="AT382" i="30"/>
  <c r="AS382" i="30"/>
  <c r="AR382" i="30"/>
  <c r="AQ382" i="30"/>
  <c r="W382" i="30"/>
  <c r="X382" i="30" s="1"/>
  <c r="H382" i="30"/>
  <c r="J382" i="30" s="1"/>
  <c r="L382" i="30" s="1"/>
  <c r="BK381" i="30"/>
  <c r="BJ381" i="30"/>
  <c r="BI381" i="30"/>
  <c r="BH381" i="30"/>
  <c r="BG381" i="30"/>
  <c r="BF381" i="30"/>
  <c r="BC381" i="30"/>
  <c r="BA381" i="30"/>
  <c r="AY381" i="30"/>
  <c r="AX381" i="30"/>
  <c r="AW381" i="30"/>
  <c r="AU381" i="30"/>
  <c r="AT381" i="30"/>
  <c r="AS381" i="30"/>
  <c r="AR381" i="30"/>
  <c r="AQ381" i="30"/>
  <c r="W381" i="30"/>
  <c r="X381" i="30" s="1"/>
  <c r="H381" i="30"/>
  <c r="J381" i="30" s="1"/>
  <c r="L381" i="30" s="1"/>
  <c r="BK380" i="30"/>
  <c r="BJ380" i="30"/>
  <c r="BI380" i="30"/>
  <c r="BH380" i="30"/>
  <c r="BG380" i="30"/>
  <c r="BF380" i="30"/>
  <c r="BC380" i="30"/>
  <c r="BA380" i="30"/>
  <c r="AY380" i="30"/>
  <c r="AX380" i="30"/>
  <c r="AW380" i="30"/>
  <c r="AU380" i="30"/>
  <c r="AT380" i="30"/>
  <c r="AS380" i="30"/>
  <c r="AR380" i="30"/>
  <c r="AQ380" i="30"/>
  <c r="W380" i="30"/>
  <c r="X380" i="30" s="1"/>
  <c r="H380" i="30"/>
  <c r="J380" i="30" s="1"/>
  <c r="O380" i="30" s="1"/>
  <c r="BK379" i="30"/>
  <c r="BJ379" i="30"/>
  <c r="BI379" i="30"/>
  <c r="BH379" i="30"/>
  <c r="BG379" i="30"/>
  <c r="BF379" i="30"/>
  <c r="BC379" i="30"/>
  <c r="BA379" i="30"/>
  <c r="AY379" i="30"/>
  <c r="AX379" i="30"/>
  <c r="AW379" i="30"/>
  <c r="AU379" i="30"/>
  <c r="AT379" i="30"/>
  <c r="AS379" i="30"/>
  <c r="AR379" i="30"/>
  <c r="AQ379" i="30"/>
  <c r="W379" i="30"/>
  <c r="X379" i="30" s="1"/>
  <c r="H379" i="30"/>
  <c r="J379" i="30" s="1"/>
  <c r="T379" i="30" s="1"/>
  <c r="BE379" i="30" s="1"/>
  <c r="BK378" i="30"/>
  <c r="BJ378" i="30"/>
  <c r="BI378" i="30"/>
  <c r="BH378" i="30"/>
  <c r="BG378" i="30"/>
  <c r="BF378" i="30"/>
  <c r="BC378" i="30"/>
  <c r="BA378" i="30"/>
  <c r="AY378" i="30"/>
  <c r="AX378" i="30"/>
  <c r="AW378" i="30"/>
  <c r="AU378" i="30"/>
  <c r="AT378" i="30"/>
  <c r="AS378" i="30"/>
  <c r="AR378" i="30"/>
  <c r="AQ378" i="30"/>
  <c r="W378" i="30"/>
  <c r="X378" i="30" s="1"/>
  <c r="H378" i="30"/>
  <c r="J378" i="30" s="1"/>
  <c r="BK377" i="30"/>
  <c r="BJ377" i="30"/>
  <c r="BI377" i="30"/>
  <c r="BH377" i="30"/>
  <c r="BG377" i="30"/>
  <c r="BF377" i="30"/>
  <c r="BC377" i="30"/>
  <c r="BA377" i="30"/>
  <c r="AY377" i="30"/>
  <c r="AX377" i="30"/>
  <c r="AW377" i="30"/>
  <c r="AU377" i="30"/>
  <c r="AT377" i="30"/>
  <c r="AS377" i="30"/>
  <c r="AR377" i="30"/>
  <c r="AQ377" i="30"/>
  <c r="W377" i="30"/>
  <c r="X377" i="30" s="1"/>
  <c r="H377" i="30"/>
  <c r="J377" i="30" s="1"/>
  <c r="BK376" i="30"/>
  <c r="BJ376" i="30"/>
  <c r="BI376" i="30"/>
  <c r="BH376" i="30"/>
  <c r="BG376" i="30"/>
  <c r="BF376" i="30"/>
  <c r="BC376" i="30"/>
  <c r="BA376" i="30"/>
  <c r="AY376" i="30"/>
  <c r="AX376" i="30"/>
  <c r="AW376" i="30"/>
  <c r="AU376" i="30"/>
  <c r="AT376" i="30"/>
  <c r="AS376" i="30"/>
  <c r="AR376" i="30"/>
  <c r="AQ376" i="30"/>
  <c r="W376" i="30"/>
  <c r="X376" i="30" s="1"/>
  <c r="Y376" i="30" s="1"/>
  <c r="BQ376" i="30" s="1"/>
  <c r="H376" i="30"/>
  <c r="J376" i="30" s="1"/>
  <c r="BK375" i="30"/>
  <c r="BJ375" i="30"/>
  <c r="BI375" i="30"/>
  <c r="BH375" i="30"/>
  <c r="BG375" i="30"/>
  <c r="BF375" i="30"/>
  <c r="BC375" i="30"/>
  <c r="BA375" i="30"/>
  <c r="AY375" i="30"/>
  <c r="AX375" i="30"/>
  <c r="AW375" i="30"/>
  <c r="AU375" i="30"/>
  <c r="AT375" i="30"/>
  <c r="AS375" i="30"/>
  <c r="AR375" i="30"/>
  <c r="AQ375" i="30"/>
  <c r="W375" i="30"/>
  <c r="X375" i="30" s="1"/>
  <c r="H375" i="30"/>
  <c r="J375" i="30" s="1"/>
  <c r="L375" i="30" s="1"/>
  <c r="BK374" i="30"/>
  <c r="BJ374" i="30"/>
  <c r="BI374" i="30"/>
  <c r="BH374" i="30"/>
  <c r="BG374" i="30"/>
  <c r="BF374" i="30"/>
  <c r="BC374" i="30"/>
  <c r="BA374" i="30"/>
  <c r="AY374" i="30"/>
  <c r="AX374" i="30"/>
  <c r="AW374" i="30"/>
  <c r="AU374" i="30"/>
  <c r="AT374" i="30"/>
  <c r="AS374" i="30"/>
  <c r="AR374" i="30"/>
  <c r="AQ374" i="30"/>
  <c r="W374" i="30"/>
  <c r="X374" i="30" s="1"/>
  <c r="J374" i="30"/>
  <c r="BK373" i="30"/>
  <c r="BJ373" i="30"/>
  <c r="BI373" i="30"/>
  <c r="BH373" i="30"/>
  <c r="BG373" i="30"/>
  <c r="BF373" i="30"/>
  <c r="BC373" i="30"/>
  <c r="BA373" i="30"/>
  <c r="AY373" i="30"/>
  <c r="AX373" i="30"/>
  <c r="AW373" i="30"/>
  <c r="AU373" i="30"/>
  <c r="AT373" i="30"/>
  <c r="AS373" i="30"/>
  <c r="AR373" i="30"/>
  <c r="AQ373" i="30"/>
  <c r="W373" i="30"/>
  <c r="X373" i="30" s="1"/>
  <c r="H373" i="30"/>
  <c r="J373" i="30" s="1"/>
  <c r="L373" i="30" s="1"/>
  <c r="BK372" i="30"/>
  <c r="BJ372" i="30"/>
  <c r="BI372" i="30"/>
  <c r="BH372" i="30"/>
  <c r="BG372" i="30"/>
  <c r="BF372" i="30"/>
  <c r="BC372" i="30"/>
  <c r="BA372" i="30"/>
  <c r="AY372" i="30"/>
  <c r="AX372" i="30"/>
  <c r="AW372" i="30"/>
  <c r="AU372" i="30"/>
  <c r="AT372" i="30"/>
  <c r="AS372" i="30"/>
  <c r="AR372" i="30"/>
  <c r="AQ372" i="30"/>
  <c r="W372" i="30"/>
  <c r="X372" i="30" s="1"/>
  <c r="H372" i="30"/>
  <c r="J372" i="30" s="1"/>
  <c r="T372" i="30" s="1"/>
  <c r="BE372" i="30" s="1"/>
  <c r="BK371" i="30"/>
  <c r="BJ371" i="30"/>
  <c r="BI371" i="30"/>
  <c r="BH371" i="30"/>
  <c r="BG371" i="30"/>
  <c r="BF371" i="30"/>
  <c r="BC371" i="30"/>
  <c r="BA371" i="30"/>
  <c r="AY371" i="30"/>
  <c r="AX371" i="30"/>
  <c r="AW371" i="30"/>
  <c r="AU371" i="30"/>
  <c r="AT371" i="30"/>
  <c r="AS371" i="30"/>
  <c r="AR371" i="30"/>
  <c r="AQ371" i="30"/>
  <c r="W371" i="30"/>
  <c r="X371" i="30" s="1"/>
  <c r="H371" i="30"/>
  <c r="J371" i="30" s="1"/>
  <c r="BK370" i="30"/>
  <c r="BJ370" i="30"/>
  <c r="BI370" i="30"/>
  <c r="BH370" i="30"/>
  <c r="BG370" i="30"/>
  <c r="BF370" i="30"/>
  <c r="BC370" i="30"/>
  <c r="BA370" i="30"/>
  <c r="AY370" i="30"/>
  <c r="AX370" i="30"/>
  <c r="AW370" i="30"/>
  <c r="AU370" i="30"/>
  <c r="AT370" i="30"/>
  <c r="AS370" i="30"/>
  <c r="AR370" i="30"/>
  <c r="AQ370" i="30"/>
  <c r="W370" i="30"/>
  <c r="X370" i="30" s="1"/>
  <c r="Y370" i="30" s="1"/>
  <c r="BQ370" i="30" s="1"/>
  <c r="H370" i="30"/>
  <c r="J370" i="30" s="1"/>
  <c r="BK369" i="30"/>
  <c r="BJ369" i="30"/>
  <c r="BI369" i="30"/>
  <c r="BH369" i="30"/>
  <c r="BG369" i="30"/>
  <c r="BF369" i="30"/>
  <c r="BC369" i="30"/>
  <c r="BA369" i="30"/>
  <c r="AY369" i="30"/>
  <c r="AX369" i="30"/>
  <c r="AW369" i="30"/>
  <c r="AU369" i="30"/>
  <c r="AT369" i="30"/>
  <c r="AS369" i="30"/>
  <c r="AR369" i="30"/>
  <c r="AQ369" i="30"/>
  <c r="W369" i="30"/>
  <c r="X369" i="30" s="1"/>
  <c r="H369" i="30"/>
  <c r="J369" i="30" s="1"/>
  <c r="BK368" i="30"/>
  <c r="BJ368" i="30"/>
  <c r="BI368" i="30"/>
  <c r="BH368" i="30"/>
  <c r="BG368" i="30"/>
  <c r="BF368" i="30"/>
  <c r="BC368" i="30"/>
  <c r="BA368" i="30"/>
  <c r="AY368" i="30"/>
  <c r="AX368" i="30"/>
  <c r="AW368" i="30"/>
  <c r="AU368" i="30"/>
  <c r="AT368" i="30"/>
  <c r="AS368" i="30"/>
  <c r="AR368" i="30"/>
  <c r="AQ368" i="30"/>
  <c r="W368" i="30"/>
  <c r="X368" i="30" s="1"/>
  <c r="H368" i="30"/>
  <c r="J368" i="30" s="1"/>
  <c r="T368" i="30" s="1"/>
  <c r="BE368" i="30" s="1"/>
  <c r="BK367" i="30"/>
  <c r="BJ367" i="30"/>
  <c r="BI367" i="30"/>
  <c r="BH367" i="30"/>
  <c r="BG367" i="30"/>
  <c r="BF367" i="30"/>
  <c r="BC367" i="30"/>
  <c r="BA367" i="30"/>
  <c r="AY367" i="30"/>
  <c r="AX367" i="30"/>
  <c r="AW367" i="30"/>
  <c r="AU367" i="30"/>
  <c r="AT367" i="30"/>
  <c r="AS367" i="30"/>
  <c r="AR367" i="30"/>
  <c r="AQ367" i="30"/>
  <c r="W367" i="30"/>
  <c r="X367" i="30" s="1"/>
  <c r="H367" i="30"/>
  <c r="J367" i="30" s="1"/>
  <c r="BK366" i="30"/>
  <c r="BJ366" i="30"/>
  <c r="BI366" i="30"/>
  <c r="BH366" i="30"/>
  <c r="BG366" i="30"/>
  <c r="BF366" i="30"/>
  <c r="BC366" i="30"/>
  <c r="BA366" i="30"/>
  <c r="AY366" i="30"/>
  <c r="AX366" i="30"/>
  <c r="AW366" i="30"/>
  <c r="AU366" i="30"/>
  <c r="AT366" i="30"/>
  <c r="AS366" i="30"/>
  <c r="AR366" i="30"/>
  <c r="AQ366" i="30"/>
  <c r="W366" i="30"/>
  <c r="X366" i="30" s="1"/>
  <c r="H366" i="30"/>
  <c r="J366" i="30" s="1"/>
  <c r="BK365" i="30"/>
  <c r="BJ365" i="30"/>
  <c r="BI365" i="30"/>
  <c r="BH365" i="30"/>
  <c r="BG365" i="30"/>
  <c r="BF365" i="30"/>
  <c r="BC365" i="30"/>
  <c r="BA365" i="30"/>
  <c r="AY365" i="30"/>
  <c r="AX365" i="30"/>
  <c r="AW365" i="30"/>
  <c r="AU365" i="30"/>
  <c r="AT365" i="30"/>
  <c r="AS365" i="30"/>
  <c r="AR365" i="30"/>
  <c r="AQ365" i="30"/>
  <c r="W365" i="30"/>
  <c r="X365" i="30" s="1"/>
  <c r="H365" i="30"/>
  <c r="J365" i="30" s="1"/>
  <c r="BK364" i="30"/>
  <c r="BJ364" i="30"/>
  <c r="BI364" i="30"/>
  <c r="BH364" i="30"/>
  <c r="BG364" i="30"/>
  <c r="BF364" i="30"/>
  <c r="BC364" i="30"/>
  <c r="BA364" i="30"/>
  <c r="AY364" i="30"/>
  <c r="AX364" i="30"/>
  <c r="AW364" i="30"/>
  <c r="AU364" i="30"/>
  <c r="AT364" i="30"/>
  <c r="AS364" i="30"/>
  <c r="AR364" i="30"/>
  <c r="AQ364" i="30"/>
  <c r="W364" i="30"/>
  <c r="X364" i="30" s="1"/>
  <c r="Y364" i="30" s="1"/>
  <c r="BQ364" i="30" s="1"/>
  <c r="H364" i="30"/>
  <c r="J364" i="30" s="1"/>
  <c r="BK363" i="30"/>
  <c r="BJ363" i="30"/>
  <c r="BI363" i="30"/>
  <c r="BH363" i="30"/>
  <c r="BG363" i="30"/>
  <c r="BF363" i="30"/>
  <c r="BC363" i="30"/>
  <c r="BA363" i="30"/>
  <c r="AY363" i="30"/>
  <c r="AX363" i="30"/>
  <c r="AW363" i="30"/>
  <c r="AU363" i="30"/>
  <c r="AT363" i="30"/>
  <c r="AS363" i="30"/>
  <c r="AR363" i="30"/>
  <c r="AQ363" i="30"/>
  <c r="W363" i="30"/>
  <c r="X363" i="30" s="1"/>
  <c r="H363" i="30"/>
  <c r="J363" i="30" s="1"/>
  <c r="BK362" i="30"/>
  <c r="BJ362" i="30"/>
  <c r="BI362" i="30"/>
  <c r="BH362" i="30"/>
  <c r="BG362" i="30"/>
  <c r="BF362" i="30"/>
  <c r="BC362" i="30"/>
  <c r="BA362" i="30"/>
  <c r="AY362" i="30"/>
  <c r="AX362" i="30"/>
  <c r="AW362" i="30"/>
  <c r="AU362" i="30"/>
  <c r="AT362" i="30"/>
  <c r="AS362" i="30"/>
  <c r="AR362" i="30"/>
  <c r="AQ362" i="30"/>
  <c r="W362" i="30"/>
  <c r="X362" i="30" s="1"/>
  <c r="H362" i="30"/>
  <c r="J362" i="30" s="1"/>
  <c r="BK361" i="30"/>
  <c r="BJ361" i="30"/>
  <c r="BI361" i="30"/>
  <c r="BH361" i="30"/>
  <c r="BG361" i="30"/>
  <c r="BF361" i="30"/>
  <c r="BC361" i="30"/>
  <c r="BA361" i="30"/>
  <c r="AY361" i="30"/>
  <c r="AX361" i="30"/>
  <c r="AW361" i="30"/>
  <c r="AU361" i="30"/>
  <c r="AT361" i="30"/>
  <c r="AS361" i="30"/>
  <c r="AR361" i="30"/>
  <c r="AQ361" i="30"/>
  <c r="W361" i="30"/>
  <c r="X361" i="30" s="1"/>
  <c r="H361" i="30"/>
  <c r="J361" i="30" s="1"/>
  <c r="T361" i="30" s="1"/>
  <c r="BE361" i="30" s="1"/>
  <c r="BK360" i="30"/>
  <c r="BJ360" i="30"/>
  <c r="BI360" i="30"/>
  <c r="BH360" i="30"/>
  <c r="BG360" i="30"/>
  <c r="BF360" i="30"/>
  <c r="BC360" i="30"/>
  <c r="BA360" i="30"/>
  <c r="AY360" i="30"/>
  <c r="AX360" i="30"/>
  <c r="AW360" i="30"/>
  <c r="AU360" i="30"/>
  <c r="AT360" i="30"/>
  <c r="AS360" i="30"/>
  <c r="AR360" i="30"/>
  <c r="AQ360" i="30"/>
  <c r="W360" i="30"/>
  <c r="X360" i="30" s="1"/>
  <c r="J360" i="30"/>
  <c r="T360" i="30" s="1"/>
  <c r="BE360" i="30" s="1"/>
  <c r="W359" i="30"/>
  <c r="X359" i="30" s="1"/>
  <c r="Y359" i="30" s="1"/>
  <c r="BQ359" i="30" s="1"/>
  <c r="BU359" i="30" s="1"/>
  <c r="BV359" i="30" s="1"/>
  <c r="BW359" i="30" s="1"/>
  <c r="J359" i="30"/>
  <c r="T359" i="30" s="1"/>
  <c r="BK358" i="30"/>
  <c r="BJ358" i="30"/>
  <c r="BI358" i="30"/>
  <c r="BH358" i="30"/>
  <c r="BG358" i="30"/>
  <c r="BF358" i="30"/>
  <c r="BC358" i="30"/>
  <c r="BA358" i="30"/>
  <c r="AY358" i="30"/>
  <c r="AX358" i="30"/>
  <c r="AW358" i="30"/>
  <c r="AU358" i="30"/>
  <c r="AT358" i="30"/>
  <c r="AS358" i="30"/>
  <c r="AR358" i="30"/>
  <c r="AQ358" i="30"/>
  <c r="W358" i="30"/>
  <c r="X358" i="30" s="1"/>
  <c r="H358" i="30"/>
  <c r="J358" i="30" s="1"/>
  <c r="BK357" i="30"/>
  <c r="BJ357" i="30"/>
  <c r="BI357" i="30"/>
  <c r="BH357" i="30"/>
  <c r="BG357" i="30"/>
  <c r="BF357" i="30"/>
  <c r="BC357" i="30"/>
  <c r="BA357" i="30"/>
  <c r="AY357" i="30"/>
  <c r="AX357" i="30"/>
  <c r="AW357" i="30"/>
  <c r="AU357" i="30"/>
  <c r="AT357" i="30"/>
  <c r="AS357" i="30"/>
  <c r="AR357" i="30"/>
  <c r="AQ357" i="30"/>
  <c r="W357" i="30"/>
  <c r="X357" i="30" s="1"/>
  <c r="H357" i="30"/>
  <c r="J357" i="30" s="1"/>
  <c r="BK356" i="30"/>
  <c r="BJ356" i="30"/>
  <c r="BI356" i="30"/>
  <c r="BH356" i="30"/>
  <c r="BG356" i="30"/>
  <c r="BF356" i="30"/>
  <c r="BC356" i="30"/>
  <c r="BA356" i="30"/>
  <c r="AY356" i="30"/>
  <c r="AX356" i="30"/>
  <c r="AW356" i="30"/>
  <c r="AU356" i="30"/>
  <c r="AT356" i="30"/>
  <c r="AS356" i="30"/>
  <c r="AR356" i="30"/>
  <c r="AQ356" i="30"/>
  <c r="W356" i="30"/>
  <c r="X356" i="30" s="1"/>
  <c r="H356" i="30"/>
  <c r="J356" i="30" s="1"/>
  <c r="BK355" i="30"/>
  <c r="BJ355" i="30"/>
  <c r="BI355" i="30"/>
  <c r="BH355" i="30"/>
  <c r="BG355" i="30"/>
  <c r="BF355" i="30"/>
  <c r="BC355" i="30"/>
  <c r="BA355" i="30"/>
  <c r="AY355" i="30"/>
  <c r="AX355" i="30"/>
  <c r="AW355" i="30"/>
  <c r="AU355" i="30"/>
  <c r="AT355" i="30"/>
  <c r="AS355" i="30"/>
  <c r="AR355" i="30"/>
  <c r="AQ355" i="30"/>
  <c r="W355" i="30"/>
  <c r="X355" i="30" s="1"/>
  <c r="H355" i="30"/>
  <c r="J355" i="30" s="1"/>
  <c r="T355" i="30" s="1"/>
  <c r="BE355" i="30" s="1"/>
  <c r="BK354" i="30"/>
  <c r="BJ354" i="30"/>
  <c r="BI354" i="30"/>
  <c r="BH354" i="30"/>
  <c r="BG354" i="30"/>
  <c r="BF354" i="30"/>
  <c r="BC354" i="30"/>
  <c r="BA354" i="30"/>
  <c r="AY354" i="30"/>
  <c r="AX354" i="30"/>
  <c r="AW354" i="30"/>
  <c r="AU354" i="30"/>
  <c r="AT354" i="30"/>
  <c r="AS354" i="30"/>
  <c r="AR354" i="30"/>
  <c r="AQ354" i="30"/>
  <c r="W354" i="30"/>
  <c r="X354" i="30" s="1"/>
  <c r="J354" i="30"/>
  <c r="T354" i="30" s="1"/>
  <c r="BE354" i="30" s="1"/>
  <c r="BK353" i="30"/>
  <c r="BJ353" i="30"/>
  <c r="BI353" i="30"/>
  <c r="BH353" i="30"/>
  <c r="BG353" i="30"/>
  <c r="BF353" i="30"/>
  <c r="BC353" i="30"/>
  <c r="BA353" i="30"/>
  <c r="AY353" i="30"/>
  <c r="AX353" i="30"/>
  <c r="AW353" i="30"/>
  <c r="AU353" i="30"/>
  <c r="AT353" i="30"/>
  <c r="AS353" i="30"/>
  <c r="AR353" i="30"/>
  <c r="AQ353" i="30"/>
  <c r="W353" i="30"/>
  <c r="X353" i="30" s="1"/>
  <c r="H353" i="30"/>
  <c r="J353" i="30" s="1"/>
  <c r="BK352" i="30"/>
  <c r="BJ352" i="30"/>
  <c r="BI352" i="30"/>
  <c r="BH352" i="30"/>
  <c r="BG352" i="30"/>
  <c r="BF352" i="30"/>
  <c r="BC352" i="30"/>
  <c r="BA352" i="30"/>
  <c r="AY352" i="30"/>
  <c r="AX352" i="30"/>
  <c r="AW352" i="30"/>
  <c r="AU352" i="30"/>
  <c r="AT352" i="30"/>
  <c r="AS352" i="30"/>
  <c r="AR352" i="30"/>
  <c r="AQ352" i="30"/>
  <c r="W352" i="30"/>
  <c r="X352" i="30" s="1"/>
  <c r="H352" i="30"/>
  <c r="J352" i="30" s="1"/>
  <c r="BK351" i="30"/>
  <c r="BJ351" i="30"/>
  <c r="BI351" i="30"/>
  <c r="BH351" i="30"/>
  <c r="BG351" i="30"/>
  <c r="BF351" i="30"/>
  <c r="BC351" i="30"/>
  <c r="BA351" i="30"/>
  <c r="AY351" i="30"/>
  <c r="AX351" i="30"/>
  <c r="AW351" i="30"/>
  <c r="AU351" i="30"/>
  <c r="AT351" i="30"/>
  <c r="AS351" i="30"/>
  <c r="AR351" i="30"/>
  <c r="AQ351" i="30"/>
  <c r="W351" i="30"/>
  <c r="X351" i="30" s="1"/>
  <c r="H351" i="30"/>
  <c r="J351" i="30" s="1"/>
  <c r="T351" i="30" s="1"/>
  <c r="BE351" i="30" s="1"/>
  <c r="BK350" i="30"/>
  <c r="BJ350" i="30"/>
  <c r="BI350" i="30"/>
  <c r="BH350" i="30"/>
  <c r="BG350" i="30"/>
  <c r="BF350" i="30"/>
  <c r="BC350" i="30"/>
  <c r="BA350" i="30"/>
  <c r="AY350" i="30"/>
  <c r="AX350" i="30"/>
  <c r="AW350" i="30"/>
  <c r="AU350" i="30"/>
  <c r="AT350" i="30"/>
  <c r="AS350" i="30"/>
  <c r="AR350" i="30"/>
  <c r="AQ350" i="30"/>
  <c r="W350" i="30"/>
  <c r="X350" i="30" s="1"/>
  <c r="H350" i="30"/>
  <c r="J350" i="30" s="1"/>
  <c r="BK349" i="30"/>
  <c r="BJ349" i="30"/>
  <c r="BI349" i="30"/>
  <c r="BH349" i="30"/>
  <c r="BG349" i="30"/>
  <c r="BF349" i="30"/>
  <c r="BC349" i="30"/>
  <c r="BA349" i="30"/>
  <c r="AY349" i="30"/>
  <c r="AX349" i="30"/>
  <c r="AW349" i="30"/>
  <c r="AU349" i="30"/>
  <c r="AT349" i="30"/>
  <c r="AS349" i="30"/>
  <c r="AR349" i="30"/>
  <c r="AQ349" i="30"/>
  <c r="W349" i="30"/>
  <c r="X349" i="30" s="1"/>
  <c r="H349" i="30"/>
  <c r="J349" i="30" s="1"/>
  <c r="BK348" i="30"/>
  <c r="BJ348" i="30"/>
  <c r="BI348" i="30"/>
  <c r="BH348" i="30"/>
  <c r="BG348" i="30"/>
  <c r="BF348" i="30"/>
  <c r="BC348" i="30"/>
  <c r="BA348" i="30"/>
  <c r="AY348" i="30"/>
  <c r="AX348" i="30"/>
  <c r="AW348" i="30"/>
  <c r="AU348" i="30"/>
  <c r="AT348" i="30"/>
  <c r="AS348" i="30"/>
  <c r="AR348" i="30"/>
  <c r="AQ348" i="30"/>
  <c r="W348" i="30"/>
  <c r="X348" i="30" s="1"/>
  <c r="H348" i="30"/>
  <c r="J348" i="30" s="1"/>
  <c r="T348" i="30" s="1"/>
  <c r="BE348" i="30" s="1"/>
  <c r="BK347" i="30"/>
  <c r="BJ347" i="30"/>
  <c r="BI347" i="30"/>
  <c r="BH347" i="30"/>
  <c r="BG347" i="30"/>
  <c r="BF347" i="30"/>
  <c r="BC347" i="30"/>
  <c r="BA347" i="30"/>
  <c r="AY347" i="30"/>
  <c r="AX347" i="30"/>
  <c r="AW347" i="30"/>
  <c r="AU347" i="30"/>
  <c r="AT347" i="30"/>
  <c r="AS347" i="30"/>
  <c r="AR347" i="30"/>
  <c r="AQ347" i="30"/>
  <c r="W347" i="30"/>
  <c r="X347" i="30" s="1"/>
  <c r="Y347" i="30" s="1"/>
  <c r="BQ347" i="30" s="1"/>
  <c r="H347" i="30"/>
  <c r="J347" i="30" s="1"/>
  <c r="BK346" i="30"/>
  <c r="BJ346" i="30"/>
  <c r="BI346" i="30"/>
  <c r="BH346" i="30"/>
  <c r="BG346" i="30"/>
  <c r="BF346" i="30"/>
  <c r="BC346" i="30"/>
  <c r="BA346" i="30"/>
  <c r="AY346" i="30"/>
  <c r="AX346" i="30"/>
  <c r="AW346" i="30"/>
  <c r="AU346" i="30"/>
  <c r="AT346" i="30"/>
  <c r="AS346" i="30"/>
  <c r="AR346" i="30"/>
  <c r="AQ346" i="30"/>
  <c r="W346" i="30"/>
  <c r="X346" i="30" s="1"/>
  <c r="H346" i="30"/>
  <c r="J346" i="30" s="1"/>
  <c r="BK345" i="30"/>
  <c r="BJ345" i="30"/>
  <c r="BI345" i="30"/>
  <c r="BH345" i="30"/>
  <c r="BG345" i="30"/>
  <c r="BF345" i="30"/>
  <c r="BC345" i="30"/>
  <c r="BA345" i="30"/>
  <c r="AY345" i="30"/>
  <c r="AX345" i="30"/>
  <c r="AW345" i="30"/>
  <c r="AU345" i="30"/>
  <c r="AT345" i="30"/>
  <c r="AS345" i="30"/>
  <c r="AR345" i="30"/>
  <c r="AQ345" i="30"/>
  <c r="W345" i="30"/>
  <c r="X345" i="30" s="1"/>
  <c r="H345" i="30"/>
  <c r="J345" i="30" s="1"/>
  <c r="BK344" i="30"/>
  <c r="BJ344" i="30"/>
  <c r="BI344" i="30"/>
  <c r="BH344" i="30"/>
  <c r="BG344" i="30"/>
  <c r="BF344" i="30"/>
  <c r="BC344" i="30"/>
  <c r="BA344" i="30"/>
  <c r="AY344" i="30"/>
  <c r="AX344" i="30"/>
  <c r="AW344" i="30"/>
  <c r="AU344" i="30"/>
  <c r="AT344" i="30"/>
  <c r="AS344" i="30"/>
  <c r="AR344" i="30"/>
  <c r="AQ344" i="30"/>
  <c r="W344" i="30"/>
  <c r="X344" i="30" s="1"/>
  <c r="H344" i="30"/>
  <c r="J344" i="30" s="1"/>
  <c r="BK343" i="30"/>
  <c r="BJ343" i="30"/>
  <c r="BI343" i="30"/>
  <c r="BH343" i="30"/>
  <c r="BG343" i="30"/>
  <c r="BF343" i="30"/>
  <c r="BC343" i="30"/>
  <c r="BA343" i="30"/>
  <c r="AY343" i="30"/>
  <c r="AX343" i="30"/>
  <c r="AW343" i="30"/>
  <c r="AU343" i="30"/>
  <c r="AT343" i="30"/>
  <c r="AS343" i="30"/>
  <c r="AR343" i="30"/>
  <c r="AQ343" i="30"/>
  <c r="W343" i="30"/>
  <c r="X343" i="30" s="1"/>
  <c r="H343" i="30"/>
  <c r="J343" i="30" s="1"/>
  <c r="BK342" i="30"/>
  <c r="BJ342" i="30"/>
  <c r="BI342" i="30"/>
  <c r="BH342" i="30"/>
  <c r="BG342" i="30"/>
  <c r="BF342" i="30"/>
  <c r="BC342" i="30"/>
  <c r="BA342" i="30"/>
  <c r="AY342" i="30"/>
  <c r="AX342" i="30"/>
  <c r="AW342" i="30"/>
  <c r="AU342" i="30"/>
  <c r="AT342" i="30"/>
  <c r="AS342" i="30"/>
  <c r="AR342" i="30"/>
  <c r="AQ342" i="30"/>
  <c r="W342" i="30"/>
  <c r="X342" i="30" s="1"/>
  <c r="H342" i="30"/>
  <c r="J342" i="30" s="1"/>
  <c r="L342" i="30" s="1"/>
  <c r="BK341" i="30"/>
  <c r="BJ341" i="30"/>
  <c r="BI341" i="30"/>
  <c r="BH341" i="30"/>
  <c r="BG341" i="30"/>
  <c r="BF341" i="30"/>
  <c r="BC341" i="30"/>
  <c r="BA341" i="30"/>
  <c r="AY341" i="30"/>
  <c r="AX341" i="30"/>
  <c r="AW341" i="30"/>
  <c r="AU341" i="30"/>
  <c r="AT341" i="30"/>
  <c r="AS341" i="30"/>
  <c r="AR341" i="30"/>
  <c r="AQ341" i="30"/>
  <c r="W341" i="30"/>
  <c r="X341" i="30" s="1"/>
  <c r="H341" i="30"/>
  <c r="J341" i="30" s="1"/>
  <c r="BK340" i="30"/>
  <c r="BJ340" i="30"/>
  <c r="BI340" i="30"/>
  <c r="BH340" i="30"/>
  <c r="BG340" i="30"/>
  <c r="BF340" i="30"/>
  <c r="BC340" i="30"/>
  <c r="BA340" i="30"/>
  <c r="AY340" i="30"/>
  <c r="AX340" i="30"/>
  <c r="AW340" i="30"/>
  <c r="AU340" i="30"/>
  <c r="AT340" i="30"/>
  <c r="AS340" i="30"/>
  <c r="AR340" i="30"/>
  <c r="AQ340" i="30"/>
  <c r="W340" i="30"/>
  <c r="X340" i="30" s="1"/>
  <c r="H340" i="30"/>
  <c r="J340" i="30" s="1"/>
  <c r="L340" i="30" s="1"/>
  <c r="BK339" i="30"/>
  <c r="BJ339" i="30"/>
  <c r="BI339" i="30"/>
  <c r="BH339" i="30"/>
  <c r="BG339" i="30"/>
  <c r="BF339" i="30"/>
  <c r="BC339" i="30"/>
  <c r="BA339" i="30"/>
  <c r="AY339" i="30"/>
  <c r="AX339" i="30"/>
  <c r="AW339" i="30"/>
  <c r="AU339" i="30"/>
  <c r="AT339" i="30"/>
  <c r="AS339" i="30"/>
  <c r="AR339" i="30"/>
  <c r="AQ339" i="30"/>
  <c r="W339" i="30"/>
  <c r="X339" i="30" s="1"/>
  <c r="H339" i="30"/>
  <c r="J339" i="30" s="1"/>
  <c r="L339" i="30" s="1"/>
  <c r="BK338" i="30"/>
  <c r="BJ338" i="30"/>
  <c r="BI338" i="30"/>
  <c r="BH338" i="30"/>
  <c r="BG338" i="30"/>
  <c r="BF338" i="30"/>
  <c r="BC338" i="30"/>
  <c r="BA338" i="30"/>
  <c r="AY338" i="30"/>
  <c r="AX338" i="30"/>
  <c r="AW338" i="30"/>
  <c r="AU338" i="30"/>
  <c r="AT338" i="30"/>
  <c r="AS338" i="30"/>
  <c r="AR338" i="30"/>
  <c r="AQ338" i="30"/>
  <c r="W338" i="30"/>
  <c r="X338" i="30" s="1"/>
  <c r="Y338" i="30" s="1"/>
  <c r="BQ338" i="30" s="1"/>
  <c r="H338" i="30"/>
  <c r="J338" i="30" s="1"/>
  <c r="BK337" i="30"/>
  <c r="BJ337" i="30"/>
  <c r="BI337" i="30"/>
  <c r="BH337" i="30"/>
  <c r="BG337" i="30"/>
  <c r="BF337" i="30"/>
  <c r="BC337" i="30"/>
  <c r="BA337" i="30"/>
  <c r="AY337" i="30"/>
  <c r="AX337" i="30"/>
  <c r="AW337" i="30"/>
  <c r="AU337" i="30"/>
  <c r="AT337" i="30"/>
  <c r="AS337" i="30"/>
  <c r="AR337" i="30"/>
  <c r="AQ337" i="30"/>
  <c r="W337" i="30"/>
  <c r="X337" i="30" s="1"/>
  <c r="H337" i="30"/>
  <c r="J337" i="30" s="1"/>
  <c r="L337" i="30" s="1"/>
  <c r="BK336" i="30"/>
  <c r="BJ336" i="30"/>
  <c r="BI336" i="30"/>
  <c r="BH336" i="30"/>
  <c r="BG336" i="30"/>
  <c r="BF336" i="30"/>
  <c r="BC336" i="30"/>
  <c r="BA336" i="30"/>
  <c r="AY336" i="30"/>
  <c r="AX336" i="30"/>
  <c r="AW336" i="30"/>
  <c r="AU336" i="30"/>
  <c r="AT336" i="30"/>
  <c r="AS336" i="30"/>
  <c r="AR336" i="30"/>
  <c r="AQ336" i="30"/>
  <c r="W336" i="30"/>
  <c r="X336" i="30" s="1"/>
  <c r="H336" i="30"/>
  <c r="J336" i="30" s="1"/>
  <c r="T336" i="30" s="1"/>
  <c r="BE336" i="30" s="1"/>
  <c r="BK335" i="30"/>
  <c r="BJ335" i="30"/>
  <c r="BI335" i="30"/>
  <c r="BH335" i="30"/>
  <c r="BG335" i="30"/>
  <c r="BF335" i="30"/>
  <c r="BC335" i="30"/>
  <c r="BA335" i="30"/>
  <c r="AY335" i="30"/>
  <c r="AX335" i="30"/>
  <c r="AW335" i="30"/>
  <c r="AU335" i="30"/>
  <c r="AT335" i="30"/>
  <c r="AS335" i="30"/>
  <c r="AR335" i="30"/>
  <c r="AQ335" i="30"/>
  <c r="W335" i="30"/>
  <c r="X335" i="30" s="1"/>
  <c r="H335" i="30"/>
  <c r="J335" i="30" s="1"/>
  <c r="BK334" i="30"/>
  <c r="BJ334" i="30"/>
  <c r="BI334" i="30"/>
  <c r="BH334" i="30"/>
  <c r="BG334" i="30"/>
  <c r="BF334" i="30"/>
  <c r="BC334" i="30"/>
  <c r="BA334" i="30"/>
  <c r="AY334" i="30"/>
  <c r="AX334" i="30"/>
  <c r="AW334" i="30"/>
  <c r="AU334" i="30"/>
  <c r="AT334" i="30"/>
  <c r="AS334" i="30"/>
  <c r="AR334" i="30"/>
  <c r="AQ334" i="30"/>
  <c r="W334" i="30"/>
  <c r="X334" i="30" s="1"/>
  <c r="H334" i="30"/>
  <c r="J334" i="30" s="1"/>
  <c r="BK333" i="30"/>
  <c r="BJ333" i="30"/>
  <c r="BI333" i="30"/>
  <c r="BH333" i="30"/>
  <c r="BG333" i="30"/>
  <c r="BF333" i="30"/>
  <c r="BC333" i="30"/>
  <c r="BA333" i="30"/>
  <c r="AY333" i="30"/>
  <c r="AX333" i="30"/>
  <c r="AW333" i="30"/>
  <c r="AU333" i="30"/>
  <c r="AT333" i="30"/>
  <c r="AS333" i="30"/>
  <c r="AR333" i="30"/>
  <c r="AQ333" i="30"/>
  <c r="W333" i="30"/>
  <c r="X333" i="30" s="1"/>
  <c r="H333" i="30"/>
  <c r="J333" i="30" s="1"/>
  <c r="BK332" i="30"/>
  <c r="BJ332" i="30"/>
  <c r="BI332" i="30"/>
  <c r="BH332" i="30"/>
  <c r="BG332" i="30"/>
  <c r="BF332" i="30"/>
  <c r="BC332" i="30"/>
  <c r="BA332" i="30"/>
  <c r="AY332" i="30"/>
  <c r="AX332" i="30"/>
  <c r="AW332" i="30"/>
  <c r="AU332" i="30"/>
  <c r="AT332" i="30"/>
  <c r="AS332" i="30"/>
  <c r="AR332" i="30"/>
  <c r="AQ332" i="30"/>
  <c r="W332" i="30"/>
  <c r="X332" i="30" s="1"/>
  <c r="Y332" i="30" s="1"/>
  <c r="BQ332" i="30" s="1"/>
  <c r="H332" i="30"/>
  <c r="J332" i="30" s="1"/>
  <c r="BK331" i="30"/>
  <c r="BJ331" i="30"/>
  <c r="BI331" i="30"/>
  <c r="BH331" i="30"/>
  <c r="BG331" i="30"/>
  <c r="BF331" i="30"/>
  <c r="BC331" i="30"/>
  <c r="BA331" i="30"/>
  <c r="AY331" i="30"/>
  <c r="AX331" i="30"/>
  <c r="AW331" i="30"/>
  <c r="AU331" i="30"/>
  <c r="AT331" i="30"/>
  <c r="AS331" i="30"/>
  <c r="AR331" i="30"/>
  <c r="AQ331" i="30"/>
  <c r="W331" i="30"/>
  <c r="X331" i="30" s="1"/>
  <c r="H331" i="30"/>
  <c r="J331" i="30" s="1"/>
  <c r="T331" i="30" s="1"/>
  <c r="BE331" i="30" s="1"/>
  <c r="BK330" i="30"/>
  <c r="BJ330" i="30"/>
  <c r="BI330" i="30"/>
  <c r="BH330" i="30"/>
  <c r="BG330" i="30"/>
  <c r="BF330" i="30"/>
  <c r="BC330" i="30"/>
  <c r="BA330" i="30"/>
  <c r="AY330" i="30"/>
  <c r="AX330" i="30"/>
  <c r="AW330" i="30"/>
  <c r="AU330" i="30"/>
  <c r="AT330" i="30"/>
  <c r="AS330" i="30"/>
  <c r="AR330" i="30"/>
  <c r="AQ330" i="30"/>
  <c r="W330" i="30"/>
  <c r="X330" i="30" s="1"/>
  <c r="H330" i="30"/>
  <c r="J330" i="30" s="1"/>
  <c r="BK329" i="30"/>
  <c r="BJ329" i="30"/>
  <c r="BI329" i="30"/>
  <c r="BH329" i="30"/>
  <c r="BG329" i="30"/>
  <c r="BF329" i="30"/>
  <c r="BC329" i="30"/>
  <c r="BA329" i="30"/>
  <c r="AY329" i="30"/>
  <c r="AX329" i="30"/>
  <c r="AW329" i="30"/>
  <c r="AU329" i="30"/>
  <c r="AT329" i="30"/>
  <c r="AS329" i="30"/>
  <c r="AR329" i="30"/>
  <c r="AQ329" i="30"/>
  <c r="W329" i="30"/>
  <c r="X329" i="30" s="1"/>
  <c r="H329" i="30"/>
  <c r="J329" i="30" s="1"/>
  <c r="L329" i="30" s="1"/>
  <c r="BK328" i="30"/>
  <c r="BJ328" i="30"/>
  <c r="BI328" i="30"/>
  <c r="BH328" i="30"/>
  <c r="BG328" i="30"/>
  <c r="BF328" i="30"/>
  <c r="BC328" i="30"/>
  <c r="BA328" i="30"/>
  <c r="AY328" i="30"/>
  <c r="AX328" i="30"/>
  <c r="AW328" i="30"/>
  <c r="AU328" i="30"/>
  <c r="AT328" i="30"/>
  <c r="AS328" i="30"/>
  <c r="AR328" i="30"/>
  <c r="AQ328" i="30"/>
  <c r="W328" i="30"/>
  <c r="X328" i="30" s="1"/>
  <c r="H328" i="30"/>
  <c r="J328" i="30" s="1"/>
  <c r="BK327" i="30"/>
  <c r="BJ327" i="30"/>
  <c r="BI327" i="30"/>
  <c r="BH327" i="30"/>
  <c r="BG327" i="30"/>
  <c r="BF327" i="30"/>
  <c r="BC327" i="30"/>
  <c r="BA327" i="30"/>
  <c r="AY327" i="30"/>
  <c r="AX327" i="30"/>
  <c r="AW327" i="30"/>
  <c r="AU327" i="30"/>
  <c r="AT327" i="30"/>
  <c r="AS327" i="30"/>
  <c r="AR327" i="30"/>
  <c r="AQ327" i="30"/>
  <c r="W327" i="30"/>
  <c r="X327" i="30" s="1"/>
  <c r="H327" i="30"/>
  <c r="J327" i="30" s="1"/>
  <c r="BK326" i="30"/>
  <c r="BJ326" i="30"/>
  <c r="BI326" i="30"/>
  <c r="BH326" i="30"/>
  <c r="BG326" i="30"/>
  <c r="BF326" i="30"/>
  <c r="BC326" i="30"/>
  <c r="BA326" i="30"/>
  <c r="AY326" i="30"/>
  <c r="AX326" i="30"/>
  <c r="AW326" i="30"/>
  <c r="AU326" i="30"/>
  <c r="AT326" i="30"/>
  <c r="AS326" i="30"/>
  <c r="AR326" i="30"/>
  <c r="AQ326" i="30"/>
  <c r="W326" i="30"/>
  <c r="X326" i="30" s="1"/>
  <c r="H326" i="30"/>
  <c r="J326" i="30" s="1"/>
  <c r="BK325" i="30"/>
  <c r="BJ325" i="30"/>
  <c r="BI325" i="30"/>
  <c r="BH325" i="30"/>
  <c r="BG325" i="30"/>
  <c r="BF325" i="30"/>
  <c r="BC325" i="30"/>
  <c r="BA325" i="30"/>
  <c r="AY325" i="30"/>
  <c r="AX325" i="30"/>
  <c r="AW325" i="30"/>
  <c r="AU325" i="30"/>
  <c r="AT325" i="30"/>
  <c r="AS325" i="30"/>
  <c r="AR325" i="30"/>
  <c r="AQ325" i="30"/>
  <c r="W325" i="30"/>
  <c r="X325" i="30" s="1"/>
  <c r="H325" i="30"/>
  <c r="J325" i="30" s="1"/>
  <c r="BK324" i="30"/>
  <c r="BJ324" i="30"/>
  <c r="BI324" i="30"/>
  <c r="BH324" i="30"/>
  <c r="BG324" i="30"/>
  <c r="BF324" i="30"/>
  <c r="BC324" i="30"/>
  <c r="BA324" i="30"/>
  <c r="AY324" i="30"/>
  <c r="AX324" i="30"/>
  <c r="AW324" i="30"/>
  <c r="AU324" i="30"/>
  <c r="AT324" i="30"/>
  <c r="AS324" i="30"/>
  <c r="AR324" i="30"/>
  <c r="AQ324" i="30"/>
  <c r="W324" i="30"/>
  <c r="X324" i="30" s="1"/>
  <c r="H324" i="30"/>
  <c r="J324" i="30" s="1"/>
  <c r="T324" i="30" s="1"/>
  <c r="BE324" i="30" s="1"/>
  <c r="BK323" i="30"/>
  <c r="BJ323" i="30"/>
  <c r="BI323" i="30"/>
  <c r="BH323" i="30"/>
  <c r="BG323" i="30"/>
  <c r="BF323" i="30"/>
  <c r="BC323" i="30"/>
  <c r="BA323" i="30"/>
  <c r="AY323" i="30"/>
  <c r="AX323" i="30"/>
  <c r="AW323" i="30"/>
  <c r="AU323" i="30"/>
  <c r="AT323" i="30"/>
  <c r="AS323" i="30"/>
  <c r="AR323" i="30"/>
  <c r="AQ323" i="30"/>
  <c r="W323" i="30"/>
  <c r="X323" i="30" s="1"/>
  <c r="H323" i="30"/>
  <c r="J323" i="30" s="1"/>
  <c r="T323" i="30" s="1"/>
  <c r="BE323" i="30" s="1"/>
  <c r="BK322" i="30"/>
  <c r="BJ322" i="30"/>
  <c r="BI322" i="30"/>
  <c r="BH322" i="30"/>
  <c r="BG322" i="30"/>
  <c r="BF322" i="30"/>
  <c r="BC322" i="30"/>
  <c r="BA322" i="30"/>
  <c r="AY322" i="30"/>
  <c r="AX322" i="30"/>
  <c r="AW322" i="30"/>
  <c r="AU322" i="30"/>
  <c r="AT322" i="30"/>
  <c r="AS322" i="30"/>
  <c r="AR322" i="30"/>
  <c r="AQ322" i="30"/>
  <c r="W322" i="30"/>
  <c r="X322" i="30" s="1"/>
  <c r="H322" i="30"/>
  <c r="J322" i="30" s="1"/>
  <c r="BK321" i="30"/>
  <c r="BJ321" i="30"/>
  <c r="BI321" i="30"/>
  <c r="BH321" i="30"/>
  <c r="BG321" i="30"/>
  <c r="BF321" i="30"/>
  <c r="BC321" i="30"/>
  <c r="BA321" i="30"/>
  <c r="AY321" i="30"/>
  <c r="AX321" i="30"/>
  <c r="AW321" i="30"/>
  <c r="AU321" i="30"/>
  <c r="AT321" i="30"/>
  <c r="AS321" i="30"/>
  <c r="AR321" i="30"/>
  <c r="AQ321" i="30"/>
  <c r="W321" i="30"/>
  <c r="X321" i="30" s="1"/>
  <c r="Y321" i="30" s="1"/>
  <c r="BQ321" i="30" s="1"/>
  <c r="H321" i="30"/>
  <c r="J321" i="30" s="1"/>
  <c r="BK320" i="30"/>
  <c r="BJ320" i="30"/>
  <c r="BI320" i="30"/>
  <c r="BH320" i="30"/>
  <c r="BG320" i="30"/>
  <c r="BF320" i="30"/>
  <c r="BC320" i="30"/>
  <c r="BA320" i="30"/>
  <c r="AY320" i="30"/>
  <c r="AX320" i="30"/>
  <c r="AW320" i="30"/>
  <c r="AU320" i="30"/>
  <c r="AT320" i="30"/>
  <c r="AS320" i="30"/>
  <c r="AR320" i="30"/>
  <c r="AQ320" i="30"/>
  <c r="W320" i="30"/>
  <c r="X320" i="30" s="1"/>
  <c r="H320" i="30"/>
  <c r="J320" i="30" s="1"/>
  <c r="BK319" i="30"/>
  <c r="BJ319" i="30"/>
  <c r="BI319" i="30"/>
  <c r="BH319" i="30"/>
  <c r="BG319" i="30"/>
  <c r="BF319" i="30"/>
  <c r="BC319" i="30"/>
  <c r="BA319" i="30"/>
  <c r="AY319" i="30"/>
  <c r="AX319" i="30"/>
  <c r="AW319" i="30"/>
  <c r="AU319" i="30"/>
  <c r="AT319" i="30"/>
  <c r="AS319" i="30"/>
  <c r="AR319" i="30"/>
  <c r="AQ319" i="30"/>
  <c r="W319" i="30"/>
  <c r="X319" i="30" s="1"/>
  <c r="H319" i="30"/>
  <c r="J319" i="30" s="1"/>
  <c r="BK318" i="30"/>
  <c r="BJ318" i="30"/>
  <c r="BI318" i="30"/>
  <c r="BH318" i="30"/>
  <c r="BG318" i="30"/>
  <c r="BF318" i="30"/>
  <c r="BC318" i="30"/>
  <c r="BA318" i="30"/>
  <c r="AY318" i="30"/>
  <c r="AX318" i="30"/>
  <c r="AW318" i="30"/>
  <c r="AU318" i="30"/>
  <c r="AT318" i="30"/>
  <c r="AS318" i="30"/>
  <c r="AR318" i="30"/>
  <c r="AQ318" i="30"/>
  <c r="W318" i="30"/>
  <c r="X318" i="30" s="1"/>
  <c r="H318" i="30"/>
  <c r="J318" i="30" s="1"/>
  <c r="T318" i="30" s="1"/>
  <c r="BE318" i="30" s="1"/>
  <c r="BK317" i="30"/>
  <c r="BJ317" i="30"/>
  <c r="BI317" i="30"/>
  <c r="BH317" i="30"/>
  <c r="BG317" i="30"/>
  <c r="BF317" i="30"/>
  <c r="BC317" i="30"/>
  <c r="BA317" i="30"/>
  <c r="AY317" i="30"/>
  <c r="AX317" i="30"/>
  <c r="AW317" i="30"/>
  <c r="AU317" i="30"/>
  <c r="AT317" i="30"/>
  <c r="AS317" i="30"/>
  <c r="AR317" i="30"/>
  <c r="AQ317" i="30"/>
  <c r="W317" i="30"/>
  <c r="X317" i="30" s="1"/>
  <c r="H317" i="30"/>
  <c r="J317" i="30" s="1"/>
  <c r="T317" i="30" s="1"/>
  <c r="BE317" i="30" s="1"/>
  <c r="BK316" i="30"/>
  <c r="BJ316" i="30"/>
  <c r="BI316" i="30"/>
  <c r="BH316" i="30"/>
  <c r="BG316" i="30"/>
  <c r="BF316" i="30"/>
  <c r="BC316" i="30"/>
  <c r="BA316" i="30"/>
  <c r="AY316" i="30"/>
  <c r="AX316" i="30"/>
  <c r="AW316" i="30"/>
  <c r="AU316" i="30"/>
  <c r="AT316" i="30"/>
  <c r="AS316" i="30"/>
  <c r="AR316" i="30"/>
  <c r="AQ316" i="30"/>
  <c r="W316" i="30"/>
  <c r="X316" i="30" s="1"/>
  <c r="H316" i="30"/>
  <c r="J316" i="30" s="1"/>
  <c r="BK315" i="30"/>
  <c r="BJ315" i="30"/>
  <c r="BI315" i="30"/>
  <c r="BH315" i="30"/>
  <c r="BG315" i="30"/>
  <c r="BF315" i="30"/>
  <c r="BC315" i="30"/>
  <c r="BA315" i="30"/>
  <c r="AY315" i="30"/>
  <c r="AX315" i="30"/>
  <c r="AW315" i="30"/>
  <c r="AU315" i="30"/>
  <c r="AT315" i="30"/>
  <c r="AS315" i="30"/>
  <c r="AR315" i="30"/>
  <c r="AQ315" i="30"/>
  <c r="W315" i="30"/>
  <c r="X315" i="30" s="1"/>
  <c r="H315" i="30"/>
  <c r="J315" i="30" s="1"/>
  <c r="L315" i="30" s="1"/>
  <c r="BK314" i="30"/>
  <c r="BJ314" i="30"/>
  <c r="BI314" i="30"/>
  <c r="BH314" i="30"/>
  <c r="BG314" i="30"/>
  <c r="BF314" i="30"/>
  <c r="BC314" i="30"/>
  <c r="BA314" i="30"/>
  <c r="AY314" i="30"/>
  <c r="AX314" i="30"/>
  <c r="AW314" i="30"/>
  <c r="AU314" i="30"/>
  <c r="AT314" i="30"/>
  <c r="AS314" i="30"/>
  <c r="AR314" i="30"/>
  <c r="AQ314" i="30"/>
  <c r="W314" i="30"/>
  <c r="X314" i="30" s="1"/>
  <c r="H314" i="30"/>
  <c r="J314" i="30" s="1"/>
  <c r="O314" i="30" s="1"/>
  <c r="BK313" i="30"/>
  <c r="BJ313" i="30"/>
  <c r="BI313" i="30"/>
  <c r="BH313" i="30"/>
  <c r="BG313" i="30"/>
  <c r="BF313" i="30"/>
  <c r="BC313" i="30"/>
  <c r="BA313" i="30"/>
  <c r="AY313" i="30"/>
  <c r="AX313" i="30"/>
  <c r="AW313" i="30"/>
  <c r="AU313" i="30"/>
  <c r="AT313" i="30"/>
  <c r="AS313" i="30"/>
  <c r="AR313" i="30"/>
  <c r="AQ313" i="30"/>
  <c r="W313" i="30"/>
  <c r="X313" i="30" s="1"/>
  <c r="H313" i="30"/>
  <c r="J313" i="30" s="1"/>
  <c r="BK312" i="30"/>
  <c r="BJ312" i="30"/>
  <c r="BI312" i="30"/>
  <c r="BH312" i="30"/>
  <c r="BG312" i="30"/>
  <c r="BF312" i="30"/>
  <c r="BC312" i="30"/>
  <c r="BA312" i="30"/>
  <c r="AY312" i="30"/>
  <c r="AX312" i="30"/>
  <c r="AW312" i="30"/>
  <c r="AU312" i="30"/>
  <c r="AT312" i="30"/>
  <c r="AS312" i="30"/>
  <c r="AR312" i="30"/>
  <c r="AQ312" i="30"/>
  <c r="W312" i="30"/>
  <c r="X312" i="30" s="1"/>
  <c r="H312" i="30"/>
  <c r="J312" i="30" s="1"/>
  <c r="BK311" i="30"/>
  <c r="BJ311" i="30"/>
  <c r="BI311" i="30"/>
  <c r="BH311" i="30"/>
  <c r="BG311" i="30"/>
  <c r="BF311" i="30"/>
  <c r="BC311" i="30"/>
  <c r="BA311" i="30"/>
  <c r="AY311" i="30"/>
  <c r="AX311" i="30"/>
  <c r="AW311" i="30"/>
  <c r="AU311" i="30"/>
  <c r="AT311" i="30"/>
  <c r="AS311" i="30"/>
  <c r="AR311" i="30"/>
  <c r="AQ311" i="30"/>
  <c r="W311" i="30"/>
  <c r="X311" i="30" s="1"/>
  <c r="H311" i="30"/>
  <c r="J311" i="30" s="1"/>
  <c r="BK310" i="30"/>
  <c r="BJ310" i="30"/>
  <c r="BI310" i="30"/>
  <c r="BH310" i="30"/>
  <c r="BG310" i="30"/>
  <c r="BF310" i="30"/>
  <c r="BC310" i="30"/>
  <c r="BA310" i="30"/>
  <c r="AY310" i="30"/>
  <c r="AX310" i="30"/>
  <c r="AW310" i="30"/>
  <c r="AU310" i="30"/>
  <c r="AT310" i="30"/>
  <c r="AS310" i="30"/>
  <c r="AR310" i="30"/>
  <c r="AQ310" i="30"/>
  <c r="W310" i="30"/>
  <c r="X310" i="30" s="1"/>
  <c r="H310" i="30"/>
  <c r="J310" i="30" s="1"/>
  <c r="BK309" i="30"/>
  <c r="BJ309" i="30"/>
  <c r="BI309" i="30"/>
  <c r="BH309" i="30"/>
  <c r="BG309" i="30"/>
  <c r="BF309" i="30"/>
  <c r="BC309" i="30"/>
  <c r="BA309" i="30"/>
  <c r="AY309" i="30"/>
  <c r="AX309" i="30"/>
  <c r="AW309" i="30"/>
  <c r="AU309" i="30"/>
  <c r="AT309" i="30"/>
  <c r="AS309" i="30"/>
  <c r="AR309" i="30"/>
  <c r="AQ309" i="30"/>
  <c r="W309" i="30"/>
  <c r="X309" i="30" s="1"/>
  <c r="H309" i="30"/>
  <c r="J309" i="30" s="1"/>
  <c r="BK308" i="30"/>
  <c r="BJ308" i="30"/>
  <c r="BI308" i="30"/>
  <c r="BH308" i="30"/>
  <c r="BG308" i="30"/>
  <c r="BF308" i="30"/>
  <c r="BC308" i="30"/>
  <c r="BA308" i="30"/>
  <c r="AY308" i="30"/>
  <c r="AX308" i="30"/>
  <c r="AW308" i="30"/>
  <c r="AU308" i="30"/>
  <c r="AT308" i="30"/>
  <c r="AS308" i="30"/>
  <c r="AR308" i="30"/>
  <c r="AQ308" i="30"/>
  <c r="W308" i="30"/>
  <c r="X308" i="30" s="1"/>
  <c r="H308" i="30"/>
  <c r="J308" i="30" s="1"/>
  <c r="BK307" i="30"/>
  <c r="BJ307" i="30"/>
  <c r="BI307" i="30"/>
  <c r="BH307" i="30"/>
  <c r="BG307" i="30"/>
  <c r="BF307" i="30"/>
  <c r="BC307" i="30"/>
  <c r="BA307" i="30"/>
  <c r="AY307" i="30"/>
  <c r="AX307" i="30"/>
  <c r="AW307" i="30"/>
  <c r="AU307" i="30"/>
  <c r="AT307" i="30"/>
  <c r="AS307" i="30"/>
  <c r="AR307" i="30"/>
  <c r="AQ307" i="30"/>
  <c r="W307" i="30"/>
  <c r="X307" i="30" s="1"/>
  <c r="H307" i="30"/>
  <c r="J307" i="30" s="1"/>
  <c r="BK306" i="30"/>
  <c r="BJ306" i="30"/>
  <c r="BI306" i="30"/>
  <c r="BH306" i="30"/>
  <c r="BG306" i="30"/>
  <c r="BF306" i="30"/>
  <c r="BC306" i="30"/>
  <c r="BA306" i="30"/>
  <c r="AY306" i="30"/>
  <c r="AX306" i="30"/>
  <c r="AW306" i="30"/>
  <c r="AU306" i="30"/>
  <c r="AT306" i="30"/>
  <c r="AS306" i="30"/>
  <c r="AR306" i="30"/>
  <c r="AQ306" i="30"/>
  <c r="W306" i="30"/>
  <c r="X306" i="30" s="1"/>
  <c r="H306" i="30"/>
  <c r="J306" i="30" s="1"/>
  <c r="BK305" i="30"/>
  <c r="BJ305" i="30"/>
  <c r="BI305" i="30"/>
  <c r="BH305" i="30"/>
  <c r="BG305" i="30"/>
  <c r="BF305" i="30"/>
  <c r="BC305" i="30"/>
  <c r="BA305" i="30"/>
  <c r="AY305" i="30"/>
  <c r="AX305" i="30"/>
  <c r="AW305" i="30"/>
  <c r="AU305" i="30"/>
  <c r="AT305" i="30"/>
  <c r="AS305" i="30"/>
  <c r="AR305" i="30"/>
  <c r="AQ305" i="30"/>
  <c r="W305" i="30"/>
  <c r="X305" i="30" s="1"/>
  <c r="H305" i="30"/>
  <c r="J305" i="30" s="1"/>
  <c r="BK304" i="30"/>
  <c r="BJ304" i="30"/>
  <c r="BI304" i="30"/>
  <c r="BH304" i="30"/>
  <c r="BG304" i="30"/>
  <c r="BF304" i="30"/>
  <c r="BC304" i="30"/>
  <c r="BA304" i="30"/>
  <c r="AY304" i="30"/>
  <c r="AX304" i="30"/>
  <c r="AW304" i="30"/>
  <c r="AU304" i="30"/>
  <c r="AT304" i="30"/>
  <c r="AS304" i="30"/>
  <c r="AR304" i="30"/>
  <c r="AQ304" i="30"/>
  <c r="W304" i="30"/>
  <c r="R304" i="30"/>
  <c r="H304" i="30"/>
  <c r="J304" i="30" s="1"/>
  <c r="BK303" i="30"/>
  <c r="BJ303" i="30"/>
  <c r="BI303" i="30"/>
  <c r="BH303" i="30"/>
  <c r="BG303" i="30"/>
  <c r="BF303" i="30"/>
  <c r="BC303" i="30"/>
  <c r="BA303" i="30"/>
  <c r="AY303" i="30"/>
  <c r="AX303" i="30"/>
  <c r="AW303" i="30"/>
  <c r="AU303" i="30"/>
  <c r="AT303" i="30"/>
  <c r="AS303" i="30"/>
  <c r="AR303" i="30"/>
  <c r="AQ303" i="30"/>
  <c r="W303" i="30"/>
  <c r="X303" i="30" s="1"/>
  <c r="H303" i="30"/>
  <c r="J303" i="30" s="1"/>
  <c r="L303" i="30" s="1"/>
  <c r="BK302" i="30"/>
  <c r="BJ302" i="30"/>
  <c r="BI302" i="30"/>
  <c r="BH302" i="30"/>
  <c r="BG302" i="30"/>
  <c r="BF302" i="30"/>
  <c r="BC302" i="30"/>
  <c r="BA302" i="30"/>
  <c r="AY302" i="30"/>
  <c r="AX302" i="30"/>
  <c r="AW302" i="30"/>
  <c r="AU302" i="30"/>
  <c r="AT302" i="30"/>
  <c r="AS302" i="30"/>
  <c r="AR302" i="30"/>
  <c r="AQ302" i="30"/>
  <c r="W302" i="30"/>
  <c r="X302" i="30" s="1"/>
  <c r="H302" i="30"/>
  <c r="J302" i="30" s="1"/>
  <c r="BK301" i="30"/>
  <c r="BJ301" i="30"/>
  <c r="BI301" i="30"/>
  <c r="BH301" i="30"/>
  <c r="BG301" i="30"/>
  <c r="BF301" i="30"/>
  <c r="BC301" i="30"/>
  <c r="BA301" i="30"/>
  <c r="AY301" i="30"/>
  <c r="AX301" i="30"/>
  <c r="AW301" i="30"/>
  <c r="AU301" i="30"/>
  <c r="AT301" i="30"/>
  <c r="AS301" i="30"/>
  <c r="AR301" i="30"/>
  <c r="AQ301" i="30"/>
  <c r="W301" i="30"/>
  <c r="X301" i="30" s="1"/>
  <c r="H301" i="30"/>
  <c r="J301" i="30" s="1"/>
  <c r="BK300" i="30"/>
  <c r="BJ300" i="30"/>
  <c r="BI300" i="30"/>
  <c r="BH300" i="30"/>
  <c r="BG300" i="30"/>
  <c r="BF300" i="30"/>
  <c r="BC300" i="30"/>
  <c r="BA300" i="30"/>
  <c r="AY300" i="30"/>
  <c r="AX300" i="30"/>
  <c r="AW300" i="30"/>
  <c r="AU300" i="30"/>
  <c r="AT300" i="30"/>
  <c r="AS300" i="30"/>
  <c r="AR300" i="30"/>
  <c r="AQ300" i="30"/>
  <c r="W300" i="30"/>
  <c r="X300" i="30" s="1"/>
  <c r="H300" i="30"/>
  <c r="J300" i="30" s="1"/>
  <c r="L300" i="30" s="1"/>
  <c r="BK299" i="30"/>
  <c r="BJ299" i="30"/>
  <c r="BI299" i="30"/>
  <c r="BH299" i="30"/>
  <c r="BG299" i="30"/>
  <c r="BF299" i="30"/>
  <c r="BC299" i="30"/>
  <c r="BA299" i="30"/>
  <c r="AY299" i="30"/>
  <c r="AX299" i="30"/>
  <c r="AW299" i="30"/>
  <c r="AU299" i="30"/>
  <c r="AT299" i="30"/>
  <c r="AS299" i="30"/>
  <c r="AR299" i="30"/>
  <c r="AQ299" i="30"/>
  <c r="W299" i="30"/>
  <c r="X299" i="30" s="1"/>
  <c r="H299" i="30"/>
  <c r="J299" i="30" s="1"/>
  <c r="T299" i="30" s="1"/>
  <c r="BE299" i="30" s="1"/>
  <c r="BK298" i="30"/>
  <c r="BJ298" i="30"/>
  <c r="BI298" i="30"/>
  <c r="BH298" i="30"/>
  <c r="BG298" i="30"/>
  <c r="BF298" i="30"/>
  <c r="BC298" i="30"/>
  <c r="BA298" i="30"/>
  <c r="AY298" i="30"/>
  <c r="AX298" i="30"/>
  <c r="AW298" i="30"/>
  <c r="AU298" i="30"/>
  <c r="AT298" i="30"/>
  <c r="AS298" i="30"/>
  <c r="AR298" i="30"/>
  <c r="AQ298" i="30"/>
  <c r="W298" i="30"/>
  <c r="X298" i="30" s="1"/>
  <c r="Y298" i="30" s="1"/>
  <c r="BQ298" i="30" s="1"/>
  <c r="H298" i="30"/>
  <c r="J298" i="30" s="1"/>
  <c r="BK297" i="30"/>
  <c r="BJ297" i="30"/>
  <c r="BI297" i="30"/>
  <c r="BH297" i="30"/>
  <c r="BG297" i="30"/>
  <c r="BF297" i="30"/>
  <c r="BC297" i="30"/>
  <c r="BA297" i="30"/>
  <c r="AY297" i="30"/>
  <c r="AX297" i="30"/>
  <c r="AW297" i="30"/>
  <c r="AU297" i="30"/>
  <c r="AT297" i="30"/>
  <c r="AS297" i="30"/>
  <c r="AR297" i="30"/>
  <c r="AQ297" i="30"/>
  <c r="W297" i="30"/>
  <c r="X297" i="30" s="1"/>
  <c r="H297" i="30"/>
  <c r="J297" i="30" s="1"/>
  <c r="BK296" i="30"/>
  <c r="BJ296" i="30"/>
  <c r="BI296" i="30"/>
  <c r="BH296" i="30"/>
  <c r="BG296" i="30"/>
  <c r="BF296" i="30"/>
  <c r="BC296" i="30"/>
  <c r="BA296" i="30"/>
  <c r="AY296" i="30"/>
  <c r="AX296" i="30"/>
  <c r="AW296" i="30"/>
  <c r="AU296" i="30"/>
  <c r="AT296" i="30"/>
  <c r="AS296" i="30"/>
  <c r="AR296" i="30"/>
  <c r="AQ296" i="30"/>
  <c r="W296" i="30"/>
  <c r="X296" i="30" s="1"/>
  <c r="H296" i="30"/>
  <c r="J296" i="30" s="1"/>
  <c r="BK295" i="30"/>
  <c r="BJ295" i="30"/>
  <c r="BI295" i="30"/>
  <c r="BH295" i="30"/>
  <c r="BG295" i="30"/>
  <c r="BF295" i="30"/>
  <c r="BC295" i="30"/>
  <c r="BA295" i="30"/>
  <c r="AY295" i="30"/>
  <c r="AX295" i="30"/>
  <c r="AW295" i="30"/>
  <c r="AU295" i="30"/>
  <c r="AT295" i="30"/>
  <c r="AS295" i="30"/>
  <c r="AR295" i="30"/>
  <c r="AQ295" i="30"/>
  <c r="W295" i="30"/>
  <c r="X295" i="30" s="1"/>
  <c r="H295" i="30"/>
  <c r="J295" i="30" s="1"/>
  <c r="BK294" i="30"/>
  <c r="BJ294" i="30"/>
  <c r="BI294" i="30"/>
  <c r="BH294" i="30"/>
  <c r="BG294" i="30"/>
  <c r="BF294" i="30"/>
  <c r="BC294" i="30"/>
  <c r="BA294" i="30"/>
  <c r="AY294" i="30"/>
  <c r="AX294" i="30"/>
  <c r="AW294" i="30"/>
  <c r="AU294" i="30"/>
  <c r="AT294" i="30"/>
  <c r="AS294" i="30"/>
  <c r="AR294" i="30"/>
  <c r="AQ294" i="30"/>
  <c r="W294" i="30"/>
  <c r="R294" i="30"/>
  <c r="H294" i="30"/>
  <c r="J294" i="30" s="1"/>
  <c r="L294" i="30" s="1"/>
  <c r="BK293" i="30"/>
  <c r="BJ293" i="30"/>
  <c r="BI293" i="30"/>
  <c r="BH293" i="30"/>
  <c r="BG293" i="30"/>
  <c r="BF293" i="30"/>
  <c r="BC293" i="30"/>
  <c r="BA293" i="30"/>
  <c r="AY293" i="30"/>
  <c r="AX293" i="30"/>
  <c r="AW293" i="30"/>
  <c r="AU293" i="30"/>
  <c r="AT293" i="30"/>
  <c r="AS293" i="30"/>
  <c r="AR293" i="30"/>
  <c r="AQ293" i="30"/>
  <c r="W293" i="30"/>
  <c r="X293" i="30" s="1"/>
  <c r="H293" i="30"/>
  <c r="J293" i="30" s="1"/>
  <c r="BK292" i="30"/>
  <c r="BJ292" i="30"/>
  <c r="BI292" i="30"/>
  <c r="BH292" i="30"/>
  <c r="BG292" i="30"/>
  <c r="BF292" i="30"/>
  <c r="BC292" i="30"/>
  <c r="BA292" i="30"/>
  <c r="AY292" i="30"/>
  <c r="AX292" i="30"/>
  <c r="AW292" i="30"/>
  <c r="AU292" i="30"/>
  <c r="AT292" i="30"/>
  <c r="AS292" i="30"/>
  <c r="AR292" i="30"/>
  <c r="AQ292" i="30"/>
  <c r="W292" i="30"/>
  <c r="X292" i="30" s="1"/>
  <c r="H292" i="30"/>
  <c r="J292" i="30" s="1"/>
  <c r="BK291" i="30"/>
  <c r="BJ291" i="30"/>
  <c r="BI291" i="30"/>
  <c r="BH291" i="30"/>
  <c r="BG291" i="30"/>
  <c r="BF291" i="30"/>
  <c r="BC291" i="30"/>
  <c r="BA291" i="30"/>
  <c r="AY291" i="30"/>
  <c r="AX291" i="30"/>
  <c r="AW291" i="30"/>
  <c r="AU291" i="30"/>
  <c r="AT291" i="30"/>
  <c r="AS291" i="30"/>
  <c r="AR291" i="30"/>
  <c r="AQ291" i="30"/>
  <c r="W291" i="30"/>
  <c r="X291" i="30" s="1"/>
  <c r="H291" i="30"/>
  <c r="J291" i="30" s="1"/>
  <c r="L291" i="30" s="1"/>
  <c r="BK290" i="30"/>
  <c r="BJ290" i="30"/>
  <c r="BI290" i="30"/>
  <c r="BH290" i="30"/>
  <c r="BG290" i="30"/>
  <c r="BF290" i="30"/>
  <c r="BC290" i="30"/>
  <c r="BA290" i="30"/>
  <c r="AY290" i="30"/>
  <c r="AX290" i="30"/>
  <c r="AW290" i="30"/>
  <c r="AU290" i="30"/>
  <c r="AT290" i="30"/>
  <c r="AS290" i="30"/>
  <c r="AR290" i="30"/>
  <c r="AQ290" i="30"/>
  <c r="W290" i="30"/>
  <c r="X290" i="30" s="1"/>
  <c r="H290" i="30"/>
  <c r="J290" i="30" s="1"/>
  <c r="BK289" i="30"/>
  <c r="BJ289" i="30"/>
  <c r="BI289" i="30"/>
  <c r="BH289" i="30"/>
  <c r="BG289" i="30"/>
  <c r="BF289" i="30"/>
  <c r="BC289" i="30"/>
  <c r="BA289" i="30"/>
  <c r="AY289" i="30"/>
  <c r="AX289" i="30"/>
  <c r="AW289" i="30"/>
  <c r="AU289" i="30"/>
  <c r="AT289" i="30"/>
  <c r="AS289" i="30"/>
  <c r="AR289" i="30"/>
  <c r="AQ289" i="30"/>
  <c r="W289" i="30"/>
  <c r="X289" i="30" s="1"/>
  <c r="H289" i="30"/>
  <c r="J289" i="30" s="1"/>
  <c r="L289" i="30" s="1"/>
  <c r="BK288" i="30"/>
  <c r="BJ288" i="30"/>
  <c r="BI288" i="30"/>
  <c r="BH288" i="30"/>
  <c r="BG288" i="30"/>
  <c r="BF288" i="30"/>
  <c r="BC288" i="30"/>
  <c r="BA288" i="30"/>
  <c r="AY288" i="30"/>
  <c r="AX288" i="30"/>
  <c r="AW288" i="30"/>
  <c r="AU288" i="30"/>
  <c r="AT288" i="30"/>
  <c r="AS288" i="30"/>
  <c r="AR288" i="30"/>
  <c r="AQ288" i="30"/>
  <c r="W288" i="30"/>
  <c r="X288" i="30" s="1"/>
  <c r="H288" i="30"/>
  <c r="J288" i="30" s="1"/>
  <c r="BK287" i="30"/>
  <c r="BJ287" i="30"/>
  <c r="BI287" i="30"/>
  <c r="BH287" i="30"/>
  <c r="BG287" i="30"/>
  <c r="BF287" i="30"/>
  <c r="BC287" i="30"/>
  <c r="BA287" i="30"/>
  <c r="AY287" i="30"/>
  <c r="AX287" i="30"/>
  <c r="AW287" i="30"/>
  <c r="AU287" i="30"/>
  <c r="AT287" i="30"/>
  <c r="AS287" i="30"/>
  <c r="AR287" i="30"/>
  <c r="AQ287" i="30"/>
  <c r="W287" i="30"/>
  <c r="X287" i="30" s="1"/>
  <c r="H287" i="30"/>
  <c r="J287" i="30" s="1"/>
  <c r="T287" i="30" s="1"/>
  <c r="BE287" i="30" s="1"/>
  <c r="BK286" i="30"/>
  <c r="BJ286" i="30"/>
  <c r="BI286" i="30"/>
  <c r="BH286" i="30"/>
  <c r="BG286" i="30"/>
  <c r="BF286" i="30"/>
  <c r="BC286" i="30"/>
  <c r="BA286" i="30"/>
  <c r="AY286" i="30"/>
  <c r="AX286" i="30"/>
  <c r="AW286" i="30"/>
  <c r="AU286" i="30"/>
  <c r="AT286" i="30"/>
  <c r="AS286" i="30"/>
  <c r="AR286" i="30"/>
  <c r="AQ286" i="30"/>
  <c r="W286" i="30"/>
  <c r="X286" i="30" s="1"/>
  <c r="H286" i="30"/>
  <c r="J286" i="30" s="1"/>
  <c r="BK285" i="30"/>
  <c r="BJ285" i="30"/>
  <c r="BI285" i="30"/>
  <c r="BH285" i="30"/>
  <c r="BG285" i="30"/>
  <c r="BF285" i="30"/>
  <c r="BC285" i="30"/>
  <c r="BA285" i="30"/>
  <c r="AY285" i="30"/>
  <c r="AX285" i="30"/>
  <c r="AW285" i="30"/>
  <c r="AU285" i="30"/>
  <c r="AT285" i="30"/>
  <c r="AS285" i="30"/>
  <c r="AR285" i="30"/>
  <c r="AQ285" i="30"/>
  <c r="W285" i="30"/>
  <c r="X285" i="30" s="1"/>
  <c r="Y285" i="30" s="1"/>
  <c r="BQ285" i="30" s="1"/>
  <c r="H285" i="30"/>
  <c r="J285" i="30" s="1"/>
  <c r="BK284" i="30"/>
  <c r="BJ284" i="30"/>
  <c r="BI284" i="30"/>
  <c r="BH284" i="30"/>
  <c r="BG284" i="30"/>
  <c r="BF284" i="30"/>
  <c r="BC284" i="30"/>
  <c r="BA284" i="30"/>
  <c r="AY284" i="30"/>
  <c r="AX284" i="30"/>
  <c r="AW284" i="30"/>
  <c r="AU284" i="30"/>
  <c r="AT284" i="30"/>
  <c r="AS284" i="30"/>
  <c r="AR284" i="30"/>
  <c r="AQ284" i="30"/>
  <c r="W284" i="30"/>
  <c r="X284" i="30" s="1"/>
  <c r="H284" i="30"/>
  <c r="J284" i="30" s="1"/>
  <c r="BK283" i="30"/>
  <c r="BJ283" i="30"/>
  <c r="BI283" i="30"/>
  <c r="BH283" i="30"/>
  <c r="BG283" i="30"/>
  <c r="BF283" i="30"/>
  <c r="BC283" i="30"/>
  <c r="BA283" i="30"/>
  <c r="AY283" i="30"/>
  <c r="AX283" i="30"/>
  <c r="AW283" i="30"/>
  <c r="AU283" i="30"/>
  <c r="AT283" i="30"/>
  <c r="AS283" i="30"/>
  <c r="AR283" i="30"/>
  <c r="AQ283" i="30"/>
  <c r="W283" i="30"/>
  <c r="X283" i="30" s="1"/>
  <c r="H283" i="30"/>
  <c r="J283" i="30" s="1"/>
  <c r="BK282" i="30"/>
  <c r="BJ282" i="30"/>
  <c r="BI282" i="30"/>
  <c r="BH282" i="30"/>
  <c r="BG282" i="30"/>
  <c r="BF282" i="30"/>
  <c r="BC282" i="30"/>
  <c r="BA282" i="30"/>
  <c r="AY282" i="30"/>
  <c r="AX282" i="30"/>
  <c r="AW282" i="30"/>
  <c r="AU282" i="30"/>
  <c r="AT282" i="30"/>
  <c r="AS282" i="30"/>
  <c r="AR282" i="30"/>
  <c r="AQ282" i="30"/>
  <c r="W282" i="30"/>
  <c r="X282" i="30" s="1"/>
  <c r="H282" i="30"/>
  <c r="J282" i="30" s="1"/>
  <c r="BK281" i="30"/>
  <c r="BJ281" i="30"/>
  <c r="BI281" i="30"/>
  <c r="BH281" i="30"/>
  <c r="BG281" i="30"/>
  <c r="BF281" i="30"/>
  <c r="BC281" i="30"/>
  <c r="BA281" i="30"/>
  <c r="AY281" i="30"/>
  <c r="AX281" i="30"/>
  <c r="AW281" i="30"/>
  <c r="AU281" i="30"/>
  <c r="AT281" i="30"/>
  <c r="AS281" i="30"/>
  <c r="AR281" i="30"/>
  <c r="AQ281" i="30"/>
  <c r="W281" i="30"/>
  <c r="X281" i="30" s="1"/>
  <c r="H281" i="30"/>
  <c r="J281" i="30" s="1"/>
  <c r="BK280" i="30"/>
  <c r="BJ280" i="30"/>
  <c r="BI280" i="30"/>
  <c r="BH280" i="30"/>
  <c r="BG280" i="30"/>
  <c r="BF280" i="30"/>
  <c r="BC280" i="30"/>
  <c r="BA280" i="30"/>
  <c r="AY280" i="30"/>
  <c r="AX280" i="30"/>
  <c r="AW280" i="30"/>
  <c r="AU280" i="30"/>
  <c r="AT280" i="30"/>
  <c r="AS280" i="30"/>
  <c r="AR280" i="30"/>
  <c r="AQ280" i="30"/>
  <c r="W280" i="30"/>
  <c r="X280" i="30" s="1"/>
  <c r="H280" i="30"/>
  <c r="J280" i="30" s="1"/>
  <c r="BK279" i="30"/>
  <c r="BJ279" i="30"/>
  <c r="BI279" i="30"/>
  <c r="BH279" i="30"/>
  <c r="BG279" i="30"/>
  <c r="BF279" i="30"/>
  <c r="BC279" i="30"/>
  <c r="BA279" i="30"/>
  <c r="AY279" i="30"/>
  <c r="AX279" i="30"/>
  <c r="AW279" i="30"/>
  <c r="AU279" i="30"/>
  <c r="AT279" i="30"/>
  <c r="AS279" i="30"/>
  <c r="AR279" i="30"/>
  <c r="AQ279" i="30"/>
  <c r="W279" i="30"/>
  <c r="X279" i="30" s="1"/>
  <c r="Y279" i="30" s="1"/>
  <c r="BQ279" i="30" s="1"/>
  <c r="H279" i="30"/>
  <c r="J279" i="30" s="1"/>
  <c r="T279" i="30" s="1"/>
  <c r="BE279" i="30" s="1"/>
  <c r="BK278" i="30"/>
  <c r="BJ278" i="30"/>
  <c r="BI278" i="30"/>
  <c r="BH278" i="30"/>
  <c r="BG278" i="30"/>
  <c r="BF278" i="30"/>
  <c r="BC278" i="30"/>
  <c r="BA278" i="30"/>
  <c r="AY278" i="30"/>
  <c r="AX278" i="30"/>
  <c r="AW278" i="30"/>
  <c r="AU278" i="30"/>
  <c r="AT278" i="30"/>
  <c r="AS278" i="30"/>
  <c r="AR278" i="30"/>
  <c r="AQ278" i="30"/>
  <c r="W278" i="30"/>
  <c r="X278" i="30" s="1"/>
  <c r="H278" i="30"/>
  <c r="J278" i="30" s="1"/>
  <c r="BK277" i="30"/>
  <c r="BJ277" i="30"/>
  <c r="BI277" i="30"/>
  <c r="BH277" i="30"/>
  <c r="BG277" i="30"/>
  <c r="BF277" i="30"/>
  <c r="BC277" i="30"/>
  <c r="BA277" i="30"/>
  <c r="AY277" i="30"/>
  <c r="AX277" i="30"/>
  <c r="AW277" i="30"/>
  <c r="AU277" i="30"/>
  <c r="AT277" i="30"/>
  <c r="AS277" i="30"/>
  <c r="AR277" i="30"/>
  <c r="AQ277" i="30"/>
  <c r="W277" i="30"/>
  <c r="X277" i="30" s="1"/>
  <c r="H277" i="30"/>
  <c r="J277" i="30" s="1"/>
  <c r="BK276" i="30"/>
  <c r="BJ276" i="30"/>
  <c r="BI276" i="30"/>
  <c r="BH276" i="30"/>
  <c r="BG276" i="30"/>
  <c r="BF276" i="30"/>
  <c r="BC276" i="30"/>
  <c r="BA276" i="30"/>
  <c r="AY276" i="30"/>
  <c r="AX276" i="30"/>
  <c r="AW276" i="30"/>
  <c r="AU276" i="30"/>
  <c r="AT276" i="30"/>
  <c r="AS276" i="30"/>
  <c r="AR276" i="30"/>
  <c r="AQ276" i="30"/>
  <c r="W276" i="30"/>
  <c r="X276" i="30" s="1"/>
  <c r="H276" i="30"/>
  <c r="J276" i="30" s="1"/>
  <c r="BK275" i="30"/>
  <c r="BJ275" i="30"/>
  <c r="BI275" i="30"/>
  <c r="BH275" i="30"/>
  <c r="BG275" i="30"/>
  <c r="BF275" i="30"/>
  <c r="BC275" i="30"/>
  <c r="BA275" i="30"/>
  <c r="AY275" i="30"/>
  <c r="AX275" i="30"/>
  <c r="AW275" i="30"/>
  <c r="AU275" i="30"/>
  <c r="AT275" i="30"/>
  <c r="AS275" i="30"/>
  <c r="AR275" i="30"/>
  <c r="AQ275" i="30"/>
  <c r="W275" i="30"/>
  <c r="X275" i="30" s="1"/>
  <c r="H275" i="30"/>
  <c r="J275" i="30" s="1"/>
  <c r="T275" i="30" s="1"/>
  <c r="BE275" i="30" s="1"/>
  <c r="BK274" i="30"/>
  <c r="BJ274" i="30"/>
  <c r="BI274" i="30"/>
  <c r="BH274" i="30"/>
  <c r="BG274" i="30"/>
  <c r="BF274" i="30"/>
  <c r="BC274" i="30"/>
  <c r="BA274" i="30"/>
  <c r="AY274" i="30"/>
  <c r="AX274" i="30"/>
  <c r="AW274" i="30"/>
  <c r="AU274" i="30"/>
  <c r="AT274" i="30"/>
  <c r="AS274" i="30"/>
  <c r="AR274" i="30"/>
  <c r="AQ274" i="30"/>
  <c r="W274" i="30"/>
  <c r="X274" i="30" s="1"/>
  <c r="H274" i="30"/>
  <c r="J274" i="30" s="1"/>
  <c r="BK273" i="30"/>
  <c r="BJ273" i="30"/>
  <c r="BI273" i="30"/>
  <c r="BH273" i="30"/>
  <c r="BG273" i="30"/>
  <c r="BF273" i="30"/>
  <c r="BC273" i="30"/>
  <c r="BA273" i="30"/>
  <c r="AY273" i="30"/>
  <c r="AX273" i="30"/>
  <c r="AW273" i="30"/>
  <c r="AU273" i="30"/>
  <c r="AT273" i="30"/>
  <c r="AS273" i="30"/>
  <c r="AR273" i="30"/>
  <c r="AQ273" i="30"/>
  <c r="W273" i="30"/>
  <c r="R273" i="30"/>
  <c r="H273" i="30"/>
  <c r="J273" i="30" s="1"/>
  <c r="T273" i="30" s="1"/>
  <c r="BE273" i="30" s="1"/>
  <c r="BK272" i="30"/>
  <c r="BJ272" i="30"/>
  <c r="BI272" i="30"/>
  <c r="BH272" i="30"/>
  <c r="BG272" i="30"/>
  <c r="BF272" i="30"/>
  <c r="BC272" i="30"/>
  <c r="BA272" i="30"/>
  <c r="AY272" i="30"/>
  <c r="AX272" i="30"/>
  <c r="AW272" i="30"/>
  <c r="AU272" i="30"/>
  <c r="AT272" i="30"/>
  <c r="AS272" i="30"/>
  <c r="AR272" i="30"/>
  <c r="AQ272" i="30"/>
  <c r="W272" i="30"/>
  <c r="X272" i="30" s="1"/>
  <c r="H272" i="30"/>
  <c r="J272" i="30" s="1"/>
  <c r="BK271" i="30"/>
  <c r="BJ271" i="30"/>
  <c r="BI271" i="30"/>
  <c r="BH271" i="30"/>
  <c r="BG271" i="30"/>
  <c r="BF271" i="30"/>
  <c r="BC271" i="30"/>
  <c r="BA271" i="30"/>
  <c r="AY271" i="30"/>
  <c r="AX271" i="30"/>
  <c r="AW271" i="30"/>
  <c r="AU271" i="30"/>
  <c r="AT271" i="30"/>
  <c r="AS271" i="30"/>
  <c r="AR271" i="30"/>
  <c r="AQ271" i="30"/>
  <c r="W271" i="30"/>
  <c r="X271" i="30" s="1"/>
  <c r="H271" i="30"/>
  <c r="J271" i="30" s="1"/>
  <c r="BK270" i="30"/>
  <c r="BJ270" i="30"/>
  <c r="BI270" i="30"/>
  <c r="BH270" i="30"/>
  <c r="BG270" i="30"/>
  <c r="BF270" i="30"/>
  <c r="BC270" i="30"/>
  <c r="BA270" i="30"/>
  <c r="AY270" i="30"/>
  <c r="AX270" i="30"/>
  <c r="AW270" i="30"/>
  <c r="AU270" i="30"/>
  <c r="AT270" i="30"/>
  <c r="AS270" i="30"/>
  <c r="AR270" i="30"/>
  <c r="AQ270" i="30"/>
  <c r="W270" i="30"/>
  <c r="X270" i="30" s="1"/>
  <c r="H270" i="30"/>
  <c r="J270" i="30" s="1"/>
  <c r="T270" i="30" s="1"/>
  <c r="BE270" i="30" s="1"/>
  <c r="BK269" i="30"/>
  <c r="BJ269" i="30"/>
  <c r="BI269" i="30"/>
  <c r="BH269" i="30"/>
  <c r="BG269" i="30"/>
  <c r="BF269" i="30"/>
  <c r="BC269" i="30"/>
  <c r="BA269" i="30"/>
  <c r="AY269" i="30"/>
  <c r="AX269" i="30"/>
  <c r="AW269" i="30"/>
  <c r="AU269" i="30"/>
  <c r="AT269" i="30"/>
  <c r="AS269" i="30"/>
  <c r="AR269" i="30"/>
  <c r="AQ269" i="30"/>
  <c r="W269" i="30"/>
  <c r="X269" i="30" s="1"/>
  <c r="H269" i="30"/>
  <c r="J269" i="30" s="1"/>
  <c r="T269" i="30" s="1"/>
  <c r="BE269" i="30" s="1"/>
  <c r="BK268" i="30"/>
  <c r="BJ268" i="30"/>
  <c r="BI268" i="30"/>
  <c r="BH268" i="30"/>
  <c r="BG268" i="30"/>
  <c r="BF268" i="30"/>
  <c r="BC268" i="30"/>
  <c r="BA268" i="30"/>
  <c r="AY268" i="30"/>
  <c r="AX268" i="30"/>
  <c r="AW268" i="30"/>
  <c r="AU268" i="30"/>
  <c r="AT268" i="30"/>
  <c r="AS268" i="30"/>
  <c r="AR268" i="30"/>
  <c r="AQ268" i="30"/>
  <c r="W268" i="30"/>
  <c r="X268" i="30" s="1"/>
  <c r="H268" i="30"/>
  <c r="J268" i="30" s="1"/>
  <c r="BK267" i="30"/>
  <c r="BJ267" i="30"/>
  <c r="BI267" i="30"/>
  <c r="BH267" i="30"/>
  <c r="BG267" i="30"/>
  <c r="BF267" i="30"/>
  <c r="BC267" i="30"/>
  <c r="BA267" i="30"/>
  <c r="AY267" i="30"/>
  <c r="AX267" i="30"/>
  <c r="AW267" i="30"/>
  <c r="AU267" i="30"/>
  <c r="AT267" i="30"/>
  <c r="AS267" i="30"/>
  <c r="AR267" i="30"/>
  <c r="AQ267" i="30"/>
  <c r="W267" i="30"/>
  <c r="X267" i="30" s="1"/>
  <c r="H267" i="30"/>
  <c r="J267" i="30" s="1"/>
  <c r="L267" i="30" s="1"/>
  <c r="BK266" i="30"/>
  <c r="BJ266" i="30"/>
  <c r="BI266" i="30"/>
  <c r="BH266" i="30"/>
  <c r="BG266" i="30"/>
  <c r="BF266" i="30"/>
  <c r="BC266" i="30"/>
  <c r="BA266" i="30"/>
  <c r="AY266" i="30"/>
  <c r="AX266" i="30"/>
  <c r="AW266" i="30"/>
  <c r="AU266" i="30"/>
  <c r="AT266" i="30"/>
  <c r="AS266" i="30"/>
  <c r="AR266" i="30"/>
  <c r="AQ266" i="30"/>
  <c r="W266" i="30"/>
  <c r="X266" i="30" s="1"/>
  <c r="H266" i="30"/>
  <c r="J266" i="30" s="1"/>
  <c r="BK265" i="30"/>
  <c r="BJ265" i="30"/>
  <c r="BI265" i="30"/>
  <c r="BH265" i="30"/>
  <c r="BG265" i="30"/>
  <c r="BF265" i="30"/>
  <c r="BC265" i="30"/>
  <c r="BA265" i="30"/>
  <c r="AY265" i="30"/>
  <c r="AX265" i="30"/>
  <c r="AW265" i="30"/>
  <c r="AU265" i="30"/>
  <c r="AT265" i="30"/>
  <c r="AS265" i="30"/>
  <c r="AR265" i="30"/>
  <c r="AQ265" i="30"/>
  <c r="W265" i="30"/>
  <c r="X265" i="30" s="1"/>
  <c r="H265" i="30"/>
  <c r="J265" i="30" s="1"/>
  <c r="BK264" i="30"/>
  <c r="BJ264" i="30"/>
  <c r="BI264" i="30"/>
  <c r="BH264" i="30"/>
  <c r="BG264" i="30"/>
  <c r="BF264" i="30"/>
  <c r="BC264" i="30"/>
  <c r="BA264" i="30"/>
  <c r="AY264" i="30"/>
  <c r="AX264" i="30"/>
  <c r="AW264" i="30"/>
  <c r="AU264" i="30"/>
  <c r="AT264" i="30"/>
  <c r="AS264" i="30"/>
  <c r="AR264" i="30"/>
  <c r="AQ264" i="30"/>
  <c r="W264" i="30"/>
  <c r="X264" i="30" s="1"/>
  <c r="H264" i="30"/>
  <c r="J264" i="30" s="1"/>
  <c r="BK263" i="30"/>
  <c r="BJ263" i="30"/>
  <c r="BI263" i="30"/>
  <c r="BH263" i="30"/>
  <c r="BG263" i="30"/>
  <c r="BF263" i="30"/>
  <c r="BC263" i="30"/>
  <c r="BA263" i="30"/>
  <c r="AY263" i="30"/>
  <c r="AX263" i="30"/>
  <c r="AW263" i="30"/>
  <c r="AU263" i="30"/>
  <c r="AT263" i="30"/>
  <c r="AS263" i="30"/>
  <c r="AR263" i="30"/>
  <c r="AQ263" i="30"/>
  <c r="W263" i="30"/>
  <c r="X263" i="30" s="1"/>
  <c r="H263" i="30"/>
  <c r="J263" i="30" s="1"/>
  <c r="BK262" i="30"/>
  <c r="BJ262" i="30"/>
  <c r="BI262" i="30"/>
  <c r="BH262" i="30"/>
  <c r="BG262" i="30"/>
  <c r="BF262" i="30"/>
  <c r="BC262" i="30"/>
  <c r="BA262" i="30"/>
  <c r="AY262" i="30"/>
  <c r="AX262" i="30"/>
  <c r="AW262" i="30"/>
  <c r="AU262" i="30"/>
  <c r="AT262" i="30"/>
  <c r="AS262" i="30"/>
  <c r="AR262" i="30"/>
  <c r="AQ262" i="30"/>
  <c r="W262" i="30"/>
  <c r="X262" i="30" s="1"/>
  <c r="H262" i="30"/>
  <c r="J262" i="30" s="1"/>
  <c r="O262" i="30" s="1"/>
  <c r="BK261" i="30"/>
  <c r="BJ261" i="30"/>
  <c r="BI261" i="30"/>
  <c r="BH261" i="30"/>
  <c r="BG261" i="30"/>
  <c r="BF261" i="30"/>
  <c r="BC261" i="30"/>
  <c r="BA261" i="30"/>
  <c r="AY261" i="30"/>
  <c r="AX261" i="30"/>
  <c r="AW261" i="30"/>
  <c r="AU261" i="30"/>
  <c r="AT261" i="30"/>
  <c r="AS261" i="30"/>
  <c r="AR261" i="30"/>
  <c r="AQ261" i="30"/>
  <c r="W261" i="30"/>
  <c r="X261" i="30" s="1"/>
  <c r="Y261" i="30" s="1"/>
  <c r="BQ261" i="30" s="1"/>
  <c r="H261" i="30"/>
  <c r="J261" i="30" s="1"/>
  <c r="BK260" i="30"/>
  <c r="BJ260" i="30"/>
  <c r="BI260" i="30"/>
  <c r="BH260" i="30"/>
  <c r="BG260" i="30"/>
  <c r="BF260" i="30"/>
  <c r="BC260" i="30"/>
  <c r="BA260" i="30"/>
  <c r="AY260" i="30"/>
  <c r="AX260" i="30"/>
  <c r="AW260" i="30"/>
  <c r="AU260" i="30"/>
  <c r="AT260" i="30"/>
  <c r="AS260" i="30"/>
  <c r="AR260" i="30"/>
  <c r="AQ260" i="30"/>
  <c r="W260" i="30"/>
  <c r="X260" i="30" s="1"/>
  <c r="H260" i="30"/>
  <c r="J260" i="30" s="1"/>
  <c r="BK259" i="30"/>
  <c r="BJ259" i="30"/>
  <c r="BI259" i="30"/>
  <c r="BH259" i="30"/>
  <c r="BG259" i="30"/>
  <c r="BF259" i="30"/>
  <c r="BC259" i="30"/>
  <c r="BA259" i="30"/>
  <c r="AY259" i="30"/>
  <c r="AX259" i="30"/>
  <c r="AW259" i="30"/>
  <c r="AU259" i="30"/>
  <c r="AT259" i="30"/>
  <c r="AS259" i="30"/>
  <c r="AR259" i="30"/>
  <c r="AQ259" i="30"/>
  <c r="W259" i="30"/>
  <c r="X259" i="30" s="1"/>
  <c r="H259" i="30"/>
  <c r="J259" i="30" s="1"/>
  <c r="BK258" i="30"/>
  <c r="BJ258" i="30"/>
  <c r="BI258" i="30"/>
  <c r="BH258" i="30"/>
  <c r="BG258" i="30"/>
  <c r="BF258" i="30"/>
  <c r="BC258" i="30"/>
  <c r="BA258" i="30"/>
  <c r="AY258" i="30"/>
  <c r="AX258" i="30"/>
  <c r="AW258" i="30"/>
  <c r="AU258" i="30"/>
  <c r="AT258" i="30"/>
  <c r="AS258" i="30"/>
  <c r="AR258" i="30"/>
  <c r="AQ258" i="30"/>
  <c r="W258" i="30"/>
  <c r="X258" i="30" s="1"/>
  <c r="H258" i="30"/>
  <c r="J258" i="30" s="1"/>
  <c r="BK257" i="30"/>
  <c r="BJ257" i="30"/>
  <c r="BI257" i="30"/>
  <c r="BH257" i="30"/>
  <c r="BG257" i="30"/>
  <c r="BF257" i="30"/>
  <c r="BC257" i="30"/>
  <c r="BA257" i="30"/>
  <c r="AY257" i="30"/>
  <c r="AX257" i="30"/>
  <c r="AW257" i="30"/>
  <c r="AU257" i="30"/>
  <c r="AT257" i="30"/>
  <c r="AS257" i="30"/>
  <c r="AR257" i="30"/>
  <c r="AQ257" i="30"/>
  <c r="W257" i="30"/>
  <c r="X257" i="30" s="1"/>
  <c r="H257" i="30"/>
  <c r="J257" i="30" s="1"/>
  <c r="BK256" i="30"/>
  <c r="BJ256" i="30"/>
  <c r="BI256" i="30"/>
  <c r="BH256" i="30"/>
  <c r="BG256" i="30"/>
  <c r="BF256" i="30"/>
  <c r="BC256" i="30"/>
  <c r="BA256" i="30"/>
  <c r="AY256" i="30"/>
  <c r="AX256" i="30"/>
  <c r="AW256" i="30"/>
  <c r="AU256" i="30"/>
  <c r="AT256" i="30"/>
  <c r="AS256" i="30"/>
  <c r="AR256" i="30"/>
  <c r="AQ256" i="30"/>
  <c r="W256" i="30"/>
  <c r="X256" i="30" s="1"/>
  <c r="H256" i="30"/>
  <c r="J256" i="30" s="1"/>
  <c r="L256" i="30" s="1"/>
  <c r="BK255" i="30"/>
  <c r="BJ255" i="30"/>
  <c r="BI255" i="30"/>
  <c r="BH255" i="30"/>
  <c r="BG255" i="30"/>
  <c r="BF255" i="30"/>
  <c r="BC255" i="30"/>
  <c r="BA255" i="30"/>
  <c r="AY255" i="30"/>
  <c r="AX255" i="30"/>
  <c r="AW255" i="30"/>
  <c r="AU255" i="30"/>
  <c r="AT255" i="30"/>
  <c r="AS255" i="30"/>
  <c r="AR255" i="30"/>
  <c r="AQ255" i="30"/>
  <c r="W255" i="30"/>
  <c r="X255" i="30" s="1"/>
  <c r="Y255" i="30" s="1"/>
  <c r="BQ255" i="30" s="1"/>
  <c r="H255" i="30"/>
  <c r="J255" i="30" s="1"/>
  <c r="L255" i="30" s="1"/>
  <c r="BK254" i="30"/>
  <c r="BJ254" i="30"/>
  <c r="BI254" i="30"/>
  <c r="BH254" i="30"/>
  <c r="BG254" i="30"/>
  <c r="BF254" i="30"/>
  <c r="BC254" i="30"/>
  <c r="BA254" i="30"/>
  <c r="AY254" i="30"/>
  <c r="AX254" i="30"/>
  <c r="AW254" i="30"/>
  <c r="AU254" i="30"/>
  <c r="AT254" i="30"/>
  <c r="AS254" i="30"/>
  <c r="AR254" i="30"/>
  <c r="AQ254" i="30"/>
  <c r="W254" i="30"/>
  <c r="X254" i="30" s="1"/>
  <c r="H254" i="30"/>
  <c r="J254" i="30" s="1"/>
  <c r="L254" i="30" s="1"/>
  <c r="BK253" i="30"/>
  <c r="BJ253" i="30"/>
  <c r="BI253" i="30"/>
  <c r="BH253" i="30"/>
  <c r="BG253" i="30"/>
  <c r="BF253" i="30"/>
  <c r="BC253" i="30"/>
  <c r="BA253" i="30"/>
  <c r="AY253" i="30"/>
  <c r="AX253" i="30"/>
  <c r="AW253" i="30"/>
  <c r="AU253" i="30"/>
  <c r="AT253" i="30"/>
  <c r="AS253" i="30"/>
  <c r="AR253" i="30"/>
  <c r="AQ253" i="30"/>
  <c r="W253" i="30"/>
  <c r="X253" i="30" s="1"/>
  <c r="H253" i="30"/>
  <c r="J253" i="30" s="1"/>
  <c r="T253" i="30" s="1"/>
  <c r="BE253" i="30" s="1"/>
  <c r="BK252" i="30"/>
  <c r="BJ252" i="30"/>
  <c r="BI252" i="30"/>
  <c r="BH252" i="30"/>
  <c r="BG252" i="30"/>
  <c r="BF252" i="30"/>
  <c r="BC252" i="30"/>
  <c r="BA252" i="30"/>
  <c r="AY252" i="30"/>
  <c r="AX252" i="30"/>
  <c r="AW252" i="30"/>
  <c r="AU252" i="30"/>
  <c r="AT252" i="30"/>
  <c r="AS252" i="30"/>
  <c r="AR252" i="30"/>
  <c r="AQ252" i="30"/>
  <c r="W252" i="30"/>
  <c r="X252" i="30" s="1"/>
  <c r="H252" i="30"/>
  <c r="J252" i="30" s="1"/>
  <c r="BK251" i="30"/>
  <c r="BJ251" i="30"/>
  <c r="BI251" i="30"/>
  <c r="BH251" i="30"/>
  <c r="BG251" i="30"/>
  <c r="BF251" i="30"/>
  <c r="BC251" i="30"/>
  <c r="BA251" i="30"/>
  <c r="AY251" i="30"/>
  <c r="AX251" i="30"/>
  <c r="AW251" i="30"/>
  <c r="AU251" i="30"/>
  <c r="AT251" i="30"/>
  <c r="AS251" i="30"/>
  <c r="AR251" i="30"/>
  <c r="AQ251" i="30"/>
  <c r="W251" i="30"/>
  <c r="X251" i="30" s="1"/>
  <c r="H251" i="30"/>
  <c r="J251" i="30" s="1"/>
  <c r="L251" i="30" s="1"/>
  <c r="BK250" i="30"/>
  <c r="BJ250" i="30"/>
  <c r="BI250" i="30"/>
  <c r="BH250" i="30"/>
  <c r="BG250" i="30"/>
  <c r="BF250" i="30"/>
  <c r="BC250" i="30"/>
  <c r="BA250" i="30"/>
  <c r="AY250" i="30"/>
  <c r="AX250" i="30"/>
  <c r="AW250" i="30"/>
  <c r="AU250" i="30"/>
  <c r="AT250" i="30"/>
  <c r="AS250" i="30"/>
  <c r="AR250" i="30"/>
  <c r="AQ250" i="30"/>
  <c r="W250" i="30"/>
  <c r="R250" i="30"/>
  <c r="H250" i="30"/>
  <c r="J250" i="30" s="1"/>
  <c r="BK249" i="30"/>
  <c r="BJ249" i="30"/>
  <c r="BI249" i="30"/>
  <c r="BH249" i="30"/>
  <c r="BG249" i="30"/>
  <c r="BF249" i="30"/>
  <c r="BC249" i="30"/>
  <c r="BA249" i="30"/>
  <c r="AY249" i="30"/>
  <c r="AX249" i="30"/>
  <c r="AW249" i="30"/>
  <c r="AU249" i="30"/>
  <c r="AT249" i="30"/>
  <c r="AS249" i="30"/>
  <c r="AR249" i="30"/>
  <c r="AQ249" i="30"/>
  <c r="W249" i="30"/>
  <c r="X249" i="30" s="1"/>
  <c r="H249" i="30"/>
  <c r="J249" i="30" s="1"/>
  <c r="BK248" i="30"/>
  <c r="BJ248" i="30"/>
  <c r="BI248" i="30"/>
  <c r="BH248" i="30"/>
  <c r="BG248" i="30"/>
  <c r="BF248" i="30"/>
  <c r="BC248" i="30"/>
  <c r="BA248" i="30"/>
  <c r="AY248" i="30"/>
  <c r="AX248" i="30"/>
  <c r="AW248" i="30"/>
  <c r="AU248" i="30"/>
  <c r="AT248" i="30"/>
  <c r="AS248" i="30"/>
  <c r="AR248" i="30"/>
  <c r="AQ248" i="30"/>
  <c r="W248" i="30"/>
  <c r="X248" i="30" s="1"/>
  <c r="H248" i="30"/>
  <c r="J248" i="30" s="1"/>
  <c r="BK247" i="30"/>
  <c r="BJ247" i="30"/>
  <c r="BI247" i="30"/>
  <c r="BH247" i="30"/>
  <c r="BG247" i="30"/>
  <c r="BF247" i="30"/>
  <c r="BC247" i="30"/>
  <c r="BA247" i="30"/>
  <c r="AY247" i="30"/>
  <c r="AX247" i="30"/>
  <c r="AW247" i="30"/>
  <c r="AU247" i="30"/>
  <c r="AT247" i="30"/>
  <c r="AS247" i="30"/>
  <c r="AR247" i="30"/>
  <c r="AQ247" i="30"/>
  <c r="W247" i="30"/>
  <c r="X247" i="30" s="1"/>
  <c r="H247" i="30"/>
  <c r="J247" i="30" s="1"/>
  <c r="O247" i="30" s="1"/>
  <c r="BK246" i="30"/>
  <c r="BJ246" i="30"/>
  <c r="BI246" i="30"/>
  <c r="BH246" i="30"/>
  <c r="BG246" i="30"/>
  <c r="BF246" i="30"/>
  <c r="BC246" i="30"/>
  <c r="BA246" i="30"/>
  <c r="AY246" i="30"/>
  <c r="AX246" i="30"/>
  <c r="AW246" i="30"/>
  <c r="AU246" i="30"/>
  <c r="AT246" i="30"/>
  <c r="AS246" i="30"/>
  <c r="AR246" i="30"/>
  <c r="AQ246" i="30"/>
  <c r="W246" i="30"/>
  <c r="X246" i="30" s="1"/>
  <c r="H246" i="30"/>
  <c r="J246" i="30" s="1"/>
  <c r="BK245" i="30"/>
  <c r="BJ245" i="30"/>
  <c r="BI245" i="30"/>
  <c r="BH245" i="30"/>
  <c r="BG245" i="30"/>
  <c r="BF245" i="30"/>
  <c r="BC245" i="30"/>
  <c r="BA245" i="30"/>
  <c r="AY245" i="30"/>
  <c r="AX245" i="30"/>
  <c r="AW245" i="30"/>
  <c r="AU245" i="30"/>
  <c r="AT245" i="30"/>
  <c r="AS245" i="30"/>
  <c r="AR245" i="30"/>
  <c r="AQ245" i="30"/>
  <c r="W245" i="30"/>
  <c r="X245" i="30" s="1"/>
  <c r="H245" i="30"/>
  <c r="J245" i="30" s="1"/>
  <c r="BK244" i="30"/>
  <c r="BJ244" i="30"/>
  <c r="BI244" i="30"/>
  <c r="BH244" i="30"/>
  <c r="BG244" i="30"/>
  <c r="BF244" i="30"/>
  <c r="BC244" i="30"/>
  <c r="BA244" i="30"/>
  <c r="AY244" i="30"/>
  <c r="AX244" i="30"/>
  <c r="AW244" i="30"/>
  <c r="AU244" i="30"/>
  <c r="AT244" i="30"/>
  <c r="AS244" i="30"/>
  <c r="AR244" i="30"/>
  <c r="AQ244" i="30"/>
  <c r="W244" i="30"/>
  <c r="X244" i="30" s="1"/>
  <c r="H244" i="30"/>
  <c r="J244" i="30" s="1"/>
  <c r="BK243" i="30"/>
  <c r="BJ243" i="30"/>
  <c r="BI243" i="30"/>
  <c r="BH243" i="30"/>
  <c r="BG243" i="30"/>
  <c r="BF243" i="30"/>
  <c r="BC243" i="30"/>
  <c r="BA243" i="30"/>
  <c r="AY243" i="30"/>
  <c r="AX243" i="30"/>
  <c r="AW243" i="30"/>
  <c r="AU243" i="30"/>
  <c r="AT243" i="30"/>
  <c r="AS243" i="30"/>
  <c r="AR243" i="30"/>
  <c r="AQ243" i="30"/>
  <c r="W243" i="30"/>
  <c r="X243" i="30" s="1"/>
  <c r="H243" i="30"/>
  <c r="J243" i="30" s="1"/>
  <c r="BK242" i="30"/>
  <c r="BJ242" i="30"/>
  <c r="BI242" i="30"/>
  <c r="BH242" i="30"/>
  <c r="BG242" i="30"/>
  <c r="BF242" i="30"/>
  <c r="BC242" i="30"/>
  <c r="BA242" i="30"/>
  <c r="AY242" i="30"/>
  <c r="AX242" i="30"/>
  <c r="AW242" i="30"/>
  <c r="AU242" i="30"/>
  <c r="AT242" i="30"/>
  <c r="AS242" i="30"/>
  <c r="AR242" i="30"/>
  <c r="AQ242" i="30"/>
  <c r="W242" i="30"/>
  <c r="X242" i="30" s="1"/>
  <c r="H242" i="30"/>
  <c r="J242" i="30" s="1"/>
  <c r="BK241" i="30"/>
  <c r="BJ241" i="30"/>
  <c r="BI241" i="30"/>
  <c r="BH241" i="30"/>
  <c r="BG241" i="30"/>
  <c r="BF241" i="30"/>
  <c r="BC241" i="30"/>
  <c r="BA241" i="30"/>
  <c r="AY241" i="30"/>
  <c r="AX241" i="30"/>
  <c r="AW241" i="30"/>
  <c r="AU241" i="30"/>
  <c r="AT241" i="30"/>
  <c r="AS241" i="30"/>
  <c r="AR241" i="30"/>
  <c r="AQ241" i="30"/>
  <c r="W241" i="30"/>
  <c r="X241" i="30" s="1"/>
  <c r="H241" i="30"/>
  <c r="J241" i="30" s="1"/>
  <c r="BK240" i="30"/>
  <c r="BJ240" i="30"/>
  <c r="BI240" i="30"/>
  <c r="BH240" i="30"/>
  <c r="BG240" i="30"/>
  <c r="BF240" i="30"/>
  <c r="BC240" i="30"/>
  <c r="BA240" i="30"/>
  <c r="AY240" i="30"/>
  <c r="AX240" i="30"/>
  <c r="AW240" i="30"/>
  <c r="AU240" i="30"/>
  <c r="AT240" i="30"/>
  <c r="AS240" i="30"/>
  <c r="AR240" i="30"/>
  <c r="AQ240" i="30"/>
  <c r="W240" i="30"/>
  <c r="X240" i="30" s="1"/>
  <c r="H240" i="30"/>
  <c r="J240" i="30" s="1"/>
  <c r="T240" i="30" s="1"/>
  <c r="BE240" i="30" s="1"/>
  <c r="BK239" i="30"/>
  <c r="BJ239" i="30"/>
  <c r="BI239" i="30"/>
  <c r="BH239" i="30"/>
  <c r="BG239" i="30"/>
  <c r="BF239" i="30"/>
  <c r="BC239" i="30"/>
  <c r="BA239" i="30"/>
  <c r="AY239" i="30"/>
  <c r="AX239" i="30"/>
  <c r="AW239" i="30"/>
  <c r="AU239" i="30"/>
  <c r="AT239" i="30"/>
  <c r="AS239" i="30"/>
  <c r="AR239" i="30"/>
  <c r="AQ239" i="30"/>
  <c r="W239" i="30"/>
  <c r="X239" i="30" s="1"/>
  <c r="H239" i="30"/>
  <c r="J239" i="30" s="1"/>
  <c r="BK238" i="30"/>
  <c r="BJ238" i="30"/>
  <c r="BI238" i="30"/>
  <c r="BH238" i="30"/>
  <c r="BG238" i="30"/>
  <c r="BF238" i="30"/>
  <c r="BC238" i="30"/>
  <c r="BA238" i="30"/>
  <c r="AY238" i="30"/>
  <c r="AX238" i="30"/>
  <c r="AW238" i="30"/>
  <c r="AU238" i="30"/>
  <c r="AT238" i="30"/>
  <c r="AS238" i="30"/>
  <c r="AR238" i="30"/>
  <c r="AQ238" i="30"/>
  <c r="W238" i="30"/>
  <c r="X238" i="30" s="1"/>
  <c r="H238" i="30"/>
  <c r="J238" i="30" s="1"/>
  <c r="BK237" i="30"/>
  <c r="BJ237" i="30"/>
  <c r="BI237" i="30"/>
  <c r="BH237" i="30"/>
  <c r="BG237" i="30"/>
  <c r="BF237" i="30"/>
  <c r="BC237" i="30"/>
  <c r="BA237" i="30"/>
  <c r="AY237" i="30"/>
  <c r="AX237" i="30"/>
  <c r="AW237" i="30"/>
  <c r="AU237" i="30"/>
  <c r="AT237" i="30"/>
  <c r="AS237" i="30"/>
  <c r="AR237" i="30"/>
  <c r="AQ237" i="30"/>
  <c r="W237" i="30"/>
  <c r="X237" i="30" s="1"/>
  <c r="J237" i="30"/>
  <c r="BK236" i="30"/>
  <c r="BJ236" i="30"/>
  <c r="BI236" i="30"/>
  <c r="BH236" i="30"/>
  <c r="BG236" i="30"/>
  <c r="BF236" i="30"/>
  <c r="BC236" i="30"/>
  <c r="BA236" i="30"/>
  <c r="AY236" i="30"/>
  <c r="AX236" i="30"/>
  <c r="AW236" i="30"/>
  <c r="AU236" i="30"/>
  <c r="AT236" i="30"/>
  <c r="AS236" i="30"/>
  <c r="AR236" i="30"/>
  <c r="AQ236" i="30"/>
  <c r="W236" i="30"/>
  <c r="X236" i="30" s="1"/>
  <c r="J236" i="30"/>
  <c r="L236" i="30" s="1"/>
  <c r="BK235" i="30"/>
  <c r="BJ235" i="30"/>
  <c r="BI235" i="30"/>
  <c r="BH235" i="30"/>
  <c r="BG235" i="30"/>
  <c r="BF235" i="30"/>
  <c r="BC235" i="30"/>
  <c r="BA235" i="30"/>
  <c r="AY235" i="30"/>
  <c r="AX235" i="30"/>
  <c r="AW235" i="30"/>
  <c r="AU235" i="30"/>
  <c r="AT235" i="30"/>
  <c r="AS235" i="30"/>
  <c r="AR235" i="30"/>
  <c r="AQ235" i="30"/>
  <c r="W235" i="30"/>
  <c r="X235" i="30" s="1"/>
  <c r="J235" i="30"/>
  <c r="BK234" i="30"/>
  <c r="BJ234" i="30"/>
  <c r="BI234" i="30"/>
  <c r="BH234" i="30"/>
  <c r="BG234" i="30"/>
  <c r="BF234" i="30"/>
  <c r="BC234" i="30"/>
  <c r="BA234" i="30"/>
  <c r="AY234" i="30"/>
  <c r="AX234" i="30"/>
  <c r="AW234" i="30"/>
  <c r="AU234" i="30"/>
  <c r="AT234" i="30"/>
  <c r="AS234" i="30"/>
  <c r="AR234" i="30"/>
  <c r="AQ234" i="30"/>
  <c r="W234" i="30"/>
  <c r="X234" i="30" s="1"/>
  <c r="J234" i="30"/>
  <c r="L234" i="30" s="1"/>
  <c r="BK233" i="30"/>
  <c r="BJ233" i="30"/>
  <c r="BI233" i="30"/>
  <c r="BH233" i="30"/>
  <c r="BG233" i="30"/>
  <c r="BF233" i="30"/>
  <c r="BC233" i="30"/>
  <c r="BA233" i="30"/>
  <c r="AY233" i="30"/>
  <c r="AX233" i="30"/>
  <c r="AW233" i="30"/>
  <c r="AU233" i="30"/>
  <c r="AT233" i="30"/>
  <c r="AS233" i="30"/>
  <c r="AR233" i="30"/>
  <c r="AQ233" i="30"/>
  <c r="W233" i="30"/>
  <c r="X233" i="30" s="1"/>
  <c r="H233" i="30"/>
  <c r="J233" i="30" s="1"/>
  <c r="BK232" i="30"/>
  <c r="BJ232" i="30"/>
  <c r="BI232" i="30"/>
  <c r="BH232" i="30"/>
  <c r="BG232" i="30"/>
  <c r="BF232" i="30"/>
  <c r="BC232" i="30"/>
  <c r="BA232" i="30"/>
  <c r="AY232" i="30"/>
  <c r="AX232" i="30"/>
  <c r="AW232" i="30"/>
  <c r="AU232" i="30"/>
  <c r="AT232" i="30"/>
  <c r="AS232" i="30"/>
  <c r="AR232" i="30"/>
  <c r="AQ232" i="30"/>
  <c r="W232" i="30"/>
  <c r="X232" i="30" s="1"/>
  <c r="H232" i="30"/>
  <c r="J232" i="30" s="1"/>
  <c r="T232" i="30" s="1"/>
  <c r="BE232" i="30" s="1"/>
  <c r="BK231" i="30"/>
  <c r="BJ231" i="30"/>
  <c r="BI231" i="30"/>
  <c r="BH231" i="30"/>
  <c r="BG231" i="30"/>
  <c r="BF231" i="30"/>
  <c r="BC231" i="30"/>
  <c r="BA231" i="30"/>
  <c r="AY231" i="30"/>
  <c r="AX231" i="30"/>
  <c r="AW231" i="30"/>
  <c r="AU231" i="30"/>
  <c r="AT231" i="30"/>
  <c r="AS231" i="30"/>
  <c r="AR231" i="30"/>
  <c r="AQ231" i="30"/>
  <c r="W231" i="30"/>
  <c r="X231" i="30" s="1"/>
  <c r="H231" i="30"/>
  <c r="J231" i="30" s="1"/>
  <c r="BK230" i="30"/>
  <c r="BJ230" i="30"/>
  <c r="BI230" i="30"/>
  <c r="BH230" i="30"/>
  <c r="BG230" i="30"/>
  <c r="BF230" i="30"/>
  <c r="BC230" i="30"/>
  <c r="BA230" i="30"/>
  <c r="AY230" i="30"/>
  <c r="AX230" i="30"/>
  <c r="AW230" i="30"/>
  <c r="AU230" i="30"/>
  <c r="AT230" i="30"/>
  <c r="AS230" i="30"/>
  <c r="AR230" i="30"/>
  <c r="AQ230" i="30"/>
  <c r="W230" i="30"/>
  <c r="X230" i="30" s="1"/>
  <c r="H230" i="30"/>
  <c r="J230" i="30" s="1"/>
  <c r="O230" i="30" s="1"/>
  <c r="BK229" i="30"/>
  <c r="BJ229" i="30"/>
  <c r="BI229" i="30"/>
  <c r="BH229" i="30"/>
  <c r="BG229" i="30"/>
  <c r="BF229" i="30"/>
  <c r="BC229" i="30"/>
  <c r="BA229" i="30"/>
  <c r="AY229" i="30"/>
  <c r="AX229" i="30"/>
  <c r="AW229" i="30"/>
  <c r="AU229" i="30"/>
  <c r="AT229" i="30"/>
  <c r="AS229" i="30"/>
  <c r="AR229" i="30"/>
  <c r="AQ229" i="30"/>
  <c r="W229" i="30"/>
  <c r="X229" i="30" s="1"/>
  <c r="H229" i="30"/>
  <c r="J229" i="30" s="1"/>
  <c r="BK228" i="30"/>
  <c r="BJ228" i="30"/>
  <c r="BI228" i="30"/>
  <c r="BH228" i="30"/>
  <c r="BG228" i="30"/>
  <c r="BF228" i="30"/>
  <c r="BC228" i="30"/>
  <c r="BA228" i="30"/>
  <c r="AY228" i="30"/>
  <c r="AX228" i="30"/>
  <c r="AW228" i="30"/>
  <c r="AU228" i="30"/>
  <c r="AT228" i="30"/>
  <c r="AS228" i="30"/>
  <c r="AR228" i="30"/>
  <c r="AQ228" i="30"/>
  <c r="W228" i="30"/>
  <c r="X228" i="30" s="1"/>
  <c r="H228" i="30"/>
  <c r="J228" i="30" s="1"/>
  <c r="L228" i="30" s="1"/>
  <c r="BK227" i="30"/>
  <c r="BJ227" i="30"/>
  <c r="BI227" i="30"/>
  <c r="BH227" i="30"/>
  <c r="BG227" i="30"/>
  <c r="BF227" i="30"/>
  <c r="BC227" i="30"/>
  <c r="BA227" i="30"/>
  <c r="AY227" i="30"/>
  <c r="AX227" i="30"/>
  <c r="AW227" i="30"/>
  <c r="AU227" i="30"/>
  <c r="AT227" i="30"/>
  <c r="AS227" i="30"/>
  <c r="AR227" i="30"/>
  <c r="AQ227" i="30"/>
  <c r="W227" i="30"/>
  <c r="X227" i="30" s="1"/>
  <c r="H227" i="30"/>
  <c r="J227" i="30" s="1"/>
  <c r="BK226" i="30"/>
  <c r="BJ226" i="30"/>
  <c r="BI226" i="30"/>
  <c r="BH226" i="30"/>
  <c r="BG226" i="30"/>
  <c r="BF226" i="30"/>
  <c r="BC226" i="30"/>
  <c r="BA226" i="30"/>
  <c r="AY226" i="30"/>
  <c r="AX226" i="30"/>
  <c r="AW226" i="30"/>
  <c r="AU226" i="30"/>
  <c r="AT226" i="30"/>
  <c r="AS226" i="30"/>
  <c r="AR226" i="30"/>
  <c r="AQ226" i="30"/>
  <c r="W226" i="30"/>
  <c r="X226" i="30" s="1"/>
  <c r="H226" i="30"/>
  <c r="J226" i="30" s="1"/>
  <c r="BK225" i="30"/>
  <c r="BJ225" i="30"/>
  <c r="BI225" i="30"/>
  <c r="BH225" i="30"/>
  <c r="BG225" i="30"/>
  <c r="BF225" i="30"/>
  <c r="BC225" i="30"/>
  <c r="BA225" i="30"/>
  <c r="AY225" i="30"/>
  <c r="AX225" i="30"/>
  <c r="AW225" i="30"/>
  <c r="AU225" i="30"/>
  <c r="AT225" i="30"/>
  <c r="AS225" i="30"/>
  <c r="AR225" i="30"/>
  <c r="AQ225" i="30"/>
  <c r="W225" i="30"/>
  <c r="X225" i="30" s="1"/>
  <c r="H225" i="30"/>
  <c r="J225" i="30" s="1"/>
  <c r="BK224" i="30"/>
  <c r="BJ224" i="30"/>
  <c r="BI224" i="30"/>
  <c r="BH224" i="30"/>
  <c r="BG224" i="30"/>
  <c r="BF224" i="30"/>
  <c r="BC224" i="30"/>
  <c r="BA224" i="30"/>
  <c r="AY224" i="30"/>
  <c r="AX224" i="30"/>
  <c r="AW224" i="30"/>
  <c r="AU224" i="30"/>
  <c r="AT224" i="30"/>
  <c r="AS224" i="30"/>
  <c r="AR224" i="30"/>
  <c r="AQ224" i="30"/>
  <c r="W224" i="30"/>
  <c r="X224" i="30" s="1"/>
  <c r="H224" i="30"/>
  <c r="J224" i="30" s="1"/>
  <c r="T224" i="30" s="1"/>
  <c r="BE224" i="30" s="1"/>
  <c r="BK223" i="30"/>
  <c r="BJ223" i="30"/>
  <c r="BI223" i="30"/>
  <c r="BH223" i="30"/>
  <c r="BG223" i="30"/>
  <c r="BF223" i="30"/>
  <c r="BC223" i="30"/>
  <c r="BA223" i="30"/>
  <c r="AY223" i="30"/>
  <c r="AX223" i="30"/>
  <c r="AW223" i="30"/>
  <c r="AU223" i="30"/>
  <c r="AT223" i="30"/>
  <c r="AS223" i="30"/>
  <c r="AR223" i="30"/>
  <c r="AQ223" i="30"/>
  <c r="W223" i="30"/>
  <c r="X223" i="30" s="1"/>
  <c r="H223" i="30"/>
  <c r="J223" i="30" s="1"/>
  <c r="BK222" i="30"/>
  <c r="BJ222" i="30"/>
  <c r="BI222" i="30"/>
  <c r="BH222" i="30"/>
  <c r="BG222" i="30"/>
  <c r="BF222" i="30"/>
  <c r="BC222" i="30"/>
  <c r="BA222" i="30"/>
  <c r="AY222" i="30"/>
  <c r="AX222" i="30"/>
  <c r="AW222" i="30"/>
  <c r="AU222" i="30"/>
  <c r="AT222" i="30"/>
  <c r="AS222" i="30"/>
  <c r="AR222" i="30"/>
  <c r="AQ222" i="30"/>
  <c r="W222" i="30"/>
  <c r="X222" i="30" s="1"/>
  <c r="H222" i="30"/>
  <c r="J222" i="30" s="1"/>
  <c r="T222" i="30" s="1"/>
  <c r="BE222" i="30" s="1"/>
  <c r="BK221" i="30"/>
  <c r="BJ221" i="30"/>
  <c r="BI221" i="30"/>
  <c r="BH221" i="30"/>
  <c r="BG221" i="30"/>
  <c r="BF221" i="30"/>
  <c r="BC221" i="30"/>
  <c r="BA221" i="30"/>
  <c r="AY221" i="30"/>
  <c r="AX221" i="30"/>
  <c r="AW221" i="30"/>
  <c r="AU221" i="30"/>
  <c r="AT221" i="30"/>
  <c r="AS221" i="30"/>
  <c r="AR221" i="30"/>
  <c r="AQ221" i="30"/>
  <c r="W221" i="30"/>
  <c r="X221" i="30" s="1"/>
  <c r="H221" i="30"/>
  <c r="J221" i="30" s="1"/>
  <c r="L221" i="30" s="1"/>
  <c r="BK220" i="30"/>
  <c r="BJ220" i="30"/>
  <c r="BI220" i="30"/>
  <c r="BH220" i="30"/>
  <c r="BG220" i="30"/>
  <c r="BF220" i="30"/>
  <c r="BC220" i="30"/>
  <c r="BA220" i="30"/>
  <c r="AY220" i="30"/>
  <c r="AX220" i="30"/>
  <c r="AW220" i="30"/>
  <c r="AU220" i="30"/>
  <c r="AT220" i="30"/>
  <c r="AS220" i="30"/>
  <c r="AR220" i="30"/>
  <c r="AQ220" i="30"/>
  <c r="W220" i="30"/>
  <c r="X220" i="30" s="1"/>
  <c r="H220" i="30"/>
  <c r="J220" i="30" s="1"/>
  <c r="BK219" i="30"/>
  <c r="BJ219" i="30"/>
  <c r="BI219" i="30"/>
  <c r="BH219" i="30"/>
  <c r="BG219" i="30"/>
  <c r="BF219" i="30"/>
  <c r="BC219" i="30"/>
  <c r="BA219" i="30"/>
  <c r="AY219" i="30"/>
  <c r="AX219" i="30"/>
  <c r="AW219" i="30"/>
  <c r="AU219" i="30"/>
  <c r="AT219" i="30"/>
  <c r="AS219" i="30"/>
  <c r="AR219" i="30"/>
  <c r="AQ219" i="30"/>
  <c r="W219" i="30"/>
  <c r="X219" i="30" s="1"/>
  <c r="H219" i="30"/>
  <c r="J219" i="30" s="1"/>
  <c r="T219" i="30" s="1"/>
  <c r="BE219" i="30" s="1"/>
  <c r="BK218" i="30"/>
  <c r="BJ218" i="30"/>
  <c r="BI218" i="30"/>
  <c r="BH218" i="30"/>
  <c r="BG218" i="30"/>
  <c r="BF218" i="30"/>
  <c r="BC218" i="30"/>
  <c r="BA218" i="30"/>
  <c r="AY218" i="30"/>
  <c r="AX218" i="30"/>
  <c r="AW218" i="30"/>
  <c r="AU218" i="30"/>
  <c r="AT218" i="30"/>
  <c r="AS218" i="30"/>
  <c r="AR218" i="30"/>
  <c r="AQ218" i="30"/>
  <c r="W218" i="30"/>
  <c r="X218" i="30" s="1"/>
  <c r="H218" i="30"/>
  <c r="J218" i="30" s="1"/>
  <c r="T218" i="30" s="1"/>
  <c r="BE218" i="30" s="1"/>
  <c r="BK217" i="30"/>
  <c r="BJ217" i="30"/>
  <c r="BI217" i="30"/>
  <c r="BH217" i="30"/>
  <c r="BG217" i="30"/>
  <c r="BF217" i="30"/>
  <c r="BC217" i="30"/>
  <c r="BA217" i="30"/>
  <c r="AY217" i="30"/>
  <c r="AX217" i="30"/>
  <c r="AW217" i="30"/>
  <c r="AU217" i="30"/>
  <c r="AT217" i="30"/>
  <c r="AS217" i="30"/>
  <c r="AR217" i="30"/>
  <c r="AQ217" i="30"/>
  <c r="W217" i="30"/>
  <c r="X217" i="30" s="1"/>
  <c r="H217" i="30"/>
  <c r="J217" i="30" s="1"/>
  <c r="BK216" i="30"/>
  <c r="BJ216" i="30"/>
  <c r="BI216" i="30"/>
  <c r="BH216" i="30"/>
  <c r="BG216" i="30"/>
  <c r="BF216" i="30"/>
  <c r="BC216" i="30"/>
  <c r="BA216" i="30"/>
  <c r="AY216" i="30"/>
  <c r="AX216" i="30"/>
  <c r="AW216" i="30"/>
  <c r="AU216" i="30"/>
  <c r="AT216" i="30"/>
  <c r="AS216" i="30"/>
  <c r="AR216" i="30"/>
  <c r="AQ216" i="30"/>
  <c r="W216" i="30"/>
  <c r="X216" i="30" s="1"/>
  <c r="H216" i="30"/>
  <c r="J216" i="30" s="1"/>
  <c r="BK215" i="30"/>
  <c r="BJ215" i="30"/>
  <c r="BI215" i="30"/>
  <c r="BH215" i="30"/>
  <c r="BG215" i="30"/>
  <c r="BF215" i="30"/>
  <c r="BC215" i="30"/>
  <c r="BA215" i="30"/>
  <c r="AY215" i="30"/>
  <c r="AX215" i="30"/>
  <c r="AW215" i="30"/>
  <c r="AU215" i="30"/>
  <c r="AT215" i="30"/>
  <c r="AS215" i="30"/>
  <c r="AR215" i="30"/>
  <c r="AQ215" i="30"/>
  <c r="W215" i="30"/>
  <c r="X215" i="30" s="1"/>
  <c r="Y215" i="30" s="1"/>
  <c r="BQ215" i="30" s="1"/>
  <c r="H215" i="30"/>
  <c r="J215" i="30" s="1"/>
  <c r="BK214" i="30"/>
  <c r="BJ214" i="30"/>
  <c r="BI214" i="30"/>
  <c r="BH214" i="30"/>
  <c r="BG214" i="30"/>
  <c r="BF214" i="30"/>
  <c r="BC214" i="30"/>
  <c r="BA214" i="30"/>
  <c r="AY214" i="30"/>
  <c r="AX214" i="30"/>
  <c r="AW214" i="30"/>
  <c r="AU214" i="30"/>
  <c r="AT214" i="30"/>
  <c r="AS214" i="30"/>
  <c r="AR214" i="30"/>
  <c r="AQ214" i="30"/>
  <c r="W214" i="30"/>
  <c r="X214" i="30" s="1"/>
  <c r="H214" i="30"/>
  <c r="J214" i="30" s="1"/>
  <c r="T214" i="30" s="1"/>
  <c r="BE214" i="30" s="1"/>
  <c r="BK213" i="30"/>
  <c r="BJ213" i="30"/>
  <c r="BI213" i="30"/>
  <c r="BH213" i="30"/>
  <c r="BG213" i="30"/>
  <c r="BF213" i="30"/>
  <c r="BC213" i="30"/>
  <c r="BA213" i="30"/>
  <c r="AY213" i="30"/>
  <c r="AX213" i="30"/>
  <c r="AW213" i="30"/>
  <c r="AU213" i="30"/>
  <c r="AT213" i="30"/>
  <c r="AS213" i="30"/>
  <c r="AR213" i="30"/>
  <c r="AQ213" i="30"/>
  <c r="W213" i="30"/>
  <c r="X213" i="30" s="1"/>
  <c r="Y213" i="30" s="1"/>
  <c r="BQ213" i="30" s="1"/>
  <c r="H213" i="30"/>
  <c r="J213" i="30" s="1"/>
  <c r="T213" i="30" s="1"/>
  <c r="BE213" i="30" s="1"/>
  <c r="BK212" i="30"/>
  <c r="BJ212" i="30"/>
  <c r="BI212" i="30"/>
  <c r="BH212" i="30"/>
  <c r="BG212" i="30"/>
  <c r="BF212" i="30"/>
  <c r="BC212" i="30"/>
  <c r="BA212" i="30"/>
  <c r="AY212" i="30"/>
  <c r="AX212" i="30"/>
  <c r="AW212" i="30"/>
  <c r="AU212" i="30"/>
  <c r="AT212" i="30"/>
  <c r="AS212" i="30"/>
  <c r="AR212" i="30"/>
  <c r="AQ212" i="30"/>
  <c r="W212" i="30"/>
  <c r="X212" i="30" s="1"/>
  <c r="H212" i="30"/>
  <c r="J212" i="30" s="1"/>
  <c r="BK211" i="30"/>
  <c r="BJ211" i="30"/>
  <c r="BI211" i="30"/>
  <c r="BH211" i="30"/>
  <c r="BG211" i="30"/>
  <c r="BF211" i="30"/>
  <c r="BC211" i="30"/>
  <c r="BA211" i="30"/>
  <c r="AY211" i="30"/>
  <c r="AX211" i="30"/>
  <c r="AW211" i="30"/>
  <c r="AU211" i="30"/>
  <c r="AT211" i="30"/>
  <c r="AS211" i="30"/>
  <c r="AR211" i="30"/>
  <c r="AQ211" i="30"/>
  <c r="W211" i="30"/>
  <c r="X211" i="30" s="1"/>
  <c r="H211" i="30"/>
  <c r="J211" i="30" s="1"/>
  <c r="L211" i="30" s="1"/>
  <c r="BK210" i="30"/>
  <c r="BJ210" i="30"/>
  <c r="BI210" i="30"/>
  <c r="BH210" i="30"/>
  <c r="BG210" i="30"/>
  <c r="BF210" i="30"/>
  <c r="BC210" i="30"/>
  <c r="BA210" i="30"/>
  <c r="AY210" i="30"/>
  <c r="AX210" i="30"/>
  <c r="AW210" i="30"/>
  <c r="AU210" i="30"/>
  <c r="AT210" i="30"/>
  <c r="AS210" i="30"/>
  <c r="AR210" i="30"/>
  <c r="AQ210" i="30"/>
  <c r="W210" i="30"/>
  <c r="X210" i="30" s="1"/>
  <c r="H210" i="30"/>
  <c r="J210" i="30" s="1"/>
  <c r="T210" i="30" s="1"/>
  <c r="BE210" i="30" s="1"/>
  <c r="BK209" i="30"/>
  <c r="BJ209" i="30"/>
  <c r="BI209" i="30"/>
  <c r="BH209" i="30"/>
  <c r="BG209" i="30"/>
  <c r="BF209" i="30"/>
  <c r="BC209" i="30"/>
  <c r="BA209" i="30"/>
  <c r="AY209" i="30"/>
  <c r="AX209" i="30"/>
  <c r="AW209" i="30"/>
  <c r="AU209" i="30"/>
  <c r="AT209" i="30"/>
  <c r="AS209" i="30"/>
  <c r="AR209" i="30"/>
  <c r="AQ209" i="30"/>
  <c r="W209" i="30"/>
  <c r="X209" i="30" s="1"/>
  <c r="H209" i="30"/>
  <c r="J209" i="30" s="1"/>
  <c r="BK208" i="30"/>
  <c r="BJ208" i="30"/>
  <c r="BI208" i="30"/>
  <c r="BH208" i="30"/>
  <c r="BG208" i="30"/>
  <c r="BF208" i="30"/>
  <c r="BC208" i="30"/>
  <c r="BA208" i="30"/>
  <c r="AY208" i="30"/>
  <c r="AX208" i="30"/>
  <c r="AW208" i="30"/>
  <c r="AU208" i="30"/>
  <c r="AT208" i="30"/>
  <c r="AS208" i="30"/>
  <c r="AR208" i="30"/>
  <c r="AQ208" i="30"/>
  <c r="W208" i="30"/>
  <c r="X208" i="30" s="1"/>
  <c r="H208" i="30"/>
  <c r="J208" i="30" s="1"/>
  <c r="T208" i="30" s="1"/>
  <c r="BE208" i="30" s="1"/>
  <c r="BK207" i="30"/>
  <c r="BJ207" i="30"/>
  <c r="BI207" i="30"/>
  <c r="BH207" i="30"/>
  <c r="BG207" i="30"/>
  <c r="BF207" i="30"/>
  <c r="BC207" i="30"/>
  <c r="BA207" i="30"/>
  <c r="AY207" i="30"/>
  <c r="AX207" i="30"/>
  <c r="AW207" i="30"/>
  <c r="AU207" i="30"/>
  <c r="AT207" i="30"/>
  <c r="AS207" i="30"/>
  <c r="AR207" i="30"/>
  <c r="AQ207" i="30"/>
  <c r="W207" i="30"/>
  <c r="X207" i="30" s="1"/>
  <c r="H207" i="30"/>
  <c r="J207" i="30" s="1"/>
  <c r="L207" i="30" s="1"/>
  <c r="BK206" i="30"/>
  <c r="BJ206" i="30"/>
  <c r="BI206" i="30"/>
  <c r="BH206" i="30"/>
  <c r="BG206" i="30"/>
  <c r="BF206" i="30"/>
  <c r="BC206" i="30"/>
  <c r="BA206" i="30"/>
  <c r="AY206" i="30"/>
  <c r="AX206" i="30"/>
  <c r="AW206" i="30"/>
  <c r="AU206" i="30"/>
  <c r="AT206" i="30"/>
  <c r="AS206" i="30"/>
  <c r="AR206" i="30"/>
  <c r="AQ206" i="30"/>
  <c r="W206" i="30"/>
  <c r="X206" i="30" s="1"/>
  <c r="H206" i="30"/>
  <c r="J206" i="30" s="1"/>
  <c r="BK205" i="30"/>
  <c r="BJ205" i="30"/>
  <c r="BI205" i="30"/>
  <c r="BH205" i="30"/>
  <c r="BG205" i="30"/>
  <c r="BF205" i="30"/>
  <c r="BC205" i="30"/>
  <c r="BA205" i="30"/>
  <c r="AY205" i="30"/>
  <c r="AX205" i="30"/>
  <c r="AW205" i="30"/>
  <c r="AU205" i="30"/>
  <c r="AT205" i="30"/>
  <c r="AS205" i="30"/>
  <c r="AR205" i="30"/>
  <c r="AQ205" i="30"/>
  <c r="W205" i="30"/>
  <c r="X205" i="30" s="1"/>
  <c r="H205" i="30"/>
  <c r="J205" i="30" s="1"/>
  <c r="O205" i="30" s="1"/>
  <c r="BK204" i="30"/>
  <c r="BJ204" i="30"/>
  <c r="BI204" i="30"/>
  <c r="BH204" i="30"/>
  <c r="BG204" i="30"/>
  <c r="BF204" i="30"/>
  <c r="BC204" i="30"/>
  <c r="BA204" i="30"/>
  <c r="AY204" i="30"/>
  <c r="AX204" i="30"/>
  <c r="AW204" i="30"/>
  <c r="AU204" i="30"/>
  <c r="AT204" i="30"/>
  <c r="AS204" i="30"/>
  <c r="AR204" i="30"/>
  <c r="AQ204" i="30"/>
  <c r="W204" i="30"/>
  <c r="X204" i="30" s="1"/>
  <c r="H204" i="30"/>
  <c r="J204" i="30" s="1"/>
  <c r="T204" i="30" s="1"/>
  <c r="BE204" i="30" s="1"/>
  <c r="BK203" i="30"/>
  <c r="BJ203" i="30"/>
  <c r="BI203" i="30"/>
  <c r="BH203" i="30"/>
  <c r="BG203" i="30"/>
  <c r="BF203" i="30"/>
  <c r="BC203" i="30"/>
  <c r="BA203" i="30"/>
  <c r="AY203" i="30"/>
  <c r="AX203" i="30"/>
  <c r="AW203" i="30"/>
  <c r="AU203" i="30"/>
  <c r="AT203" i="30"/>
  <c r="AS203" i="30"/>
  <c r="AR203" i="30"/>
  <c r="AQ203" i="30"/>
  <c r="W203" i="30"/>
  <c r="X203" i="30" s="1"/>
  <c r="H203" i="30"/>
  <c r="J203" i="30" s="1"/>
  <c r="BK202" i="30"/>
  <c r="BJ202" i="30"/>
  <c r="BI202" i="30"/>
  <c r="BH202" i="30"/>
  <c r="BG202" i="30"/>
  <c r="BF202" i="30"/>
  <c r="BC202" i="30"/>
  <c r="BA202" i="30"/>
  <c r="AY202" i="30"/>
  <c r="AX202" i="30"/>
  <c r="AW202" i="30"/>
  <c r="AU202" i="30"/>
  <c r="AT202" i="30"/>
  <c r="AS202" i="30"/>
  <c r="AR202" i="30"/>
  <c r="AQ202" i="30"/>
  <c r="W202" i="30"/>
  <c r="X202" i="30" s="1"/>
  <c r="H202" i="30"/>
  <c r="J202" i="30" s="1"/>
  <c r="T202" i="30" s="1"/>
  <c r="BE202" i="30" s="1"/>
  <c r="BK201" i="30"/>
  <c r="BJ201" i="30"/>
  <c r="BI201" i="30"/>
  <c r="BH201" i="30"/>
  <c r="BG201" i="30"/>
  <c r="BF201" i="30"/>
  <c r="BC201" i="30"/>
  <c r="BA201" i="30"/>
  <c r="AY201" i="30"/>
  <c r="AX201" i="30"/>
  <c r="AW201" i="30"/>
  <c r="AU201" i="30"/>
  <c r="AT201" i="30"/>
  <c r="AS201" i="30"/>
  <c r="AR201" i="30"/>
  <c r="AQ201" i="30"/>
  <c r="W201" i="30"/>
  <c r="X201" i="30" s="1"/>
  <c r="H201" i="30"/>
  <c r="J201" i="30" s="1"/>
  <c r="BK200" i="30"/>
  <c r="BJ200" i="30"/>
  <c r="BI200" i="30"/>
  <c r="BH200" i="30"/>
  <c r="BG200" i="30"/>
  <c r="BF200" i="30"/>
  <c r="BC200" i="30"/>
  <c r="BA200" i="30"/>
  <c r="AY200" i="30"/>
  <c r="AX200" i="30"/>
  <c r="AW200" i="30"/>
  <c r="AU200" i="30"/>
  <c r="AT200" i="30"/>
  <c r="AS200" i="30"/>
  <c r="AR200" i="30"/>
  <c r="AQ200" i="30"/>
  <c r="W200" i="30"/>
  <c r="X200" i="30" s="1"/>
  <c r="H200" i="30"/>
  <c r="J200" i="30" s="1"/>
  <c r="T200" i="30" s="1"/>
  <c r="BE200" i="30" s="1"/>
  <c r="BK199" i="30"/>
  <c r="BJ199" i="30"/>
  <c r="BI199" i="30"/>
  <c r="BH199" i="30"/>
  <c r="BG199" i="30"/>
  <c r="BF199" i="30"/>
  <c r="BC199" i="30"/>
  <c r="BA199" i="30"/>
  <c r="AY199" i="30"/>
  <c r="AX199" i="30"/>
  <c r="AW199" i="30"/>
  <c r="AU199" i="30"/>
  <c r="AT199" i="30"/>
  <c r="AS199" i="30"/>
  <c r="AR199" i="30"/>
  <c r="AQ199" i="30"/>
  <c r="W199" i="30"/>
  <c r="X199" i="30" s="1"/>
  <c r="H199" i="30"/>
  <c r="J199" i="30" s="1"/>
  <c r="BK198" i="30"/>
  <c r="BJ198" i="30"/>
  <c r="BI198" i="30"/>
  <c r="BH198" i="30"/>
  <c r="BG198" i="30"/>
  <c r="BF198" i="30"/>
  <c r="BC198" i="30"/>
  <c r="BA198" i="30"/>
  <c r="AY198" i="30"/>
  <c r="AX198" i="30"/>
  <c r="AW198" i="30"/>
  <c r="AU198" i="30"/>
  <c r="AT198" i="30"/>
  <c r="AS198" i="30"/>
  <c r="AR198" i="30"/>
  <c r="AQ198" i="30"/>
  <c r="W198" i="30"/>
  <c r="X198" i="30" s="1"/>
  <c r="H198" i="30"/>
  <c r="J198" i="30" s="1"/>
  <c r="O198" i="30" s="1"/>
  <c r="BK197" i="30"/>
  <c r="BJ197" i="30"/>
  <c r="BI197" i="30"/>
  <c r="BH197" i="30"/>
  <c r="BG197" i="30"/>
  <c r="BF197" i="30"/>
  <c r="BC197" i="30"/>
  <c r="BA197" i="30"/>
  <c r="AY197" i="30"/>
  <c r="AX197" i="30"/>
  <c r="AW197" i="30"/>
  <c r="AU197" i="30"/>
  <c r="AT197" i="30"/>
  <c r="AS197" i="30"/>
  <c r="AR197" i="30"/>
  <c r="AQ197" i="30"/>
  <c r="W197" i="30"/>
  <c r="X197" i="30" s="1"/>
  <c r="H197" i="30"/>
  <c r="J197" i="30" s="1"/>
  <c r="BK196" i="30"/>
  <c r="BJ196" i="30"/>
  <c r="BI196" i="30"/>
  <c r="BH196" i="30"/>
  <c r="BG196" i="30"/>
  <c r="BF196" i="30"/>
  <c r="BC196" i="30"/>
  <c r="BA196" i="30"/>
  <c r="AY196" i="30"/>
  <c r="AX196" i="30"/>
  <c r="AW196" i="30"/>
  <c r="AU196" i="30"/>
  <c r="AT196" i="30"/>
  <c r="AS196" i="30"/>
  <c r="AR196" i="30"/>
  <c r="AQ196" i="30"/>
  <c r="W196" i="30"/>
  <c r="X196" i="30" s="1"/>
  <c r="H196" i="30"/>
  <c r="J196" i="30" s="1"/>
  <c r="L196" i="30" s="1"/>
  <c r="BK195" i="30"/>
  <c r="BJ195" i="30"/>
  <c r="BI195" i="30"/>
  <c r="BH195" i="30"/>
  <c r="BG195" i="30"/>
  <c r="BF195" i="30"/>
  <c r="BC195" i="30"/>
  <c r="BA195" i="30"/>
  <c r="AY195" i="30"/>
  <c r="AX195" i="30"/>
  <c r="AW195" i="30"/>
  <c r="AU195" i="30"/>
  <c r="AT195" i="30"/>
  <c r="AS195" i="30"/>
  <c r="AR195" i="30"/>
  <c r="AQ195" i="30"/>
  <c r="W195" i="30"/>
  <c r="X195" i="30" s="1"/>
  <c r="H195" i="30"/>
  <c r="J195" i="30" s="1"/>
  <c r="BK194" i="30"/>
  <c r="BJ194" i="30"/>
  <c r="BI194" i="30"/>
  <c r="BH194" i="30"/>
  <c r="BG194" i="30"/>
  <c r="BF194" i="30"/>
  <c r="BC194" i="30"/>
  <c r="BA194" i="30"/>
  <c r="AY194" i="30"/>
  <c r="AX194" i="30"/>
  <c r="AW194" i="30"/>
  <c r="AU194" i="30"/>
  <c r="AT194" i="30"/>
  <c r="AS194" i="30"/>
  <c r="AR194" i="30"/>
  <c r="AQ194" i="30"/>
  <c r="W194" i="30"/>
  <c r="X194" i="30" s="1"/>
  <c r="H194" i="30"/>
  <c r="J194" i="30" s="1"/>
  <c r="BK193" i="30"/>
  <c r="BJ193" i="30"/>
  <c r="BI193" i="30"/>
  <c r="BH193" i="30"/>
  <c r="BG193" i="30"/>
  <c r="BF193" i="30"/>
  <c r="BC193" i="30"/>
  <c r="BA193" i="30"/>
  <c r="AY193" i="30"/>
  <c r="AX193" i="30"/>
  <c r="AW193" i="30"/>
  <c r="AU193" i="30"/>
  <c r="AT193" i="30"/>
  <c r="AS193" i="30"/>
  <c r="AR193" i="30"/>
  <c r="AQ193" i="30"/>
  <c r="W193" i="30"/>
  <c r="X193" i="30" s="1"/>
  <c r="H193" i="30"/>
  <c r="J193" i="30" s="1"/>
  <c r="T193" i="30" s="1"/>
  <c r="BE193" i="30" s="1"/>
  <c r="BK192" i="30"/>
  <c r="BJ192" i="30"/>
  <c r="BI192" i="30"/>
  <c r="BH192" i="30"/>
  <c r="BG192" i="30"/>
  <c r="BF192" i="30"/>
  <c r="BC192" i="30"/>
  <c r="BA192" i="30"/>
  <c r="AY192" i="30"/>
  <c r="AX192" i="30"/>
  <c r="AW192" i="30"/>
  <c r="AU192" i="30"/>
  <c r="AT192" i="30"/>
  <c r="AS192" i="30"/>
  <c r="AR192" i="30"/>
  <c r="AQ192" i="30"/>
  <c r="W192" i="30"/>
  <c r="X192" i="30" s="1"/>
  <c r="H192" i="30"/>
  <c r="J192" i="30" s="1"/>
  <c r="BK191" i="30"/>
  <c r="BJ191" i="30"/>
  <c r="BI191" i="30"/>
  <c r="BH191" i="30"/>
  <c r="BG191" i="30"/>
  <c r="BF191" i="30"/>
  <c r="BC191" i="30"/>
  <c r="BA191" i="30"/>
  <c r="AY191" i="30"/>
  <c r="AX191" i="30"/>
  <c r="AW191" i="30"/>
  <c r="AU191" i="30"/>
  <c r="AT191" i="30"/>
  <c r="AS191" i="30"/>
  <c r="AR191" i="30"/>
  <c r="AQ191" i="30"/>
  <c r="W191" i="30"/>
  <c r="X191" i="30" s="1"/>
  <c r="H191" i="30"/>
  <c r="J191" i="30" s="1"/>
  <c r="BK190" i="30"/>
  <c r="BJ190" i="30"/>
  <c r="BI190" i="30"/>
  <c r="BH190" i="30"/>
  <c r="BG190" i="30"/>
  <c r="BF190" i="30"/>
  <c r="BC190" i="30"/>
  <c r="BA190" i="30"/>
  <c r="AY190" i="30"/>
  <c r="AX190" i="30"/>
  <c r="AW190" i="30"/>
  <c r="AU190" i="30"/>
  <c r="AT190" i="30"/>
  <c r="AS190" i="30"/>
  <c r="AR190" i="30"/>
  <c r="AQ190" i="30"/>
  <c r="W190" i="30"/>
  <c r="X190" i="30" s="1"/>
  <c r="H190" i="30"/>
  <c r="J190" i="30" s="1"/>
  <c r="T190" i="30" s="1"/>
  <c r="BE190" i="30" s="1"/>
  <c r="BK189" i="30"/>
  <c r="BJ189" i="30"/>
  <c r="BI189" i="30"/>
  <c r="BH189" i="30"/>
  <c r="BG189" i="30"/>
  <c r="BF189" i="30"/>
  <c r="BC189" i="30"/>
  <c r="BA189" i="30"/>
  <c r="AY189" i="30"/>
  <c r="AX189" i="30"/>
  <c r="AW189" i="30"/>
  <c r="AU189" i="30"/>
  <c r="AT189" i="30"/>
  <c r="AS189" i="30"/>
  <c r="AR189" i="30"/>
  <c r="AQ189" i="30"/>
  <c r="W189" i="30"/>
  <c r="X189" i="30" s="1"/>
  <c r="H189" i="30"/>
  <c r="J189" i="30" s="1"/>
  <c r="BK188" i="30"/>
  <c r="BJ188" i="30"/>
  <c r="BI188" i="30"/>
  <c r="BH188" i="30"/>
  <c r="BG188" i="30"/>
  <c r="BF188" i="30"/>
  <c r="BC188" i="30"/>
  <c r="BA188" i="30"/>
  <c r="AY188" i="30"/>
  <c r="AX188" i="30"/>
  <c r="AW188" i="30"/>
  <c r="AU188" i="30"/>
  <c r="AT188" i="30"/>
  <c r="AS188" i="30"/>
  <c r="AR188" i="30"/>
  <c r="AQ188" i="30"/>
  <c r="W188" i="30"/>
  <c r="X188" i="30" s="1"/>
  <c r="H188" i="30"/>
  <c r="J188" i="30" s="1"/>
  <c r="BK187" i="30"/>
  <c r="BJ187" i="30"/>
  <c r="BI187" i="30"/>
  <c r="BH187" i="30"/>
  <c r="BG187" i="30"/>
  <c r="BF187" i="30"/>
  <c r="BC187" i="30"/>
  <c r="BA187" i="30"/>
  <c r="AY187" i="30"/>
  <c r="AX187" i="30"/>
  <c r="AW187" i="30"/>
  <c r="AU187" i="30"/>
  <c r="AT187" i="30"/>
  <c r="AS187" i="30"/>
  <c r="AR187" i="30"/>
  <c r="AQ187" i="30"/>
  <c r="W187" i="30"/>
  <c r="X187" i="30" s="1"/>
  <c r="H187" i="30"/>
  <c r="J187" i="30" s="1"/>
  <c r="BK186" i="30"/>
  <c r="BJ186" i="30"/>
  <c r="BI186" i="30"/>
  <c r="BH186" i="30"/>
  <c r="BG186" i="30"/>
  <c r="BF186" i="30"/>
  <c r="BC186" i="30"/>
  <c r="BA186" i="30"/>
  <c r="AY186" i="30"/>
  <c r="AX186" i="30"/>
  <c r="AW186" i="30"/>
  <c r="AU186" i="30"/>
  <c r="AT186" i="30"/>
  <c r="AS186" i="30"/>
  <c r="AR186" i="30"/>
  <c r="AQ186" i="30"/>
  <c r="W186" i="30"/>
  <c r="X186" i="30" s="1"/>
  <c r="H186" i="30"/>
  <c r="J186" i="30" s="1"/>
  <c r="L186" i="30" s="1"/>
  <c r="BK185" i="30"/>
  <c r="BJ185" i="30"/>
  <c r="BI185" i="30"/>
  <c r="BH185" i="30"/>
  <c r="BG185" i="30"/>
  <c r="BF185" i="30"/>
  <c r="BD185" i="30"/>
  <c r="BC185" i="30"/>
  <c r="BA185" i="30"/>
  <c r="AY185" i="30"/>
  <c r="AX185" i="30"/>
  <c r="AW185" i="30"/>
  <c r="AU185" i="30"/>
  <c r="AT185" i="30"/>
  <c r="AS185" i="30"/>
  <c r="AR185" i="30"/>
  <c r="AQ185" i="30"/>
  <c r="H185" i="30"/>
  <c r="J185" i="30" s="1"/>
  <c r="BK184" i="30"/>
  <c r="BJ184" i="30"/>
  <c r="BI184" i="30"/>
  <c r="BH184" i="30"/>
  <c r="BG184" i="30"/>
  <c r="BF184" i="30"/>
  <c r="BC184" i="30"/>
  <c r="BA184" i="30"/>
  <c r="AY184" i="30"/>
  <c r="AX184" i="30"/>
  <c r="AW184" i="30"/>
  <c r="AU184" i="30"/>
  <c r="AT184" i="30"/>
  <c r="AS184" i="30"/>
  <c r="AR184" i="30"/>
  <c r="AQ184" i="30"/>
  <c r="W184" i="30"/>
  <c r="X184" i="30" s="1"/>
  <c r="H184" i="30"/>
  <c r="J184" i="30" s="1"/>
  <c r="L184" i="30" s="1"/>
  <c r="BK183" i="30"/>
  <c r="BJ183" i="30"/>
  <c r="BI183" i="30"/>
  <c r="BH183" i="30"/>
  <c r="BG183" i="30"/>
  <c r="BF183" i="30"/>
  <c r="BD183" i="30"/>
  <c r="BC183" i="30"/>
  <c r="BA183" i="30"/>
  <c r="AY183" i="30"/>
  <c r="AX183" i="30"/>
  <c r="AW183" i="30"/>
  <c r="AU183" i="30"/>
  <c r="AT183" i="30"/>
  <c r="AS183" i="30"/>
  <c r="AR183" i="30"/>
  <c r="AQ183" i="30"/>
  <c r="H183" i="30"/>
  <c r="J183" i="30" s="1"/>
  <c r="BK182" i="30"/>
  <c r="BJ182" i="30"/>
  <c r="BI182" i="30"/>
  <c r="BH182" i="30"/>
  <c r="BG182" i="30"/>
  <c r="BF182" i="30"/>
  <c r="BC182" i="30"/>
  <c r="BA182" i="30"/>
  <c r="AY182" i="30"/>
  <c r="AX182" i="30"/>
  <c r="AW182" i="30"/>
  <c r="AU182" i="30"/>
  <c r="AT182" i="30"/>
  <c r="AS182" i="30"/>
  <c r="AR182" i="30"/>
  <c r="AQ182" i="30"/>
  <c r="W182" i="30"/>
  <c r="X182" i="30" s="1"/>
  <c r="Y182" i="30" s="1"/>
  <c r="BQ182" i="30" s="1"/>
  <c r="H182" i="30"/>
  <c r="J182" i="30" s="1"/>
  <c r="BK181" i="30"/>
  <c r="BJ181" i="30"/>
  <c r="BI181" i="30"/>
  <c r="BH181" i="30"/>
  <c r="BG181" i="30"/>
  <c r="BF181" i="30"/>
  <c r="BC181" i="30"/>
  <c r="BA181" i="30"/>
  <c r="AY181" i="30"/>
  <c r="AX181" i="30"/>
  <c r="AW181" i="30"/>
  <c r="AU181" i="30"/>
  <c r="AT181" i="30"/>
  <c r="AS181" i="30"/>
  <c r="AR181" i="30"/>
  <c r="AQ181" i="30"/>
  <c r="W181" i="30"/>
  <c r="X181" i="30" s="1"/>
  <c r="Y181" i="30" s="1"/>
  <c r="BQ181" i="30" s="1"/>
  <c r="H181" i="30"/>
  <c r="J181" i="30" s="1"/>
  <c r="O181" i="30" s="1"/>
  <c r="BK180" i="30"/>
  <c r="BJ180" i="30"/>
  <c r="BI180" i="30"/>
  <c r="BH180" i="30"/>
  <c r="BG180" i="30"/>
  <c r="BF180" i="30"/>
  <c r="BC180" i="30"/>
  <c r="BA180" i="30"/>
  <c r="AY180" i="30"/>
  <c r="AX180" i="30"/>
  <c r="AW180" i="30"/>
  <c r="AU180" i="30"/>
  <c r="AT180" i="30"/>
  <c r="AS180" i="30"/>
  <c r="AR180" i="30"/>
  <c r="AQ180" i="30"/>
  <c r="W180" i="30"/>
  <c r="X180" i="30" s="1"/>
  <c r="H180" i="30"/>
  <c r="J180" i="30" s="1"/>
  <c r="T180" i="30" s="1"/>
  <c r="BE180" i="30" s="1"/>
  <c r="BK179" i="30"/>
  <c r="BJ179" i="30"/>
  <c r="BI179" i="30"/>
  <c r="BH179" i="30"/>
  <c r="BG179" i="30"/>
  <c r="BF179" i="30"/>
  <c r="BC179" i="30"/>
  <c r="BA179" i="30"/>
  <c r="AY179" i="30"/>
  <c r="AX179" i="30"/>
  <c r="AW179" i="30"/>
  <c r="AU179" i="30"/>
  <c r="AT179" i="30"/>
  <c r="AS179" i="30"/>
  <c r="AR179" i="30"/>
  <c r="AQ179" i="30"/>
  <c r="W179" i="30"/>
  <c r="X179" i="30" s="1"/>
  <c r="H179" i="30"/>
  <c r="J179" i="30" s="1"/>
  <c r="BK178" i="30"/>
  <c r="BJ178" i="30"/>
  <c r="BI178" i="30"/>
  <c r="BH178" i="30"/>
  <c r="BG178" i="30"/>
  <c r="BF178" i="30"/>
  <c r="BC178" i="30"/>
  <c r="BA178" i="30"/>
  <c r="AY178" i="30"/>
  <c r="AX178" i="30"/>
  <c r="AW178" i="30"/>
  <c r="AU178" i="30"/>
  <c r="AT178" i="30"/>
  <c r="AS178" i="30"/>
  <c r="AR178" i="30"/>
  <c r="AQ178" i="30"/>
  <c r="W178" i="30"/>
  <c r="X178" i="30" s="1"/>
  <c r="H178" i="30"/>
  <c r="J178" i="30" s="1"/>
  <c r="BK177" i="30"/>
  <c r="BJ177" i="30"/>
  <c r="BI177" i="30"/>
  <c r="BH177" i="30"/>
  <c r="BG177" i="30"/>
  <c r="BF177" i="30"/>
  <c r="BC177" i="30"/>
  <c r="BA177" i="30"/>
  <c r="AY177" i="30"/>
  <c r="AX177" i="30"/>
  <c r="AW177" i="30"/>
  <c r="AU177" i="30"/>
  <c r="AT177" i="30"/>
  <c r="AS177" i="30"/>
  <c r="AR177" i="30"/>
  <c r="AQ177" i="30"/>
  <c r="W177" i="30"/>
  <c r="X177" i="30" s="1"/>
  <c r="H177" i="30"/>
  <c r="J177" i="30" s="1"/>
  <c r="BK176" i="30"/>
  <c r="BJ176" i="30"/>
  <c r="BI176" i="30"/>
  <c r="BH176" i="30"/>
  <c r="BG176" i="30"/>
  <c r="BF176" i="30"/>
  <c r="BC176" i="30"/>
  <c r="BA176" i="30"/>
  <c r="AY176" i="30"/>
  <c r="AX176" i="30"/>
  <c r="AW176" i="30"/>
  <c r="AU176" i="30"/>
  <c r="AT176" i="30"/>
  <c r="AS176" i="30"/>
  <c r="AR176" i="30"/>
  <c r="AQ176" i="30"/>
  <c r="W176" i="30"/>
  <c r="X176" i="30" s="1"/>
  <c r="Y176" i="30" s="1"/>
  <c r="BQ176" i="30" s="1"/>
  <c r="H176" i="30"/>
  <c r="J176" i="30" s="1"/>
  <c r="T176" i="30" s="1"/>
  <c r="BE176" i="30" s="1"/>
  <c r="BK175" i="30"/>
  <c r="BJ175" i="30"/>
  <c r="BI175" i="30"/>
  <c r="BH175" i="30"/>
  <c r="BG175" i="30"/>
  <c r="BF175" i="30"/>
  <c r="BC175" i="30"/>
  <c r="BA175" i="30"/>
  <c r="AY175" i="30"/>
  <c r="AX175" i="30"/>
  <c r="AW175" i="30"/>
  <c r="AU175" i="30"/>
  <c r="AT175" i="30"/>
  <c r="AS175" i="30"/>
  <c r="AR175" i="30"/>
  <c r="AQ175" i="30"/>
  <c r="W175" i="30"/>
  <c r="X175" i="30" s="1"/>
  <c r="H175" i="30"/>
  <c r="J175" i="30" s="1"/>
  <c r="BK174" i="30"/>
  <c r="BJ174" i="30"/>
  <c r="BI174" i="30"/>
  <c r="BH174" i="30"/>
  <c r="BG174" i="30"/>
  <c r="BF174" i="30"/>
  <c r="BC174" i="30"/>
  <c r="BA174" i="30"/>
  <c r="AY174" i="30"/>
  <c r="AX174" i="30"/>
  <c r="AW174" i="30"/>
  <c r="AU174" i="30"/>
  <c r="AT174" i="30"/>
  <c r="AS174" i="30"/>
  <c r="AR174" i="30"/>
  <c r="AQ174" i="30"/>
  <c r="W174" i="30"/>
  <c r="X174" i="30" s="1"/>
  <c r="H174" i="30"/>
  <c r="J174" i="30" s="1"/>
  <c r="BK173" i="30"/>
  <c r="BJ173" i="30"/>
  <c r="BI173" i="30"/>
  <c r="BH173" i="30"/>
  <c r="BG173" i="30"/>
  <c r="BF173" i="30"/>
  <c r="BC173" i="30"/>
  <c r="BA173" i="30"/>
  <c r="AY173" i="30"/>
  <c r="AX173" i="30"/>
  <c r="AW173" i="30"/>
  <c r="AU173" i="30"/>
  <c r="AT173" i="30"/>
  <c r="AS173" i="30"/>
  <c r="AR173" i="30"/>
  <c r="AQ173" i="30"/>
  <c r="W173" i="30"/>
  <c r="X173" i="30" s="1"/>
  <c r="H173" i="30"/>
  <c r="J173" i="30" s="1"/>
  <c r="L173" i="30" s="1"/>
  <c r="BK172" i="30"/>
  <c r="BJ172" i="30"/>
  <c r="BI172" i="30"/>
  <c r="BH172" i="30"/>
  <c r="BG172" i="30"/>
  <c r="BF172" i="30"/>
  <c r="BC172" i="30"/>
  <c r="BA172" i="30"/>
  <c r="AY172" i="30"/>
  <c r="AX172" i="30"/>
  <c r="AW172" i="30"/>
  <c r="AU172" i="30"/>
  <c r="AT172" i="30"/>
  <c r="AS172" i="30"/>
  <c r="AR172" i="30"/>
  <c r="AQ172" i="30"/>
  <c r="W172" i="30"/>
  <c r="X172" i="30" s="1"/>
  <c r="H172" i="30"/>
  <c r="J172" i="30" s="1"/>
  <c r="BK171" i="30"/>
  <c r="BJ171" i="30"/>
  <c r="BI171" i="30"/>
  <c r="BH171" i="30"/>
  <c r="BG171" i="30"/>
  <c r="BF171" i="30"/>
  <c r="BC171" i="30"/>
  <c r="BA171" i="30"/>
  <c r="AY171" i="30"/>
  <c r="AX171" i="30"/>
  <c r="AW171" i="30"/>
  <c r="AU171" i="30"/>
  <c r="AT171" i="30"/>
  <c r="AS171" i="30"/>
  <c r="AR171" i="30"/>
  <c r="AQ171" i="30"/>
  <c r="W171" i="30"/>
  <c r="X171" i="30" s="1"/>
  <c r="H171" i="30"/>
  <c r="J171" i="30" s="1"/>
  <c r="BK170" i="30"/>
  <c r="BJ170" i="30"/>
  <c r="BI170" i="30"/>
  <c r="BH170" i="30"/>
  <c r="BG170" i="30"/>
  <c r="BF170" i="30"/>
  <c r="BD170" i="30"/>
  <c r="BC170" i="30"/>
  <c r="BA170" i="30"/>
  <c r="AY170" i="30"/>
  <c r="AX170" i="30"/>
  <c r="AW170" i="30"/>
  <c r="AU170" i="30"/>
  <c r="AT170" i="30"/>
  <c r="AS170" i="30"/>
  <c r="AR170" i="30"/>
  <c r="AQ170" i="30"/>
  <c r="W170" i="30"/>
  <c r="H170" i="30"/>
  <c r="J170" i="30" s="1"/>
  <c r="BK169" i="30"/>
  <c r="BJ169" i="30"/>
  <c r="BI169" i="30"/>
  <c r="BH169" i="30"/>
  <c r="BG169" i="30"/>
  <c r="BF169" i="30"/>
  <c r="BC169" i="30"/>
  <c r="BA169" i="30"/>
  <c r="AY169" i="30"/>
  <c r="AX169" i="30"/>
  <c r="AW169" i="30"/>
  <c r="AU169" i="30"/>
  <c r="AT169" i="30"/>
  <c r="AS169" i="30"/>
  <c r="AR169" i="30"/>
  <c r="AQ169" i="30"/>
  <c r="W169" i="30"/>
  <c r="X169" i="30" s="1"/>
  <c r="Y169" i="30" s="1"/>
  <c r="BQ169" i="30" s="1"/>
  <c r="H169" i="30"/>
  <c r="J169" i="30" s="1"/>
  <c r="T169" i="30" s="1"/>
  <c r="BE169" i="30" s="1"/>
  <c r="BK168" i="30"/>
  <c r="BJ168" i="30"/>
  <c r="BI168" i="30"/>
  <c r="BH168" i="30"/>
  <c r="BG168" i="30"/>
  <c r="BF168" i="30"/>
  <c r="BC168" i="30"/>
  <c r="BA168" i="30"/>
  <c r="AY168" i="30"/>
  <c r="AX168" i="30"/>
  <c r="AW168" i="30"/>
  <c r="AU168" i="30"/>
  <c r="AT168" i="30"/>
  <c r="AS168" i="30"/>
  <c r="AR168" i="30"/>
  <c r="AQ168" i="30"/>
  <c r="W168" i="30"/>
  <c r="X168" i="30" s="1"/>
  <c r="H168" i="30"/>
  <c r="J168" i="30" s="1"/>
  <c r="L168" i="30" s="1"/>
  <c r="BK167" i="30"/>
  <c r="BJ167" i="30"/>
  <c r="BI167" i="30"/>
  <c r="BH167" i="30"/>
  <c r="BG167" i="30"/>
  <c r="BF167" i="30"/>
  <c r="BC167" i="30"/>
  <c r="BA167" i="30"/>
  <c r="AY167" i="30"/>
  <c r="AX167" i="30"/>
  <c r="AW167" i="30"/>
  <c r="AU167" i="30"/>
  <c r="AT167" i="30"/>
  <c r="AS167" i="30"/>
  <c r="AR167" i="30"/>
  <c r="AQ167" i="30"/>
  <c r="W167" i="30"/>
  <c r="X167" i="30" s="1"/>
  <c r="H167" i="30"/>
  <c r="J167" i="30" s="1"/>
  <c r="BK166" i="30"/>
  <c r="BJ166" i="30"/>
  <c r="BI166" i="30"/>
  <c r="BH166" i="30"/>
  <c r="BG166" i="30"/>
  <c r="BF166" i="30"/>
  <c r="BC166" i="30"/>
  <c r="BA166" i="30"/>
  <c r="AY166" i="30"/>
  <c r="AX166" i="30"/>
  <c r="AW166" i="30"/>
  <c r="AU166" i="30"/>
  <c r="AT166" i="30"/>
  <c r="AS166" i="30"/>
  <c r="AR166" i="30"/>
  <c r="AQ166" i="30"/>
  <c r="W166" i="30"/>
  <c r="X166" i="30" s="1"/>
  <c r="H166" i="30"/>
  <c r="J166" i="30" s="1"/>
  <c r="BK165" i="30"/>
  <c r="BJ165" i="30"/>
  <c r="BI165" i="30"/>
  <c r="BH165" i="30"/>
  <c r="BG165" i="30"/>
  <c r="BF165" i="30"/>
  <c r="BC165" i="30"/>
  <c r="BA165" i="30"/>
  <c r="AY165" i="30"/>
  <c r="AX165" i="30"/>
  <c r="AW165" i="30"/>
  <c r="AU165" i="30"/>
  <c r="AT165" i="30"/>
  <c r="AS165" i="30"/>
  <c r="AR165" i="30"/>
  <c r="AQ165" i="30"/>
  <c r="W165" i="30"/>
  <c r="X165" i="30" s="1"/>
  <c r="H165" i="30"/>
  <c r="J165" i="30" s="1"/>
  <c r="BK164" i="30"/>
  <c r="BJ164" i="30"/>
  <c r="BI164" i="30"/>
  <c r="BH164" i="30"/>
  <c r="BG164" i="30"/>
  <c r="BF164" i="30"/>
  <c r="BC164" i="30"/>
  <c r="BA164" i="30"/>
  <c r="AY164" i="30"/>
  <c r="AX164" i="30"/>
  <c r="AW164" i="30"/>
  <c r="AU164" i="30"/>
  <c r="AT164" i="30"/>
  <c r="AS164" i="30"/>
  <c r="AR164" i="30"/>
  <c r="AQ164" i="30"/>
  <c r="W164" i="30"/>
  <c r="X164" i="30" s="1"/>
  <c r="Y164" i="30" s="1"/>
  <c r="BQ164" i="30" s="1"/>
  <c r="H164" i="30"/>
  <c r="J164" i="30" s="1"/>
  <c r="BK163" i="30"/>
  <c r="BJ163" i="30"/>
  <c r="BI163" i="30"/>
  <c r="BH163" i="30"/>
  <c r="BG163" i="30"/>
  <c r="BF163" i="30"/>
  <c r="BC163" i="30"/>
  <c r="BA163" i="30"/>
  <c r="AY163" i="30"/>
  <c r="AX163" i="30"/>
  <c r="AW163" i="30"/>
  <c r="AU163" i="30"/>
  <c r="AT163" i="30"/>
  <c r="AS163" i="30"/>
  <c r="AR163" i="30"/>
  <c r="AQ163" i="30"/>
  <c r="W163" i="30"/>
  <c r="X163" i="30" s="1"/>
  <c r="H163" i="30"/>
  <c r="J163" i="30" s="1"/>
  <c r="BK162" i="30"/>
  <c r="BJ162" i="30"/>
  <c r="BI162" i="30"/>
  <c r="BH162" i="30"/>
  <c r="BG162" i="30"/>
  <c r="BF162" i="30"/>
  <c r="BD162" i="30"/>
  <c r="BC162" i="30"/>
  <c r="BA162" i="30"/>
  <c r="AY162" i="30"/>
  <c r="AX162" i="30"/>
  <c r="AW162" i="30"/>
  <c r="AU162" i="30"/>
  <c r="AT162" i="30"/>
  <c r="AS162" i="30"/>
  <c r="AR162" i="30"/>
  <c r="AQ162" i="30"/>
  <c r="W162" i="30"/>
  <c r="H162" i="30"/>
  <c r="J162" i="30" s="1"/>
  <c r="L162" i="30" s="1"/>
  <c r="BK161" i="30"/>
  <c r="BJ161" i="30"/>
  <c r="BI161" i="30"/>
  <c r="BH161" i="30"/>
  <c r="BG161" i="30"/>
  <c r="BF161" i="30"/>
  <c r="BC161" i="30"/>
  <c r="BA161" i="30"/>
  <c r="AY161" i="30"/>
  <c r="AX161" i="30"/>
  <c r="AW161" i="30"/>
  <c r="AU161" i="30"/>
  <c r="AT161" i="30"/>
  <c r="AS161" i="30"/>
  <c r="AR161" i="30"/>
  <c r="AQ161" i="30"/>
  <c r="W161" i="30"/>
  <c r="X161" i="30" s="1"/>
  <c r="H161" i="30"/>
  <c r="J161" i="30" s="1"/>
  <c r="BK160" i="30"/>
  <c r="BJ160" i="30"/>
  <c r="BI160" i="30"/>
  <c r="BH160" i="30"/>
  <c r="BG160" i="30"/>
  <c r="BF160" i="30"/>
  <c r="BC160" i="30"/>
  <c r="BA160" i="30"/>
  <c r="AY160" i="30"/>
  <c r="AX160" i="30"/>
  <c r="AW160" i="30"/>
  <c r="AU160" i="30"/>
  <c r="AT160" i="30"/>
  <c r="AS160" i="30"/>
  <c r="AR160" i="30"/>
  <c r="AQ160" i="30"/>
  <c r="W160" i="30"/>
  <c r="X160" i="30" s="1"/>
  <c r="H160" i="30"/>
  <c r="J160" i="30" s="1"/>
  <c r="BK159" i="30"/>
  <c r="BJ159" i="30"/>
  <c r="BI159" i="30"/>
  <c r="BH159" i="30"/>
  <c r="BG159" i="30"/>
  <c r="BF159" i="30"/>
  <c r="BC159" i="30"/>
  <c r="BA159" i="30"/>
  <c r="AY159" i="30"/>
  <c r="AX159" i="30"/>
  <c r="AW159" i="30"/>
  <c r="AU159" i="30"/>
  <c r="AT159" i="30"/>
  <c r="AS159" i="30"/>
  <c r="AR159" i="30"/>
  <c r="AQ159" i="30"/>
  <c r="W159" i="30"/>
  <c r="X159" i="30" s="1"/>
  <c r="H159" i="30"/>
  <c r="J159" i="30" s="1"/>
  <c r="T159" i="30" s="1"/>
  <c r="BE159" i="30" s="1"/>
  <c r="BK158" i="30"/>
  <c r="BJ158" i="30"/>
  <c r="BI158" i="30"/>
  <c r="BH158" i="30"/>
  <c r="BG158" i="30"/>
  <c r="BF158" i="30"/>
  <c r="BC158" i="30"/>
  <c r="BA158" i="30"/>
  <c r="AY158" i="30"/>
  <c r="AX158" i="30"/>
  <c r="AW158" i="30"/>
  <c r="AU158" i="30"/>
  <c r="AT158" i="30"/>
  <c r="AS158" i="30"/>
  <c r="AR158" i="30"/>
  <c r="AQ158" i="30"/>
  <c r="W158" i="30"/>
  <c r="X158" i="30" s="1"/>
  <c r="H158" i="30"/>
  <c r="J158" i="30" s="1"/>
  <c r="T158" i="30" s="1"/>
  <c r="BE158" i="30" s="1"/>
  <c r="BK157" i="30"/>
  <c r="BJ157" i="30"/>
  <c r="BI157" i="30"/>
  <c r="BH157" i="30"/>
  <c r="BG157" i="30"/>
  <c r="BF157" i="30"/>
  <c r="BC157" i="30"/>
  <c r="BA157" i="30"/>
  <c r="AY157" i="30"/>
  <c r="AX157" i="30"/>
  <c r="AW157" i="30"/>
  <c r="AU157" i="30"/>
  <c r="AT157" i="30"/>
  <c r="AS157" i="30"/>
  <c r="AR157" i="30"/>
  <c r="AQ157" i="30"/>
  <c r="W157" i="30"/>
  <c r="X157" i="30" s="1"/>
  <c r="H157" i="30"/>
  <c r="J157" i="30" s="1"/>
  <c r="BK156" i="30"/>
  <c r="BJ156" i="30"/>
  <c r="BI156" i="30"/>
  <c r="BH156" i="30"/>
  <c r="BG156" i="30"/>
  <c r="BF156" i="30"/>
  <c r="BC156" i="30"/>
  <c r="BA156" i="30"/>
  <c r="AY156" i="30"/>
  <c r="AX156" i="30"/>
  <c r="AW156" i="30"/>
  <c r="AU156" i="30"/>
  <c r="AT156" i="30"/>
  <c r="AS156" i="30"/>
  <c r="AR156" i="30"/>
  <c r="AQ156" i="30"/>
  <c r="W156" i="30"/>
  <c r="X156" i="30" s="1"/>
  <c r="H156" i="30"/>
  <c r="J156" i="30" s="1"/>
  <c r="BK155" i="30"/>
  <c r="BJ155" i="30"/>
  <c r="BI155" i="30"/>
  <c r="BH155" i="30"/>
  <c r="BG155" i="30"/>
  <c r="BF155" i="30"/>
  <c r="BC155" i="30"/>
  <c r="BA155" i="30"/>
  <c r="AY155" i="30"/>
  <c r="AX155" i="30"/>
  <c r="AW155" i="30"/>
  <c r="AU155" i="30"/>
  <c r="AT155" i="30"/>
  <c r="AS155" i="30"/>
  <c r="AR155" i="30"/>
  <c r="AQ155" i="30"/>
  <c r="W155" i="30"/>
  <c r="X155" i="30" s="1"/>
  <c r="H155" i="30"/>
  <c r="J155" i="30" s="1"/>
  <c r="L155" i="30" s="1"/>
  <c r="BK154" i="30"/>
  <c r="BJ154" i="30"/>
  <c r="BI154" i="30"/>
  <c r="BH154" i="30"/>
  <c r="BG154" i="30"/>
  <c r="BF154" i="30"/>
  <c r="BC154" i="30"/>
  <c r="BA154" i="30"/>
  <c r="AY154" i="30"/>
  <c r="AX154" i="30"/>
  <c r="AW154" i="30"/>
  <c r="AU154" i="30"/>
  <c r="AT154" i="30"/>
  <c r="AS154" i="30"/>
  <c r="AR154" i="30"/>
  <c r="AQ154" i="30"/>
  <c r="W154" i="30"/>
  <c r="X154" i="30" s="1"/>
  <c r="H154" i="30"/>
  <c r="J154" i="30" s="1"/>
  <c r="BK153" i="30"/>
  <c r="BJ153" i="30"/>
  <c r="BI153" i="30"/>
  <c r="BH153" i="30"/>
  <c r="BG153" i="30"/>
  <c r="BF153" i="30"/>
  <c r="BC153" i="30"/>
  <c r="BA153" i="30"/>
  <c r="AY153" i="30"/>
  <c r="AX153" i="30"/>
  <c r="AW153" i="30"/>
  <c r="AU153" i="30"/>
  <c r="AT153" i="30"/>
  <c r="AS153" i="30"/>
  <c r="AR153" i="30"/>
  <c r="AQ153" i="30"/>
  <c r="W153" i="30"/>
  <c r="X153" i="30" s="1"/>
  <c r="Y153" i="30" s="1"/>
  <c r="BQ153" i="30" s="1"/>
  <c r="H153" i="30"/>
  <c r="J153" i="30" s="1"/>
  <c r="BK152" i="30"/>
  <c r="BJ152" i="30"/>
  <c r="BI152" i="30"/>
  <c r="BH152" i="30"/>
  <c r="BG152" i="30"/>
  <c r="BF152" i="30"/>
  <c r="BC152" i="30"/>
  <c r="BA152" i="30"/>
  <c r="AY152" i="30"/>
  <c r="AX152" i="30"/>
  <c r="AW152" i="30"/>
  <c r="AU152" i="30"/>
  <c r="AT152" i="30"/>
  <c r="AS152" i="30"/>
  <c r="AR152" i="30"/>
  <c r="AQ152" i="30"/>
  <c r="W152" i="30"/>
  <c r="X152" i="30" s="1"/>
  <c r="H152" i="30"/>
  <c r="J152" i="30" s="1"/>
  <c r="L152" i="30" s="1"/>
  <c r="BK151" i="30"/>
  <c r="BJ151" i="30"/>
  <c r="BI151" i="30"/>
  <c r="BH151" i="30"/>
  <c r="BG151" i="30"/>
  <c r="BF151" i="30"/>
  <c r="BC151" i="30"/>
  <c r="BA151" i="30"/>
  <c r="AY151" i="30"/>
  <c r="AX151" i="30"/>
  <c r="AW151" i="30"/>
  <c r="AU151" i="30"/>
  <c r="AT151" i="30"/>
  <c r="AS151" i="30"/>
  <c r="AR151" i="30"/>
  <c r="AQ151" i="30"/>
  <c r="W151" i="30"/>
  <c r="X151" i="30" s="1"/>
  <c r="H151" i="30"/>
  <c r="J151" i="30" s="1"/>
  <c r="BK150" i="30"/>
  <c r="BJ150" i="30"/>
  <c r="BI150" i="30"/>
  <c r="BH150" i="30"/>
  <c r="BG150" i="30"/>
  <c r="BF150" i="30"/>
  <c r="BD150" i="30"/>
  <c r="BC150" i="30"/>
  <c r="BA150" i="30"/>
  <c r="AY150" i="30"/>
  <c r="AX150" i="30"/>
  <c r="AW150" i="30"/>
  <c r="AU150" i="30"/>
  <c r="AT150" i="30"/>
  <c r="AS150" i="30"/>
  <c r="AR150" i="30"/>
  <c r="AQ150" i="30"/>
  <c r="W150" i="30"/>
  <c r="H150" i="30"/>
  <c r="J150" i="30" s="1"/>
  <c r="BK149" i="30"/>
  <c r="BJ149" i="30"/>
  <c r="BI149" i="30"/>
  <c r="BH149" i="30"/>
  <c r="BG149" i="30"/>
  <c r="BF149" i="30"/>
  <c r="BC149" i="30"/>
  <c r="BA149" i="30"/>
  <c r="AY149" i="30"/>
  <c r="AX149" i="30"/>
  <c r="AW149" i="30"/>
  <c r="AU149" i="30"/>
  <c r="AT149" i="30"/>
  <c r="AS149" i="30"/>
  <c r="AR149" i="30"/>
  <c r="AQ149" i="30"/>
  <c r="W149" i="30"/>
  <c r="X149" i="30" s="1"/>
  <c r="H149" i="30"/>
  <c r="J149" i="30" s="1"/>
  <c r="BK148" i="30"/>
  <c r="BJ148" i="30"/>
  <c r="BI148" i="30"/>
  <c r="BH148" i="30"/>
  <c r="BG148" i="30"/>
  <c r="BF148" i="30"/>
  <c r="BC148" i="30"/>
  <c r="BA148" i="30"/>
  <c r="AY148" i="30"/>
  <c r="AX148" i="30"/>
  <c r="AW148" i="30"/>
  <c r="AU148" i="30"/>
  <c r="AT148" i="30"/>
  <c r="AS148" i="30"/>
  <c r="AR148" i="30"/>
  <c r="AQ148" i="30"/>
  <c r="W148" i="30"/>
  <c r="X148" i="30" s="1"/>
  <c r="H148" i="30"/>
  <c r="J148" i="30" s="1"/>
  <c r="BK147" i="30"/>
  <c r="BJ147" i="30"/>
  <c r="BI147" i="30"/>
  <c r="BH147" i="30"/>
  <c r="BG147" i="30"/>
  <c r="BF147" i="30"/>
  <c r="BC147" i="30"/>
  <c r="BA147" i="30"/>
  <c r="AY147" i="30"/>
  <c r="AX147" i="30"/>
  <c r="AW147" i="30"/>
  <c r="AU147" i="30"/>
  <c r="AT147" i="30"/>
  <c r="AS147" i="30"/>
  <c r="AR147" i="30"/>
  <c r="AQ147" i="30"/>
  <c r="W147" i="30"/>
  <c r="X147" i="30" s="1"/>
  <c r="H147" i="30"/>
  <c r="J147" i="30" s="1"/>
  <c r="T147" i="30" s="1"/>
  <c r="BE147" i="30" s="1"/>
  <c r="BK146" i="30"/>
  <c r="BJ146" i="30"/>
  <c r="BI146" i="30"/>
  <c r="BH146" i="30"/>
  <c r="BG146" i="30"/>
  <c r="BF146" i="30"/>
  <c r="BC146" i="30"/>
  <c r="BA146" i="30"/>
  <c r="AY146" i="30"/>
  <c r="AX146" i="30"/>
  <c r="AW146" i="30"/>
  <c r="AU146" i="30"/>
  <c r="AT146" i="30"/>
  <c r="AS146" i="30"/>
  <c r="AR146" i="30"/>
  <c r="AQ146" i="30"/>
  <c r="W146" i="30"/>
  <c r="X146" i="30" s="1"/>
  <c r="H146" i="30"/>
  <c r="J146" i="30" s="1"/>
  <c r="BK145" i="30"/>
  <c r="BJ145" i="30"/>
  <c r="BI145" i="30"/>
  <c r="BH145" i="30"/>
  <c r="BG145" i="30"/>
  <c r="BF145" i="30"/>
  <c r="BC145" i="30"/>
  <c r="BA145" i="30"/>
  <c r="AY145" i="30"/>
  <c r="AX145" i="30"/>
  <c r="AW145" i="30"/>
  <c r="AU145" i="30"/>
  <c r="AT145" i="30"/>
  <c r="AS145" i="30"/>
  <c r="AR145" i="30"/>
  <c r="AQ145" i="30"/>
  <c r="W145" i="30"/>
  <c r="X145" i="30" s="1"/>
  <c r="H145" i="30"/>
  <c r="J145" i="30" s="1"/>
  <c r="BK144" i="30"/>
  <c r="BJ144" i="30"/>
  <c r="BI144" i="30"/>
  <c r="BH144" i="30"/>
  <c r="BG144" i="30"/>
  <c r="BF144" i="30"/>
  <c r="BC144" i="30"/>
  <c r="BA144" i="30"/>
  <c r="AY144" i="30"/>
  <c r="AX144" i="30"/>
  <c r="AW144" i="30"/>
  <c r="AU144" i="30"/>
  <c r="AT144" i="30"/>
  <c r="AS144" i="30"/>
  <c r="AR144" i="30"/>
  <c r="AQ144" i="30"/>
  <c r="W144" i="30"/>
  <c r="X144" i="30" s="1"/>
  <c r="H144" i="30"/>
  <c r="J144" i="30" s="1"/>
  <c r="BK143" i="30"/>
  <c r="BJ143" i="30"/>
  <c r="BI143" i="30"/>
  <c r="BH143" i="30"/>
  <c r="BG143" i="30"/>
  <c r="BF143" i="30"/>
  <c r="BC143" i="30"/>
  <c r="BA143" i="30"/>
  <c r="AY143" i="30"/>
  <c r="AX143" i="30"/>
  <c r="AW143" i="30"/>
  <c r="AU143" i="30"/>
  <c r="AT143" i="30"/>
  <c r="AS143" i="30"/>
  <c r="AR143" i="30"/>
  <c r="AQ143" i="30"/>
  <c r="W143" i="30"/>
  <c r="X143" i="30" s="1"/>
  <c r="H143" i="30"/>
  <c r="J143" i="30" s="1"/>
  <c r="BK142" i="30"/>
  <c r="BJ142" i="30"/>
  <c r="BI142" i="30"/>
  <c r="BH142" i="30"/>
  <c r="BG142" i="30"/>
  <c r="BF142" i="30"/>
  <c r="BC142" i="30"/>
  <c r="BA142" i="30"/>
  <c r="AY142" i="30"/>
  <c r="AX142" i="30"/>
  <c r="AW142" i="30"/>
  <c r="AU142" i="30"/>
  <c r="AT142" i="30"/>
  <c r="AS142" i="30"/>
  <c r="AR142" i="30"/>
  <c r="AQ142" i="30"/>
  <c r="W142" i="30"/>
  <c r="X142" i="30" s="1"/>
  <c r="H142" i="30"/>
  <c r="J142" i="30" s="1"/>
  <c r="BK141" i="30"/>
  <c r="BJ141" i="30"/>
  <c r="BI141" i="30"/>
  <c r="BH141" i="30"/>
  <c r="BG141" i="30"/>
  <c r="BF141" i="30"/>
  <c r="BC141" i="30"/>
  <c r="BA141" i="30"/>
  <c r="AY141" i="30"/>
  <c r="AX141" i="30"/>
  <c r="AW141" i="30"/>
  <c r="AU141" i="30"/>
  <c r="AT141" i="30"/>
  <c r="AS141" i="30"/>
  <c r="AR141" i="30"/>
  <c r="AQ141" i="30"/>
  <c r="W141" i="30"/>
  <c r="X141" i="30" s="1"/>
  <c r="H141" i="30"/>
  <c r="J141" i="30" s="1"/>
  <c r="BK140" i="30"/>
  <c r="BJ140" i="30"/>
  <c r="BI140" i="30"/>
  <c r="BH140" i="30"/>
  <c r="BG140" i="30"/>
  <c r="BF140" i="30"/>
  <c r="BC140" i="30"/>
  <c r="BA140" i="30"/>
  <c r="AY140" i="30"/>
  <c r="AX140" i="30"/>
  <c r="AW140" i="30"/>
  <c r="AU140" i="30"/>
  <c r="AT140" i="30"/>
  <c r="AS140" i="30"/>
  <c r="AR140" i="30"/>
  <c r="AQ140" i="30"/>
  <c r="W140" i="30"/>
  <c r="X140" i="30" s="1"/>
  <c r="H140" i="30"/>
  <c r="J140" i="30" s="1"/>
  <c r="BK139" i="30"/>
  <c r="BJ139" i="30"/>
  <c r="BI139" i="30"/>
  <c r="BH139" i="30"/>
  <c r="BG139" i="30"/>
  <c r="BF139" i="30"/>
  <c r="BC139" i="30"/>
  <c r="BA139" i="30"/>
  <c r="AY139" i="30"/>
  <c r="AX139" i="30"/>
  <c r="AW139" i="30"/>
  <c r="AU139" i="30"/>
  <c r="AT139" i="30"/>
  <c r="AS139" i="30"/>
  <c r="AR139" i="30"/>
  <c r="AQ139" i="30"/>
  <c r="W139" i="30"/>
  <c r="X139" i="30" s="1"/>
  <c r="H139" i="30"/>
  <c r="J139" i="30" s="1"/>
  <c r="L139" i="30" s="1"/>
  <c r="BK138" i="30"/>
  <c r="BJ138" i="30"/>
  <c r="BI138" i="30"/>
  <c r="BH138" i="30"/>
  <c r="BG138" i="30"/>
  <c r="BF138" i="30"/>
  <c r="BC138" i="30"/>
  <c r="BA138" i="30"/>
  <c r="AY138" i="30"/>
  <c r="AX138" i="30"/>
  <c r="AW138" i="30"/>
  <c r="AU138" i="30"/>
  <c r="AT138" i="30"/>
  <c r="AS138" i="30"/>
  <c r="AR138" i="30"/>
  <c r="AQ138" i="30"/>
  <c r="W138" i="30"/>
  <c r="X138" i="30" s="1"/>
  <c r="H138" i="30"/>
  <c r="J138" i="30" s="1"/>
  <c r="BK137" i="30"/>
  <c r="BJ137" i="30"/>
  <c r="BI137" i="30"/>
  <c r="BH137" i="30"/>
  <c r="BG137" i="30"/>
  <c r="BF137" i="30"/>
  <c r="BC137" i="30"/>
  <c r="BA137" i="30"/>
  <c r="AY137" i="30"/>
  <c r="AX137" i="30"/>
  <c r="AW137" i="30"/>
  <c r="AU137" i="30"/>
  <c r="AT137" i="30"/>
  <c r="AS137" i="30"/>
  <c r="AR137" i="30"/>
  <c r="AQ137" i="30"/>
  <c r="W137" i="30"/>
  <c r="X137" i="30" s="1"/>
  <c r="H137" i="30"/>
  <c r="J137" i="30" s="1"/>
  <c r="T137" i="30" s="1"/>
  <c r="BE137" i="30" s="1"/>
  <c r="BK136" i="30"/>
  <c r="BJ136" i="30"/>
  <c r="BI136" i="30"/>
  <c r="BH136" i="30"/>
  <c r="BG136" i="30"/>
  <c r="BF136" i="30"/>
  <c r="BC136" i="30"/>
  <c r="BA136" i="30"/>
  <c r="AY136" i="30"/>
  <c r="AX136" i="30"/>
  <c r="AW136" i="30"/>
  <c r="AU136" i="30"/>
  <c r="AT136" i="30"/>
  <c r="AS136" i="30"/>
  <c r="AR136" i="30"/>
  <c r="AQ136" i="30"/>
  <c r="W136" i="30"/>
  <c r="X136" i="30" s="1"/>
  <c r="H136" i="30"/>
  <c r="J136" i="30" s="1"/>
  <c r="BK135" i="30"/>
  <c r="BJ135" i="30"/>
  <c r="BI135" i="30"/>
  <c r="BH135" i="30"/>
  <c r="BG135" i="30"/>
  <c r="BF135" i="30"/>
  <c r="BC135" i="30"/>
  <c r="BA135" i="30"/>
  <c r="AY135" i="30"/>
  <c r="AX135" i="30"/>
  <c r="AW135" i="30"/>
  <c r="AU135" i="30"/>
  <c r="AT135" i="30"/>
  <c r="AS135" i="30"/>
  <c r="AR135" i="30"/>
  <c r="AQ135" i="30"/>
  <c r="W135" i="30"/>
  <c r="X135" i="30" s="1"/>
  <c r="H135" i="30"/>
  <c r="J135" i="30" s="1"/>
  <c r="BK134" i="30"/>
  <c r="BJ134" i="30"/>
  <c r="BI134" i="30"/>
  <c r="BH134" i="30"/>
  <c r="BG134" i="30"/>
  <c r="BF134" i="30"/>
  <c r="BC134" i="30"/>
  <c r="BA134" i="30"/>
  <c r="AY134" i="30"/>
  <c r="AX134" i="30"/>
  <c r="AW134" i="30"/>
  <c r="AU134" i="30"/>
  <c r="AT134" i="30"/>
  <c r="AS134" i="30"/>
  <c r="AR134" i="30"/>
  <c r="AQ134" i="30"/>
  <c r="W134" i="30"/>
  <c r="X134" i="30" s="1"/>
  <c r="H134" i="30"/>
  <c r="J134" i="30" s="1"/>
  <c r="T134" i="30" s="1"/>
  <c r="BE134" i="30" s="1"/>
  <c r="BK133" i="30"/>
  <c r="BJ133" i="30"/>
  <c r="BI133" i="30"/>
  <c r="BH133" i="30"/>
  <c r="BG133" i="30"/>
  <c r="BF133" i="30"/>
  <c r="BC133" i="30"/>
  <c r="BA133" i="30"/>
  <c r="AY133" i="30"/>
  <c r="AX133" i="30"/>
  <c r="AW133" i="30"/>
  <c r="AU133" i="30"/>
  <c r="AT133" i="30"/>
  <c r="AS133" i="30"/>
  <c r="AR133" i="30"/>
  <c r="AQ133" i="30"/>
  <c r="W133" i="30"/>
  <c r="X133" i="30" s="1"/>
  <c r="H133" i="30"/>
  <c r="J133" i="30" s="1"/>
  <c r="BK132" i="30"/>
  <c r="BJ132" i="30"/>
  <c r="BI132" i="30"/>
  <c r="BH132" i="30"/>
  <c r="BG132" i="30"/>
  <c r="BF132" i="30"/>
  <c r="BC132" i="30"/>
  <c r="BA132" i="30"/>
  <c r="AY132" i="30"/>
  <c r="AX132" i="30"/>
  <c r="AW132" i="30"/>
  <c r="AU132" i="30"/>
  <c r="AT132" i="30"/>
  <c r="AS132" i="30"/>
  <c r="AR132" i="30"/>
  <c r="AQ132" i="30"/>
  <c r="W132" i="30"/>
  <c r="X132" i="30" s="1"/>
  <c r="H132" i="30"/>
  <c r="J132" i="30" s="1"/>
  <c r="T132" i="30" s="1"/>
  <c r="BE132" i="30" s="1"/>
  <c r="BK131" i="30"/>
  <c r="BJ131" i="30"/>
  <c r="BI131" i="30"/>
  <c r="BH131" i="30"/>
  <c r="BG131" i="30"/>
  <c r="BF131" i="30"/>
  <c r="BC131" i="30"/>
  <c r="BA131" i="30"/>
  <c r="AY131" i="30"/>
  <c r="AX131" i="30"/>
  <c r="AW131" i="30"/>
  <c r="AU131" i="30"/>
  <c r="AT131" i="30"/>
  <c r="AS131" i="30"/>
  <c r="AR131" i="30"/>
  <c r="AQ131" i="30"/>
  <c r="W131" i="30"/>
  <c r="X131" i="30" s="1"/>
  <c r="H131" i="30"/>
  <c r="J131" i="30" s="1"/>
  <c r="T131" i="30" s="1"/>
  <c r="BE131" i="30" s="1"/>
  <c r="BK130" i="30"/>
  <c r="BJ130" i="30"/>
  <c r="BI130" i="30"/>
  <c r="BH130" i="30"/>
  <c r="BG130" i="30"/>
  <c r="BF130" i="30"/>
  <c r="BC130" i="30"/>
  <c r="BA130" i="30"/>
  <c r="AY130" i="30"/>
  <c r="AX130" i="30"/>
  <c r="AW130" i="30"/>
  <c r="AU130" i="30"/>
  <c r="AT130" i="30"/>
  <c r="AS130" i="30"/>
  <c r="AR130" i="30"/>
  <c r="AQ130" i="30"/>
  <c r="W130" i="30"/>
  <c r="X130" i="30" s="1"/>
  <c r="H130" i="30"/>
  <c r="J130" i="30" s="1"/>
  <c r="T130" i="30" s="1"/>
  <c r="BE130" i="30" s="1"/>
  <c r="BK129" i="30"/>
  <c r="BJ129" i="30"/>
  <c r="BI129" i="30"/>
  <c r="BH129" i="30"/>
  <c r="BG129" i="30"/>
  <c r="BF129" i="30"/>
  <c r="BC129" i="30"/>
  <c r="BA129" i="30"/>
  <c r="AY129" i="30"/>
  <c r="AX129" i="30"/>
  <c r="AW129" i="30"/>
  <c r="AU129" i="30"/>
  <c r="AT129" i="30"/>
  <c r="AS129" i="30"/>
  <c r="AR129" i="30"/>
  <c r="AQ129" i="30"/>
  <c r="W129" i="30"/>
  <c r="X129" i="30" s="1"/>
  <c r="H129" i="30"/>
  <c r="J129" i="30" s="1"/>
  <c r="BK128" i="30"/>
  <c r="BJ128" i="30"/>
  <c r="BI128" i="30"/>
  <c r="BH128" i="30"/>
  <c r="BG128" i="30"/>
  <c r="BF128" i="30"/>
  <c r="BC128" i="30"/>
  <c r="BA128" i="30"/>
  <c r="AY128" i="30"/>
  <c r="AX128" i="30"/>
  <c r="AW128" i="30"/>
  <c r="AU128" i="30"/>
  <c r="AT128" i="30"/>
  <c r="AS128" i="30"/>
  <c r="AR128" i="30"/>
  <c r="AQ128" i="30"/>
  <c r="W128" i="30"/>
  <c r="X128" i="30" s="1"/>
  <c r="H128" i="30"/>
  <c r="J128" i="30" s="1"/>
  <c r="L128" i="30" s="1"/>
  <c r="BK127" i="30"/>
  <c r="BJ127" i="30"/>
  <c r="BI127" i="30"/>
  <c r="BH127" i="30"/>
  <c r="BG127" i="30"/>
  <c r="BF127" i="30"/>
  <c r="BC127" i="30"/>
  <c r="BA127" i="30"/>
  <c r="AY127" i="30"/>
  <c r="AX127" i="30"/>
  <c r="AW127" i="30"/>
  <c r="AU127" i="30"/>
  <c r="AT127" i="30"/>
  <c r="AS127" i="30"/>
  <c r="AR127" i="30"/>
  <c r="AQ127" i="30"/>
  <c r="W127" i="30"/>
  <c r="X127" i="30" s="1"/>
  <c r="H127" i="30"/>
  <c r="J127" i="30" s="1"/>
  <c r="T127" i="30" s="1"/>
  <c r="BE127" i="30" s="1"/>
  <c r="BK126" i="30"/>
  <c r="BJ126" i="30"/>
  <c r="BI126" i="30"/>
  <c r="BH126" i="30"/>
  <c r="BG126" i="30"/>
  <c r="BF126" i="30"/>
  <c r="BC126" i="30"/>
  <c r="BA126" i="30"/>
  <c r="AY126" i="30"/>
  <c r="AX126" i="30"/>
  <c r="AW126" i="30"/>
  <c r="AU126" i="30"/>
  <c r="AT126" i="30"/>
  <c r="AS126" i="30"/>
  <c r="AR126" i="30"/>
  <c r="AQ126" i="30"/>
  <c r="W126" i="30"/>
  <c r="X126" i="30" s="1"/>
  <c r="H126" i="30"/>
  <c r="J126" i="30" s="1"/>
  <c r="T126" i="30" s="1"/>
  <c r="BE126" i="30" s="1"/>
  <c r="BK125" i="30"/>
  <c r="BJ125" i="30"/>
  <c r="BI125" i="30"/>
  <c r="BH125" i="30"/>
  <c r="BG125" i="30"/>
  <c r="BF125" i="30"/>
  <c r="BC125" i="30"/>
  <c r="BA125" i="30"/>
  <c r="AY125" i="30"/>
  <c r="AX125" i="30"/>
  <c r="AW125" i="30"/>
  <c r="AU125" i="30"/>
  <c r="AT125" i="30"/>
  <c r="AS125" i="30"/>
  <c r="AR125" i="30"/>
  <c r="AQ125" i="30"/>
  <c r="W125" i="30"/>
  <c r="X125" i="30" s="1"/>
  <c r="H125" i="30"/>
  <c r="J125" i="30" s="1"/>
  <c r="BK124" i="30"/>
  <c r="BJ124" i="30"/>
  <c r="BI124" i="30"/>
  <c r="BH124" i="30"/>
  <c r="BG124" i="30"/>
  <c r="BF124" i="30"/>
  <c r="BC124" i="30"/>
  <c r="BA124" i="30"/>
  <c r="AY124" i="30"/>
  <c r="AX124" i="30"/>
  <c r="AW124" i="30"/>
  <c r="AU124" i="30"/>
  <c r="AT124" i="30"/>
  <c r="AS124" i="30"/>
  <c r="AR124" i="30"/>
  <c r="AQ124" i="30"/>
  <c r="W124" i="30"/>
  <c r="X124" i="30" s="1"/>
  <c r="H124" i="30"/>
  <c r="J124" i="30" s="1"/>
  <c r="T124" i="30" s="1"/>
  <c r="BK123" i="30"/>
  <c r="BJ123" i="30"/>
  <c r="BI123" i="30"/>
  <c r="BH123" i="30"/>
  <c r="BG123" i="30"/>
  <c r="BF123" i="30"/>
  <c r="BC123" i="30"/>
  <c r="BA123" i="30"/>
  <c r="AY123" i="30"/>
  <c r="AX123" i="30"/>
  <c r="AW123" i="30"/>
  <c r="AU123" i="30"/>
  <c r="AT123" i="30"/>
  <c r="AS123" i="30"/>
  <c r="AR123" i="30"/>
  <c r="AQ123" i="30"/>
  <c r="W123" i="30"/>
  <c r="X123" i="30" s="1"/>
  <c r="H123" i="30"/>
  <c r="J123" i="30" s="1"/>
  <c r="BK122" i="30"/>
  <c r="BJ122" i="30"/>
  <c r="BI122" i="30"/>
  <c r="BH122" i="30"/>
  <c r="BG122" i="30"/>
  <c r="BF122" i="30"/>
  <c r="BC122" i="30"/>
  <c r="BA122" i="30"/>
  <c r="AZ122" i="30"/>
  <c r="AY122" i="30"/>
  <c r="AX122" i="30"/>
  <c r="AW122" i="30"/>
  <c r="AU122" i="30"/>
  <c r="AT122" i="30"/>
  <c r="AS122" i="30"/>
  <c r="AR122" i="30"/>
  <c r="AQ122" i="30"/>
  <c r="W122" i="30"/>
  <c r="X122" i="30" s="1"/>
  <c r="H122" i="30"/>
  <c r="J122" i="30" s="1"/>
  <c r="L122" i="30" s="1"/>
  <c r="BK121" i="30"/>
  <c r="BJ121" i="30"/>
  <c r="BI121" i="30"/>
  <c r="BH121" i="30"/>
  <c r="BG121" i="30"/>
  <c r="BF121" i="30"/>
  <c r="BC121" i="30"/>
  <c r="BA121" i="30"/>
  <c r="AZ121" i="30"/>
  <c r="AY121" i="30"/>
  <c r="AX121" i="30"/>
  <c r="AW121" i="30"/>
  <c r="AU121" i="30"/>
  <c r="AT121" i="30"/>
  <c r="AS121" i="30"/>
  <c r="AR121" i="30"/>
  <c r="AQ121" i="30"/>
  <c r="W121" i="30"/>
  <c r="X121" i="30" s="1"/>
  <c r="H121" i="30"/>
  <c r="J121" i="30" s="1"/>
  <c r="L121" i="30" s="1"/>
  <c r="BK120" i="30"/>
  <c r="BJ120" i="30"/>
  <c r="BI120" i="30"/>
  <c r="BH120" i="30"/>
  <c r="BG120" i="30"/>
  <c r="BF120" i="30"/>
  <c r="BC120" i="30"/>
  <c r="BA120" i="30"/>
  <c r="AZ120" i="30"/>
  <c r="AY120" i="30"/>
  <c r="AX120" i="30"/>
  <c r="AW120" i="30"/>
  <c r="AU120" i="30"/>
  <c r="AT120" i="30"/>
  <c r="AS120" i="30"/>
  <c r="AR120" i="30"/>
  <c r="AQ120" i="30"/>
  <c r="W120" i="30"/>
  <c r="X120" i="30" s="1"/>
  <c r="Y120" i="30" s="1"/>
  <c r="BQ120" i="30" s="1"/>
  <c r="H120" i="30"/>
  <c r="J120" i="30" s="1"/>
  <c r="L120" i="30" s="1"/>
  <c r="BK119" i="30"/>
  <c r="BJ119" i="30"/>
  <c r="BI119" i="30"/>
  <c r="BH119" i="30"/>
  <c r="BG119" i="30"/>
  <c r="BF119" i="30"/>
  <c r="BC119" i="30"/>
  <c r="BA119" i="30"/>
  <c r="AZ119" i="30"/>
  <c r="AY119" i="30"/>
  <c r="AX119" i="30"/>
  <c r="AW119" i="30"/>
  <c r="AU119" i="30"/>
  <c r="AT119" i="30"/>
  <c r="AS119" i="30"/>
  <c r="AR119" i="30"/>
  <c r="AQ119" i="30"/>
  <c r="W119" i="30"/>
  <c r="X119" i="30" s="1"/>
  <c r="H119" i="30"/>
  <c r="J119" i="30" s="1"/>
  <c r="BK118" i="30"/>
  <c r="BJ118" i="30"/>
  <c r="BI118" i="30"/>
  <c r="BH118" i="30"/>
  <c r="BG118" i="30"/>
  <c r="BF118" i="30"/>
  <c r="BC118" i="30"/>
  <c r="BA118" i="30"/>
  <c r="AZ118" i="30"/>
  <c r="AY118" i="30"/>
  <c r="AX118" i="30"/>
  <c r="AW118" i="30"/>
  <c r="AU118" i="30"/>
  <c r="AT118" i="30"/>
  <c r="AS118" i="30"/>
  <c r="AR118" i="30"/>
  <c r="AQ118" i="30"/>
  <c r="W118" i="30"/>
  <c r="X118" i="30" s="1"/>
  <c r="H118" i="30"/>
  <c r="J118" i="30" s="1"/>
  <c r="BK117" i="30"/>
  <c r="BJ117" i="30"/>
  <c r="BI117" i="30"/>
  <c r="BH117" i="30"/>
  <c r="BG117" i="30"/>
  <c r="BF117" i="30"/>
  <c r="BC117" i="30"/>
  <c r="BA117" i="30"/>
  <c r="AZ117" i="30"/>
  <c r="AY117" i="30"/>
  <c r="AX117" i="30"/>
  <c r="AW117" i="30"/>
  <c r="AU117" i="30"/>
  <c r="AT117" i="30"/>
  <c r="AS117" i="30"/>
  <c r="AR117" i="30"/>
  <c r="AQ117" i="30"/>
  <c r="W117" i="30"/>
  <c r="X117" i="30" s="1"/>
  <c r="H117" i="30"/>
  <c r="J117" i="30" s="1"/>
  <c r="BK116" i="30"/>
  <c r="BJ116" i="30"/>
  <c r="BI116" i="30"/>
  <c r="BH116" i="30"/>
  <c r="BG116" i="30"/>
  <c r="BF116" i="30"/>
  <c r="BC116" i="30"/>
  <c r="BA116" i="30"/>
  <c r="AZ116" i="30"/>
  <c r="AY116" i="30"/>
  <c r="AX116" i="30"/>
  <c r="AW116" i="30"/>
  <c r="AU116" i="30"/>
  <c r="AT116" i="30"/>
  <c r="AS116" i="30"/>
  <c r="AR116" i="30"/>
  <c r="AQ116" i="30"/>
  <c r="W116" i="30"/>
  <c r="X116" i="30" s="1"/>
  <c r="Y116" i="30" s="1"/>
  <c r="BQ116" i="30" s="1"/>
  <c r="H116" i="30"/>
  <c r="J116" i="30" s="1"/>
  <c r="L116" i="30" s="1"/>
  <c r="BK115" i="30"/>
  <c r="BJ115" i="30"/>
  <c r="BI115" i="30"/>
  <c r="BH115" i="30"/>
  <c r="BG115" i="30"/>
  <c r="BF115" i="30"/>
  <c r="BC115" i="30"/>
  <c r="BA115" i="30"/>
  <c r="AZ115" i="30"/>
  <c r="AY115" i="30"/>
  <c r="AX115" i="30"/>
  <c r="AW115" i="30"/>
  <c r="AU115" i="30"/>
  <c r="AT115" i="30"/>
  <c r="AS115" i="30"/>
  <c r="AR115" i="30"/>
  <c r="AQ115" i="30"/>
  <c r="W115" i="30"/>
  <c r="X115" i="30" s="1"/>
  <c r="H115" i="30"/>
  <c r="J115" i="30" s="1"/>
  <c r="BK114" i="30"/>
  <c r="BJ114" i="30"/>
  <c r="BI114" i="30"/>
  <c r="BH114" i="30"/>
  <c r="BG114" i="30"/>
  <c r="BF114" i="30"/>
  <c r="BC114" i="30"/>
  <c r="BA114" i="30"/>
  <c r="AZ114" i="30"/>
  <c r="AY114" i="30"/>
  <c r="AX114" i="30"/>
  <c r="AW114" i="30"/>
  <c r="AU114" i="30"/>
  <c r="AT114" i="30"/>
  <c r="AS114" i="30"/>
  <c r="AR114" i="30"/>
  <c r="AQ114" i="30"/>
  <c r="W114" i="30"/>
  <c r="X114" i="30" s="1"/>
  <c r="J114" i="30"/>
  <c r="BK113" i="30"/>
  <c r="BJ113" i="30"/>
  <c r="BI113" i="30"/>
  <c r="BH113" i="30"/>
  <c r="BG113" i="30"/>
  <c r="BF113" i="30"/>
  <c r="BC113" i="30"/>
  <c r="BA113" i="30"/>
  <c r="AY113" i="30"/>
  <c r="AX113" i="30"/>
  <c r="AW113" i="30"/>
  <c r="AU113" i="30"/>
  <c r="AT113" i="30"/>
  <c r="AS113" i="30"/>
  <c r="AR113" i="30"/>
  <c r="AQ113" i="30"/>
  <c r="W113" i="30"/>
  <c r="X113" i="30" s="1"/>
  <c r="H113" i="30"/>
  <c r="J113" i="30" s="1"/>
  <c r="BK112" i="30"/>
  <c r="BJ112" i="30"/>
  <c r="BI112" i="30"/>
  <c r="BH112" i="30"/>
  <c r="BG112" i="30"/>
  <c r="BF112" i="30"/>
  <c r="BC112" i="30"/>
  <c r="BA112" i="30"/>
  <c r="AY112" i="30"/>
  <c r="AX112" i="30"/>
  <c r="AW112" i="30"/>
  <c r="AU112" i="30"/>
  <c r="AT112" i="30"/>
  <c r="AS112" i="30"/>
  <c r="AR112" i="30"/>
  <c r="AQ112" i="30"/>
  <c r="W112" i="30"/>
  <c r="X112" i="30" s="1"/>
  <c r="H112" i="30"/>
  <c r="J112" i="30" s="1"/>
  <c r="T112" i="30" s="1"/>
  <c r="BE112" i="30" s="1"/>
  <c r="BK111" i="30"/>
  <c r="BJ111" i="30"/>
  <c r="BI111" i="30"/>
  <c r="BH111" i="30"/>
  <c r="BG111" i="30"/>
  <c r="BF111" i="30"/>
  <c r="BC111" i="30"/>
  <c r="BA111" i="30"/>
  <c r="AY111" i="30"/>
  <c r="AX111" i="30"/>
  <c r="AW111" i="30"/>
  <c r="AU111" i="30"/>
  <c r="AT111" i="30"/>
  <c r="AS111" i="30"/>
  <c r="AR111" i="30"/>
  <c r="AQ111" i="30"/>
  <c r="W111" i="30"/>
  <c r="X111" i="30" s="1"/>
  <c r="H111" i="30"/>
  <c r="J111" i="30" s="1"/>
  <c r="BK110" i="30"/>
  <c r="BJ110" i="30"/>
  <c r="BI110" i="30"/>
  <c r="BH110" i="30"/>
  <c r="BG110" i="30"/>
  <c r="BF110" i="30"/>
  <c r="BC110" i="30"/>
  <c r="BA110" i="30"/>
  <c r="AY110" i="30"/>
  <c r="AX110" i="30"/>
  <c r="AW110" i="30"/>
  <c r="AU110" i="30"/>
  <c r="AT110" i="30"/>
  <c r="AS110" i="30"/>
  <c r="AR110" i="30"/>
  <c r="AQ110" i="30"/>
  <c r="W110" i="30"/>
  <c r="X110" i="30" s="1"/>
  <c r="H110" i="30"/>
  <c r="J110" i="30" s="1"/>
  <c r="BK109" i="30"/>
  <c r="BJ109" i="30"/>
  <c r="BI109" i="30"/>
  <c r="BH109" i="30"/>
  <c r="BG109" i="30"/>
  <c r="BF109" i="30"/>
  <c r="BC109" i="30"/>
  <c r="BA109" i="30"/>
  <c r="AY109" i="30"/>
  <c r="AX109" i="30"/>
  <c r="AW109" i="30"/>
  <c r="AU109" i="30"/>
  <c r="AT109" i="30"/>
  <c r="AS109" i="30"/>
  <c r="AR109" i="30"/>
  <c r="AQ109" i="30"/>
  <c r="W109" i="30"/>
  <c r="X109" i="30" s="1"/>
  <c r="H109" i="30"/>
  <c r="J109" i="30" s="1"/>
  <c r="BK108" i="30"/>
  <c r="BJ108" i="30"/>
  <c r="BI108" i="30"/>
  <c r="BH108" i="30"/>
  <c r="BG108" i="30"/>
  <c r="BF108" i="30"/>
  <c r="BC108" i="30"/>
  <c r="BA108" i="30"/>
  <c r="AY108" i="30"/>
  <c r="AX108" i="30"/>
  <c r="AW108" i="30"/>
  <c r="AU108" i="30"/>
  <c r="AT108" i="30"/>
  <c r="AS108" i="30"/>
  <c r="AR108" i="30"/>
  <c r="AQ108" i="30"/>
  <c r="W108" i="30"/>
  <c r="X108" i="30" s="1"/>
  <c r="H108" i="30"/>
  <c r="J108" i="30" s="1"/>
  <c r="BK107" i="30"/>
  <c r="BJ107" i="30"/>
  <c r="BI107" i="30"/>
  <c r="BH107" i="30"/>
  <c r="BG107" i="30"/>
  <c r="BF107" i="30"/>
  <c r="BC107" i="30"/>
  <c r="BA107" i="30"/>
  <c r="AY107" i="30"/>
  <c r="AX107" i="30"/>
  <c r="AW107" i="30"/>
  <c r="AU107" i="30"/>
  <c r="AT107" i="30"/>
  <c r="AS107" i="30"/>
  <c r="AR107" i="30"/>
  <c r="AQ107" i="30"/>
  <c r="W107" i="30"/>
  <c r="X107" i="30" s="1"/>
  <c r="H107" i="30"/>
  <c r="J107" i="30" s="1"/>
  <c r="BK106" i="30"/>
  <c r="BJ106" i="30"/>
  <c r="BI106" i="30"/>
  <c r="BH106" i="30"/>
  <c r="BG106" i="30"/>
  <c r="BF106" i="30"/>
  <c r="BC106" i="30"/>
  <c r="BA106" i="30"/>
  <c r="AY106" i="30"/>
  <c r="AX106" i="30"/>
  <c r="AW106" i="30"/>
  <c r="AU106" i="30"/>
  <c r="AT106" i="30"/>
  <c r="AS106" i="30"/>
  <c r="AR106" i="30"/>
  <c r="AQ106" i="30"/>
  <c r="W106" i="30"/>
  <c r="X106" i="30" s="1"/>
  <c r="H106" i="30"/>
  <c r="J106" i="30" s="1"/>
  <c r="BK105" i="30"/>
  <c r="BJ105" i="30"/>
  <c r="BI105" i="30"/>
  <c r="BH105" i="30"/>
  <c r="BG105" i="30"/>
  <c r="BF105" i="30"/>
  <c r="BC105" i="30"/>
  <c r="BA105" i="30"/>
  <c r="AY105" i="30"/>
  <c r="AX105" i="30"/>
  <c r="AW105" i="30"/>
  <c r="AU105" i="30"/>
  <c r="AT105" i="30"/>
  <c r="AS105" i="30"/>
  <c r="AR105" i="30"/>
  <c r="AQ105" i="30"/>
  <c r="W105" i="30"/>
  <c r="X105" i="30" s="1"/>
  <c r="H105" i="30"/>
  <c r="J105" i="30" s="1"/>
  <c r="T105" i="30" s="1"/>
  <c r="BE105" i="30" s="1"/>
  <c r="BK104" i="30"/>
  <c r="BJ104" i="30"/>
  <c r="BI104" i="30"/>
  <c r="BH104" i="30"/>
  <c r="BG104" i="30"/>
  <c r="BF104" i="30"/>
  <c r="BC104" i="30"/>
  <c r="BA104" i="30"/>
  <c r="AY104" i="30"/>
  <c r="AX104" i="30"/>
  <c r="AW104" i="30"/>
  <c r="AU104" i="30"/>
  <c r="AT104" i="30"/>
  <c r="AS104" i="30"/>
  <c r="AR104" i="30"/>
  <c r="AQ104" i="30"/>
  <c r="W104" i="30"/>
  <c r="X104" i="30" s="1"/>
  <c r="H104" i="30"/>
  <c r="J104" i="30" s="1"/>
  <c r="BK103" i="30"/>
  <c r="BJ103" i="30"/>
  <c r="BI103" i="30"/>
  <c r="BH103" i="30"/>
  <c r="BG103" i="30"/>
  <c r="BF103" i="30"/>
  <c r="BC103" i="30"/>
  <c r="BA103" i="30"/>
  <c r="AY103" i="30"/>
  <c r="AX103" i="30"/>
  <c r="AW103" i="30"/>
  <c r="AU103" i="30"/>
  <c r="AT103" i="30"/>
  <c r="AS103" i="30"/>
  <c r="AR103" i="30"/>
  <c r="AQ103" i="30"/>
  <c r="W103" i="30"/>
  <c r="X103" i="30" s="1"/>
  <c r="H103" i="30"/>
  <c r="J103" i="30" s="1"/>
  <c r="T103" i="30" s="1"/>
  <c r="BE103" i="30" s="1"/>
  <c r="BK102" i="30"/>
  <c r="BJ102" i="30"/>
  <c r="BI102" i="30"/>
  <c r="BH102" i="30"/>
  <c r="BG102" i="30"/>
  <c r="BF102" i="30"/>
  <c r="BC102" i="30"/>
  <c r="BA102" i="30"/>
  <c r="AY102" i="30"/>
  <c r="AX102" i="30"/>
  <c r="AW102" i="30"/>
  <c r="AU102" i="30"/>
  <c r="AT102" i="30"/>
  <c r="AS102" i="30"/>
  <c r="AR102" i="30"/>
  <c r="AQ102" i="30"/>
  <c r="W102" i="30"/>
  <c r="X102" i="30" s="1"/>
  <c r="H102" i="30"/>
  <c r="J102" i="30" s="1"/>
  <c r="T102" i="30" s="1"/>
  <c r="BE102" i="30" s="1"/>
  <c r="BK101" i="30"/>
  <c r="BJ101" i="30"/>
  <c r="BI101" i="30"/>
  <c r="BH101" i="30"/>
  <c r="BG101" i="30"/>
  <c r="BF101" i="30"/>
  <c r="BC101" i="30"/>
  <c r="BA101" i="30"/>
  <c r="AY101" i="30"/>
  <c r="AX101" i="30"/>
  <c r="AW101" i="30"/>
  <c r="AU101" i="30"/>
  <c r="AT101" i="30"/>
  <c r="AS101" i="30"/>
  <c r="AR101" i="30"/>
  <c r="AQ101" i="30"/>
  <c r="W101" i="30"/>
  <c r="X101" i="30" s="1"/>
  <c r="H101" i="30"/>
  <c r="J101" i="30" s="1"/>
  <c r="BK100" i="30"/>
  <c r="BJ100" i="30"/>
  <c r="BI100" i="30"/>
  <c r="BH100" i="30"/>
  <c r="BG100" i="30"/>
  <c r="BF100" i="30"/>
  <c r="BC100" i="30"/>
  <c r="BA100" i="30"/>
  <c r="AY100" i="30"/>
  <c r="AX100" i="30"/>
  <c r="AW100" i="30"/>
  <c r="AU100" i="30"/>
  <c r="AT100" i="30"/>
  <c r="AS100" i="30"/>
  <c r="AR100" i="30"/>
  <c r="AQ100" i="30"/>
  <c r="W100" i="30"/>
  <c r="X100" i="30" s="1"/>
  <c r="Y100" i="30" s="1"/>
  <c r="BQ100" i="30" s="1"/>
  <c r="H100" i="30"/>
  <c r="J100" i="30" s="1"/>
  <c r="T100" i="30" s="1"/>
  <c r="BE100" i="30" s="1"/>
  <c r="BK99" i="30"/>
  <c r="BJ99" i="30"/>
  <c r="BI99" i="30"/>
  <c r="BH99" i="30"/>
  <c r="BG99" i="30"/>
  <c r="BF99" i="30"/>
  <c r="BC99" i="30"/>
  <c r="BA99" i="30"/>
  <c r="AY99" i="30"/>
  <c r="AX99" i="30"/>
  <c r="AW99" i="30"/>
  <c r="AU99" i="30"/>
  <c r="AT99" i="30"/>
  <c r="AS99" i="30"/>
  <c r="AR99" i="30"/>
  <c r="AQ99" i="30"/>
  <c r="W99" i="30"/>
  <c r="X99" i="30" s="1"/>
  <c r="H99" i="30"/>
  <c r="J99" i="30" s="1"/>
  <c r="BK98" i="30"/>
  <c r="BJ98" i="30"/>
  <c r="BI98" i="30"/>
  <c r="BH98" i="30"/>
  <c r="BG98" i="30"/>
  <c r="BF98" i="30"/>
  <c r="BC98" i="30"/>
  <c r="BA98" i="30"/>
  <c r="AY98" i="30"/>
  <c r="AX98" i="30"/>
  <c r="AW98" i="30"/>
  <c r="AU98" i="30"/>
  <c r="AT98" i="30"/>
  <c r="AS98" i="30"/>
  <c r="AR98" i="30"/>
  <c r="AQ98" i="30"/>
  <c r="W98" i="30"/>
  <c r="X98" i="30" s="1"/>
  <c r="H98" i="30"/>
  <c r="J98" i="30" s="1"/>
  <c r="BK97" i="30"/>
  <c r="BJ97" i="30"/>
  <c r="BI97" i="30"/>
  <c r="BH97" i="30"/>
  <c r="BG97" i="30"/>
  <c r="BF97" i="30"/>
  <c r="BC97" i="30"/>
  <c r="BA97" i="30"/>
  <c r="AY97" i="30"/>
  <c r="AX97" i="30"/>
  <c r="AW97" i="30"/>
  <c r="AU97" i="30"/>
  <c r="AT97" i="30"/>
  <c r="AS97" i="30"/>
  <c r="AR97" i="30"/>
  <c r="AQ97" i="30"/>
  <c r="W97" i="30"/>
  <c r="X97" i="30" s="1"/>
  <c r="H97" i="30"/>
  <c r="J97" i="30" s="1"/>
  <c r="L97" i="30" s="1"/>
  <c r="BK96" i="30"/>
  <c r="BJ96" i="30"/>
  <c r="BI96" i="30"/>
  <c r="BH96" i="30"/>
  <c r="BG96" i="30"/>
  <c r="BF96" i="30"/>
  <c r="BC96" i="30"/>
  <c r="BA96" i="30"/>
  <c r="AY96" i="30"/>
  <c r="AX96" i="30"/>
  <c r="AW96" i="30"/>
  <c r="AU96" i="30"/>
  <c r="AT96" i="30"/>
  <c r="AS96" i="30"/>
  <c r="AR96" i="30"/>
  <c r="AQ96" i="30"/>
  <c r="W96" i="30"/>
  <c r="X96" i="30" s="1"/>
  <c r="H96" i="30"/>
  <c r="J96" i="30" s="1"/>
  <c r="T96" i="30" s="1"/>
  <c r="BE96" i="30" s="1"/>
  <c r="BK95" i="30"/>
  <c r="BJ95" i="30"/>
  <c r="BI95" i="30"/>
  <c r="BH95" i="30"/>
  <c r="BG95" i="30"/>
  <c r="BF95" i="30"/>
  <c r="BC95" i="30"/>
  <c r="BA95" i="30"/>
  <c r="AY95" i="30"/>
  <c r="AX95" i="30"/>
  <c r="AW95" i="30"/>
  <c r="AU95" i="30"/>
  <c r="AT95" i="30"/>
  <c r="AS95" i="30"/>
  <c r="AR95" i="30"/>
  <c r="AQ95" i="30"/>
  <c r="W95" i="30"/>
  <c r="X95" i="30" s="1"/>
  <c r="H95" i="30"/>
  <c r="J95" i="30" s="1"/>
  <c r="BK94" i="30"/>
  <c r="BJ94" i="30"/>
  <c r="BI94" i="30"/>
  <c r="BH94" i="30"/>
  <c r="BG94" i="30"/>
  <c r="BF94" i="30"/>
  <c r="BC94" i="30"/>
  <c r="BA94" i="30"/>
  <c r="AY94" i="30"/>
  <c r="AX94" i="30"/>
  <c r="AW94" i="30"/>
  <c r="AU94" i="30"/>
  <c r="AT94" i="30"/>
  <c r="AS94" i="30"/>
  <c r="AR94" i="30"/>
  <c r="AQ94" i="30"/>
  <c r="W94" i="30"/>
  <c r="X94" i="30" s="1"/>
  <c r="H94" i="30"/>
  <c r="J94" i="30" s="1"/>
  <c r="BK93" i="30"/>
  <c r="BJ93" i="30"/>
  <c r="BI93" i="30"/>
  <c r="BH93" i="30"/>
  <c r="BG93" i="30"/>
  <c r="BF93" i="30"/>
  <c r="BC93" i="30"/>
  <c r="BA93" i="30"/>
  <c r="AY93" i="30"/>
  <c r="AX93" i="30"/>
  <c r="AW93" i="30"/>
  <c r="AU93" i="30"/>
  <c r="AT93" i="30"/>
  <c r="AS93" i="30"/>
  <c r="AR93" i="30"/>
  <c r="AQ93" i="30"/>
  <c r="W93" i="30"/>
  <c r="X93" i="30" s="1"/>
  <c r="H93" i="30"/>
  <c r="J93" i="30" s="1"/>
  <c r="L93" i="30" s="1"/>
  <c r="BK92" i="30"/>
  <c r="BJ92" i="30"/>
  <c r="BI92" i="30"/>
  <c r="BH92" i="30"/>
  <c r="BG92" i="30"/>
  <c r="BF92" i="30"/>
  <c r="BC92" i="30"/>
  <c r="BA92" i="30"/>
  <c r="AY92" i="30"/>
  <c r="AX92" i="30"/>
  <c r="AW92" i="30"/>
  <c r="AU92" i="30"/>
  <c r="AT92" i="30"/>
  <c r="AS92" i="30"/>
  <c r="AR92" i="30"/>
  <c r="AQ92" i="30"/>
  <c r="W92" i="30"/>
  <c r="X92" i="30" s="1"/>
  <c r="H92" i="30"/>
  <c r="J92" i="30" s="1"/>
  <c r="BK91" i="30"/>
  <c r="BJ91" i="30"/>
  <c r="BI91" i="30"/>
  <c r="BH91" i="30"/>
  <c r="BG91" i="30"/>
  <c r="BF91" i="30"/>
  <c r="BC91" i="30"/>
  <c r="BA91" i="30"/>
  <c r="AY91" i="30"/>
  <c r="AX91" i="30"/>
  <c r="AW91" i="30"/>
  <c r="AU91" i="30"/>
  <c r="AT91" i="30"/>
  <c r="AS91" i="30"/>
  <c r="AR91" i="30"/>
  <c r="AQ91" i="30"/>
  <c r="W91" i="30"/>
  <c r="X91" i="30" s="1"/>
  <c r="H91" i="30"/>
  <c r="J91" i="30" s="1"/>
  <c r="BK90" i="30"/>
  <c r="BJ90" i="30"/>
  <c r="BI90" i="30"/>
  <c r="BH90" i="30"/>
  <c r="BG90" i="30"/>
  <c r="BF90" i="30"/>
  <c r="BC90" i="30"/>
  <c r="BA90" i="30"/>
  <c r="AY90" i="30"/>
  <c r="AX90" i="30"/>
  <c r="AW90" i="30"/>
  <c r="AU90" i="30"/>
  <c r="AT90" i="30"/>
  <c r="AS90" i="30"/>
  <c r="AR90" i="30"/>
  <c r="AQ90" i="30"/>
  <c r="W90" i="30"/>
  <c r="X90" i="30" s="1"/>
  <c r="H90" i="30"/>
  <c r="J90" i="30" s="1"/>
  <c r="BK89" i="30"/>
  <c r="BJ89" i="30"/>
  <c r="BI89" i="30"/>
  <c r="BH89" i="30"/>
  <c r="BG89" i="30"/>
  <c r="BF89" i="30"/>
  <c r="BC89" i="30"/>
  <c r="BA89" i="30"/>
  <c r="AY89" i="30"/>
  <c r="AX89" i="30"/>
  <c r="AW89" i="30"/>
  <c r="AU89" i="30"/>
  <c r="AT89" i="30"/>
  <c r="AS89" i="30"/>
  <c r="AR89" i="30"/>
  <c r="AQ89" i="30"/>
  <c r="W89" i="30"/>
  <c r="X89" i="30" s="1"/>
  <c r="H89" i="30"/>
  <c r="J89" i="30" s="1"/>
  <c r="BK88" i="30"/>
  <c r="BJ88" i="30"/>
  <c r="BI88" i="30"/>
  <c r="BH88" i="30"/>
  <c r="BG88" i="30"/>
  <c r="BF88" i="30"/>
  <c r="BC88" i="30"/>
  <c r="BA88" i="30"/>
  <c r="AY88" i="30"/>
  <c r="AX88" i="30"/>
  <c r="AW88" i="30"/>
  <c r="AU88" i="30"/>
  <c r="AT88" i="30"/>
  <c r="AS88" i="30"/>
  <c r="AR88" i="30"/>
  <c r="AQ88" i="30"/>
  <c r="W88" i="30"/>
  <c r="X88" i="30" s="1"/>
  <c r="H88" i="30"/>
  <c r="J88" i="30" s="1"/>
  <c r="BK87" i="30"/>
  <c r="BJ87" i="30"/>
  <c r="BI87" i="30"/>
  <c r="BH87" i="30"/>
  <c r="BG87" i="30"/>
  <c r="BF87" i="30"/>
  <c r="BC87" i="30"/>
  <c r="BA87" i="30"/>
  <c r="AY87" i="30"/>
  <c r="AX87" i="30"/>
  <c r="AW87" i="30"/>
  <c r="AU87" i="30"/>
  <c r="AT87" i="30"/>
  <c r="AS87" i="30"/>
  <c r="AR87" i="30"/>
  <c r="AQ87" i="30"/>
  <c r="W87" i="30"/>
  <c r="X87" i="30" s="1"/>
  <c r="Y87" i="30" s="1"/>
  <c r="BQ87" i="30" s="1"/>
  <c r="H87" i="30"/>
  <c r="J87" i="30" s="1"/>
  <c r="BK86" i="30"/>
  <c r="BJ86" i="30"/>
  <c r="BI86" i="30"/>
  <c r="BH86" i="30"/>
  <c r="BG86" i="30"/>
  <c r="BF86" i="30"/>
  <c r="BC86" i="30"/>
  <c r="BA86" i="30"/>
  <c r="AY86" i="30"/>
  <c r="AX86" i="30"/>
  <c r="AW86" i="30"/>
  <c r="AU86" i="30"/>
  <c r="AT86" i="30"/>
  <c r="AS86" i="30"/>
  <c r="AR86" i="30"/>
  <c r="AQ86" i="30"/>
  <c r="W86" i="30"/>
  <c r="X86" i="30" s="1"/>
  <c r="H86" i="30"/>
  <c r="J86" i="30" s="1"/>
  <c r="L86" i="30" s="1"/>
  <c r="BK85" i="30"/>
  <c r="BJ85" i="30"/>
  <c r="BI85" i="30"/>
  <c r="BH85" i="30"/>
  <c r="BG85" i="30"/>
  <c r="BF85" i="30"/>
  <c r="BC85" i="30"/>
  <c r="BA85" i="30"/>
  <c r="AY85" i="30"/>
  <c r="AX85" i="30"/>
  <c r="AW85" i="30"/>
  <c r="AU85" i="30"/>
  <c r="AT85" i="30"/>
  <c r="AS85" i="30"/>
  <c r="AR85" i="30"/>
  <c r="AQ85" i="30"/>
  <c r="W85" i="30"/>
  <c r="X85" i="30" s="1"/>
  <c r="H85" i="30"/>
  <c r="J85" i="30" s="1"/>
  <c r="BK84" i="30"/>
  <c r="BJ84" i="30"/>
  <c r="BI84" i="30"/>
  <c r="BH84" i="30"/>
  <c r="BG84" i="30"/>
  <c r="BF84" i="30"/>
  <c r="BC84" i="30"/>
  <c r="BA84" i="30"/>
  <c r="AY84" i="30"/>
  <c r="AX84" i="30"/>
  <c r="AW84" i="30"/>
  <c r="AU84" i="30"/>
  <c r="AT84" i="30"/>
  <c r="AS84" i="30"/>
  <c r="AR84" i="30"/>
  <c r="AQ84" i="30"/>
  <c r="W84" i="30"/>
  <c r="X84" i="30" s="1"/>
  <c r="Y84" i="30" s="1"/>
  <c r="BQ84" i="30" s="1"/>
  <c r="H84" i="30"/>
  <c r="J84" i="30" s="1"/>
  <c r="BK83" i="30"/>
  <c r="BJ83" i="30"/>
  <c r="BI83" i="30"/>
  <c r="BH83" i="30"/>
  <c r="BG83" i="30"/>
  <c r="BF83" i="30"/>
  <c r="BC83" i="30"/>
  <c r="BA83" i="30"/>
  <c r="AY83" i="30"/>
  <c r="AX83" i="30"/>
  <c r="AW83" i="30"/>
  <c r="AU83" i="30"/>
  <c r="AT83" i="30"/>
  <c r="AS83" i="30"/>
  <c r="AR83" i="30"/>
  <c r="AQ83" i="30"/>
  <c r="W83" i="30"/>
  <c r="X83" i="30" s="1"/>
  <c r="H83" i="30"/>
  <c r="J83" i="30" s="1"/>
  <c r="BK82" i="30"/>
  <c r="BJ82" i="30"/>
  <c r="BI82" i="30"/>
  <c r="BH82" i="30"/>
  <c r="BG82" i="30"/>
  <c r="BF82" i="30"/>
  <c r="BC82" i="30"/>
  <c r="BA82" i="30"/>
  <c r="AY82" i="30"/>
  <c r="AX82" i="30"/>
  <c r="AW82" i="30"/>
  <c r="AU82" i="30"/>
  <c r="AT82" i="30"/>
  <c r="AS82" i="30"/>
  <c r="AR82" i="30"/>
  <c r="AQ82" i="30"/>
  <c r="W82" i="30"/>
  <c r="X82" i="30" s="1"/>
  <c r="H82" i="30"/>
  <c r="J82" i="30" s="1"/>
  <c r="BK81" i="30"/>
  <c r="BJ81" i="30"/>
  <c r="BI81" i="30"/>
  <c r="BH81" i="30"/>
  <c r="BG81" i="30"/>
  <c r="BF81" i="30"/>
  <c r="BC81" i="30"/>
  <c r="BA81" i="30"/>
  <c r="AY81" i="30"/>
  <c r="AX81" i="30"/>
  <c r="AW81" i="30"/>
  <c r="AU81" i="30"/>
  <c r="AT81" i="30"/>
  <c r="AS81" i="30"/>
  <c r="AR81" i="30"/>
  <c r="AQ81" i="30"/>
  <c r="W81" i="30"/>
  <c r="X81" i="30" s="1"/>
  <c r="H81" i="30"/>
  <c r="J81" i="30" s="1"/>
  <c r="T81" i="30" s="1"/>
  <c r="BE81" i="30" s="1"/>
  <c r="BK80" i="30"/>
  <c r="BJ80" i="30"/>
  <c r="BI80" i="30"/>
  <c r="BH80" i="30"/>
  <c r="BG80" i="30"/>
  <c r="BF80" i="30"/>
  <c r="BC80" i="30"/>
  <c r="BA80" i="30"/>
  <c r="AY80" i="30"/>
  <c r="AX80" i="30"/>
  <c r="AW80" i="30"/>
  <c r="AU80" i="30"/>
  <c r="AT80" i="30"/>
  <c r="AS80" i="30"/>
  <c r="AR80" i="30"/>
  <c r="AQ80" i="30"/>
  <c r="W80" i="30"/>
  <c r="X80" i="30" s="1"/>
  <c r="H80" i="30"/>
  <c r="J80" i="30" s="1"/>
  <c r="L80" i="30" s="1"/>
  <c r="BK79" i="30"/>
  <c r="BJ79" i="30"/>
  <c r="BI79" i="30"/>
  <c r="BH79" i="30"/>
  <c r="BG79" i="30"/>
  <c r="BF79" i="30"/>
  <c r="BC79" i="30"/>
  <c r="BA79" i="30"/>
  <c r="AY79" i="30"/>
  <c r="AX79" i="30"/>
  <c r="AW79" i="30"/>
  <c r="AU79" i="30"/>
  <c r="AT79" i="30"/>
  <c r="AS79" i="30"/>
  <c r="AR79" i="30"/>
  <c r="AQ79" i="30"/>
  <c r="W79" i="30"/>
  <c r="X79" i="30" s="1"/>
  <c r="Y79" i="30" s="1"/>
  <c r="BQ79" i="30" s="1"/>
  <c r="H79" i="30"/>
  <c r="J79" i="30" s="1"/>
  <c r="BK78" i="30"/>
  <c r="BJ78" i="30"/>
  <c r="BI78" i="30"/>
  <c r="BH78" i="30"/>
  <c r="BG78" i="30"/>
  <c r="BF78" i="30"/>
  <c r="BC78" i="30"/>
  <c r="BA78" i="30"/>
  <c r="AY78" i="30"/>
  <c r="AX78" i="30"/>
  <c r="AW78" i="30"/>
  <c r="AU78" i="30"/>
  <c r="AT78" i="30"/>
  <c r="AS78" i="30"/>
  <c r="AR78" i="30"/>
  <c r="AQ78" i="30"/>
  <c r="W78" i="30"/>
  <c r="X78" i="30" s="1"/>
  <c r="H78" i="30"/>
  <c r="J78" i="30" s="1"/>
  <c r="BK77" i="30"/>
  <c r="BJ77" i="30"/>
  <c r="BI77" i="30"/>
  <c r="BH77" i="30"/>
  <c r="BG77" i="30"/>
  <c r="BF77" i="30"/>
  <c r="BC77" i="30"/>
  <c r="BA77" i="30"/>
  <c r="AY77" i="30"/>
  <c r="AX77" i="30"/>
  <c r="AW77" i="30"/>
  <c r="AU77" i="30"/>
  <c r="AT77" i="30"/>
  <c r="AS77" i="30"/>
  <c r="AR77" i="30"/>
  <c r="AQ77" i="30"/>
  <c r="W77" i="30"/>
  <c r="X77" i="30" s="1"/>
  <c r="H77" i="30"/>
  <c r="J77" i="30" s="1"/>
  <c r="T77" i="30" s="1"/>
  <c r="BK76" i="30"/>
  <c r="BJ76" i="30"/>
  <c r="BI76" i="30"/>
  <c r="BH76" i="30"/>
  <c r="BG76" i="30"/>
  <c r="BF76" i="30"/>
  <c r="BC76" i="30"/>
  <c r="BA76" i="30"/>
  <c r="AY76" i="30"/>
  <c r="AX76" i="30"/>
  <c r="AW76" i="30"/>
  <c r="AU76" i="30"/>
  <c r="AT76" i="30"/>
  <c r="AS76" i="30"/>
  <c r="AR76" i="30"/>
  <c r="AQ76" i="30"/>
  <c r="W76" i="30"/>
  <c r="X76" i="30" s="1"/>
  <c r="H76" i="30"/>
  <c r="J76" i="30" s="1"/>
  <c r="BK75" i="30"/>
  <c r="BJ75" i="30"/>
  <c r="BI75" i="30"/>
  <c r="BH75" i="30"/>
  <c r="BG75" i="30"/>
  <c r="BF75" i="30"/>
  <c r="BC75" i="30"/>
  <c r="BA75" i="30"/>
  <c r="AY75" i="30"/>
  <c r="AX75" i="30"/>
  <c r="AW75" i="30"/>
  <c r="AU75" i="30"/>
  <c r="AT75" i="30"/>
  <c r="AS75" i="30"/>
  <c r="AR75" i="30"/>
  <c r="AQ75" i="30"/>
  <c r="W75" i="30"/>
  <c r="X75" i="30" s="1"/>
  <c r="H75" i="30"/>
  <c r="J75" i="30" s="1"/>
  <c r="T75" i="30" s="1"/>
  <c r="BE75" i="30" s="1"/>
  <c r="BK74" i="30"/>
  <c r="BJ74" i="30"/>
  <c r="BI74" i="30"/>
  <c r="BH74" i="30"/>
  <c r="BG74" i="30"/>
  <c r="BF74" i="30"/>
  <c r="BC74" i="30"/>
  <c r="BA74" i="30"/>
  <c r="AY74" i="30"/>
  <c r="AX74" i="30"/>
  <c r="AW74" i="30"/>
  <c r="AU74" i="30"/>
  <c r="AT74" i="30"/>
  <c r="AS74" i="30"/>
  <c r="AR74" i="30"/>
  <c r="AQ74" i="30"/>
  <c r="W74" i="30"/>
  <c r="X74" i="30" s="1"/>
  <c r="Y74" i="30" s="1"/>
  <c r="BQ74" i="30" s="1"/>
  <c r="H74" i="30"/>
  <c r="J74" i="30" s="1"/>
  <c r="BK73" i="30"/>
  <c r="BJ73" i="30"/>
  <c r="BI73" i="30"/>
  <c r="BH73" i="30"/>
  <c r="BG73" i="30"/>
  <c r="BF73" i="30"/>
  <c r="BC73" i="30"/>
  <c r="BA73" i="30"/>
  <c r="AY73" i="30"/>
  <c r="AX73" i="30"/>
  <c r="AW73" i="30"/>
  <c r="AU73" i="30"/>
  <c r="AT73" i="30"/>
  <c r="AS73" i="30"/>
  <c r="AR73" i="30"/>
  <c r="AQ73" i="30"/>
  <c r="W73" i="30"/>
  <c r="X73" i="30" s="1"/>
  <c r="H73" i="30"/>
  <c r="J73" i="30" s="1"/>
  <c r="T73" i="30" s="1"/>
  <c r="BE73" i="30" s="1"/>
  <c r="BK72" i="30"/>
  <c r="BJ72" i="30"/>
  <c r="BI72" i="30"/>
  <c r="BH72" i="30"/>
  <c r="BG72" i="30"/>
  <c r="BF72" i="30"/>
  <c r="BC72" i="30"/>
  <c r="BA72" i="30"/>
  <c r="AY72" i="30"/>
  <c r="AX72" i="30"/>
  <c r="AW72" i="30"/>
  <c r="AU72" i="30"/>
  <c r="AT72" i="30"/>
  <c r="AS72" i="30"/>
  <c r="AR72" i="30"/>
  <c r="AQ72" i="30"/>
  <c r="W72" i="30"/>
  <c r="X72" i="30" s="1"/>
  <c r="H72" i="30"/>
  <c r="J72" i="30" s="1"/>
  <c r="BK71" i="30"/>
  <c r="BJ71" i="30"/>
  <c r="BI71" i="30"/>
  <c r="BH71" i="30"/>
  <c r="BG71" i="30"/>
  <c r="BF71" i="30"/>
  <c r="BC71" i="30"/>
  <c r="BA71" i="30"/>
  <c r="AY71" i="30"/>
  <c r="AX71" i="30"/>
  <c r="AW71" i="30"/>
  <c r="AU71" i="30"/>
  <c r="AT71" i="30"/>
  <c r="AS71" i="30"/>
  <c r="AR71" i="30"/>
  <c r="AQ71" i="30"/>
  <c r="W71" i="30"/>
  <c r="X71" i="30" s="1"/>
  <c r="H71" i="30"/>
  <c r="J71" i="30" s="1"/>
  <c r="BK70" i="30"/>
  <c r="BJ70" i="30"/>
  <c r="BI70" i="30"/>
  <c r="BH70" i="30"/>
  <c r="BG70" i="30"/>
  <c r="BF70" i="30"/>
  <c r="BC70" i="30"/>
  <c r="BA70" i="30"/>
  <c r="AY70" i="30"/>
  <c r="AX70" i="30"/>
  <c r="AW70" i="30"/>
  <c r="AU70" i="30"/>
  <c r="AT70" i="30"/>
  <c r="AS70" i="30"/>
  <c r="AR70" i="30"/>
  <c r="AQ70" i="30"/>
  <c r="W70" i="30"/>
  <c r="X70" i="30" s="1"/>
  <c r="H70" i="30"/>
  <c r="J70" i="30" s="1"/>
  <c r="T70" i="30" s="1"/>
  <c r="BK69" i="30"/>
  <c r="BJ69" i="30"/>
  <c r="BI69" i="30"/>
  <c r="BH69" i="30"/>
  <c r="BG69" i="30"/>
  <c r="BF69" i="30"/>
  <c r="BC69" i="30"/>
  <c r="BA69" i="30"/>
  <c r="AY69" i="30"/>
  <c r="AX69" i="30"/>
  <c r="AW69" i="30"/>
  <c r="AU69" i="30"/>
  <c r="AT69" i="30"/>
  <c r="AS69" i="30"/>
  <c r="AR69" i="30"/>
  <c r="AQ69" i="30"/>
  <c r="W69" i="30"/>
  <c r="X69" i="30" s="1"/>
  <c r="H69" i="30"/>
  <c r="J69" i="30" s="1"/>
  <c r="BK68" i="30"/>
  <c r="BJ68" i="30"/>
  <c r="BI68" i="30"/>
  <c r="BH68" i="30"/>
  <c r="BG68" i="30"/>
  <c r="BF68" i="30"/>
  <c r="BC68" i="30"/>
  <c r="BA68" i="30"/>
  <c r="AY68" i="30"/>
  <c r="AX68" i="30"/>
  <c r="AW68" i="30"/>
  <c r="AU68" i="30"/>
  <c r="AT68" i="30"/>
  <c r="AS68" i="30"/>
  <c r="AR68" i="30"/>
  <c r="AQ68" i="30"/>
  <c r="W68" i="30"/>
  <c r="X68" i="30" s="1"/>
  <c r="H68" i="30"/>
  <c r="J68" i="30" s="1"/>
  <c r="L68" i="30" s="1"/>
  <c r="BK67" i="30"/>
  <c r="BJ67" i="30"/>
  <c r="BI67" i="30"/>
  <c r="BH67" i="30"/>
  <c r="BG67" i="30"/>
  <c r="BF67" i="30"/>
  <c r="BC67" i="30"/>
  <c r="BA67" i="30"/>
  <c r="AY67" i="30"/>
  <c r="AX67" i="30"/>
  <c r="AW67" i="30"/>
  <c r="AU67" i="30"/>
  <c r="AT67" i="30"/>
  <c r="AS67" i="30"/>
  <c r="AR67" i="30"/>
  <c r="AQ67" i="30"/>
  <c r="W67" i="30"/>
  <c r="X67" i="30" s="1"/>
  <c r="H67" i="30"/>
  <c r="J67" i="30" s="1"/>
  <c r="BK66" i="30"/>
  <c r="BJ66" i="30"/>
  <c r="BI66" i="30"/>
  <c r="BH66" i="30"/>
  <c r="BG66" i="30"/>
  <c r="BF66" i="30"/>
  <c r="BC66" i="30"/>
  <c r="BA66" i="30"/>
  <c r="AY66" i="30"/>
  <c r="AX66" i="30"/>
  <c r="AW66" i="30"/>
  <c r="AU66" i="30"/>
  <c r="AT66" i="30"/>
  <c r="AS66" i="30"/>
  <c r="AR66" i="30"/>
  <c r="AQ66" i="30"/>
  <c r="W66" i="30"/>
  <c r="X66" i="30" s="1"/>
  <c r="H66" i="30"/>
  <c r="J66" i="30" s="1"/>
  <c r="BK65" i="30"/>
  <c r="BJ65" i="30"/>
  <c r="BI65" i="30"/>
  <c r="BH65" i="30"/>
  <c r="BG65" i="30"/>
  <c r="BF65" i="30"/>
  <c r="BC65" i="30"/>
  <c r="BA65" i="30"/>
  <c r="AY65" i="30"/>
  <c r="AX65" i="30"/>
  <c r="AW65" i="30"/>
  <c r="AU65" i="30"/>
  <c r="AT65" i="30"/>
  <c r="AS65" i="30"/>
  <c r="AR65" i="30"/>
  <c r="AQ65" i="30"/>
  <c r="W65" i="30"/>
  <c r="X65" i="30" s="1"/>
  <c r="H65" i="30"/>
  <c r="J65" i="30" s="1"/>
  <c r="T65" i="30" s="1"/>
  <c r="BE65" i="30" s="1"/>
  <c r="BK64" i="30"/>
  <c r="BJ64" i="30"/>
  <c r="BI64" i="30"/>
  <c r="BH64" i="30"/>
  <c r="BG64" i="30"/>
  <c r="BF64" i="30"/>
  <c r="BC64" i="30"/>
  <c r="BA64" i="30"/>
  <c r="AY64" i="30"/>
  <c r="AX64" i="30"/>
  <c r="AW64" i="30"/>
  <c r="AU64" i="30"/>
  <c r="AT64" i="30"/>
  <c r="AS64" i="30"/>
  <c r="AR64" i="30"/>
  <c r="AQ64" i="30"/>
  <c r="W64" i="30"/>
  <c r="X64" i="30" s="1"/>
  <c r="H64" i="30"/>
  <c r="J64" i="30" s="1"/>
  <c r="L64" i="30" s="1"/>
  <c r="BK63" i="30"/>
  <c r="BJ63" i="30"/>
  <c r="BI63" i="30"/>
  <c r="BH63" i="30"/>
  <c r="BG63" i="30"/>
  <c r="BF63" i="30"/>
  <c r="BC63" i="30"/>
  <c r="BA63" i="30"/>
  <c r="AY63" i="30"/>
  <c r="AX63" i="30"/>
  <c r="AW63" i="30"/>
  <c r="AU63" i="30"/>
  <c r="AT63" i="30"/>
  <c r="AS63" i="30"/>
  <c r="AR63" i="30"/>
  <c r="AQ63" i="30"/>
  <c r="W63" i="30"/>
  <c r="X63" i="30" s="1"/>
  <c r="H63" i="30"/>
  <c r="J63" i="30" s="1"/>
  <c r="BK62" i="30"/>
  <c r="BJ62" i="30"/>
  <c r="BI62" i="30"/>
  <c r="BH62" i="30"/>
  <c r="BG62" i="30"/>
  <c r="BF62" i="30"/>
  <c r="BC62" i="30"/>
  <c r="BA62" i="30"/>
  <c r="AY62" i="30"/>
  <c r="AX62" i="30"/>
  <c r="AW62" i="30"/>
  <c r="AU62" i="30"/>
  <c r="AT62" i="30"/>
  <c r="AS62" i="30"/>
  <c r="AR62" i="30"/>
  <c r="AQ62" i="30"/>
  <c r="W62" i="30"/>
  <c r="X62" i="30" s="1"/>
  <c r="Y62" i="30" s="1"/>
  <c r="BQ62" i="30" s="1"/>
  <c r="H62" i="30"/>
  <c r="J62" i="30" s="1"/>
  <c r="BK61" i="30"/>
  <c r="BJ61" i="30"/>
  <c r="BI61" i="30"/>
  <c r="BH61" i="30"/>
  <c r="BG61" i="30"/>
  <c r="BF61" i="30"/>
  <c r="BC61" i="30"/>
  <c r="BA61" i="30"/>
  <c r="AY61" i="30"/>
  <c r="AX61" i="30"/>
  <c r="AW61" i="30"/>
  <c r="AU61" i="30"/>
  <c r="AT61" i="30"/>
  <c r="AS61" i="30"/>
  <c r="AR61" i="30"/>
  <c r="AQ61" i="30"/>
  <c r="W61" i="30"/>
  <c r="X61" i="30" s="1"/>
  <c r="H61" i="30"/>
  <c r="J61" i="30" s="1"/>
  <c r="T61" i="30" s="1"/>
  <c r="BE61" i="30" s="1"/>
  <c r="BK60" i="30"/>
  <c r="BJ60" i="30"/>
  <c r="BI60" i="30"/>
  <c r="BH60" i="30"/>
  <c r="BG60" i="30"/>
  <c r="BF60" i="30"/>
  <c r="BC60" i="30"/>
  <c r="BA60" i="30"/>
  <c r="AY60" i="30"/>
  <c r="AX60" i="30"/>
  <c r="AW60" i="30"/>
  <c r="AU60" i="30"/>
  <c r="AT60" i="30"/>
  <c r="AS60" i="30"/>
  <c r="AR60" i="30"/>
  <c r="AQ60" i="30"/>
  <c r="W60" i="30"/>
  <c r="X60" i="30" s="1"/>
  <c r="H60" i="30"/>
  <c r="J60" i="30" s="1"/>
  <c r="BK59" i="30"/>
  <c r="BJ59" i="30"/>
  <c r="BI59" i="30"/>
  <c r="BH59" i="30"/>
  <c r="BG59" i="30"/>
  <c r="BF59" i="30"/>
  <c r="BC59" i="30"/>
  <c r="BA59" i="30"/>
  <c r="AY59" i="30"/>
  <c r="AX59" i="30"/>
  <c r="AW59" i="30"/>
  <c r="AU59" i="30"/>
  <c r="AT59" i="30"/>
  <c r="AS59" i="30"/>
  <c r="AR59" i="30"/>
  <c r="AQ59" i="30"/>
  <c r="W59" i="30"/>
  <c r="X59" i="30" s="1"/>
  <c r="H59" i="30"/>
  <c r="J59" i="30" s="1"/>
  <c r="BK58" i="30"/>
  <c r="BJ58" i="30"/>
  <c r="BI58" i="30"/>
  <c r="BH58" i="30"/>
  <c r="BG58" i="30"/>
  <c r="BF58" i="30"/>
  <c r="BC58" i="30"/>
  <c r="BA58" i="30"/>
  <c r="AY58" i="30"/>
  <c r="AX58" i="30"/>
  <c r="AW58" i="30"/>
  <c r="AU58" i="30"/>
  <c r="AT58" i="30"/>
  <c r="AS58" i="30"/>
  <c r="AR58" i="30"/>
  <c r="AQ58" i="30"/>
  <c r="W58" i="30"/>
  <c r="X58" i="30" s="1"/>
  <c r="H58" i="30"/>
  <c r="J58" i="30" s="1"/>
  <c r="BK57" i="30"/>
  <c r="BJ57" i="30"/>
  <c r="BI57" i="30"/>
  <c r="BH57" i="30"/>
  <c r="BG57" i="30"/>
  <c r="BF57" i="30"/>
  <c r="BC57" i="30"/>
  <c r="BA57" i="30"/>
  <c r="AY57" i="30"/>
  <c r="AX57" i="30"/>
  <c r="AW57" i="30"/>
  <c r="AU57" i="30"/>
  <c r="AT57" i="30"/>
  <c r="AS57" i="30"/>
  <c r="AR57" i="30"/>
  <c r="AQ57" i="30"/>
  <c r="W57" i="30"/>
  <c r="X57" i="30" s="1"/>
  <c r="S57" i="30"/>
  <c r="H57" i="30"/>
  <c r="J57" i="30" s="1"/>
  <c r="L57" i="30" s="1"/>
  <c r="BK56" i="30"/>
  <c r="BJ56" i="30"/>
  <c r="BI56" i="30"/>
  <c r="BH56" i="30"/>
  <c r="BG56" i="30"/>
  <c r="BF56" i="30"/>
  <c r="BC56" i="30"/>
  <c r="BA56" i="30"/>
  <c r="AY56" i="30"/>
  <c r="AX56" i="30"/>
  <c r="AW56" i="30"/>
  <c r="AU56" i="30"/>
  <c r="AT56" i="30"/>
  <c r="AS56" i="30"/>
  <c r="AR56" i="30"/>
  <c r="AQ56" i="30"/>
  <c r="W56" i="30"/>
  <c r="X56" i="30" s="1"/>
  <c r="H56" i="30"/>
  <c r="J56" i="30" s="1"/>
  <c r="BK55" i="30"/>
  <c r="BJ55" i="30"/>
  <c r="BI55" i="30"/>
  <c r="BH55" i="30"/>
  <c r="BG55" i="30"/>
  <c r="BF55" i="30"/>
  <c r="BC55" i="30"/>
  <c r="BA55" i="30"/>
  <c r="AY55" i="30"/>
  <c r="AX55" i="30"/>
  <c r="AW55" i="30"/>
  <c r="AU55" i="30"/>
  <c r="AT55" i="30"/>
  <c r="AS55" i="30"/>
  <c r="AR55" i="30"/>
  <c r="AQ55" i="30"/>
  <c r="W55" i="30"/>
  <c r="X55" i="30" s="1"/>
  <c r="H55" i="30"/>
  <c r="J55" i="30" s="1"/>
  <c r="L55" i="30" s="1"/>
  <c r="BK54" i="30"/>
  <c r="BJ54" i="30"/>
  <c r="BI54" i="30"/>
  <c r="BH54" i="30"/>
  <c r="BG54" i="30"/>
  <c r="BF54" i="30"/>
  <c r="BC54" i="30"/>
  <c r="BA54" i="30"/>
  <c r="AY54" i="30"/>
  <c r="AX54" i="30"/>
  <c r="AW54" i="30"/>
  <c r="AU54" i="30"/>
  <c r="AT54" i="30"/>
  <c r="AS54" i="30"/>
  <c r="AR54" i="30"/>
  <c r="AQ54" i="30"/>
  <c r="W54" i="30"/>
  <c r="X54" i="30" s="1"/>
  <c r="H54" i="30"/>
  <c r="J54" i="30" s="1"/>
  <c r="BK53" i="30"/>
  <c r="BJ53" i="30"/>
  <c r="BI53" i="30"/>
  <c r="BH53" i="30"/>
  <c r="BG53" i="30"/>
  <c r="BF53" i="30"/>
  <c r="BC53" i="30"/>
  <c r="BA53" i="30"/>
  <c r="AY53" i="30"/>
  <c r="AX53" i="30"/>
  <c r="AW53" i="30"/>
  <c r="AU53" i="30"/>
  <c r="AT53" i="30"/>
  <c r="AS53" i="30"/>
  <c r="AR53" i="30"/>
  <c r="AQ53" i="30"/>
  <c r="W53" i="30"/>
  <c r="X53" i="30" s="1"/>
  <c r="H53" i="30"/>
  <c r="J53" i="30" s="1"/>
  <c r="BK52" i="30"/>
  <c r="BJ52" i="30"/>
  <c r="BI52" i="30"/>
  <c r="BH52" i="30"/>
  <c r="BG52" i="30"/>
  <c r="BF52" i="30"/>
  <c r="BC52" i="30"/>
  <c r="BA52" i="30"/>
  <c r="AY52" i="30"/>
  <c r="AX52" i="30"/>
  <c r="AW52" i="30"/>
  <c r="AU52" i="30"/>
  <c r="AT52" i="30"/>
  <c r="AS52" i="30"/>
  <c r="AR52" i="30"/>
  <c r="AQ52" i="30"/>
  <c r="W52" i="30"/>
  <c r="X52" i="30" s="1"/>
  <c r="H52" i="30"/>
  <c r="J52" i="30" s="1"/>
  <c r="BK51" i="30"/>
  <c r="BJ51" i="30"/>
  <c r="BI51" i="30"/>
  <c r="BH51" i="30"/>
  <c r="BG51" i="30"/>
  <c r="BF51" i="30"/>
  <c r="BC51" i="30"/>
  <c r="BA51" i="30"/>
  <c r="AY51" i="30"/>
  <c r="AX51" i="30"/>
  <c r="AW51" i="30"/>
  <c r="AU51" i="30"/>
  <c r="AT51" i="30"/>
  <c r="AS51" i="30"/>
  <c r="AR51" i="30"/>
  <c r="AQ51" i="30"/>
  <c r="W51" i="30"/>
  <c r="X51" i="30" s="1"/>
  <c r="BK50" i="30"/>
  <c r="BJ50" i="30"/>
  <c r="BI50" i="30"/>
  <c r="BH50" i="30"/>
  <c r="BG50" i="30"/>
  <c r="BF50" i="30"/>
  <c r="BC50" i="30"/>
  <c r="BA50" i="30"/>
  <c r="AY50" i="30"/>
  <c r="AX50" i="30"/>
  <c r="AW50" i="30"/>
  <c r="AU50" i="30"/>
  <c r="AT50" i="30"/>
  <c r="AS50" i="30"/>
  <c r="AR50" i="30"/>
  <c r="AQ50" i="30"/>
  <c r="W50" i="30"/>
  <c r="X50" i="30" s="1"/>
  <c r="BK49" i="30"/>
  <c r="BJ49" i="30"/>
  <c r="BI49" i="30"/>
  <c r="BH49" i="30"/>
  <c r="BG49" i="30"/>
  <c r="BF49" i="30"/>
  <c r="BC49" i="30"/>
  <c r="BA49" i="30"/>
  <c r="AY49" i="30"/>
  <c r="AX49" i="30"/>
  <c r="AW49" i="30"/>
  <c r="AU49" i="30"/>
  <c r="AT49" i="30"/>
  <c r="AS49" i="30"/>
  <c r="AR49" i="30"/>
  <c r="AQ49" i="30"/>
  <c r="W49" i="30"/>
  <c r="X49" i="30" s="1"/>
  <c r="BK48" i="30"/>
  <c r="BJ48" i="30"/>
  <c r="BI48" i="30"/>
  <c r="BH48" i="30"/>
  <c r="BG48" i="30"/>
  <c r="BF48" i="30"/>
  <c r="BC48" i="30"/>
  <c r="BA48" i="30"/>
  <c r="AY48" i="30"/>
  <c r="AX48" i="30"/>
  <c r="AW48" i="30"/>
  <c r="AU48" i="30"/>
  <c r="AT48" i="30"/>
  <c r="AS48" i="30"/>
  <c r="AR48" i="30"/>
  <c r="AQ48" i="30"/>
  <c r="W48" i="30"/>
  <c r="X48" i="30" s="1"/>
  <c r="BK47" i="30"/>
  <c r="BJ47" i="30"/>
  <c r="BI47" i="30"/>
  <c r="BH47" i="30"/>
  <c r="BG47" i="30"/>
  <c r="BF47" i="30"/>
  <c r="BC47" i="30"/>
  <c r="BA47" i="30"/>
  <c r="AY47" i="30"/>
  <c r="AX47" i="30"/>
  <c r="AW47" i="30"/>
  <c r="AU47" i="30"/>
  <c r="AT47" i="30"/>
  <c r="AS47" i="30"/>
  <c r="AR47" i="30"/>
  <c r="AQ47" i="30"/>
  <c r="W47" i="30"/>
  <c r="X47" i="30" s="1"/>
  <c r="BK46" i="30"/>
  <c r="BJ46" i="30"/>
  <c r="BI46" i="30"/>
  <c r="BH46" i="30"/>
  <c r="BG46" i="30"/>
  <c r="BF46" i="30"/>
  <c r="BC46" i="30"/>
  <c r="BA46" i="30"/>
  <c r="AY46" i="30"/>
  <c r="AX46" i="30"/>
  <c r="AW46" i="30"/>
  <c r="AU46" i="30"/>
  <c r="AT46" i="30"/>
  <c r="AS46" i="30"/>
  <c r="AR46" i="30"/>
  <c r="AQ46" i="30"/>
  <c r="W46" i="30"/>
  <c r="X46" i="30" s="1"/>
  <c r="BK45" i="30"/>
  <c r="BJ45" i="30"/>
  <c r="BI45" i="30"/>
  <c r="BH45" i="30"/>
  <c r="BG45" i="30"/>
  <c r="BF45" i="30"/>
  <c r="BC45" i="30"/>
  <c r="BA45" i="30"/>
  <c r="AY45" i="30"/>
  <c r="AX45" i="30"/>
  <c r="AW45" i="30"/>
  <c r="AU45" i="30"/>
  <c r="AT45" i="30"/>
  <c r="AS45" i="30"/>
  <c r="AR45" i="30"/>
  <c r="AQ45" i="30"/>
  <c r="W45" i="30"/>
  <c r="X45" i="30" s="1"/>
  <c r="BK44" i="30"/>
  <c r="BJ44" i="30"/>
  <c r="BI44" i="30"/>
  <c r="BH44" i="30"/>
  <c r="BG44" i="30"/>
  <c r="BF44" i="30"/>
  <c r="BC44" i="30"/>
  <c r="BA44" i="30"/>
  <c r="AY44" i="30"/>
  <c r="AX44" i="30"/>
  <c r="AW44" i="30"/>
  <c r="AU44" i="30"/>
  <c r="AT44" i="30"/>
  <c r="AS44" i="30"/>
  <c r="AR44" i="30"/>
  <c r="AQ44" i="30"/>
  <c r="W44" i="30"/>
  <c r="X44" i="30" s="1"/>
  <c r="BK43" i="30"/>
  <c r="BJ43" i="30"/>
  <c r="BI43" i="30"/>
  <c r="BH43" i="30"/>
  <c r="BG43" i="30"/>
  <c r="BF43" i="30"/>
  <c r="BC43" i="30"/>
  <c r="BA43" i="30"/>
  <c r="AY43" i="30"/>
  <c r="AX43" i="30"/>
  <c r="AW43" i="30"/>
  <c r="AU43" i="30"/>
  <c r="AT43" i="30"/>
  <c r="AS43" i="30"/>
  <c r="AR43" i="30"/>
  <c r="AQ43" i="30"/>
  <c r="W43" i="30"/>
  <c r="X43" i="30" s="1"/>
  <c r="BK42" i="30"/>
  <c r="BJ42" i="30"/>
  <c r="BI42" i="30"/>
  <c r="BH42" i="30"/>
  <c r="BG42" i="30"/>
  <c r="BF42" i="30"/>
  <c r="BC42" i="30"/>
  <c r="BA42" i="30"/>
  <c r="AY42" i="30"/>
  <c r="AX42" i="30"/>
  <c r="AW42" i="30"/>
  <c r="AU42" i="30"/>
  <c r="AT42" i="30"/>
  <c r="AS42" i="30"/>
  <c r="AR42" i="30"/>
  <c r="AQ42" i="30"/>
  <c r="W42" i="30"/>
  <c r="X42" i="30" s="1"/>
  <c r="BK41" i="30"/>
  <c r="BJ41" i="30"/>
  <c r="BI41" i="30"/>
  <c r="BH41" i="30"/>
  <c r="BG41" i="30"/>
  <c r="BF41" i="30"/>
  <c r="BC41" i="30"/>
  <c r="BA41" i="30"/>
  <c r="AY41" i="30"/>
  <c r="AX41" i="30"/>
  <c r="AW41" i="30"/>
  <c r="AU41" i="30"/>
  <c r="AT41" i="30"/>
  <c r="AS41" i="30"/>
  <c r="AR41" i="30"/>
  <c r="AQ41" i="30"/>
  <c r="W41" i="30"/>
  <c r="X41" i="30" s="1"/>
  <c r="BK40" i="30"/>
  <c r="BJ40" i="30"/>
  <c r="BI40" i="30"/>
  <c r="BH40" i="30"/>
  <c r="BG40" i="30"/>
  <c r="BF40" i="30"/>
  <c r="BC40" i="30"/>
  <c r="BA40" i="30"/>
  <c r="AY40" i="30"/>
  <c r="AX40" i="30"/>
  <c r="AW40" i="30"/>
  <c r="AU40" i="30"/>
  <c r="AT40" i="30"/>
  <c r="AS40" i="30"/>
  <c r="AR40" i="30"/>
  <c r="AQ40" i="30"/>
  <c r="W40" i="30"/>
  <c r="X40" i="30" s="1"/>
  <c r="BK39" i="30"/>
  <c r="BJ39" i="30"/>
  <c r="BI39" i="30"/>
  <c r="BH39" i="30"/>
  <c r="BG39" i="30"/>
  <c r="BF39" i="30"/>
  <c r="BC39" i="30"/>
  <c r="BA39" i="30"/>
  <c r="AY39" i="30"/>
  <c r="AX39" i="30"/>
  <c r="AW39" i="30"/>
  <c r="AU39" i="30"/>
  <c r="AT39" i="30"/>
  <c r="AS39" i="30"/>
  <c r="AR39" i="30"/>
  <c r="AQ39" i="30"/>
  <c r="W39" i="30"/>
  <c r="X39" i="30" s="1"/>
  <c r="BK38" i="30"/>
  <c r="BJ38" i="30"/>
  <c r="BI38" i="30"/>
  <c r="BH38" i="30"/>
  <c r="BG38" i="30"/>
  <c r="BF38" i="30"/>
  <c r="BC38" i="30"/>
  <c r="BA38" i="30"/>
  <c r="AY38" i="30"/>
  <c r="AX38" i="30"/>
  <c r="AW38" i="30"/>
  <c r="AU38" i="30"/>
  <c r="AT38" i="30"/>
  <c r="AS38" i="30"/>
  <c r="AR38" i="30"/>
  <c r="AQ38" i="30"/>
  <c r="W38" i="30"/>
  <c r="X38" i="30" s="1"/>
  <c r="BK37" i="30"/>
  <c r="BJ37" i="30"/>
  <c r="BI37" i="30"/>
  <c r="BH37" i="30"/>
  <c r="BG37" i="30"/>
  <c r="BF37" i="30"/>
  <c r="BC37" i="30"/>
  <c r="BA37" i="30"/>
  <c r="AY37" i="30"/>
  <c r="AX37" i="30"/>
  <c r="AW37" i="30"/>
  <c r="AU37" i="30"/>
  <c r="AT37" i="30"/>
  <c r="AS37" i="30"/>
  <c r="AR37" i="30"/>
  <c r="AQ37" i="30"/>
  <c r="W37" i="30"/>
  <c r="X37" i="30" s="1"/>
  <c r="BK36" i="30"/>
  <c r="BJ36" i="30"/>
  <c r="BI36" i="30"/>
  <c r="BH36" i="30"/>
  <c r="BG36" i="30"/>
  <c r="BF36" i="30"/>
  <c r="BC36" i="30"/>
  <c r="BA36" i="30"/>
  <c r="AY36" i="30"/>
  <c r="AX36" i="30"/>
  <c r="AW36" i="30"/>
  <c r="AU36" i="30"/>
  <c r="AT36" i="30"/>
  <c r="AS36" i="30"/>
  <c r="AR36" i="30"/>
  <c r="AQ36" i="30"/>
  <c r="W36" i="30"/>
  <c r="X36" i="30" s="1"/>
  <c r="BK35" i="30"/>
  <c r="BJ35" i="30"/>
  <c r="BI35" i="30"/>
  <c r="BH35" i="30"/>
  <c r="BG35" i="30"/>
  <c r="BF35" i="30"/>
  <c r="BC35" i="30"/>
  <c r="BA35" i="30"/>
  <c r="AY35" i="30"/>
  <c r="AX35" i="30"/>
  <c r="AW35" i="30"/>
  <c r="AU35" i="30"/>
  <c r="AT35" i="30"/>
  <c r="AS35" i="30"/>
  <c r="AR35" i="30"/>
  <c r="AQ35" i="30"/>
  <c r="W35" i="30"/>
  <c r="X35" i="30" s="1"/>
  <c r="BK34" i="30"/>
  <c r="BJ34" i="30"/>
  <c r="BI34" i="30"/>
  <c r="BH34" i="30"/>
  <c r="BG34" i="30"/>
  <c r="BF34" i="30"/>
  <c r="BC34" i="30"/>
  <c r="BA34" i="30"/>
  <c r="AY34" i="30"/>
  <c r="AX34" i="30"/>
  <c r="AW34" i="30"/>
  <c r="AU34" i="30"/>
  <c r="AT34" i="30"/>
  <c r="AS34" i="30"/>
  <c r="AR34" i="30"/>
  <c r="AQ34" i="30"/>
  <c r="W34" i="30"/>
  <c r="X34" i="30" s="1"/>
  <c r="BK33" i="30"/>
  <c r="BJ33" i="30"/>
  <c r="BI33" i="30"/>
  <c r="BH33" i="30"/>
  <c r="BG33" i="30"/>
  <c r="BF33" i="30"/>
  <c r="BC33" i="30"/>
  <c r="BA33" i="30"/>
  <c r="AY33" i="30"/>
  <c r="AX33" i="30"/>
  <c r="AW33" i="30"/>
  <c r="AU33" i="30"/>
  <c r="AT33" i="30"/>
  <c r="AS33" i="30"/>
  <c r="AR33" i="30"/>
  <c r="AQ33" i="30"/>
  <c r="W33" i="30"/>
  <c r="X33" i="30" s="1"/>
  <c r="BK32" i="30"/>
  <c r="BJ32" i="30"/>
  <c r="BI32" i="30"/>
  <c r="BH32" i="30"/>
  <c r="BG32" i="30"/>
  <c r="BF32" i="30"/>
  <c r="BC32" i="30"/>
  <c r="BA32" i="30"/>
  <c r="AY32" i="30"/>
  <c r="AX32" i="30"/>
  <c r="AW32" i="30"/>
  <c r="AU32" i="30"/>
  <c r="AT32" i="30"/>
  <c r="AS32" i="30"/>
  <c r="AR32" i="30"/>
  <c r="AQ32" i="30"/>
  <c r="W32" i="30"/>
  <c r="X32" i="30" s="1"/>
  <c r="BK31" i="30"/>
  <c r="BJ31" i="30"/>
  <c r="BI31" i="30"/>
  <c r="BH31" i="30"/>
  <c r="BG31" i="30"/>
  <c r="BF31" i="30"/>
  <c r="BC31" i="30"/>
  <c r="BA31" i="30"/>
  <c r="AY31" i="30"/>
  <c r="AX31" i="30"/>
  <c r="AW31" i="30"/>
  <c r="AU31" i="30"/>
  <c r="AT31" i="30"/>
  <c r="AS31" i="30"/>
  <c r="AR31" i="30"/>
  <c r="AQ31" i="30"/>
  <c r="W31" i="30"/>
  <c r="X31" i="30" s="1"/>
  <c r="BK30" i="30"/>
  <c r="BJ30" i="30"/>
  <c r="BI30" i="30"/>
  <c r="BH30" i="30"/>
  <c r="BG30" i="30"/>
  <c r="BF30" i="30"/>
  <c r="BC30" i="30"/>
  <c r="BA30" i="30"/>
  <c r="AY30" i="30"/>
  <c r="AX30" i="30"/>
  <c r="AW30" i="30"/>
  <c r="AU30" i="30"/>
  <c r="AT30" i="30"/>
  <c r="AS30" i="30"/>
  <c r="AR30" i="30"/>
  <c r="AQ30" i="30"/>
  <c r="W30" i="30"/>
  <c r="X30" i="30" s="1"/>
  <c r="BK29" i="30"/>
  <c r="BJ29" i="30"/>
  <c r="BI29" i="30"/>
  <c r="BH29" i="30"/>
  <c r="BG29" i="30"/>
  <c r="BF29" i="30"/>
  <c r="BC29" i="30"/>
  <c r="BA29" i="30"/>
  <c r="AY29" i="30"/>
  <c r="AX29" i="30"/>
  <c r="AW29" i="30"/>
  <c r="AU29" i="30"/>
  <c r="AT29" i="30"/>
  <c r="AS29" i="30"/>
  <c r="AR29" i="30"/>
  <c r="AQ29" i="30"/>
  <c r="W29" i="30"/>
  <c r="X29" i="30" s="1"/>
  <c r="BK28" i="30"/>
  <c r="BJ28" i="30"/>
  <c r="BI28" i="30"/>
  <c r="BH28" i="30"/>
  <c r="BG28" i="30"/>
  <c r="BF28" i="30"/>
  <c r="BC28" i="30"/>
  <c r="BA28" i="30"/>
  <c r="AY28" i="30"/>
  <c r="AX28" i="30"/>
  <c r="AW28" i="30"/>
  <c r="AU28" i="30"/>
  <c r="AT28" i="30"/>
  <c r="AS28" i="30"/>
  <c r="AR28" i="30"/>
  <c r="AQ28" i="30"/>
  <c r="W28" i="30"/>
  <c r="X28" i="30" s="1"/>
  <c r="BK27" i="30"/>
  <c r="BJ27" i="30"/>
  <c r="BI27" i="30"/>
  <c r="BH27" i="30"/>
  <c r="BG27" i="30"/>
  <c r="BF27" i="30"/>
  <c r="BC27" i="30"/>
  <c r="BA27" i="30"/>
  <c r="AY27" i="30"/>
  <c r="AX27" i="30"/>
  <c r="AW27" i="30"/>
  <c r="AU27" i="30"/>
  <c r="AT27" i="30"/>
  <c r="AS27" i="30"/>
  <c r="AR27" i="30"/>
  <c r="AQ27" i="30"/>
  <c r="X27" i="30"/>
  <c r="BK26" i="30"/>
  <c r="BJ26" i="30"/>
  <c r="BI26" i="30"/>
  <c r="BH26" i="30"/>
  <c r="BG26" i="30"/>
  <c r="BF26" i="30"/>
  <c r="BC26" i="30"/>
  <c r="BA26" i="30"/>
  <c r="AY26" i="30"/>
  <c r="AX26" i="30"/>
  <c r="AW26" i="30"/>
  <c r="AU26" i="30"/>
  <c r="AT26" i="30"/>
  <c r="AS26" i="30"/>
  <c r="AR26" i="30"/>
  <c r="AQ26" i="30"/>
  <c r="W26" i="30"/>
  <c r="X26" i="30" s="1"/>
  <c r="BK25" i="30"/>
  <c r="BJ25" i="30"/>
  <c r="BI25" i="30"/>
  <c r="BH25" i="30"/>
  <c r="BG25" i="30"/>
  <c r="BF25" i="30"/>
  <c r="BC25" i="30"/>
  <c r="BA25" i="30"/>
  <c r="AY25" i="30"/>
  <c r="AX25" i="30"/>
  <c r="AW25" i="30"/>
  <c r="AU25" i="30"/>
  <c r="AT25" i="30"/>
  <c r="AS25" i="30"/>
  <c r="AR25" i="30"/>
  <c r="AQ25" i="30"/>
  <c r="W25" i="30"/>
  <c r="X25" i="30" s="1"/>
  <c r="BK24" i="30"/>
  <c r="BJ24" i="30"/>
  <c r="BI24" i="30"/>
  <c r="BH24" i="30"/>
  <c r="BG24" i="30"/>
  <c r="BF24" i="30"/>
  <c r="BC24" i="30"/>
  <c r="BA24" i="30"/>
  <c r="AY24" i="30"/>
  <c r="AX24" i="30"/>
  <c r="AW24" i="30"/>
  <c r="AU24" i="30"/>
  <c r="AT24" i="30"/>
  <c r="AS24" i="30"/>
  <c r="AR24" i="30"/>
  <c r="AQ24" i="30"/>
  <c r="W24" i="30"/>
  <c r="X24" i="30" s="1"/>
  <c r="BK23" i="30"/>
  <c r="BJ23" i="30"/>
  <c r="BI23" i="30"/>
  <c r="BH23" i="30"/>
  <c r="BG23" i="30"/>
  <c r="BF23" i="30"/>
  <c r="BC23" i="30"/>
  <c r="BA23" i="30"/>
  <c r="AY23" i="30"/>
  <c r="AX23" i="30"/>
  <c r="AW23" i="30"/>
  <c r="AU23" i="30"/>
  <c r="AT23" i="30"/>
  <c r="AS23" i="30"/>
  <c r="AR23" i="30"/>
  <c r="AQ23" i="30"/>
  <c r="W23" i="30"/>
  <c r="X23" i="30" s="1"/>
  <c r="BK22" i="30"/>
  <c r="BJ22" i="30"/>
  <c r="BI22" i="30"/>
  <c r="BH22" i="30"/>
  <c r="BG22" i="30"/>
  <c r="BF22" i="30"/>
  <c r="BC22" i="30"/>
  <c r="BA22" i="30"/>
  <c r="AY22" i="30"/>
  <c r="AX22" i="30"/>
  <c r="AW22" i="30"/>
  <c r="AU22" i="30"/>
  <c r="AT22" i="30"/>
  <c r="AS22" i="30"/>
  <c r="AR22" i="30"/>
  <c r="AQ22" i="30"/>
  <c r="W22" i="30"/>
  <c r="X22" i="30" s="1"/>
  <c r="BK21" i="30"/>
  <c r="BJ21" i="30"/>
  <c r="BI21" i="30"/>
  <c r="BH21" i="30"/>
  <c r="BG21" i="30"/>
  <c r="BF21" i="30"/>
  <c r="BC21" i="30"/>
  <c r="BA21" i="30"/>
  <c r="AY21" i="30"/>
  <c r="AX21" i="30"/>
  <c r="AW21" i="30"/>
  <c r="AU21" i="30"/>
  <c r="AT21" i="30"/>
  <c r="AS21" i="30"/>
  <c r="AR21" i="30"/>
  <c r="AQ21" i="30"/>
  <c r="W21" i="30"/>
  <c r="X21" i="30" s="1"/>
  <c r="BK20" i="30"/>
  <c r="BJ20" i="30"/>
  <c r="BI20" i="30"/>
  <c r="BH20" i="30"/>
  <c r="BG20" i="30"/>
  <c r="BF20" i="30"/>
  <c r="BC20" i="30"/>
  <c r="BA20" i="30"/>
  <c r="AY20" i="30"/>
  <c r="AX20" i="30"/>
  <c r="AW20" i="30"/>
  <c r="AU20" i="30"/>
  <c r="AT20" i="30"/>
  <c r="AS20" i="30"/>
  <c r="AR20" i="30"/>
  <c r="AQ20" i="30"/>
  <c r="W20" i="30"/>
  <c r="X20" i="30" s="1"/>
  <c r="BK19" i="30"/>
  <c r="BJ19" i="30"/>
  <c r="BI19" i="30"/>
  <c r="BH19" i="30"/>
  <c r="BG19" i="30"/>
  <c r="BF19" i="30"/>
  <c r="BC19" i="30"/>
  <c r="BA19" i="30"/>
  <c r="AY19" i="30"/>
  <c r="AX19" i="30"/>
  <c r="AW19" i="30"/>
  <c r="AU19" i="30"/>
  <c r="AT19" i="30"/>
  <c r="AS19" i="30"/>
  <c r="AR19" i="30"/>
  <c r="AQ19" i="30"/>
  <c r="W19" i="30"/>
  <c r="X19" i="30" s="1"/>
  <c r="BK18" i="30"/>
  <c r="BJ18" i="30"/>
  <c r="BI18" i="30"/>
  <c r="BH18" i="30"/>
  <c r="BG18" i="30"/>
  <c r="BF18" i="30"/>
  <c r="BC18" i="30"/>
  <c r="BA18" i="30"/>
  <c r="AY18" i="30"/>
  <c r="AX18" i="30"/>
  <c r="AW18" i="30"/>
  <c r="AU18" i="30"/>
  <c r="AT18" i="30"/>
  <c r="AS18" i="30"/>
  <c r="AR18" i="30"/>
  <c r="AQ18" i="30"/>
  <c r="W18" i="30"/>
  <c r="S18" i="30"/>
  <c r="R18" i="30"/>
  <c r="BK17" i="30"/>
  <c r="BJ17" i="30"/>
  <c r="BI17" i="30"/>
  <c r="BH17" i="30"/>
  <c r="BG17" i="30"/>
  <c r="BF17" i="30"/>
  <c r="BC17" i="30"/>
  <c r="BA17" i="30"/>
  <c r="AY17" i="30"/>
  <c r="AX17" i="30"/>
  <c r="AW17" i="30"/>
  <c r="AU17" i="30"/>
  <c r="AT17" i="30"/>
  <c r="AS17" i="30"/>
  <c r="AR17" i="30"/>
  <c r="AQ17" i="30"/>
  <c r="W17" i="30"/>
  <c r="X17" i="30" s="1"/>
  <c r="BK16" i="30"/>
  <c r="BJ16" i="30"/>
  <c r="BI16" i="30"/>
  <c r="BH16" i="30"/>
  <c r="BG16" i="30"/>
  <c r="BF16" i="30"/>
  <c r="BC16" i="30"/>
  <c r="BA16" i="30"/>
  <c r="AY16" i="30"/>
  <c r="AX16" i="30"/>
  <c r="AW16" i="30"/>
  <c r="AU16" i="30"/>
  <c r="AT16" i="30"/>
  <c r="AS16" i="30"/>
  <c r="AR16" i="30"/>
  <c r="AQ16" i="30"/>
  <c r="W16" i="30"/>
  <c r="X16" i="30" s="1"/>
  <c r="BK15" i="30"/>
  <c r="BJ15" i="30"/>
  <c r="BI15" i="30"/>
  <c r="BH15" i="30"/>
  <c r="BG15" i="30"/>
  <c r="BF15" i="30"/>
  <c r="BC15" i="30"/>
  <c r="BA15" i="30"/>
  <c r="AY15" i="30"/>
  <c r="AX15" i="30"/>
  <c r="AW15" i="30"/>
  <c r="AU15" i="30"/>
  <c r="AT15" i="30"/>
  <c r="AS15" i="30"/>
  <c r="AR15" i="30"/>
  <c r="AQ15" i="30"/>
  <c r="W15" i="30"/>
  <c r="X15" i="30" s="1"/>
  <c r="BK14" i="30"/>
  <c r="BJ14" i="30"/>
  <c r="BI14" i="30"/>
  <c r="BH14" i="30"/>
  <c r="BG14" i="30"/>
  <c r="BF14" i="30"/>
  <c r="BC14" i="30"/>
  <c r="BA14" i="30"/>
  <c r="AY14" i="30"/>
  <c r="AX14" i="30"/>
  <c r="AW14" i="30"/>
  <c r="AU14" i="30"/>
  <c r="AT14" i="30"/>
  <c r="AS14" i="30"/>
  <c r="AR14" i="30"/>
  <c r="AQ14" i="30"/>
  <c r="W14" i="30"/>
  <c r="X14" i="30" s="1"/>
  <c r="BK13" i="30"/>
  <c r="BJ13" i="30"/>
  <c r="BI13" i="30"/>
  <c r="BH13" i="30"/>
  <c r="BG13" i="30"/>
  <c r="BF13" i="30"/>
  <c r="BC13" i="30"/>
  <c r="BA13" i="30"/>
  <c r="AY13" i="30"/>
  <c r="AX13" i="30"/>
  <c r="AW13" i="30"/>
  <c r="AU13" i="30"/>
  <c r="AT13" i="30"/>
  <c r="AS13" i="30"/>
  <c r="AR13" i="30"/>
  <c r="AQ13" i="30"/>
  <c r="W13" i="30"/>
  <c r="X13" i="30" s="1"/>
  <c r="BK12" i="30"/>
  <c r="BJ12" i="30"/>
  <c r="BI12" i="30"/>
  <c r="BH12" i="30"/>
  <c r="BG12" i="30"/>
  <c r="BF12" i="30"/>
  <c r="BC12" i="30"/>
  <c r="BA12" i="30"/>
  <c r="AY12" i="30"/>
  <c r="AX12" i="30"/>
  <c r="AW12" i="30"/>
  <c r="AU12" i="30"/>
  <c r="AT12" i="30"/>
  <c r="AS12" i="30"/>
  <c r="AR12" i="30"/>
  <c r="AQ12" i="30"/>
  <c r="W12" i="30"/>
  <c r="X12" i="30" s="1"/>
  <c r="BK11" i="30"/>
  <c r="BJ11" i="30"/>
  <c r="BI11" i="30"/>
  <c r="BH11" i="30"/>
  <c r="BG11" i="30"/>
  <c r="BF11" i="30"/>
  <c r="BC11" i="30"/>
  <c r="BA11" i="30"/>
  <c r="AY11" i="30"/>
  <c r="AX11" i="30"/>
  <c r="AW11" i="30"/>
  <c r="AU11" i="30"/>
  <c r="AT11" i="30"/>
  <c r="AS11" i="30"/>
  <c r="AR11" i="30"/>
  <c r="AQ11" i="30"/>
  <c r="W11" i="30"/>
  <c r="X11" i="30" s="1"/>
  <c r="BK10" i="30"/>
  <c r="BJ10" i="30"/>
  <c r="BI10" i="30"/>
  <c r="BH10" i="30"/>
  <c r="BG10" i="30"/>
  <c r="BF10" i="30"/>
  <c r="BC10" i="30"/>
  <c r="BA10" i="30"/>
  <c r="AY10" i="30"/>
  <c r="AX10" i="30"/>
  <c r="AW10" i="30"/>
  <c r="AU10" i="30"/>
  <c r="AT10" i="30"/>
  <c r="AS10" i="30"/>
  <c r="AR10" i="30"/>
  <c r="AQ10" i="30"/>
  <c r="W10" i="30"/>
  <c r="X10" i="30" s="1"/>
  <c r="BK9" i="30"/>
  <c r="BJ9" i="30"/>
  <c r="BI9" i="30"/>
  <c r="BH9" i="30"/>
  <c r="BG9" i="30"/>
  <c r="BF9" i="30"/>
  <c r="BE9" i="30"/>
  <c r="BD9" i="30"/>
  <c r="BC9" i="30"/>
  <c r="BA9" i="30"/>
  <c r="AY9" i="30"/>
  <c r="AX9" i="30"/>
  <c r="AW9" i="30"/>
  <c r="AU9" i="30"/>
  <c r="AT9" i="30"/>
  <c r="AS9" i="30"/>
  <c r="AR9" i="30"/>
  <c r="AQ9" i="30"/>
  <c r="BK8" i="30"/>
  <c r="BJ8" i="30"/>
  <c r="BI8" i="30"/>
  <c r="BH8" i="30"/>
  <c r="BG8" i="30"/>
  <c r="BF8" i="30"/>
  <c r="BE8" i="30"/>
  <c r="BD8" i="30"/>
  <c r="BC8" i="30"/>
  <c r="BA8" i="30"/>
  <c r="AY8" i="30"/>
  <c r="AX8" i="30"/>
  <c r="AW8" i="30"/>
  <c r="AU8" i="30"/>
  <c r="AT8" i="30"/>
  <c r="AS8" i="30"/>
  <c r="AR8" i="30"/>
  <c r="AQ8" i="30"/>
  <c r="BK7" i="30"/>
  <c r="BJ7" i="30"/>
  <c r="BI7" i="30"/>
  <c r="BH7" i="30"/>
  <c r="BG7" i="30"/>
  <c r="BF7" i="30"/>
  <c r="BE7" i="30"/>
  <c r="BD7" i="30"/>
  <c r="BC7" i="30"/>
  <c r="BA7" i="30"/>
  <c r="AY7" i="30"/>
  <c r="AX7" i="30"/>
  <c r="AW7" i="30"/>
  <c r="AU7" i="30"/>
  <c r="AT7" i="30"/>
  <c r="AS7" i="30"/>
  <c r="AR7" i="30"/>
  <c r="AQ7" i="30"/>
  <c r="BK6" i="30"/>
  <c r="BJ6" i="30"/>
  <c r="BI6" i="30"/>
  <c r="BH6" i="30"/>
  <c r="BG6" i="30"/>
  <c r="BF6" i="30"/>
  <c r="BE6" i="30"/>
  <c r="BD6" i="30"/>
  <c r="BC6" i="30"/>
  <c r="BA6" i="30"/>
  <c r="AY6" i="30"/>
  <c r="AX6" i="30"/>
  <c r="AW6" i="30"/>
  <c r="AU6" i="30"/>
  <c r="AT6" i="30"/>
  <c r="AS6" i="30"/>
  <c r="AR6" i="30"/>
  <c r="AQ6" i="30"/>
  <c r="BK5" i="30"/>
  <c r="BJ5" i="30"/>
  <c r="BI5" i="30"/>
  <c r="BH5" i="30"/>
  <c r="BG5" i="30"/>
  <c r="BF5" i="30"/>
  <c r="BE5" i="30"/>
  <c r="BD5" i="30"/>
  <c r="BC5" i="30"/>
  <c r="BA5" i="30"/>
  <c r="AY5" i="30"/>
  <c r="AX5" i="30"/>
  <c r="AW5" i="30"/>
  <c r="AU5" i="30"/>
  <c r="AT5" i="30"/>
  <c r="AS5" i="30"/>
  <c r="AR5" i="30"/>
  <c r="AQ5" i="30"/>
  <c r="H5" i="30"/>
  <c r="I5" i="30" s="1"/>
  <c r="BK4" i="30"/>
  <c r="BJ4" i="30"/>
  <c r="BI4" i="30"/>
  <c r="BH4" i="30"/>
  <c r="BG4" i="30"/>
  <c r="BF4" i="30"/>
  <c r="BE4" i="30"/>
  <c r="BD4" i="30"/>
  <c r="BC4" i="30"/>
  <c r="BA4" i="30"/>
  <c r="AY4" i="30"/>
  <c r="AX4" i="30"/>
  <c r="AW4" i="30"/>
  <c r="AU4" i="30"/>
  <c r="AT4" i="30"/>
  <c r="AS4" i="30"/>
  <c r="AR4" i="30"/>
  <c r="AQ4" i="30"/>
  <c r="J4" i="30"/>
  <c r="O4" i="30" s="1"/>
  <c r="AJ613" i="30" l="1"/>
  <c r="T500" i="30"/>
  <c r="BE500" i="30" s="1"/>
  <c r="BL500" i="30" s="1"/>
  <c r="AV563" i="30"/>
  <c r="L372" i="30"/>
  <c r="BD164" i="30"/>
  <c r="BD100" i="30"/>
  <c r="BL100" i="30" s="1"/>
  <c r="BP100" i="30" s="1"/>
  <c r="BU100" i="30" s="1"/>
  <c r="BV100" i="30" s="1"/>
  <c r="BW100" i="30" s="1"/>
  <c r="T410" i="30"/>
  <c r="BE410" i="30" s="1"/>
  <c r="AV49" i="30"/>
  <c r="AZ49" i="30" s="1"/>
  <c r="BM49" i="30" s="1"/>
  <c r="BD332" i="30"/>
  <c r="T234" i="30"/>
  <c r="BE234" i="30" s="1"/>
  <c r="BD298" i="30"/>
  <c r="O303" i="30"/>
  <c r="AV126" i="30"/>
  <c r="BB126" i="30" s="1"/>
  <c r="O489" i="30"/>
  <c r="X558" i="30"/>
  <c r="BD558" i="30" s="1"/>
  <c r="AV556" i="30"/>
  <c r="AZ556" i="30" s="1"/>
  <c r="BM556" i="30" s="1"/>
  <c r="BD370" i="30"/>
  <c r="AV133" i="30"/>
  <c r="AZ133" i="30" s="1"/>
  <c r="BM133" i="30" s="1"/>
  <c r="BD181" i="30"/>
  <c r="AV561" i="30"/>
  <c r="AZ561" i="30" s="1"/>
  <c r="BM561" i="30" s="1"/>
  <c r="BD582" i="30"/>
  <c r="L202" i="30"/>
  <c r="X294" i="30"/>
  <c r="BD294" i="30" s="1"/>
  <c r="AV448" i="30"/>
  <c r="AZ448" i="30" s="1"/>
  <c r="BM448" i="30" s="1"/>
  <c r="BM118" i="30"/>
  <c r="BD153" i="30"/>
  <c r="BD213" i="30"/>
  <c r="BL213" i="30" s="1"/>
  <c r="BP213" i="30" s="1"/>
  <c r="BU213" i="30" s="1"/>
  <c r="BV213" i="30" s="1"/>
  <c r="BW213" i="30" s="1"/>
  <c r="O155" i="30"/>
  <c r="AV256" i="30"/>
  <c r="AZ256" i="30" s="1"/>
  <c r="BM256" i="30" s="1"/>
  <c r="AV436" i="30"/>
  <c r="AZ436" i="30" s="1"/>
  <c r="BM436" i="30" s="1"/>
  <c r="BD446" i="30"/>
  <c r="AV94" i="30"/>
  <c r="AZ94" i="30" s="1"/>
  <c r="BM94" i="30" s="1"/>
  <c r="AV227" i="30"/>
  <c r="AZ227" i="30" s="1"/>
  <c r="BM227" i="30" s="1"/>
  <c r="X250" i="30"/>
  <c r="BD250" i="30" s="1"/>
  <c r="BD321" i="30"/>
  <c r="AV393" i="30"/>
  <c r="AZ393" i="30" s="1"/>
  <c r="BM393" i="30" s="1"/>
  <c r="AV430" i="30"/>
  <c r="AZ430" i="30" s="1"/>
  <c r="BM430" i="30" s="1"/>
  <c r="BD74" i="30"/>
  <c r="BD396" i="30"/>
  <c r="AV30" i="30"/>
  <c r="AZ30" i="30" s="1"/>
  <c r="BM30" i="30" s="1"/>
  <c r="AV265" i="30"/>
  <c r="AZ265" i="30" s="1"/>
  <c r="BM265" i="30" s="1"/>
  <c r="BD20" i="30"/>
  <c r="Y20" i="30"/>
  <c r="BQ20" i="30" s="1"/>
  <c r="BD208" i="30"/>
  <c r="BL208" i="30" s="1"/>
  <c r="BP208" i="30" s="1"/>
  <c r="Y208" i="30"/>
  <c r="BQ208" i="30" s="1"/>
  <c r="BD147" i="30"/>
  <c r="BL147" i="30" s="1"/>
  <c r="BP147" i="30" s="1"/>
  <c r="Y147" i="30"/>
  <c r="BQ147" i="30" s="1"/>
  <c r="BD334" i="30"/>
  <c r="Y334" i="30"/>
  <c r="BQ334" i="30" s="1"/>
  <c r="BD549" i="30"/>
  <c r="Y549" i="30"/>
  <c r="BD107" i="30"/>
  <c r="Y107" i="30"/>
  <c r="BQ107" i="30" s="1"/>
  <c r="BD552" i="30"/>
  <c r="Y552" i="30"/>
  <c r="BD123" i="30"/>
  <c r="Y123" i="30"/>
  <c r="BQ123" i="30" s="1"/>
  <c r="BD436" i="30"/>
  <c r="Y436" i="30"/>
  <c r="BQ436" i="30" s="1"/>
  <c r="BD473" i="30"/>
  <c r="Y473" i="30"/>
  <c r="BQ473" i="30" s="1"/>
  <c r="BD539" i="30"/>
  <c r="Y539" i="30"/>
  <c r="BD159" i="30"/>
  <c r="BL159" i="30" s="1"/>
  <c r="BP159" i="30" s="1"/>
  <c r="Y159" i="30"/>
  <c r="BQ159" i="30" s="1"/>
  <c r="BD257" i="30"/>
  <c r="Y257" i="30"/>
  <c r="BQ257" i="30" s="1"/>
  <c r="BD310" i="30"/>
  <c r="Y310" i="30"/>
  <c r="BQ310" i="30" s="1"/>
  <c r="BD554" i="30"/>
  <c r="Y554" i="30"/>
  <c r="L401" i="30"/>
  <c r="O401" i="30"/>
  <c r="T401" i="30"/>
  <c r="BE401" i="30" s="1"/>
  <c r="BD282" i="30"/>
  <c r="Y282" i="30"/>
  <c r="BQ282" i="30" s="1"/>
  <c r="BD161" i="30"/>
  <c r="Y161" i="30"/>
  <c r="BQ161" i="30" s="1"/>
  <c r="BD312" i="30"/>
  <c r="Y312" i="30"/>
  <c r="BQ312" i="30" s="1"/>
  <c r="BD513" i="30"/>
  <c r="Y513" i="30"/>
  <c r="BQ513" i="30" s="1"/>
  <c r="BD346" i="30"/>
  <c r="Y346" i="30"/>
  <c r="BQ346" i="30" s="1"/>
  <c r="BD361" i="30"/>
  <c r="BL361" i="30" s="1"/>
  <c r="BP361" i="30" s="1"/>
  <c r="Y361" i="30"/>
  <c r="BQ361" i="30" s="1"/>
  <c r="BD395" i="30"/>
  <c r="Y395" i="30"/>
  <c r="BQ395" i="30" s="1"/>
  <c r="BD408" i="30"/>
  <c r="Y408" i="30"/>
  <c r="BQ408" i="30" s="1"/>
  <c r="BD422" i="30"/>
  <c r="Y422" i="30"/>
  <c r="BQ422" i="30" s="1"/>
  <c r="BD435" i="30"/>
  <c r="BL435" i="30" s="1"/>
  <c r="BP435" i="30" s="1"/>
  <c r="Y435" i="30"/>
  <c r="BQ435" i="30" s="1"/>
  <c r="BD468" i="30"/>
  <c r="Y468" i="30"/>
  <c r="BQ468" i="30" s="1"/>
  <c r="BD520" i="30"/>
  <c r="Y520" i="30"/>
  <c r="BQ520" i="30" s="1"/>
  <c r="BD535" i="30"/>
  <c r="Y535" i="30"/>
  <c r="BD573" i="30"/>
  <c r="Y573" i="30"/>
  <c r="BQ573" i="30" s="1"/>
  <c r="BD587" i="30"/>
  <c r="Y587" i="30"/>
  <c r="BQ587" i="30" s="1"/>
  <c r="BD32" i="30"/>
  <c r="Y32" i="30"/>
  <c r="BQ32" i="30" s="1"/>
  <c r="BD64" i="30"/>
  <c r="Y64" i="30"/>
  <c r="BQ64" i="30" s="1"/>
  <c r="BD72" i="30"/>
  <c r="Y72" i="30"/>
  <c r="BQ72" i="30" s="1"/>
  <c r="BD94" i="30"/>
  <c r="Y94" i="30"/>
  <c r="BQ94" i="30" s="1"/>
  <c r="BD126" i="30"/>
  <c r="BL126" i="30" s="1"/>
  <c r="BP126" i="30" s="1"/>
  <c r="Y126" i="30"/>
  <c r="BQ126" i="30" s="1"/>
  <c r="BD149" i="30"/>
  <c r="Y149" i="30"/>
  <c r="BQ149" i="30" s="1"/>
  <c r="AV155" i="30"/>
  <c r="AZ155" i="30" s="1"/>
  <c r="BM155" i="30" s="1"/>
  <c r="BD215" i="30"/>
  <c r="BD227" i="30"/>
  <c r="Y227" i="30"/>
  <c r="BQ227" i="30" s="1"/>
  <c r="BD234" i="30"/>
  <c r="Y234" i="30"/>
  <c r="BQ234" i="30" s="1"/>
  <c r="BD241" i="30"/>
  <c r="Y241" i="30"/>
  <c r="BQ241" i="30" s="1"/>
  <c r="BD269" i="30"/>
  <c r="BL269" i="30" s="1"/>
  <c r="BP269" i="30" s="1"/>
  <c r="Y269" i="30"/>
  <c r="BQ269" i="30" s="1"/>
  <c r="BD279" i="30"/>
  <c r="BL279" i="30" s="1"/>
  <c r="BP279" i="30" s="1"/>
  <c r="BU279" i="30" s="1"/>
  <c r="BV279" i="30" s="1"/>
  <c r="BW279" i="30" s="1"/>
  <c r="O291" i="30"/>
  <c r="BD319" i="30"/>
  <c r="Y319" i="30"/>
  <c r="BQ319" i="30" s="1"/>
  <c r="BD326" i="30"/>
  <c r="Y326" i="30"/>
  <c r="BQ326" i="30" s="1"/>
  <c r="BD339" i="30"/>
  <c r="Y339" i="30"/>
  <c r="BQ339" i="30" s="1"/>
  <c r="O354" i="30"/>
  <c r="BD364" i="30"/>
  <c r="BD369" i="30"/>
  <c r="Y369" i="30"/>
  <c r="BQ369" i="30" s="1"/>
  <c r="BD389" i="30"/>
  <c r="Y389" i="30"/>
  <c r="BD401" i="30"/>
  <c r="Y401" i="30"/>
  <c r="BQ401" i="30" s="1"/>
  <c r="BD415" i="30"/>
  <c r="Y415" i="30"/>
  <c r="BQ415" i="30" s="1"/>
  <c r="BD429" i="30"/>
  <c r="Y429" i="30"/>
  <c r="AV441" i="30"/>
  <c r="AZ441" i="30" s="1"/>
  <c r="BM441" i="30" s="1"/>
  <c r="BD442" i="30"/>
  <c r="BL442" i="30" s="1"/>
  <c r="Y442" i="30"/>
  <c r="BD449" i="30"/>
  <c r="Y449" i="30"/>
  <c r="BD456" i="30"/>
  <c r="Y456" i="30"/>
  <c r="BQ456" i="30" s="1"/>
  <c r="BD458" i="30"/>
  <c r="BD475" i="30"/>
  <c r="Y475" i="30"/>
  <c r="BD509" i="30"/>
  <c r="BL509" i="30" s="1"/>
  <c r="BP509" i="30" s="1"/>
  <c r="Y509" i="30"/>
  <c r="BQ509" i="30" s="1"/>
  <c r="BD521" i="30"/>
  <c r="Y521" i="30"/>
  <c r="BQ521" i="30" s="1"/>
  <c r="BD536" i="30"/>
  <c r="Y536" i="30"/>
  <c r="BD559" i="30"/>
  <c r="Y559" i="30"/>
  <c r="BD574" i="30"/>
  <c r="Y574" i="30"/>
  <c r="BQ574" i="30" s="1"/>
  <c r="BD588" i="30"/>
  <c r="Y588" i="30"/>
  <c r="BQ588" i="30" s="1"/>
  <c r="BD383" i="30"/>
  <c r="Y383" i="30"/>
  <c r="AV389" i="30"/>
  <c r="AZ389" i="30" s="1"/>
  <c r="BM389" i="30" s="1"/>
  <c r="BD409" i="30"/>
  <c r="Y409" i="30"/>
  <c r="BQ409" i="30" s="1"/>
  <c r="BD423" i="30"/>
  <c r="Y423" i="30"/>
  <c r="BQ423" i="30" s="1"/>
  <c r="BD462" i="30"/>
  <c r="Y462" i="30"/>
  <c r="BQ462" i="30" s="1"/>
  <c r="BD469" i="30"/>
  <c r="BL469" i="30" s="1"/>
  <c r="BP469" i="30" s="1"/>
  <c r="Y469" i="30"/>
  <c r="BQ469" i="30" s="1"/>
  <c r="BD522" i="30"/>
  <c r="Y522" i="30"/>
  <c r="BQ522" i="30" s="1"/>
  <c r="BD537" i="30"/>
  <c r="Y537" i="30"/>
  <c r="BD550" i="30"/>
  <c r="Y550" i="30"/>
  <c r="BD560" i="30"/>
  <c r="Y560" i="30"/>
  <c r="BD575" i="30"/>
  <c r="Y575" i="30"/>
  <c r="BQ575" i="30" s="1"/>
  <c r="BD108" i="30"/>
  <c r="Y108" i="30"/>
  <c r="BQ108" i="30" s="1"/>
  <c r="BD190" i="30"/>
  <c r="BL190" i="30" s="1"/>
  <c r="BP190" i="30" s="1"/>
  <c r="Y190" i="30"/>
  <c r="BQ190" i="30" s="1"/>
  <c r="BD248" i="30"/>
  <c r="Y248" i="30"/>
  <c r="BQ248" i="30" s="1"/>
  <c r="BD375" i="30"/>
  <c r="Y375" i="30"/>
  <c r="BQ375" i="30" s="1"/>
  <c r="BD142" i="30"/>
  <c r="Y142" i="30"/>
  <c r="BQ142" i="30" s="1"/>
  <c r="BD199" i="30"/>
  <c r="Y199" i="30"/>
  <c r="BQ199" i="30" s="1"/>
  <c r="BD206" i="30"/>
  <c r="Y206" i="30"/>
  <c r="BQ206" i="30" s="1"/>
  <c r="BD220" i="30"/>
  <c r="Y220" i="30"/>
  <c r="BQ220" i="30" s="1"/>
  <c r="BD249" i="30"/>
  <c r="Y249" i="30"/>
  <c r="BQ249" i="30" s="1"/>
  <c r="BD262" i="30"/>
  <c r="Y262" i="30"/>
  <c r="BQ262" i="30" s="1"/>
  <c r="AV269" i="30"/>
  <c r="BB269" i="30" s="1"/>
  <c r="BD277" i="30"/>
  <c r="Y277" i="30"/>
  <c r="BQ277" i="30" s="1"/>
  <c r="BD284" i="30"/>
  <c r="Y284" i="30"/>
  <c r="BQ284" i="30" s="1"/>
  <c r="BD291" i="30"/>
  <c r="Y291" i="30"/>
  <c r="BQ291" i="30" s="1"/>
  <c r="BD333" i="30"/>
  <c r="Y333" i="30"/>
  <c r="BQ333" i="30" s="1"/>
  <c r="BD354" i="30"/>
  <c r="BL354" i="30" s="1"/>
  <c r="BP354" i="30" s="1"/>
  <c r="Y354" i="30"/>
  <c r="BQ354" i="30" s="1"/>
  <c r="BD362" i="30"/>
  <c r="Y362" i="30"/>
  <c r="BQ362" i="30" s="1"/>
  <c r="AV7" i="30"/>
  <c r="BB7" i="30" s="1"/>
  <c r="AV8" i="30"/>
  <c r="BB8" i="30" s="1"/>
  <c r="BD19" i="30"/>
  <c r="Y19" i="30"/>
  <c r="BQ19" i="30" s="1"/>
  <c r="BD34" i="30"/>
  <c r="Y34" i="30"/>
  <c r="BQ34" i="30" s="1"/>
  <c r="BD49" i="30"/>
  <c r="Y49" i="30"/>
  <c r="BQ49" i="30" s="1"/>
  <c r="BD65" i="30"/>
  <c r="BL65" i="30" s="1"/>
  <c r="BP65" i="30" s="1"/>
  <c r="Y65" i="30"/>
  <c r="BQ65" i="30" s="1"/>
  <c r="BD73" i="30"/>
  <c r="BL73" i="30" s="1"/>
  <c r="BP73" i="30" s="1"/>
  <c r="Y73" i="30"/>
  <c r="BQ73" i="30" s="1"/>
  <c r="BD80" i="30"/>
  <c r="Y80" i="30"/>
  <c r="BQ80" i="30" s="1"/>
  <c r="BD95" i="30"/>
  <c r="Y95" i="30"/>
  <c r="BQ95" i="30" s="1"/>
  <c r="BD102" i="30"/>
  <c r="BL102" i="30" s="1"/>
  <c r="BP102" i="30" s="1"/>
  <c r="Y102" i="30"/>
  <c r="BQ102" i="30" s="1"/>
  <c r="AV109" i="30"/>
  <c r="AZ109" i="30" s="1"/>
  <c r="BM109" i="30" s="1"/>
  <c r="BD121" i="30"/>
  <c r="Y121" i="30"/>
  <c r="BQ121" i="30" s="1"/>
  <c r="BD127" i="30"/>
  <c r="BL127" i="30" s="1"/>
  <c r="BP127" i="30" s="1"/>
  <c r="Y127" i="30"/>
  <c r="BQ127" i="30" s="1"/>
  <c r="BD163" i="30"/>
  <c r="Y163" i="30"/>
  <c r="BQ163" i="30" s="1"/>
  <c r="AV175" i="30"/>
  <c r="AZ175" i="30" s="1"/>
  <c r="BM175" i="30" s="1"/>
  <c r="BD177" i="30"/>
  <c r="Y177" i="30"/>
  <c r="BQ177" i="30" s="1"/>
  <c r="BD184" i="30"/>
  <c r="Y184" i="30"/>
  <c r="BQ184" i="30" s="1"/>
  <c r="BD228" i="30"/>
  <c r="Y228" i="30"/>
  <c r="BQ228" i="30" s="1"/>
  <c r="BD242" i="30"/>
  <c r="Y242" i="30"/>
  <c r="BQ242" i="30" s="1"/>
  <c r="BD256" i="30"/>
  <c r="Y256" i="30"/>
  <c r="BQ256" i="30" s="1"/>
  <c r="BD270" i="30"/>
  <c r="BL270" i="30" s="1"/>
  <c r="BP270" i="30" s="1"/>
  <c r="Y270" i="30"/>
  <c r="BQ270" i="30" s="1"/>
  <c r="AV277" i="30"/>
  <c r="AZ277" i="30" s="1"/>
  <c r="BM277" i="30" s="1"/>
  <c r="BD305" i="30"/>
  <c r="Y305" i="30"/>
  <c r="BQ305" i="30" s="1"/>
  <c r="BD320" i="30"/>
  <c r="Y320" i="30"/>
  <c r="BQ320" i="30" s="1"/>
  <c r="BD327" i="30"/>
  <c r="Y327" i="30"/>
  <c r="BQ327" i="30" s="1"/>
  <c r="BD390" i="30"/>
  <c r="Y390" i="30"/>
  <c r="BQ390" i="30" s="1"/>
  <c r="BD402" i="30"/>
  <c r="Y402" i="30"/>
  <c r="BQ402" i="30" s="1"/>
  <c r="BD430" i="30"/>
  <c r="Y430" i="30"/>
  <c r="BD443" i="30"/>
  <c r="Y443" i="30"/>
  <c r="BD450" i="30"/>
  <c r="Y450" i="30"/>
  <c r="BD476" i="30"/>
  <c r="Y476" i="30"/>
  <c r="BM490" i="30"/>
  <c r="BD510" i="30"/>
  <c r="Y510" i="30"/>
  <c r="BQ510" i="30" s="1"/>
  <c r="BD523" i="30"/>
  <c r="Y523" i="30"/>
  <c r="BQ523" i="30" s="1"/>
  <c r="BD538" i="30"/>
  <c r="Y538" i="30"/>
  <c r="BD551" i="30"/>
  <c r="Y551" i="30"/>
  <c r="BD561" i="30"/>
  <c r="Y561" i="30"/>
  <c r="BQ561" i="30" s="1"/>
  <c r="BD31" i="30"/>
  <c r="Y31" i="30"/>
  <c r="BQ31" i="30" s="1"/>
  <c r="BD47" i="30"/>
  <c r="Y47" i="30"/>
  <c r="BQ47" i="30" s="1"/>
  <c r="BD86" i="30"/>
  <c r="Y86" i="30"/>
  <c r="BQ86" i="30" s="1"/>
  <c r="BD219" i="30"/>
  <c r="BL219" i="30" s="1"/>
  <c r="BP219" i="30" s="1"/>
  <c r="Y219" i="30"/>
  <c r="BQ219" i="30" s="1"/>
  <c r="BD57" i="30"/>
  <c r="Y57" i="30"/>
  <c r="BQ57" i="30" s="1"/>
  <c r="BD134" i="30"/>
  <c r="BL134" i="30" s="1"/>
  <c r="BP134" i="30" s="1"/>
  <c r="Y134" i="30"/>
  <c r="BQ134" i="30" s="1"/>
  <c r="BD463" i="30"/>
  <c r="Y463" i="30"/>
  <c r="BQ463" i="30" s="1"/>
  <c r="BD51" i="30"/>
  <c r="Y51" i="30"/>
  <c r="BQ51" i="30" s="1"/>
  <c r="BD96" i="30"/>
  <c r="BL96" i="30" s="1"/>
  <c r="BP96" i="30" s="1"/>
  <c r="Y96" i="30"/>
  <c r="BQ96" i="30" s="1"/>
  <c r="BD128" i="30"/>
  <c r="Y128" i="30"/>
  <c r="BQ128" i="30" s="1"/>
  <c r="BD178" i="30"/>
  <c r="Y178" i="30"/>
  <c r="BQ178" i="30" s="1"/>
  <c r="BD221" i="30"/>
  <c r="Y221" i="30"/>
  <c r="BQ221" i="30" s="1"/>
  <c r="BD229" i="30"/>
  <c r="Y229" i="30"/>
  <c r="BQ229" i="30" s="1"/>
  <c r="BD243" i="30"/>
  <c r="Y243" i="30"/>
  <c r="BQ243" i="30" s="1"/>
  <c r="AV255" i="30"/>
  <c r="AZ255" i="30" s="1"/>
  <c r="BM255" i="30" s="1"/>
  <c r="BD271" i="30"/>
  <c r="Y271" i="30"/>
  <c r="BQ271" i="30" s="1"/>
  <c r="AV304" i="30"/>
  <c r="AZ304" i="30" s="1"/>
  <c r="BM304" i="30" s="1"/>
  <c r="BD306" i="30"/>
  <c r="Y306" i="30"/>
  <c r="BQ306" i="30" s="1"/>
  <c r="BD313" i="30"/>
  <c r="Y313" i="30"/>
  <c r="BQ313" i="30" s="1"/>
  <c r="BD328" i="30"/>
  <c r="Y328" i="30"/>
  <c r="BQ328" i="30" s="1"/>
  <c r="BD348" i="30"/>
  <c r="BL348" i="30" s="1"/>
  <c r="BP348" i="30" s="1"/>
  <c r="Y348" i="30"/>
  <c r="BQ348" i="30" s="1"/>
  <c r="BD377" i="30"/>
  <c r="Y377" i="30"/>
  <c r="BQ377" i="30" s="1"/>
  <c r="BD391" i="30"/>
  <c r="Y391" i="30"/>
  <c r="BQ391" i="30" s="1"/>
  <c r="BD397" i="30"/>
  <c r="Y397" i="30"/>
  <c r="BQ397" i="30" s="1"/>
  <c r="BD403" i="30"/>
  <c r="Y403" i="30"/>
  <c r="BQ403" i="30" s="1"/>
  <c r="BD410" i="30"/>
  <c r="Y410" i="30"/>
  <c r="BQ410" i="30" s="1"/>
  <c r="BD424" i="30"/>
  <c r="BL424" i="30" s="1"/>
  <c r="Y424" i="30"/>
  <c r="BD431" i="30"/>
  <c r="Y431" i="30"/>
  <c r="BD437" i="30"/>
  <c r="Y437" i="30"/>
  <c r="BQ437" i="30" s="1"/>
  <c r="BD444" i="30"/>
  <c r="Y444" i="30"/>
  <c r="BD451" i="30"/>
  <c r="Y451" i="30"/>
  <c r="BD477" i="30"/>
  <c r="BL477" i="30" s="1"/>
  <c r="Y477" i="30"/>
  <c r="BD511" i="30"/>
  <c r="Y511" i="30"/>
  <c r="BQ511" i="30" s="1"/>
  <c r="BD525" i="30"/>
  <c r="Y525" i="30"/>
  <c r="BQ525" i="30" s="1"/>
  <c r="BD563" i="30"/>
  <c r="Y563" i="30"/>
  <c r="BQ563" i="30" s="1"/>
  <c r="BD577" i="30"/>
  <c r="Y577" i="30"/>
  <c r="BQ577" i="30" s="1"/>
  <c r="BD157" i="30"/>
  <c r="Y157" i="30"/>
  <c r="BQ157" i="30" s="1"/>
  <c r="BD235" i="30"/>
  <c r="Y235" i="30"/>
  <c r="BQ235" i="30" s="1"/>
  <c r="BD263" i="30"/>
  <c r="Y263" i="30"/>
  <c r="BQ263" i="30" s="1"/>
  <c r="BD278" i="30"/>
  <c r="Y278" i="30"/>
  <c r="BQ278" i="30" s="1"/>
  <c r="BD66" i="30"/>
  <c r="Y66" i="30"/>
  <c r="BQ66" i="30" s="1"/>
  <c r="BD103" i="30"/>
  <c r="BL103" i="30" s="1"/>
  <c r="BP103" i="30" s="1"/>
  <c r="Y103" i="30"/>
  <c r="BQ103" i="30" s="1"/>
  <c r="AV20" i="30"/>
  <c r="AZ20" i="30" s="1"/>
  <c r="BM20" i="30" s="1"/>
  <c r="BD21" i="30"/>
  <c r="Y21" i="30"/>
  <c r="BQ21" i="30" s="1"/>
  <c r="BD37" i="30"/>
  <c r="Y37" i="30"/>
  <c r="BQ37" i="30" s="1"/>
  <c r="AV51" i="30"/>
  <c r="AZ51" i="30" s="1"/>
  <c r="BM51" i="30" s="1"/>
  <c r="BD59" i="30"/>
  <c r="Y59" i="30"/>
  <c r="BQ59" i="30" s="1"/>
  <c r="BD84" i="30"/>
  <c r="BD111" i="30"/>
  <c r="Y111" i="30"/>
  <c r="BQ111" i="30" s="1"/>
  <c r="BM115" i="30"/>
  <c r="BD117" i="30"/>
  <c r="Y117" i="30"/>
  <c r="BQ117" i="30" s="1"/>
  <c r="BD136" i="30"/>
  <c r="Y136" i="30"/>
  <c r="BQ136" i="30" s="1"/>
  <c r="BD144" i="30"/>
  <c r="Y144" i="30"/>
  <c r="BQ144" i="30" s="1"/>
  <c r="BD151" i="30"/>
  <c r="Y151" i="30"/>
  <c r="BQ151" i="30" s="1"/>
  <c r="BD158" i="30"/>
  <c r="BL158" i="30" s="1"/>
  <c r="BP158" i="30" s="1"/>
  <c r="Y158" i="30"/>
  <c r="BQ158" i="30" s="1"/>
  <c r="BD171" i="30"/>
  <c r="Y171" i="30"/>
  <c r="BQ171" i="30" s="1"/>
  <c r="BD193" i="30"/>
  <c r="BL193" i="30" s="1"/>
  <c r="BP193" i="30" s="1"/>
  <c r="Y193" i="30"/>
  <c r="BQ193" i="30" s="1"/>
  <c r="BD201" i="30"/>
  <c r="Y201" i="30"/>
  <c r="BQ201" i="30" s="1"/>
  <c r="AV220" i="30"/>
  <c r="AZ220" i="30" s="1"/>
  <c r="BM220" i="30" s="1"/>
  <c r="AV221" i="30"/>
  <c r="AZ221" i="30" s="1"/>
  <c r="BM221" i="30" s="1"/>
  <c r="BD236" i="30"/>
  <c r="Y236" i="30"/>
  <c r="BQ236" i="30" s="1"/>
  <c r="AV241" i="30"/>
  <c r="AZ241" i="30" s="1"/>
  <c r="BM241" i="30" s="1"/>
  <c r="AV271" i="30"/>
  <c r="AZ271" i="30" s="1"/>
  <c r="BM271" i="30" s="1"/>
  <c r="BD293" i="30"/>
  <c r="Y293" i="30"/>
  <c r="BQ293" i="30" s="1"/>
  <c r="BD300" i="30"/>
  <c r="Y300" i="30"/>
  <c r="BQ300" i="30" s="1"/>
  <c r="AV306" i="30"/>
  <c r="AZ306" i="30" s="1"/>
  <c r="BM306" i="30" s="1"/>
  <c r="BD341" i="30"/>
  <c r="Y341" i="30"/>
  <c r="BQ341" i="30" s="1"/>
  <c r="BD356" i="30"/>
  <c r="Y356" i="30"/>
  <c r="BQ356" i="30" s="1"/>
  <c r="BD371" i="30"/>
  <c r="Y371" i="30"/>
  <c r="BQ371" i="30" s="1"/>
  <c r="BD417" i="30"/>
  <c r="Y417" i="30"/>
  <c r="BQ417" i="30" s="1"/>
  <c r="BD471" i="30"/>
  <c r="Y471" i="30"/>
  <c r="BQ471" i="30" s="1"/>
  <c r="BD512" i="30"/>
  <c r="Y512" i="30"/>
  <c r="BQ512" i="30" s="1"/>
  <c r="BD516" i="30"/>
  <c r="BD526" i="30"/>
  <c r="Y526" i="30"/>
  <c r="BQ526" i="30" s="1"/>
  <c r="AV551" i="30"/>
  <c r="AZ551" i="30" s="1"/>
  <c r="BM551" i="30" s="1"/>
  <c r="BD553" i="30"/>
  <c r="Y553" i="30"/>
  <c r="BD564" i="30"/>
  <c r="Y564" i="30"/>
  <c r="BQ564" i="30" s="1"/>
  <c r="BD569" i="30"/>
  <c r="BD578" i="30"/>
  <c r="Y578" i="30"/>
  <c r="BQ578" i="30" s="1"/>
  <c r="BD109" i="30"/>
  <c r="Y109" i="30"/>
  <c r="BQ109" i="30" s="1"/>
  <c r="BD214" i="30"/>
  <c r="BL214" i="30" s="1"/>
  <c r="BP214" i="30" s="1"/>
  <c r="Y214" i="30"/>
  <c r="BQ214" i="30" s="1"/>
  <c r="BD81" i="30"/>
  <c r="BL81" i="30" s="1"/>
  <c r="BP81" i="30" s="1"/>
  <c r="Y81" i="30"/>
  <c r="BQ81" i="30" s="1"/>
  <c r="BD10" i="30"/>
  <c r="Y10" i="30"/>
  <c r="BQ10" i="30" s="1"/>
  <c r="BD22" i="30"/>
  <c r="Y22" i="30"/>
  <c r="BQ22" i="30" s="1"/>
  <c r="BD38" i="30"/>
  <c r="Y38" i="30"/>
  <c r="BQ38" i="30" s="1"/>
  <c r="BD52" i="30"/>
  <c r="Y52" i="30"/>
  <c r="BQ52" i="30" s="1"/>
  <c r="BD62" i="30"/>
  <c r="BD67" i="30"/>
  <c r="Y67" i="30"/>
  <c r="BQ67" i="30" s="1"/>
  <c r="BD82" i="30"/>
  <c r="Y82" i="30"/>
  <c r="BQ82" i="30" s="1"/>
  <c r="AV88" i="30"/>
  <c r="AZ88" i="30" s="1"/>
  <c r="BM88" i="30" s="1"/>
  <c r="BD89" i="30"/>
  <c r="Y89" i="30"/>
  <c r="BQ89" i="30" s="1"/>
  <c r="BD97" i="30"/>
  <c r="Y97" i="30"/>
  <c r="BQ97" i="30" s="1"/>
  <c r="BD104" i="30"/>
  <c r="Y104" i="30"/>
  <c r="BQ104" i="30" s="1"/>
  <c r="BD122" i="30"/>
  <c r="Y122" i="30"/>
  <c r="BQ122" i="30" s="1"/>
  <c r="BD129" i="30"/>
  <c r="Y129" i="30"/>
  <c r="BQ129" i="30" s="1"/>
  <c r="AV136" i="30"/>
  <c r="AZ136" i="30" s="1"/>
  <c r="BM136" i="30" s="1"/>
  <c r="AV151" i="30"/>
  <c r="AZ151" i="30" s="1"/>
  <c r="BM151" i="30" s="1"/>
  <c r="BD179" i="30"/>
  <c r="Y179" i="30"/>
  <c r="BQ179" i="30" s="1"/>
  <c r="BD186" i="30"/>
  <c r="Y186" i="30"/>
  <c r="BQ186" i="30" s="1"/>
  <c r="BD222" i="30"/>
  <c r="BL222" i="30" s="1"/>
  <c r="BP222" i="30" s="1"/>
  <c r="Y222" i="30"/>
  <c r="BQ222" i="30" s="1"/>
  <c r="BD230" i="30"/>
  <c r="Y230" i="30"/>
  <c r="BQ230" i="30" s="1"/>
  <c r="BD244" i="30"/>
  <c r="Y244" i="30"/>
  <c r="BQ244" i="30" s="1"/>
  <c r="BD251" i="30"/>
  <c r="Y251" i="30"/>
  <c r="BQ251" i="30" s="1"/>
  <c r="BD264" i="30"/>
  <c r="Y264" i="30"/>
  <c r="BQ264" i="30" s="1"/>
  <c r="BD272" i="30"/>
  <c r="Y272" i="30"/>
  <c r="BQ272" i="30" s="1"/>
  <c r="BD286" i="30"/>
  <c r="Y286" i="30"/>
  <c r="BQ286" i="30" s="1"/>
  <c r="AV291" i="30"/>
  <c r="AZ291" i="30" s="1"/>
  <c r="BM291" i="30" s="1"/>
  <c r="BD307" i="30"/>
  <c r="Y307" i="30"/>
  <c r="BQ307" i="30" s="1"/>
  <c r="BD314" i="30"/>
  <c r="Y314" i="30"/>
  <c r="BQ314" i="30" s="1"/>
  <c r="BD349" i="30"/>
  <c r="Y349" i="30"/>
  <c r="BQ349" i="30" s="1"/>
  <c r="AV364" i="30"/>
  <c r="AZ364" i="30" s="1"/>
  <c r="BM364" i="30" s="1"/>
  <c r="BD378" i="30"/>
  <c r="Y378" i="30"/>
  <c r="BD385" i="30"/>
  <c r="Y385" i="30"/>
  <c r="BD392" i="30"/>
  <c r="Y392" i="30"/>
  <c r="BQ392" i="30" s="1"/>
  <c r="BD404" i="30"/>
  <c r="BL404" i="30" s="1"/>
  <c r="BP404" i="30" s="1"/>
  <c r="Y404" i="30"/>
  <c r="BQ404" i="30" s="1"/>
  <c r="BD411" i="30"/>
  <c r="Y411" i="30"/>
  <c r="BQ411" i="30" s="1"/>
  <c r="BD432" i="30"/>
  <c r="Y432" i="30"/>
  <c r="BD438" i="30"/>
  <c r="Y438" i="30"/>
  <c r="BQ438" i="30" s="1"/>
  <c r="BD445" i="30"/>
  <c r="Y445" i="30"/>
  <c r="BD452" i="30"/>
  <c r="Y452" i="30"/>
  <c r="BD464" i="30"/>
  <c r="Y464" i="30"/>
  <c r="BQ464" i="30" s="1"/>
  <c r="BD527" i="30"/>
  <c r="Y527" i="30"/>
  <c r="BQ527" i="30" s="1"/>
  <c r="BD540" i="30"/>
  <c r="Y540" i="30"/>
  <c r="BD565" i="30"/>
  <c r="Y565" i="30"/>
  <c r="BQ565" i="30" s="1"/>
  <c r="BD579" i="30"/>
  <c r="Y579" i="30"/>
  <c r="BQ579" i="30" s="1"/>
  <c r="BD101" i="30"/>
  <c r="Y101" i="30"/>
  <c r="BQ101" i="30" s="1"/>
  <c r="BD48" i="30"/>
  <c r="Y48" i="30"/>
  <c r="BQ48" i="30" s="1"/>
  <c r="BD143" i="30"/>
  <c r="Y143" i="30"/>
  <c r="BQ143" i="30" s="1"/>
  <c r="BD363" i="30"/>
  <c r="Y363" i="30"/>
  <c r="BQ363" i="30" s="1"/>
  <c r="BD416" i="30"/>
  <c r="BL416" i="30" s="1"/>
  <c r="BP416" i="30" s="1"/>
  <c r="Y416" i="30"/>
  <c r="BQ416" i="30" s="1"/>
  <c r="BD470" i="30"/>
  <c r="Y470" i="30"/>
  <c r="BQ470" i="30" s="1"/>
  <c r="BD36" i="30"/>
  <c r="Y36" i="30"/>
  <c r="BQ36" i="30" s="1"/>
  <c r="BD39" i="30"/>
  <c r="Y39" i="30"/>
  <c r="BQ39" i="30" s="1"/>
  <c r="BD60" i="30"/>
  <c r="Y60" i="30"/>
  <c r="BQ60" i="30" s="1"/>
  <c r="BD75" i="30"/>
  <c r="BL75" i="30" s="1"/>
  <c r="BP75" i="30" s="1"/>
  <c r="Y75" i="30"/>
  <c r="BQ75" i="30" s="1"/>
  <c r="AV82" i="30"/>
  <c r="AZ82" i="30" s="1"/>
  <c r="BM82" i="30" s="1"/>
  <c r="AV97" i="30"/>
  <c r="AZ97" i="30" s="1"/>
  <c r="BM97" i="30" s="1"/>
  <c r="BD112" i="30"/>
  <c r="BL112" i="30" s="1"/>
  <c r="BP112" i="30" s="1"/>
  <c r="Y112" i="30"/>
  <c r="BQ112" i="30" s="1"/>
  <c r="BD137" i="30"/>
  <c r="BL137" i="30" s="1"/>
  <c r="BP137" i="30" s="1"/>
  <c r="Y137" i="30"/>
  <c r="BQ137" i="30" s="1"/>
  <c r="BD145" i="30"/>
  <c r="Y145" i="30"/>
  <c r="BQ145" i="30" s="1"/>
  <c r="BD152" i="30"/>
  <c r="Y152" i="30"/>
  <c r="BQ152" i="30" s="1"/>
  <c r="BD165" i="30"/>
  <c r="Y165" i="30"/>
  <c r="BQ165" i="30" s="1"/>
  <c r="BD172" i="30"/>
  <c r="Y172" i="30"/>
  <c r="BQ172" i="30" s="1"/>
  <c r="BD194" i="30"/>
  <c r="Y194" i="30"/>
  <c r="BQ194" i="30" s="1"/>
  <c r="BD237" i="30"/>
  <c r="Y237" i="30"/>
  <c r="BQ237" i="30" s="1"/>
  <c r="BD258" i="30"/>
  <c r="Y258" i="30"/>
  <c r="BQ258" i="30" s="1"/>
  <c r="BD301" i="30"/>
  <c r="Y301" i="30"/>
  <c r="BQ301" i="30" s="1"/>
  <c r="BD322" i="30"/>
  <c r="Y322" i="30"/>
  <c r="BQ322" i="30" s="1"/>
  <c r="BD329" i="30"/>
  <c r="Y329" i="30"/>
  <c r="BQ329" i="30" s="1"/>
  <c r="BD335" i="30"/>
  <c r="Y335" i="30"/>
  <c r="BQ335" i="30" s="1"/>
  <c r="BD342" i="30"/>
  <c r="Y342" i="30"/>
  <c r="BQ342" i="30" s="1"/>
  <c r="BD357" i="30"/>
  <c r="Y357" i="30"/>
  <c r="BQ357" i="30" s="1"/>
  <c r="BD394" i="30"/>
  <c r="BD398" i="30"/>
  <c r="Y398" i="30"/>
  <c r="BQ398" i="30" s="1"/>
  <c r="BD418" i="30"/>
  <c r="Y418" i="30"/>
  <c r="BQ418" i="30" s="1"/>
  <c r="BD425" i="30"/>
  <c r="Y425" i="30"/>
  <c r="BD478" i="30"/>
  <c r="Y478" i="30"/>
  <c r="BD528" i="30"/>
  <c r="Y528" i="30"/>
  <c r="BQ528" i="30" s="1"/>
  <c r="BD541" i="30"/>
  <c r="Y541" i="30"/>
  <c r="BD557" i="30"/>
  <c r="BD566" i="30"/>
  <c r="Y566" i="30"/>
  <c r="BQ566" i="30" s="1"/>
  <c r="BD580" i="30"/>
  <c r="Y580" i="30"/>
  <c r="BQ580" i="30" s="1"/>
  <c r="BD33" i="30"/>
  <c r="Y33" i="30"/>
  <c r="BQ33" i="30" s="1"/>
  <c r="BD50" i="30"/>
  <c r="Y50" i="30"/>
  <c r="BQ50" i="30" s="1"/>
  <c r="BD192" i="30"/>
  <c r="Y192" i="30"/>
  <c r="BQ192" i="30" s="1"/>
  <c r="BD88" i="30"/>
  <c r="Y88" i="30"/>
  <c r="BQ88" i="30" s="1"/>
  <c r="BD11" i="30"/>
  <c r="Y11" i="30"/>
  <c r="BQ11" i="30" s="1"/>
  <c r="AV23" i="30"/>
  <c r="AZ23" i="30" s="1"/>
  <c r="BM23" i="30" s="1"/>
  <c r="BD24" i="30"/>
  <c r="Y24" i="30"/>
  <c r="BQ24" i="30" s="1"/>
  <c r="AV39" i="30"/>
  <c r="AZ39" i="30" s="1"/>
  <c r="BM39" i="30" s="1"/>
  <c r="BD40" i="30"/>
  <c r="Y40" i="30"/>
  <c r="BQ40" i="30" s="1"/>
  <c r="BD53" i="30"/>
  <c r="Y53" i="30"/>
  <c r="BQ53" i="30" s="1"/>
  <c r="BD68" i="30"/>
  <c r="Y68" i="30"/>
  <c r="BQ68" i="30" s="1"/>
  <c r="BD83" i="30"/>
  <c r="Y83" i="30"/>
  <c r="BQ83" i="30" s="1"/>
  <c r="BD90" i="30"/>
  <c r="Y90" i="30"/>
  <c r="BQ90" i="30" s="1"/>
  <c r="BD98" i="30"/>
  <c r="Y98" i="30"/>
  <c r="BQ98" i="30" s="1"/>
  <c r="BD105" i="30"/>
  <c r="BL105" i="30" s="1"/>
  <c r="BP105" i="30" s="1"/>
  <c r="Y105" i="30"/>
  <c r="BQ105" i="30" s="1"/>
  <c r="BM116" i="30"/>
  <c r="BD118" i="30"/>
  <c r="Y118" i="30"/>
  <c r="BQ118" i="30" s="1"/>
  <c r="BD130" i="30"/>
  <c r="BL130" i="30" s="1"/>
  <c r="BP130" i="30" s="1"/>
  <c r="Y130" i="30"/>
  <c r="BQ130" i="30" s="1"/>
  <c r="AV165" i="30"/>
  <c r="AZ165" i="30" s="1"/>
  <c r="BM165" i="30" s="1"/>
  <c r="BD180" i="30"/>
  <c r="BL180" i="30" s="1"/>
  <c r="BP180" i="30" s="1"/>
  <c r="Y180" i="30"/>
  <c r="BQ180" i="30" s="1"/>
  <c r="BD182" i="30"/>
  <c r="BD187" i="30"/>
  <c r="Y187" i="30"/>
  <c r="BQ187" i="30" s="1"/>
  <c r="O202" i="30"/>
  <c r="BD209" i="30"/>
  <c r="Y209" i="30"/>
  <c r="BQ209" i="30" s="1"/>
  <c r="BD216" i="30"/>
  <c r="Y216" i="30"/>
  <c r="BQ216" i="30" s="1"/>
  <c r="BD223" i="30"/>
  <c r="Y223" i="30"/>
  <c r="BQ223" i="30" s="1"/>
  <c r="BD231" i="30"/>
  <c r="Y231" i="30"/>
  <c r="BQ231" i="30" s="1"/>
  <c r="BD252" i="30"/>
  <c r="Y252" i="30"/>
  <c r="BQ252" i="30" s="1"/>
  <c r="BD261" i="30"/>
  <c r="BD265" i="30"/>
  <c r="Y265" i="30"/>
  <c r="BQ265" i="30" s="1"/>
  <c r="X273" i="30"/>
  <c r="BD280" i="30"/>
  <c r="Y280" i="30"/>
  <c r="BQ280" i="30" s="1"/>
  <c r="BD287" i="30"/>
  <c r="BL287" i="30" s="1"/>
  <c r="BP287" i="30" s="1"/>
  <c r="Y287" i="30"/>
  <c r="BQ287" i="30" s="1"/>
  <c r="BD308" i="30"/>
  <c r="Y308" i="30"/>
  <c r="BQ308" i="30" s="1"/>
  <c r="BD315" i="30"/>
  <c r="Y315" i="30"/>
  <c r="BQ315" i="30" s="1"/>
  <c r="AV329" i="30"/>
  <c r="AZ329" i="30" s="1"/>
  <c r="BM329" i="30" s="1"/>
  <c r="BD338" i="30"/>
  <c r="BD350" i="30"/>
  <c r="Y350" i="30"/>
  <c r="BQ350" i="30" s="1"/>
  <c r="BD365" i="30"/>
  <c r="Y365" i="30"/>
  <c r="BQ365" i="30" s="1"/>
  <c r="O372" i="30"/>
  <c r="BD379" i="30"/>
  <c r="BL379" i="30" s="1"/>
  <c r="Y379" i="30"/>
  <c r="BD393" i="30"/>
  <c r="Y393" i="30"/>
  <c r="BQ393" i="30" s="1"/>
  <c r="BD405" i="30"/>
  <c r="Y405" i="30"/>
  <c r="BQ405" i="30" s="1"/>
  <c r="X433" i="30"/>
  <c r="O453" i="30"/>
  <c r="BD465" i="30"/>
  <c r="Y465" i="30"/>
  <c r="BQ465" i="30" s="1"/>
  <c r="O472" i="30"/>
  <c r="BD514" i="30"/>
  <c r="Y514" i="30"/>
  <c r="BQ514" i="30" s="1"/>
  <c r="BD542" i="30"/>
  <c r="Y542" i="30"/>
  <c r="BD567" i="30"/>
  <c r="Y567" i="30"/>
  <c r="BQ567" i="30" s="1"/>
  <c r="BD581" i="30"/>
  <c r="Y581" i="30"/>
  <c r="BQ581" i="30" s="1"/>
  <c r="BD283" i="30"/>
  <c r="Y283" i="30"/>
  <c r="BQ283" i="30" s="1"/>
  <c r="BD340" i="30"/>
  <c r="Y340" i="30"/>
  <c r="BQ340" i="30" s="1"/>
  <c r="BD562" i="30"/>
  <c r="Y562" i="30"/>
  <c r="BQ562" i="30" s="1"/>
  <c r="BD23" i="30"/>
  <c r="Y23" i="30"/>
  <c r="BQ23" i="30" s="1"/>
  <c r="BD12" i="30"/>
  <c r="Y12" i="30"/>
  <c r="BQ12" i="30" s="1"/>
  <c r="BD25" i="30"/>
  <c r="Y25" i="30"/>
  <c r="BQ25" i="30" s="1"/>
  <c r="BD41" i="30"/>
  <c r="Y41" i="30"/>
  <c r="BQ41" i="30" s="1"/>
  <c r="AV53" i="30"/>
  <c r="AZ53" i="30" s="1"/>
  <c r="BM53" i="30" s="1"/>
  <c r="BD61" i="30"/>
  <c r="BL61" i="30" s="1"/>
  <c r="BP61" i="30" s="1"/>
  <c r="Y61" i="30"/>
  <c r="BQ61" i="30" s="1"/>
  <c r="BD76" i="30"/>
  <c r="Y76" i="30"/>
  <c r="BQ76" i="30" s="1"/>
  <c r="AV98" i="30"/>
  <c r="BD113" i="30"/>
  <c r="Y113" i="30"/>
  <c r="BQ113" i="30" s="1"/>
  <c r="BD138" i="30"/>
  <c r="Y138" i="30"/>
  <c r="BQ138" i="30" s="1"/>
  <c r="BD146" i="30"/>
  <c r="Y146" i="30"/>
  <c r="BQ146" i="30" s="1"/>
  <c r="BD166" i="30"/>
  <c r="Y166" i="30"/>
  <c r="BQ166" i="30" s="1"/>
  <c r="BD173" i="30"/>
  <c r="Y173" i="30"/>
  <c r="BQ173" i="30" s="1"/>
  <c r="BD195" i="30"/>
  <c r="Y195" i="30"/>
  <c r="BQ195" i="30" s="1"/>
  <c r="BD202" i="30"/>
  <c r="BL202" i="30" s="1"/>
  <c r="BP202" i="30" s="1"/>
  <c r="Y202" i="30"/>
  <c r="BQ202" i="30" s="1"/>
  <c r="BD238" i="30"/>
  <c r="Y238" i="30"/>
  <c r="BQ238" i="30" s="1"/>
  <c r="BD245" i="30"/>
  <c r="Y245" i="30"/>
  <c r="BQ245" i="30" s="1"/>
  <c r="BD259" i="30"/>
  <c r="Y259" i="30"/>
  <c r="BQ259" i="30" s="1"/>
  <c r="BD302" i="30"/>
  <c r="Y302" i="30"/>
  <c r="BQ302" i="30" s="1"/>
  <c r="AV321" i="30"/>
  <c r="BD323" i="30"/>
  <c r="BL323" i="30" s="1"/>
  <c r="BP323" i="30" s="1"/>
  <c r="Y323" i="30"/>
  <c r="BQ323" i="30" s="1"/>
  <c r="BD330" i="30"/>
  <c r="Y330" i="30"/>
  <c r="BQ330" i="30" s="1"/>
  <c r="BD336" i="30"/>
  <c r="BL336" i="30" s="1"/>
  <c r="BP336" i="30" s="1"/>
  <c r="Y336" i="30"/>
  <c r="BQ336" i="30" s="1"/>
  <c r="BD343" i="30"/>
  <c r="Y343" i="30"/>
  <c r="BQ343" i="30" s="1"/>
  <c r="BD358" i="30"/>
  <c r="Y358" i="30"/>
  <c r="BQ358" i="30" s="1"/>
  <c r="BD372" i="30"/>
  <c r="BL372" i="30" s="1"/>
  <c r="BP372" i="30" s="1"/>
  <c r="Y372" i="30"/>
  <c r="BQ372" i="30" s="1"/>
  <c r="BD386" i="30"/>
  <c r="Y386" i="30"/>
  <c r="AV397" i="30"/>
  <c r="AZ397" i="30" s="1"/>
  <c r="BM397" i="30" s="1"/>
  <c r="BD399" i="30"/>
  <c r="Y399" i="30"/>
  <c r="BQ399" i="30" s="1"/>
  <c r="BD412" i="30"/>
  <c r="Y412" i="30"/>
  <c r="BQ412" i="30" s="1"/>
  <c r="BD419" i="30"/>
  <c r="Y419" i="30"/>
  <c r="BQ419" i="30" s="1"/>
  <c r="O426" i="30"/>
  <c r="BD439" i="30"/>
  <c r="Y439" i="30"/>
  <c r="BQ439" i="30" s="1"/>
  <c r="BD459" i="30"/>
  <c r="Y459" i="30"/>
  <c r="BQ459" i="30" s="1"/>
  <c r="BD472" i="30"/>
  <c r="Y472" i="30"/>
  <c r="BQ472" i="30" s="1"/>
  <c r="BD479" i="30"/>
  <c r="Y479" i="30"/>
  <c r="T499" i="30"/>
  <c r="BE499" i="30" s="1"/>
  <c r="BL499" i="30" s="1"/>
  <c r="BD515" i="30"/>
  <c r="Y515" i="30"/>
  <c r="BQ515" i="30" s="1"/>
  <c r="BD529" i="30"/>
  <c r="Y529" i="30"/>
  <c r="BQ529" i="30" s="1"/>
  <c r="BD543" i="30"/>
  <c r="Y543" i="30"/>
  <c r="BD555" i="30"/>
  <c r="Y555" i="30"/>
  <c r="BD568" i="30"/>
  <c r="Y568" i="30"/>
  <c r="BQ568" i="30" s="1"/>
  <c r="BD198" i="30"/>
  <c r="Y198" i="30"/>
  <c r="BQ198" i="30" s="1"/>
  <c r="BD205" i="30"/>
  <c r="Y205" i="30"/>
  <c r="BQ205" i="30" s="1"/>
  <c r="BD311" i="30"/>
  <c r="Y311" i="30"/>
  <c r="BQ311" i="30" s="1"/>
  <c r="BD13" i="30"/>
  <c r="Y13" i="30"/>
  <c r="BQ13" i="30" s="1"/>
  <c r="BD26" i="30"/>
  <c r="Y26" i="30"/>
  <c r="BQ26" i="30" s="1"/>
  <c r="BD42" i="30"/>
  <c r="Y42" i="30"/>
  <c r="BQ42" i="30" s="1"/>
  <c r="BD54" i="30"/>
  <c r="Y54" i="30"/>
  <c r="BQ54" i="30" s="1"/>
  <c r="BD69" i="30"/>
  <c r="Y69" i="30"/>
  <c r="BQ69" i="30" s="1"/>
  <c r="BD79" i="30"/>
  <c r="BD91" i="30"/>
  <c r="Y91" i="30"/>
  <c r="BQ91" i="30" s="1"/>
  <c r="BD99" i="30"/>
  <c r="Y99" i="30"/>
  <c r="BQ99" i="30" s="1"/>
  <c r="BD106" i="30"/>
  <c r="Y106" i="30"/>
  <c r="BQ106" i="30" s="1"/>
  <c r="BD120" i="30"/>
  <c r="BD131" i="30"/>
  <c r="BL131" i="30" s="1"/>
  <c r="BP131" i="30" s="1"/>
  <c r="Y131" i="30"/>
  <c r="BQ131" i="30" s="1"/>
  <c r="BD160" i="30"/>
  <c r="Y160" i="30"/>
  <c r="BQ160" i="30" s="1"/>
  <c r="BD169" i="30"/>
  <c r="BL169" i="30" s="1"/>
  <c r="BP169" i="30" s="1"/>
  <c r="BU169" i="30" s="1"/>
  <c r="BV169" i="30" s="1"/>
  <c r="BW169" i="30" s="1"/>
  <c r="BD176" i="30"/>
  <c r="BL176" i="30" s="1"/>
  <c r="BP176" i="30" s="1"/>
  <c r="BU176" i="30" s="1"/>
  <c r="BV176" i="30" s="1"/>
  <c r="BW176" i="30" s="1"/>
  <c r="AV195" i="30"/>
  <c r="AZ195" i="30" s="1"/>
  <c r="BM195" i="30" s="1"/>
  <c r="BD210" i="30"/>
  <c r="BL210" i="30" s="1"/>
  <c r="BP210" i="30" s="1"/>
  <c r="Y210" i="30"/>
  <c r="BQ210" i="30" s="1"/>
  <c r="BD224" i="30"/>
  <c r="BL224" i="30" s="1"/>
  <c r="BP224" i="30" s="1"/>
  <c r="Y224" i="30"/>
  <c r="BQ224" i="30" s="1"/>
  <c r="BD253" i="30"/>
  <c r="BL253" i="30" s="1"/>
  <c r="BP253" i="30" s="1"/>
  <c r="Y253" i="30"/>
  <c r="BQ253" i="30" s="1"/>
  <c r="BD255" i="30"/>
  <c r="BD266" i="30"/>
  <c r="Y266" i="30"/>
  <c r="BQ266" i="30" s="1"/>
  <c r="BD281" i="30"/>
  <c r="Y281" i="30"/>
  <c r="BQ281" i="30" s="1"/>
  <c r="BD288" i="30"/>
  <c r="Y288" i="30"/>
  <c r="BQ288" i="30" s="1"/>
  <c r="BD295" i="30"/>
  <c r="Y295" i="30"/>
  <c r="BQ295" i="30" s="1"/>
  <c r="BD309" i="30"/>
  <c r="Y309" i="30"/>
  <c r="BQ309" i="30" s="1"/>
  <c r="BD316" i="30"/>
  <c r="Y316" i="30"/>
  <c r="BQ316" i="30" s="1"/>
  <c r="BD351" i="30"/>
  <c r="BL351" i="30" s="1"/>
  <c r="BP351" i="30" s="1"/>
  <c r="Y351" i="30"/>
  <c r="BQ351" i="30" s="1"/>
  <c r="AV358" i="30"/>
  <c r="AZ358" i="30" s="1"/>
  <c r="BM358" i="30" s="1"/>
  <c r="BD366" i="30"/>
  <c r="Y366" i="30"/>
  <c r="BQ366" i="30" s="1"/>
  <c r="BD380" i="30"/>
  <c r="Y380" i="30"/>
  <c r="BD426" i="30"/>
  <c r="BL426" i="30" s="1"/>
  <c r="Y426" i="30"/>
  <c r="BD453" i="30"/>
  <c r="Y453" i="30"/>
  <c r="BD466" i="30"/>
  <c r="Y466" i="30"/>
  <c r="BQ466" i="30" s="1"/>
  <c r="BD530" i="30"/>
  <c r="Y530" i="30"/>
  <c r="BQ530" i="30" s="1"/>
  <c r="BD544" i="30"/>
  <c r="Y544" i="30"/>
  <c r="AV555" i="30"/>
  <c r="AZ555" i="30" s="1"/>
  <c r="BM555" i="30" s="1"/>
  <c r="BD556" i="30"/>
  <c r="Y556" i="30"/>
  <c r="BD155" i="30"/>
  <c r="Y155" i="30"/>
  <c r="BQ155" i="30" s="1"/>
  <c r="BD156" i="30"/>
  <c r="Y156" i="30"/>
  <c r="BQ156" i="30" s="1"/>
  <c r="BD35" i="30"/>
  <c r="Y35" i="30"/>
  <c r="BQ35" i="30" s="1"/>
  <c r="AV47" i="30"/>
  <c r="AZ47" i="30" s="1"/>
  <c r="BM47" i="30" s="1"/>
  <c r="BD58" i="30"/>
  <c r="Y58" i="30"/>
  <c r="BQ58" i="30" s="1"/>
  <c r="BD384" i="30"/>
  <c r="Y384" i="30"/>
  <c r="BD14" i="30"/>
  <c r="Y14" i="30"/>
  <c r="BQ14" i="30" s="1"/>
  <c r="BD27" i="30"/>
  <c r="Y27" i="30"/>
  <c r="BQ27" i="30" s="1"/>
  <c r="BD43" i="30"/>
  <c r="Y43" i="30"/>
  <c r="BQ43" i="30" s="1"/>
  <c r="BD77" i="30"/>
  <c r="Y77" i="30"/>
  <c r="BQ77" i="30" s="1"/>
  <c r="BD114" i="30"/>
  <c r="Y114" i="30"/>
  <c r="BQ114" i="30" s="1"/>
  <c r="BD119" i="30"/>
  <c r="Y119" i="30"/>
  <c r="BQ119" i="30" s="1"/>
  <c r="AV131" i="30"/>
  <c r="BB131" i="30" s="1"/>
  <c r="BD139" i="30"/>
  <c r="Y139" i="30"/>
  <c r="BQ139" i="30" s="1"/>
  <c r="BD167" i="30"/>
  <c r="Y167" i="30"/>
  <c r="BQ167" i="30" s="1"/>
  <c r="BD174" i="30"/>
  <c r="Y174" i="30"/>
  <c r="BQ174" i="30" s="1"/>
  <c r="BD188" i="30"/>
  <c r="Y188" i="30"/>
  <c r="BQ188" i="30" s="1"/>
  <c r="BD196" i="30"/>
  <c r="Y196" i="30"/>
  <c r="BQ196" i="30" s="1"/>
  <c r="BD203" i="30"/>
  <c r="Y203" i="30"/>
  <c r="BQ203" i="30" s="1"/>
  <c r="BD217" i="30"/>
  <c r="Y217" i="30"/>
  <c r="BQ217" i="30" s="1"/>
  <c r="BD232" i="30"/>
  <c r="BL232" i="30" s="1"/>
  <c r="BP232" i="30" s="1"/>
  <c r="Y232" i="30"/>
  <c r="BQ232" i="30" s="1"/>
  <c r="BD239" i="30"/>
  <c r="Y239" i="30"/>
  <c r="BQ239" i="30" s="1"/>
  <c r="BD246" i="30"/>
  <c r="Y246" i="30"/>
  <c r="BQ246" i="30" s="1"/>
  <c r="BD260" i="30"/>
  <c r="Y260" i="30"/>
  <c r="BQ260" i="30" s="1"/>
  <c r="AV266" i="30"/>
  <c r="AZ266" i="30" s="1"/>
  <c r="BM266" i="30" s="1"/>
  <c r="BD274" i="30"/>
  <c r="Y274" i="30"/>
  <c r="BQ274" i="30" s="1"/>
  <c r="BD337" i="30"/>
  <c r="Y337" i="30"/>
  <c r="BQ337" i="30" s="1"/>
  <c r="BD344" i="30"/>
  <c r="Y344" i="30"/>
  <c r="BQ344" i="30" s="1"/>
  <c r="BD373" i="30"/>
  <c r="Y373" i="30"/>
  <c r="BQ373" i="30" s="1"/>
  <c r="BD400" i="30"/>
  <c r="Y400" i="30"/>
  <c r="BQ400" i="30" s="1"/>
  <c r="BD406" i="30"/>
  <c r="Y406" i="30"/>
  <c r="BQ406" i="30" s="1"/>
  <c r="AV412" i="30"/>
  <c r="AZ412" i="30" s="1"/>
  <c r="BM412" i="30" s="1"/>
  <c r="BD420" i="30"/>
  <c r="Y420" i="30"/>
  <c r="BQ420" i="30" s="1"/>
  <c r="BD434" i="30"/>
  <c r="Y434" i="30"/>
  <c r="BD440" i="30"/>
  <c r="Y440" i="30"/>
  <c r="BQ440" i="30" s="1"/>
  <c r="BD447" i="30"/>
  <c r="Y447" i="30"/>
  <c r="AV530" i="30"/>
  <c r="AZ530" i="30" s="1"/>
  <c r="BM530" i="30" s="1"/>
  <c r="BD531" i="30"/>
  <c r="Y531" i="30"/>
  <c r="BQ531" i="30" s="1"/>
  <c r="BD545" i="30"/>
  <c r="Y545" i="30"/>
  <c r="BD583" i="30"/>
  <c r="Y583" i="30"/>
  <c r="BQ583" i="30" s="1"/>
  <c r="BD110" i="30"/>
  <c r="Y110" i="30"/>
  <c r="BQ110" i="30" s="1"/>
  <c r="BD135" i="30"/>
  <c r="Y135" i="30"/>
  <c r="BQ135" i="30" s="1"/>
  <c r="BD207" i="30"/>
  <c r="Y207" i="30"/>
  <c r="BQ207" i="30" s="1"/>
  <c r="BD292" i="30"/>
  <c r="Y292" i="30"/>
  <c r="BQ292" i="30" s="1"/>
  <c r="BD28" i="30"/>
  <c r="Y28" i="30"/>
  <c r="BQ28" i="30" s="1"/>
  <c r="BD44" i="30"/>
  <c r="Y44" i="30"/>
  <c r="BQ44" i="30" s="1"/>
  <c r="BD55" i="30"/>
  <c r="Y55" i="30"/>
  <c r="BQ55" i="30" s="1"/>
  <c r="BD70" i="30"/>
  <c r="Y70" i="30"/>
  <c r="BQ70" i="30" s="1"/>
  <c r="BD87" i="30"/>
  <c r="BD92" i="30"/>
  <c r="Y92" i="30"/>
  <c r="BQ92" i="30" s="1"/>
  <c r="BD124" i="30"/>
  <c r="Y124" i="30"/>
  <c r="BQ124" i="30" s="1"/>
  <c r="BD132" i="30"/>
  <c r="BL132" i="30" s="1"/>
  <c r="BP132" i="30" s="1"/>
  <c r="Y132" i="30"/>
  <c r="BQ132" i="30" s="1"/>
  <c r="AV139" i="30"/>
  <c r="AZ139" i="30" s="1"/>
  <c r="BM139" i="30" s="1"/>
  <c r="BD154" i="30"/>
  <c r="Y154" i="30"/>
  <c r="BQ154" i="30" s="1"/>
  <c r="AV167" i="30"/>
  <c r="AZ167" i="30" s="1"/>
  <c r="BM167" i="30" s="1"/>
  <c r="BD211" i="30"/>
  <c r="Y211" i="30"/>
  <c r="BQ211" i="30" s="1"/>
  <c r="BD225" i="30"/>
  <c r="Y225" i="30"/>
  <c r="BQ225" i="30" s="1"/>
  <c r="AV232" i="30"/>
  <c r="AZ232" i="30" s="1"/>
  <c r="BM232" i="30" s="1"/>
  <c r="AV239" i="30"/>
  <c r="AZ239" i="30" s="1"/>
  <c r="BM239" i="30" s="1"/>
  <c r="BD254" i="30"/>
  <c r="Y254" i="30"/>
  <c r="BQ254" i="30" s="1"/>
  <c r="BD267" i="30"/>
  <c r="Y267" i="30"/>
  <c r="BQ267" i="30" s="1"/>
  <c r="BD289" i="30"/>
  <c r="Y289" i="30"/>
  <c r="BQ289" i="30" s="1"/>
  <c r="BD296" i="30"/>
  <c r="Y296" i="30"/>
  <c r="BQ296" i="30" s="1"/>
  <c r="BD303" i="30"/>
  <c r="Y303" i="30"/>
  <c r="BQ303" i="30" s="1"/>
  <c r="BD317" i="30"/>
  <c r="BL317" i="30" s="1"/>
  <c r="BP317" i="30" s="1"/>
  <c r="Y317" i="30"/>
  <c r="BQ317" i="30" s="1"/>
  <c r="BD324" i="30"/>
  <c r="BL324" i="30" s="1"/>
  <c r="BP324" i="30" s="1"/>
  <c r="Y324" i="30"/>
  <c r="BQ324" i="30" s="1"/>
  <c r="BD331" i="30"/>
  <c r="BL331" i="30" s="1"/>
  <c r="BP331" i="30" s="1"/>
  <c r="Y331" i="30"/>
  <c r="BQ331" i="30" s="1"/>
  <c r="BD347" i="30"/>
  <c r="BD352" i="30"/>
  <c r="Y352" i="30"/>
  <c r="BQ352" i="30" s="1"/>
  <c r="BD367" i="30"/>
  <c r="Y367" i="30"/>
  <c r="BQ367" i="30" s="1"/>
  <c r="AV373" i="30"/>
  <c r="AZ373" i="30" s="1"/>
  <c r="BM373" i="30" s="1"/>
  <c r="BD376" i="30"/>
  <c r="BD381" i="30"/>
  <c r="Y381" i="30"/>
  <c r="BD387" i="30"/>
  <c r="Y387" i="30"/>
  <c r="AV413" i="30"/>
  <c r="AZ413" i="30" s="1"/>
  <c r="BM413" i="30" s="1"/>
  <c r="BD427" i="30"/>
  <c r="Y427" i="30"/>
  <c r="BD454" i="30"/>
  <c r="Y454" i="30"/>
  <c r="BQ454" i="30" s="1"/>
  <c r="BD460" i="30"/>
  <c r="Y460" i="30"/>
  <c r="BQ460" i="30" s="1"/>
  <c r="BD467" i="30"/>
  <c r="Y467" i="30"/>
  <c r="BQ467" i="30" s="1"/>
  <c r="T488" i="30"/>
  <c r="BE488" i="30" s="1"/>
  <c r="BL488" i="30" s="1"/>
  <c r="BM507" i="30"/>
  <c r="BD517" i="30"/>
  <c r="Y517" i="30"/>
  <c r="BQ517" i="30" s="1"/>
  <c r="BD532" i="30"/>
  <c r="Y532" i="30"/>
  <c r="BQ532" i="30" s="1"/>
  <c r="BD546" i="30"/>
  <c r="Y546" i="30"/>
  <c r="BD570" i="30"/>
  <c r="Y570" i="30"/>
  <c r="BQ570" i="30" s="1"/>
  <c r="BD584" i="30"/>
  <c r="Y584" i="30"/>
  <c r="BQ584" i="30" s="1"/>
  <c r="BD141" i="30"/>
  <c r="Y141" i="30"/>
  <c r="BQ141" i="30" s="1"/>
  <c r="BD276" i="30"/>
  <c r="Y276" i="30"/>
  <c r="BQ276" i="30" s="1"/>
  <c r="BD299" i="30"/>
  <c r="BL299" i="30" s="1"/>
  <c r="BP299" i="30" s="1"/>
  <c r="Y299" i="30"/>
  <c r="BQ299" i="30" s="1"/>
  <c r="BD524" i="30"/>
  <c r="Y524" i="30"/>
  <c r="BQ524" i="30" s="1"/>
  <c r="BD15" i="30"/>
  <c r="Y15" i="30"/>
  <c r="BQ15" i="30" s="1"/>
  <c r="BD16" i="30"/>
  <c r="Y16" i="30"/>
  <c r="BQ16" i="30" s="1"/>
  <c r="BD29" i="30"/>
  <c r="Y29" i="30"/>
  <c r="BQ29" i="30" s="1"/>
  <c r="BD45" i="30"/>
  <c r="Y45" i="30"/>
  <c r="BQ45" i="30" s="1"/>
  <c r="BD78" i="30"/>
  <c r="Y78" i="30"/>
  <c r="BQ78" i="30" s="1"/>
  <c r="BD85" i="30"/>
  <c r="Y85" i="30"/>
  <c r="BQ85" i="30" s="1"/>
  <c r="BD116" i="30"/>
  <c r="BD140" i="30"/>
  <c r="Y140" i="30"/>
  <c r="BQ140" i="30" s="1"/>
  <c r="BD168" i="30"/>
  <c r="Y168" i="30"/>
  <c r="BQ168" i="30" s="1"/>
  <c r="BD175" i="30"/>
  <c r="Y175" i="30"/>
  <c r="BQ175" i="30" s="1"/>
  <c r="BD189" i="30"/>
  <c r="Y189" i="30"/>
  <c r="BQ189" i="30" s="1"/>
  <c r="BD197" i="30"/>
  <c r="Y197" i="30"/>
  <c r="BQ197" i="30" s="1"/>
  <c r="BD204" i="30"/>
  <c r="BL204" i="30" s="1"/>
  <c r="BP204" i="30" s="1"/>
  <c r="Y204" i="30"/>
  <c r="BQ204" i="30" s="1"/>
  <c r="BD218" i="30"/>
  <c r="BL218" i="30" s="1"/>
  <c r="BP218" i="30" s="1"/>
  <c r="Y218" i="30"/>
  <c r="BQ218" i="30" s="1"/>
  <c r="BD233" i="30"/>
  <c r="Y233" i="30"/>
  <c r="BQ233" i="30" s="1"/>
  <c r="O240" i="30"/>
  <c r="BD247" i="30"/>
  <c r="Y247" i="30"/>
  <c r="BQ247" i="30" s="1"/>
  <c r="BD275" i="30"/>
  <c r="BL275" i="30" s="1"/>
  <c r="BP275" i="30" s="1"/>
  <c r="Y275" i="30"/>
  <c r="BQ275" i="30" s="1"/>
  <c r="BD345" i="30"/>
  <c r="Y345" i="30"/>
  <c r="BQ345" i="30" s="1"/>
  <c r="BD360" i="30"/>
  <c r="BL360" i="30" s="1"/>
  <c r="BP360" i="30" s="1"/>
  <c r="Y360" i="30"/>
  <c r="BQ360" i="30" s="1"/>
  <c r="BD374" i="30"/>
  <c r="Y374" i="30"/>
  <c r="BQ374" i="30" s="1"/>
  <c r="BD407" i="30"/>
  <c r="Y407" i="30"/>
  <c r="BQ407" i="30" s="1"/>
  <c r="BD421" i="30"/>
  <c r="BL421" i="30" s="1"/>
  <c r="BP421" i="30" s="1"/>
  <c r="Y421" i="30"/>
  <c r="BQ421" i="30" s="1"/>
  <c r="BD441" i="30"/>
  <c r="Y441" i="30"/>
  <c r="BD457" i="30"/>
  <c r="BD518" i="30"/>
  <c r="Y518" i="30"/>
  <c r="BQ518" i="30" s="1"/>
  <c r="BD533" i="30"/>
  <c r="Y533" i="30"/>
  <c r="BD547" i="30"/>
  <c r="Y547" i="30"/>
  <c r="BD571" i="30"/>
  <c r="Y571" i="30"/>
  <c r="BQ571" i="30" s="1"/>
  <c r="BD585" i="30"/>
  <c r="Y585" i="30"/>
  <c r="BQ585" i="30" s="1"/>
  <c r="BD191" i="30"/>
  <c r="Y191" i="30"/>
  <c r="BQ191" i="30" s="1"/>
  <c r="BD200" i="30"/>
  <c r="BL200" i="30" s="1"/>
  <c r="BP200" i="30" s="1"/>
  <c r="Y200" i="30"/>
  <c r="BQ200" i="30" s="1"/>
  <c r="BD355" i="30"/>
  <c r="BL355" i="30" s="1"/>
  <c r="BP355" i="30" s="1"/>
  <c r="Y355" i="30"/>
  <c r="BQ355" i="30" s="1"/>
  <c r="AV16" i="30"/>
  <c r="AZ16" i="30" s="1"/>
  <c r="BM16" i="30" s="1"/>
  <c r="BD17" i="30"/>
  <c r="Y17" i="30"/>
  <c r="BQ17" i="30" s="1"/>
  <c r="BD30" i="30"/>
  <c r="Y30" i="30"/>
  <c r="BQ30" i="30" s="1"/>
  <c r="BD46" i="30"/>
  <c r="Y46" i="30"/>
  <c r="BQ46" i="30" s="1"/>
  <c r="BD56" i="30"/>
  <c r="Y56" i="30"/>
  <c r="BQ56" i="30" s="1"/>
  <c r="BD63" i="30"/>
  <c r="Y63" i="30"/>
  <c r="BQ63" i="30" s="1"/>
  <c r="BD71" i="30"/>
  <c r="Y71" i="30"/>
  <c r="BQ71" i="30" s="1"/>
  <c r="BD93" i="30"/>
  <c r="Y93" i="30"/>
  <c r="BQ93" i="30" s="1"/>
  <c r="BD115" i="30"/>
  <c r="Y115" i="30"/>
  <c r="BQ115" i="30" s="1"/>
  <c r="BD125" i="30"/>
  <c r="Y125" i="30"/>
  <c r="BQ125" i="30" s="1"/>
  <c r="BD133" i="30"/>
  <c r="Y133" i="30"/>
  <c r="BQ133" i="30" s="1"/>
  <c r="BD148" i="30"/>
  <c r="Y148" i="30"/>
  <c r="BQ148" i="30" s="1"/>
  <c r="AV204" i="30"/>
  <c r="BB204" i="30" s="1"/>
  <c r="BD212" i="30"/>
  <c r="Y212" i="30"/>
  <c r="BQ212" i="30" s="1"/>
  <c r="BD226" i="30"/>
  <c r="Y226" i="30"/>
  <c r="BQ226" i="30" s="1"/>
  <c r="BD240" i="30"/>
  <c r="BL240" i="30" s="1"/>
  <c r="BP240" i="30" s="1"/>
  <c r="Y240" i="30"/>
  <c r="BQ240" i="30" s="1"/>
  <c r="O255" i="30"/>
  <c r="BD268" i="30"/>
  <c r="Y268" i="30"/>
  <c r="BQ268" i="30" s="1"/>
  <c r="BD285" i="30"/>
  <c r="BD290" i="30"/>
  <c r="Y290" i="30"/>
  <c r="BQ290" i="30" s="1"/>
  <c r="BD297" i="30"/>
  <c r="Y297" i="30"/>
  <c r="BQ297" i="30" s="1"/>
  <c r="BD318" i="30"/>
  <c r="BL318" i="30" s="1"/>
  <c r="BP318" i="30" s="1"/>
  <c r="Y318" i="30"/>
  <c r="BQ318" i="30" s="1"/>
  <c r="BD325" i="30"/>
  <c r="Y325" i="30"/>
  <c r="BQ325" i="30" s="1"/>
  <c r="BD353" i="30"/>
  <c r="Y353" i="30"/>
  <c r="BQ353" i="30" s="1"/>
  <c r="BD368" i="30"/>
  <c r="BL368" i="30" s="1"/>
  <c r="BP368" i="30" s="1"/>
  <c r="Y368" i="30"/>
  <c r="BQ368" i="30" s="1"/>
  <c r="BD382" i="30"/>
  <c r="Y382" i="30"/>
  <c r="BD388" i="30"/>
  <c r="Y388" i="30"/>
  <c r="BD428" i="30"/>
  <c r="Y428" i="30"/>
  <c r="BD448" i="30"/>
  <c r="Y448" i="30"/>
  <c r="BD455" i="30"/>
  <c r="Y455" i="30"/>
  <c r="BQ455" i="30" s="1"/>
  <c r="BD474" i="30"/>
  <c r="Y474" i="30"/>
  <c r="BD519" i="30"/>
  <c r="Y519" i="30"/>
  <c r="BQ519" i="30" s="1"/>
  <c r="BD534" i="30"/>
  <c r="Y534" i="30"/>
  <c r="BD548" i="30"/>
  <c r="Y548" i="30"/>
  <c r="BD572" i="30"/>
  <c r="Y572" i="30"/>
  <c r="BQ572" i="30" s="1"/>
  <c r="BD586" i="30"/>
  <c r="Y586" i="30"/>
  <c r="BQ586" i="30" s="1"/>
  <c r="L85" i="30"/>
  <c r="O85" i="30"/>
  <c r="L508" i="30"/>
  <c r="T508" i="30"/>
  <c r="BE508" i="30" s="1"/>
  <c r="BL508" i="30" s="1"/>
  <c r="O508" i="30"/>
  <c r="BM503" i="30"/>
  <c r="AV574" i="30"/>
  <c r="AZ574" i="30" s="1"/>
  <c r="BM574" i="30" s="1"/>
  <c r="AV587" i="30"/>
  <c r="AZ587" i="30" s="1"/>
  <c r="BM587" i="30" s="1"/>
  <c r="T407" i="30"/>
  <c r="BE407" i="30" s="1"/>
  <c r="AV107" i="30"/>
  <c r="AZ107" i="30" s="1"/>
  <c r="BM107" i="30" s="1"/>
  <c r="AV123" i="30"/>
  <c r="AZ123" i="30" s="1"/>
  <c r="BM123" i="30" s="1"/>
  <c r="T186" i="30"/>
  <c r="BE186" i="30" s="1"/>
  <c r="AV341" i="30"/>
  <c r="AZ341" i="30" s="1"/>
  <c r="BM341" i="30" s="1"/>
  <c r="T373" i="30"/>
  <c r="BE373" i="30" s="1"/>
  <c r="O168" i="30"/>
  <c r="T221" i="30"/>
  <c r="BE221" i="30" s="1"/>
  <c r="AV11" i="30"/>
  <c r="AZ11" i="30" s="1"/>
  <c r="BM11" i="30" s="1"/>
  <c r="AV22" i="30"/>
  <c r="AZ22" i="30" s="1"/>
  <c r="BM22" i="30" s="1"/>
  <c r="AV142" i="30"/>
  <c r="AZ142" i="30" s="1"/>
  <c r="BM142" i="30" s="1"/>
  <c r="T168" i="30"/>
  <c r="BE168" i="30" s="1"/>
  <c r="AV197" i="30"/>
  <c r="AZ197" i="30" s="1"/>
  <c r="BM197" i="30" s="1"/>
  <c r="AV240" i="30"/>
  <c r="BB240" i="30" s="1"/>
  <c r="AV276" i="30"/>
  <c r="AZ276" i="30" s="1"/>
  <c r="BM276" i="30" s="1"/>
  <c r="AV283" i="30"/>
  <c r="AZ283" i="30" s="1"/>
  <c r="BM283" i="30" s="1"/>
  <c r="AV319" i="30"/>
  <c r="AZ319" i="30" s="1"/>
  <c r="BM319" i="30" s="1"/>
  <c r="AV336" i="30"/>
  <c r="AZ336" i="30" s="1"/>
  <c r="BM336" i="30" s="1"/>
  <c r="AV406" i="30"/>
  <c r="AZ406" i="30" s="1"/>
  <c r="BM406" i="30" s="1"/>
  <c r="T414" i="30"/>
  <c r="BE414" i="30" s="1"/>
  <c r="BL414" i="30" s="1"/>
  <c r="BP414" i="30" s="1"/>
  <c r="BU414" i="30" s="1"/>
  <c r="BV414" i="30" s="1"/>
  <c r="BW414" i="30" s="1"/>
  <c r="L426" i="30"/>
  <c r="O500" i="30"/>
  <c r="X576" i="30"/>
  <c r="T291" i="30"/>
  <c r="BE291" i="30" s="1"/>
  <c r="AV331" i="30"/>
  <c r="BB331" i="30" s="1"/>
  <c r="X461" i="30"/>
  <c r="Y461" i="30" s="1"/>
  <c r="BQ461" i="30" s="1"/>
  <c r="BU461" i="30" s="1"/>
  <c r="BV461" i="30" s="1"/>
  <c r="BW461" i="30" s="1"/>
  <c r="L468" i="30"/>
  <c r="AV522" i="30"/>
  <c r="AZ522" i="30" s="1"/>
  <c r="BM522" i="30" s="1"/>
  <c r="AV542" i="30"/>
  <c r="AZ542" i="30" s="1"/>
  <c r="BM542" i="30" s="1"/>
  <c r="AV12" i="30"/>
  <c r="AZ12" i="30" s="1"/>
  <c r="BM12" i="30" s="1"/>
  <c r="AV78" i="30"/>
  <c r="AZ78" i="30" s="1"/>
  <c r="BM78" i="30" s="1"/>
  <c r="AV102" i="30"/>
  <c r="AZ102" i="30" s="1"/>
  <c r="BM102" i="30" s="1"/>
  <c r="O139" i="30"/>
  <c r="AV199" i="30"/>
  <c r="AZ199" i="30" s="1"/>
  <c r="BM199" i="30" s="1"/>
  <c r="AV222" i="30"/>
  <c r="BB222" i="30" s="1"/>
  <c r="O415" i="30"/>
  <c r="AV420" i="30"/>
  <c r="AZ420" i="30" s="1"/>
  <c r="BM420" i="30" s="1"/>
  <c r="T468" i="30"/>
  <c r="BE468" i="30" s="1"/>
  <c r="AV578" i="30"/>
  <c r="AZ578" i="30" s="1"/>
  <c r="BM578" i="30" s="1"/>
  <c r="AV58" i="30"/>
  <c r="AZ58" i="30" s="1"/>
  <c r="BM58" i="30" s="1"/>
  <c r="AV72" i="30"/>
  <c r="AZ72" i="30" s="1"/>
  <c r="BM72" i="30" s="1"/>
  <c r="T139" i="30"/>
  <c r="BE139" i="30" s="1"/>
  <c r="O159" i="30"/>
  <c r="AV169" i="30"/>
  <c r="BB169" i="30" s="1"/>
  <c r="AV187" i="30"/>
  <c r="AZ187" i="30" s="1"/>
  <c r="BM187" i="30" s="1"/>
  <c r="AV200" i="30"/>
  <c r="AZ200" i="30" s="1"/>
  <c r="BM200" i="30" s="1"/>
  <c r="T303" i="30"/>
  <c r="BE303" i="30" s="1"/>
  <c r="AV367" i="30"/>
  <c r="AZ367" i="30" s="1"/>
  <c r="BM367" i="30" s="1"/>
  <c r="O381" i="30"/>
  <c r="T415" i="30"/>
  <c r="BE415" i="30" s="1"/>
  <c r="AV512" i="30"/>
  <c r="AZ512" i="30" s="1"/>
  <c r="BM512" i="30" s="1"/>
  <c r="AV15" i="30"/>
  <c r="AZ15" i="30" s="1"/>
  <c r="BM15" i="30" s="1"/>
  <c r="AV41" i="30"/>
  <c r="AZ41" i="30" s="1"/>
  <c r="BM41" i="30" s="1"/>
  <c r="AV42" i="30"/>
  <c r="AZ42" i="30" s="1"/>
  <c r="BM42" i="30" s="1"/>
  <c r="AV66" i="30"/>
  <c r="AZ66" i="30" s="1"/>
  <c r="BM66" i="30" s="1"/>
  <c r="AV90" i="30"/>
  <c r="AZ90" i="30" s="1"/>
  <c r="BM90" i="30" s="1"/>
  <c r="AV103" i="30"/>
  <c r="AZ103" i="30" s="1"/>
  <c r="BM103" i="30" s="1"/>
  <c r="AV110" i="30"/>
  <c r="AZ110" i="30" s="1"/>
  <c r="BM110" i="30" s="1"/>
  <c r="AV229" i="30"/>
  <c r="AV236" i="30"/>
  <c r="AZ236" i="30" s="1"/>
  <c r="BM236" i="30" s="1"/>
  <c r="AV273" i="30"/>
  <c r="BB273" i="30" s="1"/>
  <c r="AV356" i="30"/>
  <c r="AZ356" i="30" s="1"/>
  <c r="BM356" i="30" s="1"/>
  <c r="T381" i="30"/>
  <c r="BE381" i="30" s="1"/>
  <c r="AV419" i="30"/>
  <c r="AZ419" i="30" s="1"/>
  <c r="BM419" i="30" s="1"/>
  <c r="AV433" i="30"/>
  <c r="AZ433" i="30" s="1"/>
  <c r="BM433" i="30" s="1"/>
  <c r="AV451" i="30"/>
  <c r="AZ451" i="30" s="1"/>
  <c r="BM451" i="30" s="1"/>
  <c r="AV457" i="30"/>
  <c r="AZ457" i="30" s="1"/>
  <c r="BM457" i="30" s="1"/>
  <c r="AV468" i="30"/>
  <c r="AZ468" i="30" s="1"/>
  <c r="BM468" i="30" s="1"/>
  <c r="AV473" i="30"/>
  <c r="AZ473" i="30" s="1"/>
  <c r="BM473" i="30" s="1"/>
  <c r="BM489" i="30"/>
  <c r="AV535" i="30"/>
  <c r="AZ535" i="30" s="1"/>
  <c r="BM535" i="30" s="1"/>
  <c r="AV84" i="30"/>
  <c r="AZ84" i="30" s="1"/>
  <c r="BM84" i="30" s="1"/>
  <c r="AV182" i="30"/>
  <c r="AZ182" i="30" s="1"/>
  <c r="BM182" i="30" s="1"/>
  <c r="AV206" i="30"/>
  <c r="AZ206" i="30" s="1"/>
  <c r="BM206" i="30" s="1"/>
  <c r="AV218" i="30"/>
  <c r="AZ218" i="30" s="1"/>
  <c r="BM218" i="30" s="1"/>
  <c r="AV309" i="30"/>
  <c r="AZ309" i="30" s="1"/>
  <c r="BM309" i="30" s="1"/>
  <c r="AV315" i="30"/>
  <c r="AZ315" i="30" s="1"/>
  <c r="BM315" i="30" s="1"/>
  <c r="AV344" i="30"/>
  <c r="AZ344" i="30" s="1"/>
  <c r="BM344" i="30" s="1"/>
  <c r="AV392" i="30"/>
  <c r="O186" i="30"/>
  <c r="AV35" i="30"/>
  <c r="AZ35" i="30" s="1"/>
  <c r="BM35" i="30" s="1"/>
  <c r="AV17" i="30"/>
  <c r="AZ17" i="30" s="1"/>
  <c r="BM17" i="30" s="1"/>
  <c r="AV28" i="30"/>
  <c r="AZ28" i="30" s="1"/>
  <c r="BM28" i="30" s="1"/>
  <c r="AV29" i="30"/>
  <c r="AZ29" i="30" s="1"/>
  <c r="BM29" i="30" s="1"/>
  <c r="AV44" i="30"/>
  <c r="AZ44" i="30" s="1"/>
  <c r="BM44" i="30" s="1"/>
  <c r="AV111" i="30"/>
  <c r="AZ111" i="30" s="1"/>
  <c r="BM111" i="30" s="1"/>
  <c r="AV159" i="30"/>
  <c r="AZ159" i="30" s="1"/>
  <c r="BM159" i="30" s="1"/>
  <c r="AV188" i="30"/>
  <c r="AZ188" i="30" s="1"/>
  <c r="BM188" i="30" s="1"/>
  <c r="AV285" i="30"/>
  <c r="AZ285" i="30" s="1"/>
  <c r="BM285" i="30" s="1"/>
  <c r="AV286" i="30"/>
  <c r="AZ286" i="30" s="1"/>
  <c r="BM286" i="30" s="1"/>
  <c r="X304" i="30"/>
  <c r="AV345" i="30"/>
  <c r="AZ345" i="30" s="1"/>
  <c r="BM345" i="30" s="1"/>
  <c r="AV398" i="30"/>
  <c r="AZ398" i="30" s="1"/>
  <c r="BM398" i="30" s="1"/>
  <c r="AV422" i="30"/>
  <c r="AZ422" i="30" s="1"/>
  <c r="BM422" i="30" s="1"/>
  <c r="AV427" i="30"/>
  <c r="AZ427" i="30" s="1"/>
  <c r="BM427" i="30" s="1"/>
  <c r="AV582" i="30"/>
  <c r="AZ582" i="30" s="1"/>
  <c r="BM582" i="30" s="1"/>
  <c r="AV537" i="30"/>
  <c r="AZ537" i="30" s="1"/>
  <c r="BM537" i="30" s="1"/>
  <c r="AV149" i="30"/>
  <c r="AZ149" i="30" s="1"/>
  <c r="BM149" i="30" s="1"/>
  <c r="AV365" i="30"/>
  <c r="AZ365" i="30" s="1"/>
  <c r="BM365" i="30" s="1"/>
  <c r="X18" i="30"/>
  <c r="AV31" i="30"/>
  <c r="AZ31" i="30" s="1"/>
  <c r="BM31" i="30" s="1"/>
  <c r="AV147" i="30"/>
  <c r="AZ147" i="30" s="1"/>
  <c r="BM147" i="30" s="1"/>
  <c r="AV177" i="30"/>
  <c r="AZ177" i="30" s="1"/>
  <c r="BM177" i="30" s="1"/>
  <c r="AV275" i="30"/>
  <c r="AZ275" i="30" s="1"/>
  <c r="BM275" i="30" s="1"/>
  <c r="O340" i="30"/>
  <c r="O488" i="30"/>
  <c r="AV583" i="30"/>
  <c r="AZ583" i="30" s="1"/>
  <c r="BM583" i="30" s="1"/>
  <c r="AV9" i="30"/>
  <c r="AV127" i="30"/>
  <c r="AZ127" i="30" s="1"/>
  <c r="BM127" i="30" s="1"/>
  <c r="AV128" i="30"/>
  <c r="AZ128" i="30" s="1"/>
  <c r="BM128" i="30" s="1"/>
  <c r="AV189" i="30"/>
  <c r="AZ189" i="30" s="1"/>
  <c r="BM189" i="30" s="1"/>
  <c r="AV225" i="30"/>
  <c r="AZ225" i="30" s="1"/>
  <c r="BM225" i="30" s="1"/>
  <c r="AV303" i="30"/>
  <c r="AZ303" i="30" s="1"/>
  <c r="BM303" i="30" s="1"/>
  <c r="T340" i="30"/>
  <c r="BE340" i="30" s="1"/>
  <c r="AV382" i="30"/>
  <c r="AZ382" i="30" s="1"/>
  <c r="BM382" i="30" s="1"/>
  <c r="AV558" i="30"/>
  <c r="AZ558" i="30" s="1"/>
  <c r="BM558" i="30" s="1"/>
  <c r="AV584" i="30"/>
  <c r="AZ584" i="30" s="1"/>
  <c r="BM584" i="30" s="1"/>
  <c r="O221" i="30"/>
  <c r="AV281" i="30"/>
  <c r="AZ281" i="30" s="1"/>
  <c r="BM281" i="30" s="1"/>
  <c r="BL6" i="30"/>
  <c r="BP6" i="30" s="1"/>
  <c r="BU6" i="30" s="1"/>
  <c r="BV6" i="30" s="1"/>
  <c r="BW6" i="30" s="1"/>
  <c r="AV173" i="30"/>
  <c r="AZ173" i="30" s="1"/>
  <c r="BM173" i="30" s="1"/>
  <c r="AV86" i="30"/>
  <c r="AZ86" i="30" s="1"/>
  <c r="BM86" i="30" s="1"/>
  <c r="AV91" i="30"/>
  <c r="AZ91" i="30" s="1"/>
  <c r="BM91" i="30" s="1"/>
  <c r="T155" i="30"/>
  <c r="BE155" i="30" s="1"/>
  <c r="T300" i="30"/>
  <c r="BE300" i="30" s="1"/>
  <c r="AV323" i="30"/>
  <c r="AZ323" i="30" s="1"/>
  <c r="BM323" i="30" s="1"/>
  <c r="T329" i="30"/>
  <c r="BE329" i="30" s="1"/>
  <c r="AV334" i="30"/>
  <c r="AZ334" i="30" s="1"/>
  <c r="BM334" i="30" s="1"/>
  <c r="L360" i="30"/>
  <c r="AV411" i="30"/>
  <c r="AZ411" i="30" s="1"/>
  <c r="BM411" i="30" s="1"/>
  <c r="AV434" i="30"/>
  <c r="AZ434" i="30" s="1"/>
  <c r="BM434" i="30" s="1"/>
  <c r="AV435" i="30"/>
  <c r="AZ435" i="30" s="1"/>
  <c r="BM435" i="30" s="1"/>
  <c r="T504" i="30"/>
  <c r="BB504" i="30" s="1"/>
  <c r="AV528" i="30"/>
  <c r="AZ528" i="30" s="1"/>
  <c r="BM528" i="30" s="1"/>
  <c r="AV311" i="30"/>
  <c r="AZ311" i="30" s="1"/>
  <c r="BM311" i="30" s="1"/>
  <c r="AV55" i="30"/>
  <c r="AZ55" i="30" s="1"/>
  <c r="BM55" i="30" s="1"/>
  <c r="AV93" i="30"/>
  <c r="AZ93" i="30" s="1"/>
  <c r="BM93" i="30" s="1"/>
  <c r="AV172" i="30"/>
  <c r="AZ172" i="30" s="1"/>
  <c r="BM172" i="30" s="1"/>
  <c r="O234" i="30"/>
  <c r="T289" i="30"/>
  <c r="BE289" i="30" s="1"/>
  <c r="AV305" i="30"/>
  <c r="O360" i="30"/>
  <c r="AV465" i="30"/>
  <c r="AZ465" i="30" s="1"/>
  <c r="BM465" i="30" s="1"/>
  <c r="AV527" i="30"/>
  <c r="AZ527" i="30" s="1"/>
  <c r="BM527" i="30" s="1"/>
  <c r="AV529" i="30"/>
  <c r="AZ529" i="30" s="1"/>
  <c r="BM529" i="30" s="1"/>
  <c r="AV585" i="30"/>
  <c r="AZ585" i="30" s="1"/>
  <c r="BM585" i="30" s="1"/>
  <c r="T445" i="30"/>
  <c r="BE445" i="30" s="1"/>
  <c r="L445" i="30"/>
  <c r="O445" i="30"/>
  <c r="T59" i="30"/>
  <c r="BE59" i="30" s="1"/>
  <c r="O59" i="30"/>
  <c r="L59" i="30"/>
  <c r="T440" i="30"/>
  <c r="BE440" i="30" s="1"/>
  <c r="O440" i="30"/>
  <c r="T99" i="30"/>
  <c r="BE99" i="30" s="1"/>
  <c r="O99" i="30"/>
  <c r="T436" i="30"/>
  <c r="BE436" i="30" s="1"/>
  <c r="O436" i="30"/>
  <c r="L436" i="30"/>
  <c r="T437" i="30"/>
  <c r="BE437" i="30" s="1"/>
  <c r="O437" i="30"/>
  <c r="L437" i="30"/>
  <c r="L78" i="30"/>
  <c r="O78" i="30"/>
  <c r="T78" i="30"/>
  <c r="BE78" i="30" s="1"/>
  <c r="T109" i="30"/>
  <c r="BE109" i="30" s="1"/>
  <c r="O109" i="30"/>
  <c r="L109" i="30"/>
  <c r="O151" i="30"/>
  <c r="T151" i="30"/>
  <c r="T284" i="30"/>
  <c r="BE284" i="30" s="1"/>
  <c r="O284" i="30"/>
  <c r="L284" i="30"/>
  <c r="T481" i="30"/>
  <c r="BE481" i="30" s="1"/>
  <c r="BL481" i="30" s="1"/>
  <c r="L481" i="30"/>
  <c r="O481" i="30"/>
  <c r="AV4" i="30"/>
  <c r="BB4" i="30" s="1"/>
  <c r="AV5" i="30"/>
  <c r="AZ5" i="30" s="1"/>
  <c r="BM5" i="30" s="1"/>
  <c r="BL8" i="30"/>
  <c r="BP8" i="30" s="1"/>
  <c r="BU8" i="30" s="1"/>
  <c r="BV8" i="30" s="1"/>
  <c r="BW8" i="30" s="1"/>
  <c r="AV57" i="30"/>
  <c r="AZ57" i="30" s="1"/>
  <c r="BM57" i="30" s="1"/>
  <c r="T64" i="30"/>
  <c r="BE64" i="30" s="1"/>
  <c r="AV70" i="30"/>
  <c r="AZ70" i="30" s="1"/>
  <c r="BM70" i="30" s="1"/>
  <c r="BM114" i="30"/>
  <c r="AV140" i="30"/>
  <c r="AZ140" i="30" s="1"/>
  <c r="BM140" i="30" s="1"/>
  <c r="L247" i="30"/>
  <c r="AV278" i="30"/>
  <c r="AZ278" i="30" s="1"/>
  <c r="BM278" i="30" s="1"/>
  <c r="AV368" i="30"/>
  <c r="AZ368" i="30" s="1"/>
  <c r="BM368" i="30" s="1"/>
  <c r="O505" i="30"/>
  <c r="AV571" i="30"/>
  <c r="AZ571" i="30" s="1"/>
  <c r="BM571" i="30" s="1"/>
  <c r="L172" i="30"/>
  <c r="T172" i="30"/>
  <c r="BE172" i="30" s="1"/>
  <c r="O122" i="30"/>
  <c r="O172" i="30"/>
  <c r="T189" i="30"/>
  <c r="BE189" i="30" s="1"/>
  <c r="O189" i="30"/>
  <c r="L189" i="30"/>
  <c r="AV37" i="30"/>
  <c r="AZ37" i="30" s="1"/>
  <c r="BM37" i="30" s="1"/>
  <c r="L73" i="30"/>
  <c r="AV80" i="30"/>
  <c r="AZ80" i="30" s="1"/>
  <c r="BM80" i="30" s="1"/>
  <c r="AV259" i="30"/>
  <c r="AZ259" i="30" s="1"/>
  <c r="BM259" i="30" s="1"/>
  <c r="L287" i="30"/>
  <c r="AV386" i="30"/>
  <c r="AZ386" i="30" s="1"/>
  <c r="BM386" i="30" s="1"/>
  <c r="BM121" i="30"/>
  <c r="AV150" i="30"/>
  <c r="AZ150" i="30" s="1"/>
  <c r="BM150" i="30" s="1"/>
  <c r="O287" i="30"/>
  <c r="O228" i="30"/>
  <c r="O320" i="30"/>
  <c r="L320" i="30"/>
  <c r="T320" i="30"/>
  <c r="BE320" i="30" s="1"/>
  <c r="BL320" i="30" s="1"/>
  <c r="BP320" i="30" s="1"/>
  <c r="O441" i="30"/>
  <c r="T441" i="30"/>
  <c r="AV361" i="30"/>
  <c r="AZ361" i="30" s="1"/>
  <c r="BM361" i="30" s="1"/>
  <c r="AV89" i="30"/>
  <c r="AZ89" i="30" s="1"/>
  <c r="BM89" i="30" s="1"/>
  <c r="AV158" i="30"/>
  <c r="BB158" i="30" s="1"/>
  <c r="AV208" i="30"/>
  <c r="AZ208" i="30" s="1"/>
  <c r="BM208" i="30" s="1"/>
  <c r="AV214" i="30"/>
  <c r="AZ214" i="30" s="1"/>
  <c r="BM214" i="30" s="1"/>
  <c r="L253" i="30"/>
  <c r="O253" i="30"/>
  <c r="L275" i="30"/>
  <c r="AV279" i="30"/>
  <c r="AZ279" i="30" s="1"/>
  <c r="BM279" i="30" s="1"/>
  <c r="O316" i="30"/>
  <c r="T316" i="30"/>
  <c r="BE316" i="30" s="1"/>
  <c r="L316" i="30"/>
  <c r="AV325" i="30"/>
  <c r="AZ325" i="30" s="1"/>
  <c r="BM325" i="30" s="1"/>
  <c r="T332" i="30"/>
  <c r="BE332" i="30" s="1"/>
  <c r="O332" i="30"/>
  <c r="L332" i="30"/>
  <c r="AV390" i="30"/>
  <c r="AZ390" i="30" s="1"/>
  <c r="BM390" i="30" s="1"/>
  <c r="AV463" i="30"/>
  <c r="BL487" i="30"/>
  <c r="BM499" i="30"/>
  <c r="AZ505" i="30"/>
  <c r="BM505" i="30" s="1"/>
  <c r="T510" i="30"/>
  <c r="BE510" i="30" s="1"/>
  <c r="O510" i="30"/>
  <c r="O215" i="30"/>
  <c r="T215" i="30"/>
  <c r="BE215" i="30" s="1"/>
  <c r="AV274" i="30"/>
  <c r="AZ274" i="30" s="1"/>
  <c r="BM274" i="30" s="1"/>
  <c r="O275" i="30"/>
  <c r="AV352" i="30"/>
  <c r="AZ352" i="30" s="1"/>
  <c r="BM352" i="30" s="1"/>
  <c r="AV560" i="30"/>
  <c r="AZ560" i="30" s="1"/>
  <c r="BM560" i="30" s="1"/>
  <c r="O244" i="30"/>
  <c r="L244" i="30"/>
  <c r="T244" i="30"/>
  <c r="BE244" i="30" s="1"/>
  <c r="T296" i="30"/>
  <c r="BE296" i="30" s="1"/>
  <c r="O296" i="30"/>
  <c r="L296" i="30"/>
  <c r="O272" i="30"/>
  <c r="L272" i="30"/>
  <c r="T272" i="30"/>
  <c r="BE272" i="30" s="1"/>
  <c r="T334" i="30"/>
  <c r="BE334" i="30" s="1"/>
  <c r="O334" i="30"/>
  <c r="O339" i="30"/>
  <c r="O196" i="30"/>
  <c r="AV444" i="30"/>
  <c r="AV77" i="30"/>
  <c r="AZ77" i="30" s="1"/>
  <c r="BM77" i="30" s="1"/>
  <c r="T196" i="30"/>
  <c r="BE196" i="30" s="1"/>
  <c r="AV92" i="30"/>
  <c r="AZ92" i="30" s="1"/>
  <c r="BM92" i="30" s="1"/>
  <c r="L110" i="30"/>
  <c r="T110" i="30"/>
  <c r="BE110" i="30" s="1"/>
  <c r="O110" i="30"/>
  <c r="O315" i="30"/>
  <c r="O218" i="30"/>
  <c r="L374" i="30"/>
  <c r="T374" i="30"/>
  <c r="BE374" i="30" s="1"/>
  <c r="O374" i="30"/>
  <c r="AV69" i="30"/>
  <c r="AZ69" i="30" s="1"/>
  <c r="BM69" i="30" s="1"/>
  <c r="T247" i="30"/>
  <c r="BE247" i="30" s="1"/>
  <c r="T505" i="30"/>
  <c r="BE505" i="30" s="1"/>
  <c r="BL505" i="30" s="1"/>
  <c r="AV21" i="30"/>
  <c r="AZ21" i="30" s="1"/>
  <c r="BM21" i="30" s="1"/>
  <c r="T85" i="30"/>
  <c r="BE85" i="30" s="1"/>
  <c r="AV181" i="30"/>
  <c r="AZ181" i="30" s="1"/>
  <c r="BM181" i="30" s="1"/>
  <c r="L204" i="30"/>
  <c r="O204" i="30"/>
  <c r="L215" i="30"/>
  <c r="AV247" i="30"/>
  <c r="AZ247" i="30" s="1"/>
  <c r="BM247" i="30" s="1"/>
  <c r="L248" i="30"/>
  <c r="T248" i="30"/>
  <c r="BE248" i="30" s="1"/>
  <c r="O248" i="30"/>
  <c r="T258" i="30"/>
  <c r="BE258" i="30" s="1"/>
  <c r="L258" i="30"/>
  <c r="O258" i="30"/>
  <c r="AV357" i="30"/>
  <c r="AZ357" i="30" s="1"/>
  <c r="BM357" i="30" s="1"/>
  <c r="L386" i="30"/>
  <c r="T386" i="30"/>
  <c r="BE386" i="30" s="1"/>
  <c r="O386" i="30"/>
  <c r="L392" i="30"/>
  <c r="T392" i="30"/>
  <c r="BE392" i="30" s="1"/>
  <c r="O392" i="30"/>
  <c r="T459" i="30"/>
  <c r="BE459" i="30" s="1"/>
  <c r="O459" i="30"/>
  <c r="AZ491" i="30"/>
  <c r="BM491" i="30" s="1"/>
  <c r="BB491" i="30"/>
  <c r="T56" i="30"/>
  <c r="BE56" i="30" s="1"/>
  <c r="O56" i="30"/>
  <c r="O73" i="30"/>
  <c r="AV76" i="30"/>
  <c r="AZ76" i="30" s="1"/>
  <c r="BM76" i="30" s="1"/>
  <c r="L87" i="30"/>
  <c r="T87" i="30"/>
  <c r="BE87" i="30" s="1"/>
  <c r="O87" i="30"/>
  <c r="L334" i="30"/>
  <c r="AV282" i="30"/>
  <c r="AZ282" i="30" s="1"/>
  <c r="BM282" i="30" s="1"/>
  <c r="T315" i="30"/>
  <c r="BE315" i="30" s="1"/>
  <c r="AV217" i="30"/>
  <c r="AZ217" i="30" s="1"/>
  <c r="BM217" i="30" s="1"/>
  <c r="AV6" i="30"/>
  <c r="BB6" i="30" s="1"/>
  <c r="AV54" i="30"/>
  <c r="AZ54" i="30" s="1"/>
  <c r="BM54" i="30" s="1"/>
  <c r="AV59" i="30"/>
  <c r="AZ59" i="30" s="1"/>
  <c r="BM59" i="30" s="1"/>
  <c r="T91" i="30"/>
  <c r="BE91" i="30" s="1"/>
  <c r="L91" i="30"/>
  <c r="AV135" i="30"/>
  <c r="AZ135" i="30" s="1"/>
  <c r="BM135" i="30" s="1"/>
  <c r="AV141" i="30"/>
  <c r="AZ141" i="30" s="1"/>
  <c r="BM141" i="30" s="1"/>
  <c r="O161" i="30"/>
  <c r="L161" i="30"/>
  <c r="T161" i="30"/>
  <c r="BE161" i="30" s="1"/>
  <c r="AV176" i="30"/>
  <c r="O188" i="30"/>
  <c r="T188" i="30"/>
  <c r="BE188" i="30" s="1"/>
  <c r="L188" i="30"/>
  <c r="AV198" i="30"/>
  <c r="AZ198" i="30" s="1"/>
  <c r="BM198" i="30" s="1"/>
  <c r="AV230" i="30"/>
  <c r="AZ230" i="30" s="1"/>
  <c r="BM230" i="30" s="1"/>
  <c r="AV242" i="30"/>
  <c r="AZ242" i="30" s="1"/>
  <c r="BM242" i="30" s="1"/>
  <c r="AV252" i="30"/>
  <c r="AZ252" i="30" s="1"/>
  <c r="BM252" i="30" s="1"/>
  <c r="AV253" i="30"/>
  <c r="AZ253" i="30" s="1"/>
  <c r="BM253" i="30" s="1"/>
  <c r="AV300" i="30"/>
  <c r="AV353" i="30"/>
  <c r="AZ353" i="30" s="1"/>
  <c r="BM353" i="30" s="1"/>
  <c r="L118" i="30"/>
  <c r="T118" i="30"/>
  <c r="O118" i="30"/>
  <c r="AV402" i="30"/>
  <c r="AZ402" i="30" s="1"/>
  <c r="BM402" i="30" s="1"/>
  <c r="AV554" i="30"/>
  <c r="AZ554" i="30" s="1"/>
  <c r="BM554" i="30" s="1"/>
  <c r="T122" i="30"/>
  <c r="AV108" i="30"/>
  <c r="AZ108" i="30" s="1"/>
  <c r="BM108" i="30" s="1"/>
  <c r="L157" i="30"/>
  <c r="T157" i="30"/>
  <c r="BE157" i="30" s="1"/>
  <c r="O157" i="30"/>
  <c r="T339" i="30"/>
  <c r="BE339" i="30" s="1"/>
  <c r="O388" i="30"/>
  <c r="T388" i="30"/>
  <c r="BE388" i="30" s="1"/>
  <c r="L388" i="30"/>
  <c r="AV38" i="30"/>
  <c r="AZ38" i="30" s="1"/>
  <c r="BM38" i="30" s="1"/>
  <c r="T431" i="30"/>
  <c r="BE431" i="30" s="1"/>
  <c r="O64" i="30"/>
  <c r="T71" i="30"/>
  <c r="BE71" i="30" s="1"/>
  <c r="O71" i="30"/>
  <c r="L71" i="30"/>
  <c r="AV250" i="30"/>
  <c r="AZ250" i="30" s="1"/>
  <c r="BM250" i="30" s="1"/>
  <c r="AV85" i="30"/>
  <c r="AZ85" i="30" s="1"/>
  <c r="BM85" i="30" s="1"/>
  <c r="O126" i="30"/>
  <c r="T143" i="30"/>
  <c r="O143" i="30"/>
  <c r="L143" i="30"/>
  <c r="T177" i="30"/>
  <c r="BE177" i="30" s="1"/>
  <c r="O177" i="30"/>
  <c r="O211" i="30"/>
  <c r="T211" i="30"/>
  <c r="BE211" i="30" s="1"/>
  <c r="AV231" i="30"/>
  <c r="AZ231" i="30" s="1"/>
  <c r="BM231" i="30" s="1"/>
  <c r="L354" i="30"/>
  <c r="O393" i="30"/>
  <c r="T393" i="30"/>
  <c r="BE393" i="30" s="1"/>
  <c r="L393" i="30"/>
  <c r="T413" i="30"/>
  <c r="BE413" i="30" s="1"/>
  <c r="BL413" i="30" s="1"/>
  <c r="BP413" i="30" s="1"/>
  <c r="BU413" i="30" s="1"/>
  <c r="BV413" i="30" s="1"/>
  <c r="BW413" i="30" s="1"/>
  <c r="T454" i="30"/>
  <c r="BE454" i="30" s="1"/>
  <c r="O454" i="30"/>
  <c r="L454" i="30"/>
  <c r="AV426" i="30"/>
  <c r="AZ426" i="30" s="1"/>
  <c r="BM426" i="30" s="1"/>
  <c r="AV354" i="30"/>
  <c r="BB354" i="30" s="1"/>
  <c r="T384" i="30"/>
  <c r="BE384" i="30" s="1"/>
  <c r="L396" i="30"/>
  <c r="T405" i="30"/>
  <c r="BE405" i="30" s="1"/>
  <c r="AV409" i="30"/>
  <c r="AZ409" i="30" s="1"/>
  <c r="BM409" i="30" s="1"/>
  <c r="BB485" i="30"/>
  <c r="AV548" i="30"/>
  <c r="AZ548" i="30" s="1"/>
  <c r="BM548" i="30" s="1"/>
  <c r="AV565" i="30"/>
  <c r="AZ565" i="30" s="1"/>
  <c r="BM565" i="30" s="1"/>
  <c r="BL5" i="30"/>
  <c r="BP5" i="30" s="1"/>
  <c r="BU5" i="30" s="1"/>
  <c r="BV5" i="30" s="1"/>
  <c r="BW5" i="30" s="1"/>
  <c r="AV112" i="30"/>
  <c r="AZ112" i="30" s="1"/>
  <c r="BM112" i="30" s="1"/>
  <c r="AV164" i="30"/>
  <c r="BM480" i="30"/>
  <c r="AV56" i="30"/>
  <c r="AZ56" i="30" s="1"/>
  <c r="BM56" i="30" s="1"/>
  <c r="AV65" i="30"/>
  <c r="AZ65" i="30" s="1"/>
  <c r="BM65" i="30" s="1"/>
  <c r="AV99" i="30"/>
  <c r="AZ99" i="30" s="1"/>
  <c r="BM99" i="30" s="1"/>
  <c r="AV288" i="30"/>
  <c r="AZ288" i="30" s="1"/>
  <c r="BM288" i="30" s="1"/>
  <c r="AV298" i="30"/>
  <c r="AZ298" i="30" s="1"/>
  <c r="BM298" i="30" s="1"/>
  <c r="O308" i="30"/>
  <c r="L308" i="30"/>
  <c r="AV316" i="30"/>
  <c r="AZ316" i="30" s="1"/>
  <c r="BM316" i="30" s="1"/>
  <c r="AV320" i="30"/>
  <c r="L324" i="30"/>
  <c r="AV327" i="30"/>
  <c r="AZ327" i="30" s="1"/>
  <c r="BM327" i="30" s="1"/>
  <c r="AV369" i="30"/>
  <c r="AZ369" i="30" s="1"/>
  <c r="BM369" i="30" s="1"/>
  <c r="T396" i="30"/>
  <c r="BE396" i="30" s="1"/>
  <c r="AV400" i="30"/>
  <c r="O419" i="30"/>
  <c r="AV450" i="30"/>
  <c r="AZ450" i="30" s="1"/>
  <c r="BM450" i="30" s="1"/>
  <c r="AV456" i="30"/>
  <c r="AZ456" i="30" s="1"/>
  <c r="BM456" i="30" s="1"/>
  <c r="T472" i="30"/>
  <c r="BE472" i="30" s="1"/>
  <c r="AV566" i="30"/>
  <c r="AZ566" i="30" s="1"/>
  <c r="BM566" i="30" s="1"/>
  <c r="AV576" i="30"/>
  <c r="AZ576" i="30" s="1"/>
  <c r="BM576" i="30" s="1"/>
  <c r="AV545" i="30"/>
  <c r="AZ545" i="30" s="1"/>
  <c r="BM545" i="30" s="1"/>
  <c r="AV60" i="30"/>
  <c r="AZ60" i="30" s="1"/>
  <c r="BM60" i="30" s="1"/>
  <c r="AV26" i="30"/>
  <c r="AZ26" i="30" s="1"/>
  <c r="BM26" i="30" s="1"/>
  <c r="AV34" i="30"/>
  <c r="AZ34" i="30" s="1"/>
  <c r="BM34" i="30" s="1"/>
  <c r="AV46" i="30"/>
  <c r="AZ46" i="30" s="1"/>
  <c r="BM46" i="30" s="1"/>
  <c r="AV71" i="30"/>
  <c r="BM119" i="30"/>
  <c r="AV124" i="30"/>
  <c r="AZ124" i="30" s="1"/>
  <c r="BM124" i="30" s="1"/>
  <c r="AV211" i="30"/>
  <c r="T308" i="30"/>
  <c r="BE308" i="30" s="1"/>
  <c r="O324" i="30"/>
  <c r="AV346" i="30"/>
  <c r="AZ346" i="30" s="1"/>
  <c r="BM346" i="30" s="1"/>
  <c r="AV384" i="30"/>
  <c r="AZ384" i="30" s="1"/>
  <c r="BM384" i="30" s="1"/>
  <c r="AV388" i="30"/>
  <c r="AZ388" i="30" s="1"/>
  <c r="BM388" i="30" s="1"/>
  <c r="T419" i="30"/>
  <c r="BE419" i="30" s="1"/>
  <c r="AV423" i="30"/>
  <c r="AZ423" i="30" s="1"/>
  <c r="BM423" i="30" s="1"/>
  <c r="AV424" i="30"/>
  <c r="AZ424" i="30" s="1"/>
  <c r="BM424" i="30" s="1"/>
  <c r="AV437" i="30"/>
  <c r="AZ437" i="30" s="1"/>
  <c r="BM437" i="30" s="1"/>
  <c r="BL491" i="30"/>
  <c r="O499" i="30"/>
  <c r="AV190" i="30"/>
  <c r="BB190" i="30" s="1"/>
  <c r="AV349" i="30"/>
  <c r="AZ349" i="30" s="1"/>
  <c r="BM349" i="30" s="1"/>
  <c r="L384" i="30"/>
  <c r="AV404" i="30"/>
  <c r="AZ404" i="30" s="1"/>
  <c r="BM404" i="30" s="1"/>
  <c r="O405" i="30"/>
  <c r="AV408" i="30"/>
  <c r="AZ408" i="30" s="1"/>
  <c r="BM408" i="30" s="1"/>
  <c r="AV168" i="30"/>
  <c r="AZ168" i="30" s="1"/>
  <c r="BM168" i="30" s="1"/>
  <c r="AV186" i="30"/>
  <c r="L239" i="30"/>
  <c r="T239" i="30"/>
  <c r="BE239" i="30" s="1"/>
  <c r="O239" i="30"/>
  <c r="AV205" i="30"/>
  <c r="AZ205" i="30" s="1"/>
  <c r="BM205" i="30" s="1"/>
  <c r="AV45" i="30"/>
  <c r="AZ45" i="30" s="1"/>
  <c r="BM45" i="30" s="1"/>
  <c r="AV62" i="30"/>
  <c r="AZ62" i="30" s="1"/>
  <c r="BM62" i="30" s="1"/>
  <c r="AV96" i="30"/>
  <c r="AZ96" i="30" s="1"/>
  <c r="BM96" i="30" s="1"/>
  <c r="AV100" i="30"/>
  <c r="BB100" i="30" s="1"/>
  <c r="AV106" i="30"/>
  <c r="AZ106" i="30" s="1"/>
  <c r="BM106" i="30" s="1"/>
  <c r="AV148" i="30"/>
  <c r="AZ148" i="30" s="1"/>
  <c r="BM148" i="30" s="1"/>
  <c r="AV154" i="30"/>
  <c r="AZ154" i="30" s="1"/>
  <c r="BM154" i="30" s="1"/>
  <c r="AV179" i="30"/>
  <c r="AZ179" i="30" s="1"/>
  <c r="BM179" i="30" s="1"/>
  <c r="AV183" i="30"/>
  <c r="AZ183" i="30" s="1"/>
  <c r="BM183" i="30" s="1"/>
  <c r="O264" i="30"/>
  <c r="L264" i="30"/>
  <c r="AV340" i="30"/>
  <c r="AZ340" i="30" s="1"/>
  <c r="BM340" i="30" s="1"/>
  <c r="AV366" i="30"/>
  <c r="AZ366" i="30" s="1"/>
  <c r="BM366" i="30" s="1"/>
  <c r="AV472" i="30"/>
  <c r="AZ472" i="30" s="1"/>
  <c r="BM472" i="30" s="1"/>
  <c r="AV511" i="30"/>
  <c r="AZ511" i="30" s="1"/>
  <c r="BM511" i="30" s="1"/>
  <c r="AV523" i="30"/>
  <c r="AZ523" i="30" s="1"/>
  <c r="BM523" i="30" s="1"/>
  <c r="T493" i="30"/>
  <c r="BE493" i="30" s="1"/>
  <c r="BL493" i="30" s="1"/>
  <c r="O493" i="30"/>
  <c r="AV13" i="30"/>
  <c r="AZ13" i="30" s="1"/>
  <c r="BM13" i="30" s="1"/>
  <c r="AV160" i="30"/>
  <c r="AZ160" i="30" s="1"/>
  <c r="BM160" i="30" s="1"/>
  <c r="AV27" i="30"/>
  <c r="AZ27" i="30" s="1"/>
  <c r="BM27" i="30" s="1"/>
  <c r="AV36" i="30"/>
  <c r="AZ36" i="30" s="1"/>
  <c r="BM36" i="30" s="1"/>
  <c r="AV61" i="30"/>
  <c r="BB61" i="30" s="1"/>
  <c r="AV101" i="30"/>
  <c r="AZ101" i="30" s="1"/>
  <c r="BM101" i="30" s="1"/>
  <c r="T184" i="30"/>
  <c r="BE184" i="30" s="1"/>
  <c r="AV224" i="30"/>
  <c r="AZ224" i="30" s="1"/>
  <c r="BM224" i="30" s="1"/>
  <c r="T264" i="30"/>
  <c r="BE264" i="30" s="1"/>
  <c r="AV284" i="30"/>
  <c r="AZ284" i="30" s="1"/>
  <c r="BM284" i="30" s="1"/>
  <c r="AV312" i="30"/>
  <c r="AZ312" i="30" s="1"/>
  <c r="BM312" i="30" s="1"/>
  <c r="T314" i="30"/>
  <c r="BE314" i="30" s="1"/>
  <c r="AV332" i="30"/>
  <c r="AZ332" i="30" s="1"/>
  <c r="BM332" i="30" s="1"/>
  <c r="AV337" i="30"/>
  <c r="AZ337" i="30" s="1"/>
  <c r="BM337" i="30" s="1"/>
  <c r="AV371" i="30"/>
  <c r="AZ371" i="30" s="1"/>
  <c r="BM371" i="30" s="1"/>
  <c r="T453" i="30"/>
  <c r="BE453" i="30" s="1"/>
  <c r="AV296" i="30"/>
  <c r="AZ296" i="30" s="1"/>
  <c r="BM296" i="30" s="1"/>
  <c r="AV40" i="30"/>
  <c r="AZ40" i="30" s="1"/>
  <c r="BM40" i="30" s="1"/>
  <c r="AV156" i="30"/>
  <c r="AZ156" i="30" s="1"/>
  <c r="BM156" i="30" s="1"/>
  <c r="AV73" i="30"/>
  <c r="AZ73" i="30" s="1"/>
  <c r="BM73" i="30" s="1"/>
  <c r="AV267" i="30"/>
  <c r="AZ267" i="30" s="1"/>
  <c r="BM267" i="30" s="1"/>
  <c r="AV19" i="30"/>
  <c r="AZ19" i="30" s="1"/>
  <c r="BM19" i="30" s="1"/>
  <c r="AV52" i="30"/>
  <c r="AZ52" i="30" s="1"/>
  <c r="BM52" i="30" s="1"/>
  <c r="AV125" i="30"/>
  <c r="AZ125" i="30" s="1"/>
  <c r="BM125" i="30" s="1"/>
  <c r="AV134" i="30"/>
  <c r="AV143" i="30"/>
  <c r="AZ143" i="30" s="1"/>
  <c r="BM143" i="30" s="1"/>
  <c r="AV166" i="30"/>
  <c r="AZ166" i="30" s="1"/>
  <c r="BM166" i="30" s="1"/>
  <c r="AV174" i="30"/>
  <c r="AZ174" i="30" s="1"/>
  <c r="BM174" i="30" s="1"/>
  <c r="AV202" i="30"/>
  <c r="AZ202" i="30" s="1"/>
  <c r="BM202" i="30" s="1"/>
  <c r="AV234" i="30"/>
  <c r="AZ234" i="30" s="1"/>
  <c r="BM234" i="30" s="1"/>
  <c r="AV249" i="30"/>
  <c r="T256" i="30"/>
  <c r="BE256" i="30" s="1"/>
  <c r="O256" i="30"/>
  <c r="AV290" i="30"/>
  <c r="AZ290" i="30" s="1"/>
  <c r="BM290" i="30" s="1"/>
  <c r="AV313" i="30"/>
  <c r="AZ313" i="30" s="1"/>
  <c r="BM313" i="30" s="1"/>
  <c r="AV376" i="30"/>
  <c r="AZ376" i="30" s="1"/>
  <c r="BM376" i="30" s="1"/>
  <c r="AV447" i="30"/>
  <c r="AZ447" i="30" s="1"/>
  <c r="BM447" i="30" s="1"/>
  <c r="BB489" i="30"/>
  <c r="AV513" i="30"/>
  <c r="AZ513" i="30" s="1"/>
  <c r="BM513" i="30" s="1"/>
  <c r="AV515" i="30"/>
  <c r="AZ515" i="30" s="1"/>
  <c r="BM515" i="30" s="1"/>
  <c r="AV567" i="30"/>
  <c r="AZ567" i="30" s="1"/>
  <c r="BM567" i="30" s="1"/>
  <c r="AV378" i="30"/>
  <c r="AZ378" i="30" s="1"/>
  <c r="BM378" i="30" s="1"/>
  <c r="T429" i="30"/>
  <c r="BE429" i="30" s="1"/>
  <c r="O429" i="30"/>
  <c r="L429" i="30"/>
  <c r="T486" i="30"/>
  <c r="BE486" i="30" s="1"/>
  <c r="BL486" i="30" s="1"/>
  <c r="O486" i="30"/>
  <c r="L486" i="30"/>
  <c r="AV526" i="30"/>
  <c r="AZ526" i="30" s="1"/>
  <c r="BM526" i="30" s="1"/>
  <c r="AV586" i="30"/>
  <c r="AZ586" i="30" s="1"/>
  <c r="BM586" i="30" s="1"/>
  <c r="AV381" i="30"/>
  <c r="AZ381" i="30" s="1"/>
  <c r="BM381" i="30" s="1"/>
  <c r="AV63" i="30"/>
  <c r="AZ63" i="30" s="1"/>
  <c r="BM63" i="30" s="1"/>
  <c r="AV75" i="30"/>
  <c r="BB75" i="30" s="1"/>
  <c r="AV83" i="30"/>
  <c r="AZ83" i="30" s="1"/>
  <c r="BM83" i="30" s="1"/>
  <c r="AV212" i="30"/>
  <c r="AZ212" i="30" s="1"/>
  <c r="BM212" i="30" s="1"/>
  <c r="AV215" i="30"/>
  <c r="AV258" i="30"/>
  <c r="AV268" i="30"/>
  <c r="L281" i="30"/>
  <c r="T281" i="30"/>
  <c r="BE281" i="30" s="1"/>
  <c r="O281" i="30"/>
  <c r="AV318" i="30"/>
  <c r="BB318" i="30" s="1"/>
  <c r="AV342" i="30"/>
  <c r="AZ342" i="30" s="1"/>
  <c r="BM342" i="30" s="1"/>
  <c r="AV347" i="30"/>
  <c r="AZ347" i="30" s="1"/>
  <c r="BM347" i="30" s="1"/>
  <c r="AV355" i="30"/>
  <c r="AV360" i="30"/>
  <c r="BB360" i="30" s="1"/>
  <c r="L379" i="30"/>
  <c r="AV449" i="30"/>
  <c r="AZ449" i="30" s="1"/>
  <c r="BM449" i="30" s="1"/>
  <c r="T450" i="30"/>
  <c r="BE450" i="30" s="1"/>
  <c r="O450" i="30"/>
  <c r="AV464" i="30"/>
  <c r="AZ464" i="30" s="1"/>
  <c r="BM464" i="30" s="1"/>
  <c r="O474" i="30"/>
  <c r="BL495" i="30"/>
  <c r="T502" i="30"/>
  <c r="AV519" i="30"/>
  <c r="AZ519" i="30" s="1"/>
  <c r="BM519" i="30" s="1"/>
  <c r="AV544" i="30"/>
  <c r="AZ544" i="30" s="1"/>
  <c r="BM544" i="30" s="1"/>
  <c r="BL7" i="30"/>
  <c r="BP7" i="30" s="1"/>
  <c r="BU7" i="30" s="1"/>
  <c r="BV7" i="30" s="1"/>
  <c r="BW7" i="30" s="1"/>
  <c r="AV10" i="30"/>
  <c r="AZ10" i="30" s="1"/>
  <c r="BM10" i="30" s="1"/>
  <c r="AV24" i="30"/>
  <c r="AZ24" i="30" s="1"/>
  <c r="BM24" i="30" s="1"/>
  <c r="AV48" i="30"/>
  <c r="AZ48" i="30" s="1"/>
  <c r="BM48" i="30" s="1"/>
  <c r="AV68" i="30"/>
  <c r="AZ68" i="30" s="1"/>
  <c r="BM68" i="30" s="1"/>
  <c r="AV87" i="30"/>
  <c r="AZ87" i="30" s="1"/>
  <c r="BM87" i="30" s="1"/>
  <c r="AV104" i="30"/>
  <c r="AZ104" i="30" s="1"/>
  <c r="BM104" i="30" s="1"/>
  <c r="AV105" i="30"/>
  <c r="BB105" i="30" s="1"/>
  <c r="AV138" i="30"/>
  <c r="AZ138" i="30" s="1"/>
  <c r="BM138" i="30" s="1"/>
  <c r="AV146" i="30"/>
  <c r="AZ146" i="30" s="1"/>
  <c r="BM146" i="30" s="1"/>
  <c r="AV152" i="30"/>
  <c r="AZ152" i="30" s="1"/>
  <c r="BM152" i="30" s="1"/>
  <c r="AV163" i="30"/>
  <c r="AZ163" i="30" s="1"/>
  <c r="BM163" i="30" s="1"/>
  <c r="AV180" i="30"/>
  <c r="AZ180" i="30" s="1"/>
  <c r="BM180" i="30" s="1"/>
  <c r="AV203" i="30"/>
  <c r="AV263" i="30"/>
  <c r="AZ263" i="30" s="1"/>
  <c r="BM263" i="30" s="1"/>
  <c r="AV292" i="30"/>
  <c r="AZ292" i="30" s="1"/>
  <c r="BM292" i="30" s="1"/>
  <c r="AV297" i="30"/>
  <c r="AZ297" i="30" s="1"/>
  <c r="BM297" i="30" s="1"/>
  <c r="AV301" i="30"/>
  <c r="AZ301" i="30" s="1"/>
  <c r="BM301" i="30" s="1"/>
  <c r="O348" i="30"/>
  <c r="L348" i="30"/>
  <c r="O379" i="30"/>
  <c r="AV459" i="30"/>
  <c r="AZ459" i="30" s="1"/>
  <c r="BM459" i="30" s="1"/>
  <c r="T474" i="30"/>
  <c r="L478" i="30"/>
  <c r="T478" i="30"/>
  <c r="BE478" i="30" s="1"/>
  <c r="O478" i="30"/>
  <c r="BL489" i="30"/>
  <c r="AV213" i="30"/>
  <c r="AV228" i="30"/>
  <c r="AZ228" i="30" s="1"/>
  <c r="BM228" i="30" s="1"/>
  <c r="AV244" i="30"/>
  <c r="AZ244" i="30" s="1"/>
  <c r="BM244" i="30" s="1"/>
  <c r="AV254" i="30"/>
  <c r="AZ254" i="30" s="1"/>
  <c r="BM254" i="30" s="1"/>
  <c r="AV272" i="30"/>
  <c r="AZ272" i="30" s="1"/>
  <c r="BM272" i="30" s="1"/>
  <c r="AV295" i="30"/>
  <c r="AZ295" i="30" s="1"/>
  <c r="BM295" i="30" s="1"/>
  <c r="AV310" i="30"/>
  <c r="AZ310" i="30" s="1"/>
  <c r="BM310" i="30" s="1"/>
  <c r="AV350" i="30"/>
  <c r="AZ350" i="30" s="1"/>
  <c r="BM350" i="30" s="1"/>
  <c r="AV374" i="30"/>
  <c r="AV396" i="30"/>
  <c r="AZ396" i="30" s="1"/>
  <c r="BM396" i="30" s="1"/>
  <c r="AV405" i="30"/>
  <c r="AZ405" i="30" s="1"/>
  <c r="BM405" i="30" s="1"/>
  <c r="AV431" i="30"/>
  <c r="AZ431" i="30" s="1"/>
  <c r="BM431" i="30" s="1"/>
  <c r="AV445" i="30"/>
  <c r="AZ445" i="30" s="1"/>
  <c r="BM445" i="30" s="1"/>
  <c r="AV469" i="30"/>
  <c r="BB469" i="30" s="1"/>
  <c r="AV531" i="30"/>
  <c r="AZ531" i="30" s="1"/>
  <c r="BM531" i="30" s="1"/>
  <c r="AV569" i="30"/>
  <c r="AZ569" i="30" s="1"/>
  <c r="BM569" i="30" s="1"/>
  <c r="AV193" i="30"/>
  <c r="AV196" i="30"/>
  <c r="AZ196" i="30" s="1"/>
  <c r="BM196" i="30" s="1"/>
  <c r="AV216" i="30"/>
  <c r="AZ216" i="30" s="1"/>
  <c r="BM216" i="30" s="1"/>
  <c r="AV261" i="30"/>
  <c r="AZ261" i="30" s="1"/>
  <c r="BM261" i="30" s="1"/>
  <c r="AV287" i="30"/>
  <c r="AZ287" i="30" s="1"/>
  <c r="BM287" i="30" s="1"/>
  <c r="AV299" i="30"/>
  <c r="BB299" i="30" s="1"/>
  <c r="AV343" i="30"/>
  <c r="AZ343" i="30" s="1"/>
  <c r="BM343" i="30" s="1"/>
  <c r="AV362" i="30"/>
  <c r="AV363" i="30"/>
  <c r="O410" i="30"/>
  <c r="O414" i="30"/>
  <c r="AV432" i="30"/>
  <c r="AZ432" i="30" s="1"/>
  <c r="BM432" i="30" s="1"/>
  <c r="AV453" i="30"/>
  <c r="AV466" i="30"/>
  <c r="AZ466" i="30" s="1"/>
  <c r="BM466" i="30" s="1"/>
  <c r="AV470" i="30"/>
  <c r="L489" i="30"/>
  <c r="BM502" i="30"/>
  <c r="AV518" i="30"/>
  <c r="AZ518" i="30" s="1"/>
  <c r="BM518" i="30" s="1"/>
  <c r="AV562" i="30"/>
  <c r="AZ562" i="30" s="1"/>
  <c r="BM562" i="30" s="1"/>
  <c r="AV577" i="30"/>
  <c r="AZ577" i="30" s="1"/>
  <c r="BM577" i="30" s="1"/>
  <c r="AV209" i="30"/>
  <c r="AZ209" i="30" s="1"/>
  <c r="BM209" i="30" s="1"/>
  <c r="AV223" i="30"/>
  <c r="AZ223" i="30" s="1"/>
  <c r="BM223" i="30" s="1"/>
  <c r="AV237" i="30"/>
  <c r="AZ237" i="30" s="1"/>
  <c r="BM237" i="30" s="1"/>
  <c r="AV264" i="30"/>
  <c r="AV339" i="30"/>
  <c r="AZ339" i="30" s="1"/>
  <c r="BM339" i="30" s="1"/>
  <c r="AV372" i="30"/>
  <c r="BB372" i="30" s="1"/>
  <c r="AV379" i="30"/>
  <c r="AV417" i="30"/>
  <c r="AZ417" i="30" s="1"/>
  <c r="BM417" i="30" s="1"/>
  <c r="AV442" i="30"/>
  <c r="AZ442" i="30" s="1"/>
  <c r="BM442" i="30" s="1"/>
  <c r="AV458" i="30"/>
  <c r="AZ458" i="30" s="1"/>
  <c r="BM458" i="30" s="1"/>
  <c r="AV462" i="30"/>
  <c r="AZ462" i="30" s="1"/>
  <c r="BM462" i="30" s="1"/>
  <c r="AV471" i="30"/>
  <c r="AZ471" i="30" s="1"/>
  <c r="BM471" i="30" s="1"/>
  <c r="AV524" i="30"/>
  <c r="AZ524" i="30" s="1"/>
  <c r="BM524" i="30" s="1"/>
  <c r="AV541" i="30"/>
  <c r="AZ541" i="30" s="1"/>
  <c r="BM541" i="30" s="1"/>
  <c r="AV113" i="30"/>
  <c r="AZ113" i="30" s="1"/>
  <c r="BM113" i="30" s="1"/>
  <c r="AV137" i="30"/>
  <c r="BB137" i="30" s="1"/>
  <c r="AV185" i="30"/>
  <c r="AZ185" i="30" s="1"/>
  <c r="BM185" i="30" s="1"/>
  <c r="T198" i="30"/>
  <c r="BE198" i="30" s="1"/>
  <c r="AV246" i="30"/>
  <c r="AZ246" i="30" s="1"/>
  <c r="BM246" i="30" s="1"/>
  <c r="T255" i="30"/>
  <c r="BE255" i="30" s="1"/>
  <c r="AV257" i="30"/>
  <c r="AZ257" i="30" s="1"/>
  <c r="BM257" i="30" s="1"/>
  <c r="AV260" i="30"/>
  <c r="AZ260" i="30" s="1"/>
  <c r="BM260" i="30" s="1"/>
  <c r="AV317" i="30"/>
  <c r="BB317" i="30" s="1"/>
  <c r="O329" i="30"/>
  <c r="AV335" i="30"/>
  <c r="AZ335" i="30" s="1"/>
  <c r="BM335" i="30" s="1"/>
  <c r="AV351" i="30"/>
  <c r="BB351" i="30" s="1"/>
  <c r="AV394" i="30"/>
  <c r="AZ394" i="30" s="1"/>
  <c r="BM394" i="30" s="1"/>
  <c r="O407" i="30"/>
  <c r="AV439" i="30"/>
  <c r="AZ439" i="30" s="1"/>
  <c r="BM439" i="30" s="1"/>
  <c r="AV446" i="30"/>
  <c r="AZ446" i="30" s="1"/>
  <c r="BM446" i="30" s="1"/>
  <c r="BM494" i="30"/>
  <c r="BM506" i="30"/>
  <c r="AV510" i="30"/>
  <c r="AV525" i="30"/>
  <c r="AZ525" i="30" s="1"/>
  <c r="BM525" i="30" s="1"/>
  <c r="AV534" i="30"/>
  <c r="AZ534" i="30" s="1"/>
  <c r="BM534" i="30" s="1"/>
  <c r="AV540" i="30"/>
  <c r="AZ540" i="30" s="1"/>
  <c r="BM540" i="30" s="1"/>
  <c r="AV557" i="30"/>
  <c r="AZ557" i="30" s="1"/>
  <c r="BM557" i="30" s="1"/>
  <c r="AV564" i="30"/>
  <c r="AZ564" i="30" s="1"/>
  <c r="BM564" i="30" s="1"/>
  <c r="AV580" i="30"/>
  <c r="AZ580" i="30" s="1"/>
  <c r="BM580" i="30" s="1"/>
  <c r="AV581" i="30"/>
  <c r="AZ581" i="30" s="1"/>
  <c r="BM581" i="30" s="1"/>
  <c r="T111" i="30"/>
  <c r="O111" i="30"/>
  <c r="L111" i="30"/>
  <c r="T54" i="30"/>
  <c r="O54" i="30"/>
  <c r="L54" i="30"/>
  <c r="O119" i="30"/>
  <c r="L119" i="30"/>
  <c r="T119" i="30"/>
  <c r="T389" i="30"/>
  <c r="L389" i="30"/>
  <c r="O389" i="30"/>
  <c r="T136" i="30"/>
  <c r="BE136" i="30" s="1"/>
  <c r="O136" i="30"/>
  <c r="L136" i="30"/>
  <c r="L165" i="30"/>
  <c r="T165" i="30"/>
  <c r="BE165" i="30" s="1"/>
  <c r="O165" i="30"/>
  <c r="L428" i="30"/>
  <c r="T428" i="30"/>
  <c r="BE428" i="30" s="1"/>
  <c r="O428" i="30"/>
  <c r="T261" i="30"/>
  <c r="O261" i="30"/>
  <c r="L261" i="30"/>
  <c r="BE124" i="30"/>
  <c r="T345" i="30"/>
  <c r="O345" i="30"/>
  <c r="L345" i="30"/>
  <c r="T403" i="30"/>
  <c r="BE403" i="30" s="1"/>
  <c r="O403" i="30"/>
  <c r="L403" i="30"/>
  <c r="BE70" i="30"/>
  <c r="BE77" i="30"/>
  <c r="T92" i="30"/>
  <c r="BE92" i="30" s="1"/>
  <c r="L92" i="30"/>
  <c r="O92" i="30"/>
  <c r="T167" i="30"/>
  <c r="O167" i="30"/>
  <c r="L167" i="30"/>
  <c r="O182" i="30"/>
  <c r="L182" i="30"/>
  <c r="T182" i="30"/>
  <c r="BE182" i="30" s="1"/>
  <c r="O82" i="30"/>
  <c r="L82" i="30"/>
  <c r="T82" i="30"/>
  <c r="BE82" i="30" s="1"/>
  <c r="T259" i="30"/>
  <c r="O259" i="30"/>
  <c r="L259" i="30"/>
  <c r="T298" i="30"/>
  <c r="O298" i="30"/>
  <c r="L298" i="30"/>
  <c r="T95" i="30"/>
  <c r="BE95" i="30" s="1"/>
  <c r="O95" i="30"/>
  <c r="L95" i="30"/>
  <c r="T104" i="30"/>
  <c r="BE104" i="30" s="1"/>
  <c r="O104" i="30"/>
  <c r="L104" i="30"/>
  <c r="T197" i="30"/>
  <c r="O197" i="30"/>
  <c r="L197" i="30"/>
  <c r="T223" i="30"/>
  <c r="O223" i="30"/>
  <c r="L223" i="30"/>
  <c r="T63" i="30"/>
  <c r="L63" i="30"/>
  <c r="O63" i="30"/>
  <c r="T84" i="30"/>
  <c r="O84" i="30"/>
  <c r="L84" i="30"/>
  <c r="O246" i="30"/>
  <c r="L246" i="30"/>
  <c r="T246" i="30"/>
  <c r="BE246" i="30" s="1"/>
  <c r="O117" i="30"/>
  <c r="L117" i="30"/>
  <c r="T117" i="30"/>
  <c r="T138" i="30"/>
  <c r="BE138" i="30" s="1"/>
  <c r="O138" i="30"/>
  <c r="L138" i="30"/>
  <c r="T142" i="30"/>
  <c r="L142" i="30"/>
  <c r="O142" i="30"/>
  <c r="T250" i="30"/>
  <c r="O250" i="30"/>
  <c r="L250" i="30"/>
  <c r="O98" i="30"/>
  <c r="L98" i="30"/>
  <c r="T98" i="30"/>
  <c r="BE98" i="30" s="1"/>
  <c r="T108" i="30"/>
  <c r="O108" i="30"/>
  <c r="L108" i="30"/>
  <c r="L154" i="30"/>
  <c r="T154" i="30"/>
  <c r="BE154" i="30" s="1"/>
  <c r="O154" i="30"/>
  <c r="T206" i="30"/>
  <c r="O206" i="30"/>
  <c r="L206" i="30"/>
  <c r="O352" i="30"/>
  <c r="L352" i="30"/>
  <c r="T352" i="30"/>
  <c r="T364" i="30"/>
  <c r="O364" i="30"/>
  <c r="L364" i="30"/>
  <c r="O195" i="30"/>
  <c r="T195" i="30"/>
  <c r="L195" i="30"/>
  <c r="T313" i="30"/>
  <c r="L313" i="30"/>
  <c r="O313" i="30"/>
  <c r="T448" i="30"/>
  <c r="O448" i="30"/>
  <c r="L448" i="30"/>
  <c r="O370" i="30"/>
  <c r="T370" i="30"/>
  <c r="BE370" i="30" s="1"/>
  <c r="L370" i="30"/>
  <c r="T408" i="30"/>
  <c r="O408" i="30"/>
  <c r="L408" i="30"/>
  <c r="O179" i="30"/>
  <c r="L179" i="30"/>
  <c r="T179" i="30"/>
  <c r="BE179" i="30" s="1"/>
  <c r="T53" i="30"/>
  <c r="BE53" i="30" s="1"/>
  <c r="O53" i="30"/>
  <c r="L53" i="30"/>
  <c r="T290" i="30"/>
  <c r="BE290" i="30" s="1"/>
  <c r="O290" i="30"/>
  <c r="L290" i="30"/>
  <c r="O66" i="30"/>
  <c r="L66" i="30"/>
  <c r="T66" i="30"/>
  <c r="BE66" i="30" s="1"/>
  <c r="H6" i="30"/>
  <c r="I6" i="30" s="1"/>
  <c r="J5" i="30"/>
  <c r="O74" i="30"/>
  <c r="L74" i="30"/>
  <c r="T74" i="30"/>
  <c r="BE74" i="30" s="1"/>
  <c r="L130" i="30"/>
  <c r="L4" i="30"/>
  <c r="O70" i="30"/>
  <c r="T72" i="30"/>
  <c r="BE72" i="30" s="1"/>
  <c r="L72" i="30"/>
  <c r="O72" i="30"/>
  <c r="O113" i="30"/>
  <c r="T113" i="30"/>
  <c r="BE113" i="30" s="1"/>
  <c r="L113" i="30"/>
  <c r="O130" i="30"/>
  <c r="L270" i="30"/>
  <c r="L61" i="30"/>
  <c r="O106" i="30"/>
  <c r="L106" i="30"/>
  <c r="O270" i="30"/>
  <c r="O285" i="30"/>
  <c r="L285" i="30"/>
  <c r="T285" i="30"/>
  <c r="BE285" i="30" s="1"/>
  <c r="T106" i="30"/>
  <c r="BE106" i="30" s="1"/>
  <c r="T114" i="30"/>
  <c r="O114" i="30"/>
  <c r="L114" i="30"/>
  <c r="L134" i="30"/>
  <c r="T310" i="30"/>
  <c r="BE310" i="30" s="1"/>
  <c r="O310" i="30"/>
  <c r="L310" i="30"/>
  <c r="L75" i="30"/>
  <c r="L77" i="30"/>
  <c r="O242" i="30"/>
  <c r="L242" i="30"/>
  <c r="O341" i="30"/>
  <c r="L341" i="30"/>
  <c r="O77" i="30"/>
  <c r="T120" i="30"/>
  <c r="O187" i="30"/>
  <c r="T187" i="30"/>
  <c r="BE187" i="30" s="1"/>
  <c r="L187" i="30"/>
  <c r="T268" i="30"/>
  <c r="BE268" i="30" s="1"/>
  <c r="O268" i="30"/>
  <c r="L495" i="30"/>
  <c r="T69" i="30"/>
  <c r="BE69" i="30" s="1"/>
  <c r="L69" i="30"/>
  <c r="O69" i="30"/>
  <c r="AZ98" i="30"/>
  <c r="BM98" i="30" s="1"/>
  <c r="L268" i="30"/>
  <c r="T277" i="30"/>
  <c r="BE277" i="30" s="1"/>
  <c r="O277" i="30"/>
  <c r="T295" i="30"/>
  <c r="BE295" i="30" s="1"/>
  <c r="O295" i="30"/>
  <c r="L295" i="30"/>
  <c r="L62" i="30"/>
  <c r="T62" i="30"/>
  <c r="BE62" i="30" s="1"/>
  <c r="O62" i="30"/>
  <c r="T89" i="30"/>
  <c r="BE89" i="30" s="1"/>
  <c r="O89" i="30"/>
  <c r="L89" i="30"/>
  <c r="O152" i="30"/>
  <c r="L213" i="30"/>
  <c r="T322" i="30"/>
  <c r="BE322" i="30" s="1"/>
  <c r="L322" i="30"/>
  <c r="O322" i="30"/>
  <c r="AV32" i="30"/>
  <c r="O176" i="30"/>
  <c r="O207" i="30"/>
  <c r="O213" i="30"/>
  <c r="T292" i="30"/>
  <c r="BE292" i="30" s="1"/>
  <c r="O292" i="30"/>
  <c r="T305" i="30"/>
  <c r="BE305" i="30" s="1"/>
  <c r="O305" i="30"/>
  <c r="T390" i="30"/>
  <c r="BE390" i="30" s="1"/>
  <c r="AZ479" i="30"/>
  <c r="BM479" i="30" s="1"/>
  <c r="AZ482" i="30"/>
  <c r="BM482" i="30" s="1"/>
  <c r="AZ483" i="30"/>
  <c r="BM483" i="30" s="1"/>
  <c r="BL9" i="30"/>
  <c r="BP9" i="30" s="1"/>
  <c r="BU9" i="30" s="1"/>
  <c r="BV9" i="30" s="1"/>
  <c r="BW9" i="30" s="1"/>
  <c r="T60" i="30"/>
  <c r="BE60" i="30" s="1"/>
  <c r="L60" i="30"/>
  <c r="O60" i="30"/>
  <c r="AV64" i="30"/>
  <c r="T97" i="30"/>
  <c r="BE97" i="30" s="1"/>
  <c r="O97" i="30"/>
  <c r="L102" i="30"/>
  <c r="L124" i="30"/>
  <c r="AV145" i="30"/>
  <c r="L146" i="30"/>
  <c r="O146" i="30"/>
  <c r="T146" i="30"/>
  <c r="BE146" i="30" s="1"/>
  <c r="T160" i="30"/>
  <c r="BE160" i="30" s="1"/>
  <c r="O160" i="30"/>
  <c r="L160" i="30"/>
  <c r="T163" i="30"/>
  <c r="O163" i="30"/>
  <c r="L163" i="30"/>
  <c r="AV178" i="30"/>
  <c r="AV184" i="30"/>
  <c r="T185" i="30"/>
  <c r="BE185" i="30" s="1"/>
  <c r="BL185" i="30" s="1"/>
  <c r="BP185" i="30" s="1"/>
  <c r="BU185" i="30" s="1"/>
  <c r="BV185" i="30" s="1"/>
  <c r="BW185" i="30" s="1"/>
  <c r="O185" i="30"/>
  <c r="L185" i="30"/>
  <c r="T207" i="30"/>
  <c r="BE207" i="30" s="1"/>
  <c r="AV210" i="30"/>
  <c r="O231" i="30"/>
  <c r="L231" i="30"/>
  <c r="T231" i="30"/>
  <c r="BE231" i="30" s="1"/>
  <c r="L292" i="30"/>
  <c r="L305" i="30"/>
  <c r="T312" i="30"/>
  <c r="BE312" i="30" s="1"/>
  <c r="O312" i="30"/>
  <c r="L312" i="30"/>
  <c r="AV314" i="30"/>
  <c r="T347" i="30"/>
  <c r="BE347" i="30" s="1"/>
  <c r="O347" i="30"/>
  <c r="L347" i="30"/>
  <c r="O362" i="30"/>
  <c r="L362" i="30"/>
  <c r="T362" i="30"/>
  <c r="BE362" i="30" s="1"/>
  <c r="L368" i="30"/>
  <c r="T420" i="30"/>
  <c r="BE420" i="30" s="1"/>
  <c r="O420" i="30"/>
  <c r="T480" i="30"/>
  <c r="L480" i="30"/>
  <c r="O480" i="30"/>
  <c r="O90" i="30"/>
  <c r="L90" i="30"/>
  <c r="T293" i="30"/>
  <c r="BE293" i="30" s="1"/>
  <c r="O293" i="30"/>
  <c r="L293" i="30"/>
  <c r="L338" i="30"/>
  <c r="T338" i="30"/>
  <c r="BE338" i="30" s="1"/>
  <c r="O338" i="30"/>
  <c r="T363" i="30"/>
  <c r="BE363" i="30" s="1"/>
  <c r="O363" i="30"/>
  <c r="L363" i="30"/>
  <c r="O391" i="30"/>
  <c r="L391" i="30"/>
  <c r="T391" i="30"/>
  <c r="BE391" i="30" s="1"/>
  <c r="L497" i="30"/>
  <c r="O497" i="30"/>
  <c r="L70" i="30"/>
  <c r="T90" i="30"/>
  <c r="BE90" i="30" s="1"/>
  <c r="L100" i="30"/>
  <c r="O158" i="30"/>
  <c r="L158" i="30"/>
  <c r="O203" i="30"/>
  <c r="T203" i="30"/>
  <c r="BE203" i="30" s="1"/>
  <c r="L203" i="30"/>
  <c r="T235" i="30"/>
  <c r="BE235" i="30" s="1"/>
  <c r="O235" i="30"/>
  <c r="L323" i="30"/>
  <c r="T366" i="30"/>
  <c r="O366" i="30"/>
  <c r="T497" i="30"/>
  <c r="BE497" i="30" s="1"/>
  <c r="BL497" i="30" s="1"/>
  <c r="T88" i="30"/>
  <c r="BE88" i="30" s="1"/>
  <c r="O88" i="30"/>
  <c r="L88" i="30"/>
  <c r="L276" i="30"/>
  <c r="T276" i="30"/>
  <c r="BE276" i="30" s="1"/>
  <c r="O276" i="30"/>
  <c r="O323" i="30"/>
  <c r="T350" i="30"/>
  <c r="O350" i="30"/>
  <c r="L350" i="30"/>
  <c r="T463" i="30"/>
  <c r="BE463" i="30" s="1"/>
  <c r="O463" i="30"/>
  <c r="L463" i="30"/>
  <c r="O192" i="30"/>
  <c r="T192" i="30"/>
  <c r="BE192" i="30" s="1"/>
  <c r="L501" i="30"/>
  <c r="O501" i="30"/>
  <c r="T501" i="30"/>
  <c r="BE501" i="30" s="1"/>
  <c r="BL501" i="30" s="1"/>
  <c r="T282" i="30"/>
  <c r="BE282" i="30" s="1"/>
  <c r="O282" i="30"/>
  <c r="L282" i="30"/>
  <c r="O321" i="30"/>
  <c r="L321" i="30"/>
  <c r="O120" i="30"/>
  <c r="T144" i="30"/>
  <c r="BE144" i="30" s="1"/>
  <c r="O144" i="30"/>
  <c r="L144" i="30"/>
  <c r="O148" i="30"/>
  <c r="L148" i="30"/>
  <c r="O201" i="30"/>
  <c r="T201" i="30"/>
  <c r="BE201" i="30" s="1"/>
  <c r="L201" i="30"/>
  <c r="L233" i="30"/>
  <c r="T233" i="30"/>
  <c r="BE233" i="30" s="1"/>
  <c r="O233" i="30"/>
  <c r="L318" i="30"/>
  <c r="T321" i="30"/>
  <c r="BE321" i="30" s="1"/>
  <c r="T357" i="30"/>
  <c r="BE357" i="30" s="1"/>
  <c r="O357" i="30"/>
  <c r="L357" i="30"/>
  <c r="L406" i="30"/>
  <c r="T406" i="30"/>
  <c r="BE406" i="30" s="1"/>
  <c r="O457" i="30"/>
  <c r="L457" i="30"/>
  <c r="O93" i="30"/>
  <c r="O227" i="30"/>
  <c r="T227" i="30"/>
  <c r="BE227" i="30" s="1"/>
  <c r="L227" i="30"/>
  <c r="T341" i="30"/>
  <c r="BE341" i="30" s="1"/>
  <c r="O406" i="30"/>
  <c r="T93" i="30"/>
  <c r="BE93" i="30" s="1"/>
  <c r="L178" i="30"/>
  <c r="T178" i="30"/>
  <c r="BE178" i="30" s="1"/>
  <c r="O178" i="30"/>
  <c r="T280" i="30"/>
  <c r="BE280" i="30" s="1"/>
  <c r="O280" i="30"/>
  <c r="T145" i="30"/>
  <c r="BE145" i="30" s="1"/>
  <c r="O145" i="30"/>
  <c r="L145" i="30"/>
  <c r="L181" i="30"/>
  <c r="T230" i="30"/>
  <c r="BE230" i="30" s="1"/>
  <c r="L277" i="30"/>
  <c r="L280" i="30"/>
  <c r="O283" i="30"/>
  <c r="T283" i="30"/>
  <c r="BE283" i="30" s="1"/>
  <c r="L283" i="30"/>
  <c r="O327" i="30"/>
  <c r="T327" i="30"/>
  <c r="BE327" i="30" s="1"/>
  <c r="T286" i="30"/>
  <c r="O286" i="30"/>
  <c r="L286" i="30"/>
  <c r="L327" i="30"/>
  <c r="L358" i="30"/>
  <c r="O358" i="30"/>
  <c r="T358" i="30"/>
  <c r="BE358" i="30" s="1"/>
  <c r="O199" i="30"/>
  <c r="L199" i="30"/>
  <c r="O243" i="30"/>
  <c r="L243" i="30"/>
  <c r="T243" i="30"/>
  <c r="BE243" i="30" s="1"/>
  <c r="O257" i="30"/>
  <c r="L257" i="30"/>
  <c r="O390" i="30"/>
  <c r="L400" i="30"/>
  <c r="T400" i="30"/>
  <c r="BE400" i="30" s="1"/>
  <c r="T473" i="30"/>
  <c r="O473" i="30"/>
  <c r="L473" i="30"/>
  <c r="T67" i="30"/>
  <c r="BE67" i="30" s="1"/>
  <c r="O67" i="30"/>
  <c r="L67" i="30"/>
  <c r="O76" i="30"/>
  <c r="L76" i="30"/>
  <c r="T76" i="30"/>
  <c r="BE76" i="30" s="1"/>
  <c r="T149" i="30"/>
  <c r="BE149" i="30" s="1"/>
  <c r="O149" i="30"/>
  <c r="L149" i="30"/>
  <c r="T152" i="30"/>
  <c r="BE152" i="30" s="1"/>
  <c r="T199" i="30"/>
  <c r="BE199" i="30" s="1"/>
  <c r="T257" i="30"/>
  <c r="BE257" i="30" s="1"/>
  <c r="BL4" i="30"/>
  <c r="BP4" i="30" s="1"/>
  <c r="BU4" i="30" s="1"/>
  <c r="AV18" i="30"/>
  <c r="O58" i="30"/>
  <c r="L58" i="30"/>
  <c r="T94" i="30"/>
  <c r="BE94" i="30" s="1"/>
  <c r="O94" i="30"/>
  <c r="L94" i="30"/>
  <c r="O102" i="30"/>
  <c r="O124" i="30"/>
  <c r="AV129" i="30"/>
  <c r="AV132" i="30"/>
  <c r="O171" i="30"/>
  <c r="L171" i="30"/>
  <c r="T174" i="30"/>
  <c r="BE174" i="30" s="1"/>
  <c r="O174" i="30"/>
  <c r="O225" i="30"/>
  <c r="T225" i="30"/>
  <c r="BE225" i="30" s="1"/>
  <c r="BL225" i="30" s="1"/>
  <c r="BP225" i="30" s="1"/>
  <c r="O237" i="30"/>
  <c r="L237" i="30"/>
  <c r="T237" i="30"/>
  <c r="BE237" i="30" s="1"/>
  <c r="L263" i="30"/>
  <c r="T263" i="30"/>
  <c r="BE263" i="30" s="1"/>
  <c r="O263" i="30"/>
  <c r="T266" i="30"/>
  <c r="L266" i="30"/>
  <c r="O266" i="30"/>
  <c r="L278" i="30"/>
  <c r="O278" i="30"/>
  <c r="T278" i="30"/>
  <c r="BE278" i="30" s="1"/>
  <c r="O368" i="30"/>
  <c r="O430" i="30"/>
  <c r="T430" i="30"/>
  <c r="BE430" i="30" s="1"/>
  <c r="L430" i="30"/>
  <c r="O434" i="30"/>
  <c r="L434" i="30"/>
  <c r="T434" i="30"/>
  <c r="BE434" i="30" s="1"/>
  <c r="L449" i="30"/>
  <c r="T449" i="30"/>
  <c r="BE449" i="30" s="1"/>
  <c r="O449" i="30"/>
  <c r="T116" i="30"/>
  <c r="O116" i="30"/>
  <c r="O133" i="30"/>
  <c r="L133" i="30"/>
  <c r="T133" i="30"/>
  <c r="BE133" i="30" s="1"/>
  <c r="O252" i="30"/>
  <c r="L252" i="30"/>
  <c r="T252" i="30"/>
  <c r="BE252" i="30" s="1"/>
  <c r="O325" i="30"/>
  <c r="L325" i="30"/>
  <c r="T325" i="30"/>
  <c r="BE325" i="30" s="1"/>
  <c r="L470" i="30"/>
  <c r="T470" i="30"/>
  <c r="BE470" i="30" s="1"/>
  <c r="O470" i="30"/>
  <c r="O127" i="30"/>
  <c r="L127" i="30"/>
  <c r="O100" i="30"/>
  <c r="T150" i="30"/>
  <c r="BE150" i="30" s="1"/>
  <c r="BL150" i="30" s="1"/>
  <c r="BP150" i="30" s="1"/>
  <c r="BU150" i="30" s="1"/>
  <c r="BV150" i="30" s="1"/>
  <c r="BW150" i="30" s="1"/>
  <c r="L150" i="30"/>
  <c r="O150" i="30"/>
  <c r="L235" i="30"/>
  <c r="L366" i="30"/>
  <c r="T494" i="30"/>
  <c r="O494" i="30"/>
  <c r="L494" i="30"/>
  <c r="AZ497" i="30"/>
  <c r="BM497" i="30" s="1"/>
  <c r="T467" i="30"/>
  <c r="BE467" i="30" s="1"/>
  <c r="O467" i="30"/>
  <c r="L467" i="30"/>
  <c r="BM496" i="30"/>
  <c r="O61" i="30"/>
  <c r="O169" i="30"/>
  <c r="L169" i="30"/>
  <c r="T387" i="30"/>
  <c r="BE387" i="30" s="1"/>
  <c r="O387" i="30"/>
  <c r="T79" i="30"/>
  <c r="BE79" i="30" s="1"/>
  <c r="L79" i="30"/>
  <c r="O79" i="30"/>
  <c r="O156" i="30"/>
  <c r="L156" i="30"/>
  <c r="T156" i="30"/>
  <c r="BE156" i="30" s="1"/>
  <c r="L192" i="30"/>
  <c r="O422" i="30"/>
  <c r="L422" i="30"/>
  <c r="T422" i="30"/>
  <c r="BE422" i="30" s="1"/>
  <c r="O52" i="30"/>
  <c r="L52" i="30"/>
  <c r="T52" i="30"/>
  <c r="BE52" i="30" s="1"/>
  <c r="O128" i="30"/>
  <c r="O134" i="30"/>
  <c r="O297" i="30"/>
  <c r="L297" i="30"/>
  <c r="T297" i="30"/>
  <c r="BE297" i="30" s="1"/>
  <c r="O75" i="30"/>
  <c r="T101" i="30"/>
  <c r="BE101" i="30" s="1"/>
  <c r="L101" i="30"/>
  <c r="O101" i="30"/>
  <c r="T128" i="30"/>
  <c r="BE128" i="30" s="1"/>
  <c r="T148" i="30"/>
  <c r="BE148" i="30" s="1"/>
  <c r="L230" i="30"/>
  <c r="T242" i="30"/>
  <c r="BE242" i="30" s="1"/>
  <c r="O318" i="30"/>
  <c r="T457" i="30"/>
  <c r="BE457" i="30" s="1"/>
  <c r="T107" i="30"/>
  <c r="BE107" i="30" s="1"/>
  <c r="O107" i="30"/>
  <c r="L107" i="30"/>
  <c r="T123" i="30"/>
  <c r="BE123" i="30" s="1"/>
  <c r="O123" i="30"/>
  <c r="L123" i="30"/>
  <c r="L451" i="30"/>
  <c r="T451" i="30"/>
  <c r="BE451" i="30" s="1"/>
  <c r="O451" i="30"/>
  <c r="O495" i="30"/>
  <c r="AZ229" i="30"/>
  <c r="BM229" i="30" s="1"/>
  <c r="O265" i="30"/>
  <c r="L265" i="30"/>
  <c r="T265" i="30"/>
  <c r="BE265" i="30" s="1"/>
  <c r="T342" i="30"/>
  <c r="BE342" i="30" s="1"/>
  <c r="O342" i="30"/>
  <c r="O170" i="30"/>
  <c r="T170" i="30"/>
  <c r="BE170" i="30" s="1"/>
  <c r="BL170" i="30" s="1"/>
  <c r="BP170" i="30" s="1"/>
  <c r="BU170" i="30" s="1"/>
  <c r="BV170" i="30" s="1"/>
  <c r="BW170" i="30" s="1"/>
  <c r="L170" i="30"/>
  <c r="T181" i="30"/>
  <c r="O190" i="30"/>
  <c r="L190" i="30"/>
  <c r="O319" i="30"/>
  <c r="L319" i="30"/>
  <c r="T319" i="30"/>
  <c r="T483" i="30"/>
  <c r="BE483" i="30" s="1"/>
  <c r="BL483" i="30" s="1"/>
  <c r="O483" i="30"/>
  <c r="L176" i="30"/>
  <c r="T302" i="30"/>
  <c r="BE302" i="30" s="1"/>
  <c r="O302" i="30"/>
  <c r="L302" i="30"/>
  <c r="L483" i="30"/>
  <c r="AV33" i="30"/>
  <c r="AV50" i="30"/>
  <c r="T58" i="30"/>
  <c r="BE58" i="30" s="1"/>
  <c r="T153" i="30"/>
  <c r="BE153" i="30" s="1"/>
  <c r="O153" i="30"/>
  <c r="L153" i="30"/>
  <c r="AV157" i="30"/>
  <c r="T171" i="30"/>
  <c r="BE171" i="30" s="1"/>
  <c r="L174" i="30"/>
  <c r="T220" i="30"/>
  <c r="BE220" i="30" s="1"/>
  <c r="O220" i="30"/>
  <c r="L220" i="30"/>
  <c r="L225" i="30"/>
  <c r="O232" i="30"/>
  <c r="L232" i="30"/>
  <c r="AV302" i="30"/>
  <c r="T328" i="30"/>
  <c r="BE328" i="30" s="1"/>
  <c r="L328" i="30"/>
  <c r="O328" i="30"/>
  <c r="T343" i="30"/>
  <c r="BE343" i="30" s="1"/>
  <c r="O343" i="30"/>
  <c r="L343" i="30"/>
  <c r="T371" i="30"/>
  <c r="O371" i="30"/>
  <c r="L371" i="30"/>
  <c r="L492" i="30"/>
  <c r="T492" i="30"/>
  <c r="BE492" i="30" s="1"/>
  <c r="BL492" i="30" s="1"/>
  <c r="O492" i="30"/>
  <c r="L81" i="30"/>
  <c r="O251" i="30"/>
  <c r="O309" i="30"/>
  <c r="L309" i="30"/>
  <c r="O484" i="30"/>
  <c r="L484" i="30"/>
  <c r="T484" i="30"/>
  <c r="BE484" i="30" s="1"/>
  <c r="BL484" i="30" s="1"/>
  <c r="AZ495" i="30"/>
  <c r="BM495" i="30" s="1"/>
  <c r="BB495" i="30"/>
  <c r="T506" i="30"/>
  <c r="O506" i="30"/>
  <c r="L506" i="30"/>
  <c r="O193" i="30"/>
  <c r="T309" i="30"/>
  <c r="BE309" i="30" s="1"/>
  <c r="T418" i="30"/>
  <c r="BE418" i="30" s="1"/>
  <c r="O418" i="30"/>
  <c r="L418" i="30"/>
  <c r="L421" i="30"/>
  <c r="T141" i="30"/>
  <c r="BE141" i="30" s="1"/>
  <c r="L141" i="30"/>
  <c r="O141" i="30"/>
  <c r="T191" i="30"/>
  <c r="BE191" i="30" s="1"/>
  <c r="O191" i="30"/>
  <c r="L191" i="30"/>
  <c r="L209" i="30"/>
  <c r="T209" i="30"/>
  <c r="BE209" i="30" s="1"/>
  <c r="T262" i="30"/>
  <c r="BE262" i="30" s="1"/>
  <c r="O294" i="30"/>
  <c r="L299" i="30"/>
  <c r="T301" i="30"/>
  <c r="O301" i="30"/>
  <c r="L301" i="30"/>
  <c r="O304" i="30"/>
  <c r="L304" i="30"/>
  <c r="T304" i="30"/>
  <c r="BE304" i="30" s="1"/>
  <c r="L336" i="30"/>
  <c r="O421" i="30"/>
  <c r="O455" i="30"/>
  <c r="L455" i="30"/>
  <c r="L487" i="30"/>
  <c r="AV43" i="30"/>
  <c r="O55" i="30"/>
  <c r="AV79" i="30"/>
  <c r="O86" i="30"/>
  <c r="AV95" i="30"/>
  <c r="L105" i="30"/>
  <c r="T166" i="30"/>
  <c r="BE166" i="30" s="1"/>
  <c r="L166" i="30"/>
  <c r="L175" i="30"/>
  <c r="T175" i="30"/>
  <c r="BE175" i="30" s="1"/>
  <c r="O175" i="30"/>
  <c r="O209" i="30"/>
  <c r="T212" i="30"/>
  <c r="BE212" i="30" s="1"/>
  <c r="O212" i="30"/>
  <c r="L212" i="30"/>
  <c r="L214" i="30"/>
  <c r="L224" i="30"/>
  <c r="AV233" i="30"/>
  <c r="T254" i="30"/>
  <c r="BE254" i="30" s="1"/>
  <c r="L279" i="30"/>
  <c r="O299" i="30"/>
  <c r="T326" i="30"/>
  <c r="BE326" i="30" s="1"/>
  <c r="O326" i="30"/>
  <c r="L326" i="30"/>
  <c r="O331" i="30"/>
  <c r="O336" i="30"/>
  <c r="AV377" i="30"/>
  <c r="AV429" i="30"/>
  <c r="T433" i="30"/>
  <c r="BE433" i="30" s="1"/>
  <c r="O433" i="30"/>
  <c r="T455" i="30"/>
  <c r="BE455" i="30" s="1"/>
  <c r="T475" i="30"/>
  <c r="O475" i="30"/>
  <c r="O487" i="30"/>
  <c r="L262" i="30"/>
  <c r="T385" i="30"/>
  <c r="BE385" i="30" s="1"/>
  <c r="O385" i="30"/>
  <c r="O81" i="30"/>
  <c r="T83" i="30"/>
  <c r="BE83" i="30" s="1"/>
  <c r="O83" i="30"/>
  <c r="L83" i="30"/>
  <c r="T121" i="30"/>
  <c r="L226" i="30"/>
  <c r="T226" i="30"/>
  <c r="BE226" i="30" s="1"/>
  <c r="O226" i="30"/>
  <c r="T288" i="30"/>
  <c r="O288" i="30"/>
  <c r="O333" i="30"/>
  <c r="L333" i="30"/>
  <c r="T333" i="30"/>
  <c r="BE333" i="30" s="1"/>
  <c r="O245" i="30"/>
  <c r="L245" i="30"/>
  <c r="T245" i="30"/>
  <c r="BE245" i="30" s="1"/>
  <c r="O254" i="30"/>
  <c r="L288" i="30"/>
  <c r="L331" i="30"/>
  <c r="T380" i="30"/>
  <c r="BE380" i="30" s="1"/>
  <c r="L380" i="30"/>
  <c r="L404" i="30"/>
  <c r="O404" i="30"/>
  <c r="O435" i="30"/>
  <c r="AV14" i="30"/>
  <c r="T55" i="30"/>
  <c r="BE55" i="30" s="1"/>
  <c r="O57" i="30"/>
  <c r="AV74" i="30"/>
  <c r="T86" i="30"/>
  <c r="BE86" i="30" s="1"/>
  <c r="O103" i="30"/>
  <c r="L103" i="30"/>
  <c r="O105" i="30"/>
  <c r="BM122" i="30"/>
  <c r="O125" i="30"/>
  <c r="L125" i="30"/>
  <c r="T125" i="30"/>
  <c r="BE125" i="30" s="1"/>
  <c r="L151" i="30"/>
  <c r="O166" i="30"/>
  <c r="L198" i="30"/>
  <c r="L200" i="30"/>
  <c r="O214" i="30"/>
  <c r="O224" i="30"/>
  <c r="AV238" i="30"/>
  <c r="T241" i="30"/>
  <c r="BE241" i="30" s="1"/>
  <c r="O241" i="30"/>
  <c r="AV251" i="30"/>
  <c r="O279" i="30"/>
  <c r="T294" i="30"/>
  <c r="BE294" i="30" s="1"/>
  <c r="T383" i="30"/>
  <c r="BE383" i="30" s="1"/>
  <c r="O383" i="30"/>
  <c r="L383" i="30"/>
  <c r="O398" i="30"/>
  <c r="L398" i="30"/>
  <c r="T412" i="30"/>
  <c r="BE412" i="30" s="1"/>
  <c r="O412" i="30"/>
  <c r="L412" i="30"/>
  <c r="T466" i="30"/>
  <c r="BE466" i="30" s="1"/>
  <c r="O466" i="30"/>
  <c r="L466" i="30"/>
  <c r="L475" i="30"/>
  <c r="O507" i="30"/>
  <c r="T507" i="30"/>
  <c r="L507" i="30"/>
  <c r="T397" i="30"/>
  <c r="BE397" i="30" s="1"/>
  <c r="O397" i="30"/>
  <c r="O477" i="30"/>
  <c r="L477" i="30"/>
  <c r="O121" i="30"/>
  <c r="L193" i="30"/>
  <c r="O137" i="30"/>
  <c r="L137" i="30"/>
  <c r="O238" i="30"/>
  <c r="T238" i="30"/>
  <c r="BE238" i="30" s="1"/>
  <c r="L238" i="30"/>
  <c r="T251" i="30"/>
  <c r="BE251" i="30" s="1"/>
  <c r="L385" i="30"/>
  <c r="L435" i="30"/>
  <c r="T443" i="30"/>
  <c r="BE443" i="30" s="1"/>
  <c r="O443" i="30"/>
  <c r="L443" i="30"/>
  <c r="T458" i="30"/>
  <c r="BE458" i="30" s="1"/>
  <c r="O458" i="30"/>
  <c r="AZ476" i="30"/>
  <c r="BM476" i="30" s="1"/>
  <c r="O112" i="30"/>
  <c r="L112" i="30"/>
  <c r="O131" i="30"/>
  <c r="L131" i="30"/>
  <c r="O135" i="30"/>
  <c r="L135" i="30"/>
  <c r="T135" i="30"/>
  <c r="BE135" i="30" s="1"/>
  <c r="AV25" i="30"/>
  <c r="T57" i="30"/>
  <c r="BE57" i="30" s="1"/>
  <c r="AV67" i="30"/>
  <c r="T80" i="30"/>
  <c r="BE80" i="30" s="1"/>
  <c r="O80" i="30"/>
  <c r="L115" i="30"/>
  <c r="T115" i="30"/>
  <c r="O115" i="30"/>
  <c r="T129" i="30"/>
  <c r="BE129" i="30" s="1"/>
  <c r="O129" i="30"/>
  <c r="L129" i="30"/>
  <c r="AV144" i="30"/>
  <c r="L159" i="30"/>
  <c r="O173" i="30"/>
  <c r="T173" i="30"/>
  <c r="BE173" i="30" s="1"/>
  <c r="O184" i="30"/>
  <c r="O200" i="30"/>
  <c r="O216" i="30"/>
  <c r="L216" i="30"/>
  <c r="T216" i="30"/>
  <c r="BE216" i="30" s="1"/>
  <c r="L218" i="30"/>
  <c r="L241" i="30"/>
  <c r="AV262" i="30"/>
  <c r="AV307" i="30"/>
  <c r="T375" i="30"/>
  <c r="BE375" i="30" s="1"/>
  <c r="O375" i="30"/>
  <c r="L378" i="30"/>
  <c r="T378" i="30"/>
  <c r="BE378" i="30" s="1"/>
  <c r="O378" i="30"/>
  <c r="T398" i="30"/>
  <c r="BE398" i="30" s="1"/>
  <c r="L208" i="30"/>
  <c r="T249" i="30"/>
  <c r="BE249" i="30" s="1"/>
  <c r="O249" i="30"/>
  <c r="L249" i="30"/>
  <c r="T306" i="30"/>
  <c r="BE306" i="30" s="1"/>
  <c r="O306" i="30"/>
  <c r="O330" i="30"/>
  <c r="L330" i="30"/>
  <c r="O65" i="30"/>
  <c r="O68" i="30"/>
  <c r="O96" i="30"/>
  <c r="L132" i="30"/>
  <c r="AV171" i="30"/>
  <c r="O183" i="30"/>
  <c r="L183" i="30"/>
  <c r="T194" i="30"/>
  <c r="BE194" i="30" s="1"/>
  <c r="O194" i="30"/>
  <c r="O208" i="30"/>
  <c r="L210" i="30"/>
  <c r="O236" i="30"/>
  <c r="O267" i="30"/>
  <c r="L306" i="30"/>
  <c r="T330" i="30"/>
  <c r="BE330" i="30" s="1"/>
  <c r="L356" i="30"/>
  <c r="O356" i="30"/>
  <c r="O361" i="30"/>
  <c r="O427" i="30"/>
  <c r="L427" i="30"/>
  <c r="T447" i="30"/>
  <c r="BE447" i="30" s="1"/>
  <c r="O447" i="30"/>
  <c r="L447" i="30"/>
  <c r="T490" i="30"/>
  <c r="O490" i="30"/>
  <c r="L490" i="30"/>
  <c r="T503" i="30"/>
  <c r="O503" i="30"/>
  <c r="T411" i="30"/>
  <c r="BE411" i="30" s="1"/>
  <c r="O411" i="30"/>
  <c r="AV81" i="30"/>
  <c r="L96" i="30"/>
  <c r="O351" i="30"/>
  <c r="L351" i="30"/>
  <c r="L361" i="30"/>
  <c r="L376" i="30"/>
  <c r="T376" i="30"/>
  <c r="BE376" i="30" s="1"/>
  <c r="O376" i="30"/>
  <c r="T409" i="30"/>
  <c r="BE409" i="30" s="1"/>
  <c r="O409" i="30"/>
  <c r="T460" i="30"/>
  <c r="BE460" i="30" s="1"/>
  <c r="O460" i="30"/>
  <c r="L460" i="30"/>
  <c r="AZ508" i="30"/>
  <c r="BM508" i="30" s="1"/>
  <c r="T68" i="30"/>
  <c r="BE68" i="30" s="1"/>
  <c r="AV130" i="30"/>
  <c r="O132" i="30"/>
  <c r="L147" i="30"/>
  <c r="O162" i="30"/>
  <c r="T164" i="30"/>
  <c r="BE164" i="30" s="1"/>
  <c r="O164" i="30"/>
  <c r="T183" i="30"/>
  <c r="BE183" i="30" s="1"/>
  <c r="BL183" i="30" s="1"/>
  <c r="BP183" i="30" s="1"/>
  <c r="BU183" i="30" s="1"/>
  <c r="BV183" i="30" s="1"/>
  <c r="BW183" i="30" s="1"/>
  <c r="L194" i="30"/>
  <c r="L205" i="30"/>
  <c r="O210" i="30"/>
  <c r="T229" i="30"/>
  <c r="BE229" i="30" s="1"/>
  <c r="O229" i="30"/>
  <c r="T236" i="30"/>
  <c r="BE236" i="30" s="1"/>
  <c r="O260" i="30"/>
  <c r="L260" i="30"/>
  <c r="T267" i="30"/>
  <c r="BE267" i="30" s="1"/>
  <c r="O271" i="30"/>
  <c r="L271" i="30"/>
  <c r="L314" i="30"/>
  <c r="AV322" i="30"/>
  <c r="AV326" i="30"/>
  <c r="AV328" i="30"/>
  <c r="T335" i="30"/>
  <c r="BE335" i="30" s="1"/>
  <c r="O335" i="30"/>
  <c r="O337" i="30"/>
  <c r="T356" i="30"/>
  <c r="BE356" i="30" s="1"/>
  <c r="L394" i="30"/>
  <c r="T394" i="30"/>
  <c r="BE394" i="30" s="1"/>
  <c r="T417" i="30"/>
  <c r="BE417" i="30" s="1"/>
  <c r="O417" i="30"/>
  <c r="T427" i="30"/>
  <c r="AV460" i="30"/>
  <c r="T471" i="30"/>
  <c r="BE471" i="30" s="1"/>
  <c r="O471" i="30"/>
  <c r="L503" i="30"/>
  <c r="T452" i="30"/>
  <c r="BE452" i="30" s="1"/>
  <c r="O452" i="30"/>
  <c r="L452" i="30"/>
  <c r="T464" i="30"/>
  <c r="BE464" i="30" s="1"/>
  <c r="L464" i="30"/>
  <c r="L65" i="30"/>
  <c r="T217" i="30"/>
  <c r="BE217" i="30" s="1"/>
  <c r="O217" i="30"/>
  <c r="L217" i="30"/>
  <c r="O222" i="30"/>
  <c r="L222" i="30"/>
  <c r="L269" i="30"/>
  <c r="O269" i="30"/>
  <c r="L411" i="30"/>
  <c r="O464" i="30"/>
  <c r="AZ481" i="30"/>
  <c r="BM481" i="30" s="1"/>
  <c r="L56" i="30"/>
  <c r="O91" i="30"/>
  <c r="L99" i="30"/>
  <c r="BM120" i="30"/>
  <c r="O147" i="30"/>
  <c r="T162" i="30"/>
  <c r="BE162" i="30" s="1"/>
  <c r="BL162" i="30" s="1"/>
  <c r="BP162" i="30" s="1"/>
  <c r="BU162" i="30" s="1"/>
  <c r="BV162" i="30" s="1"/>
  <c r="BW162" i="30" s="1"/>
  <c r="L164" i="30"/>
  <c r="AV201" i="30"/>
  <c r="T205" i="30"/>
  <c r="BE205" i="30" s="1"/>
  <c r="O219" i="30"/>
  <c r="L219" i="30"/>
  <c r="L229" i="30"/>
  <c r="T260" i="30"/>
  <c r="BE260" i="30" s="1"/>
  <c r="T271" i="30"/>
  <c r="BE271" i="30" s="1"/>
  <c r="O273" i="30"/>
  <c r="L273" i="30"/>
  <c r="O289" i="30"/>
  <c r="L335" i="30"/>
  <c r="T337" i="30"/>
  <c r="BE337" i="30" s="1"/>
  <c r="O394" i="30"/>
  <c r="L402" i="30"/>
  <c r="T402" i="30"/>
  <c r="BE402" i="30" s="1"/>
  <c r="O402" i="30"/>
  <c r="AV414" i="30"/>
  <c r="L417" i="30"/>
  <c r="T432" i="30"/>
  <c r="BE432" i="30" s="1"/>
  <c r="O432" i="30"/>
  <c r="L432" i="30"/>
  <c r="T461" i="30"/>
  <c r="L461" i="30"/>
  <c r="L471" i="30"/>
  <c r="AV520" i="30"/>
  <c r="AV575" i="30"/>
  <c r="AV162" i="30"/>
  <c r="O180" i="30"/>
  <c r="L180" i="30"/>
  <c r="AV192" i="30"/>
  <c r="AV243" i="30"/>
  <c r="AV248" i="30"/>
  <c r="AV280" i="30"/>
  <c r="AV308" i="30"/>
  <c r="AV330" i="30"/>
  <c r="O365" i="30"/>
  <c r="L365" i="30"/>
  <c r="T365" i="30"/>
  <c r="BE365" i="30" s="1"/>
  <c r="AV385" i="30"/>
  <c r="AV410" i="30"/>
  <c r="L462" i="30"/>
  <c r="T462" i="30"/>
  <c r="BE462" i="30" s="1"/>
  <c r="O462" i="30"/>
  <c r="BM486" i="30"/>
  <c r="AZ500" i="30"/>
  <c r="BM500" i="30" s="1"/>
  <c r="BB500" i="30"/>
  <c r="AV538" i="30"/>
  <c r="O140" i="30"/>
  <c r="T140" i="30"/>
  <c r="L140" i="30"/>
  <c r="AV235" i="30"/>
  <c r="T274" i="30"/>
  <c r="O274" i="30"/>
  <c r="T307" i="30"/>
  <c r="BE307" i="30" s="1"/>
  <c r="O307" i="30"/>
  <c r="L353" i="30"/>
  <c r="T353" i="30"/>
  <c r="BE353" i="30" s="1"/>
  <c r="L355" i="30"/>
  <c r="T377" i="30"/>
  <c r="BE377" i="30" s="1"/>
  <c r="L377" i="30"/>
  <c r="AV418" i="30"/>
  <c r="L441" i="30"/>
  <c r="O479" i="30"/>
  <c r="L479" i="30"/>
  <c r="BM117" i="30"/>
  <c r="L126" i="30"/>
  <c r="AV153" i="30"/>
  <c r="L177" i="30"/>
  <c r="AV226" i="30"/>
  <c r="T228" i="30"/>
  <c r="BE228" i="30" s="1"/>
  <c r="AV245" i="30"/>
  <c r="L274" i="30"/>
  <c r="AV293" i="30"/>
  <c r="L307" i="30"/>
  <c r="O317" i="30"/>
  <c r="L317" i="30"/>
  <c r="AV338" i="30"/>
  <c r="O353" i="30"/>
  <c r="O355" i="30"/>
  <c r="O373" i="30"/>
  <c r="O377" i="30"/>
  <c r="AV383" i="30"/>
  <c r="L413" i="30"/>
  <c r="AV425" i="30"/>
  <c r="AV438" i="30"/>
  <c r="AZ478" i="30"/>
  <c r="BM478" i="30" s="1"/>
  <c r="T479" i="30"/>
  <c r="BE479" i="30" s="1"/>
  <c r="AZ484" i="30"/>
  <c r="BM484" i="30" s="1"/>
  <c r="AV517" i="30"/>
  <c r="O311" i="30"/>
  <c r="L311" i="30"/>
  <c r="T311" i="30"/>
  <c r="BE311" i="30" s="1"/>
  <c r="L344" i="30"/>
  <c r="T344" i="30"/>
  <c r="BE344" i="30" s="1"/>
  <c r="O346" i="30"/>
  <c r="L346" i="30"/>
  <c r="O349" i="30"/>
  <c r="L349" i="30"/>
  <c r="O367" i="30"/>
  <c r="L367" i="30"/>
  <c r="T399" i="30"/>
  <c r="BE399" i="30" s="1"/>
  <c r="O399" i="30"/>
  <c r="L399" i="30"/>
  <c r="L444" i="30"/>
  <c r="T444" i="30"/>
  <c r="BE444" i="30" s="1"/>
  <c r="L446" i="30"/>
  <c r="T446" i="30"/>
  <c r="BE446" i="30" s="1"/>
  <c r="O446" i="30"/>
  <c r="AV455" i="30"/>
  <c r="T456" i="30"/>
  <c r="BE456" i="30" s="1"/>
  <c r="BL456" i="30" s="1"/>
  <c r="BP456" i="30" s="1"/>
  <c r="O456" i="30"/>
  <c r="L456" i="30"/>
  <c r="AV521" i="30"/>
  <c r="AV161" i="30"/>
  <c r="AV170" i="30"/>
  <c r="AV191" i="30"/>
  <c r="L240" i="30"/>
  <c r="AV289" i="30"/>
  <c r="O344" i="30"/>
  <c r="T346" i="30"/>
  <c r="BE346" i="30" s="1"/>
  <c r="T349" i="30"/>
  <c r="BE349" i="30" s="1"/>
  <c r="T367" i="30"/>
  <c r="BE367" i="30" s="1"/>
  <c r="AV370" i="30"/>
  <c r="T382" i="30"/>
  <c r="BE382" i="30" s="1"/>
  <c r="O382" i="30"/>
  <c r="AV395" i="30"/>
  <c r="AV403" i="30"/>
  <c r="AV416" i="30"/>
  <c r="O444" i="30"/>
  <c r="BM474" i="30"/>
  <c r="AZ477" i="30"/>
  <c r="BM477" i="30" s="1"/>
  <c r="BB477" i="30"/>
  <c r="BB487" i="30"/>
  <c r="AZ487" i="30"/>
  <c r="BM487" i="30" s="1"/>
  <c r="O369" i="30"/>
  <c r="L369" i="30"/>
  <c r="T369" i="30"/>
  <c r="BE369" i="30" s="1"/>
  <c r="AV401" i="30"/>
  <c r="AV407" i="30"/>
  <c r="O416" i="30"/>
  <c r="L416" i="30"/>
  <c r="O424" i="30"/>
  <c r="L424" i="30"/>
  <c r="L438" i="30"/>
  <c r="T438" i="30"/>
  <c r="BE438" i="30" s="1"/>
  <c r="O438" i="30"/>
  <c r="T476" i="30"/>
  <c r="BE476" i="30" s="1"/>
  <c r="O476" i="30"/>
  <c r="L476" i="30"/>
  <c r="AZ488" i="30"/>
  <c r="BM488" i="30" s="1"/>
  <c r="BM498" i="30"/>
  <c r="AV539" i="30"/>
  <c r="AV553" i="30"/>
  <c r="O465" i="30"/>
  <c r="L465" i="30"/>
  <c r="BM492" i="30"/>
  <c r="AZ501" i="30"/>
  <c r="BM501" i="30" s="1"/>
  <c r="AV194" i="30"/>
  <c r="AV207" i="30"/>
  <c r="AV219" i="30"/>
  <c r="AV333" i="30"/>
  <c r="AV348" i="30"/>
  <c r="AV380" i="30"/>
  <c r="AV387" i="30"/>
  <c r="AV415" i="30"/>
  <c r="AV428" i="30"/>
  <c r="L440" i="30"/>
  <c r="L450" i="30"/>
  <c r="T465" i="30"/>
  <c r="BE465" i="30" s="1"/>
  <c r="AV533" i="30"/>
  <c r="AV391" i="30"/>
  <c r="AV399" i="30"/>
  <c r="O485" i="30"/>
  <c r="L485" i="30"/>
  <c r="AZ563" i="30"/>
  <c r="BM563" i="30" s="1"/>
  <c r="AV270" i="30"/>
  <c r="AV294" i="30"/>
  <c r="AV452" i="30"/>
  <c r="AV454" i="30"/>
  <c r="AZ493" i="30"/>
  <c r="BM493" i="30" s="1"/>
  <c r="J511" i="30"/>
  <c r="H512" i="30"/>
  <c r="I512" i="30" s="1"/>
  <c r="O300" i="30"/>
  <c r="AV324" i="30"/>
  <c r="T423" i="30"/>
  <c r="BE423" i="30" s="1"/>
  <c r="O423" i="30"/>
  <c r="T425" i="30"/>
  <c r="BE425" i="30" s="1"/>
  <c r="O425" i="30"/>
  <c r="O431" i="30"/>
  <c r="O504" i="30"/>
  <c r="AV375" i="30"/>
  <c r="AV421" i="30"/>
  <c r="BL485" i="30"/>
  <c r="O498" i="30"/>
  <c r="L498" i="30"/>
  <c r="T498" i="30"/>
  <c r="AV546" i="30"/>
  <c r="AV573" i="30"/>
  <c r="T395" i="30"/>
  <c r="BE395" i="30" s="1"/>
  <c r="O395" i="30"/>
  <c r="T439" i="30"/>
  <c r="BE439" i="30" s="1"/>
  <c r="O439" i="30"/>
  <c r="O469" i="30"/>
  <c r="L469" i="30"/>
  <c r="O491" i="30"/>
  <c r="L491" i="30"/>
  <c r="BM504" i="30"/>
  <c r="L510" i="30"/>
  <c r="AV516" i="30"/>
  <c r="AV543" i="30"/>
  <c r="AV443" i="30"/>
  <c r="AV532" i="30"/>
  <c r="AV440" i="30"/>
  <c r="O442" i="30"/>
  <c r="L442" i="30"/>
  <c r="T482" i="30"/>
  <c r="BE482" i="30" s="1"/>
  <c r="BL482" i="30" s="1"/>
  <c r="O482" i="30"/>
  <c r="L482" i="30"/>
  <c r="BM485" i="30"/>
  <c r="BM475" i="30"/>
  <c r="T496" i="30"/>
  <c r="BE496" i="30" s="1"/>
  <c r="BL496" i="30" s="1"/>
  <c r="O496" i="30"/>
  <c r="AV514" i="30"/>
  <c r="AV588" i="30"/>
  <c r="L496" i="30"/>
  <c r="AV467" i="30"/>
  <c r="O502" i="30"/>
  <c r="AV509" i="30"/>
  <c r="AV559" i="30"/>
  <c r="AV568" i="30"/>
  <c r="AV572" i="30"/>
  <c r="O509" i="30"/>
  <c r="L509" i="30"/>
  <c r="AV536" i="30"/>
  <c r="AV549" i="30"/>
  <c r="AV552" i="30"/>
  <c r="AV570" i="30"/>
  <c r="AV547" i="30"/>
  <c r="AV550" i="30"/>
  <c r="AV579" i="30"/>
  <c r="AJ614" i="30"/>
  <c r="AJ615" i="30"/>
  <c r="AJ616" i="30"/>
  <c r="BL234" i="30" l="1"/>
  <c r="BP234" i="30" s="1"/>
  <c r="BU234" i="30" s="1"/>
  <c r="BV234" i="30" s="1"/>
  <c r="BW234" i="30" s="1"/>
  <c r="BL369" i="30"/>
  <c r="BP369" i="30" s="1"/>
  <c r="BU369" i="30" s="1"/>
  <c r="BV369" i="30" s="1"/>
  <c r="BW369" i="30" s="1"/>
  <c r="BU219" i="30"/>
  <c r="BV219" i="30" s="1"/>
  <c r="BW219" i="30" s="1"/>
  <c r="BL383" i="30"/>
  <c r="BL309" i="30"/>
  <c r="BP309" i="30" s="1"/>
  <c r="BU309" i="30" s="1"/>
  <c r="BV309" i="30" s="1"/>
  <c r="BW309" i="30" s="1"/>
  <c r="BL101" i="30"/>
  <c r="BP101" i="30" s="1"/>
  <c r="BU101" i="30" s="1"/>
  <c r="BV101" i="30" s="1"/>
  <c r="BW101" i="30" s="1"/>
  <c r="BL216" i="30"/>
  <c r="BP216" i="30" s="1"/>
  <c r="BU216" i="30" s="1"/>
  <c r="BV216" i="30" s="1"/>
  <c r="BW216" i="30" s="1"/>
  <c r="BL333" i="30"/>
  <c r="BP333" i="30" s="1"/>
  <c r="BU333" i="30" s="1"/>
  <c r="BV333" i="30" s="1"/>
  <c r="BW333" i="30" s="1"/>
  <c r="BL358" i="30"/>
  <c r="BP358" i="30" s="1"/>
  <c r="BU358" i="30" s="1"/>
  <c r="BV358" i="30" s="1"/>
  <c r="BW358" i="30" s="1"/>
  <c r="BL69" i="30"/>
  <c r="BP69" i="30" s="1"/>
  <c r="BU69" i="30" s="1"/>
  <c r="BV69" i="30" s="1"/>
  <c r="BW69" i="30" s="1"/>
  <c r="BL332" i="30"/>
  <c r="BP332" i="30" s="1"/>
  <c r="BU332" i="30" s="1"/>
  <c r="BV332" i="30" s="1"/>
  <c r="BW332" i="30" s="1"/>
  <c r="BL153" i="30"/>
  <c r="BP153" i="30" s="1"/>
  <c r="BU153" i="30" s="1"/>
  <c r="BV153" i="30" s="1"/>
  <c r="BW153" i="30" s="1"/>
  <c r="BL455" i="30"/>
  <c r="BP455" i="30" s="1"/>
  <c r="BU455" i="30" s="1"/>
  <c r="BV455" i="30" s="1"/>
  <c r="BW455" i="30" s="1"/>
  <c r="BL436" i="30"/>
  <c r="BP436" i="30" s="1"/>
  <c r="BU436" i="30" s="1"/>
  <c r="BV436" i="30" s="1"/>
  <c r="BW436" i="30" s="1"/>
  <c r="BL438" i="30"/>
  <c r="BP438" i="30" s="1"/>
  <c r="BU438" i="30" s="1"/>
  <c r="BV438" i="30" s="1"/>
  <c r="BW438" i="30" s="1"/>
  <c r="BB218" i="30"/>
  <c r="BU456" i="30"/>
  <c r="BV456" i="30" s="1"/>
  <c r="BW456" i="30" s="1"/>
  <c r="BL148" i="30"/>
  <c r="BP148" i="30" s="1"/>
  <c r="BU148" i="30" s="1"/>
  <c r="BV148" i="30" s="1"/>
  <c r="BW148" i="30" s="1"/>
  <c r="BU324" i="30"/>
  <c r="BV324" i="30" s="1"/>
  <c r="BW324" i="30" s="1"/>
  <c r="BL231" i="30"/>
  <c r="BP231" i="30" s="1"/>
  <c r="BU231" i="30" s="1"/>
  <c r="BV231" i="30" s="1"/>
  <c r="BW231" i="30" s="1"/>
  <c r="BL396" i="30"/>
  <c r="BP396" i="30" s="1"/>
  <c r="BU396" i="30" s="1"/>
  <c r="BV396" i="30" s="1"/>
  <c r="BW396" i="30" s="1"/>
  <c r="BL400" i="30"/>
  <c r="BP400" i="30" s="1"/>
  <c r="BU400" i="30" s="1"/>
  <c r="BV400" i="30" s="1"/>
  <c r="BW400" i="30" s="1"/>
  <c r="BL199" i="30"/>
  <c r="BP199" i="30" s="1"/>
  <c r="BU199" i="30" s="1"/>
  <c r="BV199" i="30" s="1"/>
  <c r="BW199" i="30" s="1"/>
  <c r="BU317" i="30"/>
  <c r="BV317" i="30" s="1"/>
  <c r="BW317" i="30" s="1"/>
  <c r="BL314" i="30"/>
  <c r="BP314" i="30" s="1"/>
  <c r="BU314" i="30" s="1"/>
  <c r="BV314" i="30" s="1"/>
  <c r="BW314" i="30" s="1"/>
  <c r="BL281" i="30"/>
  <c r="BP281" i="30" s="1"/>
  <c r="BU281" i="30" s="1"/>
  <c r="BV281" i="30" s="1"/>
  <c r="BW281" i="30" s="1"/>
  <c r="BL156" i="30"/>
  <c r="BP156" i="30" s="1"/>
  <c r="BU156" i="30" s="1"/>
  <c r="BV156" i="30" s="1"/>
  <c r="BW156" i="30" s="1"/>
  <c r="BL230" i="30"/>
  <c r="BP230" i="30" s="1"/>
  <c r="BU230" i="30" s="1"/>
  <c r="BV230" i="30" s="1"/>
  <c r="BW230" i="30" s="1"/>
  <c r="BL172" i="30"/>
  <c r="BP172" i="30" s="1"/>
  <c r="BU172" i="30" s="1"/>
  <c r="BV172" i="30" s="1"/>
  <c r="BW172" i="30" s="1"/>
  <c r="BL97" i="30"/>
  <c r="BP97" i="30" s="1"/>
  <c r="BU97" i="30" s="1"/>
  <c r="BV97" i="30" s="1"/>
  <c r="BW97" i="30" s="1"/>
  <c r="BL401" i="30"/>
  <c r="BP401" i="30" s="1"/>
  <c r="BU401" i="30" s="1"/>
  <c r="BV401" i="30" s="1"/>
  <c r="BW401" i="30" s="1"/>
  <c r="BL459" i="30"/>
  <c r="BP459" i="30" s="1"/>
  <c r="BU459" i="30" s="1"/>
  <c r="BV459" i="30" s="1"/>
  <c r="BW459" i="30" s="1"/>
  <c r="BL390" i="30"/>
  <c r="BP390" i="30" s="1"/>
  <c r="BU390" i="30" s="1"/>
  <c r="BV390" i="30" s="1"/>
  <c r="BW390" i="30" s="1"/>
  <c r="BE504" i="30"/>
  <c r="BL504" i="30" s="1"/>
  <c r="BL296" i="30"/>
  <c r="BP296" i="30" s="1"/>
  <c r="BU296" i="30" s="1"/>
  <c r="BV296" i="30" s="1"/>
  <c r="BW296" i="30" s="1"/>
  <c r="BL341" i="30"/>
  <c r="BP341" i="30" s="1"/>
  <c r="BU341" i="30" s="1"/>
  <c r="BV341" i="30" s="1"/>
  <c r="BW341" i="30" s="1"/>
  <c r="BL422" i="30"/>
  <c r="BP422" i="30" s="1"/>
  <c r="BU422" i="30" s="1"/>
  <c r="BV422" i="30" s="1"/>
  <c r="BW422" i="30" s="1"/>
  <c r="BL245" i="30"/>
  <c r="BP245" i="30" s="1"/>
  <c r="BU245" i="30" s="1"/>
  <c r="BV245" i="30" s="1"/>
  <c r="BW245" i="30" s="1"/>
  <c r="BL220" i="30"/>
  <c r="BP220" i="30" s="1"/>
  <c r="BU220" i="30" s="1"/>
  <c r="BV220" i="30" s="1"/>
  <c r="BW220" i="30" s="1"/>
  <c r="BL315" i="30"/>
  <c r="BP315" i="30" s="1"/>
  <c r="BU315" i="30" s="1"/>
  <c r="BV315" i="30" s="1"/>
  <c r="BW315" i="30" s="1"/>
  <c r="BL357" i="30"/>
  <c r="BP357" i="30" s="1"/>
  <c r="BU357" i="30" s="1"/>
  <c r="BV357" i="30" s="1"/>
  <c r="BW357" i="30" s="1"/>
  <c r="BV4" i="30"/>
  <c r="BW4" i="30" s="1"/>
  <c r="BL282" i="30"/>
  <c r="BP282" i="30" s="1"/>
  <c r="BU282" i="30" s="1"/>
  <c r="BV282" i="30" s="1"/>
  <c r="BW282" i="30" s="1"/>
  <c r="BU372" i="30"/>
  <c r="BV372" i="30" s="1"/>
  <c r="BW372" i="30" s="1"/>
  <c r="BU208" i="30"/>
  <c r="BV208" i="30" s="1"/>
  <c r="BW208" i="30" s="1"/>
  <c r="BL237" i="30"/>
  <c r="BP237" i="30" s="1"/>
  <c r="BU237" i="30" s="1"/>
  <c r="BV237" i="30" s="1"/>
  <c r="BW237" i="30" s="1"/>
  <c r="BB147" i="30"/>
  <c r="BB159" i="30"/>
  <c r="BU202" i="30"/>
  <c r="BV202" i="30" s="1"/>
  <c r="BW202" i="30" s="1"/>
  <c r="BU287" i="30"/>
  <c r="BV287" i="30" s="1"/>
  <c r="BW287" i="30" s="1"/>
  <c r="BU222" i="30"/>
  <c r="BV222" i="30" s="1"/>
  <c r="BW222" i="30" s="1"/>
  <c r="BU81" i="30"/>
  <c r="BV81" i="30" s="1"/>
  <c r="BW81" i="30" s="1"/>
  <c r="BL472" i="30"/>
  <c r="BP472" i="30" s="1"/>
  <c r="BU472" i="30" s="1"/>
  <c r="BV472" i="30" s="1"/>
  <c r="BW472" i="30" s="1"/>
  <c r="BU323" i="30"/>
  <c r="BV323" i="30" s="1"/>
  <c r="BW323" i="30" s="1"/>
  <c r="BU469" i="30"/>
  <c r="BV469" i="30" s="1"/>
  <c r="BW469" i="30" s="1"/>
  <c r="BU360" i="30"/>
  <c r="BV360" i="30" s="1"/>
  <c r="BW360" i="30" s="1"/>
  <c r="BU158" i="30"/>
  <c r="BV158" i="30" s="1"/>
  <c r="BW158" i="30" s="1"/>
  <c r="BU225" i="30"/>
  <c r="BV225" i="30" s="1"/>
  <c r="BW225" i="30" s="1"/>
  <c r="BL431" i="30"/>
  <c r="BU336" i="30"/>
  <c r="BV336" i="30" s="1"/>
  <c r="BW336" i="30" s="1"/>
  <c r="BL295" i="30"/>
  <c r="BP295" i="30" s="1"/>
  <c r="BU295" i="30" s="1"/>
  <c r="BV295" i="30" s="1"/>
  <c r="BW295" i="30" s="1"/>
  <c r="BL133" i="30"/>
  <c r="BP133" i="30" s="1"/>
  <c r="BU133" i="30" s="1"/>
  <c r="BV133" i="30" s="1"/>
  <c r="BW133" i="30" s="1"/>
  <c r="BU75" i="30"/>
  <c r="BV75" i="30" s="1"/>
  <c r="BW75" i="30" s="1"/>
  <c r="BU61" i="30"/>
  <c r="BV61" i="30" s="1"/>
  <c r="BW61" i="30" s="1"/>
  <c r="BU404" i="30"/>
  <c r="BV404" i="30" s="1"/>
  <c r="BW404" i="30" s="1"/>
  <c r="BL129" i="30"/>
  <c r="BP129" i="30" s="1"/>
  <c r="BU129" i="30" s="1"/>
  <c r="BV129" i="30" s="1"/>
  <c r="BW129" i="30" s="1"/>
  <c r="BU218" i="30"/>
  <c r="BV218" i="30" s="1"/>
  <c r="BW218" i="30" s="1"/>
  <c r="BU253" i="30"/>
  <c r="BV253" i="30" s="1"/>
  <c r="BW253" i="30" s="1"/>
  <c r="BU354" i="30"/>
  <c r="BV354" i="30" s="1"/>
  <c r="BW354" i="30" s="1"/>
  <c r="AZ7" i="30"/>
  <c r="BM7" i="30" s="1"/>
  <c r="BU112" i="30"/>
  <c r="BV112" i="30" s="1"/>
  <c r="BW112" i="30" s="1"/>
  <c r="BU102" i="30"/>
  <c r="BV102" i="30" s="1"/>
  <c r="BW102" i="30" s="1"/>
  <c r="BU509" i="30"/>
  <c r="BV509" i="30" s="1"/>
  <c r="BW509" i="30" s="1"/>
  <c r="BU214" i="30"/>
  <c r="BV214" i="30" s="1"/>
  <c r="BW214" i="30" s="1"/>
  <c r="BU361" i="30"/>
  <c r="BV361" i="30" s="1"/>
  <c r="BW361" i="30" s="1"/>
  <c r="BU240" i="30"/>
  <c r="BV240" i="30" s="1"/>
  <c r="BW240" i="30" s="1"/>
  <c r="BU421" i="30"/>
  <c r="BV421" i="30" s="1"/>
  <c r="BW421" i="30" s="1"/>
  <c r="BU190" i="30"/>
  <c r="BV190" i="30" s="1"/>
  <c r="BW190" i="30" s="1"/>
  <c r="BU159" i="30"/>
  <c r="BV159" i="30" s="1"/>
  <c r="BW159" i="30" s="1"/>
  <c r="BU416" i="30"/>
  <c r="BV416" i="30" s="1"/>
  <c r="BW416" i="30" s="1"/>
  <c r="BL388" i="30"/>
  <c r="BU435" i="30"/>
  <c r="BV435" i="30" s="1"/>
  <c r="BW435" i="30" s="1"/>
  <c r="BU368" i="30"/>
  <c r="BV368" i="30" s="1"/>
  <c r="BW368" i="30" s="1"/>
  <c r="Y250" i="30"/>
  <c r="BQ250" i="30" s="1"/>
  <c r="BB404" i="30"/>
  <c r="BL297" i="30"/>
  <c r="BP297" i="30" s="1"/>
  <c r="BU297" i="30" s="1"/>
  <c r="BV297" i="30" s="1"/>
  <c r="BW297" i="30" s="1"/>
  <c r="AZ75" i="30"/>
  <c r="BM75" i="30" s="1"/>
  <c r="BU200" i="30"/>
  <c r="BV200" i="30" s="1"/>
  <c r="BW200" i="30" s="1"/>
  <c r="BU320" i="30"/>
  <c r="BV320" i="30" s="1"/>
  <c r="BW320" i="30" s="1"/>
  <c r="AZ469" i="30"/>
  <c r="BM469" i="30" s="1"/>
  <c r="BL221" i="30"/>
  <c r="BP221" i="30" s="1"/>
  <c r="BU221" i="30" s="1"/>
  <c r="BV221" i="30" s="1"/>
  <c r="BW221" i="30" s="1"/>
  <c r="BU275" i="30"/>
  <c r="BV275" i="30" s="1"/>
  <c r="BW275" i="30" s="1"/>
  <c r="BU131" i="30"/>
  <c r="BV131" i="30" s="1"/>
  <c r="BW131" i="30" s="1"/>
  <c r="BU127" i="30"/>
  <c r="BV127" i="30" s="1"/>
  <c r="BW127" i="30" s="1"/>
  <c r="BU355" i="30"/>
  <c r="BV355" i="30" s="1"/>
  <c r="BW355" i="30" s="1"/>
  <c r="BL278" i="30"/>
  <c r="BP278" i="30" s="1"/>
  <c r="BU278" i="30" s="1"/>
  <c r="BV278" i="30" s="1"/>
  <c r="BW278" i="30" s="1"/>
  <c r="BU180" i="30"/>
  <c r="BV180" i="30" s="1"/>
  <c r="BW180" i="30" s="1"/>
  <c r="BU137" i="30"/>
  <c r="BV137" i="30" s="1"/>
  <c r="BW137" i="30" s="1"/>
  <c r="BU126" i="30"/>
  <c r="BV126" i="30" s="1"/>
  <c r="BW126" i="30" s="1"/>
  <c r="BL397" i="30"/>
  <c r="BP397" i="30" s="1"/>
  <c r="BU397" i="30" s="1"/>
  <c r="BV397" i="30" s="1"/>
  <c r="BW397" i="30" s="1"/>
  <c r="BL53" i="30"/>
  <c r="BP53" i="30" s="1"/>
  <c r="BU53" i="30" s="1"/>
  <c r="BV53" i="30" s="1"/>
  <c r="BW53" i="30" s="1"/>
  <c r="BU204" i="30"/>
  <c r="BV204" i="30" s="1"/>
  <c r="BW204" i="30" s="1"/>
  <c r="BU224" i="30"/>
  <c r="BV224" i="30" s="1"/>
  <c r="BW224" i="30" s="1"/>
  <c r="BU130" i="30"/>
  <c r="BV130" i="30" s="1"/>
  <c r="BW130" i="30" s="1"/>
  <c r="BU147" i="30"/>
  <c r="BV147" i="30" s="1"/>
  <c r="BW147" i="30" s="1"/>
  <c r="BL302" i="30"/>
  <c r="BP302" i="30" s="1"/>
  <c r="BU302" i="30" s="1"/>
  <c r="BV302" i="30" s="1"/>
  <c r="BW302" i="30" s="1"/>
  <c r="BU331" i="30"/>
  <c r="BV331" i="30" s="1"/>
  <c r="BW331" i="30" s="1"/>
  <c r="BL316" i="30"/>
  <c r="BP316" i="30" s="1"/>
  <c r="BU316" i="30" s="1"/>
  <c r="BV316" i="30" s="1"/>
  <c r="BW316" i="30" s="1"/>
  <c r="BU193" i="30"/>
  <c r="BV193" i="30" s="1"/>
  <c r="BW193" i="30" s="1"/>
  <c r="BU134" i="30"/>
  <c r="BV134" i="30" s="1"/>
  <c r="BW134" i="30" s="1"/>
  <c r="BU269" i="30"/>
  <c r="BV269" i="30" s="1"/>
  <c r="BW269" i="30" s="1"/>
  <c r="BL385" i="30"/>
  <c r="BL312" i="30"/>
  <c r="BP312" i="30" s="1"/>
  <c r="BU312" i="30" s="1"/>
  <c r="BV312" i="30" s="1"/>
  <c r="BW312" i="30" s="1"/>
  <c r="BU318" i="30"/>
  <c r="BV318" i="30" s="1"/>
  <c r="BW318" i="30" s="1"/>
  <c r="BU210" i="30"/>
  <c r="BV210" i="30" s="1"/>
  <c r="BW210" i="30" s="1"/>
  <c r="BL311" i="30"/>
  <c r="BP311" i="30" s="1"/>
  <c r="BU311" i="30" s="1"/>
  <c r="BV311" i="30" s="1"/>
  <c r="BW311" i="30" s="1"/>
  <c r="BL201" i="30"/>
  <c r="BP201" i="30" s="1"/>
  <c r="BU201" i="30" s="1"/>
  <c r="BV201" i="30" s="1"/>
  <c r="BW201" i="30" s="1"/>
  <c r="BL52" i="30"/>
  <c r="BP52" i="30" s="1"/>
  <c r="BU52" i="30" s="1"/>
  <c r="BV52" i="30" s="1"/>
  <c r="BW52" i="30" s="1"/>
  <c r="BL446" i="30"/>
  <c r="BL242" i="30"/>
  <c r="BP242" i="30" s="1"/>
  <c r="BU242" i="30" s="1"/>
  <c r="BV242" i="30" s="1"/>
  <c r="BW242" i="30" s="1"/>
  <c r="BU232" i="30"/>
  <c r="BV232" i="30" s="1"/>
  <c r="BW232" i="30" s="1"/>
  <c r="BU105" i="30"/>
  <c r="BV105" i="30" s="1"/>
  <c r="BW105" i="30" s="1"/>
  <c r="BU348" i="30"/>
  <c r="BV348" i="30" s="1"/>
  <c r="BW348" i="30" s="1"/>
  <c r="BU73" i="30"/>
  <c r="BV73" i="30" s="1"/>
  <c r="BW73" i="30" s="1"/>
  <c r="BL94" i="30"/>
  <c r="BP94" i="30" s="1"/>
  <c r="BU94" i="30" s="1"/>
  <c r="BV94" i="30" s="1"/>
  <c r="BW94" i="30" s="1"/>
  <c r="BL146" i="30"/>
  <c r="BP146" i="30" s="1"/>
  <c r="BU146" i="30" s="1"/>
  <c r="BV146" i="30" s="1"/>
  <c r="BW146" i="30" s="1"/>
  <c r="BL264" i="30"/>
  <c r="BP264" i="30" s="1"/>
  <c r="BU264" i="30" s="1"/>
  <c r="BV264" i="30" s="1"/>
  <c r="BW264" i="30" s="1"/>
  <c r="BL468" i="30"/>
  <c r="BP468" i="30" s="1"/>
  <c r="BU468" i="30" s="1"/>
  <c r="BV468" i="30" s="1"/>
  <c r="BW468" i="30" s="1"/>
  <c r="BU65" i="30"/>
  <c r="BV65" i="30" s="1"/>
  <c r="BW65" i="30" s="1"/>
  <c r="BL464" i="30"/>
  <c r="BP464" i="30" s="1"/>
  <c r="BU464" i="30" s="1"/>
  <c r="BV464" i="30" s="1"/>
  <c r="BW464" i="30" s="1"/>
  <c r="BL463" i="30"/>
  <c r="BP463" i="30" s="1"/>
  <c r="BU463" i="30" s="1"/>
  <c r="BV463" i="30" s="1"/>
  <c r="BW463" i="30" s="1"/>
  <c r="BU351" i="30"/>
  <c r="BV351" i="30" s="1"/>
  <c r="BW351" i="30" s="1"/>
  <c r="BL363" i="30"/>
  <c r="BP363" i="30" s="1"/>
  <c r="BU363" i="30" s="1"/>
  <c r="BV363" i="30" s="1"/>
  <c r="BW363" i="30" s="1"/>
  <c r="BL252" i="30"/>
  <c r="BP252" i="30" s="1"/>
  <c r="BU252" i="30" s="1"/>
  <c r="BV252" i="30" s="1"/>
  <c r="BW252" i="30" s="1"/>
  <c r="BL258" i="30"/>
  <c r="BP258" i="30" s="1"/>
  <c r="BU258" i="30" s="1"/>
  <c r="BV258" i="30" s="1"/>
  <c r="BW258" i="30" s="1"/>
  <c r="BL415" i="30"/>
  <c r="BP415" i="30" s="1"/>
  <c r="BU415" i="30" s="1"/>
  <c r="BV415" i="30" s="1"/>
  <c r="BW415" i="30" s="1"/>
  <c r="BU299" i="30"/>
  <c r="BV299" i="30" s="1"/>
  <c r="BW299" i="30" s="1"/>
  <c r="BU132" i="30"/>
  <c r="BV132" i="30" s="1"/>
  <c r="BW132" i="30" s="1"/>
  <c r="BU103" i="30"/>
  <c r="BV103" i="30" s="1"/>
  <c r="BW103" i="30" s="1"/>
  <c r="BU96" i="30"/>
  <c r="BV96" i="30" s="1"/>
  <c r="BW96" i="30" s="1"/>
  <c r="BU270" i="30"/>
  <c r="BV270" i="30" s="1"/>
  <c r="BW270" i="30" s="1"/>
  <c r="AZ204" i="30"/>
  <c r="BM204" i="30" s="1"/>
  <c r="BL398" i="30"/>
  <c r="BP398" i="30" s="1"/>
  <c r="BU398" i="30" s="1"/>
  <c r="BV398" i="30" s="1"/>
  <c r="BW398" i="30" s="1"/>
  <c r="AZ169" i="30"/>
  <c r="BM169" i="30" s="1"/>
  <c r="BL212" i="30"/>
  <c r="BP212" i="30" s="1"/>
  <c r="BU212" i="30" s="1"/>
  <c r="BV212" i="30" s="1"/>
  <c r="BW212" i="30" s="1"/>
  <c r="BL325" i="30"/>
  <c r="BP325" i="30" s="1"/>
  <c r="BU325" i="30" s="1"/>
  <c r="BV325" i="30" s="1"/>
  <c r="BW325" i="30" s="1"/>
  <c r="BL386" i="30"/>
  <c r="BL402" i="30"/>
  <c r="BP402" i="30" s="1"/>
  <c r="BU402" i="30" s="1"/>
  <c r="BV402" i="30" s="1"/>
  <c r="BW402" i="30" s="1"/>
  <c r="BL205" i="30"/>
  <c r="BP205" i="30" s="1"/>
  <c r="BU205" i="30" s="1"/>
  <c r="BV205" i="30" s="1"/>
  <c r="BW205" i="30" s="1"/>
  <c r="BL362" i="30"/>
  <c r="BP362" i="30" s="1"/>
  <c r="BU362" i="30" s="1"/>
  <c r="BV362" i="30" s="1"/>
  <c r="BW362" i="30" s="1"/>
  <c r="BL423" i="30"/>
  <c r="BP423" i="30" s="1"/>
  <c r="BU423" i="30" s="1"/>
  <c r="BV423" i="30" s="1"/>
  <c r="BW423" i="30" s="1"/>
  <c r="BL394" i="30"/>
  <c r="BP394" i="30" s="1"/>
  <c r="BU394" i="30" s="1"/>
  <c r="BV394" i="30" s="1"/>
  <c r="BW394" i="30" s="1"/>
  <c r="BB508" i="30"/>
  <c r="AZ126" i="30"/>
  <c r="BM126" i="30" s="1"/>
  <c r="BL356" i="30"/>
  <c r="BP356" i="30" s="1"/>
  <c r="BU356" i="30" s="1"/>
  <c r="BV356" i="30" s="1"/>
  <c r="BW356" i="30" s="1"/>
  <c r="BL79" i="30"/>
  <c r="BP79" i="30" s="1"/>
  <c r="BU79" i="30" s="1"/>
  <c r="BV79" i="30" s="1"/>
  <c r="BW79" i="30" s="1"/>
  <c r="BL138" i="30"/>
  <c r="BP138" i="30" s="1"/>
  <c r="BU138" i="30" s="1"/>
  <c r="BV138" i="30" s="1"/>
  <c r="BW138" i="30" s="1"/>
  <c r="BL228" i="30"/>
  <c r="BP228" i="30" s="1"/>
  <c r="BU228" i="30" s="1"/>
  <c r="BV228" i="30" s="1"/>
  <c r="BW228" i="30" s="1"/>
  <c r="BL249" i="30"/>
  <c r="BP249" i="30" s="1"/>
  <c r="BU249" i="30" s="1"/>
  <c r="BV249" i="30" s="1"/>
  <c r="BW249" i="30" s="1"/>
  <c r="BL72" i="30"/>
  <c r="BP72" i="30" s="1"/>
  <c r="BU72" i="30" s="1"/>
  <c r="BV72" i="30" s="1"/>
  <c r="BW72" i="30" s="1"/>
  <c r="AZ158" i="30"/>
  <c r="BM158" i="30" s="1"/>
  <c r="BL393" i="30"/>
  <c r="BP393" i="30" s="1"/>
  <c r="BU393" i="30" s="1"/>
  <c r="BV393" i="30" s="1"/>
  <c r="BW393" i="30" s="1"/>
  <c r="BL211" i="30"/>
  <c r="BP211" i="30" s="1"/>
  <c r="BU211" i="30" s="1"/>
  <c r="BV211" i="30" s="1"/>
  <c r="BW211" i="30" s="1"/>
  <c r="BL268" i="30"/>
  <c r="BP268" i="30" s="1"/>
  <c r="BU268" i="30" s="1"/>
  <c r="BV268" i="30" s="1"/>
  <c r="BW268" i="30" s="1"/>
  <c r="BL203" i="30"/>
  <c r="BP203" i="30" s="1"/>
  <c r="BU203" i="30" s="1"/>
  <c r="BV203" i="30" s="1"/>
  <c r="BW203" i="30" s="1"/>
  <c r="BL381" i="30"/>
  <c r="BL376" i="30"/>
  <c r="BP376" i="30" s="1"/>
  <c r="BU376" i="30" s="1"/>
  <c r="BV376" i="30" s="1"/>
  <c r="BW376" i="30" s="1"/>
  <c r="BL447" i="30"/>
  <c r="BL164" i="30"/>
  <c r="BP164" i="30" s="1"/>
  <c r="BU164" i="30" s="1"/>
  <c r="BV164" i="30" s="1"/>
  <c r="BW164" i="30" s="1"/>
  <c r="BB368" i="30"/>
  <c r="BL168" i="30"/>
  <c r="BP168" i="30" s="1"/>
  <c r="BU168" i="30" s="1"/>
  <c r="BV168" i="30" s="1"/>
  <c r="BW168" i="30" s="1"/>
  <c r="BL457" i="30"/>
  <c r="BP457" i="30" s="1"/>
  <c r="BU457" i="30" s="1"/>
  <c r="BV457" i="30" s="1"/>
  <c r="BW457" i="30" s="1"/>
  <c r="BL247" i="30"/>
  <c r="BP247" i="30" s="1"/>
  <c r="BU247" i="30" s="1"/>
  <c r="BV247" i="30" s="1"/>
  <c r="BW247" i="30" s="1"/>
  <c r="BL283" i="30"/>
  <c r="BP283" i="30" s="1"/>
  <c r="BU283" i="30" s="1"/>
  <c r="BV283" i="30" s="1"/>
  <c r="BW283" i="30" s="1"/>
  <c r="BL160" i="30"/>
  <c r="BP160" i="30" s="1"/>
  <c r="BU160" i="30" s="1"/>
  <c r="BV160" i="30" s="1"/>
  <c r="BW160" i="30" s="1"/>
  <c r="BL335" i="30"/>
  <c r="BP335" i="30" s="1"/>
  <c r="BU335" i="30" s="1"/>
  <c r="BV335" i="30" s="1"/>
  <c r="BW335" i="30" s="1"/>
  <c r="BL87" i="30"/>
  <c r="BP87" i="30" s="1"/>
  <c r="BU87" i="30" s="1"/>
  <c r="BV87" i="30" s="1"/>
  <c r="BW87" i="30" s="1"/>
  <c r="BL91" i="30"/>
  <c r="BP91" i="30" s="1"/>
  <c r="BU91" i="30" s="1"/>
  <c r="BV91" i="30" s="1"/>
  <c r="BW91" i="30" s="1"/>
  <c r="BB510" i="30"/>
  <c r="BL110" i="30"/>
  <c r="BP110" i="30" s="1"/>
  <c r="BU110" i="30" s="1"/>
  <c r="BV110" i="30" s="1"/>
  <c r="BW110" i="30" s="1"/>
  <c r="BL410" i="30"/>
  <c r="BP410" i="30" s="1"/>
  <c r="BU410" i="30" s="1"/>
  <c r="BV410" i="30" s="1"/>
  <c r="BW410" i="30" s="1"/>
  <c r="BL370" i="30"/>
  <c r="BP370" i="30" s="1"/>
  <c r="BU370" i="30" s="1"/>
  <c r="BV370" i="30" s="1"/>
  <c r="BW370" i="30" s="1"/>
  <c r="BB484" i="30"/>
  <c r="BB329" i="30"/>
  <c r="BB186" i="30"/>
  <c r="BB437" i="30"/>
  <c r="BB65" i="30"/>
  <c r="BL334" i="30"/>
  <c r="BP334" i="30" s="1"/>
  <c r="BU334" i="30" s="1"/>
  <c r="BV334" i="30" s="1"/>
  <c r="BW334" i="30" s="1"/>
  <c r="BB110" i="30"/>
  <c r="BL462" i="30"/>
  <c r="BP462" i="30" s="1"/>
  <c r="BU462" i="30" s="1"/>
  <c r="BV462" i="30" s="1"/>
  <c r="BW462" i="30" s="1"/>
  <c r="BL310" i="30"/>
  <c r="BP310" i="30" s="1"/>
  <c r="BU310" i="30" s="1"/>
  <c r="BV310" i="30" s="1"/>
  <c r="BW310" i="30" s="1"/>
  <c r="BL353" i="30"/>
  <c r="BP353" i="30" s="1"/>
  <c r="BU353" i="30" s="1"/>
  <c r="BV353" i="30" s="1"/>
  <c r="BW353" i="30" s="1"/>
  <c r="BL425" i="30"/>
  <c r="BL248" i="30"/>
  <c r="BP248" i="30" s="1"/>
  <c r="BU248" i="30" s="1"/>
  <c r="BV248" i="30" s="1"/>
  <c r="BW248" i="30" s="1"/>
  <c r="AZ372" i="30"/>
  <c r="BM372" i="30" s="1"/>
  <c r="BL434" i="30"/>
  <c r="BL417" i="30"/>
  <c r="BP417" i="30" s="1"/>
  <c r="BU417" i="30" s="1"/>
  <c r="BV417" i="30" s="1"/>
  <c r="BW417" i="30" s="1"/>
  <c r="BB481" i="30"/>
  <c r="BL409" i="30"/>
  <c r="BP409" i="30" s="1"/>
  <c r="BU409" i="30" s="1"/>
  <c r="BV409" i="30" s="1"/>
  <c r="BW409" i="30" s="1"/>
  <c r="BL107" i="30"/>
  <c r="BP107" i="30" s="1"/>
  <c r="BU107" i="30" s="1"/>
  <c r="BV107" i="30" s="1"/>
  <c r="BW107" i="30" s="1"/>
  <c r="BL406" i="30"/>
  <c r="BP406" i="30" s="1"/>
  <c r="BU406" i="30" s="1"/>
  <c r="BV406" i="30" s="1"/>
  <c r="BW406" i="30" s="1"/>
  <c r="BB188" i="30"/>
  <c r="BB275" i="30"/>
  <c r="BL70" i="30"/>
  <c r="BP70" i="30" s="1"/>
  <c r="BU70" i="30" s="1"/>
  <c r="BV70" i="30" s="1"/>
  <c r="BW70" i="30" s="1"/>
  <c r="Y558" i="30"/>
  <c r="BL465" i="30"/>
  <c r="BP465" i="30" s="1"/>
  <c r="BU465" i="30" s="1"/>
  <c r="BV465" i="30" s="1"/>
  <c r="BW465" i="30" s="1"/>
  <c r="BL384" i="30"/>
  <c r="BB321" i="30"/>
  <c r="BL392" i="30"/>
  <c r="BP392" i="30" s="1"/>
  <c r="BU392" i="30" s="1"/>
  <c r="BV392" i="30" s="1"/>
  <c r="BW392" i="30" s="1"/>
  <c r="AZ6" i="30"/>
  <c r="BM6" i="30" s="1"/>
  <c r="BL99" i="30"/>
  <c r="BP99" i="30" s="1"/>
  <c r="BU99" i="30" s="1"/>
  <c r="BV99" i="30" s="1"/>
  <c r="BW99" i="30" s="1"/>
  <c r="BL450" i="30"/>
  <c r="BL337" i="30"/>
  <c r="BP337" i="30" s="1"/>
  <c r="BU337" i="30" s="1"/>
  <c r="BV337" i="30" s="1"/>
  <c r="BW337" i="30" s="1"/>
  <c r="BL145" i="30"/>
  <c r="BP145" i="30" s="1"/>
  <c r="BU145" i="30" s="1"/>
  <c r="BV145" i="30" s="1"/>
  <c r="BW145" i="30" s="1"/>
  <c r="BL236" i="30"/>
  <c r="BP236" i="30" s="1"/>
  <c r="BU236" i="30" s="1"/>
  <c r="BV236" i="30" s="1"/>
  <c r="BW236" i="30" s="1"/>
  <c r="BL375" i="30"/>
  <c r="BP375" i="30" s="1"/>
  <c r="BU375" i="30" s="1"/>
  <c r="BV375" i="30" s="1"/>
  <c r="BW375" i="30" s="1"/>
  <c r="BB442" i="30"/>
  <c r="BL405" i="30"/>
  <c r="BP405" i="30" s="1"/>
  <c r="BU405" i="30" s="1"/>
  <c r="BV405" i="30" s="1"/>
  <c r="BW405" i="30" s="1"/>
  <c r="BL74" i="30"/>
  <c r="BP74" i="30" s="1"/>
  <c r="BU74" i="30" s="1"/>
  <c r="BV74" i="30" s="1"/>
  <c r="BW74" i="30" s="1"/>
  <c r="BB381" i="30"/>
  <c r="BB309" i="30"/>
  <c r="BL329" i="30"/>
  <c r="BP329" i="30" s="1"/>
  <c r="BU329" i="30" s="1"/>
  <c r="BV329" i="30" s="1"/>
  <c r="BW329" i="30" s="1"/>
  <c r="BL226" i="30"/>
  <c r="BP226" i="30" s="1"/>
  <c r="BU226" i="30" s="1"/>
  <c r="BV226" i="30" s="1"/>
  <c r="BW226" i="30" s="1"/>
  <c r="BL257" i="30"/>
  <c r="BP257" i="30" s="1"/>
  <c r="BU257" i="30" s="1"/>
  <c r="BV257" i="30" s="1"/>
  <c r="BW257" i="30" s="1"/>
  <c r="BL68" i="30"/>
  <c r="BP68" i="30" s="1"/>
  <c r="BU68" i="30" s="1"/>
  <c r="BV68" i="30" s="1"/>
  <c r="BW68" i="30" s="1"/>
  <c r="BL135" i="30"/>
  <c r="BP135" i="30" s="1"/>
  <c r="BU135" i="30" s="1"/>
  <c r="BV135" i="30" s="1"/>
  <c r="BW135" i="30" s="1"/>
  <c r="BL191" i="30"/>
  <c r="BP191" i="30" s="1"/>
  <c r="BU191" i="30" s="1"/>
  <c r="BV191" i="30" s="1"/>
  <c r="BW191" i="30" s="1"/>
  <c r="BB255" i="30"/>
  <c r="BL365" i="30"/>
  <c r="BP365" i="30" s="1"/>
  <c r="BU365" i="30" s="1"/>
  <c r="BV365" i="30" s="1"/>
  <c r="BW365" i="30" s="1"/>
  <c r="BL141" i="30"/>
  <c r="BP141" i="30" s="1"/>
  <c r="BU141" i="30" s="1"/>
  <c r="BV141" i="30" s="1"/>
  <c r="BW141" i="30" s="1"/>
  <c r="BL256" i="30"/>
  <c r="BP256" i="30" s="1"/>
  <c r="BU256" i="30" s="1"/>
  <c r="BV256" i="30" s="1"/>
  <c r="BW256" i="30" s="1"/>
  <c r="BL166" i="30"/>
  <c r="BP166" i="30" s="1"/>
  <c r="BU166" i="30" s="1"/>
  <c r="BV166" i="30" s="1"/>
  <c r="BW166" i="30" s="1"/>
  <c r="BL470" i="30"/>
  <c r="BP470" i="30" s="1"/>
  <c r="BU470" i="30" s="1"/>
  <c r="BV470" i="30" s="1"/>
  <c r="BW470" i="30" s="1"/>
  <c r="AZ331" i="30"/>
  <c r="BM331" i="30" s="1"/>
  <c r="BB247" i="30"/>
  <c r="BL271" i="30"/>
  <c r="BP271" i="30" s="1"/>
  <c r="BU271" i="30" s="1"/>
  <c r="BV271" i="30" s="1"/>
  <c r="BW271" i="30" s="1"/>
  <c r="AZ321" i="30"/>
  <c r="BM321" i="30" s="1"/>
  <c r="BL326" i="30"/>
  <c r="BP326" i="30" s="1"/>
  <c r="BU326" i="30" s="1"/>
  <c r="BV326" i="30" s="1"/>
  <c r="BW326" i="30" s="1"/>
  <c r="BL149" i="30"/>
  <c r="BP149" i="30" s="1"/>
  <c r="BU149" i="30" s="1"/>
  <c r="BV149" i="30" s="1"/>
  <c r="BW149" i="30" s="1"/>
  <c r="BL321" i="30"/>
  <c r="BP321" i="30" s="1"/>
  <c r="BU321" i="30" s="1"/>
  <c r="BV321" i="30" s="1"/>
  <c r="BW321" i="30" s="1"/>
  <c r="BB272" i="30"/>
  <c r="AZ8" i="30"/>
  <c r="BM8" i="30" s="1"/>
  <c r="BL62" i="30"/>
  <c r="BP62" i="30" s="1"/>
  <c r="BU62" i="30" s="1"/>
  <c r="BV62" i="30" s="1"/>
  <c r="BW62" i="30" s="1"/>
  <c r="BL420" i="30"/>
  <c r="BP420" i="30" s="1"/>
  <c r="BU420" i="30" s="1"/>
  <c r="BV420" i="30" s="1"/>
  <c r="BW420" i="30" s="1"/>
  <c r="BL179" i="30"/>
  <c r="BP179" i="30" s="1"/>
  <c r="BU179" i="30" s="1"/>
  <c r="BV179" i="30" s="1"/>
  <c r="BW179" i="30" s="1"/>
  <c r="BL272" i="30"/>
  <c r="BP272" i="30" s="1"/>
  <c r="BU272" i="30" s="1"/>
  <c r="BV272" i="30" s="1"/>
  <c r="BW272" i="30" s="1"/>
  <c r="BL460" i="30"/>
  <c r="BP460" i="30" s="1"/>
  <c r="BU460" i="30" s="1"/>
  <c r="BV460" i="30" s="1"/>
  <c r="BW460" i="30" s="1"/>
  <c r="BL306" i="30"/>
  <c r="BP306" i="30" s="1"/>
  <c r="BU306" i="30" s="1"/>
  <c r="BV306" i="30" s="1"/>
  <c r="BW306" i="30" s="1"/>
  <c r="BB431" i="30"/>
  <c r="BL403" i="30"/>
  <c r="BP403" i="30" s="1"/>
  <c r="BU403" i="30" s="1"/>
  <c r="BV403" i="30" s="1"/>
  <c r="BW403" i="30" s="1"/>
  <c r="BL429" i="30"/>
  <c r="BL346" i="30"/>
  <c r="BP346" i="30" s="1"/>
  <c r="BU346" i="30" s="1"/>
  <c r="BV346" i="30" s="1"/>
  <c r="BW346" i="30" s="1"/>
  <c r="BL254" i="30"/>
  <c r="BP254" i="30" s="1"/>
  <c r="BU254" i="30" s="1"/>
  <c r="BV254" i="30" s="1"/>
  <c r="BW254" i="30" s="1"/>
  <c r="BL277" i="30"/>
  <c r="BP277" i="30" s="1"/>
  <c r="BU277" i="30" s="1"/>
  <c r="BV277" i="30" s="1"/>
  <c r="BW277" i="30" s="1"/>
  <c r="BL136" i="30"/>
  <c r="BP136" i="30" s="1"/>
  <c r="BU136" i="30" s="1"/>
  <c r="BV136" i="30" s="1"/>
  <c r="BW136" i="30" s="1"/>
  <c r="BL260" i="30"/>
  <c r="BP260" i="30" s="1"/>
  <c r="BU260" i="30" s="1"/>
  <c r="BV260" i="30" s="1"/>
  <c r="BW260" i="30" s="1"/>
  <c r="BL430" i="30"/>
  <c r="BL239" i="30"/>
  <c r="BP239" i="30" s="1"/>
  <c r="BU239" i="30" s="1"/>
  <c r="BV239" i="30" s="1"/>
  <c r="BW239" i="30" s="1"/>
  <c r="BL66" i="30"/>
  <c r="BP66" i="30" s="1"/>
  <c r="BU66" i="30" s="1"/>
  <c r="BV66" i="30" s="1"/>
  <c r="BW66" i="30" s="1"/>
  <c r="BL262" i="30"/>
  <c r="BP262" i="30" s="1"/>
  <c r="BU262" i="30" s="1"/>
  <c r="BV262" i="30" s="1"/>
  <c r="BW262" i="30" s="1"/>
  <c r="BL165" i="30"/>
  <c r="BP165" i="30" s="1"/>
  <c r="BU165" i="30" s="1"/>
  <c r="BV165" i="30" s="1"/>
  <c r="BW165" i="30" s="1"/>
  <c r="BL399" i="30"/>
  <c r="BP399" i="30" s="1"/>
  <c r="BU399" i="30" s="1"/>
  <c r="BV399" i="30" s="1"/>
  <c r="BW399" i="30" s="1"/>
  <c r="BB154" i="30"/>
  <c r="AZ190" i="30"/>
  <c r="BM190" i="30" s="1"/>
  <c r="BL292" i="30"/>
  <c r="BP292" i="30" s="1"/>
  <c r="BU292" i="30" s="1"/>
  <c r="BV292" i="30" s="1"/>
  <c r="BW292" i="30" s="1"/>
  <c r="BL71" i="30"/>
  <c r="BP71" i="30" s="1"/>
  <c r="BU71" i="30" s="1"/>
  <c r="BV71" i="30" s="1"/>
  <c r="BW71" i="30" s="1"/>
  <c r="BL467" i="30"/>
  <c r="BP467" i="30" s="1"/>
  <c r="BU467" i="30" s="1"/>
  <c r="BV467" i="30" s="1"/>
  <c r="BW467" i="30" s="1"/>
  <c r="BL188" i="30"/>
  <c r="BP188" i="30" s="1"/>
  <c r="BU188" i="30" s="1"/>
  <c r="BV188" i="30" s="1"/>
  <c r="BW188" i="30" s="1"/>
  <c r="AZ137" i="30"/>
  <c r="BM137" i="30" s="1"/>
  <c r="BL86" i="30"/>
  <c r="BP86" i="30" s="1"/>
  <c r="BU86" i="30" s="1"/>
  <c r="BV86" i="30" s="1"/>
  <c r="BW86" i="30" s="1"/>
  <c r="BB320" i="30"/>
  <c r="Y294" i="30"/>
  <c r="BQ294" i="30" s="1"/>
  <c r="BL77" i="30"/>
  <c r="BP77" i="30" s="1"/>
  <c r="BU77" i="30" s="1"/>
  <c r="BV77" i="30" s="1"/>
  <c r="BW77" i="30" s="1"/>
  <c r="BL382" i="30"/>
  <c r="BL89" i="30"/>
  <c r="BP89" i="30" s="1"/>
  <c r="BU89" i="30" s="1"/>
  <c r="BV89" i="30" s="1"/>
  <c r="BW89" i="30" s="1"/>
  <c r="BB300" i="30"/>
  <c r="BB336" i="30"/>
  <c r="BB296" i="30"/>
  <c r="BL454" i="30"/>
  <c r="BP454" i="30" s="1"/>
  <c r="BU454" i="30" s="1"/>
  <c r="BV454" i="30" s="1"/>
  <c r="BW454" i="30" s="1"/>
  <c r="BL246" i="30"/>
  <c r="BP246" i="30" s="1"/>
  <c r="BU246" i="30" s="1"/>
  <c r="BV246" i="30" s="1"/>
  <c r="BW246" i="30" s="1"/>
  <c r="BL227" i="30"/>
  <c r="BP227" i="30" s="1"/>
  <c r="BU227" i="30" s="1"/>
  <c r="BV227" i="30" s="1"/>
  <c r="BW227" i="30" s="1"/>
  <c r="BL182" i="30"/>
  <c r="BP182" i="30" s="1"/>
  <c r="BU182" i="30" s="1"/>
  <c r="BV182" i="30" s="1"/>
  <c r="BW182" i="30" s="1"/>
  <c r="BL419" i="30"/>
  <c r="BP419" i="30" s="1"/>
  <c r="BU419" i="30" s="1"/>
  <c r="BV419" i="30" s="1"/>
  <c r="BW419" i="30" s="1"/>
  <c r="BL139" i="30"/>
  <c r="BP139" i="30" s="1"/>
  <c r="BU139" i="30" s="1"/>
  <c r="BV139" i="30" s="1"/>
  <c r="BW139" i="30" s="1"/>
  <c r="BL90" i="30"/>
  <c r="BP90" i="30" s="1"/>
  <c r="BU90" i="30" s="1"/>
  <c r="BV90" i="30" s="1"/>
  <c r="BW90" i="30" s="1"/>
  <c r="BL280" i="30"/>
  <c r="BP280" i="30" s="1"/>
  <c r="BU280" i="30" s="1"/>
  <c r="BV280" i="30" s="1"/>
  <c r="BW280" i="30" s="1"/>
  <c r="BB453" i="30"/>
  <c r="BL339" i="30"/>
  <c r="BP339" i="30" s="1"/>
  <c r="BU339" i="30" s="1"/>
  <c r="BV339" i="30" s="1"/>
  <c r="BW339" i="30" s="1"/>
  <c r="BL291" i="30"/>
  <c r="BP291" i="30" s="1"/>
  <c r="BU291" i="30" s="1"/>
  <c r="BV291" i="30" s="1"/>
  <c r="BW291" i="30" s="1"/>
  <c r="BL189" i="30"/>
  <c r="BP189" i="30" s="1"/>
  <c r="BU189" i="30" s="1"/>
  <c r="BV189" i="30" s="1"/>
  <c r="BW189" i="30" s="1"/>
  <c r="BL198" i="30"/>
  <c r="BP198" i="30" s="1"/>
  <c r="BU198" i="30" s="1"/>
  <c r="BV198" i="30" s="1"/>
  <c r="BW198" i="30" s="1"/>
  <c r="BB361" i="30"/>
  <c r="BL178" i="30"/>
  <c r="BP178" i="30" s="1"/>
  <c r="BU178" i="30" s="1"/>
  <c r="BV178" i="30" s="1"/>
  <c r="BW178" i="30" s="1"/>
  <c r="BL88" i="30"/>
  <c r="BP88" i="30" s="1"/>
  <c r="BU88" i="30" s="1"/>
  <c r="BV88" i="30" s="1"/>
  <c r="BW88" i="30" s="1"/>
  <c r="BL428" i="30"/>
  <c r="BL373" i="30"/>
  <c r="BP373" i="30" s="1"/>
  <c r="BU373" i="30" s="1"/>
  <c r="BV373" i="30" s="1"/>
  <c r="BW373" i="30" s="1"/>
  <c r="BL340" i="30"/>
  <c r="BP340" i="30" s="1"/>
  <c r="BU340" i="30" s="1"/>
  <c r="BV340" i="30" s="1"/>
  <c r="BW340" i="30" s="1"/>
  <c r="BL342" i="30"/>
  <c r="BP342" i="30" s="1"/>
  <c r="BU342" i="30" s="1"/>
  <c r="BV342" i="30" s="1"/>
  <c r="BW342" i="30" s="1"/>
  <c r="BL445" i="30"/>
  <c r="BL244" i="30"/>
  <c r="BP244" i="30" s="1"/>
  <c r="BU244" i="30" s="1"/>
  <c r="BV244" i="30" s="1"/>
  <c r="BW244" i="30" s="1"/>
  <c r="BL59" i="30"/>
  <c r="BP59" i="30" s="1"/>
  <c r="BU59" i="30" s="1"/>
  <c r="BV59" i="30" s="1"/>
  <c r="BW59" i="30" s="1"/>
  <c r="BB127" i="30"/>
  <c r="BL293" i="30"/>
  <c r="BP293" i="30" s="1"/>
  <c r="BU293" i="30" s="1"/>
  <c r="BV293" i="30" s="1"/>
  <c r="BW293" i="30" s="1"/>
  <c r="BL303" i="30"/>
  <c r="BP303" i="30" s="1"/>
  <c r="BU303" i="30" s="1"/>
  <c r="BV303" i="30" s="1"/>
  <c r="BW303" i="30" s="1"/>
  <c r="BB393" i="30"/>
  <c r="BL380" i="30"/>
  <c r="BB102" i="30"/>
  <c r="AZ299" i="30"/>
  <c r="BM299" i="30" s="1"/>
  <c r="AZ100" i="30"/>
  <c r="BM100" i="30" s="1"/>
  <c r="BL300" i="30"/>
  <c r="BP300" i="30" s="1"/>
  <c r="BU300" i="30" s="1"/>
  <c r="BV300" i="30" s="1"/>
  <c r="BW300" i="30" s="1"/>
  <c r="BL510" i="30"/>
  <c r="BP510" i="30" s="1"/>
  <c r="BU510" i="30" s="1"/>
  <c r="BV510" i="30" s="1"/>
  <c r="BW510" i="30" s="1"/>
  <c r="BL328" i="30"/>
  <c r="BP328" i="30" s="1"/>
  <c r="BU328" i="30" s="1"/>
  <c r="BV328" i="30" s="1"/>
  <c r="BW328" i="30" s="1"/>
  <c r="BL432" i="30"/>
  <c r="BL294" i="30"/>
  <c r="BP294" i="30" s="1"/>
  <c r="BL109" i="30"/>
  <c r="BP109" i="30" s="1"/>
  <c r="BU109" i="30" s="1"/>
  <c r="BV109" i="30" s="1"/>
  <c r="BW109" i="30" s="1"/>
  <c r="BL104" i="30"/>
  <c r="BP104" i="30" s="1"/>
  <c r="BU104" i="30" s="1"/>
  <c r="BV104" i="30" s="1"/>
  <c r="BW104" i="30" s="1"/>
  <c r="BL458" i="30"/>
  <c r="BP458" i="30" s="1"/>
  <c r="BU458" i="30" s="1"/>
  <c r="BV458" i="30" s="1"/>
  <c r="BW458" i="30" s="1"/>
  <c r="BL56" i="30"/>
  <c r="BP56" i="30" s="1"/>
  <c r="BU56" i="30" s="1"/>
  <c r="BV56" i="30" s="1"/>
  <c r="BW56" i="30" s="1"/>
  <c r="BL374" i="30"/>
  <c r="BP374" i="30" s="1"/>
  <c r="BU374" i="30" s="1"/>
  <c r="BV374" i="30" s="1"/>
  <c r="BW374" i="30" s="1"/>
  <c r="BL344" i="30"/>
  <c r="BP344" i="30" s="1"/>
  <c r="BU344" i="30" s="1"/>
  <c r="BV344" i="30" s="1"/>
  <c r="BW344" i="30" s="1"/>
  <c r="BL267" i="30"/>
  <c r="BP267" i="30" s="1"/>
  <c r="BU267" i="30" s="1"/>
  <c r="BV267" i="30" s="1"/>
  <c r="BW267" i="30" s="1"/>
  <c r="BL125" i="30"/>
  <c r="BP125" i="30" s="1"/>
  <c r="BU125" i="30" s="1"/>
  <c r="BV125" i="30" s="1"/>
  <c r="BW125" i="30" s="1"/>
  <c r="BB323" i="30"/>
  <c r="AZ131" i="30"/>
  <c r="BM131" i="30" s="1"/>
  <c r="BB202" i="30"/>
  <c r="BL124" i="30"/>
  <c r="BP124" i="30" s="1"/>
  <c r="BU124" i="30" s="1"/>
  <c r="BV124" i="30" s="1"/>
  <c r="BW124" i="30" s="1"/>
  <c r="BL308" i="30"/>
  <c r="BP308" i="30" s="1"/>
  <c r="BU308" i="30" s="1"/>
  <c r="BV308" i="30" s="1"/>
  <c r="BW308" i="30" s="1"/>
  <c r="BL177" i="30"/>
  <c r="BP177" i="30" s="1"/>
  <c r="BU177" i="30" s="1"/>
  <c r="BV177" i="30" s="1"/>
  <c r="BW177" i="30" s="1"/>
  <c r="BB342" i="30"/>
  <c r="BL349" i="30"/>
  <c r="BP349" i="30" s="1"/>
  <c r="BU349" i="30" s="1"/>
  <c r="BV349" i="30" s="1"/>
  <c r="BW349" i="30" s="1"/>
  <c r="BL378" i="30"/>
  <c r="BL80" i="30"/>
  <c r="BP80" i="30" s="1"/>
  <c r="BU80" i="30" s="1"/>
  <c r="BV80" i="30" s="1"/>
  <c r="BW80" i="30" s="1"/>
  <c r="BL387" i="30"/>
  <c r="BB232" i="30"/>
  <c r="BL113" i="30"/>
  <c r="BP113" i="30" s="1"/>
  <c r="BU113" i="30" s="1"/>
  <c r="BV113" i="30" s="1"/>
  <c r="BW113" i="30" s="1"/>
  <c r="BL154" i="30"/>
  <c r="BP154" i="30" s="1"/>
  <c r="BU154" i="30" s="1"/>
  <c r="BV154" i="30" s="1"/>
  <c r="BW154" i="30" s="1"/>
  <c r="BL95" i="30"/>
  <c r="BP95" i="30" s="1"/>
  <c r="BU95" i="30" s="1"/>
  <c r="BV95" i="30" s="1"/>
  <c r="BW95" i="30" s="1"/>
  <c r="BB211" i="30"/>
  <c r="BL437" i="30"/>
  <c r="BP437" i="30" s="1"/>
  <c r="BU437" i="30" s="1"/>
  <c r="BV437" i="30" s="1"/>
  <c r="BW437" i="30" s="1"/>
  <c r="BB468" i="30"/>
  <c r="BL58" i="30"/>
  <c r="BP58" i="30" s="1"/>
  <c r="BU58" i="30" s="1"/>
  <c r="BV58" i="30" s="1"/>
  <c r="BW58" i="30" s="1"/>
  <c r="BL451" i="30"/>
  <c r="BL263" i="30"/>
  <c r="BP263" i="30" s="1"/>
  <c r="BU263" i="30" s="1"/>
  <c r="BV263" i="30" s="1"/>
  <c r="BW263" i="30" s="1"/>
  <c r="BB244" i="30"/>
  <c r="BL235" i="30"/>
  <c r="BP235" i="30" s="1"/>
  <c r="BU235" i="30" s="1"/>
  <c r="BV235" i="30" s="1"/>
  <c r="BW235" i="30" s="1"/>
  <c r="AZ320" i="30"/>
  <c r="BM320" i="30" s="1"/>
  <c r="BL285" i="30"/>
  <c r="BP285" i="30" s="1"/>
  <c r="BU285" i="30" s="1"/>
  <c r="BV285" i="30" s="1"/>
  <c r="BW285" i="30" s="1"/>
  <c r="AZ61" i="30"/>
  <c r="BM61" i="30" s="1"/>
  <c r="BL289" i="30"/>
  <c r="BP289" i="30" s="1"/>
  <c r="BU289" i="30" s="1"/>
  <c r="BV289" i="30" s="1"/>
  <c r="BW289" i="30" s="1"/>
  <c r="BL440" i="30"/>
  <c r="BP440" i="30" s="1"/>
  <c r="BU440" i="30" s="1"/>
  <c r="BV440" i="30" s="1"/>
  <c r="BW440" i="30" s="1"/>
  <c r="BL196" i="30"/>
  <c r="BP196" i="30" s="1"/>
  <c r="BU196" i="30" s="1"/>
  <c r="BV196" i="30" s="1"/>
  <c r="BW196" i="30" s="1"/>
  <c r="BL155" i="30"/>
  <c r="BP155" i="30" s="1"/>
  <c r="BU155" i="30" s="1"/>
  <c r="BV155" i="30" s="1"/>
  <c r="BW155" i="30" s="1"/>
  <c r="BL305" i="30"/>
  <c r="BP305" i="30" s="1"/>
  <c r="BU305" i="30" s="1"/>
  <c r="BV305" i="30" s="1"/>
  <c r="BW305" i="30" s="1"/>
  <c r="BL217" i="30"/>
  <c r="BP217" i="30" s="1"/>
  <c r="BU217" i="30" s="1"/>
  <c r="BV217" i="30" s="1"/>
  <c r="BW217" i="30" s="1"/>
  <c r="BB405" i="30"/>
  <c r="BL444" i="30"/>
  <c r="BL391" i="30"/>
  <c r="BP391" i="30" s="1"/>
  <c r="BU391" i="30" s="1"/>
  <c r="BV391" i="30" s="1"/>
  <c r="BW391" i="30" s="1"/>
  <c r="BL453" i="30"/>
  <c r="BB143" i="30"/>
  <c r="BL157" i="30"/>
  <c r="BP157" i="30" s="1"/>
  <c r="BU157" i="30" s="1"/>
  <c r="BV157" i="30" s="1"/>
  <c r="BW157" i="30" s="1"/>
  <c r="BL207" i="30"/>
  <c r="BP207" i="30" s="1"/>
  <c r="BU207" i="30" s="1"/>
  <c r="BV207" i="30" s="1"/>
  <c r="BW207" i="30" s="1"/>
  <c r="BL106" i="30"/>
  <c r="BP106" i="30" s="1"/>
  <c r="BU106" i="30" s="1"/>
  <c r="BV106" i="30" s="1"/>
  <c r="BW106" i="30" s="1"/>
  <c r="BL411" i="30"/>
  <c r="BP411" i="30" s="1"/>
  <c r="BU411" i="30" s="1"/>
  <c r="BV411" i="30" s="1"/>
  <c r="BW411" i="30" s="1"/>
  <c r="BL186" i="30"/>
  <c r="BP186" i="30" s="1"/>
  <c r="BU186" i="30" s="1"/>
  <c r="BV186" i="30" s="1"/>
  <c r="BW186" i="30" s="1"/>
  <c r="BB277" i="30"/>
  <c r="BB189" i="30"/>
  <c r="BB103" i="30"/>
  <c r="BB139" i="30"/>
  <c r="AZ222" i="30"/>
  <c r="BM222" i="30" s="1"/>
  <c r="BB445" i="30"/>
  <c r="BB258" i="30"/>
  <c r="BL57" i="30"/>
  <c r="BP57" i="30" s="1"/>
  <c r="BU57" i="30" s="1"/>
  <c r="BV57" i="30" s="1"/>
  <c r="BW57" i="30" s="1"/>
  <c r="BL229" i="30"/>
  <c r="BP229" i="30" s="1"/>
  <c r="BU229" i="30" s="1"/>
  <c r="BV229" i="30" s="1"/>
  <c r="BW229" i="30" s="1"/>
  <c r="BB315" i="30"/>
  <c r="BL466" i="30"/>
  <c r="BP466" i="30" s="1"/>
  <c r="BU466" i="30" s="1"/>
  <c r="BV466" i="30" s="1"/>
  <c r="BW466" i="30" s="1"/>
  <c r="BL241" i="30"/>
  <c r="BP241" i="30" s="1"/>
  <c r="BU241" i="30" s="1"/>
  <c r="BV241" i="30" s="1"/>
  <c r="BW241" i="30" s="1"/>
  <c r="BL209" i="30"/>
  <c r="BP209" i="30" s="1"/>
  <c r="BU209" i="30" s="1"/>
  <c r="BV209" i="30" s="1"/>
  <c r="BW209" i="30" s="1"/>
  <c r="BL76" i="30"/>
  <c r="BP76" i="30" s="1"/>
  <c r="BU76" i="30" s="1"/>
  <c r="BV76" i="30" s="1"/>
  <c r="BW76" i="30" s="1"/>
  <c r="BL243" i="30"/>
  <c r="BP243" i="30" s="1"/>
  <c r="BU243" i="30" s="1"/>
  <c r="BV243" i="30" s="1"/>
  <c r="BW243" i="30" s="1"/>
  <c r="BL98" i="30"/>
  <c r="BP98" i="30" s="1"/>
  <c r="BU98" i="30" s="1"/>
  <c r="BV98" i="30" s="1"/>
  <c r="BW98" i="30" s="1"/>
  <c r="BL407" i="30"/>
  <c r="BP407" i="30" s="1"/>
  <c r="BU407" i="30" s="1"/>
  <c r="BV407" i="30" s="1"/>
  <c r="BW407" i="30" s="1"/>
  <c r="BL347" i="30"/>
  <c r="BP347" i="30" s="1"/>
  <c r="BU347" i="30" s="1"/>
  <c r="BV347" i="30" s="1"/>
  <c r="BW347" i="30" s="1"/>
  <c r="BL452" i="30"/>
  <c r="BL251" i="30"/>
  <c r="BP251" i="30" s="1"/>
  <c r="BU251" i="30" s="1"/>
  <c r="BV251" i="30" s="1"/>
  <c r="BW251" i="30" s="1"/>
  <c r="BL343" i="30"/>
  <c r="BP343" i="30" s="1"/>
  <c r="BU343" i="30" s="1"/>
  <c r="BV343" i="30" s="1"/>
  <c r="BW343" i="30" s="1"/>
  <c r="BL276" i="30"/>
  <c r="BP276" i="30" s="1"/>
  <c r="BU276" i="30" s="1"/>
  <c r="BV276" i="30" s="1"/>
  <c r="BW276" i="30" s="1"/>
  <c r="BB413" i="30"/>
  <c r="BL175" i="30"/>
  <c r="BP175" i="30" s="1"/>
  <c r="BU175" i="30" s="1"/>
  <c r="BV175" i="30" s="1"/>
  <c r="BW175" i="30" s="1"/>
  <c r="BB290" i="30"/>
  <c r="BL161" i="30"/>
  <c r="BP161" i="30" s="1"/>
  <c r="BU161" i="30" s="1"/>
  <c r="BV161" i="30" s="1"/>
  <c r="BW161" i="30" s="1"/>
  <c r="BB291" i="30"/>
  <c r="BL60" i="30"/>
  <c r="BP60" i="30" s="1"/>
  <c r="BU60" i="30" s="1"/>
  <c r="BV60" i="30" s="1"/>
  <c r="BW60" i="30" s="1"/>
  <c r="BB363" i="30"/>
  <c r="BB374" i="30"/>
  <c r="BL194" i="30"/>
  <c r="BP194" i="30" s="1"/>
  <c r="BU194" i="30" s="1"/>
  <c r="BV194" i="30" s="1"/>
  <c r="BW194" i="30" s="1"/>
  <c r="BL85" i="30"/>
  <c r="BP85" i="30" s="1"/>
  <c r="BU85" i="30" s="1"/>
  <c r="BV85" i="30" s="1"/>
  <c r="BW85" i="30" s="1"/>
  <c r="BL439" i="30"/>
  <c r="BP439" i="30" s="1"/>
  <c r="BU439" i="30" s="1"/>
  <c r="BV439" i="30" s="1"/>
  <c r="BW439" i="30" s="1"/>
  <c r="BL238" i="30"/>
  <c r="BP238" i="30" s="1"/>
  <c r="BU238" i="30" s="1"/>
  <c r="BV238" i="30" s="1"/>
  <c r="BW238" i="30" s="1"/>
  <c r="BL479" i="30"/>
  <c r="BL55" i="30"/>
  <c r="BP55" i="30" s="1"/>
  <c r="BU55" i="30" s="1"/>
  <c r="BV55" i="30" s="1"/>
  <c r="BW55" i="30" s="1"/>
  <c r="BL265" i="30"/>
  <c r="BP265" i="30" s="1"/>
  <c r="BU265" i="30" s="1"/>
  <c r="BV265" i="30" s="1"/>
  <c r="BW265" i="30" s="1"/>
  <c r="BL327" i="30"/>
  <c r="BP327" i="30" s="1"/>
  <c r="BU327" i="30" s="1"/>
  <c r="BV327" i="30" s="1"/>
  <c r="BW327" i="30" s="1"/>
  <c r="BL338" i="30"/>
  <c r="BP338" i="30" s="1"/>
  <c r="BU338" i="30" s="1"/>
  <c r="BV338" i="30" s="1"/>
  <c r="BW338" i="30" s="1"/>
  <c r="BL82" i="30"/>
  <c r="BP82" i="30" s="1"/>
  <c r="BU82" i="30" s="1"/>
  <c r="BV82" i="30" s="1"/>
  <c r="BW82" i="30" s="1"/>
  <c r="BL377" i="30"/>
  <c r="BP377" i="30" s="1"/>
  <c r="BU377" i="30" s="1"/>
  <c r="BV377" i="30" s="1"/>
  <c r="BW377" i="30" s="1"/>
  <c r="BB373" i="30"/>
  <c r="BL171" i="30"/>
  <c r="BP171" i="30" s="1"/>
  <c r="BU171" i="30" s="1"/>
  <c r="BV171" i="30" s="1"/>
  <c r="BW171" i="30" s="1"/>
  <c r="BL471" i="30"/>
  <c r="BP471" i="30" s="1"/>
  <c r="BU471" i="30" s="1"/>
  <c r="BV471" i="30" s="1"/>
  <c r="BW471" i="30" s="1"/>
  <c r="BL290" i="30"/>
  <c r="BP290" i="30" s="1"/>
  <c r="BU290" i="30" s="1"/>
  <c r="BV290" i="30" s="1"/>
  <c r="BW290" i="30" s="1"/>
  <c r="BL184" i="30"/>
  <c r="BP184" i="30" s="1"/>
  <c r="BU184" i="30" s="1"/>
  <c r="BV184" i="30" s="1"/>
  <c r="BW184" i="30" s="1"/>
  <c r="BL64" i="30"/>
  <c r="BP64" i="30" s="1"/>
  <c r="BU64" i="30" s="1"/>
  <c r="BV64" i="30" s="1"/>
  <c r="BW64" i="30" s="1"/>
  <c r="BB305" i="30"/>
  <c r="BL330" i="30"/>
  <c r="BP330" i="30" s="1"/>
  <c r="BU330" i="30" s="1"/>
  <c r="BV330" i="30" s="1"/>
  <c r="BW330" i="30" s="1"/>
  <c r="BB334" i="30"/>
  <c r="BL174" i="30"/>
  <c r="BP174" i="30" s="1"/>
  <c r="BU174" i="30" s="1"/>
  <c r="BV174" i="30" s="1"/>
  <c r="BW174" i="30" s="1"/>
  <c r="BL93" i="30"/>
  <c r="BP93" i="30" s="1"/>
  <c r="BU93" i="30" s="1"/>
  <c r="BV93" i="30" s="1"/>
  <c r="BW93" i="30" s="1"/>
  <c r="BB400" i="30"/>
  <c r="BL128" i="30"/>
  <c r="BP128" i="30" s="1"/>
  <c r="BU128" i="30" s="1"/>
  <c r="BV128" i="30" s="1"/>
  <c r="BW128" i="30" s="1"/>
  <c r="BL67" i="30"/>
  <c r="BP67" i="30" s="1"/>
  <c r="BU67" i="30" s="1"/>
  <c r="BV67" i="30" s="1"/>
  <c r="BW67" i="30" s="1"/>
  <c r="BB200" i="30"/>
  <c r="BL187" i="30"/>
  <c r="BP187" i="30" s="1"/>
  <c r="BU187" i="30" s="1"/>
  <c r="BV187" i="30" s="1"/>
  <c r="BW187" i="30" s="1"/>
  <c r="BL78" i="30"/>
  <c r="BP78" i="30" s="1"/>
  <c r="BU78" i="30" s="1"/>
  <c r="BV78" i="30" s="1"/>
  <c r="BW78" i="30" s="1"/>
  <c r="BD18" i="30"/>
  <c r="Y18" i="30"/>
  <c r="BQ18" i="30" s="1"/>
  <c r="BL412" i="30"/>
  <c r="BP412" i="30" s="1"/>
  <c r="BU412" i="30" s="1"/>
  <c r="BV412" i="30" s="1"/>
  <c r="BW412" i="30" s="1"/>
  <c r="BL83" i="30"/>
  <c r="BP83" i="30" s="1"/>
  <c r="BU83" i="30" s="1"/>
  <c r="BV83" i="30" s="1"/>
  <c r="BW83" i="30" s="1"/>
  <c r="BL123" i="30"/>
  <c r="BP123" i="30" s="1"/>
  <c r="BU123" i="30" s="1"/>
  <c r="BV123" i="30" s="1"/>
  <c r="BW123" i="30" s="1"/>
  <c r="BL144" i="30"/>
  <c r="BP144" i="30" s="1"/>
  <c r="BU144" i="30" s="1"/>
  <c r="BV144" i="30" s="1"/>
  <c r="BW144" i="30" s="1"/>
  <c r="BB96" i="30"/>
  <c r="BB488" i="30"/>
  <c r="BB236" i="30"/>
  <c r="BL215" i="30"/>
  <c r="BP215" i="30" s="1"/>
  <c r="BU215" i="30" s="1"/>
  <c r="BV215" i="30" s="1"/>
  <c r="BW215" i="30" s="1"/>
  <c r="BL476" i="30"/>
  <c r="BL367" i="30"/>
  <c r="BP367" i="30" s="1"/>
  <c r="BU367" i="30" s="1"/>
  <c r="BV367" i="30" s="1"/>
  <c r="BW367" i="30" s="1"/>
  <c r="AZ305" i="30"/>
  <c r="BM305" i="30" s="1"/>
  <c r="BB221" i="30"/>
  <c r="BD576" i="30"/>
  <c r="Y576" i="30"/>
  <c r="BQ576" i="30" s="1"/>
  <c r="AZ269" i="30"/>
  <c r="BM269" i="30" s="1"/>
  <c r="BL449" i="30"/>
  <c r="BB493" i="30"/>
  <c r="BL443" i="30"/>
  <c r="BL152" i="30"/>
  <c r="BP152" i="30" s="1"/>
  <c r="BU152" i="30" s="1"/>
  <c r="BV152" i="30" s="1"/>
  <c r="BW152" i="30" s="1"/>
  <c r="BB459" i="30"/>
  <c r="BL192" i="30"/>
  <c r="BP192" i="30" s="1"/>
  <c r="BU192" i="30" s="1"/>
  <c r="BV192" i="30" s="1"/>
  <c r="BW192" i="30" s="1"/>
  <c r="BL92" i="30"/>
  <c r="BP92" i="30" s="1"/>
  <c r="BU92" i="30" s="1"/>
  <c r="BV92" i="30" s="1"/>
  <c r="BW92" i="30" s="1"/>
  <c r="BD433" i="30"/>
  <c r="BL433" i="30" s="1"/>
  <c r="Y433" i="30"/>
  <c r="BL173" i="30"/>
  <c r="BP173" i="30" s="1"/>
  <c r="BU173" i="30" s="1"/>
  <c r="BV173" i="30" s="1"/>
  <c r="BW173" i="30" s="1"/>
  <c r="AZ211" i="30"/>
  <c r="BM211" i="30" s="1"/>
  <c r="BL418" i="30"/>
  <c r="BP418" i="30" s="1"/>
  <c r="BU418" i="30" s="1"/>
  <c r="BV418" i="30" s="1"/>
  <c r="BW418" i="30" s="1"/>
  <c r="BB332" i="30"/>
  <c r="BL233" i="30"/>
  <c r="BP233" i="30" s="1"/>
  <c r="BU233" i="30" s="1"/>
  <c r="BV233" i="30" s="1"/>
  <c r="BW233" i="30" s="1"/>
  <c r="BL478" i="30"/>
  <c r="BB499" i="30"/>
  <c r="BL307" i="30"/>
  <c r="BP307" i="30" s="1"/>
  <c r="BU307" i="30" s="1"/>
  <c r="BV307" i="30" s="1"/>
  <c r="BW307" i="30" s="1"/>
  <c r="BB56" i="30"/>
  <c r="BL255" i="30"/>
  <c r="BP255" i="30" s="1"/>
  <c r="BU255" i="30" s="1"/>
  <c r="BV255" i="30" s="1"/>
  <c r="BW255" i="30" s="1"/>
  <c r="BB392" i="30"/>
  <c r="BB165" i="30"/>
  <c r="AZ273" i="30"/>
  <c r="BM273" i="30" s="1"/>
  <c r="AZ240" i="30"/>
  <c r="BM240" i="30" s="1"/>
  <c r="BB155" i="30"/>
  <c r="BL322" i="30"/>
  <c r="BP322" i="30" s="1"/>
  <c r="BU322" i="30" s="1"/>
  <c r="BV322" i="30" s="1"/>
  <c r="BW322" i="30" s="1"/>
  <c r="BB268" i="30"/>
  <c r="BB444" i="30"/>
  <c r="BL284" i="30"/>
  <c r="BP284" i="30" s="1"/>
  <c r="BU284" i="30" s="1"/>
  <c r="BV284" i="30" s="1"/>
  <c r="BW284" i="30" s="1"/>
  <c r="BB303" i="30"/>
  <c r="BB160" i="30"/>
  <c r="BB151" i="30"/>
  <c r="BB281" i="30"/>
  <c r="BD273" i="30"/>
  <c r="BL273" i="30" s="1"/>
  <c r="BP273" i="30" s="1"/>
  <c r="Y273" i="30"/>
  <c r="BQ273" i="30" s="1"/>
  <c r="BL395" i="30"/>
  <c r="BP395" i="30" s="1"/>
  <c r="BU395" i="30" s="1"/>
  <c r="BV395" i="30" s="1"/>
  <c r="BW395" i="30" s="1"/>
  <c r="BB198" i="30"/>
  <c r="BD304" i="30"/>
  <c r="BL304" i="30" s="1"/>
  <c r="BP304" i="30" s="1"/>
  <c r="Y304" i="30"/>
  <c r="BQ304" i="30" s="1"/>
  <c r="BB53" i="30"/>
  <c r="BB164" i="30"/>
  <c r="AZ9" i="30"/>
  <c r="BM9" i="30" s="1"/>
  <c r="BB9" i="30"/>
  <c r="BB101" i="30"/>
  <c r="BB124" i="30"/>
  <c r="BB71" i="30"/>
  <c r="BB228" i="30"/>
  <c r="BB446" i="30"/>
  <c r="AZ392" i="30"/>
  <c r="BM392" i="30" s="1"/>
  <c r="AZ300" i="30"/>
  <c r="BM300" i="30" s="1"/>
  <c r="AZ318" i="30"/>
  <c r="BM318" i="30" s="1"/>
  <c r="BB57" i="30"/>
  <c r="AZ400" i="30"/>
  <c r="BM400" i="30" s="1"/>
  <c r="BB362" i="30"/>
  <c r="BB249" i="30"/>
  <c r="BB479" i="30"/>
  <c r="BB478" i="30"/>
  <c r="BB94" i="30"/>
  <c r="BB282" i="30"/>
  <c r="BB253" i="30"/>
  <c r="BB180" i="30"/>
  <c r="BB199" i="30"/>
  <c r="BB306" i="30"/>
  <c r="BB340" i="30"/>
  <c r="BB423" i="30"/>
  <c r="BB327" i="30"/>
  <c r="BB472" i="30"/>
  <c r="AZ510" i="30"/>
  <c r="BM510" i="30" s="1"/>
  <c r="BB412" i="30"/>
  <c r="BB462" i="30"/>
  <c r="BB505" i="30"/>
  <c r="AZ363" i="30"/>
  <c r="BM363" i="30" s="1"/>
  <c r="BB435" i="30"/>
  <c r="BB424" i="30"/>
  <c r="BB224" i="30"/>
  <c r="BB402" i="30"/>
  <c r="AZ444" i="30"/>
  <c r="BM444" i="30" s="1"/>
  <c r="BB203" i="30"/>
  <c r="BB450" i="30"/>
  <c r="BB141" i="30"/>
  <c r="BB156" i="30"/>
  <c r="BB310" i="30"/>
  <c r="BB388" i="30"/>
  <c r="BB470" i="30"/>
  <c r="BB463" i="30"/>
  <c r="BB177" i="30"/>
  <c r="BB182" i="30"/>
  <c r="AZ351" i="30"/>
  <c r="BM351" i="30" s="1"/>
  <c r="AZ105" i="30"/>
  <c r="BM105" i="30" s="1"/>
  <c r="BB396" i="30"/>
  <c r="BB85" i="30"/>
  <c r="AZ71" i="30"/>
  <c r="BM71" i="30" s="1"/>
  <c r="BB104" i="30"/>
  <c r="BB168" i="30"/>
  <c r="AZ164" i="30"/>
  <c r="BM164" i="30" s="1"/>
  <c r="BB378" i="30"/>
  <c r="AZ4" i="30"/>
  <c r="BM4" i="30" s="1"/>
  <c r="BB276" i="30"/>
  <c r="BB136" i="30"/>
  <c r="BB398" i="30"/>
  <c r="BB271" i="30"/>
  <c r="BB152" i="30"/>
  <c r="BB109" i="30"/>
  <c r="BB78" i="30"/>
  <c r="BB91" i="30"/>
  <c r="BB59" i="30"/>
  <c r="BB88" i="30"/>
  <c r="BB386" i="30"/>
  <c r="AZ249" i="30"/>
  <c r="BM249" i="30" s="1"/>
  <c r="AZ355" i="30"/>
  <c r="BM355" i="30" s="1"/>
  <c r="BB355" i="30"/>
  <c r="BB436" i="30"/>
  <c r="AZ215" i="30"/>
  <c r="BM215" i="30" s="1"/>
  <c r="BB215" i="30"/>
  <c r="BB419" i="30"/>
  <c r="BB98" i="30"/>
  <c r="BB279" i="30"/>
  <c r="BB420" i="30"/>
  <c r="BB87" i="30"/>
  <c r="BB5" i="30"/>
  <c r="BE151" i="30"/>
  <c r="BL151" i="30" s="1"/>
  <c r="BP151" i="30" s="1"/>
  <c r="BU151" i="30" s="1"/>
  <c r="BV151" i="30" s="1"/>
  <c r="BW151" i="30" s="1"/>
  <c r="BB174" i="30"/>
  <c r="BB128" i="30"/>
  <c r="BB284" i="30"/>
  <c r="BB214" i="30"/>
  <c r="BB112" i="30"/>
  <c r="BB234" i="30"/>
  <c r="BB122" i="30"/>
  <c r="BE122" i="30"/>
  <c r="BL122" i="30" s="1"/>
  <c r="BP122" i="30" s="1"/>
  <c r="BU122" i="30" s="1"/>
  <c r="BV122" i="30" s="1"/>
  <c r="BW122" i="30" s="1"/>
  <c r="BB73" i="30"/>
  <c r="BB458" i="30"/>
  <c r="BB287" i="30"/>
  <c r="BB97" i="30"/>
  <c r="BB496" i="30"/>
  <c r="AZ362" i="30"/>
  <c r="BM362" i="30" s="1"/>
  <c r="BB55" i="30"/>
  <c r="BB353" i="30"/>
  <c r="BB172" i="30"/>
  <c r="AZ453" i="30"/>
  <c r="BM453" i="30" s="1"/>
  <c r="BB173" i="30"/>
  <c r="BB77" i="30"/>
  <c r="BE441" i="30"/>
  <c r="BL441" i="30" s="1"/>
  <c r="BB441" i="30"/>
  <c r="BB384" i="30"/>
  <c r="AZ268" i="30"/>
  <c r="BM268" i="30" s="1"/>
  <c r="BB83" i="30"/>
  <c r="BB379" i="30"/>
  <c r="AZ379" i="30"/>
  <c r="BM379" i="30" s="1"/>
  <c r="BB213" i="30"/>
  <c r="AZ213" i="30"/>
  <c r="BM213" i="30" s="1"/>
  <c r="AZ134" i="30"/>
  <c r="BM134" i="30" s="1"/>
  <c r="BB134" i="30"/>
  <c r="BB486" i="30"/>
  <c r="AZ463" i="30"/>
  <c r="BM463" i="30" s="1"/>
  <c r="BB426" i="30"/>
  <c r="AZ203" i="30"/>
  <c r="BM203" i="30" s="1"/>
  <c r="AZ374" i="30"/>
  <c r="BM374" i="30" s="1"/>
  <c r="AZ176" i="30"/>
  <c r="BM176" i="30" s="1"/>
  <c r="BB176" i="30"/>
  <c r="BB239" i="30"/>
  <c r="AZ193" i="30"/>
  <c r="BM193" i="30" s="1"/>
  <c r="BB193" i="30"/>
  <c r="BB225" i="30"/>
  <c r="BB175" i="30"/>
  <c r="AZ354" i="30"/>
  <c r="BM354" i="30" s="1"/>
  <c r="BE143" i="30"/>
  <c r="BL143" i="30" s="1"/>
  <c r="BP143" i="30" s="1"/>
  <c r="BU143" i="30" s="1"/>
  <c r="BV143" i="30" s="1"/>
  <c r="BW143" i="30" s="1"/>
  <c r="BB316" i="30"/>
  <c r="BB312" i="30"/>
  <c r="AZ186" i="30"/>
  <c r="BM186" i="30" s="1"/>
  <c r="BB99" i="30"/>
  <c r="BB196" i="30"/>
  <c r="AZ258" i="30"/>
  <c r="BM258" i="30" s="1"/>
  <c r="BE502" i="30"/>
  <c r="BL502" i="30" s="1"/>
  <c r="BB502" i="30"/>
  <c r="BB471" i="30"/>
  <c r="AZ470" i="30"/>
  <c r="BM470" i="30" s="1"/>
  <c r="BB382" i="30"/>
  <c r="BB246" i="30"/>
  <c r="BB256" i="30"/>
  <c r="AZ360" i="30"/>
  <c r="BM360" i="30" s="1"/>
  <c r="BB447" i="30"/>
  <c r="BB241" i="30"/>
  <c r="BB70" i="30"/>
  <c r="AZ264" i="30"/>
  <c r="BM264" i="30" s="1"/>
  <c r="BB264" i="30"/>
  <c r="BB474" i="30"/>
  <c r="BE474" i="30"/>
  <c r="BL474" i="30" s="1"/>
  <c r="BB118" i="30"/>
  <c r="BE118" i="30"/>
  <c r="BL118" i="30" s="1"/>
  <c r="BP118" i="30" s="1"/>
  <c r="BU118" i="30" s="1"/>
  <c r="BV118" i="30" s="1"/>
  <c r="BW118" i="30" s="1"/>
  <c r="BB358" i="30"/>
  <c r="BB220" i="30"/>
  <c r="BB449" i="30"/>
  <c r="BB208" i="30"/>
  <c r="BB433" i="30"/>
  <c r="BB339" i="30"/>
  <c r="AZ317" i="30"/>
  <c r="BM317" i="30" s="1"/>
  <c r="AZ385" i="30"/>
  <c r="BM385" i="30" s="1"/>
  <c r="BB385" i="30"/>
  <c r="AZ549" i="30"/>
  <c r="BM549" i="30" s="1"/>
  <c r="AZ568" i="30"/>
  <c r="BM568" i="30" s="1"/>
  <c r="BB270" i="30"/>
  <c r="AZ270" i="30"/>
  <c r="BM270" i="30" s="1"/>
  <c r="AZ517" i="30"/>
  <c r="BM517" i="30" s="1"/>
  <c r="BB121" i="30"/>
  <c r="BE121" i="30"/>
  <c r="BL121" i="30" s="1"/>
  <c r="BP121" i="30" s="1"/>
  <c r="BU121" i="30" s="1"/>
  <c r="BV121" i="30" s="1"/>
  <c r="BW121" i="30" s="1"/>
  <c r="AZ219" i="30"/>
  <c r="BM219" i="30" s="1"/>
  <c r="BB219" i="30"/>
  <c r="BE108" i="30"/>
  <c r="BL108" i="30" s="1"/>
  <c r="BP108" i="30" s="1"/>
  <c r="BU108" i="30" s="1"/>
  <c r="BV108" i="30" s="1"/>
  <c r="BW108" i="30" s="1"/>
  <c r="BB108" i="30"/>
  <c r="BB52" i="30"/>
  <c r="AZ514" i="30"/>
  <c r="BM514" i="30" s="1"/>
  <c r="AZ207" i="30"/>
  <c r="BM207" i="30" s="1"/>
  <c r="BB207" i="30"/>
  <c r="AZ401" i="30"/>
  <c r="BM401" i="30" s="1"/>
  <c r="BB401" i="30"/>
  <c r="BE115" i="30"/>
  <c r="BL115" i="30" s="1"/>
  <c r="BP115" i="30" s="1"/>
  <c r="BU115" i="30" s="1"/>
  <c r="BV115" i="30" s="1"/>
  <c r="BW115" i="30" s="1"/>
  <c r="BB115" i="30"/>
  <c r="BB74" i="30"/>
  <c r="AZ74" i="30"/>
  <c r="BM74" i="30" s="1"/>
  <c r="BE366" i="30"/>
  <c r="BL366" i="30" s="1"/>
  <c r="BP366" i="30" s="1"/>
  <c r="BU366" i="30" s="1"/>
  <c r="BV366" i="30" s="1"/>
  <c r="BW366" i="30" s="1"/>
  <c r="BB366" i="30"/>
  <c r="BB283" i="30"/>
  <c r="L5" i="30"/>
  <c r="O5" i="30"/>
  <c r="BB503" i="30"/>
  <c r="BE503" i="30"/>
  <c r="BL503" i="30" s="1"/>
  <c r="BB210" i="30"/>
  <c r="AZ210" i="30"/>
  <c r="BM210" i="30" s="1"/>
  <c r="BB375" i="30"/>
  <c r="AZ375" i="30"/>
  <c r="BM375" i="30" s="1"/>
  <c r="BB289" i="30"/>
  <c r="AZ289" i="30"/>
  <c r="BM289" i="30" s="1"/>
  <c r="BB418" i="30"/>
  <c r="AZ418" i="30"/>
  <c r="BM418" i="30" s="1"/>
  <c r="BB343" i="30"/>
  <c r="BB229" i="30"/>
  <c r="BE389" i="30"/>
  <c r="BL389" i="30" s="1"/>
  <c r="BB389" i="30"/>
  <c r="AZ550" i="30"/>
  <c r="BM550" i="30" s="1"/>
  <c r="BB467" i="30"/>
  <c r="AZ467" i="30"/>
  <c r="BM467" i="30" s="1"/>
  <c r="BE506" i="30"/>
  <c r="BL506" i="30" s="1"/>
  <c r="BB506" i="30"/>
  <c r="AZ50" i="30"/>
  <c r="BM50" i="30" s="1"/>
  <c r="BB411" i="30"/>
  <c r="BE480" i="30"/>
  <c r="BL480" i="30" s="1"/>
  <c r="BB480" i="30"/>
  <c r="H513" i="30"/>
  <c r="I513" i="30" s="1"/>
  <c r="J512" i="30"/>
  <c r="T511" i="30"/>
  <c r="O511" i="30"/>
  <c r="L511" i="30"/>
  <c r="AZ328" i="30"/>
  <c r="BM328" i="30" s="1"/>
  <c r="BB328" i="30"/>
  <c r="BE350" i="30"/>
  <c r="BL350" i="30" s="1"/>
  <c r="BP350" i="30" s="1"/>
  <c r="BU350" i="30" s="1"/>
  <c r="BV350" i="30" s="1"/>
  <c r="BW350" i="30" s="1"/>
  <c r="BB350" i="30"/>
  <c r="BB440" i="30"/>
  <c r="AZ440" i="30"/>
  <c r="BM440" i="30" s="1"/>
  <c r="AZ547" i="30"/>
  <c r="BM547" i="30" s="1"/>
  <c r="AZ454" i="30"/>
  <c r="BM454" i="30" s="1"/>
  <c r="BB454" i="30"/>
  <c r="AZ307" i="30"/>
  <c r="BM307" i="30" s="1"/>
  <c r="BB307" i="30"/>
  <c r="AZ33" i="30"/>
  <c r="BM33" i="30" s="1"/>
  <c r="BB432" i="30"/>
  <c r="BB150" i="30"/>
  <c r="BB349" i="30"/>
  <c r="BE364" i="30"/>
  <c r="BL364" i="30" s="1"/>
  <c r="BP364" i="30" s="1"/>
  <c r="BU364" i="30" s="1"/>
  <c r="BV364" i="30" s="1"/>
  <c r="BW364" i="30" s="1"/>
  <c r="BB364" i="30"/>
  <c r="BB84" i="30"/>
  <c r="BE84" i="30"/>
  <c r="BL84" i="30" s="1"/>
  <c r="BP84" i="30" s="1"/>
  <c r="BU84" i="30" s="1"/>
  <c r="BV84" i="30" s="1"/>
  <c r="BW84" i="30" s="1"/>
  <c r="BB149" i="30"/>
  <c r="AZ377" i="30"/>
  <c r="BM377" i="30" s="1"/>
  <c r="BB377" i="30"/>
  <c r="BB509" i="30"/>
  <c r="AZ509" i="30"/>
  <c r="BM509" i="30" s="1"/>
  <c r="BB226" i="30"/>
  <c r="AZ226" i="30"/>
  <c r="BM226" i="30" s="1"/>
  <c r="BB86" i="30"/>
  <c r="BB82" i="30"/>
  <c r="BB416" i="30"/>
  <c r="AZ416" i="30"/>
  <c r="BM416" i="30" s="1"/>
  <c r="BB153" i="30"/>
  <c r="AZ153" i="30"/>
  <c r="BM153" i="30" s="1"/>
  <c r="AZ308" i="30"/>
  <c r="BM308" i="30" s="1"/>
  <c r="BB308" i="30"/>
  <c r="AZ14" i="30"/>
  <c r="BM14" i="30" s="1"/>
  <c r="BE475" i="30"/>
  <c r="BL475" i="30" s="1"/>
  <c r="BB475" i="30"/>
  <c r="BB394" i="30"/>
  <c r="BB171" i="30"/>
  <c r="AZ171" i="30"/>
  <c r="BM171" i="30" s="1"/>
  <c r="AZ553" i="30"/>
  <c r="BM553" i="30" s="1"/>
  <c r="BB267" i="30"/>
  <c r="BE371" i="30"/>
  <c r="BL371" i="30" s="1"/>
  <c r="BP371" i="30" s="1"/>
  <c r="BU371" i="30" s="1"/>
  <c r="BV371" i="30" s="1"/>
  <c r="BW371" i="30" s="1"/>
  <c r="BB371" i="30"/>
  <c r="BB257" i="30"/>
  <c r="BB216" i="30"/>
  <c r="BE116" i="30"/>
  <c r="BL116" i="30" s="1"/>
  <c r="BP116" i="30" s="1"/>
  <c r="BU116" i="30" s="1"/>
  <c r="BV116" i="30" s="1"/>
  <c r="BW116" i="30" s="1"/>
  <c r="BB116" i="30"/>
  <c r="BB185" i="30"/>
  <c r="BB465" i="30"/>
  <c r="AZ178" i="30"/>
  <c r="BM178" i="30" s="1"/>
  <c r="BB178" i="30"/>
  <c r="BB123" i="30"/>
  <c r="BB106" i="30"/>
  <c r="BB263" i="30"/>
  <c r="BB260" i="30"/>
  <c r="BE352" i="30"/>
  <c r="BL352" i="30" s="1"/>
  <c r="BP352" i="30" s="1"/>
  <c r="BU352" i="30" s="1"/>
  <c r="BV352" i="30" s="1"/>
  <c r="BW352" i="30" s="1"/>
  <c r="BB352" i="30"/>
  <c r="BB135" i="30"/>
  <c r="BB295" i="30"/>
  <c r="BB119" i="30"/>
  <c r="BE119" i="30"/>
  <c r="BL119" i="30" s="1"/>
  <c r="BP119" i="30" s="1"/>
  <c r="BU119" i="30" s="1"/>
  <c r="BV119" i="30" s="1"/>
  <c r="BW119" i="30" s="1"/>
  <c r="BB129" i="30"/>
  <c r="AZ129" i="30"/>
  <c r="BM129" i="30" s="1"/>
  <c r="BE54" i="30"/>
  <c r="BL54" i="30" s="1"/>
  <c r="BP54" i="30" s="1"/>
  <c r="BU54" i="30" s="1"/>
  <c r="BV54" i="30" s="1"/>
  <c r="BW54" i="30" s="1"/>
  <c r="BB54" i="30"/>
  <c r="BB410" i="30"/>
  <c r="AZ410" i="30"/>
  <c r="BM410" i="30" s="1"/>
  <c r="BB265" i="30"/>
  <c r="BE223" i="30"/>
  <c r="BL223" i="30" s="1"/>
  <c r="BP223" i="30" s="1"/>
  <c r="BU223" i="30" s="1"/>
  <c r="BV223" i="30" s="1"/>
  <c r="BW223" i="30" s="1"/>
  <c r="BB223" i="30"/>
  <c r="AZ326" i="30"/>
  <c r="BM326" i="30" s="1"/>
  <c r="BB326" i="30"/>
  <c r="BE114" i="30"/>
  <c r="BL114" i="30" s="1"/>
  <c r="BP114" i="30" s="1"/>
  <c r="BU114" i="30" s="1"/>
  <c r="BV114" i="30" s="1"/>
  <c r="BW114" i="30" s="1"/>
  <c r="BB114" i="30"/>
  <c r="AZ573" i="30"/>
  <c r="BM573" i="30" s="1"/>
  <c r="AZ201" i="30"/>
  <c r="BM201" i="30" s="1"/>
  <c r="BB201" i="30"/>
  <c r="BB217" i="30"/>
  <c r="BB145" i="30"/>
  <c r="AZ145" i="30"/>
  <c r="BM145" i="30" s="1"/>
  <c r="BB68" i="30"/>
  <c r="BB399" i="30"/>
  <c r="AZ399" i="30"/>
  <c r="BM399" i="30" s="1"/>
  <c r="AZ330" i="30"/>
  <c r="BM330" i="30" s="1"/>
  <c r="BB330" i="30"/>
  <c r="AZ18" i="30"/>
  <c r="BM18" i="30" s="1"/>
  <c r="BE286" i="30"/>
  <c r="BL286" i="30" s="1"/>
  <c r="BP286" i="30" s="1"/>
  <c r="BU286" i="30" s="1"/>
  <c r="BV286" i="30" s="1"/>
  <c r="BW286" i="30" s="1"/>
  <c r="BB286" i="30"/>
  <c r="AZ415" i="30"/>
  <c r="BM415" i="30" s="1"/>
  <c r="BB415" i="30"/>
  <c r="BB311" i="30"/>
  <c r="BE197" i="30"/>
  <c r="BL197" i="30" s="1"/>
  <c r="BP197" i="30" s="1"/>
  <c r="BU197" i="30" s="1"/>
  <c r="BV197" i="30" s="1"/>
  <c r="BW197" i="30" s="1"/>
  <c r="BB197" i="30"/>
  <c r="BB455" i="30"/>
  <c r="AZ455" i="30"/>
  <c r="BM455" i="30" s="1"/>
  <c r="AZ575" i="30"/>
  <c r="BM575" i="30" s="1"/>
  <c r="BB252" i="30"/>
  <c r="AZ170" i="30"/>
  <c r="BM170" i="30" s="1"/>
  <c r="BB170" i="30"/>
  <c r="BB438" i="30"/>
  <c r="AZ438" i="30"/>
  <c r="BM438" i="30" s="1"/>
  <c r="AZ67" i="30"/>
  <c r="BM67" i="30" s="1"/>
  <c r="BB67" i="30"/>
  <c r="BB417" i="30"/>
  <c r="BB302" i="30"/>
  <c r="AZ302" i="30"/>
  <c r="BM302" i="30" s="1"/>
  <c r="BB187" i="30"/>
  <c r="BB292" i="30"/>
  <c r="BB230" i="30"/>
  <c r="BB456" i="30"/>
  <c r="BE448" i="30"/>
  <c r="BL448" i="30" s="1"/>
  <c r="BB448" i="30"/>
  <c r="BE298" i="30"/>
  <c r="BL298" i="30" s="1"/>
  <c r="BP298" i="30" s="1"/>
  <c r="BU298" i="30" s="1"/>
  <c r="BV298" i="30" s="1"/>
  <c r="BW298" i="30" s="1"/>
  <c r="BB298" i="30"/>
  <c r="BB227" i="30"/>
  <c r="AZ387" i="30"/>
  <c r="BM387" i="30" s="1"/>
  <c r="BB387" i="30"/>
  <c r="BB395" i="30"/>
  <c r="AZ395" i="30"/>
  <c r="BM395" i="30" s="1"/>
  <c r="BB278" i="30"/>
  <c r="BB457" i="30"/>
  <c r="BB285" i="30"/>
  <c r="BB314" i="30"/>
  <c r="AZ314" i="30"/>
  <c r="BM314" i="30" s="1"/>
  <c r="AZ443" i="30"/>
  <c r="BM443" i="30" s="1"/>
  <c r="BB443" i="30"/>
  <c r="AZ380" i="30"/>
  <c r="BM380" i="30" s="1"/>
  <c r="BB380" i="30"/>
  <c r="AZ539" i="30"/>
  <c r="BM539" i="30" s="1"/>
  <c r="AZ161" i="30"/>
  <c r="BM161" i="30" s="1"/>
  <c r="BB161" i="30"/>
  <c r="BB425" i="30"/>
  <c r="AZ425" i="30"/>
  <c r="BM425" i="30" s="1"/>
  <c r="BB464" i="30"/>
  <c r="BB242" i="30"/>
  <c r="BB157" i="30"/>
  <c r="AZ157" i="30"/>
  <c r="BM157" i="30" s="1"/>
  <c r="BB93" i="30"/>
  <c r="BE266" i="30"/>
  <c r="BL266" i="30" s="1"/>
  <c r="BP266" i="30" s="1"/>
  <c r="BU266" i="30" s="1"/>
  <c r="BV266" i="30" s="1"/>
  <c r="BW266" i="30" s="1"/>
  <c r="BB266" i="30"/>
  <c r="BE473" i="30"/>
  <c r="BL473" i="30" s="1"/>
  <c r="BP473" i="30" s="1"/>
  <c r="BU473" i="30" s="1"/>
  <c r="BV473" i="30" s="1"/>
  <c r="BW473" i="30" s="1"/>
  <c r="BB473" i="30"/>
  <c r="BN473" i="30" s="1"/>
  <c r="BB72" i="30"/>
  <c r="BB146" i="30"/>
  <c r="BB430" i="30"/>
  <c r="BB60" i="30"/>
  <c r="BB483" i="30"/>
  <c r="BB356" i="30"/>
  <c r="BB325" i="30"/>
  <c r="BB69" i="30"/>
  <c r="BE313" i="30"/>
  <c r="BL313" i="30" s="1"/>
  <c r="BP313" i="30" s="1"/>
  <c r="BU313" i="30" s="1"/>
  <c r="BV313" i="30" s="1"/>
  <c r="BW313" i="30" s="1"/>
  <c r="BB313" i="30"/>
  <c r="BB117" i="30"/>
  <c r="BE117" i="30"/>
  <c r="BL117" i="30" s="1"/>
  <c r="BP117" i="30" s="1"/>
  <c r="BU117" i="30" s="1"/>
  <c r="BV117" i="30" s="1"/>
  <c r="BW117" i="30" s="1"/>
  <c r="BE408" i="30"/>
  <c r="BL408" i="30" s="1"/>
  <c r="BP408" i="30" s="1"/>
  <c r="BU408" i="30" s="1"/>
  <c r="BV408" i="30" s="1"/>
  <c r="BW408" i="30" s="1"/>
  <c r="BB408" i="30"/>
  <c r="BE206" i="30"/>
  <c r="BL206" i="30" s="1"/>
  <c r="BP206" i="30" s="1"/>
  <c r="BU206" i="30" s="1"/>
  <c r="BV206" i="30" s="1"/>
  <c r="BW206" i="30" s="1"/>
  <c r="BB206" i="30"/>
  <c r="BB245" i="30"/>
  <c r="AZ245" i="30"/>
  <c r="BM245" i="30" s="1"/>
  <c r="BE250" i="30"/>
  <c r="BL250" i="30" s="1"/>
  <c r="BP250" i="30" s="1"/>
  <c r="BB250" i="30"/>
  <c r="BB407" i="30"/>
  <c r="AZ407" i="30"/>
  <c r="BM407" i="30" s="1"/>
  <c r="BB427" i="30"/>
  <c r="BE427" i="30"/>
  <c r="BL427" i="30" s="1"/>
  <c r="BB335" i="30"/>
  <c r="AZ543" i="30"/>
  <c r="BM543" i="30" s="1"/>
  <c r="BE494" i="30"/>
  <c r="BL494" i="30" s="1"/>
  <c r="BB494" i="30"/>
  <c r="BB466" i="30"/>
  <c r="J6" i="30"/>
  <c r="H7" i="30"/>
  <c r="I7" i="30" s="1"/>
  <c r="BE142" i="30"/>
  <c r="BL142" i="30" s="1"/>
  <c r="BP142" i="30" s="1"/>
  <c r="BU142" i="30" s="1"/>
  <c r="BV142" i="30" s="1"/>
  <c r="BW142" i="30" s="1"/>
  <c r="BB142" i="30"/>
  <c r="BE490" i="30"/>
  <c r="BL490" i="30" s="1"/>
  <c r="BB490" i="30"/>
  <c r="BB344" i="30"/>
  <c r="BB237" i="30"/>
  <c r="BB409" i="30"/>
  <c r="AZ532" i="30"/>
  <c r="BM532" i="30" s="1"/>
  <c r="AZ546" i="30"/>
  <c r="BM546" i="30" s="1"/>
  <c r="BB113" i="30"/>
  <c r="BB80" i="30"/>
  <c r="BB205" i="30"/>
  <c r="BB369" i="30"/>
  <c r="AZ536" i="30"/>
  <c r="BM536" i="30" s="1"/>
  <c r="BB406" i="30"/>
  <c r="BB422" i="30"/>
  <c r="BB183" i="30"/>
  <c r="BB209" i="30"/>
  <c r="BB434" i="30"/>
  <c r="BB120" i="30"/>
  <c r="BE120" i="30"/>
  <c r="BL120" i="30" s="1"/>
  <c r="BP120" i="30" s="1"/>
  <c r="BU120" i="30" s="1"/>
  <c r="BV120" i="30" s="1"/>
  <c r="BW120" i="30" s="1"/>
  <c r="BB235" i="30"/>
  <c r="AZ235" i="30"/>
  <c r="BM235" i="30" s="1"/>
  <c r="AZ280" i="30"/>
  <c r="BM280" i="30" s="1"/>
  <c r="BB280" i="30"/>
  <c r="BB414" i="30"/>
  <c r="AZ414" i="30"/>
  <c r="BM414" i="30" s="1"/>
  <c r="BE507" i="30"/>
  <c r="BL507" i="30" s="1"/>
  <c r="BB507" i="30"/>
  <c r="AZ251" i="30"/>
  <c r="BM251" i="30" s="1"/>
  <c r="BB251" i="30"/>
  <c r="BE288" i="30"/>
  <c r="BL288" i="30" s="1"/>
  <c r="BP288" i="30" s="1"/>
  <c r="BU288" i="30" s="1"/>
  <c r="BV288" i="30" s="1"/>
  <c r="BW288" i="30" s="1"/>
  <c r="BB288" i="30"/>
  <c r="BE181" i="30"/>
  <c r="BL181" i="30" s="1"/>
  <c r="BP181" i="30" s="1"/>
  <c r="BU181" i="30" s="1"/>
  <c r="BV181" i="30" s="1"/>
  <c r="BW181" i="30" s="1"/>
  <c r="BB181" i="30"/>
  <c r="BB376" i="30"/>
  <c r="BB184" i="30"/>
  <c r="AZ184" i="30"/>
  <c r="BM184" i="30" s="1"/>
  <c r="BB76" i="30"/>
  <c r="AZ25" i="30"/>
  <c r="BM25" i="30" s="1"/>
  <c r="BE498" i="30"/>
  <c r="BL498" i="30" s="1"/>
  <c r="BB498" i="30"/>
  <c r="AZ348" i="30"/>
  <c r="BM348" i="30" s="1"/>
  <c r="BB348" i="30"/>
  <c r="BB248" i="30"/>
  <c r="AZ248" i="30"/>
  <c r="BM248" i="30" s="1"/>
  <c r="AZ520" i="30"/>
  <c r="BM520" i="30" s="1"/>
  <c r="BB254" i="30"/>
  <c r="AZ262" i="30"/>
  <c r="BM262" i="30" s="1"/>
  <c r="BB262" i="30"/>
  <c r="AZ144" i="30"/>
  <c r="BM144" i="30" s="1"/>
  <c r="BB144" i="30"/>
  <c r="BB304" i="30"/>
  <c r="BB243" i="30"/>
  <c r="AZ243" i="30"/>
  <c r="BM243" i="30" s="1"/>
  <c r="BB179" i="30"/>
  <c r="BE301" i="30"/>
  <c r="BL301" i="30" s="1"/>
  <c r="BP301" i="30" s="1"/>
  <c r="BU301" i="30" s="1"/>
  <c r="BV301" i="30" s="1"/>
  <c r="BW301" i="30" s="1"/>
  <c r="BB301" i="30"/>
  <c r="BB357" i="30"/>
  <c r="BB297" i="30"/>
  <c r="BB397" i="30"/>
  <c r="BB92" i="30"/>
  <c r="AZ32" i="30"/>
  <c r="BM32" i="30" s="1"/>
  <c r="BE63" i="30"/>
  <c r="BL63" i="30" s="1"/>
  <c r="BP63" i="30" s="1"/>
  <c r="BU63" i="30" s="1"/>
  <c r="BV63" i="30" s="1"/>
  <c r="BW63" i="30" s="1"/>
  <c r="BB63" i="30"/>
  <c r="BE261" i="30"/>
  <c r="BL261" i="30" s="1"/>
  <c r="BP261" i="30" s="1"/>
  <c r="BU261" i="30" s="1"/>
  <c r="BV261" i="30" s="1"/>
  <c r="BW261" i="30" s="1"/>
  <c r="BB261" i="30"/>
  <c r="BE111" i="30"/>
  <c r="BL111" i="30" s="1"/>
  <c r="BP111" i="30" s="1"/>
  <c r="BU111" i="30" s="1"/>
  <c r="BV111" i="30" s="1"/>
  <c r="BW111" i="30" s="1"/>
  <c r="BB111" i="30"/>
  <c r="AZ81" i="30"/>
  <c r="BM81" i="30" s="1"/>
  <c r="BB81" i="30"/>
  <c r="AZ521" i="30"/>
  <c r="BM521" i="30" s="1"/>
  <c r="AZ579" i="30"/>
  <c r="BM579" i="30" s="1"/>
  <c r="BB367" i="30"/>
  <c r="BB421" i="30"/>
  <c r="AZ421" i="30"/>
  <c r="BM421" i="30" s="1"/>
  <c r="AZ162" i="30"/>
  <c r="BM162" i="30" s="1"/>
  <c r="BB162" i="30"/>
  <c r="BB194" i="30"/>
  <c r="AZ194" i="30"/>
  <c r="BM194" i="30" s="1"/>
  <c r="AZ516" i="30"/>
  <c r="BM516" i="30" s="1"/>
  <c r="BB79" i="30"/>
  <c r="AZ79" i="30"/>
  <c r="BM79" i="30" s="1"/>
  <c r="AZ391" i="30"/>
  <c r="BM391" i="30" s="1"/>
  <c r="BB391" i="30"/>
  <c r="AZ324" i="30"/>
  <c r="BM324" i="30" s="1"/>
  <c r="BB324" i="30"/>
  <c r="AZ191" i="30"/>
  <c r="BM191" i="30" s="1"/>
  <c r="BB191" i="30"/>
  <c r="BB212" i="30"/>
  <c r="AZ572" i="30"/>
  <c r="BM572" i="30" s="1"/>
  <c r="AZ588" i="30"/>
  <c r="BM588" i="30" s="1"/>
  <c r="BB333" i="30"/>
  <c r="AZ333" i="30"/>
  <c r="BM333" i="30" s="1"/>
  <c r="AZ383" i="30"/>
  <c r="BM383" i="30" s="1"/>
  <c r="BB383" i="30"/>
  <c r="BB133" i="30"/>
  <c r="BB148" i="30"/>
  <c r="BB238" i="30"/>
  <c r="AZ238" i="30"/>
  <c r="BM238" i="30" s="1"/>
  <c r="BB429" i="30"/>
  <c r="AZ429" i="30"/>
  <c r="BM429" i="30" s="1"/>
  <c r="BB346" i="30"/>
  <c r="BB390" i="30"/>
  <c r="BB62" i="30"/>
  <c r="BB337" i="30"/>
  <c r="BB451" i="30"/>
  <c r="BB66" i="30"/>
  <c r="BE163" i="30"/>
  <c r="BL163" i="30" s="1"/>
  <c r="BP163" i="30" s="1"/>
  <c r="BU163" i="30" s="1"/>
  <c r="BV163" i="30" s="1"/>
  <c r="BW163" i="30" s="1"/>
  <c r="BB163" i="30"/>
  <c r="BB138" i="30"/>
  <c r="BB107" i="30"/>
  <c r="BE195" i="30"/>
  <c r="BL195" i="30" s="1"/>
  <c r="BP195" i="30" s="1"/>
  <c r="BU195" i="30" s="1"/>
  <c r="BV195" i="30" s="1"/>
  <c r="BW195" i="30" s="1"/>
  <c r="BB195" i="30"/>
  <c r="BE259" i="30"/>
  <c r="BL259" i="30" s="1"/>
  <c r="BP259" i="30" s="1"/>
  <c r="BU259" i="30" s="1"/>
  <c r="BV259" i="30" s="1"/>
  <c r="BW259" i="30" s="1"/>
  <c r="BB259" i="30"/>
  <c r="BE167" i="30"/>
  <c r="BL167" i="30" s="1"/>
  <c r="BP167" i="30" s="1"/>
  <c r="BU167" i="30" s="1"/>
  <c r="BV167" i="30" s="1"/>
  <c r="BW167" i="30" s="1"/>
  <c r="BB167" i="30"/>
  <c r="BE345" i="30"/>
  <c r="BL345" i="30" s="1"/>
  <c r="BP345" i="30" s="1"/>
  <c r="BU345" i="30" s="1"/>
  <c r="BV345" i="30" s="1"/>
  <c r="BW345" i="30" s="1"/>
  <c r="BB345" i="30"/>
  <c r="BB294" i="30"/>
  <c r="AZ294" i="30"/>
  <c r="BM294" i="30" s="1"/>
  <c r="BB130" i="30"/>
  <c r="AZ130" i="30"/>
  <c r="BM130" i="30" s="1"/>
  <c r="BB233" i="30"/>
  <c r="AZ233" i="30"/>
  <c r="BM233" i="30" s="1"/>
  <c r="BB64" i="30"/>
  <c r="AZ64" i="30"/>
  <c r="BM64" i="30" s="1"/>
  <c r="AZ559" i="30"/>
  <c r="BM559" i="30" s="1"/>
  <c r="AZ95" i="30"/>
  <c r="BM95" i="30" s="1"/>
  <c r="BB95" i="30"/>
  <c r="BE319" i="30"/>
  <c r="BL319" i="30" s="1"/>
  <c r="BP319" i="30" s="1"/>
  <c r="BU319" i="30" s="1"/>
  <c r="BV319" i="30" s="1"/>
  <c r="BW319" i="30" s="1"/>
  <c r="BB319" i="30"/>
  <c r="AZ570" i="30"/>
  <c r="BM570" i="30" s="1"/>
  <c r="AZ538" i="30"/>
  <c r="BM538" i="30" s="1"/>
  <c r="AZ322" i="30"/>
  <c r="BM322" i="30" s="1"/>
  <c r="BB322" i="30"/>
  <c r="AZ552" i="30"/>
  <c r="BM552" i="30" s="1"/>
  <c r="AZ428" i="30"/>
  <c r="BM428" i="30" s="1"/>
  <c r="BB428" i="30"/>
  <c r="BE274" i="30"/>
  <c r="BL274" i="30" s="1"/>
  <c r="BP274" i="30" s="1"/>
  <c r="BU274" i="30" s="1"/>
  <c r="BV274" i="30" s="1"/>
  <c r="BW274" i="30" s="1"/>
  <c r="BB274" i="30"/>
  <c r="AZ338" i="30"/>
  <c r="BM338" i="30" s="1"/>
  <c r="BB338" i="30"/>
  <c r="BB452" i="30"/>
  <c r="AZ452" i="30"/>
  <c r="BM452" i="30" s="1"/>
  <c r="BB403" i="30"/>
  <c r="AZ403" i="30"/>
  <c r="BM403" i="30" s="1"/>
  <c r="BB476" i="30"/>
  <c r="AZ43" i="30"/>
  <c r="BM43" i="30" s="1"/>
  <c r="BB492" i="30"/>
  <c r="AZ533" i="30"/>
  <c r="BM533" i="30" s="1"/>
  <c r="BB501" i="30"/>
  <c r="AZ370" i="30"/>
  <c r="BM370" i="30" s="1"/>
  <c r="BB370" i="30"/>
  <c r="BB439" i="30"/>
  <c r="BB293" i="30"/>
  <c r="AZ293" i="30"/>
  <c r="BM293" i="30" s="1"/>
  <c r="BE140" i="30"/>
  <c r="BL140" i="30" s="1"/>
  <c r="BP140" i="30" s="1"/>
  <c r="BU140" i="30" s="1"/>
  <c r="BV140" i="30" s="1"/>
  <c r="BW140" i="30" s="1"/>
  <c r="BB140" i="30"/>
  <c r="BB192" i="30"/>
  <c r="AZ192" i="30"/>
  <c r="BM192" i="30" s="1"/>
  <c r="AZ460" i="30"/>
  <c r="BM460" i="30" s="1"/>
  <c r="BB460" i="30"/>
  <c r="BB231" i="30"/>
  <c r="BB58" i="30"/>
  <c r="BB341" i="30"/>
  <c r="BB89" i="30"/>
  <c r="BB497" i="30"/>
  <c r="AZ132" i="30"/>
  <c r="BM132" i="30" s="1"/>
  <c r="BB132" i="30"/>
  <c r="BB347" i="30"/>
  <c r="BB90" i="30"/>
  <c r="BB482" i="30"/>
  <c r="BB125" i="30"/>
  <c r="BB166" i="30"/>
  <c r="BB365" i="30"/>
  <c r="BN469" i="30" l="1"/>
  <c r="BN440" i="30"/>
  <c r="BN467" i="30"/>
  <c r="BN191" i="30"/>
  <c r="BN464" i="30"/>
  <c r="BN395" i="30"/>
  <c r="BN171" i="30"/>
  <c r="BN458" i="30"/>
  <c r="BN472" i="30"/>
  <c r="BN363" i="30"/>
  <c r="BN186" i="30"/>
  <c r="BN390" i="30"/>
  <c r="BN179" i="30"/>
  <c r="BN394" i="30"/>
  <c r="BN377" i="30"/>
  <c r="BN246" i="30"/>
  <c r="BN193" i="30"/>
  <c r="BN244" i="30"/>
  <c r="BN170" i="30"/>
  <c r="BN391" i="30"/>
  <c r="BN184" i="30"/>
  <c r="BN250" i="30"/>
  <c r="BN399" i="30"/>
  <c r="BN471" i="30"/>
  <c r="BN176" i="30"/>
  <c r="BN436" i="30"/>
  <c r="BN252" i="30"/>
  <c r="BN465" i="30"/>
  <c r="BN168" i="30"/>
  <c r="BN199" i="30"/>
  <c r="BN468" i="30"/>
  <c r="BN255" i="30"/>
  <c r="BN181" i="30"/>
  <c r="BN185" i="30"/>
  <c r="BN364" i="30"/>
  <c r="BN366" i="30"/>
  <c r="BN180" i="30"/>
  <c r="BN243" i="30"/>
  <c r="BN376" i="30"/>
  <c r="BN195" i="30"/>
  <c r="BN245" i="30"/>
  <c r="BN173" i="30"/>
  <c r="BN253" i="30"/>
  <c r="BN373" i="30"/>
  <c r="BN183" i="30"/>
  <c r="BN456" i="30"/>
  <c r="BN455" i="30"/>
  <c r="BN196" i="30"/>
  <c r="BN400" i="30"/>
  <c r="BN393" i="30"/>
  <c r="BN438" i="30"/>
  <c r="BN254" i="30"/>
  <c r="BN197" i="30"/>
  <c r="BN172" i="30"/>
  <c r="BN174" i="30"/>
  <c r="BN396" i="30"/>
  <c r="BN365" i="30"/>
  <c r="BN166" i="30"/>
  <c r="BN422" i="30"/>
  <c r="BN194" i="30"/>
  <c r="BN251" i="30"/>
  <c r="BN435" i="30"/>
  <c r="BN192" i="30"/>
  <c r="BN466" i="30"/>
  <c r="BN187" i="30"/>
  <c r="BN371" i="30"/>
  <c r="BN189" i="30"/>
  <c r="BN167" i="30"/>
  <c r="BN397" i="30"/>
  <c r="BN248" i="30"/>
  <c r="BN369" i="30"/>
  <c r="BN401" i="30"/>
  <c r="BN182" i="30"/>
  <c r="BN249" i="30"/>
  <c r="BN178" i="30"/>
  <c r="BN460" i="30"/>
  <c r="BN439" i="30"/>
  <c r="BN457" i="30"/>
  <c r="BN420" i="30"/>
  <c r="BN177" i="30"/>
  <c r="BN462" i="30"/>
  <c r="BN461" i="30"/>
  <c r="BN362" i="30"/>
  <c r="BN459" i="30"/>
  <c r="BN372" i="30"/>
  <c r="BN423" i="30"/>
  <c r="BN370" i="30"/>
  <c r="BN421" i="30"/>
  <c r="BN454" i="30"/>
  <c r="BN375" i="30"/>
  <c r="BN463" i="30"/>
  <c r="BN198" i="30"/>
  <c r="BN392" i="30"/>
  <c r="BN247" i="30"/>
  <c r="BN169" i="30"/>
  <c r="BN367" i="30"/>
  <c r="BN242" i="30"/>
  <c r="BN175" i="30"/>
  <c r="BN398" i="30"/>
  <c r="BN470" i="30"/>
  <c r="BN374" i="30"/>
  <c r="BN188" i="30"/>
  <c r="BN437" i="30"/>
  <c r="BN368" i="30"/>
  <c r="BN190" i="30"/>
  <c r="BN359" i="30"/>
  <c r="BN90" i="30"/>
  <c r="BN360" i="30"/>
  <c r="BN415" i="30"/>
  <c r="BN100" i="30"/>
  <c r="BN70" i="30"/>
  <c r="BN357" i="30"/>
  <c r="BN278" i="30"/>
  <c r="BN417" i="30"/>
  <c r="BN411" i="30"/>
  <c r="BN97" i="30"/>
  <c r="BN279" i="30"/>
  <c r="BN271" i="30"/>
  <c r="BN412" i="30"/>
  <c r="BN275" i="30"/>
  <c r="BN65" i="30"/>
  <c r="BN414" i="30"/>
  <c r="BN113" i="30"/>
  <c r="BN67" i="30"/>
  <c r="BN260" i="30"/>
  <c r="BN98" i="30"/>
  <c r="BN57" i="30"/>
  <c r="BN62" i="30"/>
  <c r="BN263" i="30"/>
  <c r="BN256" i="30"/>
  <c r="BN419" i="30"/>
  <c r="BN56" i="30"/>
  <c r="BN86" i="30"/>
  <c r="BN66" i="30"/>
  <c r="BN89" i="30"/>
  <c r="BN106" i="30"/>
  <c r="BN83" i="30"/>
  <c r="BN73" i="30"/>
  <c r="BN276" i="30"/>
  <c r="BN96" i="30"/>
  <c r="BN267" i="30"/>
  <c r="BN52" i="30"/>
  <c r="BN81" i="30"/>
  <c r="BN76" i="30"/>
  <c r="BN409" i="30"/>
  <c r="BN356" i="30"/>
  <c r="BN265" i="30"/>
  <c r="BN108" i="30"/>
  <c r="BN281" i="30"/>
  <c r="BN280" i="30"/>
  <c r="BN58" i="30"/>
  <c r="BN235" i="30"/>
  <c r="BN237" i="30"/>
  <c r="BN407" i="30"/>
  <c r="BN239" i="30"/>
  <c r="BN122" i="30"/>
  <c r="BN285" i="30"/>
  <c r="BN80" i="30"/>
  <c r="BN69" i="30"/>
  <c r="BN111" i="30"/>
  <c r="BN60" i="30"/>
  <c r="BN410" i="30"/>
  <c r="BN234" i="30"/>
  <c r="BN355" i="30"/>
  <c r="BN404" i="30"/>
  <c r="BN105" i="30"/>
  <c r="BN87" i="30"/>
  <c r="BN117" i="30"/>
  <c r="BN120" i="30"/>
  <c r="BN68" i="30"/>
  <c r="BN54" i="30"/>
  <c r="BN84" i="30"/>
  <c r="BN283" i="30"/>
  <c r="BN358" i="30"/>
  <c r="BN112" i="30"/>
  <c r="BN71" i="30"/>
  <c r="BN361" i="30"/>
  <c r="BN61" i="30"/>
  <c r="BN114" i="30"/>
  <c r="BN259" i="30"/>
  <c r="BN95" i="30"/>
  <c r="BN238" i="30"/>
  <c r="BN261" i="30"/>
  <c r="BN77" i="30"/>
  <c r="BN104" i="30"/>
  <c r="BN413" i="30"/>
  <c r="BN258" i="30"/>
  <c r="BN405" i="30"/>
  <c r="BN102" i="30"/>
  <c r="BN75" i="30"/>
  <c r="BN110" i="30"/>
  <c r="BN403" i="30"/>
  <c r="BN79" i="30"/>
  <c r="BN262" i="30"/>
  <c r="BN72" i="30"/>
  <c r="BN116" i="30"/>
  <c r="BN121" i="30"/>
  <c r="BN118" i="30"/>
  <c r="BN284" i="30"/>
  <c r="BN402" i="30"/>
  <c r="BN101" i="30"/>
  <c r="BN109" i="30"/>
  <c r="BN241" i="30"/>
  <c r="BN63" i="30"/>
  <c r="BN88" i="30"/>
  <c r="BN85" i="30"/>
  <c r="BN282" i="30"/>
  <c r="BN268" i="30"/>
  <c r="BN272" i="30"/>
  <c r="BN277" i="30"/>
  <c r="BN107" i="30"/>
  <c r="BN74" i="30"/>
  <c r="BN99" i="30"/>
  <c r="BN59" i="30"/>
  <c r="BN94" i="30"/>
  <c r="BN273" i="30"/>
  <c r="BN93" i="30"/>
  <c r="BN64" i="30"/>
  <c r="BN266" i="30"/>
  <c r="BN257" i="30"/>
  <c r="BN416" i="30"/>
  <c r="BN418" i="30"/>
  <c r="BN115" i="30"/>
  <c r="BN270" i="30"/>
  <c r="BN264" i="30"/>
  <c r="BN91" i="30"/>
  <c r="BN236" i="30"/>
  <c r="BN103" i="30"/>
  <c r="BN269" i="30"/>
  <c r="BN240" i="30"/>
  <c r="BN406" i="30"/>
  <c r="BN408" i="30"/>
  <c r="BN119" i="30"/>
  <c r="BN274" i="30"/>
  <c r="BN92" i="30"/>
  <c r="BN82" i="30"/>
  <c r="BN55" i="30"/>
  <c r="BN78" i="30"/>
  <c r="BN53" i="30"/>
  <c r="BN354" i="30"/>
  <c r="BU250" i="30"/>
  <c r="BV250" i="30" s="1"/>
  <c r="BW250" i="30" s="1"/>
  <c r="BU294" i="30"/>
  <c r="BV294" i="30" s="1"/>
  <c r="BW294" i="30" s="1"/>
  <c r="BU304" i="30"/>
  <c r="BV304" i="30" s="1"/>
  <c r="BW304" i="30" s="1"/>
  <c r="BU273" i="30"/>
  <c r="BV273" i="30" s="1"/>
  <c r="BW273" i="30" s="1"/>
  <c r="BE511" i="30"/>
  <c r="BL511" i="30" s="1"/>
  <c r="BP511" i="30" s="1"/>
  <c r="BU511" i="30" s="1"/>
  <c r="BV511" i="30" s="1"/>
  <c r="BW511" i="30" s="1"/>
  <c r="BB511" i="30"/>
  <c r="H514" i="30"/>
  <c r="I514" i="30" s="1"/>
  <c r="J513" i="30"/>
  <c r="J7" i="30"/>
  <c r="H8" i="30"/>
  <c r="I8" i="30" s="1"/>
  <c r="O6" i="30"/>
  <c r="L6" i="30"/>
  <c r="O512" i="30"/>
  <c r="L512" i="30"/>
  <c r="T512" i="30"/>
  <c r="Y473" i="22"/>
  <c r="Y472" i="22"/>
  <c r="Y471" i="22"/>
  <c r="Y470" i="22"/>
  <c r="Y469" i="22"/>
  <c r="Y468" i="22"/>
  <c r="Y467" i="22"/>
  <c r="Y466" i="22"/>
  <c r="Y465" i="22"/>
  <c r="Y464" i="22"/>
  <c r="Y463" i="22"/>
  <c r="Y462" i="22"/>
  <c r="Y460" i="22"/>
  <c r="T460" i="22"/>
  <c r="Y459" i="22"/>
  <c r="M460" i="22"/>
  <c r="Y458" i="22"/>
  <c r="Y457" i="22"/>
  <c r="Y456" i="22"/>
  <c r="Y455" i="22"/>
  <c r="Y454" i="22"/>
  <c r="Y453" i="22"/>
  <c r="Y452" i="22"/>
  <c r="Y451" i="22"/>
  <c r="Y450" i="22"/>
  <c r="Y449" i="22"/>
  <c r="Y448" i="22"/>
  <c r="Y447" i="22"/>
  <c r="T447" i="22"/>
  <c r="Y446" i="22"/>
  <c r="Y445" i="22"/>
  <c r="Y444" i="22"/>
  <c r="Y443" i="22"/>
  <c r="Y442" i="22"/>
  <c r="Y441" i="22"/>
  <c r="Y440" i="22"/>
  <c r="Y439" i="22"/>
  <c r="Y438" i="22"/>
  <c r="Y437" i="22"/>
  <c r="Y436" i="22"/>
  <c r="Y435" i="22"/>
  <c r="Y434" i="22"/>
  <c r="Y433" i="22"/>
  <c r="T432" i="22"/>
  <c r="Y432" i="22"/>
  <c r="Y431" i="22"/>
  <c r="Y430" i="22"/>
  <c r="Y429" i="22"/>
  <c r="Y428" i="22"/>
  <c r="Y426" i="22"/>
  <c r="Y415" i="22"/>
  <c r="Y416" i="22"/>
  <c r="Y417" i="22"/>
  <c r="Y418" i="22"/>
  <c r="Y419" i="22"/>
  <c r="Y420" i="22"/>
  <c r="Y421" i="22"/>
  <c r="Y422" i="22"/>
  <c r="Y423" i="22"/>
  <c r="Y425" i="22"/>
  <c r="Y414" i="22"/>
  <c r="Y411" i="22"/>
  <c r="Y410" i="22"/>
  <c r="Y409" i="22"/>
  <c r="Y408" i="22"/>
  <c r="Y407" i="22"/>
  <c r="Y406" i="22"/>
  <c r="Y405" i="22"/>
  <c r="Y404" i="22"/>
  <c r="Y403" i="22"/>
  <c r="Y402" i="22"/>
  <c r="Y401" i="22"/>
  <c r="Y400" i="22"/>
  <c r="Y398" i="22"/>
  <c r="Y397" i="22"/>
  <c r="Y396" i="22"/>
  <c r="Y373" i="22"/>
  <c r="Z373" i="22" s="1"/>
  <c r="Y374" i="22"/>
  <c r="Z374" i="22" s="1"/>
  <c r="Y375" i="22"/>
  <c r="Z375" i="22" s="1"/>
  <c r="Y376" i="22"/>
  <c r="Z376" i="22" s="1"/>
  <c r="Y377" i="22"/>
  <c r="Z377" i="22" s="1"/>
  <c r="Y378" i="22"/>
  <c r="Z378" i="22" s="1"/>
  <c r="Y379" i="22"/>
  <c r="Z379" i="22" s="1"/>
  <c r="Y380" i="22"/>
  <c r="Z380" i="22" s="1"/>
  <c r="Y381" i="22"/>
  <c r="Z381" i="22" s="1"/>
  <c r="Y382" i="22"/>
  <c r="Z382" i="22" s="1"/>
  <c r="Y383" i="22"/>
  <c r="Z383" i="22" s="1"/>
  <c r="Y384" i="22"/>
  <c r="Z384" i="22" s="1"/>
  <c r="Y385" i="22"/>
  <c r="Z385" i="22" s="1"/>
  <c r="Y386" i="22"/>
  <c r="Z386" i="22" s="1"/>
  <c r="Y387" i="22"/>
  <c r="Z387" i="22" s="1"/>
  <c r="Y388" i="22"/>
  <c r="Z388" i="22" s="1"/>
  <c r="Y389" i="22"/>
  <c r="Z389" i="22" s="1"/>
  <c r="Y390" i="22"/>
  <c r="Z390" i="22" s="1"/>
  <c r="Y391" i="22"/>
  <c r="Z391" i="22" s="1"/>
  <c r="Y392" i="22"/>
  <c r="Z392" i="22" s="1"/>
  <c r="Y393" i="22"/>
  <c r="Z393" i="22" s="1"/>
  <c r="Y394" i="22"/>
  <c r="Z394" i="22" s="1"/>
  <c r="Y395" i="22"/>
  <c r="Y358" i="22"/>
  <c r="Z358" i="22" s="1"/>
  <c r="Y359" i="22"/>
  <c r="Z359" i="22" s="1"/>
  <c r="Y360" i="22"/>
  <c r="Z360" i="22" s="1"/>
  <c r="Y361" i="22"/>
  <c r="Z361" i="22" s="1"/>
  <c r="Y362" i="22"/>
  <c r="Z362" i="22" s="1"/>
  <c r="M358" i="22"/>
  <c r="Y355" i="22"/>
  <c r="Z355" i="22" s="1"/>
  <c r="Y356" i="22"/>
  <c r="Z356" i="22" s="1"/>
  <c r="Y357" i="22"/>
  <c r="Z357" i="22" s="1"/>
  <c r="Y363" i="22"/>
  <c r="Z363" i="22" s="1"/>
  <c r="Y364" i="22"/>
  <c r="Z364" i="22" s="1"/>
  <c r="Y365" i="22"/>
  <c r="Z365" i="22" s="1"/>
  <c r="Y366" i="22"/>
  <c r="Z366" i="22" s="1"/>
  <c r="Y367" i="22"/>
  <c r="Z367" i="22" s="1"/>
  <c r="Y368" i="22"/>
  <c r="Z368" i="22" s="1"/>
  <c r="Y369" i="22"/>
  <c r="Z369" i="22" s="1"/>
  <c r="Y370" i="22"/>
  <c r="Z370" i="22" s="1"/>
  <c r="Y371" i="22"/>
  <c r="Z371" i="22" s="1"/>
  <c r="Y372" i="22"/>
  <c r="Z372" i="22" s="1"/>
  <c r="Y354" i="22"/>
  <c r="Z354" i="22" s="1"/>
  <c r="Y353" i="22"/>
  <c r="Z353" i="22" s="1"/>
  <c r="Y585" i="22"/>
  <c r="Y584" i="22"/>
  <c r="Y583" i="22"/>
  <c r="Y582" i="22"/>
  <c r="Y581" i="22"/>
  <c r="Y580" i="22"/>
  <c r="Y579" i="22"/>
  <c r="Y578" i="22"/>
  <c r="Y577" i="22"/>
  <c r="Y576" i="22"/>
  <c r="Y575" i="22"/>
  <c r="T575" i="22"/>
  <c r="Y573" i="22"/>
  <c r="Y572" i="22"/>
  <c r="Y569" i="22"/>
  <c r="Y568" i="22"/>
  <c r="Y567" i="22"/>
  <c r="Y566" i="22"/>
  <c r="Y565" i="22"/>
  <c r="Y564" i="22"/>
  <c r="Y563" i="22"/>
  <c r="Y561" i="22"/>
  <c r="Y560" i="22"/>
  <c r="Y559" i="22"/>
  <c r="Y558" i="22"/>
  <c r="Y557" i="22"/>
  <c r="T557" i="22"/>
  <c r="Y555" i="22"/>
  <c r="Y554" i="22"/>
  <c r="Y553" i="22"/>
  <c r="U553" i="22"/>
  <c r="Y552" i="22"/>
  <c r="Y551" i="22"/>
  <c r="Y548" i="22"/>
  <c r="Y547" i="22"/>
  <c r="Y545" i="22"/>
  <c r="Y544" i="22"/>
  <c r="Y543" i="22"/>
  <c r="Y542" i="22"/>
  <c r="Y541" i="22"/>
  <c r="Y540" i="22"/>
  <c r="Y539" i="22"/>
  <c r="Y538" i="22"/>
  <c r="Y537" i="22"/>
  <c r="Y534" i="22"/>
  <c r="Y533" i="22"/>
  <c r="Y532" i="22"/>
  <c r="Y531" i="22"/>
  <c r="Y530" i="22"/>
  <c r="Y529" i="22"/>
  <c r="Y509" i="22"/>
  <c r="Y510" i="22"/>
  <c r="Y511" i="22"/>
  <c r="Y512" i="22"/>
  <c r="Y513" i="22"/>
  <c r="Y514" i="22"/>
  <c r="Y515" i="22"/>
  <c r="Y517" i="22"/>
  <c r="Y518" i="22"/>
  <c r="Y519" i="22"/>
  <c r="Y520" i="22"/>
  <c r="Y521" i="22"/>
  <c r="Y522" i="22"/>
  <c r="Y523" i="22"/>
  <c r="Y525" i="22"/>
  <c r="Y526" i="22"/>
  <c r="Y527" i="22"/>
  <c r="Y528" i="22"/>
  <c r="Y508" i="22"/>
  <c r="DC766" i="22"/>
  <c r="DD761" i="22" s="1"/>
  <c r="BP587" i="22"/>
  <c r="BO587" i="22"/>
  <c r="BN587" i="22"/>
  <c r="BM587" i="22"/>
  <c r="BL587" i="22"/>
  <c r="BK587" i="22"/>
  <c r="BF587" i="22"/>
  <c r="AZ587" i="22"/>
  <c r="AY587" i="22"/>
  <c r="AX587" i="22"/>
  <c r="AW587" i="22"/>
  <c r="AV587" i="22"/>
  <c r="BP586" i="22"/>
  <c r="BO586" i="22"/>
  <c r="BN586" i="22"/>
  <c r="BM586" i="22"/>
  <c r="BL586" i="22"/>
  <c r="BK586" i="22"/>
  <c r="BF586" i="22"/>
  <c r="AZ586" i="22"/>
  <c r="AY586" i="22"/>
  <c r="AX586" i="22"/>
  <c r="AW586" i="22"/>
  <c r="AV586" i="22"/>
  <c r="BH586" i="22"/>
  <c r="BP585" i="22"/>
  <c r="BO585" i="22"/>
  <c r="BN585" i="22"/>
  <c r="BM585" i="22"/>
  <c r="BL585" i="22"/>
  <c r="BK585" i="22"/>
  <c r="BF585" i="22"/>
  <c r="AZ585" i="22"/>
  <c r="AY585" i="22"/>
  <c r="AX585" i="22"/>
  <c r="AW585" i="22"/>
  <c r="AV585" i="22"/>
  <c r="BP584" i="22"/>
  <c r="BO584" i="22"/>
  <c r="BN584" i="22"/>
  <c r="BM584" i="22"/>
  <c r="BL584" i="22"/>
  <c r="BK584" i="22"/>
  <c r="BF584" i="22"/>
  <c r="AZ584" i="22"/>
  <c r="AY584" i="22"/>
  <c r="AX584" i="22"/>
  <c r="AW584" i="22"/>
  <c r="AV584" i="22"/>
  <c r="BP583" i="22"/>
  <c r="BO583" i="22"/>
  <c r="BN583" i="22"/>
  <c r="BM583" i="22"/>
  <c r="BL583" i="22"/>
  <c r="BK583" i="22"/>
  <c r="BF583" i="22"/>
  <c r="AZ583" i="22"/>
  <c r="AY583" i="22"/>
  <c r="AX583" i="22"/>
  <c r="AW583" i="22"/>
  <c r="AV583" i="22"/>
  <c r="BH583" i="22"/>
  <c r="BP582" i="22"/>
  <c r="BO582" i="22"/>
  <c r="BN582" i="22"/>
  <c r="BM582" i="22"/>
  <c r="BL582" i="22"/>
  <c r="BK582" i="22"/>
  <c r="BF582" i="22"/>
  <c r="AZ582" i="22"/>
  <c r="AY582" i="22"/>
  <c r="AX582" i="22"/>
  <c r="AW582" i="22"/>
  <c r="AV582" i="22"/>
  <c r="BH582" i="22"/>
  <c r="BP581" i="22"/>
  <c r="BO581" i="22"/>
  <c r="BN581" i="22"/>
  <c r="BM581" i="22"/>
  <c r="BL581" i="22"/>
  <c r="BK581" i="22"/>
  <c r="BF581" i="22"/>
  <c r="AZ581" i="22"/>
  <c r="AY581" i="22"/>
  <c r="AX581" i="22"/>
  <c r="AW581" i="22"/>
  <c r="AV581" i="22"/>
  <c r="BP580" i="22"/>
  <c r="BO580" i="22"/>
  <c r="BN580" i="22"/>
  <c r="BM580" i="22"/>
  <c r="BL580" i="22"/>
  <c r="BK580" i="22"/>
  <c r="BF580" i="22"/>
  <c r="AZ580" i="22"/>
  <c r="AY580" i="22"/>
  <c r="AX580" i="22"/>
  <c r="AW580" i="22"/>
  <c r="AV580" i="22"/>
  <c r="BP579" i="22"/>
  <c r="BO579" i="22"/>
  <c r="BN579" i="22"/>
  <c r="BM579" i="22"/>
  <c r="BL579" i="22"/>
  <c r="BK579" i="22"/>
  <c r="BF579" i="22"/>
  <c r="AZ579" i="22"/>
  <c r="AY579" i="22"/>
  <c r="AX579" i="22"/>
  <c r="AW579" i="22"/>
  <c r="AV579" i="22"/>
  <c r="BH579" i="22"/>
  <c r="BP578" i="22"/>
  <c r="BO578" i="22"/>
  <c r="BN578" i="22"/>
  <c r="BM578" i="22"/>
  <c r="BL578" i="22"/>
  <c r="BK578" i="22"/>
  <c r="BF578" i="22"/>
  <c r="AZ578" i="22"/>
  <c r="AY578" i="22"/>
  <c r="AX578" i="22"/>
  <c r="AW578" i="22"/>
  <c r="AV578" i="22"/>
  <c r="BH578" i="22"/>
  <c r="BP577" i="22"/>
  <c r="BO577" i="22"/>
  <c r="BN577" i="22"/>
  <c r="BM577" i="22"/>
  <c r="BL577" i="22"/>
  <c r="BK577" i="22"/>
  <c r="BF577" i="22"/>
  <c r="AZ577" i="22"/>
  <c r="AY577" i="22"/>
  <c r="AX577" i="22"/>
  <c r="AW577" i="22"/>
  <c r="AV577" i="22"/>
  <c r="BP576" i="22"/>
  <c r="BO576" i="22"/>
  <c r="BN576" i="22"/>
  <c r="BM576" i="22"/>
  <c r="BL576" i="22"/>
  <c r="BK576" i="22"/>
  <c r="BF576" i="22"/>
  <c r="AZ576" i="22"/>
  <c r="AY576" i="22"/>
  <c r="AX576" i="22"/>
  <c r="AW576" i="22"/>
  <c r="AV576" i="22"/>
  <c r="BP575" i="22"/>
  <c r="BO575" i="22"/>
  <c r="BN575" i="22"/>
  <c r="BM575" i="22"/>
  <c r="BL575" i="22"/>
  <c r="BK575" i="22"/>
  <c r="BF575" i="22"/>
  <c r="AZ575" i="22"/>
  <c r="AY575" i="22"/>
  <c r="AX575" i="22"/>
  <c r="AW575" i="22"/>
  <c r="AV575" i="22"/>
  <c r="BH575" i="22"/>
  <c r="BP574" i="22"/>
  <c r="BO574" i="22"/>
  <c r="BN574" i="22"/>
  <c r="BM574" i="22"/>
  <c r="BL574" i="22"/>
  <c r="BK574" i="22"/>
  <c r="BF574" i="22"/>
  <c r="AZ574" i="22"/>
  <c r="AY574" i="22"/>
  <c r="AX574" i="22"/>
  <c r="AW574" i="22"/>
  <c r="AV574" i="22"/>
  <c r="BP573" i="22"/>
  <c r="BO573" i="22"/>
  <c r="BN573" i="22"/>
  <c r="BM573" i="22"/>
  <c r="BL573" i="22"/>
  <c r="BK573" i="22"/>
  <c r="BF573" i="22"/>
  <c r="AZ573" i="22"/>
  <c r="AY573" i="22"/>
  <c r="AX573" i="22"/>
  <c r="AW573" i="22"/>
  <c r="AV573" i="22"/>
  <c r="BP572" i="22"/>
  <c r="BO572" i="22"/>
  <c r="BN572" i="22"/>
  <c r="BM572" i="22"/>
  <c r="BL572" i="22"/>
  <c r="BK572" i="22"/>
  <c r="BF572" i="22"/>
  <c r="AZ572" i="22"/>
  <c r="AY572" i="22"/>
  <c r="AX572" i="22"/>
  <c r="AW572" i="22"/>
  <c r="AV572" i="22"/>
  <c r="BP571" i="22"/>
  <c r="BO571" i="22"/>
  <c r="BN571" i="22"/>
  <c r="BM571" i="22"/>
  <c r="BL571" i="22"/>
  <c r="BK571" i="22"/>
  <c r="BF571" i="22"/>
  <c r="AZ571" i="22"/>
  <c r="AY571" i="22"/>
  <c r="AX571" i="22"/>
  <c r="AW571" i="22"/>
  <c r="AV571" i="22"/>
  <c r="BH571" i="22"/>
  <c r="BP570" i="22"/>
  <c r="BO570" i="22"/>
  <c r="BN570" i="22"/>
  <c r="BM570" i="22"/>
  <c r="BL570" i="22"/>
  <c r="BK570" i="22"/>
  <c r="BF570" i="22"/>
  <c r="AZ570" i="22"/>
  <c r="AY570" i="22"/>
  <c r="AX570" i="22"/>
  <c r="AW570" i="22"/>
  <c r="AV570" i="22"/>
  <c r="BH570" i="22"/>
  <c r="BP569" i="22"/>
  <c r="BO569" i="22"/>
  <c r="BN569" i="22"/>
  <c r="BM569" i="22"/>
  <c r="BL569" i="22"/>
  <c r="BK569" i="22"/>
  <c r="BF569" i="22"/>
  <c r="AZ569" i="22"/>
  <c r="AY569" i="22"/>
  <c r="AX569" i="22"/>
  <c r="AW569" i="22"/>
  <c r="AV569" i="22"/>
  <c r="BH569" i="22"/>
  <c r="BP568" i="22"/>
  <c r="BO568" i="22"/>
  <c r="BN568" i="22"/>
  <c r="BM568" i="22"/>
  <c r="BL568" i="22"/>
  <c r="BK568" i="22"/>
  <c r="BF568" i="22"/>
  <c r="AZ568" i="22"/>
  <c r="AY568" i="22"/>
  <c r="AX568" i="22"/>
  <c r="AW568" i="22"/>
  <c r="AV568" i="22"/>
  <c r="BP567" i="22"/>
  <c r="BO567" i="22"/>
  <c r="BN567" i="22"/>
  <c r="BM567" i="22"/>
  <c r="BL567" i="22"/>
  <c r="BK567" i="22"/>
  <c r="BF567" i="22"/>
  <c r="AZ567" i="22"/>
  <c r="AY567" i="22"/>
  <c r="AX567" i="22"/>
  <c r="AW567" i="22"/>
  <c r="AV567" i="22"/>
  <c r="BP566" i="22"/>
  <c r="BO566" i="22"/>
  <c r="BN566" i="22"/>
  <c r="BM566" i="22"/>
  <c r="BL566" i="22"/>
  <c r="BK566" i="22"/>
  <c r="BF566" i="22"/>
  <c r="AZ566" i="22"/>
  <c r="AY566" i="22"/>
  <c r="AX566" i="22"/>
  <c r="AW566" i="22"/>
  <c r="AV566" i="22"/>
  <c r="BP565" i="22"/>
  <c r="BO565" i="22"/>
  <c r="BN565" i="22"/>
  <c r="BM565" i="22"/>
  <c r="BL565" i="22"/>
  <c r="BK565" i="22"/>
  <c r="BF565" i="22"/>
  <c r="AZ565" i="22"/>
  <c r="AY565" i="22"/>
  <c r="AX565" i="22"/>
  <c r="AW565" i="22"/>
  <c r="AV565" i="22"/>
  <c r="BH565" i="22"/>
  <c r="BP564" i="22"/>
  <c r="BO564" i="22"/>
  <c r="BN564" i="22"/>
  <c r="BM564" i="22"/>
  <c r="BL564" i="22"/>
  <c r="BK564" i="22"/>
  <c r="BF564" i="22"/>
  <c r="AZ564" i="22"/>
  <c r="AY564" i="22"/>
  <c r="AX564" i="22"/>
  <c r="AW564" i="22"/>
  <c r="AV564" i="22"/>
  <c r="BP563" i="22"/>
  <c r="BO563" i="22"/>
  <c r="BN563" i="22"/>
  <c r="BM563" i="22"/>
  <c r="BL563" i="22"/>
  <c r="BK563" i="22"/>
  <c r="BF563" i="22"/>
  <c r="AZ563" i="22"/>
  <c r="AY563" i="22"/>
  <c r="AX563" i="22"/>
  <c r="AW563" i="22"/>
  <c r="AV563" i="22"/>
  <c r="BH563" i="22"/>
  <c r="BP562" i="22"/>
  <c r="BO562" i="22"/>
  <c r="BN562" i="22"/>
  <c r="BM562" i="22"/>
  <c r="BL562" i="22"/>
  <c r="BK562" i="22"/>
  <c r="BF562" i="22"/>
  <c r="AZ562" i="22"/>
  <c r="AY562" i="22"/>
  <c r="AX562" i="22"/>
  <c r="AW562" i="22"/>
  <c r="AV562" i="22"/>
  <c r="BH562" i="22"/>
  <c r="BP561" i="22"/>
  <c r="BO561" i="22"/>
  <c r="BN561" i="22"/>
  <c r="BM561" i="22"/>
  <c r="BL561" i="22"/>
  <c r="BK561" i="22"/>
  <c r="BF561" i="22"/>
  <c r="AZ561" i="22"/>
  <c r="AY561" i="22"/>
  <c r="AX561" i="22"/>
  <c r="AW561" i="22"/>
  <c r="AV561" i="22"/>
  <c r="BH561" i="22"/>
  <c r="BP560" i="22"/>
  <c r="BO560" i="22"/>
  <c r="BN560" i="22"/>
  <c r="BM560" i="22"/>
  <c r="BL560" i="22"/>
  <c r="BK560" i="22"/>
  <c r="BF560" i="22"/>
  <c r="AZ560" i="22"/>
  <c r="AY560" i="22"/>
  <c r="AX560" i="22"/>
  <c r="AW560" i="22"/>
  <c r="AV560" i="22"/>
  <c r="BP559" i="22"/>
  <c r="BO559" i="22"/>
  <c r="BN559" i="22"/>
  <c r="BM559" i="22"/>
  <c r="BL559" i="22"/>
  <c r="BK559" i="22"/>
  <c r="BF559" i="22"/>
  <c r="AZ559" i="22"/>
  <c r="AY559" i="22"/>
  <c r="AX559" i="22"/>
  <c r="AW559" i="22"/>
  <c r="AV559" i="22"/>
  <c r="BP558" i="22"/>
  <c r="BO558" i="22"/>
  <c r="BN558" i="22"/>
  <c r="BM558" i="22"/>
  <c r="BL558" i="22"/>
  <c r="BK558" i="22"/>
  <c r="BF558" i="22"/>
  <c r="AZ558" i="22"/>
  <c r="AY558" i="22"/>
  <c r="AX558" i="22"/>
  <c r="AW558" i="22"/>
  <c r="AV558" i="22"/>
  <c r="BH558" i="22"/>
  <c r="BP557" i="22"/>
  <c r="BO557" i="22"/>
  <c r="BN557" i="22"/>
  <c r="BM557" i="22"/>
  <c r="BL557" i="22"/>
  <c r="BK557" i="22"/>
  <c r="BF557" i="22"/>
  <c r="AZ557" i="22"/>
  <c r="AY557" i="22"/>
  <c r="AX557" i="22"/>
  <c r="AW557" i="22"/>
  <c r="AV557" i="22"/>
  <c r="BP556" i="22"/>
  <c r="BO556" i="22"/>
  <c r="BN556" i="22"/>
  <c r="BM556" i="22"/>
  <c r="BL556" i="22"/>
  <c r="BK556" i="22"/>
  <c r="BF556" i="22"/>
  <c r="AZ556" i="22"/>
  <c r="AY556" i="22"/>
  <c r="AX556" i="22"/>
  <c r="AW556" i="22"/>
  <c r="AV556" i="22"/>
  <c r="BH556" i="22"/>
  <c r="BP555" i="22"/>
  <c r="BO555" i="22"/>
  <c r="BN555" i="22"/>
  <c r="BM555" i="22"/>
  <c r="BL555" i="22"/>
  <c r="BK555" i="22"/>
  <c r="BF555" i="22"/>
  <c r="AZ555" i="22"/>
  <c r="AY555" i="22"/>
  <c r="AX555" i="22"/>
  <c r="AW555" i="22"/>
  <c r="AV555" i="22"/>
  <c r="BH555" i="22"/>
  <c r="BP554" i="22"/>
  <c r="BO554" i="22"/>
  <c r="BN554" i="22"/>
  <c r="BM554" i="22"/>
  <c r="BL554" i="22"/>
  <c r="BK554" i="22"/>
  <c r="BF554" i="22"/>
  <c r="AZ554" i="22"/>
  <c r="AY554" i="22"/>
  <c r="AX554" i="22"/>
  <c r="AW554" i="22"/>
  <c r="AV554" i="22"/>
  <c r="BH554" i="22"/>
  <c r="BP553" i="22"/>
  <c r="BO553" i="22"/>
  <c r="BN553" i="22"/>
  <c r="BM553" i="22"/>
  <c r="BL553" i="22"/>
  <c r="BK553" i="22"/>
  <c r="BF553" i="22"/>
  <c r="AZ553" i="22"/>
  <c r="AY553" i="22"/>
  <c r="AX553" i="22"/>
  <c r="AW553" i="22"/>
  <c r="AV553" i="22"/>
  <c r="BH553" i="22"/>
  <c r="BP552" i="22"/>
  <c r="BO552" i="22"/>
  <c r="BN552" i="22"/>
  <c r="BM552" i="22"/>
  <c r="BL552" i="22"/>
  <c r="BK552" i="22"/>
  <c r="BF552" i="22"/>
  <c r="AZ552" i="22"/>
  <c r="AY552" i="22"/>
  <c r="AX552" i="22"/>
  <c r="AW552" i="22"/>
  <c r="AV552" i="22"/>
  <c r="BH552" i="22"/>
  <c r="BP551" i="22"/>
  <c r="BO551" i="22"/>
  <c r="BN551" i="22"/>
  <c r="BM551" i="22"/>
  <c r="BL551" i="22"/>
  <c r="BK551" i="22"/>
  <c r="BF551" i="22"/>
  <c r="AZ551" i="22"/>
  <c r="AY551" i="22"/>
  <c r="AX551" i="22"/>
  <c r="AW551" i="22"/>
  <c r="AV551" i="22"/>
  <c r="BH551" i="22"/>
  <c r="BP550" i="22"/>
  <c r="BO550" i="22"/>
  <c r="BN550" i="22"/>
  <c r="BM550" i="22"/>
  <c r="BL550" i="22"/>
  <c r="BK550" i="22"/>
  <c r="BF550" i="22"/>
  <c r="AZ550" i="22"/>
  <c r="AY550" i="22"/>
  <c r="AX550" i="22"/>
  <c r="AW550" i="22"/>
  <c r="AV550" i="22"/>
  <c r="BH550" i="22"/>
  <c r="BP549" i="22"/>
  <c r="BO549" i="22"/>
  <c r="BN549" i="22"/>
  <c r="BM549" i="22"/>
  <c r="BL549" i="22"/>
  <c r="BK549" i="22"/>
  <c r="BF549" i="22"/>
  <c r="AZ549" i="22"/>
  <c r="AY549" i="22"/>
  <c r="AX549" i="22"/>
  <c r="AW549" i="22"/>
  <c r="AV549" i="22"/>
  <c r="BH549" i="22"/>
  <c r="BP548" i="22"/>
  <c r="BO548" i="22"/>
  <c r="BN548" i="22"/>
  <c r="BM548" i="22"/>
  <c r="BL548" i="22"/>
  <c r="BK548" i="22"/>
  <c r="BF548" i="22"/>
  <c r="AZ548" i="22"/>
  <c r="AY548" i="22"/>
  <c r="AX548" i="22"/>
  <c r="AW548" i="22"/>
  <c r="AV548" i="22"/>
  <c r="BP547" i="22"/>
  <c r="BO547" i="22"/>
  <c r="BN547" i="22"/>
  <c r="BM547" i="22"/>
  <c r="BL547" i="22"/>
  <c r="BK547" i="22"/>
  <c r="BF547" i="22"/>
  <c r="AZ547" i="22"/>
  <c r="AY547" i="22"/>
  <c r="AX547" i="22"/>
  <c r="AW547" i="22"/>
  <c r="AV547" i="22"/>
  <c r="BH547" i="22"/>
  <c r="BP546" i="22"/>
  <c r="BO546" i="22"/>
  <c r="BN546" i="22"/>
  <c r="BM546" i="22"/>
  <c r="BL546" i="22"/>
  <c r="BK546" i="22"/>
  <c r="BF546" i="22"/>
  <c r="AZ546" i="22"/>
  <c r="AY546" i="22"/>
  <c r="AX546" i="22"/>
  <c r="AW546" i="22"/>
  <c r="AV546" i="22"/>
  <c r="BH546" i="22"/>
  <c r="BP545" i="22"/>
  <c r="BO545" i="22"/>
  <c r="BN545" i="22"/>
  <c r="BM545" i="22"/>
  <c r="BL545" i="22"/>
  <c r="BK545" i="22"/>
  <c r="BF545" i="22"/>
  <c r="AZ545" i="22"/>
  <c r="AY545" i="22"/>
  <c r="AX545" i="22"/>
  <c r="AW545" i="22"/>
  <c r="AV545" i="22"/>
  <c r="BH545" i="22"/>
  <c r="BP544" i="22"/>
  <c r="BO544" i="22"/>
  <c r="BN544" i="22"/>
  <c r="BM544" i="22"/>
  <c r="BL544" i="22"/>
  <c r="BK544" i="22"/>
  <c r="BF544" i="22"/>
  <c r="AZ544" i="22"/>
  <c r="AY544" i="22"/>
  <c r="AX544" i="22"/>
  <c r="AW544" i="22"/>
  <c r="AV544" i="22"/>
  <c r="BP543" i="22"/>
  <c r="BO543" i="22"/>
  <c r="BN543" i="22"/>
  <c r="BM543" i="22"/>
  <c r="BL543" i="22"/>
  <c r="BK543" i="22"/>
  <c r="BF543" i="22"/>
  <c r="AZ543" i="22"/>
  <c r="AY543" i="22"/>
  <c r="AX543" i="22"/>
  <c r="AW543" i="22"/>
  <c r="AV543" i="22"/>
  <c r="BP542" i="22"/>
  <c r="BO542" i="22"/>
  <c r="BN542" i="22"/>
  <c r="BM542" i="22"/>
  <c r="BL542" i="22"/>
  <c r="BK542" i="22"/>
  <c r="BF542" i="22"/>
  <c r="AZ542" i="22"/>
  <c r="AY542" i="22"/>
  <c r="AX542" i="22"/>
  <c r="AW542" i="22"/>
  <c r="AV542" i="22"/>
  <c r="BH542" i="22"/>
  <c r="BP541" i="22"/>
  <c r="BO541" i="22"/>
  <c r="BN541" i="22"/>
  <c r="BM541" i="22"/>
  <c r="BL541" i="22"/>
  <c r="BK541" i="22"/>
  <c r="BF541" i="22"/>
  <c r="AZ541" i="22"/>
  <c r="AY541" i="22"/>
  <c r="AX541" i="22"/>
  <c r="AW541" i="22"/>
  <c r="AV541" i="22"/>
  <c r="BH541" i="22"/>
  <c r="BP540" i="22"/>
  <c r="BO540" i="22"/>
  <c r="BN540" i="22"/>
  <c r="BM540" i="22"/>
  <c r="BL540" i="22"/>
  <c r="BK540" i="22"/>
  <c r="BF540" i="22"/>
  <c r="AZ540" i="22"/>
  <c r="AY540" i="22"/>
  <c r="AX540" i="22"/>
  <c r="AW540" i="22"/>
  <c r="AV540" i="22"/>
  <c r="BH540" i="22"/>
  <c r="BP539" i="22"/>
  <c r="BO539" i="22"/>
  <c r="BN539" i="22"/>
  <c r="BM539" i="22"/>
  <c r="BL539" i="22"/>
  <c r="BK539" i="22"/>
  <c r="BF539" i="22"/>
  <c r="AZ539" i="22"/>
  <c r="AY539" i="22"/>
  <c r="AX539" i="22"/>
  <c r="AW539" i="22"/>
  <c r="AV539" i="22"/>
  <c r="BP538" i="22"/>
  <c r="BO538" i="22"/>
  <c r="BN538" i="22"/>
  <c r="BM538" i="22"/>
  <c r="BL538" i="22"/>
  <c r="BK538" i="22"/>
  <c r="BF538" i="22"/>
  <c r="AZ538" i="22"/>
  <c r="AY538" i="22"/>
  <c r="AX538" i="22"/>
  <c r="AW538" i="22"/>
  <c r="AV538" i="22"/>
  <c r="BP537" i="22"/>
  <c r="BO537" i="22"/>
  <c r="BN537" i="22"/>
  <c r="BM537" i="22"/>
  <c r="BL537" i="22"/>
  <c r="BK537" i="22"/>
  <c r="BF537" i="22"/>
  <c r="AZ537" i="22"/>
  <c r="AY537" i="22"/>
  <c r="AX537" i="22"/>
  <c r="AW537" i="22"/>
  <c r="AV537" i="22"/>
  <c r="BP536" i="22"/>
  <c r="BO536" i="22"/>
  <c r="BN536" i="22"/>
  <c r="BM536" i="22"/>
  <c r="BL536" i="22"/>
  <c r="BK536" i="22"/>
  <c r="BF536" i="22"/>
  <c r="AZ536" i="22"/>
  <c r="AY536" i="22"/>
  <c r="AX536" i="22"/>
  <c r="AW536" i="22"/>
  <c r="AV536" i="22"/>
  <c r="BP535" i="22"/>
  <c r="BO535" i="22"/>
  <c r="BN535" i="22"/>
  <c r="BM535" i="22"/>
  <c r="BL535" i="22"/>
  <c r="BK535" i="22"/>
  <c r="BF535" i="22"/>
  <c r="AZ535" i="22"/>
  <c r="AY535" i="22"/>
  <c r="AX535" i="22"/>
  <c r="AW535" i="22"/>
  <c r="AV535" i="22"/>
  <c r="BP534" i="22"/>
  <c r="BO534" i="22"/>
  <c r="BN534" i="22"/>
  <c r="BM534" i="22"/>
  <c r="BL534" i="22"/>
  <c r="BK534" i="22"/>
  <c r="BF534" i="22"/>
  <c r="AZ534" i="22"/>
  <c r="AY534" i="22"/>
  <c r="AX534" i="22"/>
  <c r="AW534" i="22"/>
  <c r="AV534" i="22"/>
  <c r="BP533" i="22"/>
  <c r="BO533" i="22"/>
  <c r="BN533" i="22"/>
  <c r="BM533" i="22"/>
  <c r="BL533" i="22"/>
  <c r="BK533" i="22"/>
  <c r="BF533" i="22"/>
  <c r="AZ533" i="22"/>
  <c r="AY533" i="22"/>
  <c r="AX533" i="22"/>
  <c r="AW533" i="22"/>
  <c r="AV533" i="22"/>
  <c r="BP532" i="22"/>
  <c r="BO532" i="22"/>
  <c r="BN532" i="22"/>
  <c r="BM532" i="22"/>
  <c r="BL532" i="22"/>
  <c r="BK532" i="22"/>
  <c r="BF532" i="22"/>
  <c r="AZ532" i="22"/>
  <c r="AY532" i="22"/>
  <c r="AX532" i="22"/>
  <c r="AW532" i="22"/>
  <c r="AV532" i="22"/>
  <c r="BP531" i="22"/>
  <c r="BO531" i="22"/>
  <c r="BN531" i="22"/>
  <c r="BM531" i="22"/>
  <c r="BL531" i="22"/>
  <c r="BK531" i="22"/>
  <c r="BF531" i="22"/>
  <c r="AZ531" i="22"/>
  <c r="AY531" i="22"/>
  <c r="AX531" i="22"/>
  <c r="AW531" i="22"/>
  <c r="AV531" i="22"/>
  <c r="BP530" i="22"/>
  <c r="BO530" i="22"/>
  <c r="BN530" i="22"/>
  <c r="BM530" i="22"/>
  <c r="BL530" i="22"/>
  <c r="BK530" i="22"/>
  <c r="BF530" i="22"/>
  <c r="AZ530" i="22"/>
  <c r="AY530" i="22"/>
  <c r="AX530" i="22"/>
  <c r="AW530" i="22"/>
  <c r="AV530" i="22"/>
  <c r="BP529" i="22"/>
  <c r="BO529" i="22"/>
  <c r="BN529" i="22"/>
  <c r="BM529" i="22"/>
  <c r="BL529" i="22"/>
  <c r="BK529" i="22"/>
  <c r="BF529" i="22"/>
  <c r="AZ529" i="22"/>
  <c r="AY529" i="22"/>
  <c r="AX529" i="22"/>
  <c r="AW529" i="22"/>
  <c r="AV529" i="22"/>
  <c r="BP528" i="22"/>
  <c r="BO528" i="22"/>
  <c r="BN528" i="22"/>
  <c r="BM528" i="22"/>
  <c r="BL528" i="22"/>
  <c r="BK528" i="22"/>
  <c r="BF528" i="22"/>
  <c r="AZ528" i="22"/>
  <c r="AY528" i="22"/>
  <c r="AX528" i="22"/>
  <c r="AW528" i="22"/>
  <c r="AV528" i="22"/>
  <c r="BP527" i="22"/>
  <c r="BO527" i="22"/>
  <c r="BN527" i="22"/>
  <c r="BM527" i="22"/>
  <c r="BL527" i="22"/>
  <c r="BK527" i="22"/>
  <c r="BF527" i="22"/>
  <c r="AZ527" i="22"/>
  <c r="AY527" i="22"/>
  <c r="AX527" i="22"/>
  <c r="AW527" i="22"/>
  <c r="AV527" i="22"/>
  <c r="BP526" i="22"/>
  <c r="BO526" i="22"/>
  <c r="BN526" i="22"/>
  <c r="BM526" i="22"/>
  <c r="BL526" i="22"/>
  <c r="BK526" i="22"/>
  <c r="BF526" i="22"/>
  <c r="AZ526" i="22"/>
  <c r="AY526" i="22"/>
  <c r="AX526" i="22"/>
  <c r="AW526" i="22"/>
  <c r="AV526" i="22"/>
  <c r="BP525" i="22"/>
  <c r="BO525" i="22"/>
  <c r="BN525" i="22"/>
  <c r="BM525" i="22"/>
  <c r="BL525" i="22"/>
  <c r="BK525" i="22"/>
  <c r="BF525" i="22"/>
  <c r="AZ525" i="22"/>
  <c r="AY525" i="22"/>
  <c r="AX525" i="22"/>
  <c r="AW525" i="22"/>
  <c r="AV525" i="22"/>
  <c r="BP524" i="22"/>
  <c r="BO524" i="22"/>
  <c r="BN524" i="22"/>
  <c r="BM524" i="22"/>
  <c r="BL524" i="22"/>
  <c r="BK524" i="22"/>
  <c r="BF524" i="22"/>
  <c r="AZ524" i="22"/>
  <c r="AY524" i="22"/>
  <c r="AX524" i="22"/>
  <c r="AW524" i="22"/>
  <c r="AV524" i="22"/>
  <c r="BP523" i="22"/>
  <c r="BO523" i="22"/>
  <c r="BN523" i="22"/>
  <c r="BM523" i="22"/>
  <c r="BL523" i="22"/>
  <c r="BK523" i="22"/>
  <c r="BF523" i="22"/>
  <c r="AZ523" i="22"/>
  <c r="AY523" i="22"/>
  <c r="AX523" i="22"/>
  <c r="AW523" i="22"/>
  <c r="AV523" i="22"/>
  <c r="BP522" i="22"/>
  <c r="BO522" i="22"/>
  <c r="BN522" i="22"/>
  <c r="BM522" i="22"/>
  <c r="BL522" i="22"/>
  <c r="BK522" i="22"/>
  <c r="BF522" i="22"/>
  <c r="AZ522" i="22"/>
  <c r="AY522" i="22"/>
  <c r="AX522" i="22"/>
  <c r="AW522" i="22"/>
  <c r="AV522" i="22"/>
  <c r="BP521" i="22"/>
  <c r="BO521" i="22"/>
  <c r="BN521" i="22"/>
  <c r="BM521" i="22"/>
  <c r="BL521" i="22"/>
  <c r="BK521" i="22"/>
  <c r="BF521" i="22"/>
  <c r="AZ521" i="22"/>
  <c r="AY521" i="22"/>
  <c r="AX521" i="22"/>
  <c r="AW521" i="22"/>
  <c r="AV521" i="22"/>
  <c r="BP520" i="22"/>
  <c r="BO520" i="22"/>
  <c r="BN520" i="22"/>
  <c r="BM520" i="22"/>
  <c r="BL520" i="22"/>
  <c r="BK520" i="22"/>
  <c r="BF520" i="22"/>
  <c r="AZ520" i="22"/>
  <c r="AY520" i="22"/>
  <c r="AX520" i="22"/>
  <c r="AW520" i="22"/>
  <c r="AV520" i="22"/>
  <c r="BP519" i="22"/>
  <c r="BO519" i="22"/>
  <c r="BN519" i="22"/>
  <c r="BM519" i="22"/>
  <c r="BL519" i="22"/>
  <c r="BK519" i="22"/>
  <c r="BF519" i="22"/>
  <c r="AZ519" i="22"/>
  <c r="AY519" i="22"/>
  <c r="AX519" i="22"/>
  <c r="AW519" i="22"/>
  <c r="AV519" i="22"/>
  <c r="BP518" i="22"/>
  <c r="BO518" i="22"/>
  <c r="BN518" i="22"/>
  <c r="BM518" i="22"/>
  <c r="BL518" i="22"/>
  <c r="BK518" i="22"/>
  <c r="BF518" i="22"/>
  <c r="AZ518" i="22"/>
  <c r="AY518" i="22"/>
  <c r="AX518" i="22"/>
  <c r="AW518" i="22"/>
  <c r="AV518" i="22"/>
  <c r="BP517" i="22"/>
  <c r="BO517" i="22"/>
  <c r="BN517" i="22"/>
  <c r="BM517" i="22"/>
  <c r="BL517" i="22"/>
  <c r="BK517" i="22"/>
  <c r="BF517" i="22"/>
  <c r="AZ517" i="22"/>
  <c r="AY517" i="22"/>
  <c r="AX517" i="22"/>
  <c r="AW517" i="22"/>
  <c r="AV517" i="22"/>
  <c r="BP516" i="22"/>
  <c r="BO516" i="22"/>
  <c r="BN516" i="22"/>
  <c r="BM516" i="22"/>
  <c r="BL516" i="22"/>
  <c r="BK516" i="22"/>
  <c r="BF516" i="22"/>
  <c r="AZ516" i="22"/>
  <c r="AY516" i="22"/>
  <c r="AX516" i="22"/>
  <c r="AW516" i="22"/>
  <c r="AV516" i="22"/>
  <c r="BP515" i="22"/>
  <c r="BO515" i="22"/>
  <c r="BN515" i="22"/>
  <c r="BM515" i="22"/>
  <c r="BL515" i="22"/>
  <c r="BK515" i="22"/>
  <c r="BF515" i="22"/>
  <c r="AZ515" i="22"/>
  <c r="AY515" i="22"/>
  <c r="AX515" i="22"/>
  <c r="AW515" i="22"/>
  <c r="AV515" i="22"/>
  <c r="BP514" i="22"/>
  <c r="BO514" i="22"/>
  <c r="BN514" i="22"/>
  <c r="BM514" i="22"/>
  <c r="BL514" i="22"/>
  <c r="BK514" i="22"/>
  <c r="BF514" i="22"/>
  <c r="AZ514" i="22"/>
  <c r="AY514" i="22"/>
  <c r="AX514" i="22"/>
  <c r="AW514" i="22"/>
  <c r="AV514" i="22"/>
  <c r="BP513" i="22"/>
  <c r="BO513" i="22"/>
  <c r="BN513" i="22"/>
  <c r="BM513" i="22"/>
  <c r="BL513" i="22"/>
  <c r="BK513" i="22"/>
  <c r="BF513" i="22"/>
  <c r="AZ513" i="22"/>
  <c r="AY513" i="22"/>
  <c r="AX513" i="22"/>
  <c r="AW513" i="22"/>
  <c r="AV513" i="22"/>
  <c r="BP512" i="22"/>
  <c r="BO512" i="22"/>
  <c r="BN512" i="22"/>
  <c r="BM512" i="22"/>
  <c r="BL512" i="22"/>
  <c r="BK512" i="22"/>
  <c r="BF512" i="22"/>
  <c r="AZ512" i="22"/>
  <c r="AY512" i="22"/>
  <c r="AX512" i="22"/>
  <c r="AW512" i="22"/>
  <c r="AV512" i="22"/>
  <c r="BP511" i="22"/>
  <c r="BO511" i="22"/>
  <c r="BN511" i="22"/>
  <c r="BM511" i="22"/>
  <c r="BL511" i="22"/>
  <c r="BK511" i="22"/>
  <c r="BF511" i="22"/>
  <c r="AZ511" i="22"/>
  <c r="AY511" i="22"/>
  <c r="AX511" i="22"/>
  <c r="AW511" i="22"/>
  <c r="AV511" i="22"/>
  <c r="BP510" i="22"/>
  <c r="BO510" i="22"/>
  <c r="BN510" i="22"/>
  <c r="BM510" i="22"/>
  <c r="BL510" i="22"/>
  <c r="BK510" i="22"/>
  <c r="BF510" i="22"/>
  <c r="AZ510" i="22"/>
  <c r="AY510" i="22"/>
  <c r="AX510" i="22"/>
  <c r="AW510" i="22"/>
  <c r="AV510" i="22"/>
  <c r="K510" i="22"/>
  <c r="L510" i="22" s="1"/>
  <c r="M510" i="22" s="1"/>
  <c r="BP509" i="22"/>
  <c r="BO509" i="22"/>
  <c r="BN509" i="22"/>
  <c r="BM509" i="22"/>
  <c r="BL509" i="22"/>
  <c r="BK509" i="22"/>
  <c r="BF509" i="22"/>
  <c r="AZ509" i="22"/>
  <c r="AY509" i="22"/>
  <c r="AX509" i="22"/>
  <c r="AW509" i="22"/>
  <c r="AV509" i="22"/>
  <c r="BH509" i="22"/>
  <c r="K509" i="22"/>
  <c r="M509" i="22" s="1"/>
  <c r="BP508" i="22"/>
  <c r="BO508" i="22"/>
  <c r="BN508" i="22"/>
  <c r="BM508" i="22"/>
  <c r="BL508" i="22"/>
  <c r="BK508" i="22"/>
  <c r="BF508" i="22"/>
  <c r="AZ508" i="22"/>
  <c r="AY508" i="22"/>
  <c r="AX508" i="22"/>
  <c r="AW508" i="22"/>
  <c r="AV508" i="22"/>
  <c r="M508" i="22"/>
  <c r="BP507" i="22"/>
  <c r="BO507" i="22"/>
  <c r="BN507" i="22"/>
  <c r="BM507" i="22"/>
  <c r="BL507" i="22"/>
  <c r="BK507" i="22"/>
  <c r="BF507" i="22"/>
  <c r="AZ507" i="22"/>
  <c r="AY507" i="22"/>
  <c r="AX507" i="22"/>
  <c r="AW507" i="22"/>
  <c r="AV507" i="22"/>
  <c r="BA507" i="22" s="1"/>
  <c r="K507" i="22"/>
  <c r="M507" i="22" s="1"/>
  <c r="BP506" i="22"/>
  <c r="BO506" i="22"/>
  <c r="BN506" i="22"/>
  <c r="BM506" i="22"/>
  <c r="BL506" i="22"/>
  <c r="BK506" i="22"/>
  <c r="BF506" i="22"/>
  <c r="AZ506" i="22"/>
  <c r="AY506" i="22"/>
  <c r="AX506" i="22"/>
  <c r="AW506" i="22"/>
  <c r="AV506" i="22"/>
  <c r="BA506" i="22" s="1"/>
  <c r="K506" i="22"/>
  <c r="M506" i="22" s="1"/>
  <c r="Z506" i="22" s="1"/>
  <c r="BP505" i="22"/>
  <c r="BO505" i="22"/>
  <c r="BN505" i="22"/>
  <c r="BM505" i="22"/>
  <c r="BL505" i="22"/>
  <c r="BK505" i="22"/>
  <c r="BF505" i="22"/>
  <c r="AZ505" i="22"/>
  <c r="AY505" i="22"/>
  <c r="AX505" i="22"/>
  <c r="AW505" i="22"/>
  <c r="AV505" i="22"/>
  <c r="BA505" i="22" s="1"/>
  <c r="BH505" i="22"/>
  <c r="K505" i="22"/>
  <c r="M505" i="22" s="1"/>
  <c r="Z505" i="22" s="1"/>
  <c r="BP504" i="22"/>
  <c r="BO504" i="22"/>
  <c r="BN504" i="22"/>
  <c r="BM504" i="22"/>
  <c r="BL504" i="22"/>
  <c r="BK504" i="22"/>
  <c r="BF504" i="22"/>
  <c r="AZ504" i="22"/>
  <c r="AY504" i="22"/>
  <c r="AX504" i="22"/>
  <c r="AW504" i="22"/>
  <c r="AV504" i="22"/>
  <c r="BA504" i="22" s="1"/>
  <c r="K504" i="22"/>
  <c r="M504" i="22" s="1"/>
  <c r="Z504" i="22" s="1"/>
  <c r="BP503" i="22"/>
  <c r="BO503" i="22"/>
  <c r="BN503" i="22"/>
  <c r="BM503" i="22"/>
  <c r="BL503" i="22"/>
  <c r="BK503" i="22"/>
  <c r="BF503" i="22"/>
  <c r="AZ503" i="22"/>
  <c r="AY503" i="22"/>
  <c r="AX503" i="22"/>
  <c r="AW503" i="22"/>
  <c r="AV503" i="22"/>
  <c r="BA503" i="22" s="1"/>
  <c r="K503" i="22"/>
  <c r="M503" i="22" s="1"/>
  <c r="Z503" i="22" s="1"/>
  <c r="BP502" i="22"/>
  <c r="BO502" i="22"/>
  <c r="BN502" i="22"/>
  <c r="BM502" i="22"/>
  <c r="BL502" i="22"/>
  <c r="BK502" i="22"/>
  <c r="BF502" i="22"/>
  <c r="AZ502" i="22"/>
  <c r="AY502" i="22"/>
  <c r="AX502" i="22"/>
  <c r="AW502" i="22"/>
  <c r="AV502" i="22"/>
  <c r="BA502" i="22" s="1"/>
  <c r="K502" i="22"/>
  <c r="M502" i="22" s="1"/>
  <c r="Z502" i="22" s="1"/>
  <c r="BP501" i="22"/>
  <c r="BO501" i="22"/>
  <c r="BN501" i="22"/>
  <c r="BM501" i="22"/>
  <c r="BL501" i="22"/>
  <c r="BK501" i="22"/>
  <c r="BF501" i="22"/>
  <c r="AZ501" i="22"/>
  <c r="AY501" i="22"/>
  <c r="AX501" i="22"/>
  <c r="AW501" i="22"/>
  <c r="AV501" i="22"/>
  <c r="BA501" i="22" s="1"/>
  <c r="K501" i="22"/>
  <c r="M501" i="22" s="1"/>
  <c r="Z501" i="22" s="1"/>
  <c r="BP500" i="22"/>
  <c r="BO500" i="22"/>
  <c r="BN500" i="22"/>
  <c r="BM500" i="22"/>
  <c r="BL500" i="22"/>
  <c r="BK500" i="22"/>
  <c r="BF500" i="22"/>
  <c r="AZ500" i="22"/>
  <c r="AY500" i="22"/>
  <c r="AX500" i="22"/>
  <c r="AW500" i="22"/>
  <c r="AV500" i="22"/>
  <c r="BA500" i="22" s="1"/>
  <c r="BE500" i="22" s="1"/>
  <c r="K500" i="22"/>
  <c r="M500" i="22" s="1"/>
  <c r="BP499" i="22"/>
  <c r="BO499" i="22"/>
  <c r="BN499" i="22"/>
  <c r="BM499" i="22"/>
  <c r="BL499" i="22"/>
  <c r="BK499" i="22"/>
  <c r="BF499" i="22"/>
  <c r="AZ499" i="22"/>
  <c r="AY499" i="22"/>
  <c r="AX499" i="22"/>
  <c r="AW499" i="22"/>
  <c r="AV499" i="22"/>
  <c r="BA499" i="22" s="1"/>
  <c r="K499" i="22"/>
  <c r="M499" i="22" s="1"/>
  <c r="Z499" i="22" s="1"/>
  <c r="BP498" i="22"/>
  <c r="BO498" i="22"/>
  <c r="BN498" i="22"/>
  <c r="BM498" i="22"/>
  <c r="BL498" i="22"/>
  <c r="BK498" i="22"/>
  <c r="BF498" i="22"/>
  <c r="AZ498" i="22"/>
  <c r="AY498" i="22"/>
  <c r="AX498" i="22"/>
  <c r="AW498" i="22"/>
  <c r="AV498" i="22"/>
  <c r="BA498" i="22" s="1"/>
  <c r="K498" i="22"/>
  <c r="M498" i="22" s="1"/>
  <c r="Z498" i="22" s="1"/>
  <c r="BP497" i="22"/>
  <c r="BO497" i="22"/>
  <c r="BN497" i="22"/>
  <c r="BM497" i="22"/>
  <c r="BL497" i="22"/>
  <c r="BK497" i="22"/>
  <c r="BF497" i="22"/>
  <c r="AZ497" i="22"/>
  <c r="AY497" i="22"/>
  <c r="AX497" i="22"/>
  <c r="AW497" i="22"/>
  <c r="AV497" i="22"/>
  <c r="BA497" i="22" s="1"/>
  <c r="K497" i="22"/>
  <c r="M497" i="22" s="1"/>
  <c r="Z497" i="22" s="1"/>
  <c r="BP496" i="22"/>
  <c r="BO496" i="22"/>
  <c r="BN496" i="22"/>
  <c r="BM496" i="22"/>
  <c r="BL496" i="22"/>
  <c r="BK496" i="22"/>
  <c r="BF496" i="22"/>
  <c r="AZ496" i="22"/>
  <c r="AY496" i="22"/>
  <c r="AX496" i="22"/>
  <c r="AW496" i="22"/>
  <c r="AV496" i="22"/>
  <c r="BA496" i="22" s="1"/>
  <c r="BE496" i="22" s="1"/>
  <c r="BH496" i="22"/>
  <c r="K496" i="22"/>
  <c r="M496" i="22" s="1"/>
  <c r="Z496" i="22" s="1"/>
  <c r="BP495" i="22"/>
  <c r="BO495" i="22"/>
  <c r="BN495" i="22"/>
  <c r="BM495" i="22"/>
  <c r="BL495" i="22"/>
  <c r="BK495" i="22"/>
  <c r="BF495" i="22"/>
  <c r="AZ495" i="22"/>
  <c r="AY495" i="22"/>
  <c r="AX495" i="22"/>
  <c r="AW495" i="22"/>
  <c r="AV495" i="22"/>
  <c r="BA495" i="22" s="1"/>
  <c r="M495" i="22"/>
  <c r="Z495" i="22" s="1"/>
  <c r="BP494" i="22"/>
  <c r="BO494" i="22"/>
  <c r="BN494" i="22"/>
  <c r="BM494" i="22"/>
  <c r="BL494" i="22"/>
  <c r="BK494" i="22"/>
  <c r="BF494" i="22"/>
  <c r="AZ494" i="22"/>
  <c r="AY494" i="22"/>
  <c r="AX494" i="22"/>
  <c r="AW494" i="22"/>
  <c r="AV494" i="22"/>
  <c r="BA494" i="22" s="1"/>
  <c r="K494" i="22"/>
  <c r="M494" i="22" s="1"/>
  <c r="BP493" i="22"/>
  <c r="BO493" i="22"/>
  <c r="BN493" i="22"/>
  <c r="BM493" i="22"/>
  <c r="BL493" i="22"/>
  <c r="BK493" i="22"/>
  <c r="BF493" i="22"/>
  <c r="AZ493" i="22"/>
  <c r="AY493" i="22"/>
  <c r="AX493" i="22"/>
  <c r="AW493" i="22"/>
  <c r="AV493" i="22"/>
  <c r="BA493" i="22" s="1"/>
  <c r="K493" i="22"/>
  <c r="M493" i="22" s="1"/>
  <c r="Z493" i="22" s="1"/>
  <c r="BP492" i="22"/>
  <c r="BO492" i="22"/>
  <c r="BN492" i="22"/>
  <c r="BM492" i="22"/>
  <c r="BL492" i="22"/>
  <c r="BK492" i="22"/>
  <c r="BF492" i="22"/>
  <c r="AZ492" i="22"/>
  <c r="AY492" i="22"/>
  <c r="AX492" i="22"/>
  <c r="AW492" i="22"/>
  <c r="AV492" i="22"/>
  <c r="BA492" i="22" s="1"/>
  <c r="BE492" i="22" s="1"/>
  <c r="K492" i="22"/>
  <c r="M492" i="22" s="1"/>
  <c r="Z492" i="22" s="1"/>
  <c r="BP491" i="22"/>
  <c r="BO491" i="22"/>
  <c r="BN491" i="22"/>
  <c r="BM491" i="22"/>
  <c r="BL491" i="22"/>
  <c r="BK491" i="22"/>
  <c r="BF491" i="22"/>
  <c r="AZ491" i="22"/>
  <c r="AY491" i="22"/>
  <c r="AX491" i="22"/>
  <c r="AW491" i="22"/>
  <c r="AV491" i="22"/>
  <c r="BA491" i="22" s="1"/>
  <c r="BE491" i="22" s="1"/>
  <c r="BH491" i="22"/>
  <c r="K491" i="22"/>
  <c r="M491" i="22" s="1"/>
  <c r="Z491" i="22" s="1"/>
  <c r="BP490" i="22"/>
  <c r="BO490" i="22"/>
  <c r="BN490" i="22"/>
  <c r="BM490" i="22"/>
  <c r="BL490" i="22"/>
  <c r="BK490" i="22"/>
  <c r="BF490" i="22"/>
  <c r="AZ490" i="22"/>
  <c r="AY490" i="22"/>
  <c r="AX490" i="22"/>
  <c r="AW490" i="22"/>
  <c r="AV490" i="22"/>
  <c r="BA490" i="22" s="1"/>
  <c r="BH490" i="22"/>
  <c r="K490" i="22"/>
  <c r="M490" i="22" s="1"/>
  <c r="Z490" i="22" s="1"/>
  <c r="BP489" i="22"/>
  <c r="BO489" i="22"/>
  <c r="BN489" i="22"/>
  <c r="BM489" i="22"/>
  <c r="BL489" i="22"/>
  <c r="BK489" i="22"/>
  <c r="BF489" i="22"/>
  <c r="AZ489" i="22"/>
  <c r="AY489" i="22"/>
  <c r="AX489" i="22"/>
  <c r="AW489" i="22"/>
  <c r="AV489" i="22"/>
  <c r="BA489" i="22" s="1"/>
  <c r="BH489" i="22"/>
  <c r="K489" i="22"/>
  <c r="M489" i="22" s="1"/>
  <c r="Z489" i="22" s="1"/>
  <c r="BP488" i="22"/>
  <c r="BO488" i="22"/>
  <c r="BN488" i="22"/>
  <c r="BM488" i="22"/>
  <c r="BL488" i="22"/>
  <c r="BK488" i="22"/>
  <c r="BF488" i="22"/>
  <c r="AZ488" i="22"/>
  <c r="AY488" i="22"/>
  <c r="AX488" i="22"/>
  <c r="AW488" i="22"/>
  <c r="AV488" i="22"/>
  <c r="BA488" i="22" s="1"/>
  <c r="M488" i="22"/>
  <c r="BP487" i="22"/>
  <c r="BO487" i="22"/>
  <c r="BN487" i="22"/>
  <c r="BM487" i="22"/>
  <c r="BL487" i="22"/>
  <c r="BK487" i="22"/>
  <c r="BF487" i="22"/>
  <c r="AZ487" i="22"/>
  <c r="AY487" i="22"/>
  <c r="AX487" i="22"/>
  <c r="AW487" i="22"/>
  <c r="AV487" i="22"/>
  <c r="BA487" i="22" s="1"/>
  <c r="K487" i="22"/>
  <c r="M487" i="22" s="1"/>
  <c r="BP486" i="22"/>
  <c r="BO486" i="22"/>
  <c r="BN486" i="22"/>
  <c r="BM486" i="22"/>
  <c r="BL486" i="22"/>
  <c r="BK486" i="22"/>
  <c r="BF486" i="22"/>
  <c r="AZ486" i="22"/>
  <c r="AY486" i="22"/>
  <c r="AX486" i="22"/>
  <c r="AW486" i="22"/>
  <c r="AV486" i="22"/>
  <c r="BA486" i="22" s="1"/>
  <c r="K486" i="22"/>
  <c r="M486" i="22" s="1"/>
  <c r="BP485" i="22"/>
  <c r="BO485" i="22"/>
  <c r="BN485" i="22"/>
  <c r="BM485" i="22"/>
  <c r="BL485" i="22"/>
  <c r="BK485" i="22"/>
  <c r="BF485" i="22"/>
  <c r="AZ485" i="22"/>
  <c r="AY485" i="22"/>
  <c r="AX485" i="22"/>
  <c r="AW485" i="22"/>
  <c r="AV485" i="22"/>
  <c r="BA485" i="22" s="1"/>
  <c r="BE485" i="22" s="1"/>
  <c r="K485" i="22"/>
  <c r="M485" i="22" s="1"/>
  <c r="Z485" i="22" s="1"/>
  <c r="BP484" i="22"/>
  <c r="BO484" i="22"/>
  <c r="BN484" i="22"/>
  <c r="BM484" i="22"/>
  <c r="BL484" i="22"/>
  <c r="BK484" i="22"/>
  <c r="BF484" i="22"/>
  <c r="AZ484" i="22"/>
  <c r="AY484" i="22"/>
  <c r="AX484" i="22"/>
  <c r="AW484" i="22"/>
  <c r="AV484" i="22"/>
  <c r="BA484" i="22" s="1"/>
  <c r="K484" i="22"/>
  <c r="M484" i="22" s="1"/>
  <c r="BP483" i="22"/>
  <c r="BO483" i="22"/>
  <c r="BN483" i="22"/>
  <c r="BM483" i="22"/>
  <c r="BL483" i="22"/>
  <c r="BK483" i="22"/>
  <c r="BF483" i="22"/>
  <c r="AZ483" i="22"/>
  <c r="AY483" i="22"/>
  <c r="AX483" i="22"/>
  <c r="AW483" i="22"/>
  <c r="AV483" i="22"/>
  <c r="BA483" i="22" s="1"/>
  <c r="BE483" i="22" s="1"/>
  <c r="K483" i="22"/>
  <c r="M483" i="22" s="1"/>
  <c r="Z483" i="22" s="1"/>
  <c r="BP482" i="22"/>
  <c r="BO482" i="22"/>
  <c r="BN482" i="22"/>
  <c r="BM482" i="22"/>
  <c r="BL482" i="22"/>
  <c r="BK482" i="22"/>
  <c r="BF482" i="22"/>
  <c r="AZ482" i="22"/>
  <c r="AY482" i="22"/>
  <c r="AX482" i="22"/>
  <c r="AW482" i="22"/>
  <c r="AV482" i="22"/>
  <c r="BA482" i="22" s="1"/>
  <c r="BH482" i="22"/>
  <c r="K482" i="22"/>
  <c r="M482" i="22" s="1"/>
  <c r="Z482" i="22" s="1"/>
  <c r="BP481" i="22"/>
  <c r="BO481" i="22"/>
  <c r="BN481" i="22"/>
  <c r="BM481" i="22"/>
  <c r="BL481" i="22"/>
  <c r="BK481" i="22"/>
  <c r="BF481" i="22"/>
  <c r="AZ481" i="22"/>
  <c r="AY481" i="22"/>
  <c r="AX481" i="22"/>
  <c r="AW481" i="22"/>
  <c r="AV481" i="22"/>
  <c r="BA481" i="22" s="1"/>
  <c r="BE481" i="22" s="1"/>
  <c r="K481" i="22"/>
  <c r="M481" i="22" s="1"/>
  <c r="Z481" i="22" s="1"/>
  <c r="BP480" i="22"/>
  <c r="BO480" i="22"/>
  <c r="BN480" i="22"/>
  <c r="BM480" i="22"/>
  <c r="BL480" i="22"/>
  <c r="BK480" i="22"/>
  <c r="BF480" i="22"/>
  <c r="AZ480" i="22"/>
  <c r="AY480" i="22"/>
  <c r="AX480" i="22"/>
  <c r="AW480" i="22"/>
  <c r="AV480" i="22"/>
  <c r="BA480" i="22" s="1"/>
  <c r="BH480" i="22"/>
  <c r="K480" i="22"/>
  <c r="M480" i="22" s="1"/>
  <c r="BP479" i="22"/>
  <c r="BO479" i="22"/>
  <c r="BN479" i="22"/>
  <c r="BM479" i="22"/>
  <c r="BL479" i="22"/>
  <c r="BK479" i="22"/>
  <c r="BF479" i="22"/>
  <c r="AZ479" i="22"/>
  <c r="AY479" i="22"/>
  <c r="AX479" i="22"/>
  <c r="AW479" i="22"/>
  <c r="AV479" i="22"/>
  <c r="BA479" i="22" s="1"/>
  <c r="BH479" i="22"/>
  <c r="K479" i="22"/>
  <c r="M479" i="22" s="1"/>
  <c r="Z479" i="22" s="1"/>
  <c r="BP478" i="22"/>
  <c r="BO478" i="22"/>
  <c r="BN478" i="22"/>
  <c r="BM478" i="22"/>
  <c r="BL478" i="22"/>
  <c r="BK478" i="22"/>
  <c r="BF478" i="22"/>
  <c r="AZ478" i="22"/>
  <c r="AY478" i="22"/>
  <c r="AX478" i="22"/>
  <c r="AW478" i="22"/>
  <c r="AV478" i="22"/>
  <c r="BA478" i="22" s="1"/>
  <c r="BH478" i="22"/>
  <c r="K478" i="22"/>
  <c r="M478" i="22" s="1"/>
  <c r="BP477" i="22"/>
  <c r="BO477" i="22"/>
  <c r="BN477" i="22"/>
  <c r="BM477" i="22"/>
  <c r="BL477" i="22"/>
  <c r="BK477" i="22"/>
  <c r="BF477" i="22"/>
  <c r="AZ477" i="22"/>
  <c r="AY477" i="22"/>
  <c r="AX477" i="22"/>
  <c r="AW477" i="22"/>
  <c r="AV477" i="22"/>
  <c r="BA477" i="22" s="1"/>
  <c r="K477" i="22"/>
  <c r="M477" i="22" s="1"/>
  <c r="BP476" i="22"/>
  <c r="BO476" i="22"/>
  <c r="BN476" i="22"/>
  <c r="BM476" i="22"/>
  <c r="BL476" i="22"/>
  <c r="BK476" i="22"/>
  <c r="BF476" i="22"/>
  <c r="AZ476" i="22"/>
  <c r="AY476" i="22"/>
  <c r="AX476" i="22"/>
  <c r="AW476" i="22"/>
  <c r="AV476" i="22"/>
  <c r="BA476" i="22" s="1"/>
  <c r="BE476" i="22" s="1"/>
  <c r="BH476" i="22"/>
  <c r="K476" i="22"/>
  <c r="M476" i="22" s="1"/>
  <c r="Z476" i="22" s="1"/>
  <c r="BP475" i="22"/>
  <c r="BO475" i="22"/>
  <c r="BN475" i="22"/>
  <c r="BM475" i="22"/>
  <c r="BL475" i="22"/>
  <c r="BK475" i="22"/>
  <c r="BF475" i="22"/>
  <c r="AZ475" i="22"/>
  <c r="AY475" i="22"/>
  <c r="AX475" i="22"/>
  <c r="AW475" i="22"/>
  <c r="AV475" i="22"/>
  <c r="BA475" i="22" s="1"/>
  <c r="BH475" i="22"/>
  <c r="K475" i="22"/>
  <c r="M475" i="22" s="1"/>
  <c r="Z475" i="22" s="1"/>
  <c r="BP474" i="22"/>
  <c r="BO474" i="22"/>
  <c r="BN474" i="22"/>
  <c r="BM474" i="22"/>
  <c r="BL474" i="22"/>
  <c r="BK474" i="22"/>
  <c r="BF474" i="22"/>
  <c r="AZ474" i="22"/>
  <c r="AY474" i="22"/>
  <c r="AX474" i="22"/>
  <c r="AW474" i="22"/>
  <c r="AV474" i="22"/>
  <c r="BA474" i="22" s="1"/>
  <c r="K474" i="22"/>
  <c r="M474" i="22" s="1"/>
  <c r="Z474" i="22" s="1"/>
  <c r="BP473" i="22"/>
  <c r="BO473" i="22"/>
  <c r="BN473" i="22"/>
  <c r="BM473" i="22"/>
  <c r="BL473" i="22"/>
  <c r="BK473" i="22"/>
  <c r="BF473" i="22"/>
  <c r="AZ473" i="22"/>
  <c r="AY473" i="22"/>
  <c r="AX473" i="22"/>
  <c r="AW473" i="22"/>
  <c r="AV473" i="22"/>
  <c r="BA473" i="22" s="1"/>
  <c r="M473" i="22"/>
  <c r="BP472" i="22"/>
  <c r="BO472" i="22"/>
  <c r="BN472" i="22"/>
  <c r="BM472" i="22"/>
  <c r="BL472" i="22"/>
  <c r="BK472" i="22"/>
  <c r="BF472" i="22"/>
  <c r="AZ472" i="22"/>
  <c r="AY472" i="22"/>
  <c r="AX472" i="22"/>
  <c r="AW472" i="22"/>
  <c r="AV472" i="22"/>
  <c r="K472" i="22"/>
  <c r="M472" i="22" s="1"/>
  <c r="BP471" i="22"/>
  <c r="BO471" i="22"/>
  <c r="BN471" i="22"/>
  <c r="BM471" i="22"/>
  <c r="BL471" i="22"/>
  <c r="BK471" i="22"/>
  <c r="BF471" i="22"/>
  <c r="AZ471" i="22"/>
  <c r="AY471" i="22"/>
  <c r="AX471" i="22"/>
  <c r="AW471" i="22"/>
  <c r="AV471" i="22"/>
  <c r="K471" i="22"/>
  <c r="M471" i="22" s="1"/>
  <c r="BP470" i="22"/>
  <c r="BO470" i="22"/>
  <c r="BN470" i="22"/>
  <c r="BM470" i="22"/>
  <c r="BL470" i="22"/>
  <c r="BK470" i="22"/>
  <c r="BF470" i="22"/>
  <c r="AZ470" i="22"/>
  <c r="AY470" i="22"/>
  <c r="AX470" i="22"/>
  <c r="AW470" i="22"/>
  <c r="AV470" i="22"/>
  <c r="K470" i="22"/>
  <c r="M470" i="22" s="1"/>
  <c r="BP469" i="22"/>
  <c r="BO469" i="22"/>
  <c r="BN469" i="22"/>
  <c r="BM469" i="22"/>
  <c r="BL469" i="22"/>
  <c r="BK469" i="22"/>
  <c r="BF469" i="22"/>
  <c r="AZ469" i="22"/>
  <c r="AY469" i="22"/>
  <c r="AX469" i="22"/>
  <c r="AW469" i="22"/>
  <c r="AV469" i="22"/>
  <c r="K469" i="22"/>
  <c r="M469" i="22" s="1"/>
  <c r="BP468" i="22"/>
  <c r="BO468" i="22"/>
  <c r="BN468" i="22"/>
  <c r="BM468" i="22"/>
  <c r="BL468" i="22"/>
  <c r="BK468" i="22"/>
  <c r="BF468" i="22"/>
  <c r="AZ468" i="22"/>
  <c r="AY468" i="22"/>
  <c r="AX468" i="22"/>
  <c r="AW468" i="22"/>
  <c r="AV468" i="22"/>
  <c r="K468" i="22"/>
  <c r="M468" i="22" s="1"/>
  <c r="BP467" i="22"/>
  <c r="BO467" i="22"/>
  <c r="BN467" i="22"/>
  <c r="BM467" i="22"/>
  <c r="BL467" i="22"/>
  <c r="BK467" i="22"/>
  <c r="BF467" i="22"/>
  <c r="AZ467" i="22"/>
  <c r="AY467" i="22"/>
  <c r="AX467" i="22"/>
  <c r="AW467" i="22"/>
  <c r="AV467" i="22"/>
  <c r="BH467" i="22"/>
  <c r="K467" i="22"/>
  <c r="M467" i="22" s="1"/>
  <c r="BP466" i="22"/>
  <c r="BO466" i="22"/>
  <c r="BN466" i="22"/>
  <c r="BM466" i="22"/>
  <c r="BL466" i="22"/>
  <c r="BK466" i="22"/>
  <c r="BF466" i="22"/>
  <c r="AZ466" i="22"/>
  <c r="AY466" i="22"/>
  <c r="AX466" i="22"/>
  <c r="AW466" i="22"/>
  <c r="AV466" i="22"/>
  <c r="BH466" i="22"/>
  <c r="K466" i="22"/>
  <c r="M466" i="22" s="1"/>
  <c r="BP465" i="22"/>
  <c r="BO465" i="22"/>
  <c r="BN465" i="22"/>
  <c r="BM465" i="22"/>
  <c r="BL465" i="22"/>
  <c r="BK465" i="22"/>
  <c r="BF465" i="22"/>
  <c r="AZ465" i="22"/>
  <c r="AY465" i="22"/>
  <c r="AX465" i="22"/>
  <c r="AW465" i="22"/>
  <c r="AV465" i="22"/>
  <c r="K465" i="22"/>
  <c r="M465" i="22" s="1"/>
  <c r="BP464" i="22"/>
  <c r="BO464" i="22"/>
  <c r="BN464" i="22"/>
  <c r="BM464" i="22"/>
  <c r="BL464" i="22"/>
  <c r="BK464" i="22"/>
  <c r="BF464" i="22"/>
  <c r="AZ464" i="22"/>
  <c r="AY464" i="22"/>
  <c r="AX464" i="22"/>
  <c r="AW464" i="22"/>
  <c r="AV464" i="22"/>
  <c r="K464" i="22"/>
  <c r="M464" i="22" s="1"/>
  <c r="BP463" i="22"/>
  <c r="BO463" i="22"/>
  <c r="BN463" i="22"/>
  <c r="BM463" i="22"/>
  <c r="BL463" i="22"/>
  <c r="BK463" i="22"/>
  <c r="AZ463" i="22"/>
  <c r="AY463" i="22"/>
  <c r="AX463" i="22"/>
  <c r="AW463" i="22"/>
  <c r="AV463" i="22"/>
  <c r="BH463" i="22"/>
  <c r="K463" i="22"/>
  <c r="M463" i="22" s="1"/>
  <c r="BP462" i="22"/>
  <c r="BO462" i="22"/>
  <c r="BN462" i="22"/>
  <c r="BM462" i="22"/>
  <c r="BL462" i="22"/>
  <c r="BK462" i="22"/>
  <c r="AZ462" i="22"/>
  <c r="AY462" i="22"/>
  <c r="AX462" i="22"/>
  <c r="AW462" i="22"/>
  <c r="AV462" i="22"/>
  <c r="K462" i="22"/>
  <c r="M462" i="22" s="1"/>
  <c r="BP461" i="22"/>
  <c r="BO461" i="22"/>
  <c r="BN461" i="22"/>
  <c r="BM461" i="22"/>
  <c r="BL461" i="22"/>
  <c r="BK461" i="22"/>
  <c r="AZ461" i="22"/>
  <c r="AY461" i="22"/>
  <c r="AX461" i="22"/>
  <c r="AW461" i="22"/>
  <c r="AV461" i="22"/>
  <c r="BH461" i="22"/>
  <c r="K461" i="22"/>
  <c r="M461" i="22" s="1"/>
  <c r="BP459" i="22"/>
  <c r="BO459" i="22"/>
  <c r="BN459" i="22"/>
  <c r="BM459" i="22"/>
  <c r="BL459" i="22"/>
  <c r="BK459" i="22"/>
  <c r="BF459" i="22"/>
  <c r="AZ459" i="22"/>
  <c r="AY459" i="22"/>
  <c r="AX459" i="22"/>
  <c r="AW459" i="22"/>
  <c r="AV459" i="22"/>
  <c r="BH459" i="22"/>
  <c r="K459" i="22"/>
  <c r="M459" i="22" s="1"/>
  <c r="BP458" i="22"/>
  <c r="BO458" i="22"/>
  <c r="BN458" i="22"/>
  <c r="BM458" i="22"/>
  <c r="BL458" i="22"/>
  <c r="BK458" i="22"/>
  <c r="BF458" i="22"/>
  <c r="AZ458" i="22"/>
  <c r="AY458" i="22"/>
  <c r="AX458" i="22"/>
  <c r="AW458" i="22"/>
  <c r="AV458" i="22"/>
  <c r="BH458" i="22"/>
  <c r="K458" i="22"/>
  <c r="M458" i="22" s="1"/>
  <c r="BP457" i="22"/>
  <c r="BO457" i="22"/>
  <c r="BN457" i="22"/>
  <c r="BM457" i="22"/>
  <c r="BL457" i="22"/>
  <c r="BK457" i="22"/>
  <c r="BF457" i="22"/>
  <c r="AZ457" i="22"/>
  <c r="AY457" i="22"/>
  <c r="AX457" i="22"/>
  <c r="AW457" i="22"/>
  <c r="AV457" i="22"/>
  <c r="K457" i="22"/>
  <c r="M457" i="22" s="1"/>
  <c r="BP456" i="22"/>
  <c r="BO456" i="22"/>
  <c r="BN456" i="22"/>
  <c r="BM456" i="22"/>
  <c r="BL456" i="22"/>
  <c r="BK456" i="22"/>
  <c r="BF456" i="22"/>
  <c r="AZ456" i="22"/>
  <c r="AY456" i="22"/>
  <c r="AX456" i="22"/>
  <c r="AW456" i="22"/>
  <c r="AV456" i="22"/>
  <c r="K456" i="22"/>
  <c r="M456" i="22" s="1"/>
  <c r="BP455" i="22"/>
  <c r="BO455" i="22"/>
  <c r="BN455" i="22"/>
  <c r="BM455" i="22"/>
  <c r="BL455" i="22"/>
  <c r="BK455" i="22"/>
  <c r="BF455" i="22"/>
  <c r="AZ455" i="22"/>
  <c r="AY455" i="22"/>
  <c r="AX455" i="22"/>
  <c r="AW455" i="22"/>
  <c r="AV455" i="22"/>
  <c r="K455" i="22"/>
  <c r="M455" i="22" s="1"/>
  <c r="BP454" i="22"/>
  <c r="BO454" i="22"/>
  <c r="BN454" i="22"/>
  <c r="BM454" i="22"/>
  <c r="BL454" i="22"/>
  <c r="BK454" i="22"/>
  <c r="BF454" i="22"/>
  <c r="AZ454" i="22"/>
  <c r="AY454" i="22"/>
  <c r="AX454" i="22"/>
  <c r="AW454" i="22"/>
  <c r="AV454" i="22"/>
  <c r="K454" i="22"/>
  <c r="M454" i="22" s="1"/>
  <c r="BP453" i="22"/>
  <c r="BO453" i="22"/>
  <c r="BN453" i="22"/>
  <c r="BM453" i="22"/>
  <c r="BL453" i="22"/>
  <c r="BK453" i="22"/>
  <c r="BF453" i="22"/>
  <c r="AZ453" i="22"/>
  <c r="AY453" i="22"/>
  <c r="AX453" i="22"/>
  <c r="AW453" i="22"/>
  <c r="AV453" i="22"/>
  <c r="K453" i="22"/>
  <c r="M453" i="22" s="1"/>
  <c r="BP452" i="22"/>
  <c r="BO452" i="22"/>
  <c r="BN452" i="22"/>
  <c r="BM452" i="22"/>
  <c r="BL452" i="22"/>
  <c r="BK452" i="22"/>
  <c r="BF452" i="22"/>
  <c r="AZ452" i="22"/>
  <c r="AY452" i="22"/>
  <c r="AX452" i="22"/>
  <c r="AW452" i="22"/>
  <c r="AV452" i="22"/>
  <c r="K452" i="22"/>
  <c r="M452" i="22" s="1"/>
  <c r="BP451" i="22"/>
  <c r="BO451" i="22"/>
  <c r="BN451" i="22"/>
  <c r="BM451" i="22"/>
  <c r="BL451" i="22"/>
  <c r="BK451" i="22"/>
  <c r="BF451" i="22"/>
  <c r="AZ451" i="22"/>
  <c r="AY451" i="22"/>
  <c r="AX451" i="22"/>
  <c r="AW451" i="22"/>
  <c r="AV451" i="22"/>
  <c r="K451" i="22"/>
  <c r="M451" i="22" s="1"/>
  <c r="BP450" i="22"/>
  <c r="BO450" i="22"/>
  <c r="BN450" i="22"/>
  <c r="BM450" i="22"/>
  <c r="BL450" i="22"/>
  <c r="BK450" i="22"/>
  <c r="BF450" i="22"/>
  <c r="AZ450" i="22"/>
  <c r="AY450" i="22"/>
  <c r="AX450" i="22"/>
  <c r="AW450" i="22"/>
  <c r="AV450" i="22"/>
  <c r="K450" i="22"/>
  <c r="M450" i="22" s="1"/>
  <c r="BP449" i="22"/>
  <c r="BO449" i="22"/>
  <c r="BN449" i="22"/>
  <c r="BM449" i="22"/>
  <c r="BL449" i="22"/>
  <c r="BK449" i="22"/>
  <c r="BF449" i="22"/>
  <c r="AZ449" i="22"/>
  <c r="AY449" i="22"/>
  <c r="AX449" i="22"/>
  <c r="AW449" i="22"/>
  <c r="AV449" i="22"/>
  <c r="BH449" i="22"/>
  <c r="K449" i="22"/>
  <c r="M449" i="22" s="1"/>
  <c r="BP448" i="22"/>
  <c r="BO448" i="22"/>
  <c r="BN448" i="22"/>
  <c r="BM448" i="22"/>
  <c r="BL448" i="22"/>
  <c r="BK448" i="22"/>
  <c r="BF448" i="22"/>
  <c r="AZ448" i="22"/>
  <c r="AY448" i="22"/>
  <c r="AX448" i="22"/>
  <c r="AW448" i="22"/>
  <c r="AV448" i="22"/>
  <c r="K448" i="22"/>
  <c r="M448" i="22" s="1"/>
  <c r="BP447" i="22"/>
  <c r="BO447" i="22"/>
  <c r="BN447" i="22"/>
  <c r="BM447" i="22"/>
  <c r="BL447" i="22"/>
  <c r="BK447" i="22"/>
  <c r="BF447" i="22"/>
  <c r="AZ447" i="22"/>
  <c r="AY447" i="22"/>
  <c r="AX447" i="22"/>
  <c r="AW447" i="22"/>
  <c r="AV447" i="22"/>
  <c r="K447" i="22"/>
  <c r="M447" i="22" s="1"/>
  <c r="BP446" i="22"/>
  <c r="BO446" i="22"/>
  <c r="BN446" i="22"/>
  <c r="BM446" i="22"/>
  <c r="BL446" i="22"/>
  <c r="BK446" i="22"/>
  <c r="BF446" i="22"/>
  <c r="AZ446" i="22"/>
  <c r="AY446" i="22"/>
  <c r="AX446" i="22"/>
  <c r="AW446" i="22"/>
  <c r="AV446" i="22"/>
  <c r="BH446" i="22"/>
  <c r="K446" i="22"/>
  <c r="M446" i="22" s="1"/>
  <c r="BP445" i="22"/>
  <c r="BO445" i="22"/>
  <c r="BN445" i="22"/>
  <c r="BM445" i="22"/>
  <c r="BL445" i="22"/>
  <c r="BK445" i="22"/>
  <c r="BF445" i="22"/>
  <c r="AZ445" i="22"/>
  <c r="AY445" i="22"/>
  <c r="AX445" i="22"/>
  <c r="AW445" i="22"/>
  <c r="AV445" i="22"/>
  <c r="K445" i="22"/>
  <c r="M445" i="22" s="1"/>
  <c r="BP444" i="22"/>
  <c r="BO444" i="22"/>
  <c r="BN444" i="22"/>
  <c r="BM444" i="22"/>
  <c r="BL444" i="22"/>
  <c r="BK444" i="22"/>
  <c r="BF444" i="22"/>
  <c r="AZ444" i="22"/>
  <c r="AY444" i="22"/>
  <c r="AX444" i="22"/>
  <c r="AW444" i="22"/>
  <c r="AV444" i="22"/>
  <c r="K444" i="22"/>
  <c r="M444" i="22" s="1"/>
  <c r="BP443" i="22"/>
  <c r="BO443" i="22"/>
  <c r="BN443" i="22"/>
  <c r="BM443" i="22"/>
  <c r="BL443" i="22"/>
  <c r="BK443" i="22"/>
  <c r="BF443" i="22"/>
  <c r="AZ443" i="22"/>
  <c r="AY443" i="22"/>
  <c r="AX443" i="22"/>
  <c r="AW443" i="22"/>
  <c r="AV443" i="22"/>
  <c r="BH443" i="22"/>
  <c r="K443" i="22"/>
  <c r="M443" i="22" s="1"/>
  <c r="BP442" i="22"/>
  <c r="BO442" i="22"/>
  <c r="BN442" i="22"/>
  <c r="BM442" i="22"/>
  <c r="BL442" i="22"/>
  <c r="BK442" i="22"/>
  <c r="BF442" i="22"/>
  <c r="AZ442" i="22"/>
  <c r="AY442" i="22"/>
  <c r="AX442" i="22"/>
  <c r="AW442" i="22"/>
  <c r="AV442" i="22"/>
  <c r="K442" i="22"/>
  <c r="M442" i="22" s="1"/>
  <c r="BP441" i="22"/>
  <c r="BO441" i="22"/>
  <c r="BN441" i="22"/>
  <c r="BM441" i="22"/>
  <c r="BL441" i="22"/>
  <c r="BK441" i="22"/>
  <c r="BF441" i="22"/>
  <c r="AZ441" i="22"/>
  <c r="AY441" i="22"/>
  <c r="AX441" i="22"/>
  <c r="AW441" i="22"/>
  <c r="AV441" i="22"/>
  <c r="K441" i="22"/>
  <c r="M441" i="22" s="1"/>
  <c r="BP440" i="22"/>
  <c r="BO440" i="22"/>
  <c r="BN440" i="22"/>
  <c r="BM440" i="22"/>
  <c r="BL440" i="22"/>
  <c r="BK440" i="22"/>
  <c r="BF440" i="22"/>
  <c r="AZ440" i="22"/>
  <c r="AY440" i="22"/>
  <c r="AX440" i="22"/>
  <c r="AW440" i="22"/>
  <c r="AV440" i="22"/>
  <c r="K440" i="22"/>
  <c r="M440" i="22" s="1"/>
  <c r="BP439" i="22"/>
  <c r="BO439" i="22"/>
  <c r="BN439" i="22"/>
  <c r="BM439" i="22"/>
  <c r="BL439" i="22"/>
  <c r="BK439" i="22"/>
  <c r="BF439" i="22"/>
  <c r="AZ439" i="22"/>
  <c r="AY439" i="22"/>
  <c r="AX439" i="22"/>
  <c r="AW439" i="22"/>
  <c r="AV439" i="22"/>
  <c r="K439" i="22"/>
  <c r="M439" i="22" s="1"/>
  <c r="BP438" i="22"/>
  <c r="BO438" i="22"/>
  <c r="BN438" i="22"/>
  <c r="BM438" i="22"/>
  <c r="BL438" i="22"/>
  <c r="BK438" i="22"/>
  <c r="BF438" i="22"/>
  <c r="AZ438" i="22"/>
  <c r="AY438" i="22"/>
  <c r="AX438" i="22"/>
  <c r="AW438" i="22"/>
  <c r="AV438" i="22"/>
  <c r="K438" i="22"/>
  <c r="M438" i="22" s="1"/>
  <c r="BP437" i="22"/>
  <c r="BO437" i="22"/>
  <c r="BN437" i="22"/>
  <c r="BM437" i="22"/>
  <c r="BL437" i="22"/>
  <c r="BK437" i="22"/>
  <c r="BF437" i="22"/>
  <c r="AZ437" i="22"/>
  <c r="AY437" i="22"/>
  <c r="AX437" i="22"/>
  <c r="AW437" i="22"/>
  <c r="AV437" i="22"/>
  <c r="K437" i="22"/>
  <c r="M437" i="22" s="1"/>
  <c r="BP436" i="22"/>
  <c r="BO436" i="22"/>
  <c r="BN436" i="22"/>
  <c r="BM436" i="22"/>
  <c r="BL436" i="22"/>
  <c r="BK436" i="22"/>
  <c r="BF436" i="22"/>
  <c r="AZ436" i="22"/>
  <c r="AY436" i="22"/>
  <c r="AX436" i="22"/>
  <c r="AW436" i="22"/>
  <c r="AV436" i="22"/>
  <c r="K436" i="22"/>
  <c r="M436" i="22" s="1"/>
  <c r="BP435" i="22"/>
  <c r="BO435" i="22"/>
  <c r="BN435" i="22"/>
  <c r="BM435" i="22"/>
  <c r="BL435" i="22"/>
  <c r="BK435" i="22"/>
  <c r="BF435" i="22"/>
  <c r="AZ435" i="22"/>
  <c r="AY435" i="22"/>
  <c r="AX435" i="22"/>
  <c r="AW435" i="22"/>
  <c r="AV435" i="22"/>
  <c r="K435" i="22"/>
  <c r="M435" i="22" s="1"/>
  <c r="BP434" i="22"/>
  <c r="BO434" i="22"/>
  <c r="BN434" i="22"/>
  <c r="BM434" i="22"/>
  <c r="BL434" i="22"/>
  <c r="BK434" i="22"/>
  <c r="BF434" i="22"/>
  <c r="AZ434" i="22"/>
  <c r="AY434" i="22"/>
  <c r="AX434" i="22"/>
  <c r="AW434" i="22"/>
  <c r="AV434" i="22"/>
  <c r="K434" i="22"/>
  <c r="M434" i="22" s="1"/>
  <c r="BP433" i="22"/>
  <c r="BO433" i="22"/>
  <c r="BN433" i="22"/>
  <c r="BM433" i="22"/>
  <c r="BL433" i="22"/>
  <c r="BK433" i="22"/>
  <c r="BF433" i="22"/>
  <c r="AZ433" i="22"/>
  <c r="AY433" i="22"/>
  <c r="AX433" i="22"/>
  <c r="AW433" i="22"/>
  <c r="AV433" i="22"/>
  <c r="K433" i="22"/>
  <c r="M433" i="22" s="1"/>
  <c r="BP432" i="22"/>
  <c r="BO432" i="22"/>
  <c r="BN432" i="22"/>
  <c r="BM432" i="22"/>
  <c r="BL432" i="22"/>
  <c r="BK432" i="22"/>
  <c r="BF432" i="22"/>
  <c r="AZ432" i="22"/>
  <c r="AY432" i="22"/>
  <c r="AX432" i="22"/>
  <c r="AW432" i="22"/>
  <c r="AV432" i="22"/>
  <c r="BH432" i="22"/>
  <c r="K432" i="22"/>
  <c r="M432" i="22" s="1"/>
  <c r="BP431" i="22"/>
  <c r="BO431" i="22"/>
  <c r="BN431" i="22"/>
  <c r="BM431" i="22"/>
  <c r="BL431" i="22"/>
  <c r="BK431" i="22"/>
  <c r="BF431" i="22"/>
  <c r="AZ431" i="22"/>
  <c r="AY431" i="22"/>
  <c r="AX431" i="22"/>
  <c r="AW431" i="22"/>
  <c r="AV431" i="22"/>
  <c r="K431" i="22"/>
  <c r="M431" i="22" s="1"/>
  <c r="BP430" i="22"/>
  <c r="BO430" i="22"/>
  <c r="BN430" i="22"/>
  <c r="BM430" i="22"/>
  <c r="BL430" i="22"/>
  <c r="BK430" i="22"/>
  <c r="BF430" i="22"/>
  <c r="AZ430" i="22"/>
  <c r="AY430" i="22"/>
  <c r="AX430" i="22"/>
  <c r="AW430" i="22"/>
  <c r="AV430" i="22"/>
  <c r="K430" i="22"/>
  <c r="M430" i="22" s="1"/>
  <c r="BP429" i="22"/>
  <c r="BO429" i="22"/>
  <c r="BN429" i="22"/>
  <c r="BM429" i="22"/>
  <c r="BL429" i="22"/>
  <c r="BK429" i="22"/>
  <c r="BF429" i="22"/>
  <c r="AZ429" i="22"/>
  <c r="AY429" i="22"/>
  <c r="AX429" i="22"/>
  <c r="AW429" i="22"/>
  <c r="AV429" i="22"/>
  <c r="K429" i="22"/>
  <c r="M429" i="22" s="1"/>
  <c r="BP428" i="22"/>
  <c r="BO428" i="22"/>
  <c r="BN428" i="22"/>
  <c r="BM428" i="22"/>
  <c r="BL428" i="22"/>
  <c r="BK428" i="22"/>
  <c r="BF428" i="22"/>
  <c r="AZ428" i="22"/>
  <c r="AY428" i="22"/>
  <c r="AX428" i="22"/>
  <c r="AW428" i="22"/>
  <c r="AV428" i="22"/>
  <c r="K428" i="22"/>
  <c r="M428" i="22" s="1"/>
  <c r="BP427" i="22"/>
  <c r="BO427" i="22"/>
  <c r="BN427" i="22"/>
  <c r="BM427" i="22"/>
  <c r="BL427" i="22"/>
  <c r="BK427" i="22"/>
  <c r="BF427" i="22"/>
  <c r="AZ427" i="22"/>
  <c r="AY427" i="22"/>
  <c r="AX427" i="22"/>
  <c r="AW427" i="22"/>
  <c r="AV427" i="22"/>
  <c r="BH427" i="22"/>
  <c r="K427" i="22"/>
  <c r="M427" i="22" s="1"/>
  <c r="BP426" i="22"/>
  <c r="BO426" i="22"/>
  <c r="BN426" i="22"/>
  <c r="BM426" i="22"/>
  <c r="BL426" i="22"/>
  <c r="BK426" i="22"/>
  <c r="BF426" i="22"/>
  <c r="AZ426" i="22"/>
  <c r="AY426" i="22"/>
  <c r="AX426" i="22"/>
  <c r="AW426" i="22"/>
  <c r="AV426" i="22"/>
  <c r="K426" i="22"/>
  <c r="M426" i="22" s="1"/>
  <c r="BP425" i="22"/>
  <c r="BO425" i="22"/>
  <c r="BN425" i="22"/>
  <c r="BM425" i="22"/>
  <c r="BL425" i="22"/>
  <c r="BK425" i="22"/>
  <c r="BF425" i="22"/>
  <c r="AZ425" i="22"/>
  <c r="AY425" i="22"/>
  <c r="AX425" i="22"/>
  <c r="AW425" i="22"/>
  <c r="AV425" i="22"/>
  <c r="K425" i="22"/>
  <c r="M425" i="22" s="1"/>
  <c r="BP424" i="22"/>
  <c r="BO424" i="22"/>
  <c r="BN424" i="22"/>
  <c r="BM424" i="22"/>
  <c r="BL424" i="22"/>
  <c r="BK424" i="22"/>
  <c r="BF424" i="22"/>
  <c r="AZ424" i="22"/>
  <c r="AY424" i="22"/>
  <c r="AX424" i="22"/>
  <c r="AW424" i="22"/>
  <c r="AV424" i="22"/>
  <c r="BH424" i="22"/>
  <c r="K424" i="22"/>
  <c r="M424" i="22" s="1"/>
  <c r="Z424" i="22" s="1"/>
  <c r="BP423" i="22"/>
  <c r="BO423" i="22"/>
  <c r="BN423" i="22"/>
  <c r="BM423" i="22"/>
  <c r="BL423" i="22"/>
  <c r="BK423" i="22"/>
  <c r="BF423" i="22"/>
  <c r="AZ423" i="22"/>
  <c r="AY423" i="22"/>
  <c r="AX423" i="22"/>
  <c r="AW423" i="22"/>
  <c r="AV423" i="22"/>
  <c r="K423" i="22"/>
  <c r="M423" i="22" s="1"/>
  <c r="BP422" i="22"/>
  <c r="BO422" i="22"/>
  <c r="BN422" i="22"/>
  <c r="BM422" i="22"/>
  <c r="BL422" i="22"/>
  <c r="BK422" i="22"/>
  <c r="BF422" i="22"/>
  <c r="AZ422" i="22"/>
  <c r="AY422" i="22"/>
  <c r="AX422" i="22"/>
  <c r="AW422" i="22"/>
  <c r="AV422" i="22"/>
  <c r="K422" i="22"/>
  <c r="M422" i="22" s="1"/>
  <c r="BP421" i="22"/>
  <c r="BO421" i="22"/>
  <c r="BN421" i="22"/>
  <c r="BM421" i="22"/>
  <c r="BL421" i="22"/>
  <c r="BK421" i="22"/>
  <c r="BF421" i="22"/>
  <c r="AZ421" i="22"/>
  <c r="AY421" i="22"/>
  <c r="AX421" i="22"/>
  <c r="AW421" i="22"/>
  <c r="AV421" i="22"/>
  <c r="K421" i="22"/>
  <c r="M421" i="22" s="1"/>
  <c r="BP420" i="22"/>
  <c r="BO420" i="22"/>
  <c r="BN420" i="22"/>
  <c r="BM420" i="22"/>
  <c r="BL420" i="22"/>
  <c r="BK420" i="22"/>
  <c r="BF420" i="22"/>
  <c r="AZ420" i="22"/>
  <c r="AY420" i="22"/>
  <c r="AX420" i="22"/>
  <c r="AW420" i="22"/>
  <c r="AV420" i="22"/>
  <c r="K420" i="22"/>
  <c r="M420" i="22" s="1"/>
  <c r="BP419" i="22"/>
  <c r="BO419" i="22"/>
  <c r="BN419" i="22"/>
  <c r="BM419" i="22"/>
  <c r="BL419" i="22"/>
  <c r="BK419" i="22"/>
  <c r="BF419" i="22"/>
  <c r="AZ419" i="22"/>
  <c r="AY419" i="22"/>
  <c r="AX419" i="22"/>
  <c r="AW419" i="22"/>
  <c r="AV419" i="22"/>
  <c r="K419" i="22"/>
  <c r="M419" i="22" s="1"/>
  <c r="BP418" i="22"/>
  <c r="BO418" i="22"/>
  <c r="BN418" i="22"/>
  <c r="BM418" i="22"/>
  <c r="BL418" i="22"/>
  <c r="BK418" i="22"/>
  <c r="BF418" i="22"/>
  <c r="AZ418" i="22"/>
  <c r="AY418" i="22"/>
  <c r="AX418" i="22"/>
  <c r="AW418" i="22"/>
  <c r="AV418" i="22"/>
  <c r="K418" i="22"/>
  <c r="M418" i="22" s="1"/>
  <c r="BP417" i="22"/>
  <c r="BO417" i="22"/>
  <c r="BN417" i="22"/>
  <c r="BM417" i="22"/>
  <c r="BL417" i="22"/>
  <c r="BK417" i="22"/>
  <c r="BF417" i="22"/>
  <c r="AZ417" i="22"/>
  <c r="AY417" i="22"/>
  <c r="AX417" i="22"/>
  <c r="AW417" i="22"/>
  <c r="AV417" i="22"/>
  <c r="K417" i="22"/>
  <c r="M417" i="22" s="1"/>
  <c r="BP416" i="22"/>
  <c r="BO416" i="22"/>
  <c r="BN416" i="22"/>
  <c r="BM416" i="22"/>
  <c r="BL416" i="22"/>
  <c r="BK416" i="22"/>
  <c r="BF416" i="22"/>
  <c r="AZ416" i="22"/>
  <c r="AY416" i="22"/>
  <c r="AX416" i="22"/>
  <c r="AW416" i="22"/>
  <c r="AV416" i="22"/>
  <c r="BH416" i="22"/>
  <c r="K416" i="22"/>
  <c r="M416" i="22" s="1"/>
  <c r="BP415" i="22"/>
  <c r="BO415" i="22"/>
  <c r="BN415" i="22"/>
  <c r="BM415" i="22"/>
  <c r="BL415" i="22"/>
  <c r="BK415" i="22"/>
  <c r="BF415" i="22"/>
  <c r="AZ415" i="22"/>
  <c r="AY415" i="22"/>
  <c r="AX415" i="22"/>
  <c r="AW415" i="22"/>
  <c r="AV415" i="22"/>
  <c r="BH415" i="22"/>
  <c r="K415" i="22"/>
  <c r="M415" i="22" s="1"/>
  <c r="BP414" i="22"/>
  <c r="BO414" i="22"/>
  <c r="BN414" i="22"/>
  <c r="BM414" i="22"/>
  <c r="BL414" i="22"/>
  <c r="BK414" i="22"/>
  <c r="BF414" i="22"/>
  <c r="AZ414" i="22"/>
  <c r="AY414" i="22"/>
  <c r="AX414" i="22"/>
  <c r="AW414" i="22"/>
  <c r="AV414" i="22"/>
  <c r="M414" i="22"/>
  <c r="BP413" i="22"/>
  <c r="BO413" i="22"/>
  <c r="BN413" i="22"/>
  <c r="BM413" i="22"/>
  <c r="BL413" i="22"/>
  <c r="BK413" i="22"/>
  <c r="AZ413" i="22"/>
  <c r="AY413" i="22"/>
  <c r="AX413" i="22"/>
  <c r="AW413" i="22"/>
  <c r="AV413" i="22"/>
  <c r="K413" i="22"/>
  <c r="M413" i="22" s="1"/>
  <c r="BP412" i="22"/>
  <c r="BO412" i="22"/>
  <c r="BN412" i="22"/>
  <c r="BM412" i="22"/>
  <c r="BL412" i="22"/>
  <c r="BK412" i="22"/>
  <c r="AZ412" i="22"/>
  <c r="AY412" i="22"/>
  <c r="AX412" i="22"/>
  <c r="AW412" i="22"/>
  <c r="AV412" i="22"/>
  <c r="BH412" i="22"/>
  <c r="K412" i="22"/>
  <c r="M412" i="22" s="1"/>
  <c r="BP411" i="22"/>
  <c r="BO411" i="22"/>
  <c r="BN411" i="22"/>
  <c r="BM411" i="22"/>
  <c r="BL411" i="22"/>
  <c r="BK411" i="22"/>
  <c r="AZ411" i="22"/>
  <c r="AY411" i="22"/>
  <c r="AX411" i="22"/>
  <c r="AW411" i="22"/>
  <c r="AV411" i="22"/>
  <c r="K411" i="22"/>
  <c r="M411" i="22" s="1"/>
  <c r="BP410" i="22"/>
  <c r="BO410" i="22"/>
  <c r="BN410" i="22"/>
  <c r="BM410" i="22"/>
  <c r="BL410" i="22"/>
  <c r="BK410" i="22"/>
  <c r="AZ410" i="22"/>
  <c r="AY410" i="22"/>
  <c r="AX410" i="22"/>
  <c r="AW410" i="22"/>
  <c r="AV410" i="22"/>
  <c r="K410" i="22"/>
  <c r="M410" i="22" s="1"/>
  <c r="BP409" i="22"/>
  <c r="BO409" i="22"/>
  <c r="BN409" i="22"/>
  <c r="BM409" i="22"/>
  <c r="BL409" i="22"/>
  <c r="BK409" i="22"/>
  <c r="AZ409" i="22"/>
  <c r="AY409" i="22"/>
  <c r="AX409" i="22"/>
  <c r="AW409" i="22"/>
  <c r="AV409" i="22"/>
  <c r="BH409" i="22"/>
  <c r="K409" i="22"/>
  <c r="M409" i="22" s="1"/>
  <c r="BP408" i="22"/>
  <c r="BO408" i="22"/>
  <c r="BN408" i="22"/>
  <c r="BM408" i="22"/>
  <c r="BL408" i="22"/>
  <c r="BK408" i="22"/>
  <c r="AZ408" i="22"/>
  <c r="AY408" i="22"/>
  <c r="AX408" i="22"/>
  <c r="AW408" i="22"/>
  <c r="AV408" i="22"/>
  <c r="K408" i="22"/>
  <c r="M408" i="22" s="1"/>
  <c r="BP407" i="22"/>
  <c r="BO407" i="22"/>
  <c r="BN407" i="22"/>
  <c r="BM407" i="22"/>
  <c r="BL407" i="22"/>
  <c r="BK407" i="22"/>
  <c r="AZ407" i="22"/>
  <c r="AY407" i="22"/>
  <c r="AX407" i="22"/>
  <c r="AW407" i="22"/>
  <c r="AV407" i="22"/>
  <c r="K407" i="22"/>
  <c r="M407" i="22" s="1"/>
  <c r="BP406" i="22"/>
  <c r="BO406" i="22"/>
  <c r="BN406" i="22"/>
  <c r="BM406" i="22"/>
  <c r="BL406" i="22"/>
  <c r="BK406" i="22"/>
  <c r="AZ406" i="22"/>
  <c r="AY406" i="22"/>
  <c r="AX406" i="22"/>
  <c r="AW406" i="22"/>
  <c r="AV406" i="22"/>
  <c r="K406" i="22"/>
  <c r="M406" i="22" s="1"/>
  <c r="BP405" i="22"/>
  <c r="BO405" i="22"/>
  <c r="BN405" i="22"/>
  <c r="BM405" i="22"/>
  <c r="BL405" i="22"/>
  <c r="BK405" i="22"/>
  <c r="AZ405" i="22"/>
  <c r="AY405" i="22"/>
  <c r="AX405" i="22"/>
  <c r="AW405" i="22"/>
  <c r="AV405" i="22"/>
  <c r="K405" i="22"/>
  <c r="M405" i="22" s="1"/>
  <c r="BP404" i="22"/>
  <c r="BO404" i="22"/>
  <c r="BN404" i="22"/>
  <c r="BM404" i="22"/>
  <c r="BL404" i="22"/>
  <c r="BK404" i="22"/>
  <c r="AZ404" i="22"/>
  <c r="AY404" i="22"/>
  <c r="AX404" i="22"/>
  <c r="AW404" i="22"/>
  <c r="AV404" i="22"/>
  <c r="K404" i="22"/>
  <c r="M404" i="22" s="1"/>
  <c r="BP403" i="22"/>
  <c r="BO403" i="22"/>
  <c r="BN403" i="22"/>
  <c r="BM403" i="22"/>
  <c r="BL403" i="22"/>
  <c r="BK403" i="22"/>
  <c r="AZ403" i="22"/>
  <c r="AY403" i="22"/>
  <c r="AX403" i="22"/>
  <c r="AW403" i="22"/>
  <c r="AV403" i="22"/>
  <c r="K403" i="22"/>
  <c r="M403" i="22" s="1"/>
  <c r="BP402" i="22"/>
  <c r="BO402" i="22"/>
  <c r="BN402" i="22"/>
  <c r="BM402" i="22"/>
  <c r="BL402" i="22"/>
  <c r="BK402" i="22"/>
  <c r="AZ402" i="22"/>
  <c r="AY402" i="22"/>
  <c r="AX402" i="22"/>
  <c r="AW402" i="22"/>
  <c r="AV402" i="22"/>
  <c r="K402" i="22"/>
  <c r="M402" i="22" s="1"/>
  <c r="BP401" i="22"/>
  <c r="BO401" i="22"/>
  <c r="BN401" i="22"/>
  <c r="BM401" i="22"/>
  <c r="BL401" i="22"/>
  <c r="BK401" i="22"/>
  <c r="AZ401" i="22"/>
  <c r="AY401" i="22"/>
  <c r="AX401" i="22"/>
  <c r="AW401" i="22"/>
  <c r="AV401" i="22"/>
  <c r="BH401" i="22"/>
  <c r="K401" i="22"/>
  <c r="M401" i="22" s="1"/>
  <c r="BP400" i="22"/>
  <c r="BO400" i="22"/>
  <c r="BN400" i="22"/>
  <c r="BM400" i="22"/>
  <c r="BL400" i="22"/>
  <c r="BK400" i="22"/>
  <c r="BF400" i="22"/>
  <c r="AZ400" i="22"/>
  <c r="AY400" i="22"/>
  <c r="AX400" i="22"/>
  <c r="AW400" i="22"/>
  <c r="AV400" i="22"/>
  <c r="BH400" i="22"/>
  <c r="K400" i="22"/>
  <c r="M400" i="22" s="1"/>
  <c r="BP399" i="22"/>
  <c r="BO399" i="22"/>
  <c r="BN399" i="22"/>
  <c r="BM399" i="22"/>
  <c r="BL399" i="22"/>
  <c r="BK399" i="22"/>
  <c r="BF399" i="22"/>
  <c r="AZ399" i="22"/>
  <c r="AY399" i="22"/>
  <c r="AX399" i="22"/>
  <c r="AW399" i="22"/>
  <c r="AV399" i="22"/>
  <c r="BH399" i="22"/>
  <c r="K399" i="22"/>
  <c r="M399" i="22" s="1"/>
  <c r="Z399" i="22" s="1"/>
  <c r="BP398" i="22"/>
  <c r="BO398" i="22"/>
  <c r="BN398" i="22"/>
  <c r="BM398" i="22"/>
  <c r="BL398" i="22"/>
  <c r="BK398" i="22"/>
  <c r="BF398" i="22"/>
  <c r="AZ398" i="22"/>
  <c r="AY398" i="22"/>
  <c r="AX398" i="22"/>
  <c r="AW398" i="22"/>
  <c r="AV398" i="22"/>
  <c r="BH398" i="22"/>
  <c r="K398" i="22"/>
  <c r="M398" i="22" s="1"/>
  <c r="BP397" i="22"/>
  <c r="BO397" i="22"/>
  <c r="BN397" i="22"/>
  <c r="BM397" i="22"/>
  <c r="BL397" i="22"/>
  <c r="BK397" i="22"/>
  <c r="BF397" i="22"/>
  <c r="AZ397" i="22"/>
  <c r="AY397" i="22"/>
  <c r="AX397" i="22"/>
  <c r="AW397" i="22"/>
  <c r="AV397" i="22"/>
  <c r="K397" i="22"/>
  <c r="M397" i="22" s="1"/>
  <c r="BP396" i="22"/>
  <c r="BO396" i="22"/>
  <c r="BN396" i="22"/>
  <c r="BM396" i="22"/>
  <c r="BL396" i="22"/>
  <c r="BK396" i="22"/>
  <c r="BF396" i="22"/>
  <c r="AZ396" i="22"/>
  <c r="AY396" i="22"/>
  <c r="AX396" i="22"/>
  <c r="AW396" i="22"/>
  <c r="AV396" i="22"/>
  <c r="BH396" i="22"/>
  <c r="K396" i="22"/>
  <c r="M396" i="22" s="1"/>
  <c r="BP395" i="22"/>
  <c r="BO395" i="22"/>
  <c r="BN395" i="22"/>
  <c r="BM395" i="22"/>
  <c r="BL395" i="22"/>
  <c r="BK395" i="22"/>
  <c r="BF395" i="22"/>
  <c r="AZ395" i="22"/>
  <c r="AY395" i="22"/>
  <c r="AX395" i="22"/>
  <c r="AW395" i="22"/>
  <c r="AV395" i="22"/>
  <c r="BH395" i="22"/>
  <c r="K395" i="22"/>
  <c r="M395" i="22" s="1"/>
  <c r="BP394" i="22"/>
  <c r="BO394" i="22"/>
  <c r="BN394" i="22"/>
  <c r="BM394" i="22"/>
  <c r="BL394" i="22"/>
  <c r="BK394" i="22"/>
  <c r="BF394" i="22"/>
  <c r="AZ394" i="22"/>
  <c r="AY394" i="22"/>
  <c r="AX394" i="22"/>
  <c r="AW394" i="22"/>
  <c r="AV394" i="22"/>
  <c r="BH394" i="22"/>
  <c r="K394" i="22"/>
  <c r="M394" i="22" s="1"/>
  <c r="BP393" i="22"/>
  <c r="BO393" i="22"/>
  <c r="BN393" i="22"/>
  <c r="BM393" i="22"/>
  <c r="BL393" i="22"/>
  <c r="BK393" i="22"/>
  <c r="AZ393" i="22"/>
  <c r="AY393" i="22"/>
  <c r="AX393" i="22"/>
  <c r="AW393" i="22"/>
  <c r="AV393" i="22"/>
  <c r="K393" i="22"/>
  <c r="M393" i="22" s="1"/>
  <c r="BP392" i="22"/>
  <c r="BO392" i="22"/>
  <c r="BN392" i="22"/>
  <c r="BM392" i="22"/>
  <c r="BL392" i="22"/>
  <c r="BK392" i="22"/>
  <c r="BF392" i="22"/>
  <c r="AZ392" i="22"/>
  <c r="AY392" i="22"/>
  <c r="AX392" i="22"/>
  <c r="AW392" i="22"/>
  <c r="AV392" i="22"/>
  <c r="K392" i="22"/>
  <c r="M392" i="22" s="1"/>
  <c r="V392" i="22" s="1"/>
  <c r="BP391" i="22"/>
  <c r="BO391" i="22"/>
  <c r="BN391" i="22"/>
  <c r="BM391" i="22"/>
  <c r="BL391" i="22"/>
  <c r="BK391" i="22"/>
  <c r="BF391" i="22"/>
  <c r="AZ391" i="22"/>
  <c r="AY391" i="22"/>
  <c r="AX391" i="22"/>
  <c r="AW391" i="22"/>
  <c r="AV391" i="22"/>
  <c r="K391" i="22"/>
  <c r="M391" i="22" s="1"/>
  <c r="BP390" i="22"/>
  <c r="BO390" i="22"/>
  <c r="BN390" i="22"/>
  <c r="BM390" i="22"/>
  <c r="BL390" i="22"/>
  <c r="BK390" i="22"/>
  <c r="BF390" i="22"/>
  <c r="AZ390" i="22"/>
  <c r="AY390" i="22"/>
  <c r="AX390" i="22"/>
  <c r="AW390" i="22"/>
  <c r="AV390" i="22"/>
  <c r="K390" i="22"/>
  <c r="M390" i="22" s="1"/>
  <c r="BP389" i="22"/>
  <c r="BO389" i="22"/>
  <c r="BN389" i="22"/>
  <c r="BM389" i="22"/>
  <c r="BL389" i="22"/>
  <c r="BK389" i="22"/>
  <c r="BF389" i="22"/>
  <c r="AZ389" i="22"/>
  <c r="AY389" i="22"/>
  <c r="AX389" i="22"/>
  <c r="AW389" i="22"/>
  <c r="AV389" i="22"/>
  <c r="K389" i="22"/>
  <c r="M389" i="22" s="1"/>
  <c r="BP388" i="22"/>
  <c r="BO388" i="22"/>
  <c r="BN388" i="22"/>
  <c r="BM388" i="22"/>
  <c r="BL388" i="22"/>
  <c r="BK388" i="22"/>
  <c r="BF388" i="22"/>
  <c r="AZ388" i="22"/>
  <c r="AY388" i="22"/>
  <c r="AX388" i="22"/>
  <c r="AW388" i="22"/>
  <c r="AV388" i="22"/>
  <c r="K388" i="22"/>
  <c r="M388" i="22" s="1"/>
  <c r="BP387" i="22"/>
  <c r="BO387" i="22"/>
  <c r="BN387" i="22"/>
  <c r="BM387" i="22"/>
  <c r="BL387" i="22"/>
  <c r="BK387" i="22"/>
  <c r="BF387" i="22"/>
  <c r="AZ387" i="22"/>
  <c r="AY387" i="22"/>
  <c r="AX387" i="22"/>
  <c r="AW387" i="22"/>
  <c r="AV387" i="22"/>
  <c r="K387" i="22"/>
  <c r="M387" i="22" s="1"/>
  <c r="BP386" i="22"/>
  <c r="BO386" i="22"/>
  <c r="BN386" i="22"/>
  <c r="BM386" i="22"/>
  <c r="BL386" i="22"/>
  <c r="BK386" i="22"/>
  <c r="BF386" i="22"/>
  <c r="AZ386" i="22"/>
  <c r="AY386" i="22"/>
  <c r="AX386" i="22"/>
  <c r="AW386" i="22"/>
  <c r="AV386" i="22"/>
  <c r="K386" i="22"/>
  <c r="M386" i="22" s="1"/>
  <c r="BP385" i="22"/>
  <c r="BO385" i="22"/>
  <c r="BN385" i="22"/>
  <c r="BM385" i="22"/>
  <c r="BL385" i="22"/>
  <c r="BK385" i="22"/>
  <c r="BF385" i="22"/>
  <c r="AZ385" i="22"/>
  <c r="AY385" i="22"/>
  <c r="AX385" i="22"/>
  <c r="AW385" i="22"/>
  <c r="AV385" i="22"/>
  <c r="BH385" i="22"/>
  <c r="K385" i="22"/>
  <c r="M385" i="22" s="1"/>
  <c r="BP384" i="22"/>
  <c r="BO384" i="22"/>
  <c r="BN384" i="22"/>
  <c r="BM384" i="22"/>
  <c r="BL384" i="22"/>
  <c r="BK384" i="22"/>
  <c r="BF384" i="22"/>
  <c r="AZ384" i="22"/>
  <c r="AY384" i="22"/>
  <c r="AX384" i="22"/>
  <c r="AW384" i="22"/>
  <c r="AV384" i="22"/>
  <c r="K384" i="22"/>
  <c r="M384" i="22" s="1"/>
  <c r="BP383" i="22"/>
  <c r="BO383" i="22"/>
  <c r="BN383" i="22"/>
  <c r="BM383" i="22"/>
  <c r="BL383" i="22"/>
  <c r="BK383" i="22"/>
  <c r="BF383" i="22"/>
  <c r="AZ383" i="22"/>
  <c r="AY383" i="22"/>
  <c r="AX383" i="22"/>
  <c r="AW383" i="22"/>
  <c r="AV383" i="22"/>
  <c r="BH383" i="22"/>
  <c r="K383" i="22"/>
  <c r="M383" i="22" s="1"/>
  <c r="V383" i="22" s="1"/>
  <c r="BP382" i="22"/>
  <c r="BO382" i="22"/>
  <c r="BN382" i="22"/>
  <c r="BM382" i="22"/>
  <c r="BL382" i="22"/>
  <c r="BK382" i="22"/>
  <c r="BF382" i="22"/>
  <c r="AZ382" i="22"/>
  <c r="AY382" i="22"/>
  <c r="AX382" i="22"/>
  <c r="AW382" i="22"/>
  <c r="AV382" i="22"/>
  <c r="K382" i="22"/>
  <c r="M382" i="22" s="1"/>
  <c r="BP381" i="22"/>
  <c r="BO381" i="22"/>
  <c r="BN381" i="22"/>
  <c r="BM381" i="22"/>
  <c r="BL381" i="22"/>
  <c r="BK381" i="22"/>
  <c r="BF381" i="22"/>
  <c r="AZ381" i="22"/>
  <c r="AY381" i="22"/>
  <c r="AX381" i="22"/>
  <c r="AW381" i="22"/>
  <c r="AV381" i="22"/>
  <c r="K381" i="22"/>
  <c r="M381" i="22" s="1"/>
  <c r="BP380" i="22"/>
  <c r="BO380" i="22"/>
  <c r="BN380" i="22"/>
  <c r="BM380" i="22"/>
  <c r="BL380" i="22"/>
  <c r="BK380" i="22"/>
  <c r="BF380" i="22"/>
  <c r="AZ380" i="22"/>
  <c r="AY380" i="22"/>
  <c r="AX380" i="22"/>
  <c r="AW380" i="22"/>
  <c r="AV380" i="22"/>
  <c r="BH380" i="22"/>
  <c r="K380" i="22"/>
  <c r="M380" i="22" s="1"/>
  <c r="P380" i="22" s="1"/>
  <c r="BP379" i="22"/>
  <c r="BO379" i="22"/>
  <c r="BN379" i="22"/>
  <c r="BM379" i="22"/>
  <c r="BL379" i="22"/>
  <c r="BK379" i="22"/>
  <c r="BF379" i="22"/>
  <c r="AZ379" i="22"/>
  <c r="AY379" i="22"/>
  <c r="AX379" i="22"/>
  <c r="AW379" i="22"/>
  <c r="AV379" i="22"/>
  <c r="BH379" i="22"/>
  <c r="K379" i="22"/>
  <c r="M379" i="22" s="1"/>
  <c r="BP378" i="22"/>
  <c r="BO378" i="22"/>
  <c r="BN378" i="22"/>
  <c r="BM378" i="22"/>
  <c r="BL378" i="22"/>
  <c r="BK378" i="22"/>
  <c r="BF378" i="22"/>
  <c r="AZ378" i="22"/>
  <c r="AY378" i="22"/>
  <c r="AX378" i="22"/>
  <c r="AW378" i="22"/>
  <c r="AV378" i="22"/>
  <c r="BH378" i="22"/>
  <c r="K378" i="22"/>
  <c r="M378" i="22" s="1"/>
  <c r="BP377" i="22"/>
  <c r="BO377" i="22"/>
  <c r="BN377" i="22"/>
  <c r="BM377" i="22"/>
  <c r="BL377" i="22"/>
  <c r="BK377" i="22"/>
  <c r="BF377" i="22"/>
  <c r="AZ377" i="22"/>
  <c r="AY377" i="22"/>
  <c r="AX377" i="22"/>
  <c r="AW377" i="22"/>
  <c r="AV377" i="22"/>
  <c r="K377" i="22"/>
  <c r="M377" i="22" s="1"/>
  <c r="BP376" i="22"/>
  <c r="BO376" i="22"/>
  <c r="BN376" i="22"/>
  <c r="BM376" i="22"/>
  <c r="BL376" i="22"/>
  <c r="BK376" i="22"/>
  <c r="BF376" i="22"/>
  <c r="AZ376" i="22"/>
  <c r="AY376" i="22"/>
  <c r="AX376" i="22"/>
  <c r="AW376" i="22"/>
  <c r="AV376" i="22"/>
  <c r="K376" i="22"/>
  <c r="M376" i="22" s="1"/>
  <c r="V376" i="22" s="1"/>
  <c r="BP375" i="22"/>
  <c r="BO375" i="22"/>
  <c r="BN375" i="22"/>
  <c r="BM375" i="22"/>
  <c r="BL375" i="22"/>
  <c r="BK375" i="22"/>
  <c r="BF375" i="22"/>
  <c r="AZ375" i="22"/>
  <c r="AY375" i="22"/>
  <c r="AX375" i="22"/>
  <c r="AW375" i="22"/>
  <c r="AV375" i="22"/>
  <c r="K375" i="22"/>
  <c r="M375" i="22" s="1"/>
  <c r="V375" i="22" s="1"/>
  <c r="BP374" i="22"/>
  <c r="BO374" i="22"/>
  <c r="BN374" i="22"/>
  <c r="BM374" i="22"/>
  <c r="BL374" i="22"/>
  <c r="BK374" i="22"/>
  <c r="BF374" i="22"/>
  <c r="AZ374" i="22"/>
  <c r="AY374" i="22"/>
  <c r="AX374" i="22"/>
  <c r="AW374" i="22"/>
  <c r="AV374" i="22"/>
  <c r="K374" i="22"/>
  <c r="M374" i="22" s="1"/>
  <c r="P374" i="22" s="1"/>
  <c r="BP373" i="22"/>
  <c r="BO373" i="22"/>
  <c r="BN373" i="22"/>
  <c r="BM373" i="22"/>
  <c r="BL373" i="22"/>
  <c r="BK373" i="22"/>
  <c r="BF373" i="22"/>
  <c r="AZ373" i="22"/>
  <c r="AY373" i="22"/>
  <c r="AX373" i="22"/>
  <c r="AW373" i="22"/>
  <c r="AV373" i="22"/>
  <c r="M373" i="22"/>
  <c r="BP372" i="22"/>
  <c r="BO372" i="22"/>
  <c r="BN372" i="22"/>
  <c r="BM372" i="22"/>
  <c r="BL372" i="22"/>
  <c r="BK372" i="22"/>
  <c r="BF372" i="22"/>
  <c r="AZ372" i="22"/>
  <c r="AY372" i="22"/>
  <c r="AX372" i="22"/>
  <c r="AW372" i="22"/>
  <c r="AV372" i="22"/>
  <c r="K372" i="22"/>
  <c r="M372" i="22" s="1"/>
  <c r="BP371" i="22"/>
  <c r="BO371" i="22"/>
  <c r="BN371" i="22"/>
  <c r="BM371" i="22"/>
  <c r="BL371" i="22"/>
  <c r="BK371" i="22"/>
  <c r="BF371" i="22"/>
  <c r="AZ371" i="22"/>
  <c r="AY371" i="22"/>
  <c r="AX371" i="22"/>
  <c r="AW371" i="22"/>
  <c r="AV371" i="22"/>
  <c r="K371" i="22"/>
  <c r="M371" i="22" s="1"/>
  <c r="V371" i="22" s="1"/>
  <c r="BP370" i="22"/>
  <c r="BO370" i="22"/>
  <c r="BN370" i="22"/>
  <c r="BM370" i="22"/>
  <c r="BL370" i="22"/>
  <c r="BK370" i="22"/>
  <c r="BF370" i="22"/>
  <c r="AZ370" i="22"/>
  <c r="AY370" i="22"/>
  <c r="AX370" i="22"/>
  <c r="AW370" i="22"/>
  <c r="AV370" i="22"/>
  <c r="K370" i="22"/>
  <c r="M370" i="22" s="1"/>
  <c r="P370" i="22" s="1"/>
  <c r="BP369" i="22"/>
  <c r="BO369" i="22"/>
  <c r="BN369" i="22"/>
  <c r="BM369" i="22"/>
  <c r="BL369" i="22"/>
  <c r="BK369" i="22"/>
  <c r="BF369" i="22"/>
  <c r="AZ369" i="22"/>
  <c r="AY369" i="22"/>
  <c r="AX369" i="22"/>
  <c r="AW369" i="22"/>
  <c r="AV369" i="22"/>
  <c r="BH369" i="22"/>
  <c r="K369" i="22"/>
  <c r="M369" i="22" s="1"/>
  <c r="BP368" i="22"/>
  <c r="BO368" i="22"/>
  <c r="BN368" i="22"/>
  <c r="BM368" i="22"/>
  <c r="BL368" i="22"/>
  <c r="BK368" i="22"/>
  <c r="BF368" i="22"/>
  <c r="AZ368" i="22"/>
  <c r="AY368" i="22"/>
  <c r="AX368" i="22"/>
  <c r="AW368" i="22"/>
  <c r="AV368" i="22"/>
  <c r="BH368" i="22"/>
  <c r="K368" i="22"/>
  <c r="M368" i="22" s="1"/>
  <c r="BP367" i="22"/>
  <c r="BO367" i="22"/>
  <c r="BN367" i="22"/>
  <c r="BM367" i="22"/>
  <c r="BL367" i="22"/>
  <c r="BK367" i="22"/>
  <c r="BF367" i="22"/>
  <c r="AZ367" i="22"/>
  <c r="AY367" i="22"/>
  <c r="AX367" i="22"/>
  <c r="AW367" i="22"/>
  <c r="AV367" i="22"/>
  <c r="BH367" i="22"/>
  <c r="K367" i="22"/>
  <c r="M367" i="22" s="1"/>
  <c r="BP366" i="22"/>
  <c r="BO366" i="22"/>
  <c r="BN366" i="22"/>
  <c r="BM366" i="22"/>
  <c r="BL366" i="22"/>
  <c r="BK366" i="22"/>
  <c r="BF366" i="22"/>
  <c r="AZ366" i="22"/>
  <c r="AY366" i="22"/>
  <c r="AX366" i="22"/>
  <c r="AW366" i="22"/>
  <c r="AV366" i="22"/>
  <c r="BH366" i="22"/>
  <c r="K366" i="22"/>
  <c r="M366" i="22" s="1"/>
  <c r="BP365" i="22"/>
  <c r="BO365" i="22"/>
  <c r="BN365" i="22"/>
  <c r="BM365" i="22"/>
  <c r="BL365" i="22"/>
  <c r="BK365" i="22"/>
  <c r="BF365" i="22"/>
  <c r="AZ365" i="22"/>
  <c r="AY365" i="22"/>
  <c r="AX365" i="22"/>
  <c r="AW365" i="22"/>
  <c r="AV365" i="22"/>
  <c r="K365" i="22"/>
  <c r="M365" i="22" s="1"/>
  <c r="BP364" i="22"/>
  <c r="BO364" i="22"/>
  <c r="BN364" i="22"/>
  <c r="BM364" i="22"/>
  <c r="BL364" i="22"/>
  <c r="BK364" i="22"/>
  <c r="BF364" i="22"/>
  <c r="AZ364" i="22"/>
  <c r="AY364" i="22"/>
  <c r="AX364" i="22"/>
  <c r="AW364" i="22"/>
  <c r="AV364" i="22"/>
  <c r="K364" i="22"/>
  <c r="M364" i="22" s="1"/>
  <c r="Q364" i="22" s="1"/>
  <c r="BP363" i="22"/>
  <c r="BO363" i="22"/>
  <c r="BN363" i="22"/>
  <c r="BM363" i="22"/>
  <c r="BL363" i="22"/>
  <c r="BK363" i="22"/>
  <c r="BF363" i="22"/>
  <c r="AZ363" i="22"/>
  <c r="AY363" i="22"/>
  <c r="AX363" i="22"/>
  <c r="AW363" i="22"/>
  <c r="AV363" i="22"/>
  <c r="K363" i="22"/>
  <c r="M363" i="22" s="1"/>
  <c r="V363" i="22" s="1"/>
  <c r="BB363" i="22" s="1"/>
  <c r="BP362" i="22"/>
  <c r="BO362" i="22"/>
  <c r="BN362" i="22"/>
  <c r="BM362" i="22"/>
  <c r="BL362" i="22"/>
  <c r="BK362" i="22"/>
  <c r="BF362" i="22"/>
  <c r="AZ362" i="22"/>
  <c r="AY362" i="22"/>
  <c r="AX362" i="22"/>
  <c r="AW362" i="22"/>
  <c r="AV362" i="22"/>
  <c r="BH362" i="22"/>
  <c r="K362" i="22"/>
  <c r="M362" i="22" s="1"/>
  <c r="V362" i="22" s="1"/>
  <c r="BB362" i="22" s="1"/>
  <c r="BP361" i="22"/>
  <c r="BO361" i="22"/>
  <c r="BN361" i="22"/>
  <c r="BM361" i="22"/>
  <c r="BL361" i="22"/>
  <c r="BK361" i="22"/>
  <c r="BF361" i="22"/>
  <c r="AZ361" i="22"/>
  <c r="AY361" i="22"/>
  <c r="AX361" i="22"/>
  <c r="AW361" i="22"/>
  <c r="AV361" i="22"/>
  <c r="K361" i="22"/>
  <c r="M361" i="22" s="1"/>
  <c r="Q361" i="22" s="1"/>
  <c r="BP360" i="22"/>
  <c r="BO360" i="22"/>
  <c r="BN360" i="22"/>
  <c r="BM360" i="22"/>
  <c r="BL360" i="22"/>
  <c r="BK360" i="22"/>
  <c r="BF360" i="22"/>
  <c r="AZ360" i="22"/>
  <c r="AY360" i="22"/>
  <c r="AX360" i="22"/>
  <c r="AW360" i="22"/>
  <c r="AV360" i="22"/>
  <c r="K360" i="22"/>
  <c r="M360" i="22" s="1"/>
  <c r="V360" i="22" s="1"/>
  <c r="BB360" i="22" s="1"/>
  <c r="BP359" i="22"/>
  <c r="BO359" i="22"/>
  <c r="BN359" i="22"/>
  <c r="BM359" i="22"/>
  <c r="BL359" i="22"/>
  <c r="BK359" i="22"/>
  <c r="BF359" i="22"/>
  <c r="AZ359" i="22"/>
  <c r="AY359" i="22"/>
  <c r="AX359" i="22"/>
  <c r="AW359" i="22"/>
  <c r="AV359" i="22"/>
  <c r="M359" i="22"/>
  <c r="V359" i="22" s="1"/>
  <c r="BB359" i="22" s="1"/>
  <c r="BP357" i="22"/>
  <c r="BO357" i="22"/>
  <c r="BN357" i="22"/>
  <c r="BM357" i="22"/>
  <c r="BL357" i="22"/>
  <c r="BK357" i="22"/>
  <c r="BF357" i="22"/>
  <c r="AZ357" i="22"/>
  <c r="AY357" i="22"/>
  <c r="AX357" i="22"/>
  <c r="AW357" i="22"/>
  <c r="AV357" i="22"/>
  <c r="K357" i="22"/>
  <c r="M357" i="22" s="1"/>
  <c r="Q357" i="22" s="1"/>
  <c r="BP356" i="22"/>
  <c r="BO356" i="22"/>
  <c r="BN356" i="22"/>
  <c r="BM356" i="22"/>
  <c r="BL356" i="22"/>
  <c r="BK356" i="22"/>
  <c r="BF356" i="22"/>
  <c r="AZ356" i="22"/>
  <c r="AY356" i="22"/>
  <c r="AX356" i="22"/>
  <c r="AW356" i="22"/>
  <c r="AV356" i="22"/>
  <c r="K356" i="22"/>
  <c r="M356" i="22" s="1"/>
  <c r="BP355" i="22"/>
  <c r="BO355" i="22"/>
  <c r="BN355" i="22"/>
  <c r="BM355" i="22"/>
  <c r="BL355" i="22"/>
  <c r="BK355" i="22"/>
  <c r="BF355" i="22"/>
  <c r="AZ355" i="22"/>
  <c r="AY355" i="22"/>
  <c r="AX355" i="22"/>
  <c r="AW355" i="22"/>
  <c r="AV355" i="22"/>
  <c r="K355" i="22"/>
  <c r="M355" i="22" s="1"/>
  <c r="BP354" i="22"/>
  <c r="BO354" i="22"/>
  <c r="BN354" i="22"/>
  <c r="BM354" i="22"/>
  <c r="BL354" i="22"/>
  <c r="BK354" i="22"/>
  <c r="BF354" i="22"/>
  <c r="AZ354" i="22"/>
  <c r="AY354" i="22"/>
  <c r="AX354" i="22"/>
  <c r="AW354" i="22"/>
  <c r="AV354" i="22"/>
  <c r="K354" i="22"/>
  <c r="M354" i="22" s="1"/>
  <c r="V354" i="22" s="1"/>
  <c r="BP353" i="22"/>
  <c r="BO353" i="22"/>
  <c r="BN353" i="22"/>
  <c r="BM353" i="22"/>
  <c r="BL353" i="22"/>
  <c r="BK353" i="22"/>
  <c r="BF353" i="22"/>
  <c r="AZ353" i="22"/>
  <c r="AY353" i="22"/>
  <c r="AX353" i="22"/>
  <c r="AW353" i="22"/>
  <c r="AV353" i="22"/>
  <c r="M353" i="22"/>
  <c r="Q353" i="22" s="1"/>
  <c r="BP352" i="22"/>
  <c r="BO352" i="22"/>
  <c r="BN352" i="22"/>
  <c r="BM352" i="22"/>
  <c r="BL352" i="22"/>
  <c r="BK352" i="22"/>
  <c r="AZ352" i="22"/>
  <c r="AY352" i="22"/>
  <c r="AX352" i="22"/>
  <c r="AW352" i="22"/>
  <c r="AV352" i="22"/>
  <c r="Y352" i="22"/>
  <c r="Z352" i="22" s="1"/>
  <c r="K352" i="22"/>
  <c r="M352" i="22" s="1"/>
  <c r="P352" i="22" s="1"/>
  <c r="BP351" i="22"/>
  <c r="BO351" i="22"/>
  <c r="BN351" i="22"/>
  <c r="BM351" i="22"/>
  <c r="BL351" i="22"/>
  <c r="BK351" i="22"/>
  <c r="AZ351" i="22"/>
  <c r="AY351" i="22"/>
  <c r="AX351" i="22"/>
  <c r="AW351" i="22"/>
  <c r="AV351" i="22"/>
  <c r="Y351" i="22"/>
  <c r="Z351" i="22" s="1"/>
  <c r="K351" i="22"/>
  <c r="M351" i="22" s="1"/>
  <c r="BP350" i="22"/>
  <c r="BO350" i="22"/>
  <c r="BN350" i="22"/>
  <c r="BM350" i="22"/>
  <c r="BL350" i="22"/>
  <c r="BK350" i="22"/>
  <c r="AZ350" i="22"/>
  <c r="AY350" i="22"/>
  <c r="AX350" i="22"/>
  <c r="AW350" i="22"/>
  <c r="AV350" i="22"/>
  <c r="Y350" i="22"/>
  <c r="Z350" i="22" s="1"/>
  <c r="K350" i="22"/>
  <c r="M350" i="22" s="1"/>
  <c r="BP349" i="22"/>
  <c r="BO349" i="22"/>
  <c r="BN349" i="22"/>
  <c r="BM349" i="22"/>
  <c r="BL349" i="22"/>
  <c r="BK349" i="22"/>
  <c r="AZ349" i="22"/>
  <c r="AY349" i="22"/>
  <c r="AX349" i="22"/>
  <c r="AW349" i="22"/>
  <c r="AV349" i="22"/>
  <c r="Y349" i="22"/>
  <c r="Z349" i="22" s="1"/>
  <c r="K349" i="22"/>
  <c r="M349" i="22" s="1"/>
  <c r="BP348" i="22"/>
  <c r="BO348" i="22"/>
  <c r="BN348" i="22"/>
  <c r="BM348" i="22"/>
  <c r="BL348" i="22"/>
  <c r="BK348" i="22"/>
  <c r="AZ348" i="22"/>
  <c r="AY348" i="22"/>
  <c r="AX348" i="22"/>
  <c r="AW348" i="22"/>
  <c r="AV348" i="22"/>
  <c r="Y348" i="22"/>
  <c r="Z348" i="22" s="1"/>
  <c r="K348" i="22"/>
  <c r="M348" i="22" s="1"/>
  <c r="BP347" i="22"/>
  <c r="BO347" i="22"/>
  <c r="BN347" i="22"/>
  <c r="BM347" i="22"/>
  <c r="BL347" i="22"/>
  <c r="BK347" i="22"/>
  <c r="AZ347" i="22"/>
  <c r="AY347" i="22"/>
  <c r="AX347" i="22"/>
  <c r="AW347" i="22"/>
  <c r="AV347" i="22"/>
  <c r="Y347" i="22"/>
  <c r="Z347" i="22" s="1"/>
  <c r="K347" i="22"/>
  <c r="M347" i="22" s="1"/>
  <c r="V347" i="22" s="1"/>
  <c r="BP346" i="22"/>
  <c r="BO346" i="22"/>
  <c r="BN346" i="22"/>
  <c r="BM346" i="22"/>
  <c r="BL346" i="22"/>
  <c r="BK346" i="22"/>
  <c r="AZ346" i="22"/>
  <c r="AY346" i="22"/>
  <c r="AX346" i="22"/>
  <c r="AW346" i="22"/>
  <c r="AV346" i="22"/>
  <c r="Y346" i="22"/>
  <c r="Z346" i="22" s="1"/>
  <c r="K346" i="22"/>
  <c r="M346" i="22" s="1"/>
  <c r="Q346" i="22" s="1"/>
  <c r="BP345" i="22"/>
  <c r="BO345" i="22"/>
  <c r="BN345" i="22"/>
  <c r="BM345" i="22"/>
  <c r="BL345" i="22"/>
  <c r="BK345" i="22"/>
  <c r="AZ345" i="22"/>
  <c r="AY345" i="22"/>
  <c r="AX345" i="22"/>
  <c r="AW345" i="22"/>
  <c r="AV345" i="22"/>
  <c r="Y345" i="22"/>
  <c r="Z345" i="22" s="1"/>
  <c r="K345" i="22"/>
  <c r="M345" i="22" s="1"/>
  <c r="V345" i="22" s="1"/>
  <c r="BP344" i="22"/>
  <c r="BO344" i="22"/>
  <c r="BN344" i="22"/>
  <c r="BM344" i="22"/>
  <c r="BL344" i="22"/>
  <c r="BK344" i="22"/>
  <c r="AZ344" i="22"/>
  <c r="AY344" i="22"/>
  <c r="AX344" i="22"/>
  <c r="AW344" i="22"/>
  <c r="AV344" i="22"/>
  <c r="Y344" i="22"/>
  <c r="Z344" i="22" s="1"/>
  <c r="K344" i="22"/>
  <c r="M344" i="22" s="1"/>
  <c r="BP343" i="22"/>
  <c r="BO343" i="22"/>
  <c r="BN343" i="22"/>
  <c r="BM343" i="22"/>
  <c r="BL343" i="22"/>
  <c r="BK343" i="22"/>
  <c r="AZ343" i="22"/>
  <c r="AY343" i="22"/>
  <c r="AX343" i="22"/>
  <c r="AW343" i="22"/>
  <c r="AV343" i="22"/>
  <c r="Y343" i="22"/>
  <c r="Z343" i="22" s="1"/>
  <c r="K343" i="22"/>
  <c r="M343" i="22" s="1"/>
  <c r="BP342" i="22"/>
  <c r="BO342" i="22"/>
  <c r="BN342" i="22"/>
  <c r="BM342" i="22"/>
  <c r="BL342" i="22"/>
  <c r="BK342" i="22"/>
  <c r="AZ342" i="22"/>
  <c r="AY342" i="22"/>
  <c r="AX342" i="22"/>
  <c r="AW342" i="22"/>
  <c r="AV342" i="22"/>
  <c r="Y342" i="22"/>
  <c r="Z342" i="22" s="1"/>
  <c r="K342" i="22"/>
  <c r="M342" i="22" s="1"/>
  <c r="BP341" i="22"/>
  <c r="BO341" i="22"/>
  <c r="BN341" i="22"/>
  <c r="BM341" i="22"/>
  <c r="BL341" i="22"/>
  <c r="BK341" i="22"/>
  <c r="AZ341" i="22"/>
  <c r="AY341" i="22"/>
  <c r="AX341" i="22"/>
  <c r="AW341" i="22"/>
  <c r="AV341" i="22"/>
  <c r="Y341" i="22"/>
  <c r="Z341" i="22" s="1"/>
  <c r="K341" i="22"/>
  <c r="M341" i="22" s="1"/>
  <c r="V341" i="22" s="1"/>
  <c r="BP340" i="22"/>
  <c r="BO340" i="22"/>
  <c r="BN340" i="22"/>
  <c r="BM340" i="22"/>
  <c r="BL340" i="22"/>
  <c r="BK340" i="22"/>
  <c r="AZ340" i="22"/>
  <c r="AY340" i="22"/>
  <c r="AX340" i="22"/>
  <c r="AW340" i="22"/>
  <c r="AV340" i="22"/>
  <c r="Y340" i="22"/>
  <c r="Z340" i="22" s="1"/>
  <c r="K340" i="22"/>
  <c r="M340" i="22" s="1"/>
  <c r="BP339" i="22"/>
  <c r="BO339" i="22"/>
  <c r="BN339" i="22"/>
  <c r="BM339" i="22"/>
  <c r="BL339" i="22"/>
  <c r="BK339" i="22"/>
  <c r="AZ339" i="22"/>
  <c r="AY339" i="22"/>
  <c r="AX339" i="22"/>
  <c r="AW339" i="22"/>
  <c r="AV339" i="22"/>
  <c r="Y339" i="22"/>
  <c r="Z339" i="22" s="1"/>
  <c r="K339" i="22"/>
  <c r="M339" i="22" s="1"/>
  <c r="BP338" i="22"/>
  <c r="BO338" i="22"/>
  <c r="BN338" i="22"/>
  <c r="BM338" i="22"/>
  <c r="BL338" i="22"/>
  <c r="BK338" i="22"/>
  <c r="AZ338" i="22"/>
  <c r="AY338" i="22"/>
  <c r="AX338" i="22"/>
  <c r="AW338" i="22"/>
  <c r="AV338" i="22"/>
  <c r="Y338" i="22"/>
  <c r="Z338" i="22" s="1"/>
  <c r="K338" i="22"/>
  <c r="M338" i="22" s="1"/>
  <c r="BP337" i="22"/>
  <c r="BO337" i="22"/>
  <c r="BN337" i="22"/>
  <c r="BM337" i="22"/>
  <c r="BL337" i="22"/>
  <c r="BK337" i="22"/>
  <c r="AZ337" i="22"/>
  <c r="AY337" i="22"/>
  <c r="AX337" i="22"/>
  <c r="AW337" i="22"/>
  <c r="AV337" i="22"/>
  <c r="Y337" i="22"/>
  <c r="Z337" i="22" s="1"/>
  <c r="K337" i="22"/>
  <c r="M337" i="22" s="1"/>
  <c r="BP336" i="22"/>
  <c r="BO336" i="22"/>
  <c r="BN336" i="22"/>
  <c r="BM336" i="22"/>
  <c r="BL336" i="22"/>
  <c r="BK336" i="22"/>
  <c r="AZ336" i="22"/>
  <c r="AY336" i="22"/>
  <c r="AX336" i="22"/>
  <c r="AW336" i="22"/>
  <c r="AV336" i="22"/>
  <c r="Y336" i="22"/>
  <c r="Z336" i="22" s="1"/>
  <c r="K336" i="22"/>
  <c r="M336" i="22" s="1"/>
  <c r="P336" i="22" s="1"/>
  <c r="BP335" i="22"/>
  <c r="BO335" i="22"/>
  <c r="BN335" i="22"/>
  <c r="BM335" i="22"/>
  <c r="BL335" i="22"/>
  <c r="BK335" i="22"/>
  <c r="AZ335" i="22"/>
  <c r="AY335" i="22"/>
  <c r="AX335" i="22"/>
  <c r="AW335" i="22"/>
  <c r="AV335" i="22"/>
  <c r="Y335" i="22"/>
  <c r="Z335" i="22" s="1"/>
  <c r="K335" i="22"/>
  <c r="M335" i="22" s="1"/>
  <c r="V335" i="22" s="1"/>
  <c r="BP334" i="22"/>
  <c r="BO334" i="22"/>
  <c r="BN334" i="22"/>
  <c r="BM334" i="22"/>
  <c r="BL334" i="22"/>
  <c r="BK334" i="22"/>
  <c r="AZ334" i="22"/>
  <c r="AY334" i="22"/>
  <c r="AX334" i="22"/>
  <c r="AW334" i="22"/>
  <c r="AV334" i="22"/>
  <c r="Y334" i="22"/>
  <c r="Z334" i="22" s="1"/>
  <c r="K334" i="22"/>
  <c r="M334" i="22" s="1"/>
  <c r="BP333" i="22"/>
  <c r="BO333" i="22"/>
  <c r="BN333" i="22"/>
  <c r="BM333" i="22"/>
  <c r="BL333" i="22"/>
  <c r="BK333" i="22"/>
  <c r="AZ333" i="22"/>
  <c r="AY333" i="22"/>
  <c r="AX333" i="22"/>
  <c r="AW333" i="22"/>
  <c r="AV333" i="22"/>
  <c r="Y333" i="22"/>
  <c r="Z333" i="22" s="1"/>
  <c r="K333" i="22"/>
  <c r="M333" i="22" s="1"/>
  <c r="BP332" i="22"/>
  <c r="BO332" i="22"/>
  <c r="BN332" i="22"/>
  <c r="BM332" i="22"/>
  <c r="BL332" i="22"/>
  <c r="BK332" i="22"/>
  <c r="AZ332" i="22"/>
  <c r="AY332" i="22"/>
  <c r="AX332" i="22"/>
  <c r="AW332" i="22"/>
  <c r="AV332" i="22"/>
  <c r="Y332" i="22"/>
  <c r="Z332" i="22" s="1"/>
  <c r="K332" i="22"/>
  <c r="M332" i="22" s="1"/>
  <c r="V332" i="22" s="1"/>
  <c r="BP331" i="22"/>
  <c r="BO331" i="22"/>
  <c r="BN331" i="22"/>
  <c r="BM331" i="22"/>
  <c r="BL331" i="22"/>
  <c r="BK331" i="22"/>
  <c r="AZ331" i="22"/>
  <c r="AY331" i="22"/>
  <c r="AX331" i="22"/>
  <c r="AW331" i="22"/>
  <c r="AV331" i="22"/>
  <c r="Y331" i="22"/>
  <c r="Z331" i="22" s="1"/>
  <c r="K331" i="22"/>
  <c r="M331" i="22" s="1"/>
  <c r="BP330" i="22"/>
  <c r="BO330" i="22"/>
  <c r="BN330" i="22"/>
  <c r="BM330" i="22"/>
  <c r="BL330" i="22"/>
  <c r="BK330" i="22"/>
  <c r="AZ330" i="22"/>
  <c r="AY330" i="22"/>
  <c r="AX330" i="22"/>
  <c r="AW330" i="22"/>
  <c r="AV330" i="22"/>
  <c r="Y330" i="22"/>
  <c r="Z330" i="22" s="1"/>
  <c r="K330" i="22"/>
  <c r="M330" i="22" s="1"/>
  <c r="V330" i="22" s="1"/>
  <c r="BP329" i="22"/>
  <c r="BO329" i="22"/>
  <c r="BN329" i="22"/>
  <c r="BM329" i="22"/>
  <c r="BL329" i="22"/>
  <c r="BK329" i="22"/>
  <c r="AZ329" i="22"/>
  <c r="AY329" i="22"/>
  <c r="AX329" i="22"/>
  <c r="AW329" i="22"/>
  <c r="AV329" i="22"/>
  <c r="Y329" i="22"/>
  <c r="Z329" i="22" s="1"/>
  <c r="K329" i="22"/>
  <c r="M329" i="22" s="1"/>
  <c r="BP328" i="22"/>
  <c r="BO328" i="22"/>
  <c r="BN328" i="22"/>
  <c r="BM328" i="22"/>
  <c r="BL328" i="22"/>
  <c r="BK328" i="22"/>
  <c r="AZ328" i="22"/>
  <c r="AY328" i="22"/>
  <c r="AX328" i="22"/>
  <c r="AW328" i="22"/>
  <c r="AV328" i="22"/>
  <c r="Y328" i="22"/>
  <c r="Z328" i="22" s="1"/>
  <c r="K328" i="22"/>
  <c r="M328" i="22" s="1"/>
  <c r="V328" i="22" s="1"/>
  <c r="BP327" i="22"/>
  <c r="BO327" i="22"/>
  <c r="BN327" i="22"/>
  <c r="BM327" i="22"/>
  <c r="BL327" i="22"/>
  <c r="BK327" i="22"/>
  <c r="AZ327" i="22"/>
  <c r="AY327" i="22"/>
  <c r="AX327" i="22"/>
  <c r="AW327" i="22"/>
  <c r="AV327" i="22"/>
  <c r="Y327" i="22"/>
  <c r="Z327" i="22" s="1"/>
  <c r="K327" i="22"/>
  <c r="M327" i="22" s="1"/>
  <c r="BP326" i="22"/>
  <c r="BO326" i="22"/>
  <c r="BN326" i="22"/>
  <c r="BM326" i="22"/>
  <c r="BL326" i="22"/>
  <c r="BK326" i="22"/>
  <c r="AZ326" i="22"/>
  <c r="AY326" i="22"/>
  <c r="AX326" i="22"/>
  <c r="AW326" i="22"/>
  <c r="AV326" i="22"/>
  <c r="Y326" i="22"/>
  <c r="Z326" i="22" s="1"/>
  <c r="K326" i="22"/>
  <c r="M326" i="22" s="1"/>
  <c r="BP325" i="22"/>
  <c r="BO325" i="22"/>
  <c r="BN325" i="22"/>
  <c r="BM325" i="22"/>
  <c r="BL325" i="22"/>
  <c r="BK325" i="22"/>
  <c r="AZ325" i="22"/>
  <c r="AY325" i="22"/>
  <c r="AX325" i="22"/>
  <c r="AW325" i="22"/>
  <c r="AV325" i="22"/>
  <c r="Y325" i="22"/>
  <c r="Z325" i="22" s="1"/>
  <c r="K325" i="22"/>
  <c r="M325" i="22" s="1"/>
  <c r="V325" i="22" s="1"/>
  <c r="BP324" i="22"/>
  <c r="BO324" i="22"/>
  <c r="BN324" i="22"/>
  <c r="BM324" i="22"/>
  <c r="BL324" i="22"/>
  <c r="BK324" i="22"/>
  <c r="AZ324" i="22"/>
  <c r="AY324" i="22"/>
  <c r="AX324" i="22"/>
  <c r="AW324" i="22"/>
  <c r="AV324" i="22"/>
  <c r="Y324" i="22"/>
  <c r="Z324" i="22" s="1"/>
  <c r="K324" i="22"/>
  <c r="M324" i="22" s="1"/>
  <c r="BP323" i="22"/>
  <c r="BO323" i="22"/>
  <c r="BN323" i="22"/>
  <c r="BM323" i="22"/>
  <c r="BL323" i="22"/>
  <c r="BK323" i="22"/>
  <c r="AZ323" i="22"/>
  <c r="AY323" i="22"/>
  <c r="AX323" i="22"/>
  <c r="AW323" i="22"/>
  <c r="AV323" i="22"/>
  <c r="Y323" i="22"/>
  <c r="Z323" i="22" s="1"/>
  <c r="K323" i="22"/>
  <c r="M323" i="22" s="1"/>
  <c r="BP322" i="22"/>
  <c r="BO322" i="22"/>
  <c r="BN322" i="22"/>
  <c r="BM322" i="22"/>
  <c r="BL322" i="22"/>
  <c r="BK322" i="22"/>
  <c r="AZ322" i="22"/>
  <c r="AY322" i="22"/>
  <c r="AX322" i="22"/>
  <c r="AW322" i="22"/>
  <c r="AV322" i="22"/>
  <c r="Y322" i="22"/>
  <c r="Z322" i="22" s="1"/>
  <c r="K322" i="22"/>
  <c r="M322" i="22" s="1"/>
  <c r="P322" i="22" s="1"/>
  <c r="BP321" i="22"/>
  <c r="BO321" i="22"/>
  <c r="BN321" i="22"/>
  <c r="BM321" i="22"/>
  <c r="BL321" i="22"/>
  <c r="BK321" i="22"/>
  <c r="AZ321" i="22"/>
  <c r="AY321" i="22"/>
  <c r="AX321" i="22"/>
  <c r="AW321" i="22"/>
  <c r="AV321" i="22"/>
  <c r="Y321" i="22"/>
  <c r="Z321" i="22" s="1"/>
  <c r="K321" i="22"/>
  <c r="M321" i="22" s="1"/>
  <c r="BP320" i="22"/>
  <c r="BO320" i="22"/>
  <c r="BN320" i="22"/>
  <c r="BM320" i="22"/>
  <c r="BL320" i="22"/>
  <c r="BK320" i="22"/>
  <c r="AZ320" i="22"/>
  <c r="AY320" i="22"/>
  <c r="AX320" i="22"/>
  <c r="AW320" i="22"/>
  <c r="AV320" i="22"/>
  <c r="Y320" i="22"/>
  <c r="Z320" i="22" s="1"/>
  <c r="K320" i="22"/>
  <c r="M320" i="22" s="1"/>
  <c r="BP319" i="22"/>
  <c r="BO319" i="22"/>
  <c r="BN319" i="22"/>
  <c r="BM319" i="22"/>
  <c r="BL319" i="22"/>
  <c r="BK319" i="22"/>
  <c r="AZ319" i="22"/>
  <c r="AY319" i="22"/>
  <c r="AX319" i="22"/>
  <c r="AW319" i="22"/>
  <c r="AV319" i="22"/>
  <c r="Y319" i="22"/>
  <c r="Z319" i="22" s="1"/>
  <c r="K319" i="22"/>
  <c r="M319" i="22" s="1"/>
  <c r="V319" i="22" s="1"/>
  <c r="BP318" i="22"/>
  <c r="BO318" i="22"/>
  <c r="BN318" i="22"/>
  <c r="BM318" i="22"/>
  <c r="BL318" i="22"/>
  <c r="BK318" i="22"/>
  <c r="AZ318" i="22"/>
  <c r="AY318" i="22"/>
  <c r="AX318" i="22"/>
  <c r="AW318" i="22"/>
  <c r="AV318" i="22"/>
  <c r="Y318" i="22"/>
  <c r="Z318" i="22" s="1"/>
  <c r="K318" i="22"/>
  <c r="M318" i="22" s="1"/>
  <c r="BP317" i="22"/>
  <c r="BO317" i="22"/>
  <c r="BN317" i="22"/>
  <c r="BM317" i="22"/>
  <c r="BL317" i="22"/>
  <c r="BK317" i="22"/>
  <c r="AZ317" i="22"/>
  <c r="AY317" i="22"/>
  <c r="AX317" i="22"/>
  <c r="AW317" i="22"/>
  <c r="AV317" i="22"/>
  <c r="Y317" i="22"/>
  <c r="Z317" i="22" s="1"/>
  <c r="K317" i="22"/>
  <c r="M317" i="22" s="1"/>
  <c r="BP316" i="22"/>
  <c r="BO316" i="22"/>
  <c r="BN316" i="22"/>
  <c r="BM316" i="22"/>
  <c r="BL316" i="22"/>
  <c r="BK316" i="22"/>
  <c r="BF316" i="22"/>
  <c r="AZ316" i="22"/>
  <c r="AY316" i="22"/>
  <c r="AX316" i="22"/>
  <c r="AW316" i="22"/>
  <c r="AV316" i="22"/>
  <c r="Y316" i="22"/>
  <c r="Z316" i="22" s="1"/>
  <c r="K316" i="22"/>
  <c r="M316" i="22" s="1"/>
  <c r="BP315" i="22"/>
  <c r="BO315" i="22"/>
  <c r="BN315" i="22"/>
  <c r="BM315" i="22"/>
  <c r="BL315" i="22"/>
  <c r="BK315" i="22"/>
  <c r="BF315" i="22"/>
  <c r="AZ315" i="22"/>
  <c r="AY315" i="22"/>
  <c r="AX315" i="22"/>
  <c r="AW315" i="22"/>
  <c r="AV315" i="22"/>
  <c r="Y315" i="22"/>
  <c r="Z315" i="22" s="1"/>
  <c r="K315" i="22"/>
  <c r="M315" i="22" s="1"/>
  <c r="P315" i="22" s="1"/>
  <c r="BP314" i="22"/>
  <c r="BO314" i="22"/>
  <c r="BN314" i="22"/>
  <c r="BM314" i="22"/>
  <c r="BL314" i="22"/>
  <c r="BK314" i="22"/>
  <c r="AZ314" i="22"/>
  <c r="AY314" i="22"/>
  <c r="AX314" i="22"/>
  <c r="AW314" i="22"/>
  <c r="AV314" i="22"/>
  <c r="Y314" i="22"/>
  <c r="Z314" i="22" s="1"/>
  <c r="K314" i="22"/>
  <c r="M314" i="22" s="1"/>
  <c r="P314" i="22" s="1"/>
  <c r="BP313" i="22"/>
  <c r="BO313" i="22"/>
  <c r="BN313" i="22"/>
  <c r="BM313" i="22"/>
  <c r="BL313" i="22"/>
  <c r="BK313" i="22"/>
  <c r="AZ313" i="22"/>
  <c r="AY313" i="22"/>
  <c r="AX313" i="22"/>
  <c r="AW313" i="22"/>
  <c r="AV313" i="22"/>
  <c r="Y313" i="22"/>
  <c r="Z313" i="22" s="1"/>
  <c r="K313" i="22"/>
  <c r="M313" i="22" s="1"/>
  <c r="P313" i="22" s="1"/>
  <c r="BP312" i="22"/>
  <c r="BO312" i="22"/>
  <c r="BN312" i="22"/>
  <c r="BM312" i="22"/>
  <c r="BL312" i="22"/>
  <c r="BK312" i="22"/>
  <c r="BF312" i="22"/>
  <c r="AZ312" i="22"/>
  <c r="AY312" i="22"/>
  <c r="AX312" i="22"/>
  <c r="AW312" i="22"/>
  <c r="AV312" i="22"/>
  <c r="Y312" i="22"/>
  <c r="Z312" i="22" s="1"/>
  <c r="K312" i="22"/>
  <c r="M312" i="22" s="1"/>
  <c r="V312" i="22" s="1"/>
  <c r="BB312" i="22" s="1"/>
  <c r="BP311" i="22"/>
  <c r="BO311" i="22"/>
  <c r="BN311" i="22"/>
  <c r="BM311" i="22"/>
  <c r="BL311" i="22"/>
  <c r="BK311" i="22"/>
  <c r="AZ311" i="22"/>
  <c r="AY311" i="22"/>
  <c r="AX311" i="22"/>
  <c r="AW311" i="22"/>
  <c r="AV311" i="22"/>
  <c r="Y311" i="22"/>
  <c r="Z311" i="22" s="1"/>
  <c r="K311" i="22"/>
  <c r="M311" i="22" s="1"/>
  <c r="BP310" i="22"/>
  <c r="BO310" i="22"/>
  <c r="BN310" i="22"/>
  <c r="BM310" i="22"/>
  <c r="BL310" i="22"/>
  <c r="BK310" i="22"/>
  <c r="BF310" i="22"/>
  <c r="AZ310" i="22"/>
  <c r="AY310" i="22"/>
  <c r="AX310" i="22"/>
  <c r="AW310" i="22"/>
  <c r="AV310" i="22"/>
  <c r="Y310" i="22"/>
  <c r="Z310" i="22" s="1"/>
  <c r="K310" i="22"/>
  <c r="M310" i="22" s="1"/>
  <c r="BP309" i="22"/>
  <c r="BO309" i="22"/>
  <c r="BN309" i="22"/>
  <c r="BM309" i="22"/>
  <c r="BL309" i="22"/>
  <c r="BK309" i="22"/>
  <c r="BF309" i="22"/>
  <c r="AZ309" i="22"/>
  <c r="AY309" i="22"/>
  <c r="AX309" i="22"/>
  <c r="AW309" i="22"/>
  <c r="AV309" i="22"/>
  <c r="Y309" i="22"/>
  <c r="Z309" i="22" s="1"/>
  <c r="K309" i="22"/>
  <c r="M309" i="22" s="1"/>
  <c r="V309" i="22" s="1"/>
  <c r="BP308" i="22"/>
  <c r="BO308" i="22"/>
  <c r="BN308" i="22"/>
  <c r="BM308" i="22"/>
  <c r="BL308" i="22"/>
  <c r="BK308" i="22"/>
  <c r="BF308" i="22"/>
  <c r="AZ308" i="22"/>
  <c r="AY308" i="22"/>
  <c r="AX308" i="22"/>
  <c r="AW308" i="22"/>
  <c r="AV308" i="22"/>
  <c r="Y308" i="22"/>
  <c r="Z308" i="22" s="1"/>
  <c r="K308" i="22"/>
  <c r="M308" i="22" s="1"/>
  <c r="BP307" i="22"/>
  <c r="BO307" i="22"/>
  <c r="BN307" i="22"/>
  <c r="BM307" i="22"/>
  <c r="BL307" i="22"/>
  <c r="BK307" i="22"/>
  <c r="BF307" i="22"/>
  <c r="AZ307" i="22"/>
  <c r="AY307" i="22"/>
  <c r="AX307" i="22"/>
  <c r="AW307" i="22"/>
  <c r="AV307" i="22"/>
  <c r="Y307" i="22"/>
  <c r="Z307" i="22" s="1"/>
  <c r="K307" i="22"/>
  <c r="M307" i="22" s="1"/>
  <c r="BP306" i="22"/>
  <c r="BO306" i="22"/>
  <c r="BN306" i="22"/>
  <c r="BM306" i="22"/>
  <c r="BL306" i="22"/>
  <c r="BK306" i="22"/>
  <c r="BF306" i="22"/>
  <c r="AZ306" i="22"/>
  <c r="AY306" i="22"/>
  <c r="AX306" i="22"/>
  <c r="AW306" i="22"/>
  <c r="AV306" i="22"/>
  <c r="Y306" i="22"/>
  <c r="Z306" i="22" s="1"/>
  <c r="K306" i="22"/>
  <c r="M306" i="22" s="1"/>
  <c r="Q306" i="22" s="1"/>
  <c r="BP305" i="22"/>
  <c r="BO305" i="22"/>
  <c r="BN305" i="22"/>
  <c r="BM305" i="22"/>
  <c r="BL305" i="22"/>
  <c r="BK305" i="22"/>
  <c r="BF305" i="22"/>
  <c r="AZ305" i="22"/>
  <c r="AY305" i="22"/>
  <c r="AX305" i="22"/>
  <c r="AW305" i="22"/>
  <c r="AV305" i="22"/>
  <c r="Y305" i="22"/>
  <c r="Z305" i="22" s="1"/>
  <c r="K305" i="22"/>
  <c r="M305" i="22" s="1"/>
  <c r="P305" i="22" s="1"/>
  <c r="BP304" i="22"/>
  <c r="BO304" i="22"/>
  <c r="BN304" i="22"/>
  <c r="BM304" i="22"/>
  <c r="BL304" i="22"/>
  <c r="BK304" i="22"/>
  <c r="BF304" i="22"/>
  <c r="AZ304" i="22"/>
  <c r="AY304" i="22"/>
  <c r="AX304" i="22"/>
  <c r="AW304" i="22"/>
  <c r="AV304" i="22"/>
  <c r="Y304" i="22"/>
  <c r="Z304" i="22" s="1"/>
  <c r="K304" i="22"/>
  <c r="M304" i="22" s="1"/>
  <c r="P304" i="22" s="1"/>
  <c r="BP303" i="22"/>
  <c r="BO303" i="22"/>
  <c r="BN303" i="22"/>
  <c r="BM303" i="22"/>
  <c r="BL303" i="22"/>
  <c r="BK303" i="22"/>
  <c r="BF303" i="22"/>
  <c r="AZ303" i="22"/>
  <c r="AY303" i="22"/>
  <c r="AX303" i="22"/>
  <c r="AW303" i="22"/>
  <c r="AV303" i="22"/>
  <c r="Y303" i="22"/>
  <c r="T303" i="22"/>
  <c r="K303" i="22"/>
  <c r="M303" i="22" s="1"/>
  <c r="BP302" i="22"/>
  <c r="BO302" i="22"/>
  <c r="BN302" i="22"/>
  <c r="BM302" i="22"/>
  <c r="BL302" i="22"/>
  <c r="BK302" i="22"/>
  <c r="BF302" i="22"/>
  <c r="AZ302" i="22"/>
  <c r="AY302" i="22"/>
  <c r="AX302" i="22"/>
  <c r="AW302" i="22"/>
  <c r="AV302" i="22"/>
  <c r="Y302" i="22"/>
  <c r="Z302" i="22" s="1"/>
  <c r="K302" i="22"/>
  <c r="M302" i="22" s="1"/>
  <c r="V302" i="22" s="1"/>
  <c r="BP301" i="22"/>
  <c r="BO301" i="22"/>
  <c r="BN301" i="22"/>
  <c r="BM301" i="22"/>
  <c r="BL301" i="22"/>
  <c r="BK301" i="22"/>
  <c r="BF301" i="22"/>
  <c r="AZ301" i="22"/>
  <c r="AY301" i="22"/>
  <c r="AX301" i="22"/>
  <c r="AW301" i="22"/>
  <c r="AV301" i="22"/>
  <c r="Y301" i="22"/>
  <c r="Z301" i="22" s="1"/>
  <c r="K301" i="22"/>
  <c r="M301" i="22" s="1"/>
  <c r="BP300" i="22"/>
  <c r="BO300" i="22"/>
  <c r="BN300" i="22"/>
  <c r="BM300" i="22"/>
  <c r="BL300" i="22"/>
  <c r="BK300" i="22"/>
  <c r="BF300" i="22"/>
  <c r="AZ300" i="22"/>
  <c r="AY300" i="22"/>
  <c r="AX300" i="22"/>
  <c r="AW300" i="22"/>
  <c r="AV300" i="22"/>
  <c r="Y300" i="22"/>
  <c r="Z300" i="22" s="1"/>
  <c r="K300" i="22"/>
  <c r="M300" i="22" s="1"/>
  <c r="P300" i="22" s="1"/>
  <c r="BP299" i="22"/>
  <c r="BO299" i="22"/>
  <c r="BN299" i="22"/>
  <c r="BM299" i="22"/>
  <c r="BL299" i="22"/>
  <c r="BK299" i="22"/>
  <c r="BF299" i="22"/>
  <c r="AZ299" i="22"/>
  <c r="AY299" i="22"/>
  <c r="AX299" i="22"/>
  <c r="AW299" i="22"/>
  <c r="AV299" i="22"/>
  <c r="Y299" i="22"/>
  <c r="Z299" i="22" s="1"/>
  <c r="K299" i="22"/>
  <c r="M299" i="22" s="1"/>
  <c r="V299" i="22" s="1"/>
  <c r="BP298" i="22"/>
  <c r="BO298" i="22"/>
  <c r="BN298" i="22"/>
  <c r="BM298" i="22"/>
  <c r="BL298" i="22"/>
  <c r="BK298" i="22"/>
  <c r="BF298" i="22"/>
  <c r="AZ298" i="22"/>
  <c r="AY298" i="22"/>
  <c r="AX298" i="22"/>
  <c r="AW298" i="22"/>
  <c r="AV298" i="22"/>
  <c r="Y298" i="22"/>
  <c r="Z298" i="22" s="1"/>
  <c r="K298" i="22"/>
  <c r="M298" i="22" s="1"/>
  <c r="P298" i="22" s="1"/>
  <c r="BP297" i="22"/>
  <c r="BO297" i="22"/>
  <c r="BN297" i="22"/>
  <c r="BM297" i="22"/>
  <c r="BL297" i="22"/>
  <c r="BK297" i="22"/>
  <c r="BF297" i="22"/>
  <c r="AZ297" i="22"/>
  <c r="AY297" i="22"/>
  <c r="AX297" i="22"/>
  <c r="AW297" i="22"/>
  <c r="AV297" i="22"/>
  <c r="Y297" i="22"/>
  <c r="Z297" i="22" s="1"/>
  <c r="K297" i="22"/>
  <c r="M297" i="22" s="1"/>
  <c r="Q297" i="22" s="1"/>
  <c r="BP296" i="22"/>
  <c r="BO296" i="22"/>
  <c r="BN296" i="22"/>
  <c r="BM296" i="22"/>
  <c r="BL296" i="22"/>
  <c r="BK296" i="22"/>
  <c r="BF296" i="22"/>
  <c r="AZ296" i="22"/>
  <c r="AY296" i="22"/>
  <c r="AX296" i="22"/>
  <c r="AW296" i="22"/>
  <c r="AV296" i="22"/>
  <c r="Y296" i="22"/>
  <c r="Z296" i="22" s="1"/>
  <c r="K296" i="22"/>
  <c r="M296" i="22" s="1"/>
  <c r="BP295" i="22"/>
  <c r="BO295" i="22"/>
  <c r="BN295" i="22"/>
  <c r="BM295" i="22"/>
  <c r="BL295" i="22"/>
  <c r="BK295" i="22"/>
  <c r="BF295" i="22"/>
  <c r="AZ295" i="22"/>
  <c r="AY295" i="22"/>
  <c r="AX295" i="22"/>
  <c r="AW295" i="22"/>
  <c r="AV295" i="22"/>
  <c r="Y295" i="22"/>
  <c r="Z295" i="22" s="1"/>
  <c r="K295" i="22"/>
  <c r="M295" i="22" s="1"/>
  <c r="BP294" i="22"/>
  <c r="BO294" i="22"/>
  <c r="BN294" i="22"/>
  <c r="BM294" i="22"/>
  <c r="BL294" i="22"/>
  <c r="BK294" i="22"/>
  <c r="BF294" i="22"/>
  <c r="AZ294" i="22"/>
  <c r="AY294" i="22"/>
  <c r="AX294" i="22"/>
  <c r="AW294" i="22"/>
  <c r="AV294" i="22"/>
  <c r="Y294" i="22"/>
  <c r="Z294" i="22" s="1"/>
  <c r="K294" i="22"/>
  <c r="M294" i="22" s="1"/>
  <c r="V294" i="22" s="1"/>
  <c r="BP293" i="22"/>
  <c r="BO293" i="22"/>
  <c r="BN293" i="22"/>
  <c r="BM293" i="22"/>
  <c r="BL293" i="22"/>
  <c r="BK293" i="22"/>
  <c r="BF293" i="22"/>
  <c r="AZ293" i="22"/>
  <c r="AY293" i="22"/>
  <c r="AX293" i="22"/>
  <c r="AW293" i="22"/>
  <c r="AV293" i="22"/>
  <c r="Y293" i="22"/>
  <c r="T293" i="22"/>
  <c r="K293" i="22"/>
  <c r="M293" i="22" s="1"/>
  <c r="BP292" i="22"/>
  <c r="BO292" i="22"/>
  <c r="BN292" i="22"/>
  <c r="BM292" i="22"/>
  <c r="BL292" i="22"/>
  <c r="BK292" i="22"/>
  <c r="BF292" i="22"/>
  <c r="AZ292" i="22"/>
  <c r="AY292" i="22"/>
  <c r="AX292" i="22"/>
  <c r="AW292" i="22"/>
  <c r="AV292" i="22"/>
  <c r="Y292" i="22"/>
  <c r="Z292" i="22" s="1"/>
  <c r="K292" i="22"/>
  <c r="M292" i="22" s="1"/>
  <c r="BP291" i="22"/>
  <c r="BO291" i="22"/>
  <c r="BN291" i="22"/>
  <c r="BM291" i="22"/>
  <c r="BL291" i="22"/>
  <c r="BK291" i="22"/>
  <c r="BF291" i="22"/>
  <c r="AZ291" i="22"/>
  <c r="AY291" i="22"/>
  <c r="AX291" i="22"/>
  <c r="AW291" i="22"/>
  <c r="AV291" i="22"/>
  <c r="Y291" i="22"/>
  <c r="Z291" i="22" s="1"/>
  <c r="K291" i="22"/>
  <c r="M291" i="22" s="1"/>
  <c r="BP290" i="22"/>
  <c r="BO290" i="22"/>
  <c r="BN290" i="22"/>
  <c r="BM290" i="22"/>
  <c r="BL290" i="22"/>
  <c r="BK290" i="22"/>
  <c r="BF290" i="22"/>
  <c r="AZ290" i="22"/>
  <c r="AY290" i="22"/>
  <c r="AX290" i="22"/>
  <c r="AW290" i="22"/>
  <c r="AV290" i="22"/>
  <c r="Y290" i="22"/>
  <c r="Z290" i="22" s="1"/>
  <c r="K290" i="22"/>
  <c r="M290" i="22" s="1"/>
  <c r="Q290" i="22" s="1"/>
  <c r="BP289" i="22"/>
  <c r="BO289" i="22"/>
  <c r="BN289" i="22"/>
  <c r="BM289" i="22"/>
  <c r="BL289" i="22"/>
  <c r="BK289" i="22"/>
  <c r="BF289" i="22"/>
  <c r="AZ289" i="22"/>
  <c r="AY289" i="22"/>
  <c r="AX289" i="22"/>
  <c r="AW289" i="22"/>
  <c r="AV289" i="22"/>
  <c r="Y289" i="22"/>
  <c r="Z289" i="22" s="1"/>
  <c r="K289" i="22"/>
  <c r="M289" i="22" s="1"/>
  <c r="BP288" i="22"/>
  <c r="BO288" i="22"/>
  <c r="BN288" i="22"/>
  <c r="BM288" i="22"/>
  <c r="BL288" i="22"/>
  <c r="BK288" i="22"/>
  <c r="BF288" i="22"/>
  <c r="AZ288" i="22"/>
  <c r="AY288" i="22"/>
  <c r="AX288" i="22"/>
  <c r="AW288" i="22"/>
  <c r="AV288" i="22"/>
  <c r="Y288" i="22"/>
  <c r="Z288" i="22" s="1"/>
  <c r="K288" i="22"/>
  <c r="M288" i="22" s="1"/>
  <c r="BP287" i="22"/>
  <c r="BO287" i="22"/>
  <c r="BN287" i="22"/>
  <c r="BM287" i="22"/>
  <c r="BL287" i="22"/>
  <c r="BK287" i="22"/>
  <c r="BF287" i="22"/>
  <c r="AZ287" i="22"/>
  <c r="AY287" i="22"/>
  <c r="AX287" i="22"/>
  <c r="AW287" i="22"/>
  <c r="AV287" i="22"/>
  <c r="Y287" i="22"/>
  <c r="Z287" i="22" s="1"/>
  <c r="K287" i="22"/>
  <c r="M287" i="22" s="1"/>
  <c r="P287" i="22" s="1"/>
  <c r="BP286" i="22"/>
  <c r="BO286" i="22"/>
  <c r="BN286" i="22"/>
  <c r="BM286" i="22"/>
  <c r="BL286" i="22"/>
  <c r="BK286" i="22"/>
  <c r="BF286" i="22"/>
  <c r="AZ286" i="22"/>
  <c r="AY286" i="22"/>
  <c r="AX286" i="22"/>
  <c r="AW286" i="22"/>
  <c r="AV286" i="22"/>
  <c r="Y286" i="22"/>
  <c r="Z286" i="22" s="1"/>
  <c r="K286" i="22"/>
  <c r="M286" i="22" s="1"/>
  <c r="P286" i="22" s="1"/>
  <c r="BP285" i="22"/>
  <c r="BO285" i="22"/>
  <c r="BN285" i="22"/>
  <c r="BM285" i="22"/>
  <c r="BL285" i="22"/>
  <c r="BK285" i="22"/>
  <c r="BF285" i="22"/>
  <c r="AZ285" i="22"/>
  <c r="AY285" i="22"/>
  <c r="AX285" i="22"/>
  <c r="AW285" i="22"/>
  <c r="AV285" i="22"/>
  <c r="Y285" i="22"/>
  <c r="Z285" i="22" s="1"/>
  <c r="K285" i="22"/>
  <c r="M285" i="22" s="1"/>
  <c r="V285" i="22" s="1"/>
  <c r="BP284" i="22"/>
  <c r="BO284" i="22"/>
  <c r="BN284" i="22"/>
  <c r="BM284" i="22"/>
  <c r="BL284" i="22"/>
  <c r="BK284" i="22"/>
  <c r="BF284" i="22"/>
  <c r="AZ284" i="22"/>
  <c r="AY284" i="22"/>
  <c r="AX284" i="22"/>
  <c r="AW284" i="22"/>
  <c r="AV284" i="22"/>
  <c r="Y284" i="22"/>
  <c r="Z284" i="22" s="1"/>
  <c r="K284" i="22"/>
  <c r="M284" i="22" s="1"/>
  <c r="BP283" i="22"/>
  <c r="BO283" i="22"/>
  <c r="BN283" i="22"/>
  <c r="BM283" i="22"/>
  <c r="BL283" i="22"/>
  <c r="BK283" i="22"/>
  <c r="BF283" i="22"/>
  <c r="AZ283" i="22"/>
  <c r="AY283" i="22"/>
  <c r="AX283" i="22"/>
  <c r="AW283" i="22"/>
  <c r="AV283" i="22"/>
  <c r="Y283" i="22"/>
  <c r="Z283" i="22" s="1"/>
  <c r="K283" i="22"/>
  <c r="M283" i="22" s="1"/>
  <c r="V283" i="22" s="1"/>
  <c r="BP282" i="22"/>
  <c r="BO282" i="22"/>
  <c r="BN282" i="22"/>
  <c r="BM282" i="22"/>
  <c r="BL282" i="22"/>
  <c r="BK282" i="22"/>
  <c r="BF282" i="22"/>
  <c r="AZ282" i="22"/>
  <c r="AY282" i="22"/>
  <c r="AX282" i="22"/>
  <c r="AW282" i="22"/>
  <c r="AV282" i="22"/>
  <c r="Y282" i="22"/>
  <c r="Z282" i="22" s="1"/>
  <c r="K282" i="22"/>
  <c r="M282" i="22" s="1"/>
  <c r="BP281" i="22"/>
  <c r="BO281" i="22"/>
  <c r="BN281" i="22"/>
  <c r="BM281" i="22"/>
  <c r="BL281" i="22"/>
  <c r="BK281" i="22"/>
  <c r="BF281" i="22"/>
  <c r="AZ281" i="22"/>
  <c r="AY281" i="22"/>
  <c r="AX281" i="22"/>
  <c r="AW281" i="22"/>
  <c r="AV281" i="22"/>
  <c r="Y281" i="22"/>
  <c r="Z281" i="22" s="1"/>
  <c r="K281" i="22"/>
  <c r="M281" i="22" s="1"/>
  <c r="BP280" i="22"/>
  <c r="BO280" i="22"/>
  <c r="BN280" i="22"/>
  <c r="BM280" i="22"/>
  <c r="BL280" i="22"/>
  <c r="BK280" i="22"/>
  <c r="BF280" i="22"/>
  <c r="AZ280" i="22"/>
  <c r="AY280" i="22"/>
  <c r="AX280" i="22"/>
  <c r="AW280" i="22"/>
  <c r="AV280" i="22"/>
  <c r="Y280" i="22"/>
  <c r="Z280" i="22" s="1"/>
  <c r="K280" i="22"/>
  <c r="M280" i="22" s="1"/>
  <c r="BP279" i="22"/>
  <c r="BO279" i="22"/>
  <c r="BN279" i="22"/>
  <c r="BM279" i="22"/>
  <c r="BL279" i="22"/>
  <c r="BK279" i="22"/>
  <c r="BF279" i="22"/>
  <c r="AZ279" i="22"/>
  <c r="AY279" i="22"/>
  <c r="AX279" i="22"/>
  <c r="AW279" i="22"/>
  <c r="AV279" i="22"/>
  <c r="Z279" i="22"/>
  <c r="K279" i="22"/>
  <c r="M279" i="22" s="1"/>
  <c r="Q279" i="22" s="1"/>
  <c r="BP278" i="22"/>
  <c r="BO278" i="22"/>
  <c r="BN278" i="22"/>
  <c r="BM278" i="22"/>
  <c r="BL278" i="22"/>
  <c r="BK278" i="22"/>
  <c r="BF278" i="22"/>
  <c r="AZ278" i="22"/>
  <c r="AY278" i="22"/>
  <c r="AX278" i="22"/>
  <c r="AW278" i="22"/>
  <c r="AV278" i="22"/>
  <c r="Y278" i="22"/>
  <c r="Z278" i="22" s="1"/>
  <c r="K278" i="22"/>
  <c r="M278" i="22" s="1"/>
  <c r="BP277" i="22"/>
  <c r="BO277" i="22"/>
  <c r="BN277" i="22"/>
  <c r="BM277" i="22"/>
  <c r="BL277" i="22"/>
  <c r="BK277" i="22"/>
  <c r="BF277" i="22"/>
  <c r="AZ277" i="22"/>
  <c r="AY277" i="22"/>
  <c r="AX277" i="22"/>
  <c r="AW277" i="22"/>
  <c r="AV277" i="22"/>
  <c r="Y277" i="22"/>
  <c r="Z277" i="22" s="1"/>
  <c r="K277" i="22"/>
  <c r="M277" i="22" s="1"/>
  <c r="BP276" i="22"/>
  <c r="BO276" i="22"/>
  <c r="BN276" i="22"/>
  <c r="BM276" i="22"/>
  <c r="BL276" i="22"/>
  <c r="BK276" i="22"/>
  <c r="BF276" i="22"/>
  <c r="AZ276" i="22"/>
  <c r="AY276" i="22"/>
  <c r="AX276" i="22"/>
  <c r="AW276" i="22"/>
  <c r="AV276" i="22"/>
  <c r="Y276" i="22"/>
  <c r="Z276" i="22" s="1"/>
  <c r="K276" i="22"/>
  <c r="M276" i="22" s="1"/>
  <c r="P276" i="22" s="1"/>
  <c r="BP275" i="22"/>
  <c r="BO275" i="22"/>
  <c r="BN275" i="22"/>
  <c r="BM275" i="22"/>
  <c r="BL275" i="22"/>
  <c r="BK275" i="22"/>
  <c r="BF275" i="22"/>
  <c r="AZ275" i="22"/>
  <c r="AY275" i="22"/>
  <c r="AX275" i="22"/>
  <c r="AW275" i="22"/>
  <c r="AV275" i="22"/>
  <c r="Y275" i="22"/>
  <c r="Z275" i="22" s="1"/>
  <c r="K275" i="22"/>
  <c r="M275" i="22" s="1"/>
  <c r="BP274" i="22"/>
  <c r="BO274" i="22"/>
  <c r="BN274" i="22"/>
  <c r="BM274" i="22"/>
  <c r="BL274" i="22"/>
  <c r="BK274" i="22"/>
  <c r="BF274" i="22"/>
  <c r="AZ274" i="22"/>
  <c r="AY274" i="22"/>
  <c r="AX274" i="22"/>
  <c r="AW274" i="22"/>
  <c r="AV274" i="22"/>
  <c r="Y274" i="22"/>
  <c r="Z274" i="22" s="1"/>
  <c r="K274" i="22"/>
  <c r="M274" i="22" s="1"/>
  <c r="BP273" i="22"/>
  <c r="BO273" i="22"/>
  <c r="BN273" i="22"/>
  <c r="BM273" i="22"/>
  <c r="BL273" i="22"/>
  <c r="BK273" i="22"/>
  <c r="BF273" i="22"/>
  <c r="AZ273" i="22"/>
  <c r="AY273" i="22"/>
  <c r="AX273" i="22"/>
  <c r="AW273" i="22"/>
  <c r="AV273" i="22"/>
  <c r="Y273" i="22"/>
  <c r="Z273" i="22" s="1"/>
  <c r="K273" i="22"/>
  <c r="M273" i="22" s="1"/>
  <c r="BP272" i="22"/>
  <c r="BO272" i="22"/>
  <c r="BN272" i="22"/>
  <c r="BM272" i="22"/>
  <c r="BL272" i="22"/>
  <c r="BK272" i="22"/>
  <c r="BF272" i="22"/>
  <c r="AZ272" i="22"/>
  <c r="AY272" i="22"/>
  <c r="AX272" i="22"/>
  <c r="AW272" i="22"/>
  <c r="AV272" i="22"/>
  <c r="Y272" i="22"/>
  <c r="T272" i="22"/>
  <c r="K272" i="22"/>
  <c r="M272" i="22" s="1"/>
  <c r="BP271" i="22"/>
  <c r="BO271" i="22"/>
  <c r="BN271" i="22"/>
  <c r="BM271" i="22"/>
  <c r="BL271" i="22"/>
  <c r="BK271" i="22"/>
  <c r="BF271" i="22"/>
  <c r="AZ271" i="22"/>
  <c r="AY271" i="22"/>
  <c r="AX271" i="22"/>
  <c r="AW271" i="22"/>
  <c r="AV271" i="22"/>
  <c r="Y271" i="22"/>
  <c r="Z271" i="22" s="1"/>
  <c r="K271" i="22"/>
  <c r="M271" i="22" s="1"/>
  <c r="BP270" i="22"/>
  <c r="BO270" i="22"/>
  <c r="BN270" i="22"/>
  <c r="BM270" i="22"/>
  <c r="BL270" i="22"/>
  <c r="BK270" i="22"/>
  <c r="BF270" i="22"/>
  <c r="AZ270" i="22"/>
  <c r="AY270" i="22"/>
  <c r="AX270" i="22"/>
  <c r="AW270" i="22"/>
  <c r="AV270" i="22"/>
  <c r="Y270" i="22"/>
  <c r="Z270" i="22" s="1"/>
  <c r="K270" i="22"/>
  <c r="M270" i="22" s="1"/>
  <c r="V270" i="22" s="1"/>
  <c r="BP269" i="22"/>
  <c r="BO269" i="22"/>
  <c r="BN269" i="22"/>
  <c r="BM269" i="22"/>
  <c r="BL269" i="22"/>
  <c r="BK269" i="22"/>
  <c r="BF269" i="22"/>
  <c r="AZ269" i="22"/>
  <c r="AY269" i="22"/>
  <c r="AX269" i="22"/>
  <c r="AW269" i="22"/>
  <c r="AV269" i="22"/>
  <c r="Y269" i="22"/>
  <c r="Z269" i="22" s="1"/>
  <c r="K269" i="22"/>
  <c r="M269" i="22" s="1"/>
  <c r="BP268" i="22"/>
  <c r="BO268" i="22"/>
  <c r="BN268" i="22"/>
  <c r="BM268" i="22"/>
  <c r="BL268" i="22"/>
  <c r="BK268" i="22"/>
  <c r="BF268" i="22"/>
  <c r="AZ268" i="22"/>
  <c r="AY268" i="22"/>
  <c r="AX268" i="22"/>
  <c r="AW268" i="22"/>
  <c r="AV268" i="22"/>
  <c r="Y268" i="22"/>
  <c r="Z268" i="22" s="1"/>
  <c r="K268" i="22"/>
  <c r="M268" i="22" s="1"/>
  <c r="P268" i="22" s="1"/>
  <c r="BP267" i="22"/>
  <c r="BO267" i="22"/>
  <c r="BN267" i="22"/>
  <c r="BM267" i="22"/>
  <c r="BL267" i="22"/>
  <c r="BK267" i="22"/>
  <c r="BF267" i="22"/>
  <c r="AZ267" i="22"/>
  <c r="AY267" i="22"/>
  <c r="AX267" i="22"/>
  <c r="AW267" i="22"/>
  <c r="AV267" i="22"/>
  <c r="Y267" i="22"/>
  <c r="Z267" i="22" s="1"/>
  <c r="K267" i="22"/>
  <c r="M267" i="22" s="1"/>
  <c r="P267" i="22" s="1"/>
  <c r="BP266" i="22"/>
  <c r="BO266" i="22"/>
  <c r="BN266" i="22"/>
  <c r="BM266" i="22"/>
  <c r="BL266" i="22"/>
  <c r="BK266" i="22"/>
  <c r="BF266" i="22"/>
  <c r="AZ266" i="22"/>
  <c r="AY266" i="22"/>
  <c r="AX266" i="22"/>
  <c r="AW266" i="22"/>
  <c r="AV266" i="22"/>
  <c r="Y266" i="22"/>
  <c r="Z266" i="22" s="1"/>
  <c r="K266" i="22"/>
  <c r="M266" i="22" s="1"/>
  <c r="BP265" i="22"/>
  <c r="BO265" i="22"/>
  <c r="BN265" i="22"/>
  <c r="BM265" i="22"/>
  <c r="BL265" i="22"/>
  <c r="BK265" i="22"/>
  <c r="BF265" i="22"/>
  <c r="AZ265" i="22"/>
  <c r="AY265" i="22"/>
  <c r="AX265" i="22"/>
  <c r="AW265" i="22"/>
  <c r="AV265" i="22"/>
  <c r="Y265" i="22"/>
  <c r="Z265" i="22" s="1"/>
  <c r="K265" i="22"/>
  <c r="M265" i="22" s="1"/>
  <c r="BP264" i="22"/>
  <c r="BO264" i="22"/>
  <c r="BN264" i="22"/>
  <c r="BM264" i="22"/>
  <c r="BL264" i="22"/>
  <c r="BK264" i="22"/>
  <c r="BF264" i="22"/>
  <c r="AZ264" i="22"/>
  <c r="AY264" i="22"/>
  <c r="AX264" i="22"/>
  <c r="AW264" i="22"/>
  <c r="AV264" i="22"/>
  <c r="Y264" i="22"/>
  <c r="Z264" i="22" s="1"/>
  <c r="K264" i="22"/>
  <c r="M264" i="22" s="1"/>
  <c r="BP263" i="22"/>
  <c r="BO263" i="22"/>
  <c r="BN263" i="22"/>
  <c r="BM263" i="22"/>
  <c r="BL263" i="22"/>
  <c r="BK263" i="22"/>
  <c r="BF263" i="22"/>
  <c r="AZ263" i="22"/>
  <c r="AY263" i="22"/>
  <c r="AX263" i="22"/>
  <c r="AW263" i="22"/>
  <c r="AV263" i="22"/>
  <c r="Y263" i="22"/>
  <c r="Z263" i="22" s="1"/>
  <c r="K263" i="22"/>
  <c r="M263" i="22" s="1"/>
  <c r="BP262" i="22"/>
  <c r="BO262" i="22"/>
  <c r="BN262" i="22"/>
  <c r="BM262" i="22"/>
  <c r="BL262" i="22"/>
  <c r="BK262" i="22"/>
  <c r="BF262" i="22"/>
  <c r="AZ262" i="22"/>
  <c r="AY262" i="22"/>
  <c r="AX262" i="22"/>
  <c r="AW262" i="22"/>
  <c r="AV262" i="22"/>
  <c r="Y262" i="22"/>
  <c r="Z262" i="22" s="1"/>
  <c r="K262" i="22"/>
  <c r="M262" i="22" s="1"/>
  <c r="BP261" i="22"/>
  <c r="BO261" i="22"/>
  <c r="BN261" i="22"/>
  <c r="BM261" i="22"/>
  <c r="BL261" i="22"/>
  <c r="BK261" i="22"/>
  <c r="AZ261" i="22"/>
  <c r="AY261" i="22"/>
  <c r="AX261" i="22"/>
  <c r="AW261" i="22"/>
  <c r="AV261" i="22"/>
  <c r="Y261" i="22"/>
  <c r="Z261" i="22" s="1"/>
  <c r="K261" i="22"/>
  <c r="M261" i="22" s="1"/>
  <c r="BP260" i="22"/>
  <c r="BO260" i="22"/>
  <c r="BN260" i="22"/>
  <c r="BM260" i="22"/>
  <c r="BL260" i="22"/>
  <c r="BK260" i="22"/>
  <c r="AZ260" i="22"/>
  <c r="AY260" i="22"/>
  <c r="AX260" i="22"/>
  <c r="AW260" i="22"/>
  <c r="AV260" i="22"/>
  <c r="Y260" i="22"/>
  <c r="Z260" i="22" s="1"/>
  <c r="K260" i="22"/>
  <c r="M260" i="22" s="1"/>
  <c r="BP259" i="22"/>
  <c r="BO259" i="22"/>
  <c r="BN259" i="22"/>
  <c r="BM259" i="22"/>
  <c r="BL259" i="22"/>
  <c r="BK259" i="22"/>
  <c r="AZ259" i="22"/>
  <c r="AY259" i="22"/>
  <c r="AX259" i="22"/>
  <c r="AW259" i="22"/>
  <c r="AV259" i="22"/>
  <c r="Y259" i="22"/>
  <c r="Z259" i="22" s="1"/>
  <c r="K259" i="22"/>
  <c r="M259" i="22" s="1"/>
  <c r="BP258" i="22"/>
  <c r="BO258" i="22"/>
  <c r="BN258" i="22"/>
  <c r="BM258" i="22"/>
  <c r="BL258" i="22"/>
  <c r="BK258" i="22"/>
  <c r="BF258" i="22"/>
  <c r="AZ258" i="22"/>
  <c r="AY258" i="22"/>
  <c r="AX258" i="22"/>
  <c r="AW258" i="22"/>
  <c r="AV258" i="22"/>
  <c r="Y258" i="22"/>
  <c r="Z258" i="22" s="1"/>
  <c r="K258" i="22"/>
  <c r="M258" i="22" s="1"/>
  <c r="V258" i="22" s="1"/>
  <c r="BB258" i="22" s="1"/>
  <c r="BP257" i="22"/>
  <c r="BO257" i="22"/>
  <c r="BN257" i="22"/>
  <c r="BM257" i="22"/>
  <c r="BL257" i="22"/>
  <c r="BK257" i="22"/>
  <c r="BF257" i="22"/>
  <c r="AZ257" i="22"/>
  <c r="AY257" i="22"/>
  <c r="AX257" i="22"/>
  <c r="AW257" i="22"/>
  <c r="AV257" i="22"/>
  <c r="Y257" i="22"/>
  <c r="Z257" i="22" s="1"/>
  <c r="K257" i="22"/>
  <c r="M257" i="22" s="1"/>
  <c r="BP256" i="22"/>
  <c r="BO256" i="22"/>
  <c r="BN256" i="22"/>
  <c r="BM256" i="22"/>
  <c r="BL256" i="22"/>
  <c r="BK256" i="22"/>
  <c r="BF256" i="22"/>
  <c r="AZ256" i="22"/>
  <c r="AY256" i="22"/>
  <c r="AX256" i="22"/>
  <c r="AW256" i="22"/>
  <c r="AV256" i="22"/>
  <c r="Y256" i="22"/>
  <c r="Z256" i="22" s="1"/>
  <c r="K256" i="22"/>
  <c r="M256" i="22" s="1"/>
  <c r="P256" i="22" s="1"/>
  <c r="BP255" i="22"/>
  <c r="BO255" i="22"/>
  <c r="BN255" i="22"/>
  <c r="BM255" i="22"/>
  <c r="BL255" i="22"/>
  <c r="BK255" i="22"/>
  <c r="BF255" i="22"/>
  <c r="AZ255" i="22"/>
  <c r="AY255" i="22"/>
  <c r="AX255" i="22"/>
  <c r="AW255" i="22"/>
  <c r="AV255" i="22"/>
  <c r="Y255" i="22"/>
  <c r="Z255" i="22" s="1"/>
  <c r="K255" i="22"/>
  <c r="M255" i="22" s="1"/>
  <c r="BP254" i="22"/>
  <c r="BO254" i="22"/>
  <c r="BN254" i="22"/>
  <c r="BM254" i="22"/>
  <c r="BL254" i="22"/>
  <c r="BK254" i="22"/>
  <c r="BF254" i="22"/>
  <c r="AZ254" i="22"/>
  <c r="AY254" i="22"/>
  <c r="AX254" i="22"/>
  <c r="AW254" i="22"/>
  <c r="AV254" i="22"/>
  <c r="Y254" i="22"/>
  <c r="Z254" i="22" s="1"/>
  <c r="K254" i="22"/>
  <c r="M254" i="22" s="1"/>
  <c r="BP253" i="22"/>
  <c r="BO253" i="22"/>
  <c r="BN253" i="22"/>
  <c r="BM253" i="22"/>
  <c r="BL253" i="22"/>
  <c r="BK253" i="22"/>
  <c r="BF253" i="22"/>
  <c r="AZ253" i="22"/>
  <c r="AY253" i="22"/>
  <c r="AX253" i="22"/>
  <c r="AW253" i="22"/>
  <c r="AV253" i="22"/>
  <c r="Y253" i="22"/>
  <c r="Z253" i="22" s="1"/>
  <c r="K253" i="22"/>
  <c r="M253" i="22" s="1"/>
  <c r="V253" i="22" s="1"/>
  <c r="BB253" i="22" s="1"/>
  <c r="BP252" i="22"/>
  <c r="BO252" i="22"/>
  <c r="BN252" i="22"/>
  <c r="BM252" i="22"/>
  <c r="BL252" i="22"/>
  <c r="BK252" i="22"/>
  <c r="BF252" i="22"/>
  <c r="AZ252" i="22"/>
  <c r="AY252" i="22"/>
  <c r="AX252" i="22"/>
  <c r="AW252" i="22"/>
  <c r="AV252" i="22"/>
  <c r="Y252" i="22"/>
  <c r="Z252" i="22" s="1"/>
  <c r="K252" i="22"/>
  <c r="M252" i="22" s="1"/>
  <c r="BP251" i="22"/>
  <c r="BO251" i="22"/>
  <c r="BN251" i="22"/>
  <c r="BM251" i="22"/>
  <c r="BL251" i="22"/>
  <c r="BK251" i="22"/>
  <c r="BF251" i="22"/>
  <c r="AZ251" i="22"/>
  <c r="AY251" i="22"/>
  <c r="AX251" i="22"/>
  <c r="AW251" i="22"/>
  <c r="AV251" i="22"/>
  <c r="Y251" i="22"/>
  <c r="Z251" i="22" s="1"/>
  <c r="K251" i="22"/>
  <c r="M251" i="22" s="1"/>
  <c r="Q251" i="22" s="1"/>
  <c r="BP250" i="22"/>
  <c r="BO250" i="22"/>
  <c r="BN250" i="22"/>
  <c r="BM250" i="22"/>
  <c r="BL250" i="22"/>
  <c r="BK250" i="22"/>
  <c r="BF250" i="22"/>
  <c r="AZ250" i="22"/>
  <c r="AY250" i="22"/>
  <c r="AX250" i="22"/>
  <c r="AW250" i="22"/>
  <c r="AV250" i="22"/>
  <c r="Y250" i="22"/>
  <c r="Z250" i="22" s="1"/>
  <c r="K250" i="22"/>
  <c r="M250" i="22" s="1"/>
  <c r="BP249" i="22"/>
  <c r="BO249" i="22"/>
  <c r="BN249" i="22"/>
  <c r="BM249" i="22"/>
  <c r="BL249" i="22"/>
  <c r="BK249" i="22"/>
  <c r="BF249" i="22"/>
  <c r="AZ249" i="22"/>
  <c r="AY249" i="22"/>
  <c r="AX249" i="22"/>
  <c r="AW249" i="22"/>
  <c r="AV249" i="22"/>
  <c r="Y249" i="22"/>
  <c r="T249" i="22"/>
  <c r="K249" i="22"/>
  <c r="M249" i="22" s="1"/>
  <c r="V249" i="22" s="1"/>
  <c r="BB249" i="22" s="1"/>
  <c r="BP248" i="22"/>
  <c r="BO248" i="22"/>
  <c r="BN248" i="22"/>
  <c r="BM248" i="22"/>
  <c r="BL248" i="22"/>
  <c r="BK248" i="22"/>
  <c r="BF248" i="22"/>
  <c r="AZ248" i="22"/>
  <c r="AY248" i="22"/>
  <c r="AX248" i="22"/>
  <c r="AW248" i="22"/>
  <c r="AV248" i="22"/>
  <c r="Y248" i="22"/>
  <c r="Z248" i="22" s="1"/>
  <c r="K248" i="22"/>
  <c r="M248" i="22" s="1"/>
  <c r="BP247" i="22"/>
  <c r="BO247" i="22"/>
  <c r="BN247" i="22"/>
  <c r="BM247" i="22"/>
  <c r="BL247" i="22"/>
  <c r="BK247" i="22"/>
  <c r="BF247" i="22"/>
  <c r="AZ247" i="22"/>
  <c r="AY247" i="22"/>
  <c r="AX247" i="22"/>
  <c r="AW247" i="22"/>
  <c r="AV247" i="22"/>
  <c r="Y247" i="22"/>
  <c r="Z247" i="22" s="1"/>
  <c r="K247" i="22"/>
  <c r="M247" i="22" s="1"/>
  <c r="BP246" i="22"/>
  <c r="BO246" i="22"/>
  <c r="BN246" i="22"/>
  <c r="BM246" i="22"/>
  <c r="BL246" i="22"/>
  <c r="BK246" i="22"/>
  <c r="BF246" i="22"/>
  <c r="AZ246" i="22"/>
  <c r="AY246" i="22"/>
  <c r="AX246" i="22"/>
  <c r="AW246" i="22"/>
  <c r="AV246" i="22"/>
  <c r="Y246" i="22"/>
  <c r="Z246" i="22" s="1"/>
  <c r="K246" i="22"/>
  <c r="M246" i="22" s="1"/>
  <c r="P246" i="22" s="1"/>
  <c r="BP245" i="22"/>
  <c r="BO245" i="22"/>
  <c r="BN245" i="22"/>
  <c r="BM245" i="22"/>
  <c r="BL245" i="22"/>
  <c r="BK245" i="22"/>
  <c r="BF245" i="22"/>
  <c r="AZ245" i="22"/>
  <c r="AY245" i="22"/>
  <c r="AX245" i="22"/>
  <c r="AW245" i="22"/>
  <c r="AV245" i="22"/>
  <c r="Y245" i="22"/>
  <c r="Z245" i="22" s="1"/>
  <c r="K245" i="22"/>
  <c r="M245" i="22" s="1"/>
  <c r="BP244" i="22"/>
  <c r="BO244" i="22"/>
  <c r="BN244" i="22"/>
  <c r="BM244" i="22"/>
  <c r="BL244" i="22"/>
  <c r="BK244" i="22"/>
  <c r="BF244" i="22"/>
  <c r="AZ244" i="22"/>
  <c r="AY244" i="22"/>
  <c r="AX244" i="22"/>
  <c r="AW244" i="22"/>
  <c r="AV244" i="22"/>
  <c r="Y244" i="22"/>
  <c r="Z244" i="22" s="1"/>
  <c r="K244" i="22"/>
  <c r="M244" i="22" s="1"/>
  <c r="BP243" i="22"/>
  <c r="BO243" i="22"/>
  <c r="BN243" i="22"/>
  <c r="BM243" i="22"/>
  <c r="BL243" i="22"/>
  <c r="BK243" i="22"/>
  <c r="BF243" i="22"/>
  <c r="AZ243" i="22"/>
  <c r="AY243" i="22"/>
  <c r="AX243" i="22"/>
  <c r="AW243" i="22"/>
  <c r="AV243" i="22"/>
  <c r="Y243" i="22"/>
  <c r="Z243" i="22" s="1"/>
  <c r="K243" i="22"/>
  <c r="M243" i="22" s="1"/>
  <c r="BP242" i="22"/>
  <c r="BO242" i="22"/>
  <c r="BN242" i="22"/>
  <c r="BM242" i="22"/>
  <c r="BL242" i="22"/>
  <c r="BK242" i="22"/>
  <c r="BF242" i="22"/>
  <c r="AZ242" i="22"/>
  <c r="AY242" i="22"/>
  <c r="AX242" i="22"/>
  <c r="AW242" i="22"/>
  <c r="AV242" i="22"/>
  <c r="Y242" i="22"/>
  <c r="Z242" i="22" s="1"/>
  <c r="K242" i="22"/>
  <c r="M242" i="22" s="1"/>
  <c r="BP241" i="22"/>
  <c r="BO241" i="22"/>
  <c r="BN241" i="22"/>
  <c r="BM241" i="22"/>
  <c r="BL241" i="22"/>
  <c r="BK241" i="22"/>
  <c r="BF241" i="22"/>
  <c r="AZ241" i="22"/>
  <c r="AY241" i="22"/>
  <c r="AX241" i="22"/>
  <c r="AW241" i="22"/>
  <c r="AV241" i="22"/>
  <c r="Y241" i="22"/>
  <c r="Z241" i="22" s="1"/>
  <c r="K241" i="22"/>
  <c r="M241" i="22" s="1"/>
  <c r="P241" i="22" s="1"/>
  <c r="BP240" i="22"/>
  <c r="BO240" i="22"/>
  <c r="BN240" i="22"/>
  <c r="BM240" i="22"/>
  <c r="BL240" i="22"/>
  <c r="BK240" i="22"/>
  <c r="BF240" i="22"/>
  <c r="AZ240" i="22"/>
  <c r="AY240" i="22"/>
  <c r="AX240" i="22"/>
  <c r="AW240" i="22"/>
  <c r="AV240" i="22"/>
  <c r="Y240" i="22"/>
  <c r="Z240" i="22" s="1"/>
  <c r="K240" i="22"/>
  <c r="M240" i="22" s="1"/>
  <c r="Q240" i="22" s="1"/>
  <c r="BP239" i="22"/>
  <c r="BO239" i="22"/>
  <c r="BN239" i="22"/>
  <c r="BM239" i="22"/>
  <c r="BL239" i="22"/>
  <c r="BK239" i="22"/>
  <c r="BF239" i="22"/>
  <c r="AZ239" i="22"/>
  <c r="AY239" i="22"/>
  <c r="AX239" i="22"/>
  <c r="AW239" i="22"/>
  <c r="AV239" i="22"/>
  <c r="Y239" i="22"/>
  <c r="Z239" i="22" s="1"/>
  <c r="K239" i="22"/>
  <c r="M239" i="22" s="1"/>
  <c r="V239" i="22" s="1"/>
  <c r="BP238" i="22"/>
  <c r="BO238" i="22"/>
  <c r="BN238" i="22"/>
  <c r="BM238" i="22"/>
  <c r="BL238" i="22"/>
  <c r="BK238" i="22"/>
  <c r="BF238" i="22"/>
  <c r="AZ238" i="22"/>
  <c r="AY238" i="22"/>
  <c r="AX238" i="22"/>
  <c r="AW238" i="22"/>
  <c r="AV238" i="22"/>
  <c r="Y238" i="22"/>
  <c r="Z238" i="22" s="1"/>
  <c r="K238" i="22"/>
  <c r="M238" i="22" s="1"/>
  <c r="V238" i="22" s="1"/>
  <c r="BP237" i="22"/>
  <c r="BO237" i="22"/>
  <c r="BN237" i="22"/>
  <c r="BM237" i="22"/>
  <c r="BL237" i="22"/>
  <c r="BK237" i="22"/>
  <c r="BF237" i="22"/>
  <c r="AZ237" i="22"/>
  <c r="AY237" i="22"/>
  <c r="AX237" i="22"/>
  <c r="AW237" i="22"/>
  <c r="AV237" i="22"/>
  <c r="Y237" i="22"/>
  <c r="Z237" i="22" s="1"/>
  <c r="K237" i="22"/>
  <c r="M237" i="22" s="1"/>
  <c r="V237" i="22" s="1"/>
  <c r="BP236" i="22"/>
  <c r="BO236" i="22"/>
  <c r="BN236" i="22"/>
  <c r="BM236" i="22"/>
  <c r="BL236" i="22"/>
  <c r="BK236" i="22"/>
  <c r="BF236" i="22"/>
  <c r="AZ236" i="22"/>
  <c r="AY236" i="22"/>
  <c r="AX236" i="22"/>
  <c r="AW236" i="22"/>
  <c r="AV236" i="22"/>
  <c r="Y236" i="22"/>
  <c r="Z236" i="22" s="1"/>
  <c r="M236" i="22"/>
  <c r="BP235" i="22"/>
  <c r="BO235" i="22"/>
  <c r="BN235" i="22"/>
  <c r="BM235" i="22"/>
  <c r="BL235" i="22"/>
  <c r="BK235" i="22"/>
  <c r="BF235" i="22"/>
  <c r="AZ235" i="22"/>
  <c r="AY235" i="22"/>
  <c r="AX235" i="22"/>
  <c r="AW235" i="22"/>
  <c r="AV235" i="22"/>
  <c r="Y235" i="22"/>
  <c r="Z235" i="22" s="1"/>
  <c r="M235" i="22"/>
  <c r="BP234" i="22"/>
  <c r="BO234" i="22"/>
  <c r="BN234" i="22"/>
  <c r="BM234" i="22"/>
  <c r="BL234" i="22"/>
  <c r="BK234" i="22"/>
  <c r="BF234" i="22"/>
  <c r="AZ234" i="22"/>
  <c r="AY234" i="22"/>
  <c r="AX234" i="22"/>
  <c r="AW234" i="22"/>
  <c r="AV234" i="22"/>
  <c r="Y234" i="22"/>
  <c r="Z234" i="22" s="1"/>
  <c r="M234" i="22"/>
  <c r="P234" i="22" s="1"/>
  <c r="BP233" i="22"/>
  <c r="BO233" i="22"/>
  <c r="BN233" i="22"/>
  <c r="BM233" i="22"/>
  <c r="BL233" i="22"/>
  <c r="BK233" i="22"/>
  <c r="BF233" i="22"/>
  <c r="AZ233" i="22"/>
  <c r="AY233" i="22"/>
  <c r="AX233" i="22"/>
  <c r="AW233" i="22"/>
  <c r="AV233" i="22"/>
  <c r="Y233" i="22"/>
  <c r="Z233" i="22" s="1"/>
  <c r="M233" i="22"/>
  <c r="V233" i="22" s="1"/>
  <c r="BP232" i="22"/>
  <c r="BO232" i="22"/>
  <c r="BN232" i="22"/>
  <c r="BM232" i="22"/>
  <c r="BL232" i="22"/>
  <c r="BK232" i="22"/>
  <c r="BF232" i="22"/>
  <c r="AZ232" i="22"/>
  <c r="AY232" i="22"/>
  <c r="AX232" i="22"/>
  <c r="AW232" i="22"/>
  <c r="AV232" i="22"/>
  <c r="Y232" i="22"/>
  <c r="Z232" i="22" s="1"/>
  <c r="K232" i="22"/>
  <c r="M232" i="22" s="1"/>
  <c r="V232" i="22" s="1"/>
  <c r="BP231" i="22"/>
  <c r="BO231" i="22"/>
  <c r="BN231" i="22"/>
  <c r="BM231" i="22"/>
  <c r="BL231" i="22"/>
  <c r="BK231" i="22"/>
  <c r="BF231" i="22"/>
  <c r="AZ231" i="22"/>
  <c r="AY231" i="22"/>
  <c r="AX231" i="22"/>
  <c r="AW231" i="22"/>
  <c r="AV231" i="22"/>
  <c r="Y231" i="22"/>
  <c r="Z231" i="22" s="1"/>
  <c r="K231" i="22"/>
  <c r="M231" i="22" s="1"/>
  <c r="BP230" i="22"/>
  <c r="BO230" i="22"/>
  <c r="BN230" i="22"/>
  <c r="BM230" i="22"/>
  <c r="BL230" i="22"/>
  <c r="BK230" i="22"/>
  <c r="BF230" i="22"/>
  <c r="AZ230" i="22"/>
  <c r="AY230" i="22"/>
  <c r="AX230" i="22"/>
  <c r="AW230" i="22"/>
  <c r="AV230" i="22"/>
  <c r="Y230" i="22"/>
  <c r="Z230" i="22" s="1"/>
  <c r="K230" i="22"/>
  <c r="M230" i="22" s="1"/>
  <c r="BP229" i="22"/>
  <c r="BO229" i="22"/>
  <c r="BN229" i="22"/>
  <c r="BM229" i="22"/>
  <c r="BL229" i="22"/>
  <c r="BK229" i="22"/>
  <c r="BF229" i="22"/>
  <c r="AZ229" i="22"/>
  <c r="AY229" i="22"/>
  <c r="AX229" i="22"/>
  <c r="AW229" i="22"/>
  <c r="AV229" i="22"/>
  <c r="Y229" i="22"/>
  <c r="Z229" i="22" s="1"/>
  <c r="K229" i="22"/>
  <c r="M229" i="22" s="1"/>
  <c r="BP228" i="22"/>
  <c r="BO228" i="22"/>
  <c r="BN228" i="22"/>
  <c r="BM228" i="22"/>
  <c r="BL228" i="22"/>
  <c r="BK228" i="22"/>
  <c r="BF228" i="22"/>
  <c r="AZ228" i="22"/>
  <c r="AY228" i="22"/>
  <c r="AX228" i="22"/>
  <c r="AW228" i="22"/>
  <c r="AV228" i="22"/>
  <c r="Y228" i="22"/>
  <c r="Z228" i="22" s="1"/>
  <c r="K228" i="22"/>
  <c r="M228" i="22" s="1"/>
  <c r="P228" i="22" s="1"/>
  <c r="BP227" i="22"/>
  <c r="BO227" i="22"/>
  <c r="BN227" i="22"/>
  <c r="BM227" i="22"/>
  <c r="BL227" i="22"/>
  <c r="BK227" i="22"/>
  <c r="BF227" i="22"/>
  <c r="AZ227" i="22"/>
  <c r="AY227" i="22"/>
  <c r="AX227" i="22"/>
  <c r="AW227" i="22"/>
  <c r="AV227" i="22"/>
  <c r="Y227" i="22"/>
  <c r="Z227" i="22" s="1"/>
  <c r="K227" i="22"/>
  <c r="M227" i="22" s="1"/>
  <c r="V227" i="22" s="1"/>
  <c r="BP226" i="22"/>
  <c r="BO226" i="22"/>
  <c r="BN226" i="22"/>
  <c r="BM226" i="22"/>
  <c r="BL226" i="22"/>
  <c r="BK226" i="22"/>
  <c r="BF226" i="22"/>
  <c r="AZ226" i="22"/>
  <c r="AY226" i="22"/>
  <c r="AX226" i="22"/>
  <c r="AW226" i="22"/>
  <c r="AV226" i="22"/>
  <c r="Y226" i="22"/>
  <c r="Z226" i="22" s="1"/>
  <c r="K226" i="22"/>
  <c r="M226" i="22" s="1"/>
  <c r="P226" i="22" s="1"/>
  <c r="BP225" i="22"/>
  <c r="BO225" i="22"/>
  <c r="BN225" i="22"/>
  <c r="BM225" i="22"/>
  <c r="BL225" i="22"/>
  <c r="BK225" i="22"/>
  <c r="BF225" i="22"/>
  <c r="AZ225" i="22"/>
  <c r="AY225" i="22"/>
  <c r="AX225" i="22"/>
  <c r="AW225" i="22"/>
  <c r="AV225" i="22"/>
  <c r="Y225" i="22"/>
  <c r="Z225" i="22" s="1"/>
  <c r="K225" i="22"/>
  <c r="M225" i="22" s="1"/>
  <c r="BP224" i="22"/>
  <c r="BO224" i="22"/>
  <c r="BN224" i="22"/>
  <c r="BM224" i="22"/>
  <c r="BL224" i="22"/>
  <c r="BK224" i="22"/>
  <c r="BF224" i="22"/>
  <c r="AZ224" i="22"/>
  <c r="AY224" i="22"/>
  <c r="AX224" i="22"/>
  <c r="AW224" i="22"/>
  <c r="AV224" i="22"/>
  <c r="Y224" i="22"/>
  <c r="Z224" i="22" s="1"/>
  <c r="K224" i="22"/>
  <c r="M224" i="22" s="1"/>
  <c r="BP223" i="22"/>
  <c r="BO223" i="22"/>
  <c r="BN223" i="22"/>
  <c r="BM223" i="22"/>
  <c r="BL223" i="22"/>
  <c r="BK223" i="22"/>
  <c r="BF223" i="22"/>
  <c r="AZ223" i="22"/>
  <c r="AY223" i="22"/>
  <c r="AX223" i="22"/>
  <c r="AW223" i="22"/>
  <c r="AV223" i="22"/>
  <c r="Y223" i="22"/>
  <c r="Z223" i="22" s="1"/>
  <c r="K223" i="22"/>
  <c r="M223" i="22" s="1"/>
  <c r="BP222" i="22"/>
  <c r="BO222" i="22"/>
  <c r="BN222" i="22"/>
  <c r="BM222" i="22"/>
  <c r="BL222" i="22"/>
  <c r="BK222" i="22"/>
  <c r="BF222" i="22"/>
  <c r="AZ222" i="22"/>
  <c r="AY222" i="22"/>
  <c r="AX222" i="22"/>
  <c r="AW222" i="22"/>
  <c r="AV222" i="22"/>
  <c r="Y222" i="22"/>
  <c r="Z222" i="22" s="1"/>
  <c r="K222" i="22"/>
  <c r="M222" i="22" s="1"/>
  <c r="BP221" i="22"/>
  <c r="BO221" i="22"/>
  <c r="BN221" i="22"/>
  <c r="BM221" i="22"/>
  <c r="BL221" i="22"/>
  <c r="BK221" i="22"/>
  <c r="BF221" i="22"/>
  <c r="AZ221" i="22"/>
  <c r="AY221" i="22"/>
  <c r="AX221" i="22"/>
  <c r="AW221" i="22"/>
  <c r="AV221" i="22"/>
  <c r="Y221" i="22"/>
  <c r="Z221" i="22" s="1"/>
  <c r="K221" i="22"/>
  <c r="M221" i="22" s="1"/>
  <c r="BP220" i="22"/>
  <c r="BO220" i="22"/>
  <c r="BN220" i="22"/>
  <c r="BM220" i="22"/>
  <c r="BL220" i="22"/>
  <c r="BK220" i="22"/>
  <c r="BF220" i="22"/>
  <c r="AZ220" i="22"/>
  <c r="AY220" i="22"/>
  <c r="AX220" i="22"/>
  <c r="AW220" i="22"/>
  <c r="AV220" i="22"/>
  <c r="Y220" i="22"/>
  <c r="Z220" i="22" s="1"/>
  <c r="K220" i="22"/>
  <c r="M220" i="22" s="1"/>
  <c r="BP219" i="22"/>
  <c r="BO219" i="22"/>
  <c r="BN219" i="22"/>
  <c r="BM219" i="22"/>
  <c r="BL219" i="22"/>
  <c r="BK219" i="22"/>
  <c r="BF219" i="22"/>
  <c r="AZ219" i="22"/>
  <c r="AY219" i="22"/>
  <c r="AX219" i="22"/>
  <c r="AW219" i="22"/>
  <c r="AV219" i="22"/>
  <c r="Y219" i="22"/>
  <c r="Z219" i="22" s="1"/>
  <c r="K219" i="22"/>
  <c r="M219" i="22" s="1"/>
  <c r="BP218" i="22"/>
  <c r="BO218" i="22"/>
  <c r="BN218" i="22"/>
  <c r="BM218" i="22"/>
  <c r="BL218" i="22"/>
  <c r="BK218" i="22"/>
  <c r="BF218" i="22"/>
  <c r="AZ218" i="22"/>
  <c r="AY218" i="22"/>
  <c r="AX218" i="22"/>
  <c r="AW218" i="22"/>
  <c r="AV218" i="22"/>
  <c r="Y218" i="22"/>
  <c r="Z218" i="22" s="1"/>
  <c r="K218" i="22"/>
  <c r="M218" i="22" s="1"/>
  <c r="V218" i="22" s="1"/>
  <c r="BP217" i="22"/>
  <c r="BO217" i="22"/>
  <c r="BN217" i="22"/>
  <c r="BM217" i="22"/>
  <c r="BL217" i="22"/>
  <c r="BK217" i="22"/>
  <c r="BF217" i="22"/>
  <c r="AZ217" i="22"/>
  <c r="AY217" i="22"/>
  <c r="AX217" i="22"/>
  <c r="AW217" i="22"/>
  <c r="AV217" i="22"/>
  <c r="Y217" i="22"/>
  <c r="Z217" i="22" s="1"/>
  <c r="K217" i="22"/>
  <c r="M217" i="22" s="1"/>
  <c r="BP216" i="22"/>
  <c r="BO216" i="22"/>
  <c r="BN216" i="22"/>
  <c r="BM216" i="22"/>
  <c r="BL216" i="22"/>
  <c r="BK216" i="22"/>
  <c r="BF216" i="22"/>
  <c r="AZ216" i="22"/>
  <c r="AY216" i="22"/>
  <c r="AX216" i="22"/>
  <c r="AW216" i="22"/>
  <c r="AV216" i="22"/>
  <c r="Y216" i="22"/>
  <c r="Z216" i="22" s="1"/>
  <c r="K216" i="22"/>
  <c r="M216" i="22" s="1"/>
  <c r="V216" i="22" s="1"/>
  <c r="BP215" i="22"/>
  <c r="BO215" i="22"/>
  <c r="BN215" i="22"/>
  <c r="BM215" i="22"/>
  <c r="BL215" i="22"/>
  <c r="BK215" i="22"/>
  <c r="BF215" i="22"/>
  <c r="AZ215" i="22"/>
  <c r="AY215" i="22"/>
  <c r="AX215" i="22"/>
  <c r="AW215" i="22"/>
  <c r="AV215" i="22"/>
  <c r="Y215" i="22"/>
  <c r="Z215" i="22" s="1"/>
  <c r="K215" i="22"/>
  <c r="M215" i="22" s="1"/>
  <c r="V215" i="22" s="1"/>
  <c r="BP214" i="22"/>
  <c r="BO214" i="22"/>
  <c r="BN214" i="22"/>
  <c r="BM214" i="22"/>
  <c r="BL214" i="22"/>
  <c r="BK214" i="22"/>
  <c r="BF214" i="22"/>
  <c r="AZ214" i="22"/>
  <c r="AY214" i="22"/>
  <c r="AX214" i="22"/>
  <c r="AW214" i="22"/>
  <c r="AV214" i="22"/>
  <c r="Y214" i="22"/>
  <c r="Z214" i="22" s="1"/>
  <c r="K214" i="22"/>
  <c r="M214" i="22" s="1"/>
  <c r="BP213" i="22"/>
  <c r="BO213" i="22"/>
  <c r="BN213" i="22"/>
  <c r="BM213" i="22"/>
  <c r="BL213" i="22"/>
  <c r="BK213" i="22"/>
  <c r="BF213" i="22"/>
  <c r="AZ213" i="22"/>
  <c r="AY213" i="22"/>
  <c r="AX213" i="22"/>
  <c r="AW213" i="22"/>
  <c r="AV213" i="22"/>
  <c r="Y213" i="22"/>
  <c r="Z213" i="22" s="1"/>
  <c r="K213" i="22"/>
  <c r="M213" i="22" s="1"/>
  <c r="BP212" i="22"/>
  <c r="BO212" i="22"/>
  <c r="BN212" i="22"/>
  <c r="BM212" i="22"/>
  <c r="BL212" i="22"/>
  <c r="BK212" i="22"/>
  <c r="BF212" i="22"/>
  <c r="AZ212" i="22"/>
  <c r="AY212" i="22"/>
  <c r="AX212" i="22"/>
  <c r="AW212" i="22"/>
  <c r="AV212" i="22"/>
  <c r="Y212" i="22"/>
  <c r="Z212" i="22" s="1"/>
  <c r="K212" i="22"/>
  <c r="M212" i="22" s="1"/>
  <c r="BP211" i="22"/>
  <c r="BO211" i="22"/>
  <c r="BN211" i="22"/>
  <c r="BM211" i="22"/>
  <c r="BL211" i="22"/>
  <c r="BK211" i="22"/>
  <c r="BF211" i="22"/>
  <c r="AZ211" i="22"/>
  <c r="AY211" i="22"/>
  <c r="AX211" i="22"/>
  <c r="AW211" i="22"/>
  <c r="AV211" i="22"/>
  <c r="Y211" i="22"/>
  <c r="Z211" i="22" s="1"/>
  <c r="K211" i="22"/>
  <c r="M211" i="22" s="1"/>
  <c r="V211" i="22" s="1"/>
  <c r="BP210" i="22"/>
  <c r="BO210" i="22"/>
  <c r="BN210" i="22"/>
  <c r="BM210" i="22"/>
  <c r="BL210" i="22"/>
  <c r="BK210" i="22"/>
  <c r="BF210" i="22"/>
  <c r="AZ210" i="22"/>
  <c r="AY210" i="22"/>
  <c r="AX210" i="22"/>
  <c r="AW210" i="22"/>
  <c r="AV210" i="22"/>
  <c r="Y210" i="22"/>
  <c r="Z210" i="22" s="1"/>
  <c r="K210" i="22"/>
  <c r="M210" i="22" s="1"/>
  <c r="P210" i="22" s="1"/>
  <c r="BP209" i="22"/>
  <c r="BO209" i="22"/>
  <c r="BN209" i="22"/>
  <c r="BM209" i="22"/>
  <c r="BL209" i="22"/>
  <c r="BK209" i="22"/>
  <c r="BF209" i="22"/>
  <c r="AZ209" i="22"/>
  <c r="AY209" i="22"/>
  <c r="AX209" i="22"/>
  <c r="AW209" i="22"/>
  <c r="AV209" i="22"/>
  <c r="Y209" i="22"/>
  <c r="Z209" i="22" s="1"/>
  <c r="K209" i="22"/>
  <c r="M209" i="22" s="1"/>
  <c r="BP208" i="22"/>
  <c r="BO208" i="22"/>
  <c r="BN208" i="22"/>
  <c r="BM208" i="22"/>
  <c r="BL208" i="22"/>
  <c r="BK208" i="22"/>
  <c r="BF208" i="22"/>
  <c r="AZ208" i="22"/>
  <c r="AY208" i="22"/>
  <c r="AX208" i="22"/>
  <c r="AW208" i="22"/>
  <c r="AV208" i="22"/>
  <c r="Y208" i="22"/>
  <c r="Z208" i="22" s="1"/>
  <c r="K208" i="22"/>
  <c r="M208" i="22" s="1"/>
  <c r="BP207" i="22"/>
  <c r="BO207" i="22"/>
  <c r="BN207" i="22"/>
  <c r="BM207" i="22"/>
  <c r="BL207" i="22"/>
  <c r="BK207" i="22"/>
  <c r="BF207" i="22"/>
  <c r="AZ207" i="22"/>
  <c r="AY207" i="22"/>
  <c r="AX207" i="22"/>
  <c r="AW207" i="22"/>
  <c r="AV207" i="22"/>
  <c r="Y207" i="22"/>
  <c r="Z207" i="22" s="1"/>
  <c r="K207" i="22"/>
  <c r="M207" i="22" s="1"/>
  <c r="BP206" i="22"/>
  <c r="BO206" i="22"/>
  <c r="BN206" i="22"/>
  <c r="BM206" i="22"/>
  <c r="BL206" i="22"/>
  <c r="BK206" i="22"/>
  <c r="BF206" i="22"/>
  <c r="AZ206" i="22"/>
  <c r="AY206" i="22"/>
  <c r="AX206" i="22"/>
  <c r="AW206" i="22"/>
  <c r="AV206" i="22"/>
  <c r="Y206" i="22"/>
  <c r="Z206" i="22" s="1"/>
  <c r="K206" i="22"/>
  <c r="M206" i="22" s="1"/>
  <c r="BP205" i="22"/>
  <c r="BO205" i="22"/>
  <c r="BN205" i="22"/>
  <c r="BM205" i="22"/>
  <c r="BL205" i="22"/>
  <c r="BK205" i="22"/>
  <c r="BF205" i="22"/>
  <c r="AZ205" i="22"/>
  <c r="AY205" i="22"/>
  <c r="AX205" i="22"/>
  <c r="AW205" i="22"/>
  <c r="AV205" i="22"/>
  <c r="Y205" i="22"/>
  <c r="Z205" i="22" s="1"/>
  <c r="K205" i="22"/>
  <c r="M205" i="22" s="1"/>
  <c r="Q205" i="22" s="1"/>
  <c r="BP204" i="22"/>
  <c r="BO204" i="22"/>
  <c r="BN204" i="22"/>
  <c r="BM204" i="22"/>
  <c r="BL204" i="22"/>
  <c r="BK204" i="22"/>
  <c r="BF204" i="22"/>
  <c r="AZ204" i="22"/>
  <c r="AY204" i="22"/>
  <c r="AX204" i="22"/>
  <c r="AW204" i="22"/>
  <c r="AV204" i="22"/>
  <c r="Y204" i="22"/>
  <c r="Z204" i="22" s="1"/>
  <c r="K204" i="22"/>
  <c r="M204" i="22" s="1"/>
  <c r="BP203" i="22"/>
  <c r="BO203" i="22"/>
  <c r="BN203" i="22"/>
  <c r="BM203" i="22"/>
  <c r="BL203" i="22"/>
  <c r="BK203" i="22"/>
  <c r="BF203" i="22"/>
  <c r="AZ203" i="22"/>
  <c r="AY203" i="22"/>
  <c r="AX203" i="22"/>
  <c r="AW203" i="22"/>
  <c r="AV203" i="22"/>
  <c r="Y203" i="22"/>
  <c r="Z203" i="22" s="1"/>
  <c r="K203" i="22"/>
  <c r="M203" i="22" s="1"/>
  <c r="P203" i="22" s="1"/>
  <c r="BP202" i="22"/>
  <c r="BO202" i="22"/>
  <c r="BN202" i="22"/>
  <c r="BM202" i="22"/>
  <c r="BL202" i="22"/>
  <c r="BK202" i="22"/>
  <c r="BF202" i="22"/>
  <c r="AZ202" i="22"/>
  <c r="AY202" i="22"/>
  <c r="AX202" i="22"/>
  <c r="AW202" i="22"/>
  <c r="AV202" i="22"/>
  <c r="Y202" i="22"/>
  <c r="Z202" i="22" s="1"/>
  <c r="K202" i="22"/>
  <c r="M202" i="22" s="1"/>
  <c r="V202" i="22" s="1"/>
  <c r="BP201" i="22"/>
  <c r="BO201" i="22"/>
  <c r="BN201" i="22"/>
  <c r="BM201" i="22"/>
  <c r="BL201" i="22"/>
  <c r="BK201" i="22"/>
  <c r="BF201" i="22"/>
  <c r="AZ201" i="22"/>
  <c r="AY201" i="22"/>
  <c r="AX201" i="22"/>
  <c r="AW201" i="22"/>
  <c r="AV201" i="22"/>
  <c r="Y201" i="22"/>
  <c r="Z201" i="22" s="1"/>
  <c r="K201" i="22"/>
  <c r="M201" i="22" s="1"/>
  <c r="BP200" i="22"/>
  <c r="BO200" i="22"/>
  <c r="BN200" i="22"/>
  <c r="BM200" i="22"/>
  <c r="BL200" i="22"/>
  <c r="BK200" i="22"/>
  <c r="BF200" i="22"/>
  <c r="AZ200" i="22"/>
  <c r="AY200" i="22"/>
  <c r="AX200" i="22"/>
  <c r="AW200" i="22"/>
  <c r="AV200" i="22"/>
  <c r="Y200" i="22"/>
  <c r="Z200" i="22" s="1"/>
  <c r="K200" i="22"/>
  <c r="M200" i="22" s="1"/>
  <c r="V200" i="22" s="1"/>
  <c r="BP199" i="22"/>
  <c r="BO199" i="22"/>
  <c r="BN199" i="22"/>
  <c r="BM199" i="22"/>
  <c r="BL199" i="22"/>
  <c r="BK199" i="22"/>
  <c r="BF199" i="22"/>
  <c r="AZ199" i="22"/>
  <c r="AY199" i="22"/>
  <c r="AX199" i="22"/>
  <c r="AW199" i="22"/>
  <c r="AV199" i="22"/>
  <c r="Y199" i="22"/>
  <c r="Z199" i="22" s="1"/>
  <c r="K199" i="22"/>
  <c r="M199" i="22" s="1"/>
  <c r="BP198" i="22"/>
  <c r="BO198" i="22"/>
  <c r="BN198" i="22"/>
  <c r="BM198" i="22"/>
  <c r="BL198" i="22"/>
  <c r="BK198" i="22"/>
  <c r="BF198" i="22"/>
  <c r="AZ198" i="22"/>
  <c r="AY198" i="22"/>
  <c r="AX198" i="22"/>
  <c r="AW198" i="22"/>
  <c r="AV198" i="22"/>
  <c r="Y198" i="22"/>
  <c r="Z198" i="22" s="1"/>
  <c r="K198" i="22"/>
  <c r="M198" i="22" s="1"/>
  <c r="BP197" i="22"/>
  <c r="BO197" i="22"/>
  <c r="BN197" i="22"/>
  <c r="BM197" i="22"/>
  <c r="BL197" i="22"/>
  <c r="BK197" i="22"/>
  <c r="BF197" i="22"/>
  <c r="AZ197" i="22"/>
  <c r="AY197" i="22"/>
  <c r="AX197" i="22"/>
  <c r="AW197" i="22"/>
  <c r="AV197" i="22"/>
  <c r="Y197" i="22"/>
  <c r="Z197" i="22" s="1"/>
  <c r="K197" i="22"/>
  <c r="M197" i="22" s="1"/>
  <c r="BP196" i="22"/>
  <c r="BO196" i="22"/>
  <c r="BN196" i="22"/>
  <c r="BM196" i="22"/>
  <c r="BL196" i="22"/>
  <c r="BK196" i="22"/>
  <c r="BF196" i="22"/>
  <c r="AZ196" i="22"/>
  <c r="AY196" i="22"/>
  <c r="AX196" i="22"/>
  <c r="AW196" i="22"/>
  <c r="AV196" i="22"/>
  <c r="Y196" i="22"/>
  <c r="Z196" i="22" s="1"/>
  <c r="K196" i="22"/>
  <c r="M196" i="22" s="1"/>
  <c r="BP195" i="22"/>
  <c r="BO195" i="22"/>
  <c r="BN195" i="22"/>
  <c r="BM195" i="22"/>
  <c r="BL195" i="22"/>
  <c r="BK195" i="22"/>
  <c r="BF195" i="22"/>
  <c r="AZ195" i="22"/>
  <c r="AY195" i="22"/>
  <c r="AX195" i="22"/>
  <c r="AW195" i="22"/>
  <c r="AV195" i="22"/>
  <c r="Y195" i="22"/>
  <c r="Z195" i="22" s="1"/>
  <c r="K195" i="22"/>
  <c r="M195" i="22" s="1"/>
  <c r="BP194" i="22"/>
  <c r="BO194" i="22"/>
  <c r="BN194" i="22"/>
  <c r="BM194" i="22"/>
  <c r="BL194" i="22"/>
  <c r="BK194" i="22"/>
  <c r="BF194" i="22"/>
  <c r="AZ194" i="22"/>
  <c r="AY194" i="22"/>
  <c r="AX194" i="22"/>
  <c r="AW194" i="22"/>
  <c r="AV194" i="22"/>
  <c r="Y194" i="22"/>
  <c r="Z194" i="22" s="1"/>
  <c r="K194" i="22"/>
  <c r="M194" i="22" s="1"/>
  <c r="P194" i="22" s="1"/>
  <c r="BP193" i="22"/>
  <c r="BO193" i="22"/>
  <c r="BN193" i="22"/>
  <c r="BM193" i="22"/>
  <c r="BL193" i="22"/>
  <c r="BK193" i="22"/>
  <c r="BF193" i="22"/>
  <c r="AZ193" i="22"/>
  <c r="AY193" i="22"/>
  <c r="AX193" i="22"/>
  <c r="AW193" i="22"/>
  <c r="AV193" i="22"/>
  <c r="Y193" i="22"/>
  <c r="Z193" i="22" s="1"/>
  <c r="K193" i="22"/>
  <c r="M193" i="22" s="1"/>
  <c r="V193" i="22" s="1"/>
  <c r="BB193" i="22" s="1"/>
  <c r="BP192" i="22"/>
  <c r="BO192" i="22"/>
  <c r="BN192" i="22"/>
  <c r="BM192" i="22"/>
  <c r="BL192" i="22"/>
  <c r="BK192" i="22"/>
  <c r="BF192" i="22"/>
  <c r="AZ192" i="22"/>
  <c r="AY192" i="22"/>
  <c r="AX192" i="22"/>
  <c r="AW192" i="22"/>
  <c r="AV192" i="22"/>
  <c r="Y192" i="22"/>
  <c r="Z192" i="22" s="1"/>
  <c r="K192" i="22"/>
  <c r="M192" i="22" s="1"/>
  <c r="BP191" i="22"/>
  <c r="BO191" i="22"/>
  <c r="BN191" i="22"/>
  <c r="BM191" i="22"/>
  <c r="BL191" i="22"/>
  <c r="BK191" i="22"/>
  <c r="BF191" i="22"/>
  <c r="AZ191" i="22"/>
  <c r="AY191" i="22"/>
  <c r="AX191" i="22"/>
  <c r="AW191" i="22"/>
  <c r="AV191" i="22"/>
  <c r="Y191" i="22"/>
  <c r="Z191" i="22" s="1"/>
  <c r="K191" i="22"/>
  <c r="M191" i="22" s="1"/>
  <c r="BP190" i="22"/>
  <c r="BO190" i="22"/>
  <c r="BN190" i="22"/>
  <c r="BM190" i="22"/>
  <c r="BL190" i="22"/>
  <c r="BK190" i="22"/>
  <c r="BF190" i="22"/>
  <c r="AZ190" i="22"/>
  <c r="AY190" i="22"/>
  <c r="AX190" i="22"/>
  <c r="AW190" i="22"/>
  <c r="AV190" i="22"/>
  <c r="Y190" i="22"/>
  <c r="Z190" i="22" s="1"/>
  <c r="K190" i="22"/>
  <c r="M190" i="22" s="1"/>
  <c r="BP189" i="22"/>
  <c r="BO189" i="22"/>
  <c r="BN189" i="22"/>
  <c r="BM189" i="22"/>
  <c r="BL189" i="22"/>
  <c r="BK189" i="22"/>
  <c r="BF189" i="22"/>
  <c r="AZ189" i="22"/>
  <c r="AY189" i="22"/>
  <c r="AX189" i="22"/>
  <c r="AW189" i="22"/>
  <c r="AV189" i="22"/>
  <c r="Y189" i="22"/>
  <c r="Z189" i="22" s="1"/>
  <c r="K189" i="22"/>
  <c r="M189" i="22" s="1"/>
  <c r="P189" i="22" s="1"/>
  <c r="BP188" i="22"/>
  <c r="BO188" i="22"/>
  <c r="BN188" i="22"/>
  <c r="BM188" i="22"/>
  <c r="BL188" i="22"/>
  <c r="BK188" i="22"/>
  <c r="BF188" i="22"/>
  <c r="AZ188" i="22"/>
  <c r="AY188" i="22"/>
  <c r="AX188" i="22"/>
  <c r="AW188" i="22"/>
  <c r="AV188" i="22"/>
  <c r="Y188" i="22"/>
  <c r="Z188" i="22" s="1"/>
  <c r="K188" i="22"/>
  <c r="M188" i="22" s="1"/>
  <c r="BP187" i="22"/>
  <c r="BO187" i="22"/>
  <c r="BN187" i="22"/>
  <c r="BM187" i="22"/>
  <c r="BL187" i="22"/>
  <c r="BK187" i="22"/>
  <c r="BF187" i="22"/>
  <c r="AZ187" i="22"/>
  <c r="AY187" i="22"/>
  <c r="AX187" i="22"/>
  <c r="AW187" i="22"/>
  <c r="AV187" i="22"/>
  <c r="Y187" i="22"/>
  <c r="Z187" i="22" s="1"/>
  <c r="K187" i="22"/>
  <c r="M187" i="22" s="1"/>
  <c r="P187" i="22" s="1"/>
  <c r="BP186" i="22"/>
  <c r="BO186" i="22"/>
  <c r="BN186" i="22"/>
  <c r="BM186" i="22"/>
  <c r="BL186" i="22"/>
  <c r="BK186" i="22"/>
  <c r="BF186" i="22"/>
  <c r="AZ186" i="22"/>
  <c r="AY186" i="22"/>
  <c r="AX186" i="22"/>
  <c r="AW186" i="22"/>
  <c r="AV186" i="22"/>
  <c r="Y186" i="22"/>
  <c r="Z186" i="22" s="1"/>
  <c r="K186" i="22"/>
  <c r="M186" i="22" s="1"/>
  <c r="V186" i="22" s="1"/>
  <c r="BB186" i="22" s="1"/>
  <c r="BP185" i="22"/>
  <c r="BO185" i="22"/>
  <c r="BN185" i="22"/>
  <c r="BM185" i="22"/>
  <c r="BL185" i="22"/>
  <c r="BK185" i="22"/>
  <c r="BF185" i="22"/>
  <c r="AZ185" i="22"/>
  <c r="AY185" i="22"/>
  <c r="AX185" i="22"/>
  <c r="AW185" i="22"/>
  <c r="AV185" i="22"/>
  <c r="Y185" i="22"/>
  <c r="Z185" i="22" s="1"/>
  <c r="K185" i="22"/>
  <c r="M185" i="22" s="1"/>
  <c r="BP184" i="22"/>
  <c r="BO184" i="22"/>
  <c r="BN184" i="22"/>
  <c r="BM184" i="22"/>
  <c r="BL184" i="22"/>
  <c r="BK184" i="22"/>
  <c r="BF184" i="22"/>
  <c r="AZ184" i="22"/>
  <c r="AY184" i="22"/>
  <c r="AX184" i="22"/>
  <c r="AW184" i="22"/>
  <c r="AV184" i="22"/>
  <c r="K184" i="22"/>
  <c r="M184" i="22" s="1"/>
  <c r="V184" i="22" s="1"/>
  <c r="BB184" i="22" s="1"/>
  <c r="BP183" i="22"/>
  <c r="BO183" i="22"/>
  <c r="BN183" i="22"/>
  <c r="BM183" i="22"/>
  <c r="BL183" i="22"/>
  <c r="BK183" i="22"/>
  <c r="BF183" i="22"/>
  <c r="AZ183" i="22"/>
  <c r="AY183" i="22"/>
  <c r="AX183" i="22"/>
  <c r="AW183" i="22"/>
  <c r="AV183" i="22"/>
  <c r="Y183" i="22"/>
  <c r="Z183" i="22" s="1"/>
  <c r="K183" i="22"/>
  <c r="M183" i="22" s="1"/>
  <c r="BP182" i="22"/>
  <c r="BO182" i="22"/>
  <c r="BN182" i="22"/>
  <c r="BM182" i="22"/>
  <c r="BL182" i="22"/>
  <c r="BK182" i="22"/>
  <c r="BF182" i="22"/>
  <c r="AZ182" i="22"/>
  <c r="AY182" i="22"/>
  <c r="AX182" i="22"/>
  <c r="AW182" i="22"/>
  <c r="AV182" i="22"/>
  <c r="K182" i="22"/>
  <c r="M182" i="22" s="1"/>
  <c r="V182" i="22" s="1"/>
  <c r="BB182" i="22" s="1"/>
  <c r="BP181" i="22"/>
  <c r="BO181" i="22"/>
  <c r="BN181" i="22"/>
  <c r="BM181" i="22"/>
  <c r="BL181" i="22"/>
  <c r="BK181" i="22"/>
  <c r="BF181" i="22"/>
  <c r="AZ181" i="22"/>
  <c r="AY181" i="22"/>
  <c r="AX181" i="22"/>
  <c r="AW181" i="22"/>
  <c r="AV181" i="22"/>
  <c r="Y181" i="22"/>
  <c r="Z181" i="22" s="1"/>
  <c r="K181" i="22"/>
  <c r="M181" i="22" s="1"/>
  <c r="BP180" i="22"/>
  <c r="BO180" i="22"/>
  <c r="BN180" i="22"/>
  <c r="BM180" i="22"/>
  <c r="BL180" i="22"/>
  <c r="BK180" i="22"/>
  <c r="BF180" i="22"/>
  <c r="AZ180" i="22"/>
  <c r="AY180" i="22"/>
  <c r="AX180" i="22"/>
  <c r="AW180" i="22"/>
  <c r="AV180" i="22"/>
  <c r="Y180" i="22"/>
  <c r="Z180" i="22" s="1"/>
  <c r="K180" i="22"/>
  <c r="M180" i="22" s="1"/>
  <c r="BP179" i="22"/>
  <c r="BO179" i="22"/>
  <c r="BN179" i="22"/>
  <c r="BM179" i="22"/>
  <c r="BL179" i="22"/>
  <c r="BK179" i="22"/>
  <c r="BF179" i="22"/>
  <c r="AZ179" i="22"/>
  <c r="AY179" i="22"/>
  <c r="AX179" i="22"/>
  <c r="AW179" i="22"/>
  <c r="AV179" i="22"/>
  <c r="Y179" i="22"/>
  <c r="Z179" i="22" s="1"/>
  <c r="K179" i="22"/>
  <c r="M179" i="22" s="1"/>
  <c r="P179" i="22" s="1"/>
  <c r="BP178" i="22"/>
  <c r="BO178" i="22"/>
  <c r="BN178" i="22"/>
  <c r="BM178" i="22"/>
  <c r="BL178" i="22"/>
  <c r="BK178" i="22"/>
  <c r="BF178" i="22"/>
  <c r="AZ178" i="22"/>
  <c r="AY178" i="22"/>
  <c r="AX178" i="22"/>
  <c r="AW178" i="22"/>
  <c r="AV178" i="22"/>
  <c r="Y178" i="22"/>
  <c r="Z178" i="22" s="1"/>
  <c r="K178" i="22"/>
  <c r="M178" i="22" s="1"/>
  <c r="Q178" i="22" s="1"/>
  <c r="BP177" i="22"/>
  <c r="BO177" i="22"/>
  <c r="BN177" i="22"/>
  <c r="BM177" i="22"/>
  <c r="BL177" i="22"/>
  <c r="BK177" i="22"/>
  <c r="BF177" i="22"/>
  <c r="AZ177" i="22"/>
  <c r="AY177" i="22"/>
  <c r="AX177" i="22"/>
  <c r="AW177" i="22"/>
  <c r="AV177" i="22"/>
  <c r="Y177" i="22"/>
  <c r="Z177" i="22" s="1"/>
  <c r="K177" i="22"/>
  <c r="M177" i="22" s="1"/>
  <c r="BP176" i="22"/>
  <c r="BO176" i="22"/>
  <c r="BN176" i="22"/>
  <c r="BM176" i="22"/>
  <c r="BL176" i="22"/>
  <c r="BK176" i="22"/>
  <c r="BF176" i="22"/>
  <c r="AZ176" i="22"/>
  <c r="AY176" i="22"/>
  <c r="AX176" i="22"/>
  <c r="AW176" i="22"/>
  <c r="AV176" i="22"/>
  <c r="Y176" i="22"/>
  <c r="Z176" i="22" s="1"/>
  <c r="K176" i="22"/>
  <c r="M176" i="22" s="1"/>
  <c r="P176" i="22" s="1"/>
  <c r="BP175" i="22"/>
  <c r="BO175" i="22"/>
  <c r="BN175" i="22"/>
  <c r="BM175" i="22"/>
  <c r="BL175" i="22"/>
  <c r="BK175" i="22"/>
  <c r="BF175" i="22"/>
  <c r="AZ175" i="22"/>
  <c r="AY175" i="22"/>
  <c r="AX175" i="22"/>
  <c r="AW175" i="22"/>
  <c r="AV175" i="22"/>
  <c r="Y175" i="22"/>
  <c r="Z175" i="22" s="1"/>
  <c r="K175" i="22"/>
  <c r="M175" i="22" s="1"/>
  <c r="V175" i="22" s="1"/>
  <c r="BB175" i="22" s="1"/>
  <c r="BP174" i="22"/>
  <c r="BO174" i="22"/>
  <c r="BN174" i="22"/>
  <c r="BM174" i="22"/>
  <c r="BL174" i="22"/>
  <c r="BK174" i="22"/>
  <c r="BF174" i="22"/>
  <c r="AZ174" i="22"/>
  <c r="AY174" i="22"/>
  <c r="AX174" i="22"/>
  <c r="AW174" i="22"/>
  <c r="AV174" i="22"/>
  <c r="Y174" i="22"/>
  <c r="Z174" i="22" s="1"/>
  <c r="K174" i="22"/>
  <c r="M174" i="22" s="1"/>
  <c r="BP173" i="22"/>
  <c r="BO173" i="22"/>
  <c r="BN173" i="22"/>
  <c r="BM173" i="22"/>
  <c r="BL173" i="22"/>
  <c r="BK173" i="22"/>
  <c r="BF173" i="22"/>
  <c r="AZ173" i="22"/>
  <c r="AY173" i="22"/>
  <c r="AX173" i="22"/>
  <c r="AW173" i="22"/>
  <c r="AV173" i="22"/>
  <c r="Y173" i="22"/>
  <c r="Z173" i="22" s="1"/>
  <c r="K173" i="22"/>
  <c r="M173" i="22" s="1"/>
  <c r="BP172" i="22"/>
  <c r="BO172" i="22"/>
  <c r="BN172" i="22"/>
  <c r="BM172" i="22"/>
  <c r="BL172" i="22"/>
  <c r="BK172" i="22"/>
  <c r="BF172" i="22"/>
  <c r="AZ172" i="22"/>
  <c r="AY172" i="22"/>
  <c r="AX172" i="22"/>
  <c r="AW172" i="22"/>
  <c r="AV172" i="22"/>
  <c r="Y172" i="22"/>
  <c r="Z172" i="22" s="1"/>
  <c r="K172" i="22"/>
  <c r="M172" i="22" s="1"/>
  <c r="BP171" i="22"/>
  <c r="BO171" i="22"/>
  <c r="BN171" i="22"/>
  <c r="BM171" i="22"/>
  <c r="BL171" i="22"/>
  <c r="BK171" i="22"/>
  <c r="BF171" i="22"/>
  <c r="AZ171" i="22"/>
  <c r="AY171" i="22"/>
  <c r="AX171" i="22"/>
  <c r="AW171" i="22"/>
  <c r="AV171" i="22"/>
  <c r="Y171" i="22"/>
  <c r="Z171" i="22" s="1"/>
  <c r="K171" i="22"/>
  <c r="M171" i="22" s="1"/>
  <c r="BP170" i="22"/>
  <c r="BO170" i="22"/>
  <c r="BN170" i="22"/>
  <c r="BM170" i="22"/>
  <c r="BL170" i="22"/>
  <c r="BK170" i="22"/>
  <c r="BF170" i="22"/>
  <c r="AZ170" i="22"/>
  <c r="AY170" i="22"/>
  <c r="AX170" i="22"/>
  <c r="AW170" i="22"/>
  <c r="AV170" i="22"/>
  <c r="Y170" i="22"/>
  <c r="Z170" i="22" s="1"/>
  <c r="K170" i="22"/>
  <c r="M170" i="22" s="1"/>
  <c r="BP169" i="22"/>
  <c r="BO169" i="22"/>
  <c r="BN169" i="22"/>
  <c r="BM169" i="22"/>
  <c r="BL169" i="22"/>
  <c r="BK169" i="22"/>
  <c r="BF169" i="22"/>
  <c r="AZ169" i="22"/>
  <c r="AY169" i="22"/>
  <c r="AX169" i="22"/>
  <c r="AW169" i="22"/>
  <c r="AV169" i="22"/>
  <c r="Y169" i="22"/>
  <c r="K169" i="22"/>
  <c r="M169" i="22" s="1"/>
  <c r="BP168" i="22"/>
  <c r="BO168" i="22"/>
  <c r="BN168" i="22"/>
  <c r="BM168" i="22"/>
  <c r="BL168" i="22"/>
  <c r="BK168" i="22"/>
  <c r="BF168" i="22"/>
  <c r="AZ168" i="22"/>
  <c r="AY168" i="22"/>
  <c r="AX168" i="22"/>
  <c r="AW168" i="22"/>
  <c r="AV168" i="22"/>
  <c r="Y168" i="22"/>
  <c r="Z168" i="22" s="1"/>
  <c r="K168" i="22"/>
  <c r="M168" i="22" s="1"/>
  <c r="BP167" i="22"/>
  <c r="BO167" i="22"/>
  <c r="BN167" i="22"/>
  <c r="BM167" i="22"/>
  <c r="BL167" i="22"/>
  <c r="BK167" i="22"/>
  <c r="BF167" i="22"/>
  <c r="AZ167" i="22"/>
  <c r="AY167" i="22"/>
  <c r="AX167" i="22"/>
  <c r="AW167" i="22"/>
  <c r="AV167" i="22"/>
  <c r="Y167" i="22"/>
  <c r="Z167" i="22" s="1"/>
  <c r="K167" i="22"/>
  <c r="M167" i="22" s="1"/>
  <c r="V167" i="22" s="1"/>
  <c r="BB167" i="22" s="1"/>
  <c r="BP166" i="22"/>
  <c r="BO166" i="22"/>
  <c r="BN166" i="22"/>
  <c r="BM166" i="22"/>
  <c r="BL166" i="22"/>
  <c r="BK166" i="22"/>
  <c r="BF166" i="22"/>
  <c r="AZ166" i="22"/>
  <c r="AY166" i="22"/>
  <c r="AX166" i="22"/>
  <c r="AW166" i="22"/>
  <c r="AV166" i="22"/>
  <c r="Y166" i="22"/>
  <c r="Z166" i="22" s="1"/>
  <c r="K166" i="22"/>
  <c r="M166" i="22" s="1"/>
  <c r="P166" i="22" s="1"/>
  <c r="BP165" i="22"/>
  <c r="BO165" i="22"/>
  <c r="BN165" i="22"/>
  <c r="BM165" i="22"/>
  <c r="BL165" i="22"/>
  <c r="BK165" i="22"/>
  <c r="BF165" i="22"/>
  <c r="AZ165" i="22"/>
  <c r="AY165" i="22"/>
  <c r="AX165" i="22"/>
  <c r="AW165" i="22"/>
  <c r="AV165" i="22"/>
  <c r="Y165" i="22"/>
  <c r="Z165" i="22" s="1"/>
  <c r="K165" i="22"/>
  <c r="M165" i="22" s="1"/>
  <c r="BP164" i="22"/>
  <c r="BO164" i="22"/>
  <c r="BN164" i="22"/>
  <c r="BM164" i="22"/>
  <c r="BL164" i="22"/>
  <c r="BK164" i="22"/>
  <c r="BF164" i="22"/>
  <c r="AZ164" i="22"/>
  <c r="AY164" i="22"/>
  <c r="AX164" i="22"/>
  <c r="AW164" i="22"/>
  <c r="AV164" i="22"/>
  <c r="Y164" i="22"/>
  <c r="Z164" i="22" s="1"/>
  <c r="K164" i="22"/>
  <c r="M164" i="22" s="1"/>
  <c r="BP163" i="22"/>
  <c r="BO163" i="22"/>
  <c r="BN163" i="22"/>
  <c r="BM163" i="22"/>
  <c r="BL163" i="22"/>
  <c r="BK163" i="22"/>
  <c r="BF163" i="22"/>
  <c r="AZ163" i="22"/>
  <c r="AY163" i="22"/>
  <c r="AX163" i="22"/>
  <c r="AW163" i="22"/>
  <c r="AV163" i="22"/>
  <c r="Y163" i="22"/>
  <c r="Z163" i="22" s="1"/>
  <c r="K163" i="22"/>
  <c r="M163" i="22" s="1"/>
  <c r="BP162" i="22"/>
  <c r="BO162" i="22"/>
  <c r="BN162" i="22"/>
  <c r="BM162" i="22"/>
  <c r="BL162" i="22"/>
  <c r="BK162" i="22"/>
  <c r="BF162" i="22"/>
  <c r="AZ162" i="22"/>
  <c r="AY162" i="22"/>
  <c r="AX162" i="22"/>
  <c r="AW162" i="22"/>
  <c r="AV162" i="22"/>
  <c r="Y162" i="22"/>
  <c r="Z162" i="22" s="1"/>
  <c r="K162" i="22"/>
  <c r="M162" i="22" s="1"/>
  <c r="BP161" i="22"/>
  <c r="BO161" i="22"/>
  <c r="BN161" i="22"/>
  <c r="BM161" i="22"/>
  <c r="BL161" i="22"/>
  <c r="BK161" i="22"/>
  <c r="BF161" i="22"/>
  <c r="AZ161" i="22"/>
  <c r="AY161" i="22"/>
  <c r="AX161" i="22"/>
  <c r="AW161" i="22"/>
  <c r="AV161" i="22"/>
  <c r="Y161" i="22"/>
  <c r="K161" i="22"/>
  <c r="M161" i="22" s="1"/>
  <c r="BP160" i="22"/>
  <c r="BO160" i="22"/>
  <c r="BN160" i="22"/>
  <c r="BM160" i="22"/>
  <c r="BL160" i="22"/>
  <c r="BK160" i="22"/>
  <c r="BF160" i="22"/>
  <c r="AZ160" i="22"/>
  <c r="AY160" i="22"/>
  <c r="AX160" i="22"/>
  <c r="AW160" i="22"/>
  <c r="AV160" i="22"/>
  <c r="Y160" i="22"/>
  <c r="Z160" i="22" s="1"/>
  <c r="K160" i="22"/>
  <c r="M160" i="22" s="1"/>
  <c r="BP159" i="22"/>
  <c r="BO159" i="22"/>
  <c r="BN159" i="22"/>
  <c r="BM159" i="22"/>
  <c r="BL159" i="22"/>
  <c r="BK159" i="22"/>
  <c r="BF159" i="22"/>
  <c r="AZ159" i="22"/>
  <c r="AY159" i="22"/>
  <c r="AX159" i="22"/>
  <c r="AW159" i="22"/>
  <c r="AV159" i="22"/>
  <c r="Y159" i="22"/>
  <c r="Z159" i="22" s="1"/>
  <c r="K159" i="22"/>
  <c r="M159" i="22" s="1"/>
  <c r="BP158" i="22"/>
  <c r="BO158" i="22"/>
  <c r="BN158" i="22"/>
  <c r="BM158" i="22"/>
  <c r="BL158" i="22"/>
  <c r="BK158" i="22"/>
  <c r="BF158" i="22"/>
  <c r="AZ158" i="22"/>
  <c r="AY158" i="22"/>
  <c r="AX158" i="22"/>
  <c r="AW158" i="22"/>
  <c r="AV158" i="22"/>
  <c r="Y158" i="22"/>
  <c r="Z158" i="22" s="1"/>
  <c r="K158" i="22"/>
  <c r="M158" i="22" s="1"/>
  <c r="P158" i="22" s="1"/>
  <c r="BP157" i="22"/>
  <c r="BO157" i="22"/>
  <c r="BN157" i="22"/>
  <c r="BM157" i="22"/>
  <c r="BL157" i="22"/>
  <c r="BK157" i="22"/>
  <c r="BF157" i="22"/>
  <c r="AZ157" i="22"/>
  <c r="AY157" i="22"/>
  <c r="AX157" i="22"/>
  <c r="AW157" i="22"/>
  <c r="AV157" i="22"/>
  <c r="Y157" i="22"/>
  <c r="Z157" i="22" s="1"/>
  <c r="K157" i="22"/>
  <c r="M157" i="22" s="1"/>
  <c r="BP156" i="22"/>
  <c r="BO156" i="22"/>
  <c r="BN156" i="22"/>
  <c r="BM156" i="22"/>
  <c r="BL156" i="22"/>
  <c r="BK156" i="22"/>
  <c r="BF156" i="22"/>
  <c r="AZ156" i="22"/>
  <c r="AY156" i="22"/>
  <c r="AX156" i="22"/>
  <c r="AW156" i="22"/>
  <c r="AV156" i="22"/>
  <c r="Y156" i="22"/>
  <c r="Z156" i="22" s="1"/>
  <c r="K156" i="22"/>
  <c r="M156" i="22" s="1"/>
  <c r="BP155" i="22"/>
  <c r="BO155" i="22"/>
  <c r="BN155" i="22"/>
  <c r="BM155" i="22"/>
  <c r="BL155" i="22"/>
  <c r="BK155" i="22"/>
  <c r="BF155" i="22"/>
  <c r="AZ155" i="22"/>
  <c r="AY155" i="22"/>
  <c r="AX155" i="22"/>
  <c r="AW155" i="22"/>
  <c r="AV155" i="22"/>
  <c r="Y155" i="22"/>
  <c r="Z155" i="22" s="1"/>
  <c r="K155" i="22"/>
  <c r="M155" i="22" s="1"/>
  <c r="BP154" i="22"/>
  <c r="BO154" i="22"/>
  <c r="BN154" i="22"/>
  <c r="BM154" i="22"/>
  <c r="BL154" i="22"/>
  <c r="BK154" i="22"/>
  <c r="BF154" i="22"/>
  <c r="AZ154" i="22"/>
  <c r="AY154" i="22"/>
  <c r="AX154" i="22"/>
  <c r="AW154" i="22"/>
  <c r="AV154" i="22"/>
  <c r="Y154" i="22"/>
  <c r="Z154" i="22" s="1"/>
  <c r="K154" i="22"/>
  <c r="M154" i="22" s="1"/>
  <c r="BP153" i="22"/>
  <c r="BO153" i="22"/>
  <c r="BN153" i="22"/>
  <c r="BM153" i="22"/>
  <c r="BL153" i="22"/>
  <c r="BK153" i="22"/>
  <c r="BF153" i="22"/>
  <c r="AZ153" i="22"/>
  <c r="AY153" i="22"/>
  <c r="AX153" i="22"/>
  <c r="AW153" i="22"/>
  <c r="AV153" i="22"/>
  <c r="Y153" i="22"/>
  <c r="Z153" i="22" s="1"/>
  <c r="K153" i="22"/>
  <c r="M153" i="22" s="1"/>
  <c r="BP152" i="22"/>
  <c r="BO152" i="22"/>
  <c r="BN152" i="22"/>
  <c r="BM152" i="22"/>
  <c r="BL152" i="22"/>
  <c r="BK152" i="22"/>
  <c r="BF152" i="22"/>
  <c r="AZ152" i="22"/>
  <c r="AY152" i="22"/>
  <c r="AX152" i="22"/>
  <c r="AW152" i="22"/>
  <c r="AV152" i="22"/>
  <c r="Y152" i="22"/>
  <c r="Z152" i="22" s="1"/>
  <c r="K152" i="22"/>
  <c r="M152" i="22" s="1"/>
  <c r="BP151" i="22"/>
  <c r="BO151" i="22"/>
  <c r="BN151" i="22"/>
  <c r="BM151" i="22"/>
  <c r="BL151" i="22"/>
  <c r="BK151" i="22"/>
  <c r="BF151" i="22"/>
  <c r="AZ151" i="22"/>
  <c r="AY151" i="22"/>
  <c r="AX151" i="22"/>
  <c r="AW151" i="22"/>
  <c r="AV151" i="22"/>
  <c r="Y151" i="22"/>
  <c r="Z151" i="22" s="1"/>
  <c r="K151" i="22"/>
  <c r="M151" i="22" s="1"/>
  <c r="BP150" i="22"/>
  <c r="BO150" i="22"/>
  <c r="BN150" i="22"/>
  <c r="BM150" i="22"/>
  <c r="BL150" i="22"/>
  <c r="BK150" i="22"/>
  <c r="BF150" i="22"/>
  <c r="AZ150" i="22"/>
  <c r="AY150" i="22"/>
  <c r="AX150" i="22"/>
  <c r="AW150" i="22"/>
  <c r="AV150" i="22"/>
  <c r="Y150" i="22"/>
  <c r="Z150" i="22" s="1"/>
  <c r="K150" i="22"/>
  <c r="M150" i="22" s="1"/>
  <c r="V150" i="22" s="1"/>
  <c r="BP149" i="22"/>
  <c r="BO149" i="22"/>
  <c r="BN149" i="22"/>
  <c r="BM149" i="22"/>
  <c r="BL149" i="22"/>
  <c r="BK149" i="22"/>
  <c r="BF149" i="22"/>
  <c r="AZ149" i="22"/>
  <c r="AY149" i="22"/>
  <c r="AX149" i="22"/>
  <c r="AW149" i="22"/>
  <c r="AV149" i="22"/>
  <c r="Y149" i="22"/>
  <c r="K149" i="22"/>
  <c r="M149" i="22" s="1"/>
  <c r="BP148" i="22"/>
  <c r="BO148" i="22"/>
  <c r="BN148" i="22"/>
  <c r="BM148" i="22"/>
  <c r="BL148" i="22"/>
  <c r="BK148" i="22"/>
  <c r="BF148" i="22"/>
  <c r="AZ148" i="22"/>
  <c r="AY148" i="22"/>
  <c r="AX148" i="22"/>
  <c r="AW148" i="22"/>
  <c r="AV148" i="22"/>
  <c r="Y148" i="22"/>
  <c r="Z148" i="22" s="1"/>
  <c r="K148" i="22"/>
  <c r="M148" i="22" s="1"/>
  <c r="V148" i="22" s="1"/>
  <c r="BP147" i="22"/>
  <c r="BO147" i="22"/>
  <c r="BN147" i="22"/>
  <c r="BM147" i="22"/>
  <c r="BL147" i="22"/>
  <c r="BK147" i="22"/>
  <c r="BF147" i="22"/>
  <c r="AZ147" i="22"/>
  <c r="AY147" i="22"/>
  <c r="AX147" i="22"/>
  <c r="AW147" i="22"/>
  <c r="AV147" i="22"/>
  <c r="Y147" i="22"/>
  <c r="Z147" i="22" s="1"/>
  <c r="K147" i="22"/>
  <c r="M147" i="22" s="1"/>
  <c r="BP146" i="22"/>
  <c r="BO146" i="22"/>
  <c r="BN146" i="22"/>
  <c r="BM146" i="22"/>
  <c r="BL146" i="22"/>
  <c r="BK146" i="22"/>
  <c r="BF146" i="22"/>
  <c r="AZ146" i="22"/>
  <c r="AY146" i="22"/>
  <c r="AX146" i="22"/>
  <c r="AW146" i="22"/>
  <c r="AV146" i="22"/>
  <c r="Y146" i="22"/>
  <c r="Z146" i="22" s="1"/>
  <c r="K146" i="22"/>
  <c r="M146" i="22" s="1"/>
  <c r="BP145" i="22"/>
  <c r="BO145" i="22"/>
  <c r="BN145" i="22"/>
  <c r="BM145" i="22"/>
  <c r="BL145" i="22"/>
  <c r="BK145" i="22"/>
  <c r="BF145" i="22"/>
  <c r="AZ145" i="22"/>
  <c r="AY145" i="22"/>
  <c r="AX145" i="22"/>
  <c r="AW145" i="22"/>
  <c r="AV145" i="22"/>
  <c r="Y145" i="22"/>
  <c r="Z145" i="22" s="1"/>
  <c r="K145" i="22"/>
  <c r="M145" i="22" s="1"/>
  <c r="BP144" i="22"/>
  <c r="BO144" i="22"/>
  <c r="BN144" i="22"/>
  <c r="BM144" i="22"/>
  <c r="BL144" i="22"/>
  <c r="BK144" i="22"/>
  <c r="BF144" i="22"/>
  <c r="AZ144" i="22"/>
  <c r="AY144" i="22"/>
  <c r="AX144" i="22"/>
  <c r="AW144" i="22"/>
  <c r="AV144" i="22"/>
  <c r="Y144" i="22"/>
  <c r="Z144" i="22" s="1"/>
  <c r="K144" i="22"/>
  <c r="M144" i="22" s="1"/>
  <c r="P144" i="22" s="1"/>
  <c r="BP143" i="22"/>
  <c r="BO143" i="22"/>
  <c r="BN143" i="22"/>
  <c r="BM143" i="22"/>
  <c r="BL143" i="22"/>
  <c r="BK143" i="22"/>
  <c r="BF143" i="22"/>
  <c r="AZ143" i="22"/>
  <c r="AY143" i="22"/>
  <c r="AX143" i="22"/>
  <c r="AW143" i="22"/>
  <c r="AV143" i="22"/>
  <c r="Y143" i="22"/>
  <c r="Z143" i="22" s="1"/>
  <c r="K143" i="22"/>
  <c r="M143" i="22" s="1"/>
  <c r="BP142" i="22"/>
  <c r="BO142" i="22"/>
  <c r="BN142" i="22"/>
  <c r="BM142" i="22"/>
  <c r="BL142" i="22"/>
  <c r="BK142" i="22"/>
  <c r="BF142" i="22"/>
  <c r="AZ142" i="22"/>
  <c r="AY142" i="22"/>
  <c r="AX142" i="22"/>
  <c r="AW142" i="22"/>
  <c r="AV142" i="22"/>
  <c r="Y142" i="22"/>
  <c r="Z142" i="22" s="1"/>
  <c r="K142" i="22"/>
  <c r="M142" i="22" s="1"/>
  <c r="P142" i="22" s="1"/>
  <c r="BP141" i="22"/>
  <c r="BO141" i="22"/>
  <c r="BN141" i="22"/>
  <c r="BM141" i="22"/>
  <c r="BL141" i="22"/>
  <c r="BK141" i="22"/>
  <c r="BF141" i="22"/>
  <c r="AZ141" i="22"/>
  <c r="AY141" i="22"/>
  <c r="AX141" i="22"/>
  <c r="AW141" i="22"/>
  <c r="AV141" i="22"/>
  <c r="Y141" i="22"/>
  <c r="Z141" i="22" s="1"/>
  <c r="K141" i="22"/>
  <c r="M141" i="22" s="1"/>
  <c r="P141" i="22" s="1"/>
  <c r="BP140" i="22"/>
  <c r="BO140" i="22"/>
  <c r="BN140" i="22"/>
  <c r="BM140" i="22"/>
  <c r="BL140" i="22"/>
  <c r="BK140" i="22"/>
  <c r="BF140" i="22"/>
  <c r="AZ140" i="22"/>
  <c r="AY140" i="22"/>
  <c r="AX140" i="22"/>
  <c r="AW140" i="22"/>
  <c r="AV140" i="22"/>
  <c r="Y140" i="22"/>
  <c r="Z140" i="22" s="1"/>
  <c r="K140" i="22"/>
  <c r="M140" i="22" s="1"/>
  <c r="BP139" i="22"/>
  <c r="BO139" i="22"/>
  <c r="BN139" i="22"/>
  <c r="BM139" i="22"/>
  <c r="BL139" i="22"/>
  <c r="BK139" i="22"/>
  <c r="BF139" i="22"/>
  <c r="AZ139" i="22"/>
  <c r="AY139" i="22"/>
  <c r="AX139" i="22"/>
  <c r="AW139" i="22"/>
  <c r="AV139" i="22"/>
  <c r="Y139" i="22"/>
  <c r="Z139" i="22" s="1"/>
  <c r="K139" i="22"/>
  <c r="M139" i="22" s="1"/>
  <c r="BP138" i="22"/>
  <c r="BO138" i="22"/>
  <c r="BN138" i="22"/>
  <c r="BM138" i="22"/>
  <c r="BL138" i="22"/>
  <c r="BK138" i="22"/>
  <c r="BF138" i="22"/>
  <c r="AZ138" i="22"/>
  <c r="AY138" i="22"/>
  <c r="AX138" i="22"/>
  <c r="AW138" i="22"/>
  <c r="AV138" i="22"/>
  <c r="Y138" i="22"/>
  <c r="Z138" i="22" s="1"/>
  <c r="K138" i="22"/>
  <c r="M138" i="22" s="1"/>
  <c r="BP137" i="22"/>
  <c r="BO137" i="22"/>
  <c r="BN137" i="22"/>
  <c r="BM137" i="22"/>
  <c r="BL137" i="22"/>
  <c r="BK137" i="22"/>
  <c r="BF137" i="22"/>
  <c r="AZ137" i="22"/>
  <c r="AY137" i="22"/>
  <c r="AX137" i="22"/>
  <c r="AW137" i="22"/>
  <c r="AV137" i="22"/>
  <c r="Y137" i="22"/>
  <c r="Z137" i="22" s="1"/>
  <c r="K137" i="22"/>
  <c r="M137" i="22" s="1"/>
  <c r="BP136" i="22"/>
  <c r="BO136" i="22"/>
  <c r="BN136" i="22"/>
  <c r="BM136" i="22"/>
  <c r="BL136" i="22"/>
  <c r="BK136" i="22"/>
  <c r="BF136" i="22"/>
  <c r="AZ136" i="22"/>
  <c r="AY136" i="22"/>
  <c r="AX136" i="22"/>
  <c r="AW136" i="22"/>
  <c r="AV136" i="22"/>
  <c r="Y136" i="22"/>
  <c r="Z136" i="22" s="1"/>
  <c r="K136" i="22"/>
  <c r="M136" i="22" s="1"/>
  <c r="BP135" i="22"/>
  <c r="BO135" i="22"/>
  <c r="BN135" i="22"/>
  <c r="BM135" i="22"/>
  <c r="BL135" i="22"/>
  <c r="BK135" i="22"/>
  <c r="BF135" i="22"/>
  <c r="AZ135" i="22"/>
  <c r="AY135" i="22"/>
  <c r="AX135" i="22"/>
  <c r="AW135" i="22"/>
  <c r="AV135" i="22"/>
  <c r="Y135" i="22"/>
  <c r="Z135" i="22" s="1"/>
  <c r="K135" i="22"/>
  <c r="M135" i="22" s="1"/>
  <c r="BP134" i="22"/>
  <c r="BO134" i="22"/>
  <c r="BN134" i="22"/>
  <c r="BM134" i="22"/>
  <c r="BL134" i="22"/>
  <c r="BK134" i="22"/>
  <c r="BF134" i="22"/>
  <c r="AZ134" i="22"/>
  <c r="AY134" i="22"/>
  <c r="AX134" i="22"/>
  <c r="AW134" i="22"/>
  <c r="AV134" i="22"/>
  <c r="Y134" i="22"/>
  <c r="Z134" i="22" s="1"/>
  <c r="K134" i="22"/>
  <c r="M134" i="22" s="1"/>
  <c r="BP133" i="22"/>
  <c r="BO133" i="22"/>
  <c r="BN133" i="22"/>
  <c r="BM133" i="22"/>
  <c r="BL133" i="22"/>
  <c r="BK133" i="22"/>
  <c r="BF133" i="22"/>
  <c r="AZ133" i="22"/>
  <c r="AY133" i="22"/>
  <c r="AX133" i="22"/>
  <c r="AW133" i="22"/>
  <c r="AV133" i="22"/>
  <c r="Y133" i="22"/>
  <c r="Z133" i="22" s="1"/>
  <c r="K133" i="22"/>
  <c r="M133" i="22" s="1"/>
  <c r="P133" i="22" s="1"/>
  <c r="BP132" i="22"/>
  <c r="BO132" i="22"/>
  <c r="BN132" i="22"/>
  <c r="BM132" i="22"/>
  <c r="BL132" i="22"/>
  <c r="BK132" i="22"/>
  <c r="BF132" i="22"/>
  <c r="AZ132" i="22"/>
  <c r="AY132" i="22"/>
  <c r="AX132" i="22"/>
  <c r="AW132" i="22"/>
  <c r="AV132" i="22"/>
  <c r="Y132" i="22"/>
  <c r="Z132" i="22" s="1"/>
  <c r="K132" i="22"/>
  <c r="M132" i="22" s="1"/>
  <c r="BP131" i="22"/>
  <c r="BO131" i="22"/>
  <c r="BN131" i="22"/>
  <c r="BM131" i="22"/>
  <c r="BL131" i="22"/>
  <c r="BK131" i="22"/>
  <c r="BF131" i="22"/>
  <c r="AZ131" i="22"/>
  <c r="AY131" i="22"/>
  <c r="AX131" i="22"/>
  <c r="AW131" i="22"/>
  <c r="AV131" i="22"/>
  <c r="Y131" i="22"/>
  <c r="Z131" i="22" s="1"/>
  <c r="K131" i="22"/>
  <c r="M131" i="22" s="1"/>
  <c r="BP130" i="22"/>
  <c r="BO130" i="22"/>
  <c r="BN130" i="22"/>
  <c r="BM130" i="22"/>
  <c r="BL130" i="22"/>
  <c r="BK130" i="22"/>
  <c r="BF130" i="22"/>
  <c r="AZ130" i="22"/>
  <c r="AY130" i="22"/>
  <c r="AX130" i="22"/>
  <c r="AW130" i="22"/>
  <c r="AV130" i="22"/>
  <c r="Y130" i="22"/>
  <c r="Z130" i="22" s="1"/>
  <c r="K130" i="22"/>
  <c r="M130" i="22" s="1"/>
  <c r="BP129" i="22"/>
  <c r="BO129" i="22"/>
  <c r="BN129" i="22"/>
  <c r="BM129" i="22"/>
  <c r="BL129" i="22"/>
  <c r="BK129" i="22"/>
  <c r="BF129" i="22"/>
  <c r="AZ129" i="22"/>
  <c r="AY129" i="22"/>
  <c r="AX129" i="22"/>
  <c r="AW129" i="22"/>
  <c r="AV129" i="22"/>
  <c r="Y129" i="22"/>
  <c r="Z129" i="22" s="1"/>
  <c r="K129" i="22"/>
  <c r="M129" i="22" s="1"/>
  <c r="BP128" i="22"/>
  <c r="BO128" i="22"/>
  <c r="BN128" i="22"/>
  <c r="BM128" i="22"/>
  <c r="BL128" i="22"/>
  <c r="BK128" i="22"/>
  <c r="BF128" i="22"/>
  <c r="AZ128" i="22"/>
  <c r="AY128" i="22"/>
  <c r="AX128" i="22"/>
  <c r="AW128" i="22"/>
  <c r="AV128" i="22"/>
  <c r="Y128" i="22"/>
  <c r="Z128" i="22" s="1"/>
  <c r="K128" i="22"/>
  <c r="M128" i="22" s="1"/>
  <c r="V128" i="22" s="1"/>
  <c r="BP127" i="22"/>
  <c r="BO127" i="22"/>
  <c r="BN127" i="22"/>
  <c r="BM127" i="22"/>
  <c r="BL127" i="22"/>
  <c r="BK127" i="22"/>
  <c r="BF127" i="22"/>
  <c r="AZ127" i="22"/>
  <c r="AY127" i="22"/>
  <c r="AX127" i="22"/>
  <c r="AW127" i="22"/>
  <c r="AV127" i="22"/>
  <c r="Y127" i="22"/>
  <c r="Z127" i="22" s="1"/>
  <c r="K127" i="22"/>
  <c r="M127" i="22" s="1"/>
  <c r="BP126" i="22"/>
  <c r="BO126" i="22"/>
  <c r="BN126" i="22"/>
  <c r="BM126" i="22"/>
  <c r="BL126" i="22"/>
  <c r="BK126" i="22"/>
  <c r="BF126" i="22"/>
  <c r="AZ126" i="22"/>
  <c r="AY126" i="22"/>
  <c r="AX126" i="22"/>
  <c r="AW126" i="22"/>
  <c r="AV126" i="22"/>
  <c r="Y126" i="22"/>
  <c r="Z126" i="22" s="1"/>
  <c r="K126" i="22"/>
  <c r="M126" i="22" s="1"/>
  <c r="V126" i="22" s="1"/>
  <c r="BP125" i="22"/>
  <c r="BO125" i="22"/>
  <c r="BN125" i="22"/>
  <c r="BM125" i="22"/>
  <c r="BL125" i="22"/>
  <c r="BK125" i="22"/>
  <c r="BF125" i="22"/>
  <c r="AZ125" i="22"/>
  <c r="AY125" i="22"/>
  <c r="AX125" i="22"/>
  <c r="AW125" i="22"/>
  <c r="AV125" i="22"/>
  <c r="Y125" i="22"/>
  <c r="Z125" i="22" s="1"/>
  <c r="K125" i="22"/>
  <c r="M125" i="22" s="1"/>
  <c r="P125" i="22" s="1"/>
  <c r="BP124" i="22"/>
  <c r="BO124" i="22"/>
  <c r="BN124" i="22"/>
  <c r="BM124" i="22"/>
  <c r="BL124" i="22"/>
  <c r="BK124" i="22"/>
  <c r="BF124" i="22"/>
  <c r="AZ124" i="22"/>
  <c r="AY124" i="22"/>
  <c r="AX124" i="22"/>
  <c r="AW124" i="22"/>
  <c r="AV124" i="22"/>
  <c r="Y124" i="22"/>
  <c r="Z124" i="22" s="1"/>
  <c r="K124" i="22"/>
  <c r="M124" i="22" s="1"/>
  <c r="BP123" i="22"/>
  <c r="BO123" i="22"/>
  <c r="BN123" i="22"/>
  <c r="BM123" i="22"/>
  <c r="BL123" i="22"/>
  <c r="BK123" i="22"/>
  <c r="BF123" i="22"/>
  <c r="AZ123" i="22"/>
  <c r="AY123" i="22"/>
  <c r="AX123" i="22"/>
  <c r="AW123" i="22"/>
  <c r="AV123" i="22"/>
  <c r="Y123" i="22"/>
  <c r="Z123" i="22" s="1"/>
  <c r="K123" i="22"/>
  <c r="M123" i="22" s="1"/>
  <c r="BP122" i="22"/>
  <c r="BO122" i="22"/>
  <c r="BN122" i="22"/>
  <c r="BM122" i="22"/>
  <c r="BL122" i="22"/>
  <c r="BK122" i="22"/>
  <c r="BF122" i="22"/>
  <c r="AZ122" i="22"/>
  <c r="AY122" i="22"/>
  <c r="AX122" i="22"/>
  <c r="AW122" i="22"/>
  <c r="AV122" i="22"/>
  <c r="Y122" i="22"/>
  <c r="Z122" i="22" s="1"/>
  <c r="K122" i="22"/>
  <c r="M122" i="22" s="1"/>
  <c r="BP121" i="22"/>
  <c r="BO121" i="22"/>
  <c r="BN121" i="22"/>
  <c r="BM121" i="22"/>
  <c r="BL121" i="22"/>
  <c r="BK121" i="22"/>
  <c r="BF121" i="22"/>
  <c r="BE121" i="22"/>
  <c r="AZ121" i="22"/>
  <c r="AY121" i="22"/>
  <c r="AX121" i="22"/>
  <c r="AW121" i="22"/>
  <c r="AV121" i="22"/>
  <c r="Y121" i="22"/>
  <c r="Z121" i="22" s="1"/>
  <c r="K121" i="22"/>
  <c r="M121" i="22" s="1"/>
  <c r="BP120" i="22"/>
  <c r="BO120" i="22"/>
  <c r="BN120" i="22"/>
  <c r="BM120" i="22"/>
  <c r="BL120" i="22"/>
  <c r="BK120" i="22"/>
  <c r="BF120" i="22"/>
  <c r="BE120" i="22"/>
  <c r="AZ120" i="22"/>
  <c r="AY120" i="22"/>
  <c r="AX120" i="22"/>
  <c r="AW120" i="22"/>
  <c r="AV120" i="22"/>
  <c r="Y120" i="22"/>
  <c r="Z120" i="22" s="1"/>
  <c r="K120" i="22"/>
  <c r="M120" i="22" s="1"/>
  <c r="BP119" i="22"/>
  <c r="BO119" i="22"/>
  <c r="BN119" i="22"/>
  <c r="BM119" i="22"/>
  <c r="BL119" i="22"/>
  <c r="BK119" i="22"/>
  <c r="BF119" i="22"/>
  <c r="BE119" i="22"/>
  <c r="AZ119" i="22"/>
  <c r="AY119" i="22"/>
  <c r="AX119" i="22"/>
  <c r="AW119" i="22"/>
  <c r="AV119" i="22"/>
  <c r="Y119" i="22"/>
  <c r="Z119" i="22" s="1"/>
  <c r="K119" i="22"/>
  <c r="M119" i="22" s="1"/>
  <c r="V119" i="22" s="1"/>
  <c r="BB119" i="22" s="1"/>
  <c r="BP118" i="22"/>
  <c r="BO118" i="22"/>
  <c r="BN118" i="22"/>
  <c r="BM118" i="22"/>
  <c r="BL118" i="22"/>
  <c r="BK118" i="22"/>
  <c r="BF118" i="22"/>
  <c r="BE118" i="22"/>
  <c r="AZ118" i="22"/>
  <c r="AY118" i="22"/>
  <c r="AX118" i="22"/>
  <c r="AW118" i="22"/>
  <c r="AV118" i="22"/>
  <c r="Y118" i="22"/>
  <c r="Z118" i="22" s="1"/>
  <c r="K118" i="22"/>
  <c r="M118" i="22" s="1"/>
  <c r="BP117" i="22"/>
  <c r="BO117" i="22"/>
  <c r="BN117" i="22"/>
  <c r="BM117" i="22"/>
  <c r="BL117" i="22"/>
  <c r="BK117" i="22"/>
  <c r="BF117" i="22"/>
  <c r="BE117" i="22"/>
  <c r="AZ117" i="22"/>
  <c r="AY117" i="22"/>
  <c r="AX117" i="22"/>
  <c r="AW117" i="22"/>
  <c r="AV117" i="22"/>
  <c r="Y117" i="22"/>
  <c r="Z117" i="22" s="1"/>
  <c r="K117" i="22"/>
  <c r="M117" i="22" s="1"/>
  <c r="BP116" i="22"/>
  <c r="BO116" i="22"/>
  <c r="BN116" i="22"/>
  <c r="BM116" i="22"/>
  <c r="BL116" i="22"/>
  <c r="BK116" i="22"/>
  <c r="BF116" i="22"/>
  <c r="BE116" i="22"/>
  <c r="AZ116" i="22"/>
  <c r="AY116" i="22"/>
  <c r="AX116" i="22"/>
  <c r="AW116" i="22"/>
  <c r="AV116" i="22"/>
  <c r="Y116" i="22"/>
  <c r="Z116" i="22" s="1"/>
  <c r="K116" i="22"/>
  <c r="M116" i="22" s="1"/>
  <c r="BP115" i="22"/>
  <c r="BO115" i="22"/>
  <c r="BN115" i="22"/>
  <c r="BM115" i="22"/>
  <c r="BL115" i="22"/>
  <c r="BK115" i="22"/>
  <c r="BF115" i="22"/>
  <c r="BE115" i="22"/>
  <c r="AZ115" i="22"/>
  <c r="AY115" i="22"/>
  <c r="AX115" i="22"/>
  <c r="AW115" i="22"/>
  <c r="AV115" i="22"/>
  <c r="Y115" i="22"/>
  <c r="Z115" i="22" s="1"/>
  <c r="K115" i="22"/>
  <c r="M115" i="22" s="1"/>
  <c r="V115" i="22" s="1"/>
  <c r="BP114" i="22"/>
  <c r="BO114" i="22"/>
  <c r="BN114" i="22"/>
  <c r="BM114" i="22"/>
  <c r="BL114" i="22"/>
  <c r="BK114" i="22"/>
  <c r="BF114" i="22"/>
  <c r="BE114" i="22"/>
  <c r="AZ114" i="22"/>
  <c r="AY114" i="22"/>
  <c r="AX114" i="22"/>
  <c r="AW114" i="22"/>
  <c r="AV114" i="22"/>
  <c r="Y114" i="22"/>
  <c r="Z114" i="22" s="1"/>
  <c r="K114" i="22"/>
  <c r="M114" i="22" s="1"/>
  <c r="V114" i="22" s="1"/>
  <c r="BB114" i="22" s="1"/>
  <c r="BP113" i="22"/>
  <c r="BO113" i="22"/>
  <c r="BN113" i="22"/>
  <c r="BM113" i="22"/>
  <c r="BL113" i="22"/>
  <c r="BK113" i="22"/>
  <c r="BF113" i="22"/>
  <c r="BE113" i="22"/>
  <c r="AZ113" i="22"/>
  <c r="AY113" i="22"/>
  <c r="AX113" i="22"/>
  <c r="AW113" i="22"/>
  <c r="AV113" i="22"/>
  <c r="Y113" i="22"/>
  <c r="Z113" i="22" s="1"/>
  <c r="M113" i="22"/>
  <c r="V113" i="22" s="1"/>
  <c r="BB113" i="22" s="1"/>
  <c r="BP112" i="22"/>
  <c r="BO112" i="22"/>
  <c r="BN112" i="22"/>
  <c r="BM112" i="22"/>
  <c r="BL112" i="22"/>
  <c r="BK112" i="22"/>
  <c r="BF112" i="22"/>
  <c r="AZ112" i="22"/>
  <c r="AY112" i="22"/>
  <c r="AX112" i="22"/>
  <c r="AW112" i="22"/>
  <c r="AV112" i="22"/>
  <c r="Y112" i="22"/>
  <c r="Z112" i="22" s="1"/>
  <c r="K112" i="22"/>
  <c r="M112" i="22" s="1"/>
  <c r="V112" i="22" s="1"/>
  <c r="BP111" i="22"/>
  <c r="BO111" i="22"/>
  <c r="BN111" i="22"/>
  <c r="BM111" i="22"/>
  <c r="BL111" i="22"/>
  <c r="BK111" i="22"/>
  <c r="BF111" i="22"/>
  <c r="AZ111" i="22"/>
  <c r="AY111" i="22"/>
  <c r="AX111" i="22"/>
  <c r="AW111" i="22"/>
  <c r="AV111" i="22"/>
  <c r="Y111" i="22"/>
  <c r="Z111" i="22" s="1"/>
  <c r="K111" i="22"/>
  <c r="M111" i="22" s="1"/>
  <c r="Q111" i="22" s="1"/>
  <c r="BP110" i="22"/>
  <c r="BO110" i="22"/>
  <c r="BN110" i="22"/>
  <c r="BM110" i="22"/>
  <c r="BL110" i="22"/>
  <c r="BK110" i="22"/>
  <c r="BF110" i="22"/>
  <c r="AZ110" i="22"/>
  <c r="AY110" i="22"/>
  <c r="AX110" i="22"/>
  <c r="AW110" i="22"/>
  <c r="AV110" i="22"/>
  <c r="Y110" i="22"/>
  <c r="Z110" i="22" s="1"/>
  <c r="K110" i="22"/>
  <c r="M110" i="22" s="1"/>
  <c r="BP109" i="22"/>
  <c r="BO109" i="22"/>
  <c r="BN109" i="22"/>
  <c r="BM109" i="22"/>
  <c r="BL109" i="22"/>
  <c r="BK109" i="22"/>
  <c r="BF109" i="22"/>
  <c r="AZ109" i="22"/>
  <c r="AY109" i="22"/>
  <c r="AX109" i="22"/>
  <c r="AW109" i="22"/>
  <c r="AV109" i="22"/>
  <c r="Y109" i="22"/>
  <c r="Z109" i="22" s="1"/>
  <c r="K109" i="22"/>
  <c r="M109" i="22" s="1"/>
  <c r="BP108" i="22"/>
  <c r="BO108" i="22"/>
  <c r="BN108" i="22"/>
  <c r="BM108" i="22"/>
  <c r="BL108" i="22"/>
  <c r="BK108" i="22"/>
  <c r="BF108" i="22"/>
  <c r="AZ108" i="22"/>
  <c r="AY108" i="22"/>
  <c r="AX108" i="22"/>
  <c r="AW108" i="22"/>
  <c r="AV108" i="22"/>
  <c r="Y108" i="22"/>
  <c r="Z108" i="22" s="1"/>
  <c r="K108" i="22"/>
  <c r="M108" i="22" s="1"/>
  <c r="P108" i="22" s="1"/>
  <c r="BP107" i="22"/>
  <c r="BO107" i="22"/>
  <c r="BN107" i="22"/>
  <c r="BM107" i="22"/>
  <c r="BL107" i="22"/>
  <c r="BK107" i="22"/>
  <c r="BF107" i="22"/>
  <c r="AZ107" i="22"/>
  <c r="AY107" i="22"/>
  <c r="AX107" i="22"/>
  <c r="AW107" i="22"/>
  <c r="AV107" i="22"/>
  <c r="Y107" i="22"/>
  <c r="Z107" i="22" s="1"/>
  <c r="K107" i="22"/>
  <c r="M107" i="22" s="1"/>
  <c r="BP106" i="22"/>
  <c r="BO106" i="22"/>
  <c r="BN106" i="22"/>
  <c r="BM106" i="22"/>
  <c r="BL106" i="22"/>
  <c r="BK106" i="22"/>
  <c r="BF106" i="22"/>
  <c r="AZ106" i="22"/>
  <c r="AY106" i="22"/>
  <c r="AX106" i="22"/>
  <c r="AW106" i="22"/>
  <c r="AV106" i="22"/>
  <c r="Y106" i="22"/>
  <c r="Z106" i="22" s="1"/>
  <c r="K106" i="22"/>
  <c r="M106" i="22" s="1"/>
  <c r="BP105" i="22"/>
  <c r="BO105" i="22"/>
  <c r="BN105" i="22"/>
  <c r="BM105" i="22"/>
  <c r="BL105" i="22"/>
  <c r="BK105" i="22"/>
  <c r="BF105" i="22"/>
  <c r="AZ105" i="22"/>
  <c r="AY105" i="22"/>
  <c r="AX105" i="22"/>
  <c r="AW105" i="22"/>
  <c r="AV105" i="22"/>
  <c r="Y105" i="22"/>
  <c r="Z105" i="22" s="1"/>
  <c r="K105" i="22"/>
  <c r="M105" i="22" s="1"/>
  <c r="P105" i="22" s="1"/>
  <c r="BP104" i="22"/>
  <c r="BO104" i="22"/>
  <c r="BN104" i="22"/>
  <c r="BM104" i="22"/>
  <c r="BL104" i="22"/>
  <c r="BK104" i="22"/>
  <c r="BF104" i="22"/>
  <c r="AZ104" i="22"/>
  <c r="AY104" i="22"/>
  <c r="AX104" i="22"/>
  <c r="AW104" i="22"/>
  <c r="AV104" i="22"/>
  <c r="Y104" i="22"/>
  <c r="Z104" i="22" s="1"/>
  <c r="K104" i="22"/>
  <c r="M104" i="22" s="1"/>
  <c r="BP103" i="22"/>
  <c r="BO103" i="22"/>
  <c r="BN103" i="22"/>
  <c r="BM103" i="22"/>
  <c r="BL103" i="22"/>
  <c r="BK103" i="22"/>
  <c r="BF103" i="22"/>
  <c r="AZ103" i="22"/>
  <c r="AY103" i="22"/>
  <c r="AX103" i="22"/>
  <c r="AW103" i="22"/>
  <c r="AV103" i="22"/>
  <c r="Y103" i="22"/>
  <c r="Z103" i="22" s="1"/>
  <c r="K103" i="22"/>
  <c r="M103" i="22" s="1"/>
  <c r="P103" i="22" s="1"/>
  <c r="BP102" i="22"/>
  <c r="BO102" i="22"/>
  <c r="BN102" i="22"/>
  <c r="BM102" i="22"/>
  <c r="BL102" i="22"/>
  <c r="BK102" i="22"/>
  <c r="BF102" i="22"/>
  <c r="AZ102" i="22"/>
  <c r="AY102" i="22"/>
  <c r="AX102" i="22"/>
  <c r="AW102" i="22"/>
  <c r="AV102" i="22"/>
  <c r="Y102" i="22"/>
  <c r="Z102" i="22" s="1"/>
  <c r="K102" i="22"/>
  <c r="M102" i="22" s="1"/>
  <c r="V102" i="22" s="1"/>
  <c r="BP101" i="22"/>
  <c r="BO101" i="22"/>
  <c r="BN101" i="22"/>
  <c r="BM101" i="22"/>
  <c r="BL101" i="22"/>
  <c r="BK101" i="22"/>
  <c r="BF101" i="22"/>
  <c r="AZ101" i="22"/>
  <c r="AY101" i="22"/>
  <c r="AX101" i="22"/>
  <c r="AW101" i="22"/>
  <c r="AV101" i="22"/>
  <c r="Y101" i="22"/>
  <c r="Z101" i="22" s="1"/>
  <c r="K101" i="22"/>
  <c r="M101" i="22" s="1"/>
  <c r="BP100" i="22"/>
  <c r="BO100" i="22"/>
  <c r="BN100" i="22"/>
  <c r="BM100" i="22"/>
  <c r="BL100" i="22"/>
  <c r="BK100" i="22"/>
  <c r="BF100" i="22"/>
  <c r="AZ100" i="22"/>
  <c r="AY100" i="22"/>
  <c r="AX100" i="22"/>
  <c r="AW100" i="22"/>
  <c r="AV100" i="22"/>
  <c r="Y100" i="22"/>
  <c r="Z100" i="22" s="1"/>
  <c r="K100" i="22"/>
  <c r="M100" i="22" s="1"/>
  <c r="BP99" i="22"/>
  <c r="BO99" i="22"/>
  <c r="BN99" i="22"/>
  <c r="BM99" i="22"/>
  <c r="BL99" i="22"/>
  <c r="BK99" i="22"/>
  <c r="BF99" i="22"/>
  <c r="AZ99" i="22"/>
  <c r="AY99" i="22"/>
  <c r="AX99" i="22"/>
  <c r="AW99" i="22"/>
  <c r="AV99" i="22"/>
  <c r="Y99" i="22"/>
  <c r="Z99" i="22" s="1"/>
  <c r="K99" i="22"/>
  <c r="M99" i="22" s="1"/>
  <c r="BP98" i="22"/>
  <c r="BO98" i="22"/>
  <c r="BN98" i="22"/>
  <c r="BM98" i="22"/>
  <c r="BL98" i="22"/>
  <c r="BK98" i="22"/>
  <c r="BF98" i="22"/>
  <c r="AZ98" i="22"/>
  <c r="AY98" i="22"/>
  <c r="AX98" i="22"/>
  <c r="AW98" i="22"/>
  <c r="AV98" i="22"/>
  <c r="Y98" i="22"/>
  <c r="Z98" i="22" s="1"/>
  <c r="K98" i="22"/>
  <c r="M98" i="22" s="1"/>
  <c r="BP97" i="22"/>
  <c r="BO97" i="22"/>
  <c r="BN97" i="22"/>
  <c r="BM97" i="22"/>
  <c r="BL97" i="22"/>
  <c r="BK97" i="22"/>
  <c r="BF97" i="22"/>
  <c r="AZ97" i="22"/>
  <c r="AY97" i="22"/>
  <c r="AX97" i="22"/>
  <c r="AW97" i="22"/>
  <c r="AV97" i="22"/>
  <c r="Y97" i="22"/>
  <c r="Z97" i="22" s="1"/>
  <c r="K97" i="22"/>
  <c r="M97" i="22" s="1"/>
  <c r="Q97" i="22" s="1"/>
  <c r="BP96" i="22"/>
  <c r="BO96" i="22"/>
  <c r="BN96" i="22"/>
  <c r="BM96" i="22"/>
  <c r="BL96" i="22"/>
  <c r="BK96" i="22"/>
  <c r="BF96" i="22"/>
  <c r="AZ96" i="22"/>
  <c r="AY96" i="22"/>
  <c r="AX96" i="22"/>
  <c r="AW96" i="22"/>
  <c r="AV96" i="22"/>
  <c r="Y96" i="22"/>
  <c r="Z96" i="22" s="1"/>
  <c r="K96" i="22"/>
  <c r="M96" i="22" s="1"/>
  <c r="Q96" i="22" s="1"/>
  <c r="BP95" i="22"/>
  <c r="BO95" i="22"/>
  <c r="BN95" i="22"/>
  <c r="BM95" i="22"/>
  <c r="BL95" i="22"/>
  <c r="BK95" i="22"/>
  <c r="BF95" i="22"/>
  <c r="AZ95" i="22"/>
  <c r="AY95" i="22"/>
  <c r="AX95" i="22"/>
  <c r="AW95" i="22"/>
  <c r="AV95" i="22"/>
  <c r="Y95" i="22"/>
  <c r="Z95" i="22" s="1"/>
  <c r="K95" i="22"/>
  <c r="M95" i="22" s="1"/>
  <c r="P95" i="22" s="1"/>
  <c r="BP94" i="22"/>
  <c r="BO94" i="22"/>
  <c r="BN94" i="22"/>
  <c r="BM94" i="22"/>
  <c r="BL94" i="22"/>
  <c r="BK94" i="22"/>
  <c r="BF94" i="22"/>
  <c r="AZ94" i="22"/>
  <c r="AY94" i="22"/>
  <c r="AX94" i="22"/>
  <c r="AW94" i="22"/>
  <c r="AV94" i="22"/>
  <c r="Y94" i="22"/>
  <c r="Z94" i="22" s="1"/>
  <c r="K94" i="22"/>
  <c r="M94" i="22" s="1"/>
  <c r="V94" i="22" s="1"/>
  <c r="BP93" i="22"/>
  <c r="BO93" i="22"/>
  <c r="BN93" i="22"/>
  <c r="BM93" i="22"/>
  <c r="BL93" i="22"/>
  <c r="BK93" i="22"/>
  <c r="BF93" i="22"/>
  <c r="AZ93" i="22"/>
  <c r="AY93" i="22"/>
  <c r="AX93" i="22"/>
  <c r="AW93" i="22"/>
  <c r="AV93" i="22"/>
  <c r="Y93" i="22"/>
  <c r="Z93" i="22" s="1"/>
  <c r="K93" i="22"/>
  <c r="M93" i="22" s="1"/>
  <c r="P93" i="22" s="1"/>
  <c r="BP92" i="22"/>
  <c r="BO92" i="22"/>
  <c r="BN92" i="22"/>
  <c r="BM92" i="22"/>
  <c r="BL92" i="22"/>
  <c r="BK92" i="22"/>
  <c r="BF92" i="22"/>
  <c r="AZ92" i="22"/>
  <c r="AY92" i="22"/>
  <c r="AX92" i="22"/>
  <c r="AW92" i="22"/>
  <c r="AV92" i="22"/>
  <c r="Y92" i="22"/>
  <c r="Z92" i="22" s="1"/>
  <c r="K92" i="22"/>
  <c r="M92" i="22" s="1"/>
  <c r="Q92" i="22" s="1"/>
  <c r="BP91" i="22"/>
  <c r="BO91" i="22"/>
  <c r="BN91" i="22"/>
  <c r="BM91" i="22"/>
  <c r="BL91" i="22"/>
  <c r="BK91" i="22"/>
  <c r="BF91" i="22"/>
  <c r="AZ91" i="22"/>
  <c r="AY91" i="22"/>
  <c r="AX91" i="22"/>
  <c r="AW91" i="22"/>
  <c r="AV91" i="22"/>
  <c r="Y91" i="22"/>
  <c r="Z91" i="22" s="1"/>
  <c r="K91" i="22"/>
  <c r="M91" i="22" s="1"/>
  <c r="Q91" i="22" s="1"/>
  <c r="BP90" i="22"/>
  <c r="BO90" i="22"/>
  <c r="BN90" i="22"/>
  <c r="BM90" i="22"/>
  <c r="BL90" i="22"/>
  <c r="BK90" i="22"/>
  <c r="BF90" i="22"/>
  <c r="AZ90" i="22"/>
  <c r="AY90" i="22"/>
  <c r="AX90" i="22"/>
  <c r="AW90" i="22"/>
  <c r="AV90" i="22"/>
  <c r="Y90" i="22"/>
  <c r="Z90" i="22" s="1"/>
  <c r="K90" i="22"/>
  <c r="M90" i="22" s="1"/>
  <c r="BP89" i="22"/>
  <c r="BO89" i="22"/>
  <c r="BN89" i="22"/>
  <c r="BM89" i="22"/>
  <c r="BL89" i="22"/>
  <c r="BK89" i="22"/>
  <c r="BF89" i="22"/>
  <c r="AZ89" i="22"/>
  <c r="AY89" i="22"/>
  <c r="AX89" i="22"/>
  <c r="AW89" i="22"/>
  <c r="AV89" i="22"/>
  <c r="Y89" i="22"/>
  <c r="Z89" i="22" s="1"/>
  <c r="K89" i="22"/>
  <c r="M89" i="22" s="1"/>
  <c r="BP88" i="22"/>
  <c r="BO88" i="22"/>
  <c r="BN88" i="22"/>
  <c r="BM88" i="22"/>
  <c r="BL88" i="22"/>
  <c r="BK88" i="22"/>
  <c r="BF88" i="22"/>
  <c r="AZ88" i="22"/>
  <c r="AY88" i="22"/>
  <c r="AX88" i="22"/>
  <c r="AW88" i="22"/>
  <c r="AV88" i="22"/>
  <c r="Y88" i="22"/>
  <c r="Z88" i="22" s="1"/>
  <c r="K88" i="22"/>
  <c r="M88" i="22" s="1"/>
  <c r="BP87" i="22"/>
  <c r="BO87" i="22"/>
  <c r="BN87" i="22"/>
  <c r="BM87" i="22"/>
  <c r="BL87" i="22"/>
  <c r="BK87" i="22"/>
  <c r="BF87" i="22"/>
  <c r="AZ87" i="22"/>
  <c r="AY87" i="22"/>
  <c r="AX87" i="22"/>
  <c r="AW87" i="22"/>
  <c r="AV87" i="22"/>
  <c r="Y87" i="22"/>
  <c r="Z87" i="22" s="1"/>
  <c r="K87" i="22"/>
  <c r="M87" i="22" s="1"/>
  <c r="BP86" i="22"/>
  <c r="BO86" i="22"/>
  <c r="BN86" i="22"/>
  <c r="BM86" i="22"/>
  <c r="BL86" i="22"/>
  <c r="BK86" i="22"/>
  <c r="BF86" i="22"/>
  <c r="AZ86" i="22"/>
  <c r="AY86" i="22"/>
  <c r="AX86" i="22"/>
  <c r="AW86" i="22"/>
  <c r="AV86" i="22"/>
  <c r="Y86" i="22"/>
  <c r="Z86" i="22" s="1"/>
  <c r="K86" i="22"/>
  <c r="M86" i="22" s="1"/>
  <c r="BP85" i="22"/>
  <c r="BO85" i="22"/>
  <c r="BN85" i="22"/>
  <c r="BM85" i="22"/>
  <c r="BL85" i="22"/>
  <c r="BK85" i="22"/>
  <c r="BF85" i="22"/>
  <c r="AZ85" i="22"/>
  <c r="AY85" i="22"/>
  <c r="AX85" i="22"/>
  <c r="AW85" i="22"/>
  <c r="AV85" i="22"/>
  <c r="Y85" i="22"/>
  <c r="Z85" i="22" s="1"/>
  <c r="K85" i="22"/>
  <c r="M85" i="22" s="1"/>
  <c r="P85" i="22" s="1"/>
  <c r="BP84" i="22"/>
  <c r="BO84" i="22"/>
  <c r="BN84" i="22"/>
  <c r="BM84" i="22"/>
  <c r="BL84" i="22"/>
  <c r="BK84" i="22"/>
  <c r="BF84" i="22"/>
  <c r="AZ84" i="22"/>
  <c r="AY84" i="22"/>
  <c r="AX84" i="22"/>
  <c r="AW84" i="22"/>
  <c r="AV84" i="22"/>
  <c r="Y84" i="22"/>
  <c r="Z84" i="22" s="1"/>
  <c r="K84" i="22"/>
  <c r="M84" i="22" s="1"/>
  <c r="V84" i="22" s="1"/>
  <c r="BP83" i="22"/>
  <c r="BO83" i="22"/>
  <c r="BN83" i="22"/>
  <c r="BM83" i="22"/>
  <c r="BL83" i="22"/>
  <c r="BK83" i="22"/>
  <c r="BF83" i="22"/>
  <c r="AZ83" i="22"/>
  <c r="AY83" i="22"/>
  <c r="AX83" i="22"/>
  <c r="AW83" i="22"/>
  <c r="AV83" i="22"/>
  <c r="Y83" i="22"/>
  <c r="Z83" i="22" s="1"/>
  <c r="K83" i="22"/>
  <c r="M83" i="22" s="1"/>
  <c r="BP82" i="22"/>
  <c r="BO82" i="22"/>
  <c r="BN82" i="22"/>
  <c r="BM82" i="22"/>
  <c r="BL82" i="22"/>
  <c r="BK82" i="22"/>
  <c r="BF82" i="22"/>
  <c r="AZ82" i="22"/>
  <c r="AY82" i="22"/>
  <c r="AX82" i="22"/>
  <c r="AW82" i="22"/>
  <c r="AV82" i="22"/>
  <c r="Y82" i="22"/>
  <c r="Z82" i="22" s="1"/>
  <c r="K82" i="22"/>
  <c r="M82" i="22" s="1"/>
  <c r="BP81" i="22"/>
  <c r="BO81" i="22"/>
  <c r="BN81" i="22"/>
  <c r="BM81" i="22"/>
  <c r="BL81" i="22"/>
  <c r="BK81" i="22"/>
  <c r="BF81" i="22"/>
  <c r="AZ81" i="22"/>
  <c r="AY81" i="22"/>
  <c r="AX81" i="22"/>
  <c r="AW81" i="22"/>
  <c r="AV81" i="22"/>
  <c r="Y81" i="22"/>
  <c r="Z81" i="22" s="1"/>
  <c r="K81" i="22"/>
  <c r="M81" i="22" s="1"/>
  <c r="BP80" i="22"/>
  <c r="BO80" i="22"/>
  <c r="BN80" i="22"/>
  <c r="BM80" i="22"/>
  <c r="BL80" i="22"/>
  <c r="BK80" i="22"/>
  <c r="BF80" i="22"/>
  <c r="AZ80" i="22"/>
  <c r="AY80" i="22"/>
  <c r="AX80" i="22"/>
  <c r="AW80" i="22"/>
  <c r="AV80" i="22"/>
  <c r="Y80" i="22"/>
  <c r="Z80" i="22" s="1"/>
  <c r="K80" i="22"/>
  <c r="M80" i="22" s="1"/>
  <c r="BP79" i="22"/>
  <c r="BO79" i="22"/>
  <c r="BN79" i="22"/>
  <c r="BM79" i="22"/>
  <c r="BL79" i="22"/>
  <c r="BK79" i="22"/>
  <c r="BF79" i="22"/>
  <c r="AZ79" i="22"/>
  <c r="AY79" i="22"/>
  <c r="AX79" i="22"/>
  <c r="AW79" i="22"/>
  <c r="AV79" i="22"/>
  <c r="Y79" i="22"/>
  <c r="Z79" i="22" s="1"/>
  <c r="K79" i="22"/>
  <c r="M79" i="22" s="1"/>
  <c r="BP78" i="22"/>
  <c r="BO78" i="22"/>
  <c r="BN78" i="22"/>
  <c r="BM78" i="22"/>
  <c r="BL78" i="22"/>
  <c r="BK78" i="22"/>
  <c r="BF78" i="22"/>
  <c r="AZ78" i="22"/>
  <c r="AY78" i="22"/>
  <c r="AX78" i="22"/>
  <c r="AW78" i="22"/>
  <c r="AV78" i="22"/>
  <c r="Y78" i="22"/>
  <c r="Z78" i="22" s="1"/>
  <c r="K78" i="22"/>
  <c r="M78" i="22" s="1"/>
  <c r="V78" i="22" s="1"/>
  <c r="BP77" i="22"/>
  <c r="BO77" i="22"/>
  <c r="BN77" i="22"/>
  <c r="BM77" i="22"/>
  <c r="BL77" i="22"/>
  <c r="BK77" i="22"/>
  <c r="BF77" i="22"/>
  <c r="AZ77" i="22"/>
  <c r="AY77" i="22"/>
  <c r="AX77" i="22"/>
  <c r="AW77" i="22"/>
  <c r="AV77" i="22"/>
  <c r="Y77" i="22"/>
  <c r="Z77" i="22" s="1"/>
  <c r="K77" i="22"/>
  <c r="M77" i="22" s="1"/>
  <c r="BP76" i="22"/>
  <c r="BO76" i="22"/>
  <c r="BN76" i="22"/>
  <c r="BM76" i="22"/>
  <c r="BL76" i="22"/>
  <c r="BK76" i="22"/>
  <c r="BF76" i="22"/>
  <c r="AZ76" i="22"/>
  <c r="AY76" i="22"/>
  <c r="AX76" i="22"/>
  <c r="AW76" i="22"/>
  <c r="AV76" i="22"/>
  <c r="Y76" i="22"/>
  <c r="Z76" i="22" s="1"/>
  <c r="K76" i="22"/>
  <c r="M76" i="22" s="1"/>
  <c r="V76" i="22" s="1"/>
  <c r="BP75" i="22"/>
  <c r="BO75" i="22"/>
  <c r="BN75" i="22"/>
  <c r="BM75" i="22"/>
  <c r="BL75" i="22"/>
  <c r="BK75" i="22"/>
  <c r="BF75" i="22"/>
  <c r="AZ75" i="22"/>
  <c r="AY75" i="22"/>
  <c r="AX75" i="22"/>
  <c r="AW75" i="22"/>
  <c r="AV75" i="22"/>
  <c r="Y75" i="22"/>
  <c r="Z75" i="22" s="1"/>
  <c r="K75" i="22"/>
  <c r="M75" i="22" s="1"/>
  <c r="BP74" i="22"/>
  <c r="BO74" i="22"/>
  <c r="BN74" i="22"/>
  <c r="BM74" i="22"/>
  <c r="BL74" i="22"/>
  <c r="BK74" i="22"/>
  <c r="BF74" i="22"/>
  <c r="AZ74" i="22"/>
  <c r="AY74" i="22"/>
  <c r="AX74" i="22"/>
  <c r="AW74" i="22"/>
  <c r="AV74" i="22"/>
  <c r="Y74" i="22"/>
  <c r="Z74" i="22" s="1"/>
  <c r="K74" i="22"/>
  <c r="M74" i="22" s="1"/>
  <c r="Q74" i="22" s="1"/>
  <c r="BP73" i="22"/>
  <c r="BO73" i="22"/>
  <c r="BN73" i="22"/>
  <c r="BM73" i="22"/>
  <c r="BL73" i="22"/>
  <c r="BK73" i="22"/>
  <c r="BF73" i="22"/>
  <c r="AZ73" i="22"/>
  <c r="AY73" i="22"/>
  <c r="AX73" i="22"/>
  <c r="AW73" i="22"/>
  <c r="AV73" i="22"/>
  <c r="Y73" i="22"/>
  <c r="Z73" i="22" s="1"/>
  <c r="K73" i="22"/>
  <c r="M73" i="22" s="1"/>
  <c r="BP72" i="22"/>
  <c r="BO72" i="22"/>
  <c r="BN72" i="22"/>
  <c r="BM72" i="22"/>
  <c r="BL72" i="22"/>
  <c r="BK72" i="22"/>
  <c r="BF72" i="22"/>
  <c r="AZ72" i="22"/>
  <c r="AY72" i="22"/>
  <c r="AX72" i="22"/>
  <c r="AW72" i="22"/>
  <c r="AV72" i="22"/>
  <c r="Y72" i="22"/>
  <c r="Z72" i="22" s="1"/>
  <c r="K72" i="22"/>
  <c r="M72" i="22" s="1"/>
  <c r="BP71" i="22"/>
  <c r="BO71" i="22"/>
  <c r="BN71" i="22"/>
  <c r="BM71" i="22"/>
  <c r="BL71" i="22"/>
  <c r="BK71" i="22"/>
  <c r="BF71" i="22"/>
  <c r="AZ71" i="22"/>
  <c r="AY71" i="22"/>
  <c r="AX71" i="22"/>
  <c r="AW71" i="22"/>
  <c r="AV71" i="22"/>
  <c r="Y71" i="22"/>
  <c r="Z71" i="22" s="1"/>
  <c r="K71" i="22"/>
  <c r="M71" i="22" s="1"/>
  <c r="BP70" i="22"/>
  <c r="BO70" i="22"/>
  <c r="BN70" i="22"/>
  <c r="BM70" i="22"/>
  <c r="BL70" i="22"/>
  <c r="BK70" i="22"/>
  <c r="BF70" i="22"/>
  <c r="AZ70" i="22"/>
  <c r="AY70" i="22"/>
  <c r="AX70" i="22"/>
  <c r="AW70" i="22"/>
  <c r="AV70" i="22"/>
  <c r="Y70" i="22"/>
  <c r="Z70" i="22" s="1"/>
  <c r="K70" i="22"/>
  <c r="M70" i="22" s="1"/>
  <c r="P70" i="22" s="1"/>
  <c r="BP69" i="22"/>
  <c r="BO69" i="22"/>
  <c r="BN69" i="22"/>
  <c r="BM69" i="22"/>
  <c r="BL69" i="22"/>
  <c r="BK69" i="22"/>
  <c r="BF69" i="22"/>
  <c r="AZ69" i="22"/>
  <c r="AY69" i="22"/>
  <c r="AX69" i="22"/>
  <c r="AW69" i="22"/>
  <c r="AV69" i="22"/>
  <c r="Y69" i="22"/>
  <c r="Z69" i="22" s="1"/>
  <c r="K69" i="22"/>
  <c r="M69" i="22" s="1"/>
  <c r="BP68" i="22"/>
  <c r="BO68" i="22"/>
  <c r="BN68" i="22"/>
  <c r="BM68" i="22"/>
  <c r="BL68" i="22"/>
  <c r="BK68" i="22"/>
  <c r="BF68" i="22"/>
  <c r="AZ68" i="22"/>
  <c r="AY68" i="22"/>
  <c r="AX68" i="22"/>
  <c r="AW68" i="22"/>
  <c r="AV68" i="22"/>
  <c r="Y68" i="22"/>
  <c r="Z68" i="22" s="1"/>
  <c r="K68" i="22"/>
  <c r="M68" i="22" s="1"/>
  <c r="Q68" i="22" s="1"/>
  <c r="BP67" i="22"/>
  <c r="BO67" i="22"/>
  <c r="BN67" i="22"/>
  <c r="BM67" i="22"/>
  <c r="BL67" i="22"/>
  <c r="BK67" i="22"/>
  <c r="BF67" i="22"/>
  <c r="AZ67" i="22"/>
  <c r="AY67" i="22"/>
  <c r="AX67" i="22"/>
  <c r="AW67" i="22"/>
  <c r="AV67" i="22"/>
  <c r="Y67" i="22"/>
  <c r="Z67" i="22" s="1"/>
  <c r="K67" i="22"/>
  <c r="M67" i="22" s="1"/>
  <c r="BP66" i="22"/>
  <c r="BO66" i="22"/>
  <c r="BN66" i="22"/>
  <c r="BM66" i="22"/>
  <c r="BL66" i="22"/>
  <c r="BK66" i="22"/>
  <c r="BF66" i="22"/>
  <c r="AZ66" i="22"/>
  <c r="AY66" i="22"/>
  <c r="AX66" i="22"/>
  <c r="AW66" i="22"/>
  <c r="AV66" i="22"/>
  <c r="Y66" i="22"/>
  <c r="Z66" i="22" s="1"/>
  <c r="K66" i="22"/>
  <c r="M66" i="22" s="1"/>
  <c r="BP65" i="22"/>
  <c r="BO65" i="22"/>
  <c r="BN65" i="22"/>
  <c r="BM65" i="22"/>
  <c r="BL65" i="22"/>
  <c r="BK65" i="22"/>
  <c r="BF65" i="22"/>
  <c r="AZ65" i="22"/>
  <c r="AY65" i="22"/>
  <c r="AX65" i="22"/>
  <c r="AW65" i="22"/>
  <c r="AV65" i="22"/>
  <c r="Y65" i="22"/>
  <c r="Z65" i="22" s="1"/>
  <c r="K65" i="22"/>
  <c r="M65" i="22" s="1"/>
  <c r="BP64" i="22"/>
  <c r="BO64" i="22"/>
  <c r="BN64" i="22"/>
  <c r="BM64" i="22"/>
  <c r="BL64" i="22"/>
  <c r="BK64" i="22"/>
  <c r="BF64" i="22"/>
  <c r="AZ64" i="22"/>
  <c r="AY64" i="22"/>
  <c r="AX64" i="22"/>
  <c r="AW64" i="22"/>
  <c r="AV64" i="22"/>
  <c r="Y64" i="22"/>
  <c r="Z64" i="22" s="1"/>
  <c r="K64" i="22"/>
  <c r="M64" i="22" s="1"/>
  <c r="V64" i="22" s="1"/>
  <c r="BP63" i="22"/>
  <c r="BO63" i="22"/>
  <c r="BN63" i="22"/>
  <c r="BM63" i="22"/>
  <c r="BL63" i="22"/>
  <c r="BK63" i="22"/>
  <c r="BF63" i="22"/>
  <c r="AZ63" i="22"/>
  <c r="AY63" i="22"/>
  <c r="AX63" i="22"/>
  <c r="AW63" i="22"/>
  <c r="AV63" i="22"/>
  <c r="Y63" i="22"/>
  <c r="Z63" i="22" s="1"/>
  <c r="K63" i="22"/>
  <c r="M63" i="22" s="1"/>
  <c r="BP62" i="22"/>
  <c r="BO62" i="22"/>
  <c r="BN62" i="22"/>
  <c r="BM62" i="22"/>
  <c r="BL62" i="22"/>
  <c r="BK62" i="22"/>
  <c r="BF62" i="22"/>
  <c r="AZ62" i="22"/>
  <c r="AY62" i="22"/>
  <c r="AX62" i="22"/>
  <c r="AW62" i="22"/>
  <c r="AV62" i="22"/>
  <c r="Y62" i="22"/>
  <c r="Z62" i="22" s="1"/>
  <c r="K62" i="22"/>
  <c r="M62" i="22" s="1"/>
  <c r="V62" i="22" s="1"/>
  <c r="BP61" i="22"/>
  <c r="BO61" i="22"/>
  <c r="BN61" i="22"/>
  <c r="BM61" i="22"/>
  <c r="BL61" i="22"/>
  <c r="BK61" i="22"/>
  <c r="BF61" i="22"/>
  <c r="AZ61" i="22"/>
  <c r="AY61" i="22"/>
  <c r="AX61" i="22"/>
  <c r="AW61" i="22"/>
  <c r="AV61" i="22"/>
  <c r="Y61" i="22"/>
  <c r="Z61" i="22" s="1"/>
  <c r="K61" i="22"/>
  <c r="M61" i="22" s="1"/>
  <c r="BP60" i="22"/>
  <c r="BO60" i="22"/>
  <c r="BN60" i="22"/>
  <c r="BM60" i="22"/>
  <c r="BL60" i="22"/>
  <c r="BK60" i="22"/>
  <c r="BF60" i="22"/>
  <c r="AZ60" i="22"/>
  <c r="AY60" i="22"/>
  <c r="AX60" i="22"/>
  <c r="AW60" i="22"/>
  <c r="AV60" i="22"/>
  <c r="Y60" i="22"/>
  <c r="Z60" i="22" s="1"/>
  <c r="K60" i="22"/>
  <c r="M60" i="22" s="1"/>
  <c r="BP59" i="22"/>
  <c r="BO59" i="22"/>
  <c r="BN59" i="22"/>
  <c r="BM59" i="22"/>
  <c r="BL59" i="22"/>
  <c r="BK59" i="22"/>
  <c r="BF59" i="22"/>
  <c r="AZ59" i="22"/>
  <c r="AY59" i="22"/>
  <c r="AX59" i="22"/>
  <c r="AW59" i="22"/>
  <c r="AV59" i="22"/>
  <c r="Y59" i="22"/>
  <c r="Z59" i="22" s="1"/>
  <c r="K59" i="22"/>
  <c r="M59" i="22" s="1"/>
  <c r="Q59" i="22" s="1"/>
  <c r="BP58" i="22"/>
  <c r="BO58" i="22"/>
  <c r="BN58" i="22"/>
  <c r="BM58" i="22"/>
  <c r="BL58" i="22"/>
  <c r="BK58" i="22"/>
  <c r="BF58" i="22"/>
  <c r="AZ58" i="22"/>
  <c r="AY58" i="22"/>
  <c r="AX58" i="22"/>
  <c r="AW58" i="22"/>
  <c r="AV58" i="22"/>
  <c r="Y58" i="22"/>
  <c r="Z58" i="22" s="1"/>
  <c r="K58" i="22"/>
  <c r="M58" i="22" s="1"/>
  <c r="Q58" i="22" s="1"/>
  <c r="BP57" i="22"/>
  <c r="BO57" i="22"/>
  <c r="BN57" i="22"/>
  <c r="BM57" i="22"/>
  <c r="BL57" i="22"/>
  <c r="BK57" i="22"/>
  <c r="BF57" i="22"/>
  <c r="AZ57" i="22"/>
  <c r="AY57" i="22"/>
  <c r="AX57" i="22"/>
  <c r="AW57" i="22"/>
  <c r="AV57" i="22"/>
  <c r="Y57" i="22"/>
  <c r="Z57" i="22" s="1"/>
  <c r="K57" i="22"/>
  <c r="M57" i="22" s="1"/>
  <c r="BP56" i="22"/>
  <c r="BO56" i="22"/>
  <c r="BN56" i="22"/>
  <c r="BM56" i="22"/>
  <c r="BL56" i="22"/>
  <c r="BK56" i="22"/>
  <c r="BF56" i="22"/>
  <c r="AZ56" i="22"/>
  <c r="AY56" i="22"/>
  <c r="AX56" i="22"/>
  <c r="AW56" i="22"/>
  <c r="AV56" i="22"/>
  <c r="Y56" i="22"/>
  <c r="Z56" i="22" s="1"/>
  <c r="U56" i="22"/>
  <c r="K56" i="22"/>
  <c r="M56" i="22" s="1"/>
  <c r="BP55" i="22"/>
  <c r="BO55" i="22"/>
  <c r="BN55" i="22"/>
  <c r="BM55" i="22"/>
  <c r="BL55" i="22"/>
  <c r="BK55" i="22"/>
  <c r="BF55" i="22"/>
  <c r="AZ55" i="22"/>
  <c r="AY55" i="22"/>
  <c r="AX55" i="22"/>
  <c r="AW55" i="22"/>
  <c r="AV55" i="22"/>
  <c r="Y55" i="22"/>
  <c r="Z55" i="22" s="1"/>
  <c r="K55" i="22"/>
  <c r="M55" i="22" s="1"/>
  <c r="V55" i="22" s="1"/>
  <c r="BP54" i="22"/>
  <c r="BO54" i="22"/>
  <c r="BN54" i="22"/>
  <c r="BM54" i="22"/>
  <c r="BL54" i="22"/>
  <c r="BK54" i="22"/>
  <c r="BF54" i="22"/>
  <c r="AZ54" i="22"/>
  <c r="AY54" i="22"/>
  <c r="AX54" i="22"/>
  <c r="AW54" i="22"/>
  <c r="AV54" i="22"/>
  <c r="Y54" i="22"/>
  <c r="Z54" i="22" s="1"/>
  <c r="K54" i="22"/>
  <c r="M54" i="22" s="1"/>
  <c r="Q54" i="22" s="1"/>
  <c r="BP53" i="22"/>
  <c r="BO53" i="22"/>
  <c r="BN53" i="22"/>
  <c r="BM53" i="22"/>
  <c r="BL53" i="22"/>
  <c r="BK53" i="22"/>
  <c r="BF53" i="22"/>
  <c r="AZ53" i="22"/>
  <c r="AY53" i="22"/>
  <c r="AX53" i="22"/>
  <c r="AW53" i="22"/>
  <c r="AV53" i="22"/>
  <c r="Y53" i="22"/>
  <c r="Z53" i="22" s="1"/>
  <c r="K53" i="22"/>
  <c r="M53" i="22" s="1"/>
  <c r="Q53" i="22" s="1"/>
  <c r="BP52" i="22"/>
  <c r="BO52" i="22"/>
  <c r="BN52" i="22"/>
  <c r="BM52" i="22"/>
  <c r="BL52" i="22"/>
  <c r="BK52" i="22"/>
  <c r="BF52" i="22"/>
  <c r="AZ52" i="22"/>
  <c r="AY52" i="22"/>
  <c r="AX52" i="22"/>
  <c r="AW52" i="22"/>
  <c r="AV52" i="22"/>
  <c r="Y52" i="22"/>
  <c r="Z52" i="22" s="1"/>
  <c r="K52" i="22"/>
  <c r="M52" i="22" s="1"/>
  <c r="Q52" i="22" s="1"/>
  <c r="BP51" i="22"/>
  <c r="BO51" i="22"/>
  <c r="BN51" i="22"/>
  <c r="BM51" i="22"/>
  <c r="BL51" i="22"/>
  <c r="BK51" i="22"/>
  <c r="BF51" i="22"/>
  <c r="AZ51" i="22"/>
  <c r="AY51" i="22"/>
  <c r="AX51" i="22"/>
  <c r="AW51" i="22"/>
  <c r="AV51" i="22"/>
  <c r="Y51" i="22"/>
  <c r="Z51" i="22" s="1"/>
  <c r="K51" i="22"/>
  <c r="M51" i="22" s="1"/>
  <c r="Q51" i="22" s="1"/>
  <c r="BP50" i="22"/>
  <c r="BO50" i="22"/>
  <c r="BN50" i="22"/>
  <c r="BM50" i="22"/>
  <c r="BL50" i="22"/>
  <c r="BK50" i="22"/>
  <c r="BF50" i="22"/>
  <c r="AZ50" i="22"/>
  <c r="AY50" i="22"/>
  <c r="AX50" i="22"/>
  <c r="AW50" i="22"/>
  <c r="AV50" i="22"/>
  <c r="Z50" i="22"/>
  <c r="BP49" i="22"/>
  <c r="BO49" i="22"/>
  <c r="BN49" i="22"/>
  <c r="BM49" i="22"/>
  <c r="BL49" i="22"/>
  <c r="BK49" i="22"/>
  <c r="BF49" i="22"/>
  <c r="AZ49" i="22"/>
  <c r="AY49" i="22"/>
  <c r="AX49" i="22"/>
  <c r="AW49" i="22"/>
  <c r="AV49" i="22"/>
  <c r="Y49" i="22"/>
  <c r="Z49" i="22" s="1"/>
  <c r="BP48" i="22"/>
  <c r="BO48" i="22"/>
  <c r="BN48" i="22"/>
  <c r="BM48" i="22"/>
  <c r="BL48" i="22"/>
  <c r="BK48" i="22"/>
  <c r="BF48" i="22"/>
  <c r="AZ48" i="22"/>
  <c r="AY48" i="22"/>
  <c r="AX48" i="22"/>
  <c r="AW48" i="22"/>
  <c r="AV48" i="22"/>
  <c r="Y48" i="22"/>
  <c r="Z48" i="22" s="1"/>
  <c r="BP47" i="22"/>
  <c r="BO47" i="22"/>
  <c r="BN47" i="22"/>
  <c r="BM47" i="22"/>
  <c r="BL47" i="22"/>
  <c r="BK47" i="22"/>
  <c r="BF47" i="22"/>
  <c r="AZ47" i="22"/>
  <c r="AY47" i="22"/>
  <c r="AX47" i="22"/>
  <c r="AW47" i="22"/>
  <c r="AV47" i="22"/>
  <c r="Y47" i="22"/>
  <c r="Z47" i="22" s="1"/>
  <c r="BP46" i="22"/>
  <c r="BO46" i="22"/>
  <c r="BN46" i="22"/>
  <c r="BM46" i="22"/>
  <c r="BL46" i="22"/>
  <c r="BK46" i="22"/>
  <c r="BF46" i="22"/>
  <c r="AZ46" i="22"/>
  <c r="AY46" i="22"/>
  <c r="AX46" i="22"/>
  <c r="AW46" i="22"/>
  <c r="AV46" i="22"/>
  <c r="Y46" i="22"/>
  <c r="Z46" i="22" s="1"/>
  <c r="BP45" i="22"/>
  <c r="BO45" i="22"/>
  <c r="BN45" i="22"/>
  <c r="BM45" i="22"/>
  <c r="BL45" i="22"/>
  <c r="BK45" i="22"/>
  <c r="AZ45" i="22"/>
  <c r="AY45" i="22"/>
  <c r="AX45" i="22"/>
  <c r="AW45" i="22"/>
  <c r="AV45" i="22"/>
  <c r="Y45" i="22"/>
  <c r="Z45" i="22" s="1"/>
  <c r="BP44" i="22"/>
  <c r="BO44" i="22"/>
  <c r="BN44" i="22"/>
  <c r="BM44" i="22"/>
  <c r="BL44" i="22"/>
  <c r="BK44" i="22"/>
  <c r="AZ44" i="22"/>
  <c r="AY44" i="22"/>
  <c r="AX44" i="22"/>
  <c r="AW44" i="22"/>
  <c r="AV44" i="22"/>
  <c r="Y44" i="22"/>
  <c r="Z44" i="22" s="1"/>
  <c r="BP43" i="22"/>
  <c r="BO43" i="22"/>
  <c r="BN43" i="22"/>
  <c r="BM43" i="22"/>
  <c r="BL43" i="22"/>
  <c r="BK43" i="22"/>
  <c r="AZ43" i="22"/>
  <c r="AY43" i="22"/>
  <c r="AX43" i="22"/>
  <c r="AW43" i="22"/>
  <c r="AV43" i="22"/>
  <c r="Y43" i="22"/>
  <c r="Z43" i="22" s="1"/>
  <c r="BP42" i="22"/>
  <c r="BO42" i="22"/>
  <c r="BN42" i="22"/>
  <c r="BM42" i="22"/>
  <c r="BL42" i="22"/>
  <c r="BK42" i="22"/>
  <c r="AZ42" i="22"/>
  <c r="AY42" i="22"/>
  <c r="AX42" i="22"/>
  <c r="AW42" i="22"/>
  <c r="AV42" i="22"/>
  <c r="Y42" i="22"/>
  <c r="Z42" i="22" s="1"/>
  <c r="BP41" i="22"/>
  <c r="BO41" i="22"/>
  <c r="BN41" i="22"/>
  <c r="BM41" i="22"/>
  <c r="BL41" i="22"/>
  <c r="BK41" i="22"/>
  <c r="AZ41" i="22"/>
  <c r="AY41" i="22"/>
  <c r="AX41" i="22"/>
  <c r="AW41" i="22"/>
  <c r="AV41" i="22"/>
  <c r="Y41" i="22"/>
  <c r="Z41" i="22" s="1"/>
  <c r="BP40" i="22"/>
  <c r="BO40" i="22"/>
  <c r="BN40" i="22"/>
  <c r="BM40" i="22"/>
  <c r="BL40" i="22"/>
  <c r="BK40" i="22"/>
  <c r="AZ40" i="22"/>
  <c r="AY40" i="22"/>
  <c r="AX40" i="22"/>
  <c r="AW40" i="22"/>
  <c r="AV40" i="22"/>
  <c r="Y40" i="22"/>
  <c r="Z40" i="22" s="1"/>
  <c r="BP39" i="22"/>
  <c r="BO39" i="22"/>
  <c r="BN39" i="22"/>
  <c r="BM39" i="22"/>
  <c r="BL39" i="22"/>
  <c r="BK39" i="22"/>
  <c r="AZ39" i="22"/>
  <c r="AY39" i="22"/>
  <c r="AX39" i="22"/>
  <c r="AW39" i="22"/>
  <c r="AV39" i="22"/>
  <c r="Y39" i="22"/>
  <c r="Z39" i="22" s="1"/>
  <c r="BP38" i="22"/>
  <c r="BO38" i="22"/>
  <c r="BN38" i="22"/>
  <c r="BM38" i="22"/>
  <c r="BL38" i="22"/>
  <c r="BK38" i="22"/>
  <c r="AZ38" i="22"/>
  <c r="AY38" i="22"/>
  <c r="AX38" i="22"/>
  <c r="AW38" i="22"/>
  <c r="AV38" i="22"/>
  <c r="Y38" i="22"/>
  <c r="Z38" i="22" s="1"/>
  <c r="BP37" i="22"/>
  <c r="BO37" i="22"/>
  <c r="BN37" i="22"/>
  <c r="BM37" i="22"/>
  <c r="BL37" i="22"/>
  <c r="BK37" i="22"/>
  <c r="BF37" i="22"/>
  <c r="AZ37" i="22"/>
  <c r="AY37" i="22"/>
  <c r="AX37" i="22"/>
  <c r="AW37" i="22"/>
  <c r="AV37" i="22"/>
  <c r="Y37" i="22"/>
  <c r="Z37" i="22" s="1"/>
  <c r="BP36" i="22"/>
  <c r="BO36" i="22"/>
  <c r="BN36" i="22"/>
  <c r="BM36" i="22"/>
  <c r="BL36" i="22"/>
  <c r="BK36" i="22"/>
  <c r="BF36" i="22"/>
  <c r="AZ36" i="22"/>
  <c r="AY36" i="22"/>
  <c r="AX36" i="22"/>
  <c r="AW36" i="22"/>
  <c r="AV36" i="22"/>
  <c r="Y36" i="22"/>
  <c r="Z36" i="22" s="1"/>
  <c r="BP35" i="22"/>
  <c r="BO35" i="22"/>
  <c r="BN35" i="22"/>
  <c r="BM35" i="22"/>
  <c r="BL35" i="22"/>
  <c r="BK35" i="22"/>
  <c r="BF35" i="22"/>
  <c r="AZ35" i="22"/>
  <c r="AY35" i="22"/>
  <c r="AX35" i="22"/>
  <c r="AW35" i="22"/>
  <c r="AV35" i="22"/>
  <c r="Y35" i="22"/>
  <c r="Z35" i="22" s="1"/>
  <c r="BP34" i="22"/>
  <c r="BO34" i="22"/>
  <c r="BN34" i="22"/>
  <c r="BM34" i="22"/>
  <c r="BL34" i="22"/>
  <c r="BK34" i="22"/>
  <c r="BF34" i="22"/>
  <c r="AZ34" i="22"/>
  <c r="AY34" i="22"/>
  <c r="AX34" i="22"/>
  <c r="AW34" i="22"/>
  <c r="AV34" i="22"/>
  <c r="Y34" i="22"/>
  <c r="Z34" i="22" s="1"/>
  <c r="BP33" i="22"/>
  <c r="BO33" i="22"/>
  <c r="BN33" i="22"/>
  <c r="BM33" i="22"/>
  <c r="BL33" i="22"/>
  <c r="BK33" i="22"/>
  <c r="BF33" i="22"/>
  <c r="AZ33" i="22"/>
  <c r="AY33" i="22"/>
  <c r="AX33" i="22"/>
  <c r="AW33" i="22"/>
  <c r="AV33" i="22"/>
  <c r="Y33" i="22"/>
  <c r="Z33" i="22" s="1"/>
  <c r="BP32" i="22"/>
  <c r="BO32" i="22"/>
  <c r="BN32" i="22"/>
  <c r="BM32" i="22"/>
  <c r="BL32" i="22"/>
  <c r="BK32" i="22"/>
  <c r="BF32" i="22"/>
  <c r="AZ32" i="22"/>
  <c r="AY32" i="22"/>
  <c r="AX32" i="22"/>
  <c r="AW32" i="22"/>
  <c r="AV32" i="22"/>
  <c r="Y32" i="22"/>
  <c r="Z32" i="22" s="1"/>
  <c r="BP31" i="22"/>
  <c r="BO31" i="22"/>
  <c r="BN31" i="22"/>
  <c r="BM31" i="22"/>
  <c r="BL31" i="22"/>
  <c r="BK31" i="22"/>
  <c r="BF31" i="22"/>
  <c r="AZ31" i="22"/>
  <c r="AY31" i="22"/>
  <c r="AX31" i="22"/>
  <c r="AW31" i="22"/>
  <c r="AV31" i="22"/>
  <c r="Y31" i="22"/>
  <c r="Z31" i="22" s="1"/>
  <c r="BP30" i="22"/>
  <c r="BO30" i="22"/>
  <c r="BN30" i="22"/>
  <c r="BM30" i="22"/>
  <c r="BL30" i="22"/>
  <c r="BK30" i="22"/>
  <c r="BF30" i="22"/>
  <c r="AZ30" i="22"/>
  <c r="AY30" i="22"/>
  <c r="AX30" i="22"/>
  <c r="AW30" i="22"/>
  <c r="AV30" i="22"/>
  <c r="Y30" i="22"/>
  <c r="Z30" i="22" s="1"/>
  <c r="BP29" i="22"/>
  <c r="BO29" i="22"/>
  <c r="BN29" i="22"/>
  <c r="BM29" i="22"/>
  <c r="BL29" i="22"/>
  <c r="BK29" i="22"/>
  <c r="BF29" i="22"/>
  <c r="AZ29" i="22"/>
  <c r="AY29" i="22"/>
  <c r="AX29" i="22"/>
  <c r="AW29" i="22"/>
  <c r="AV29" i="22"/>
  <c r="Y29" i="22"/>
  <c r="Z29" i="22" s="1"/>
  <c r="BP28" i="22"/>
  <c r="BO28" i="22"/>
  <c r="BN28" i="22"/>
  <c r="BM28" i="22"/>
  <c r="BL28" i="22"/>
  <c r="BK28" i="22"/>
  <c r="BF28" i="22"/>
  <c r="AZ28" i="22"/>
  <c r="AY28" i="22"/>
  <c r="AX28" i="22"/>
  <c r="AW28" i="22"/>
  <c r="AV28" i="22"/>
  <c r="Y28" i="22"/>
  <c r="Z28" i="22" s="1"/>
  <c r="BP27" i="22"/>
  <c r="BO27" i="22"/>
  <c r="BN27" i="22"/>
  <c r="BM27" i="22"/>
  <c r="BL27" i="22"/>
  <c r="BK27" i="22"/>
  <c r="BF27" i="22"/>
  <c r="AZ27" i="22"/>
  <c r="AY27" i="22"/>
  <c r="AX27" i="22"/>
  <c r="AW27" i="22"/>
  <c r="AV27" i="22"/>
  <c r="Y27" i="22"/>
  <c r="Z27" i="22" s="1"/>
  <c r="BP26" i="22"/>
  <c r="BO26" i="22"/>
  <c r="BN26" i="22"/>
  <c r="BM26" i="22"/>
  <c r="BL26" i="22"/>
  <c r="BK26" i="22"/>
  <c r="BF26" i="22"/>
  <c r="AZ26" i="22"/>
  <c r="AY26" i="22"/>
  <c r="AX26" i="22"/>
  <c r="AW26" i="22"/>
  <c r="AV26" i="22"/>
  <c r="Z26" i="22"/>
  <c r="BP25" i="22"/>
  <c r="BO25" i="22"/>
  <c r="BN25" i="22"/>
  <c r="BM25" i="22"/>
  <c r="BL25" i="22"/>
  <c r="BK25" i="22"/>
  <c r="BF25" i="22"/>
  <c r="AZ25" i="22"/>
  <c r="AY25" i="22"/>
  <c r="AX25" i="22"/>
  <c r="AW25" i="22"/>
  <c r="AV25" i="22"/>
  <c r="Y25" i="22"/>
  <c r="Z25" i="22" s="1"/>
  <c r="BP24" i="22"/>
  <c r="BO24" i="22"/>
  <c r="BN24" i="22"/>
  <c r="BM24" i="22"/>
  <c r="BL24" i="22"/>
  <c r="BK24" i="22"/>
  <c r="BF24" i="22"/>
  <c r="AZ24" i="22"/>
  <c r="AY24" i="22"/>
  <c r="AX24" i="22"/>
  <c r="AW24" i="22"/>
  <c r="AV24" i="22"/>
  <c r="Y24" i="22"/>
  <c r="Z24" i="22" s="1"/>
  <c r="BP23" i="22"/>
  <c r="BO23" i="22"/>
  <c r="BN23" i="22"/>
  <c r="BM23" i="22"/>
  <c r="BL23" i="22"/>
  <c r="BK23" i="22"/>
  <c r="BF23" i="22"/>
  <c r="AZ23" i="22"/>
  <c r="AY23" i="22"/>
  <c r="AX23" i="22"/>
  <c r="AW23" i="22"/>
  <c r="AV23" i="22"/>
  <c r="Y23" i="22"/>
  <c r="Z23" i="22" s="1"/>
  <c r="BP22" i="22"/>
  <c r="BO22" i="22"/>
  <c r="BN22" i="22"/>
  <c r="BM22" i="22"/>
  <c r="BL22" i="22"/>
  <c r="BK22" i="22"/>
  <c r="BF22" i="22"/>
  <c r="AZ22" i="22"/>
  <c r="AY22" i="22"/>
  <c r="AX22" i="22"/>
  <c r="AW22" i="22"/>
  <c r="AV22" i="22"/>
  <c r="Y22" i="22"/>
  <c r="Z22" i="22" s="1"/>
  <c r="BP21" i="22"/>
  <c r="BO21" i="22"/>
  <c r="BN21" i="22"/>
  <c r="BM21" i="22"/>
  <c r="BL21" i="22"/>
  <c r="BK21" i="22"/>
  <c r="BF21" i="22"/>
  <c r="AZ21" i="22"/>
  <c r="AY21" i="22"/>
  <c r="AX21" i="22"/>
  <c r="AW21" i="22"/>
  <c r="AV21" i="22"/>
  <c r="Y21" i="22"/>
  <c r="Z21" i="22" s="1"/>
  <c r="BP20" i="22"/>
  <c r="BO20" i="22"/>
  <c r="BN20" i="22"/>
  <c r="BM20" i="22"/>
  <c r="BL20" i="22"/>
  <c r="BK20" i="22"/>
  <c r="BF20" i="22"/>
  <c r="AZ20" i="22"/>
  <c r="AY20" i="22"/>
  <c r="AX20" i="22"/>
  <c r="AW20" i="22"/>
  <c r="AV20" i="22"/>
  <c r="Y20" i="22"/>
  <c r="Z20" i="22" s="1"/>
  <c r="BP19" i="22"/>
  <c r="BO19" i="22"/>
  <c r="BN19" i="22"/>
  <c r="BM19" i="22"/>
  <c r="BL19" i="22"/>
  <c r="BK19" i="22"/>
  <c r="BF19" i="22"/>
  <c r="AZ19" i="22"/>
  <c r="AY19" i="22"/>
  <c r="AX19" i="22"/>
  <c r="AW19" i="22"/>
  <c r="AV19" i="22"/>
  <c r="Y19" i="22"/>
  <c r="Z19" i="22" s="1"/>
  <c r="BP18" i="22"/>
  <c r="BO18" i="22"/>
  <c r="BN18" i="22"/>
  <c r="BM18" i="22"/>
  <c r="BL18" i="22"/>
  <c r="BK18" i="22"/>
  <c r="BF18" i="22"/>
  <c r="AZ18" i="22"/>
  <c r="AY18" i="22"/>
  <c r="AX18" i="22"/>
  <c r="AW18" i="22"/>
  <c r="AV18" i="22"/>
  <c r="Y18" i="22"/>
  <c r="Z18" i="22" s="1"/>
  <c r="BP17" i="22"/>
  <c r="BO17" i="22"/>
  <c r="BN17" i="22"/>
  <c r="BM17" i="22"/>
  <c r="BL17" i="22"/>
  <c r="BK17" i="22"/>
  <c r="BF17" i="22"/>
  <c r="AZ17" i="22"/>
  <c r="AY17" i="22"/>
  <c r="AX17" i="22"/>
  <c r="AW17" i="22"/>
  <c r="AV17" i="22"/>
  <c r="Y17" i="22"/>
  <c r="U17" i="22"/>
  <c r="T17" i="22"/>
  <c r="BP16" i="22"/>
  <c r="BO16" i="22"/>
  <c r="BN16" i="22"/>
  <c r="BM16" i="22"/>
  <c r="BL16" i="22"/>
  <c r="BK16" i="22"/>
  <c r="BF16" i="22"/>
  <c r="AZ16" i="22"/>
  <c r="AY16" i="22"/>
  <c r="AX16" i="22"/>
  <c r="AW16" i="22"/>
  <c r="AV16" i="22"/>
  <c r="Y16" i="22"/>
  <c r="Z16" i="22" s="1"/>
  <c r="BP15" i="22"/>
  <c r="BO15" i="22"/>
  <c r="BN15" i="22"/>
  <c r="BM15" i="22"/>
  <c r="BL15" i="22"/>
  <c r="BK15" i="22"/>
  <c r="BF15" i="22"/>
  <c r="AZ15" i="22"/>
  <c r="AY15" i="22"/>
  <c r="AX15" i="22"/>
  <c r="AW15" i="22"/>
  <c r="AV15" i="22"/>
  <c r="Y15" i="22"/>
  <c r="Z15" i="22" s="1"/>
  <c r="BP14" i="22"/>
  <c r="BO14" i="22"/>
  <c r="BN14" i="22"/>
  <c r="BM14" i="22"/>
  <c r="BL14" i="22"/>
  <c r="BK14" i="22"/>
  <c r="BF14" i="22"/>
  <c r="AZ14" i="22"/>
  <c r="AY14" i="22"/>
  <c r="AX14" i="22"/>
  <c r="AW14" i="22"/>
  <c r="AV14" i="22"/>
  <c r="Y14" i="22"/>
  <c r="Z14" i="22" s="1"/>
  <c r="BP13" i="22"/>
  <c r="BO13" i="22"/>
  <c r="BN13" i="22"/>
  <c r="BM13" i="22"/>
  <c r="BL13" i="22"/>
  <c r="BK13" i="22"/>
  <c r="BF13" i="22"/>
  <c r="AZ13" i="22"/>
  <c r="AY13" i="22"/>
  <c r="AX13" i="22"/>
  <c r="AW13" i="22"/>
  <c r="AV13" i="22"/>
  <c r="Y13" i="22"/>
  <c r="Z13" i="22" s="1"/>
  <c r="BP12" i="22"/>
  <c r="BO12" i="22"/>
  <c r="BN12" i="22"/>
  <c r="BM12" i="22"/>
  <c r="BL12" i="22"/>
  <c r="BK12" i="22"/>
  <c r="BF12" i="22"/>
  <c r="AZ12" i="22"/>
  <c r="AY12" i="22"/>
  <c r="AX12" i="22"/>
  <c r="AW12" i="22"/>
  <c r="AV12" i="22"/>
  <c r="Y12" i="22"/>
  <c r="Z12" i="22" s="1"/>
  <c r="BP11" i="22"/>
  <c r="BO11" i="22"/>
  <c r="BN11" i="22"/>
  <c r="BM11" i="22"/>
  <c r="BL11" i="22"/>
  <c r="BK11" i="22"/>
  <c r="BF11" i="22"/>
  <c r="AZ11" i="22"/>
  <c r="AY11" i="22"/>
  <c r="AX11" i="22"/>
  <c r="AW11" i="22"/>
  <c r="AV11" i="22"/>
  <c r="Y11" i="22"/>
  <c r="Z11" i="22" s="1"/>
  <c r="BP10" i="22"/>
  <c r="BO10" i="22"/>
  <c r="BN10" i="22"/>
  <c r="BM10" i="22"/>
  <c r="BL10" i="22"/>
  <c r="BK10" i="22"/>
  <c r="BF10" i="22"/>
  <c r="AZ10" i="22"/>
  <c r="AY10" i="22"/>
  <c r="AX10" i="22"/>
  <c r="AW10" i="22"/>
  <c r="AV10" i="22"/>
  <c r="Z10" i="22"/>
  <c r="BP9" i="22"/>
  <c r="BO9" i="22"/>
  <c r="BN9" i="22"/>
  <c r="BM9" i="22"/>
  <c r="BL9" i="22"/>
  <c r="BK9" i="22"/>
  <c r="BF9" i="22"/>
  <c r="AZ9" i="22"/>
  <c r="AY9" i="22"/>
  <c r="AX9" i="22"/>
  <c r="AW9" i="22"/>
  <c r="AV9" i="22"/>
  <c r="Y9" i="22"/>
  <c r="Z9" i="22" s="1"/>
  <c r="BP8" i="22"/>
  <c r="BO8" i="22"/>
  <c r="BN8" i="22"/>
  <c r="BM8" i="22"/>
  <c r="BL8" i="22"/>
  <c r="BK8" i="22"/>
  <c r="BF8" i="22"/>
  <c r="AZ8" i="22"/>
  <c r="AY8" i="22"/>
  <c r="AX8" i="22"/>
  <c r="AW8" i="22"/>
  <c r="AV8" i="22"/>
  <c r="BP7" i="22"/>
  <c r="BO7" i="22"/>
  <c r="BN7" i="22"/>
  <c r="BM7" i="22"/>
  <c r="BL7" i="22"/>
  <c r="BK7" i="22"/>
  <c r="BF7" i="22"/>
  <c r="AZ7" i="22"/>
  <c r="AY7" i="22"/>
  <c r="AX7" i="22"/>
  <c r="AW7" i="22"/>
  <c r="AV7" i="22"/>
  <c r="BP6" i="22"/>
  <c r="BO6" i="22"/>
  <c r="BN6" i="22"/>
  <c r="BM6" i="22"/>
  <c r="BL6" i="22"/>
  <c r="BK6" i="22"/>
  <c r="BF6" i="22"/>
  <c r="AZ6" i="22"/>
  <c r="AY6" i="22"/>
  <c r="AX6" i="22"/>
  <c r="AW6" i="22"/>
  <c r="AV6" i="22"/>
  <c r="BP5" i="22"/>
  <c r="BO5" i="22"/>
  <c r="BN5" i="22"/>
  <c r="BM5" i="22"/>
  <c r="BL5" i="22"/>
  <c r="BK5" i="22"/>
  <c r="BF5" i="22"/>
  <c r="AZ5" i="22"/>
  <c r="AY5" i="22"/>
  <c r="AX5" i="22"/>
  <c r="AW5" i="22"/>
  <c r="AV5" i="22"/>
  <c r="BP4" i="22"/>
  <c r="BO4" i="22"/>
  <c r="BN4" i="22"/>
  <c r="BM4" i="22"/>
  <c r="BL4" i="22"/>
  <c r="BK4" i="22"/>
  <c r="BF4" i="22"/>
  <c r="AZ4" i="22"/>
  <c r="AY4" i="22"/>
  <c r="AX4" i="22"/>
  <c r="AW4" i="22"/>
  <c r="AV4" i="22"/>
  <c r="K4" i="22"/>
  <c r="L4" i="22" s="1"/>
  <c r="BP3" i="22"/>
  <c r="BO3" i="22"/>
  <c r="BN3" i="22"/>
  <c r="BM3" i="22"/>
  <c r="BL3" i="22"/>
  <c r="BK3" i="22"/>
  <c r="BF3" i="22"/>
  <c r="AZ3" i="22"/>
  <c r="AY3" i="22"/>
  <c r="AX3" i="22"/>
  <c r="AW3" i="22"/>
  <c r="AV3" i="22"/>
  <c r="M3" i="22"/>
  <c r="V358" i="22" l="1"/>
  <c r="P358" i="22"/>
  <c r="Q358" i="22"/>
  <c r="BA35" i="22"/>
  <c r="Z448" i="22"/>
  <c r="BD448" i="22" s="1"/>
  <c r="Z433" i="22"/>
  <c r="BI433" i="22" s="1"/>
  <c r="Z407" i="22"/>
  <c r="BI407" i="22" s="1"/>
  <c r="Z411" i="22"/>
  <c r="BD411" i="22" s="1"/>
  <c r="Z508" i="22"/>
  <c r="BI508" i="22" s="1"/>
  <c r="Z446" i="22"/>
  <c r="BD446" i="22" s="1"/>
  <c r="Z431" i="22"/>
  <c r="BI431" i="22" s="1"/>
  <c r="Z429" i="22"/>
  <c r="BI429" i="22" s="1"/>
  <c r="Z410" i="22"/>
  <c r="BI410" i="22" s="1"/>
  <c r="Z447" i="22"/>
  <c r="Z459" i="22"/>
  <c r="BD459" i="22" s="1"/>
  <c r="Z425" i="22"/>
  <c r="BI425" i="22" s="1"/>
  <c r="Z396" i="22"/>
  <c r="BI396" i="22" s="1"/>
  <c r="Z409" i="22"/>
  <c r="BI409" i="22" s="1"/>
  <c r="Z426" i="22"/>
  <c r="BD426" i="22" s="1"/>
  <c r="Z444" i="22"/>
  <c r="BI444" i="22" s="1"/>
  <c r="Z457" i="22"/>
  <c r="BI457" i="22" s="1"/>
  <c r="Z442" i="22"/>
  <c r="BI442" i="22" s="1"/>
  <c r="Z443" i="22"/>
  <c r="BI443" i="22" s="1"/>
  <c r="Z398" i="22"/>
  <c r="BI398" i="22" s="1"/>
  <c r="Z449" i="22"/>
  <c r="BI449" i="22" s="1"/>
  <c r="Z422" i="22"/>
  <c r="BI422" i="22" s="1"/>
  <c r="Z434" i="22"/>
  <c r="BI434" i="22" s="1"/>
  <c r="Z428" i="22"/>
  <c r="BI428" i="22" s="1"/>
  <c r="Z469" i="22"/>
  <c r="BD469" i="22" s="1"/>
  <c r="Z439" i="22"/>
  <c r="BD439" i="22" s="1"/>
  <c r="Z470" i="22"/>
  <c r="BD470" i="22" s="1"/>
  <c r="Z415" i="22"/>
  <c r="BI415" i="22" s="1"/>
  <c r="Z441" i="22"/>
  <c r="BI441" i="22" s="1"/>
  <c r="Z400" i="22"/>
  <c r="BD400" i="22" s="1"/>
  <c r="Z438" i="22"/>
  <c r="BI438" i="22" s="1"/>
  <c r="Z419" i="22"/>
  <c r="BD419" i="22" s="1"/>
  <c r="Z403" i="22"/>
  <c r="BI403" i="22" s="1"/>
  <c r="Z451" i="22"/>
  <c r="BI451" i="22" s="1"/>
  <c r="Z450" i="22"/>
  <c r="BD450" i="22" s="1"/>
  <c r="Z402" i="22"/>
  <c r="BD402" i="22" s="1"/>
  <c r="Z436" i="22"/>
  <c r="BI436" i="22" s="1"/>
  <c r="Z510" i="22"/>
  <c r="BI510" i="22" s="1"/>
  <c r="Z435" i="22"/>
  <c r="BD435" i="22" s="1"/>
  <c r="Z509" i="22"/>
  <c r="BI509" i="22" s="1"/>
  <c r="Z405" i="22"/>
  <c r="BI405" i="22" s="1"/>
  <c r="Z453" i="22"/>
  <c r="BD453" i="22" s="1"/>
  <c r="Z466" i="22"/>
  <c r="BD466" i="22" s="1"/>
  <c r="Z404" i="22"/>
  <c r="BI404" i="22" s="1"/>
  <c r="Z418" i="22"/>
  <c r="BD418" i="22" s="1"/>
  <c r="Z395" i="22"/>
  <c r="BI395" i="22" s="1"/>
  <c r="Z416" i="22"/>
  <c r="BD416" i="22" s="1"/>
  <c r="Z406" i="22"/>
  <c r="BD406" i="22" s="1"/>
  <c r="Z468" i="22"/>
  <c r="BI468" i="22" s="1"/>
  <c r="Z454" i="22"/>
  <c r="BI454" i="22" s="1"/>
  <c r="Z467" i="22"/>
  <c r="BI467" i="22" s="1"/>
  <c r="V414" i="22"/>
  <c r="BJ414" i="22" s="1"/>
  <c r="Z414" i="22"/>
  <c r="BI414" i="22" s="1"/>
  <c r="V461" i="22"/>
  <c r="BB461" i="22" s="1"/>
  <c r="Z461" i="22"/>
  <c r="BI461" i="22" s="1"/>
  <c r="V480" i="22"/>
  <c r="BB480" i="22" s="1"/>
  <c r="Z480" i="22"/>
  <c r="V487" i="22"/>
  <c r="BJ487" i="22" s="1"/>
  <c r="Z487" i="22"/>
  <c r="BI501" i="22"/>
  <c r="BD501" i="22"/>
  <c r="P507" i="22"/>
  <c r="Z507" i="22"/>
  <c r="V420" i="22"/>
  <c r="BB420" i="22" s="1"/>
  <c r="Z420" i="22"/>
  <c r="BI420" i="22" s="1"/>
  <c r="V440" i="22"/>
  <c r="BJ440" i="22" s="1"/>
  <c r="Z440" i="22"/>
  <c r="BD440" i="22" s="1"/>
  <c r="V473" i="22"/>
  <c r="BJ473" i="22" s="1"/>
  <c r="Z473" i="22"/>
  <c r="BI473" i="22" s="1"/>
  <c r="P494" i="22"/>
  <c r="Z494" i="22"/>
  <c r="BI479" i="22"/>
  <c r="BD479" i="22"/>
  <c r="Q486" i="22"/>
  <c r="Z486" i="22"/>
  <c r="P500" i="22"/>
  <c r="Z500" i="22"/>
  <c r="BI506" i="22"/>
  <c r="BD506" i="22"/>
  <c r="Q432" i="22"/>
  <c r="Z432" i="22"/>
  <c r="Q452" i="22"/>
  <c r="Z452" i="22"/>
  <c r="BI452" i="22" s="1"/>
  <c r="V472" i="22"/>
  <c r="BJ472" i="22" s="1"/>
  <c r="Z472" i="22"/>
  <c r="BD472" i="22" s="1"/>
  <c r="BI493" i="22"/>
  <c r="BD493" i="22"/>
  <c r="BI413" i="22"/>
  <c r="BD413" i="22"/>
  <c r="P445" i="22"/>
  <c r="Z445" i="22"/>
  <c r="BI445" i="22" s="1"/>
  <c r="V458" i="22"/>
  <c r="BJ458" i="22" s="1"/>
  <c r="Z458" i="22"/>
  <c r="BI458" i="22" s="1"/>
  <c r="V465" i="22"/>
  <c r="BJ465" i="22" s="1"/>
  <c r="Z465" i="22"/>
  <c r="BI465" i="22" s="1"/>
  <c r="P478" i="22"/>
  <c r="Z478" i="22"/>
  <c r="BD478" i="22" s="1"/>
  <c r="BD485" i="22"/>
  <c r="BI485" i="22"/>
  <c r="BI499" i="22"/>
  <c r="BD499" i="22"/>
  <c r="BI505" i="22"/>
  <c r="BD505" i="22"/>
  <c r="V397" i="22"/>
  <c r="BJ397" i="22" s="1"/>
  <c r="Z397" i="22"/>
  <c r="BD397" i="22" s="1"/>
  <c r="V408" i="22"/>
  <c r="BJ408" i="22" s="1"/>
  <c r="Z408" i="22"/>
  <c r="BI408" i="22" s="1"/>
  <c r="BI492" i="22"/>
  <c r="BD492" i="22"/>
  <c r="V471" i="22"/>
  <c r="BJ471" i="22" s="1"/>
  <c r="Z471" i="22"/>
  <c r="BI471" i="22" s="1"/>
  <c r="V484" i="22"/>
  <c r="BG484" i="22" s="1"/>
  <c r="Z484" i="22"/>
  <c r="P412" i="22"/>
  <c r="P464" i="22"/>
  <c r="Z464" i="22"/>
  <c r="BD464" i="22" s="1"/>
  <c r="P477" i="22"/>
  <c r="Z477" i="22"/>
  <c r="BI477" i="22" s="1"/>
  <c r="BI491" i="22"/>
  <c r="BD491" i="22"/>
  <c r="BI498" i="22"/>
  <c r="BD498" i="22"/>
  <c r="BD504" i="22"/>
  <c r="BI504" i="22"/>
  <c r="P430" i="22"/>
  <c r="Z430" i="22"/>
  <c r="BI430" i="22" s="1"/>
  <c r="Q437" i="22"/>
  <c r="Z437" i="22"/>
  <c r="BI437" i="22" s="1"/>
  <c r="Q417" i="22"/>
  <c r="Z417" i="22"/>
  <c r="BI417" i="22" s="1"/>
  <c r="V423" i="22"/>
  <c r="BB423" i="22" s="1"/>
  <c r="Z423" i="22"/>
  <c r="BI423" i="22" s="1"/>
  <c r="BI483" i="22"/>
  <c r="BD483" i="22"/>
  <c r="BI490" i="22"/>
  <c r="BD490" i="22"/>
  <c r="V460" i="22"/>
  <c r="Z460" i="22"/>
  <c r="V456" i="22"/>
  <c r="BJ456" i="22" s="1"/>
  <c r="Z456" i="22"/>
  <c r="BI456" i="22" s="1"/>
  <c r="V463" i="22"/>
  <c r="BB463" i="22" s="1"/>
  <c r="Z463" i="22"/>
  <c r="BI463" i="22" s="1"/>
  <c r="BI497" i="22"/>
  <c r="BD497" i="22"/>
  <c r="BI503" i="22"/>
  <c r="BD503" i="22"/>
  <c r="BI482" i="22"/>
  <c r="BD482" i="22"/>
  <c r="BI489" i="22"/>
  <c r="BD489" i="22"/>
  <c r="V455" i="22"/>
  <c r="BJ455" i="22" s="1"/>
  <c r="Z455" i="22"/>
  <c r="BI455" i="22" s="1"/>
  <c r="BI496" i="22"/>
  <c r="BD496" i="22"/>
  <c r="P401" i="22"/>
  <c r="Z401" i="22"/>
  <c r="BI401" i="22" s="1"/>
  <c r="V462" i="22"/>
  <c r="BB462" i="22" s="1"/>
  <c r="Z462" i="22"/>
  <c r="BI462" i="22" s="1"/>
  <c r="BD502" i="22"/>
  <c r="BI502" i="22"/>
  <c r="V421" i="22"/>
  <c r="BB421" i="22" s="1"/>
  <c r="Z421" i="22"/>
  <c r="BI421" i="22" s="1"/>
  <c r="P427" i="22"/>
  <c r="Z427" i="22"/>
  <c r="BD427" i="22" s="1"/>
  <c r="BD481" i="22"/>
  <c r="BI481" i="22"/>
  <c r="V488" i="22"/>
  <c r="BJ488" i="22" s="1"/>
  <c r="Z488" i="22"/>
  <c r="BI495" i="22"/>
  <c r="BD495" i="22"/>
  <c r="BI108" i="22"/>
  <c r="BD108" i="22"/>
  <c r="BI206" i="22"/>
  <c r="BD206" i="22"/>
  <c r="BI300" i="22"/>
  <c r="BD300" i="22"/>
  <c r="BI366" i="22"/>
  <c r="BD366" i="22"/>
  <c r="BD392" i="22"/>
  <c r="BI392" i="22"/>
  <c r="BD376" i="22"/>
  <c r="BI376" i="22"/>
  <c r="BD99" i="22"/>
  <c r="BI99" i="22"/>
  <c r="BI119" i="22"/>
  <c r="BD119" i="22"/>
  <c r="BD131" i="22"/>
  <c r="BI131" i="22"/>
  <c r="BI140" i="22"/>
  <c r="BD140" i="22"/>
  <c r="BI158" i="22"/>
  <c r="BD158" i="22"/>
  <c r="BD178" i="22"/>
  <c r="BI178" i="22"/>
  <c r="BD187" i="22"/>
  <c r="BI187" i="22"/>
  <c r="BI225" i="22"/>
  <c r="BD225" i="22"/>
  <c r="BI233" i="22"/>
  <c r="BD233" i="22"/>
  <c r="BD243" i="22"/>
  <c r="BI243" i="22"/>
  <c r="BI252" i="22"/>
  <c r="BD252" i="22"/>
  <c r="BI289" i="22"/>
  <c r="BD289" i="22"/>
  <c r="BD328" i="22"/>
  <c r="BI328" i="22"/>
  <c r="BI345" i="22"/>
  <c r="BD345" i="22"/>
  <c r="BI365" i="22"/>
  <c r="BD365" i="22"/>
  <c r="BI391" i="22"/>
  <c r="BD391" i="22"/>
  <c r="BI375" i="22"/>
  <c r="BD375" i="22"/>
  <c r="BI261" i="22"/>
  <c r="BD261" i="22"/>
  <c r="BI377" i="22"/>
  <c r="BD377" i="22"/>
  <c r="BI30" i="22"/>
  <c r="BD30" i="22"/>
  <c r="BI16" i="22"/>
  <c r="BD16" i="22"/>
  <c r="BI23" i="22"/>
  <c r="BD23" i="22"/>
  <c r="BI36" i="22"/>
  <c r="BD36" i="22"/>
  <c r="BI53" i="22"/>
  <c r="BD53" i="22"/>
  <c r="BI62" i="22"/>
  <c r="BD62" i="22"/>
  <c r="BI71" i="22"/>
  <c r="BD71" i="22"/>
  <c r="BI79" i="22"/>
  <c r="BD79" i="22"/>
  <c r="BI90" i="22"/>
  <c r="BD90" i="22"/>
  <c r="BI107" i="22"/>
  <c r="BD107" i="22"/>
  <c r="BD118" i="22"/>
  <c r="BI118" i="22"/>
  <c r="BI139" i="22"/>
  <c r="BD139" i="22"/>
  <c r="BI157" i="22"/>
  <c r="BD157" i="22"/>
  <c r="BD168" i="22"/>
  <c r="BI168" i="22"/>
  <c r="BI186" i="22"/>
  <c r="BD186" i="22"/>
  <c r="BD195" i="22"/>
  <c r="BI195" i="22"/>
  <c r="BI205" i="22"/>
  <c r="BD205" i="22"/>
  <c r="BD214" i="22"/>
  <c r="BI214" i="22"/>
  <c r="BI260" i="22"/>
  <c r="BD260" i="22"/>
  <c r="BI269" i="22"/>
  <c r="BD269" i="22"/>
  <c r="BI278" i="22"/>
  <c r="BD278" i="22"/>
  <c r="BD299" i="22"/>
  <c r="BI299" i="22"/>
  <c r="BI308" i="22"/>
  <c r="BD308" i="22"/>
  <c r="BI316" i="22"/>
  <c r="BD316" i="22"/>
  <c r="BD322" i="22"/>
  <c r="BI322" i="22"/>
  <c r="BD339" i="22"/>
  <c r="BI339" i="22"/>
  <c r="BI350" i="22"/>
  <c r="BD350" i="22"/>
  <c r="BI364" i="22"/>
  <c r="BD364" i="22"/>
  <c r="BI390" i="22"/>
  <c r="BD390" i="22"/>
  <c r="BD374" i="22"/>
  <c r="BI374" i="22"/>
  <c r="BD226" i="22"/>
  <c r="BI226" i="22"/>
  <c r="BD120" i="22"/>
  <c r="BI120" i="22"/>
  <c r="BI159" i="22"/>
  <c r="BD159" i="22"/>
  <c r="BI270" i="22"/>
  <c r="BD270" i="22"/>
  <c r="BI317" i="22"/>
  <c r="BD317" i="22"/>
  <c r="BI46" i="22"/>
  <c r="BD46" i="22"/>
  <c r="BI9" i="22"/>
  <c r="BD9" i="22"/>
  <c r="BI29" i="22"/>
  <c r="BD29" i="22"/>
  <c r="BI41" i="22"/>
  <c r="BD41" i="22"/>
  <c r="BI52" i="22"/>
  <c r="BD52" i="22"/>
  <c r="BI70" i="22"/>
  <c r="BD70" i="22"/>
  <c r="BD98" i="22"/>
  <c r="BI98" i="22"/>
  <c r="BI117" i="22"/>
  <c r="BD117" i="22"/>
  <c r="BD130" i="22"/>
  <c r="BI130" i="22"/>
  <c r="BI138" i="22"/>
  <c r="BD138" i="22"/>
  <c r="BI148" i="22"/>
  <c r="BD148" i="22"/>
  <c r="BI167" i="22"/>
  <c r="BD167" i="22"/>
  <c r="BI177" i="22"/>
  <c r="BD177" i="22"/>
  <c r="BI185" i="22"/>
  <c r="BD185" i="22"/>
  <c r="BI204" i="22"/>
  <c r="BD204" i="22"/>
  <c r="BD224" i="22"/>
  <c r="BI224" i="22"/>
  <c r="BD232" i="22"/>
  <c r="BI232" i="22"/>
  <c r="BD242" i="22"/>
  <c r="BI242" i="22"/>
  <c r="BD251" i="22"/>
  <c r="BI251" i="22"/>
  <c r="BI268" i="22"/>
  <c r="BD268" i="22"/>
  <c r="BD288" i="22"/>
  <c r="BI288" i="22"/>
  <c r="BI298" i="22"/>
  <c r="BD298" i="22"/>
  <c r="BI327" i="22"/>
  <c r="BD327" i="22"/>
  <c r="BI333" i="22"/>
  <c r="BD333" i="22"/>
  <c r="BD344" i="22"/>
  <c r="BI344" i="22"/>
  <c r="BD363" i="22"/>
  <c r="BI363" i="22"/>
  <c r="BI389" i="22"/>
  <c r="BD389" i="22"/>
  <c r="BI373" i="22"/>
  <c r="BD373" i="22"/>
  <c r="BI81" i="22"/>
  <c r="BD81" i="22"/>
  <c r="BI121" i="22"/>
  <c r="BD121" i="22"/>
  <c r="BD35" i="22"/>
  <c r="BI35" i="22"/>
  <c r="BD51" i="22"/>
  <c r="BI51" i="22"/>
  <c r="BI61" i="22"/>
  <c r="BD61" i="22"/>
  <c r="BI78" i="22"/>
  <c r="BD78" i="22"/>
  <c r="BI89" i="22"/>
  <c r="BD89" i="22"/>
  <c r="BI106" i="22"/>
  <c r="BD106" i="22"/>
  <c r="BI116" i="22"/>
  <c r="BD116" i="22"/>
  <c r="BI129" i="22"/>
  <c r="BD129" i="22"/>
  <c r="BI156" i="22"/>
  <c r="BD156" i="22"/>
  <c r="BD166" i="22"/>
  <c r="BI166" i="22"/>
  <c r="BD194" i="22"/>
  <c r="BI194" i="22"/>
  <c r="BD203" i="22"/>
  <c r="BI203" i="22"/>
  <c r="BI213" i="22"/>
  <c r="BD213" i="22"/>
  <c r="BI241" i="22"/>
  <c r="BD241" i="22"/>
  <c r="BI250" i="22"/>
  <c r="BD250" i="22"/>
  <c r="BD267" i="22"/>
  <c r="BI267" i="22"/>
  <c r="BI277" i="22"/>
  <c r="BD277" i="22"/>
  <c r="BI287" i="22"/>
  <c r="BD287" i="22"/>
  <c r="BD307" i="22"/>
  <c r="BI307" i="22"/>
  <c r="BD315" i="22"/>
  <c r="BI315" i="22"/>
  <c r="BI357" i="22"/>
  <c r="BD357" i="22"/>
  <c r="BI388" i="22"/>
  <c r="BD388" i="22"/>
  <c r="BD179" i="22"/>
  <c r="BI179" i="22"/>
  <c r="BI188" i="22"/>
  <c r="BD188" i="22"/>
  <c r="BI15" i="22"/>
  <c r="BD15" i="22"/>
  <c r="BI22" i="22"/>
  <c r="BD22" i="22"/>
  <c r="BI28" i="22"/>
  <c r="BD28" i="22"/>
  <c r="BI45" i="22"/>
  <c r="BD45" i="22"/>
  <c r="BI69" i="22"/>
  <c r="BD69" i="22"/>
  <c r="BI88" i="22"/>
  <c r="BD88" i="22"/>
  <c r="BI97" i="22"/>
  <c r="BD97" i="22"/>
  <c r="BD115" i="22"/>
  <c r="BI115" i="22"/>
  <c r="BI137" i="22"/>
  <c r="BD137" i="22"/>
  <c r="BD147" i="22"/>
  <c r="BI147" i="22"/>
  <c r="BI155" i="22"/>
  <c r="BD155" i="22"/>
  <c r="BI165" i="22"/>
  <c r="BD165" i="22"/>
  <c r="BI176" i="22"/>
  <c r="BD176" i="22"/>
  <c r="BI202" i="22"/>
  <c r="BD202" i="22"/>
  <c r="BI212" i="22"/>
  <c r="BD212" i="22"/>
  <c r="BI223" i="22"/>
  <c r="BD223" i="22"/>
  <c r="BI231" i="22"/>
  <c r="BD231" i="22"/>
  <c r="BD259" i="22"/>
  <c r="BI259" i="22"/>
  <c r="BI266" i="22"/>
  <c r="BD266" i="22"/>
  <c r="BI286" i="22"/>
  <c r="BD286" i="22"/>
  <c r="BI297" i="22"/>
  <c r="BD297" i="22"/>
  <c r="BI321" i="22"/>
  <c r="BD321" i="22"/>
  <c r="BD338" i="22"/>
  <c r="BI338" i="22"/>
  <c r="BI349" i="22"/>
  <c r="BD349" i="22"/>
  <c r="BI356" i="22"/>
  <c r="BD356" i="22"/>
  <c r="BD387" i="22"/>
  <c r="BI387" i="22"/>
  <c r="BI42" i="22"/>
  <c r="BD42" i="22"/>
  <c r="BI72" i="22"/>
  <c r="BD72" i="22"/>
  <c r="BI215" i="22"/>
  <c r="BD215" i="22"/>
  <c r="BD34" i="22"/>
  <c r="BI34" i="22"/>
  <c r="BI40" i="22"/>
  <c r="BD40" i="22"/>
  <c r="BD50" i="22"/>
  <c r="BI50" i="22"/>
  <c r="BI60" i="22"/>
  <c r="BD60" i="22"/>
  <c r="BI77" i="22"/>
  <c r="BD77" i="22"/>
  <c r="BI87" i="22"/>
  <c r="BD87" i="22"/>
  <c r="BI105" i="22"/>
  <c r="BD105" i="22"/>
  <c r="BD114" i="22"/>
  <c r="BI114" i="22"/>
  <c r="BI128" i="22"/>
  <c r="BD128" i="22"/>
  <c r="BD146" i="22"/>
  <c r="BI146" i="22"/>
  <c r="BI175" i="22"/>
  <c r="BD175" i="22"/>
  <c r="BI193" i="22"/>
  <c r="BD193" i="22"/>
  <c r="BD240" i="22"/>
  <c r="BI240" i="22"/>
  <c r="BI265" i="22"/>
  <c r="BD265" i="22"/>
  <c r="BI276" i="22"/>
  <c r="BD276" i="22"/>
  <c r="BD296" i="22"/>
  <c r="BI296" i="22"/>
  <c r="BD306" i="22"/>
  <c r="BI306" i="22"/>
  <c r="BD326" i="22"/>
  <c r="BI326" i="22"/>
  <c r="BI332" i="22"/>
  <c r="BD332" i="22"/>
  <c r="BI343" i="22"/>
  <c r="BD343" i="22"/>
  <c r="BD355" i="22"/>
  <c r="BI355" i="22"/>
  <c r="BD386" i="22"/>
  <c r="BI386" i="22"/>
  <c r="BD424" i="22"/>
  <c r="BI424" i="22"/>
  <c r="BI367" i="22"/>
  <c r="BD367" i="22"/>
  <c r="BI393" i="22"/>
  <c r="BD393" i="22"/>
  <c r="BI37" i="22"/>
  <c r="BD37" i="22"/>
  <c r="BI54" i="22"/>
  <c r="BD54" i="22"/>
  <c r="BI14" i="22"/>
  <c r="BD14" i="22"/>
  <c r="BI21" i="22"/>
  <c r="BD21" i="22"/>
  <c r="BI27" i="22"/>
  <c r="BD27" i="22"/>
  <c r="BI68" i="22"/>
  <c r="BD68" i="22"/>
  <c r="BI86" i="22"/>
  <c r="BD86" i="22"/>
  <c r="BI96" i="22"/>
  <c r="BD96" i="22"/>
  <c r="BI113" i="22"/>
  <c r="BD113" i="22"/>
  <c r="BD136" i="22"/>
  <c r="BI136" i="22"/>
  <c r="BI154" i="22"/>
  <c r="BD154" i="22"/>
  <c r="BI164" i="22"/>
  <c r="BD164" i="22"/>
  <c r="BI183" i="22"/>
  <c r="BD183" i="22"/>
  <c r="BI201" i="22"/>
  <c r="BD201" i="22"/>
  <c r="BD211" i="22"/>
  <c r="BI211" i="22"/>
  <c r="BI222" i="22"/>
  <c r="BD222" i="22"/>
  <c r="BD230" i="22"/>
  <c r="BI230" i="22"/>
  <c r="BD248" i="22"/>
  <c r="BI248" i="22"/>
  <c r="BD258" i="22"/>
  <c r="BI258" i="22"/>
  <c r="BI285" i="22"/>
  <c r="BD285" i="22"/>
  <c r="BI295" i="22"/>
  <c r="BD295" i="22"/>
  <c r="BI314" i="22"/>
  <c r="BD314" i="22"/>
  <c r="BI385" i="22"/>
  <c r="BD385" i="22"/>
  <c r="BI399" i="22"/>
  <c r="BD399" i="22"/>
  <c r="BI170" i="22"/>
  <c r="BD170" i="22"/>
  <c r="BD323" i="22"/>
  <c r="BI323" i="22"/>
  <c r="BI340" i="22"/>
  <c r="BD340" i="22"/>
  <c r="BI44" i="22"/>
  <c r="BD44" i="22"/>
  <c r="BI49" i="22"/>
  <c r="BD49" i="22"/>
  <c r="BI59" i="22"/>
  <c r="BD59" i="22"/>
  <c r="BD67" i="22"/>
  <c r="BI67" i="22"/>
  <c r="BI76" i="22"/>
  <c r="BD76" i="22"/>
  <c r="BI95" i="22"/>
  <c r="BD95" i="22"/>
  <c r="BI104" i="22"/>
  <c r="BD104" i="22"/>
  <c r="BI112" i="22"/>
  <c r="BD112" i="22"/>
  <c r="BI127" i="22"/>
  <c r="BD127" i="22"/>
  <c r="BI145" i="22"/>
  <c r="BD145" i="22"/>
  <c r="BD163" i="22"/>
  <c r="BI163" i="22"/>
  <c r="BI174" i="22"/>
  <c r="BD174" i="22"/>
  <c r="BD192" i="22"/>
  <c r="BI192" i="22"/>
  <c r="BD200" i="22"/>
  <c r="BI200" i="22"/>
  <c r="BI239" i="22"/>
  <c r="BD239" i="22"/>
  <c r="BI257" i="22"/>
  <c r="BD257" i="22"/>
  <c r="BD264" i="22"/>
  <c r="BI264" i="22"/>
  <c r="BD275" i="22"/>
  <c r="BI275" i="22"/>
  <c r="BI305" i="22"/>
  <c r="BD305" i="22"/>
  <c r="BD320" i="22"/>
  <c r="BI320" i="22"/>
  <c r="BI337" i="22"/>
  <c r="BD337" i="22"/>
  <c r="BI348" i="22"/>
  <c r="BD348" i="22"/>
  <c r="BI353" i="22"/>
  <c r="BD353" i="22"/>
  <c r="BI362" i="22"/>
  <c r="BD362" i="22"/>
  <c r="BD384" i="22"/>
  <c r="BI384" i="22"/>
  <c r="BI150" i="22"/>
  <c r="BD150" i="22"/>
  <c r="BD290" i="22"/>
  <c r="BI290" i="22"/>
  <c r="BI329" i="22"/>
  <c r="BD329" i="22"/>
  <c r="BI351" i="22"/>
  <c r="BD351" i="22"/>
  <c r="BI80" i="22"/>
  <c r="BD80" i="22"/>
  <c r="BI91" i="22"/>
  <c r="BD91" i="22"/>
  <c r="BI334" i="22"/>
  <c r="BD334" i="22"/>
  <c r="BI13" i="22"/>
  <c r="BD13" i="22"/>
  <c r="BI20" i="22"/>
  <c r="BD20" i="22"/>
  <c r="BI33" i="22"/>
  <c r="BD33" i="22"/>
  <c r="BI85" i="22"/>
  <c r="BD85" i="22"/>
  <c r="BI135" i="22"/>
  <c r="BD135" i="22"/>
  <c r="BI153" i="22"/>
  <c r="BD153" i="22"/>
  <c r="BD210" i="22"/>
  <c r="BI210" i="22"/>
  <c r="BI221" i="22"/>
  <c r="BD221" i="22"/>
  <c r="BI229" i="22"/>
  <c r="BD229" i="22"/>
  <c r="BI247" i="22"/>
  <c r="BD247" i="22"/>
  <c r="BI284" i="22"/>
  <c r="BD284" i="22"/>
  <c r="BI294" i="22"/>
  <c r="BD294" i="22"/>
  <c r="BD304" i="22"/>
  <c r="BI304" i="22"/>
  <c r="BI313" i="22"/>
  <c r="BD313" i="22"/>
  <c r="BI325" i="22"/>
  <c r="BD325" i="22"/>
  <c r="BD331" i="22"/>
  <c r="BI331" i="22"/>
  <c r="BI342" i="22"/>
  <c r="BD342" i="22"/>
  <c r="BD354" i="22"/>
  <c r="BI354" i="22"/>
  <c r="BI361" i="22"/>
  <c r="BD361" i="22"/>
  <c r="BI383" i="22"/>
  <c r="BD383" i="22"/>
  <c r="BI476" i="22"/>
  <c r="BD476" i="22"/>
  <c r="BI63" i="22"/>
  <c r="BD63" i="22"/>
  <c r="BI234" i="22"/>
  <c r="BD234" i="22"/>
  <c r="BI279" i="22"/>
  <c r="BD279" i="22"/>
  <c r="BI309" i="22"/>
  <c r="BD309" i="22"/>
  <c r="BI26" i="22"/>
  <c r="BD26" i="22"/>
  <c r="BI39" i="22"/>
  <c r="BD39" i="22"/>
  <c r="BI58" i="22"/>
  <c r="BD58" i="22"/>
  <c r="BD66" i="22"/>
  <c r="BI66" i="22"/>
  <c r="BI75" i="22"/>
  <c r="BD75" i="22"/>
  <c r="BI84" i="22"/>
  <c r="BD84" i="22"/>
  <c r="BI94" i="22"/>
  <c r="BD94" i="22"/>
  <c r="BI103" i="22"/>
  <c r="BD103" i="22"/>
  <c r="BI111" i="22"/>
  <c r="BD111" i="22"/>
  <c r="BI126" i="22"/>
  <c r="BD126" i="22"/>
  <c r="BI144" i="22"/>
  <c r="BD144" i="22"/>
  <c r="BD162" i="22"/>
  <c r="BI162" i="22"/>
  <c r="BI173" i="22"/>
  <c r="BD173" i="22"/>
  <c r="BI191" i="22"/>
  <c r="BD191" i="22"/>
  <c r="BI199" i="22"/>
  <c r="BD199" i="22"/>
  <c r="BI209" i="22"/>
  <c r="BD209" i="22"/>
  <c r="BI220" i="22"/>
  <c r="BD220" i="22"/>
  <c r="BI238" i="22"/>
  <c r="BD238" i="22"/>
  <c r="BD256" i="22"/>
  <c r="BI256" i="22"/>
  <c r="BI263" i="22"/>
  <c r="BD263" i="22"/>
  <c r="BD274" i="22"/>
  <c r="BI274" i="22"/>
  <c r="BD283" i="22"/>
  <c r="BI283" i="22"/>
  <c r="BD312" i="22"/>
  <c r="BI312" i="22"/>
  <c r="BI372" i="22"/>
  <c r="BD372" i="22"/>
  <c r="BD360" i="22"/>
  <c r="BI360" i="22"/>
  <c r="BI382" i="22"/>
  <c r="BD382" i="22"/>
  <c r="BD475" i="22"/>
  <c r="BI475" i="22"/>
  <c r="BI12" i="22"/>
  <c r="BD12" i="22"/>
  <c r="BD19" i="22"/>
  <c r="BI19" i="22"/>
  <c r="BI48" i="22"/>
  <c r="BD48" i="22"/>
  <c r="BD83" i="22"/>
  <c r="BI83" i="22"/>
  <c r="BI125" i="22"/>
  <c r="BD125" i="22"/>
  <c r="BD134" i="22"/>
  <c r="BI134" i="22"/>
  <c r="BD152" i="22"/>
  <c r="BI152" i="22"/>
  <c r="BI181" i="22"/>
  <c r="BD181" i="22"/>
  <c r="BD219" i="22"/>
  <c r="BI219" i="22"/>
  <c r="BI228" i="22"/>
  <c r="BD228" i="22"/>
  <c r="BI237" i="22"/>
  <c r="BD237" i="22"/>
  <c r="BI246" i="22"/>
  <c r="BD246" i="22"/>
  <c r="BI319" i="22"/>
  <c r="BD319" i="22"/>
  <c r="BD336" i="22"/>
  <c r="BI336" i="22"/>
  <c r="BD347" i="22"/>
  <c r="BI347" i="22"/>
  <c r="BD371" i="22"/>
  <c r="BI371" i="22"/>
  <c r="BI359" i="22"/>
  <c r="BD359" i="22"/>
  <c r="BI381" i="22"/>
  <c r="BD381" i="22"/>
  <c r="BI474" i="22"/>
  <c r="BD474" i="22"/>
  <c r="BI132" i="22"/>
  <c r="BD132" i="22"/>
  <c r="BI24" i="22"/>
  <c r="BD24" i="22"/>
  <c r="BI196" i="22"/>
  <c r="BD196" i="22"/>
  <c r="BI32" i="22"/>
  <c r="BD32" i="22"/>
  <c r="BI43" i="22"/>
  <c r="BD43" i="22"/>
  <c r="BI57" i="22"/>
  <c r="BD57" i="22"/>
  <c r="BI65" i="22"/>
  <c r="BD65" i="22"/>
  <c r="BI74" i="22"/>
  <c r="BD74" i="22"/>
  <c r="BI93" i="22"/>
  <c r="BD93" i="22"/>
  <c r="BI102" i="22"/>
  <c r="BD102" i="22"/>
  <c r="BI110" i="22"/>
  <c r="BD110" i="22"/>
  <c r="BI124" i="22"/>
  <c r="BD124" i="22"/>
  <c r="BI143" i="22"/>
  <c r="BD143" i="22"/>
  <c r="BI172" i="22"/>
  <c r="BD172" i="22"/>
  <c r="BI190" i="22"/>
  <c r="BD190" i="22"/>
  <c r="BI198" i="22"/>
  <c r="BD198" i="22"/>
  <c r="BI208" i="22"/>
  <c r="BD208" i="22"/>
  <c r="BI218" i="22"/>
  <c r="BD218" i="22"/>
  <c r="BI255" i="22"/>
  <c r="BD255" i="22"/>
  <c r="BD262" i="22"/>
  <c r="BI262" i="22"/>
  <c r="BI273" i="22"/>
  <c r="BD273" i="22"/>
  <c r="BI282" i="22"/>
  <c r="BD282" i="22"/>
  <c r="BI292" i="22"/>
  <c r="BD292" i="22"/>
  <c r="BI302" i="22"/>
  <c r="BD302" i="22"/>
  <c r="BI311" i="22"/>
  <c r="BD311" i="22"/>
  <c r="BI324" i="22"/>
  <c r="BD324" i="22"/>
  <c r="BI330" i="22"/>
  <c r="BD330" i="22"/>
  <c r="BI341" i="22"/>
  <c r="BD341" i="22"/>
  <c r="BD352" i="22"/>
  <c r="BI352" i="22"/>
  <c r="BD370" i="22"/>
  <c r="BI370" i="22"/>
  <c r="BD358" i="22"/>
  <c r="BI358" i="22"/>
  <c r="BI380" i="22"/>
  <c r="BD380" i="22"/>
  <c r="BI141" i="22"/>
  <c r="BD141" i="22"/>
  <c r="BI25" i="22"/>
  <c r="BD25" i="22"/>
  <c r="BD82" i="22"/>
  <c r="BI82" i="22"/>
  <c r="BI123" i="22"/>
  <c r="BD123" i="22"/>
  <c r="BI133" i="22"/>
  <c r="BD133" i="22"/>
  <c r="BI151" i="22"/>
  <c r="BD151" i="22"/>
  <c r="BD171" i="22"/>
  <c r="BI171" i="22"/>
  <c r="BI180" i="22"/>
  <c r="BD180" i="22"/>
  <c r="BI217" i="22"/>
  <c r="BD217" i="22"/>
  <c r="BD227" i="22"/>
  <c r="BI227" i="22"/>
  <c r="BI236" i="22"/>
  <c r="BD236" i="22"/>
  <c r="BI245" i="22"/>
  <c r="BD245" i="22"/>
  <c r="BI281" i="22"/>
  <c r="BD281" i="22"/>
  <c r="BD291" i="22"/>
  <c r="BI291" i="22"/>
  <c r="BI335" i="22"/>
  <c r="BD335" i="22"/>
  <c r="BI369" i="22"/>
  <c r="BD369" i="22"/>
  <c r="BD379" i="22"/>
  <c r="BI379" i="22"/>
  <c r="BI244" i="22"/>
  <c r="BD244" i="22"/>
  <c r="BI100" i="22"/>
  <c r="BD100" i="22"/>
  <c r="BI253" i="22"/>
  <c r="BD253" i="22"/>
  <c r="BI10" i="22"/>
  <c r="BD10" i="22"/>
  <c r="BI11" i="22"/>
  <c r="BD11" i="22"/>
  <c r="BD18" i="22"/>
  <c r="BI18" i="22"/>
  <c r="BI31" i="22"/>
  <c r="BD31" i="22"/>
  <c r="BI38" i="22"/>
  <c r="BD38" i="22"/>
  <c r="BI47" i="22"/>
  <c r="BD47" i="22"/>
  <c r="BI55" i="22"/>
  <c r="BD55" i="22"/>
  <c r="BI56" i="22"/>
  <c r="BD56" i="22"/>
  <c r="BI64" i="22"/>
  <c r="BD64" i="22"/>
  <c r="BI73" i="22"/>
  <c r="BD73" i="22"/>
  <c r="BI92" i="22"/>
  <c r="BD92" i="22"/>
  <c r="BI101" i="22"/>
  <c r="BD101" i="22"/>
  <c r="BI109" i="22"/>
  <c r="BD109" i="22"/>
  <c r="BI122" i="22"/>
  <c r="BD122" i="22"/>
  <c r="BI142" i="22"/>
  <c r="BD142" i="22"/>
  <c r="BI160" i="22"/>
  <c r="BD160" i="22"/>
  <c r="BI189" i="22"/>
  <c r="BD189" i="22"/>
  <c r="BI197" i="22"/>
  <c r="BD197" i="22"/>
  <c r="BI207" i="22"/>
  <c r="BD207" i="22"/>
  <c r="BD216" i="22"/>
  <c r="BI216" i="22"/>
  <c r="BD235" i="22"/>
  <c r="BI235" i="22"/>
  <c r="BI254" i="22"/>
  <c r="BD254" i="22"/>
  <c r="BI271" i="22"/>
  <c r="BD271" i="22"/>
  <c r="BD280" i="22"/>
  <c r="BI280" i="22"/>
  <c r="BI301" i="22"/>
  <c r="BD301" i="22"/>
  <c r="BI310" i="22"/>
  <c r="BD310" i="22"/>
  <c r="BI318" i="22"/>
  <c r="BD318" i="22"/>
  <c r="BI346" i="22"/>
  <c r="BD346" i="22"/>
  <c r="BD368" i="22"/>
  <c r="BI368" i="22"/>
  <c r="BI394" i="22"/>
  <c r="BD394" i="22"/>
  <c r="BI378" i="22"/>
  <c r="BD378" i="22"/>
  <c r="BJ319" i="22"/>
  <c r="BB319" i="22"/>
  <c r="BJ76" i="22"/>
  <c r="BB76" i="22"/>
  <c r="BJ112" i="22"/>
  <c r="BB112" i="22"/>
  <c r="BJ200" i="22"/>
  <c r="BB200" i="22"/>
  <c r="BJ239" i="22"/>
  <c r="BB239" i="22"/>
  <c r="BJ294" i="22"/>
  <c r="BB294" i="22"/>
  <c r="BJ325" i="22"/>
  <c r="BB325" i="22"/>
  <c r="BJ84" i="22"/>
  <c r="BB84" i="22"/>
  <c r="BJ94" i="22"/>
  <c r="BB94" i="22"/>
  <c r="BJ126" i="22"/>
  <c r="BB126" i="22"/>
  <c r="BJ238" i="22"/>
  <c r="BB238" i="22"/>
  <c r="BJ283" i="22"/>
  <c r="BB283" i="22"/>
  <c r="BJ383" i="22"/>
  <c r="BB383" i="22"/>
  <c r="BJ371" i="22"/>
  <c r="BB371" i="22"/>
  <c r="BJ302" i="22"/>
  <c r="BB302" i="22"/>
  <c r="BJ330" i="22"/>
  <c r="BB330" i="22"/>
  <c r="BJ227" i="22"/>
  <c r="BB227" i="22"/>
  <c r="BJ335" i="22"/>
  <c r="BB335" i="22"/>
  <c r="BJ102" i="22"/>
  <c r="BB102" i="22"/>
  <c r="BJ218" i="22"/>
  <c r="BB218" i="22"/>
  <c r="BJ64" i="22"/>
  <c r="BB64" i="22"/>
  <c r="BJ216" i="22"/>
  <c r="BB216" i="22"/>
  <c r="BJ392" i="22"/>
  <c r="BB392" i="22"/>
  <c r="BJ341" i="22"/>
  <c r="BB341" i="22"/>
  <c r="BJ150" i="22"/>
  <c r="BB150" i="22"/>
  <c r="BJ215" i="22"/>
  <c r="BB215" i="22"/>
  <c r="BJ270" i="22"/>
  <c r="BB270" i="22"/>
  <c r="BJ309" i="22"/>
  <c r="BB309" i="22"/>
  <c r="BJ328" i="22"/>
  <c r="BB328" i="22"/>
  <c r="BJ345" i="22"/>
  <c r="BB345" i="22"/>
  <c r="BJ62" i="22"/>
  <c r="BB62" i="22"/>
  <c r="BJ299" i="22"/>
  <c r="BB299" i="22"/>
  <c r="BJ148" i="22"/>
  <c r="BB148" i="22"/>
  <c r="BJ232" i="22"/>
  <c r="BB232" i="22"/>
  <c r="BJ233" i="22"/>
  <c r="BB233" i="22"/>
  <c r="BJ78" i="22"/>
  <c r="BB78" i="22"/>
  <c r="BJ376" i="22"/>
  <c r="BB376" i="22"/>
  <c r="BJ115" i="22"/>
  <c r="BB115" i="22"/>
  <c r="BJ202" i="22"/>
  <c r="BB202" i="22"/>
  <c r="BJ375" i="22"/>
  <c r="BB375" i="22"/>
  <c r="BJ347" i="22"/>
  <c r="BB347" i="22"/>
  <c r="BJ332" i="22"/>
  <c r="BB332" i="22"/>
  <c r="BJ237" i="22"/>
  <c r="BB237" i="22"/>
  <c r="BJ128" i="22"/>
  <c r="BB128" i="22"/>
  <c r="BJ211" i="22"/>
  <c r="BB211" i="22"/>
  <c r="BJ285" i="22"/>
  <c r="BB285" i="22"/>
  <c r="BJ354" i="22"/>
  <c r="BB354" i="22"/>
  <c r="BJ253" i="22"/>
  <c r="BJ186" i="22"/>
  <c r="BJ167" i="22"/>
  <c r="BJ249" i="22"/>
  <c r="BJ175" i="22"/>
  <c r="BJ184" i="22"/>
  <c r="BJ193" i="22"/>
  <c r="BJ258" i="22"/>
  <c r="BJ182" i="22"/>
  <c r="BJ312" i="22"/>
  <c r="BJ119" i="22"/>
  <c r="BJ114" i="22"/>
  <c r="BJ113" i="22"/>
  <c r="Q3" i="22"/>
  <c r="T3" i="22"/>
  <c r="T513" i="30"/>
  <c r="O513" i="30"/>
  <c r="L513" i="30"/>
  <c r="L7" i="30"/>
  <c r="O7" i="30"/>
  <c r="J514" i="30"/>
  <c r="H515" i="30"/>
  <c r="I515" i="30" s="1"/>
  <c r="J8" i="30"/>
  <c r="H9" i="30"/>
  <c r="I9" i="30" s="1"/>
  <c r="BE512" i="30"/>
  <c r="BL512" i="30" s="1"/>
  <c r="BP512" i="30" s="1"/>
  <c r="BU512" i="30" s="1"/>
  <c r="BV512" i="30" s="1"/>
  <c r="BW512" i="30" s="1"/>
  <c r="BB512" i="30"/>
  <c r="P460" i="22"/>
  <c r="V364" i="22"/>
  <c r="V361" i="22"/>
  <c r="BB361" i="22" s="1"/>
  <c r="Z249" i="22"/>
  <c r="BA136" i="22"/>
  <c r="BE136" i="22" s="1"/>
  <c r="BA40" i="22"/>
  <c r="BE40" i="22" s="1"/>
  <c r="V500" i="22"/>
  <c r="BA508" i="22"/>
  <c r="BE508" i="22" s="1"/>
  <c r="BA384" i="22"/>
  <c r="BE384" i="22" s="1"/>
  <c r="Q463" i="22"/>
  <c r="BA111" i="22"/>
  <c r="BE111" i="22" s="1"/>
  <c r="BA368" i="22"/>
  <c r="BE368" i="22" s="1"/>
  <c r="BA565" i="22"/>
  <c r="BE565" i="22" s="1"/>
  <c r="V508" i="22"/>
  <c r="Z17" i="22"/>
  <c r="BA14" i="22"/>
  <c r="BE14" i="22" s="1"/>
  <c r="BA16" i="22"/>
  <c r="BE16" i="22" s="1"/>
  <c r="DD765" i="22"/>
  <c r="P473" i="22"/>
  <c r="BH507" i="22"/>
  <c r="BH508" i="22"/>
  <c r="BH411" i="22"/>
  <c r="BH431" i="22"/>
  <c r="BH433" i="22"/>
  <c r="BH448" i="22"/>
  <c r="BH421" i="22"/>
  <c r="BJ359" i="22"/>
  <c r="Q359" i="22"/>
  <c r="P359" i="22"/>
  <c r="P140" i="22"/>
  <c r="V140" i="22"/>
  <c r="BA256" i="22"/>
  <c r="BE256" i="22" s="1"/>
  <c r="BA98" i="22"/>
  <c r="BE98" i="22" s="1"/>
  <c r="BA456" i="22"/>
  <c r="BH580" i="22"/>
  <c r="Q371" i="22"/>
  <c r="BH389" i="22"/>
  <c r="BA391" i="22"/>
  <c r="BE391" i="22" s="1"/>
  <c r="BH584" i="22"/>
  <c r="BA73" i="22"/>
  <c r="BE73" i="22" s="1"/>
  <c r="BA258" i="22"/>
  <c r="BG258" i="22" s="1"/>
  <c r="BA285" i="22"/>
  <c r="BG285" i="22" s="1"/>
  <c r="BA209" i="22"/>
  <c r="BE209" i="22" s="1"/>
  <c r="BH390" i="22"/>
  <c r="BH438" i="22"/>
  <c r="BH499" i="22"/>
  <c r="BA60" i="22"/>
  <c r="BE60" i="22" s="1"/>
  <c r="BA154" i="22"/>
  <c r="BE154" i="22" s="1"/>
  <c r="Q304" i="22"/>
  <c r="BH487" i="22"/>
  <c r="BA87" i="22"/>
  <c r="BE87" i="22" s="1"/>
  <c r="BA156" i="22"/>
  <c r="BE156" i="22" s="1"/>
  <c r="BA383" i="22"/>
  <c r="BG383" i="22" s="1"/>
  <c r="BA410" i="22"/>
  <c r="BE410" i="22" s="1"/>
  <c r="BH428" i="22"/>
  <c r="BA54" i="22"/>
  <c r="BE54" i="22" s="1"/>
  <c r="BA129" i="22"/>
  <c r="BE129" i="22" s="1"/>
  <c r="BA298" i="22"/>
  <c r="BE298" i="22" s="1"/>
  <c r="BH523" i="22"/>
  <c r="V158" i="22"/>
  <c r="BA432" i="22"/>
  <c r="BE432" i="22" s="1"/>
  <c r="BA447" i="22"/>
  <c r="BE447" i="22" s="1"/>
  <c r="BH527" i="22"/>
  <c r="BA84" i="22"/>
  <c r="BE84" i="22" s="1"/>
  <c r="V346" i="22"/>
  <c r="BA435" i="22"/>
  <c r="BE435" i="22" s="1"/>
  <c r="P486" i="22"/>
  <c r="BH538" i="22"/>
  <c r="BA567" i="22"/>
  <c r="BE567" i="22" s="1"/>
  <c r="BA20" i="22"/>
  <c r="BE20" i="22" s="1"/>
  <c r="BA198" i="22"/>
  <c r="BE198" i="22" s="1"/>
  <c r="BA304" i="22"/>
  <c r="BE304" i="22" s="1"/>
  <c r="Q414" i="22"/>
  <c r="BH418" i="22"/>
  <c r="BA11" i="22"/>
  <c r="BE11" i="22" s="1"/>
  <c r="BA192" i="22"/>
  <c r="BE192" i="22" s="1"/>
  <c r="BA399" i="22"/>
  <c r="BE399" i="22" s="1"/>
  <c r="K511" i="22"/>
  <c r="L511" i="22" s="1"/>
  <c r="M511" i="22" s="1"/>
  <c r="Z511" i="22" s="1"/>
  <c r="BI511" i="22" s="1"/>
  <c r="BA318" i="22"/>
  <c r="BE318" i="22" s="1"/>
  <c r="BA354" i="22"/>
  <c r="BG354" i="22" s="1"/>
  <c r="BA48" i="22"/>
  <c r="BE48" i="22" s="1"/>
  <c r="BA89" i="22"/>
  <c r="BE89" i="22" s="1"/>
  <c r="BA207" i="22"/>
  <c r="BE207" i="22" s="1"/>
  <c r="BA23" i="22"/>
  <c r="BE23" i="22" s="1"/>
  <c r="BA103" i="22"/>
  <c r="BE103" i="22" s="1"/>
  <c r="BA145" i="22"/>
  <c r="BE145" i="22" s="1"/>
  <c r="BA241" i="22"/>
  <c r="BE241" i="22" s="1"/>
  <c r="V321" i="22"/>
  <c r="P321" i="22"/>
  <c r="V106" i="22"/>
  <c r="Q106" i="22"/>
  <c r="P106" i="22"/>
  <c r="P470" i="22"/>
  <c r="V470" i="22"/>
  <c r="Q470" i="22"/>
  <c r="Q329" i="22"/>
  <c r="V329" i="22"/>
  <c r="P329" i="22"/>
  <c r="Q82" i="22"/>
  <c r="V82" i="22"/>
  <c r="V337" i="22"/>
  <c r="Q337" i="22"/>
  <c r="Q398" i="22"/>
  <c r="V398" i="22"/>
  <c r="P398" i="22"/>
  <c r="V199" i="22"/>
  <c r="P199" i="22"/>
  <c r="P159" i="22"/>
  <c r="Q159" i="22"/>
  <c r="V403" i="22"/>
  <c r="Q403" i="22"/>
  <c r="V160" i="22"/>
  <c r="P160" i="22"/>
  <c r="P404" i="22"/>
  <c r="V404" i="22"/>
  <c r="Q404" i="22"/>
  <c r="BA404" i="22"/>
  <c r="BE404" i="22" s="1"/>
  <c r="BA448" i="22"/>
  <c r="BE448" i="22" s="1"/>
  <c r="BA261" i="22"/>
  <c r="BE261" i="22" s="1"/>
  <c r="BA30" i="22"/>
  <c r="BE30" i="22" s="1"/>
  <c r="BA71" i="22"/>
  <c r="BE71" i="22" s="1"/>
  <c r="BA144" i="22"/>
  <c r="BE144" i="22" s="1"/>
  <c r="BA164" i="22"/>
  <c r="BE164" i="22" s="1"/>
  <c r="BA174" i="22"/>
  <c r="BE174" i="22" s="1"/>
  <c r="BA224" i="22"/>
  <c r="BE224" i="22" s="1"/>
  <c r="BA272" i="22"/>
  <c r="BE272" i="22" s="1"/>
  <c r="BA278" i="22"/>
  <c r="BE278" i="22" s="1"/>
  <c r="Z293" i="22"/>
  <c r="Q332" i="22"/>
  <c r="Q336" i="22"/>
  <c r="BA375" i="22"/>
  <c r="BG375" i="22" s="1"/>
  <c r="BH397" i="22"/>
  <c r="BH435" i="22"/>
  <c r="BH444" i="22"/>
  <c r="BA31" i="22"/>
  <c r="BE31" i="22" s="1"/>
  <c r="P68" i="22"/>
  <c r="BA91" i="22"/>
  <c r="BE91" i="22" s="1"/>
  <c r="P126" i="22"/>
  <c r="BA208" i="22"/>
  <c r="BE208" i="22" s="1"/>
  <c r="BA252" i="22"/>
  <c r="BE252" i="22" s="1"/>
  <c r="P253" i="22"/>
  <c r="V304" i="22"/>
  <c r="BA308" i="22"/>
  <c r="BE308" i="22" s="1"/>
  <c r="Q314" i="22"/>
  <c r="BA317" i="22"/>
  <c r="BE317" i="22" s="1"/>
  <c r="BA341" i="22"/>
  <c r="BG341" i="22" s="1"/>
  <c r="BH382" i="22"/>
  <c r="BA387" i="22"/>
  <c r="BE387" i="22" s="1"/>
  <c r="BA395" i="22"/>
  <c r="BE395" i="22" s="1"/>
  <c r="BH403" i="22"/>
  <c r="BA424" i="22"/>
  <c r="BE424" i="22" s="1"/>
  <c r="BH436" i="22"/>
  <c r="BA450" i="22"/>
  <c r="BE450" i="22" s="1"/>
  <c r="V452" i="22"/>
  <c r="BH492" i="22"/>
  <c r="BH510" i="22"/>
  <c r="BA564" i="22"/>
  <c r="BE564" i="22" s="1"/>
  <c r="Q126" i="22"/>
  <c r="Q253" i="22"/>
  <c r="V314" i="22"/>
  <c r="BA400" i="22"/>
  <c r="BE400" i="22" s="1"/>
  <c r="BA526" i="22"/>
  <c r="BE526" i="22" s="1"/>
  <c r="BA527" i="22"/>
  <c r="BE527" i="22" s="1"/>
  <c r="P3" i="22"/>
  <c r="BA22" i="22"/>
  <c r="BE22" i="22" s="1"/>
  <c r="Q114" i="22"/>
  <c r="P215" i="22"/>
  <c r="P237" i="22"/>
  <c r="P290" i="22"/>
  <c r="BA293" i="22"/>
  <c r="BE293" i="22" s="1"/>
  <c r="V300" i="22"/>
  <c r="Q397" i="22"/>
  <c r="BA422" i="22"/>
  <c r="BE422" i="22" s="1"/>
  <c r="BH486" i="22"/>
  <c r="BH514" i="22"/>
  <c r="BA530" i="22"/>
  <c r="BE530" i="22" s="1"/>
  <c r="BA531" i="22"/>
  <c r="BE531" i="22" s="1"/>
  <c r="BH559" i="22"/>
  <c r="BA572" i="22"/>
  <c r="BE572" i="22" s="1"/>
  <c r="BA24" i="22"/>
  <c r="BE24" i="22" s="1"/>
  <c r="BA130" i="22"/>
  <c r="BE130" i="22" s="1"/>
  <c r="BA146" i="22"/>
  <c r="BE146" i="22" s="1"/>
  <c r="BA171" i="22"/>
  <c r="BE171" i="22" s="1"/>
  <c r="BA234" i="22"/>
  <c r="BE234" i="22" s="1"/>
  <c r="Q237" i="22"/>
  <c r="BA242" i="22"/>
  <c r="BE242" i="22" s="1"/>
  <c r="BA286" i="22"/>
  <c r="BE286" i="22" s="1"/>
  <c r="V290" i="22"/>
  <c r="BA369" i="22"/>
  <c r="BE369" i="22" s="1"/>
  <c r="BA416" i="22"/>
  <c r="BE416" i="22" s="1"/>
  <c r="BA62" i="22"/>
  <c r="BG62" i="22" s="1"/>
  <c r="BA104" i="22"/>
  <c r="BE104" i="22" s="1"/>
  <c r="Q158" i="22"/>
  <c r="BA161" i="22"/>
  <c r="BE161" i="22" s="1"/>
  <c r="BA166" i="22"/>
  <c r="BE166" i="22" s="1"/>
  <c r="BA221" i="22"/>
  <c r="BE221" i="22" s="1"/>
  <c r="BA294" i="22"/>
  <c r="BG294" i="22" s="1"/>
  <c r="BA396" i="22"/>
  <c r="BE396" i="22" s="1"/>
  <c r="BA453" i="22"/>
  <c r="BE453" i="22" s="1"/>
  <c r="P471" i="22"/>
  <c r="BH516" i="22"/>
  <c r="BA580" i="22"/>
  <c r="BE580" i="22" s="1"/>
  <c r="BA25" i="22"/>
  <c r="BE25" i="22" s="1"/>
  <c r="BA43" i="22"/>
  <c r="BE43" i="22" s="1"/>
  <c r="P53" i="22"/>
  <c r="BA57" i="22"/>
  <c r="BE57" i="22" s="1"/>
  <c r="BA68" i="22"/>
  <c r="BE68" i="22" s="1"/>
  <c r="P364" i="22"/>
  <c r="Q471" i="22"/>
  <c r="BH518" i="22"/>
  <c r="BA3" i="22"/>
  <c r="BG3" i="22" s="1"/>
  <c r="BA15" i="22"/>
  <c r="BE15" i="22" s="1"/>
  <c r="BA26" i="22"/>
  <c r="BE26" i="22" s="1"/>
  <c r="BA44" i="22"/>
  <c r="BE44" i="22" s="1"/>
  <c r="Q119" i="22"/>
  <c r="BA162" i="22"/>
  <c r="BE162" i="22" s="1"/>
  <c r="P227" i="22"/>
  <c r="BA428" i="22"/>
  <c r="BE428" i="22" s="1"/>
  <c r="V486" i="22"/>
  <c r="BH495" i="22"/>
  <c r="BH506" i="22"/>
  <c r="BH519" i="22"/>
  <c r="BA86" i="22"/>
  <c r="BE86" i="22" s="1"/>
  <c r="BA4" i="22"/>
  <c r="BG4" i="22" s="1"/>
  <c r="BA8" i="22"/>
  <c r="BG8" i="22" s="1"/>
  <c r="Q227" i="22"/>
  <c r="BA333" i="22"/>
  <c r="BE333" i="22" s="1"/>
  <c r="V374" i="22"/>
  <c r="BA163" i="22"/>
  <c r="BE163" i="22" s="1"/>
  <c r="BA290" i="22"/>
  <c r="P306" i="22"/>
  <c r="BA362" i="22"/>
  <c r="BE362" i="22" s="1"/>
  <c r="V437" i="22"/>
  <c r="BA509" i="22"/>
  <c r="BE509" i="22" s="1"/>
  <c r="BA510" i="22"/>
  <c r="BE510" i="22" s="1"/>
  <c r="BH525" i="22"/>
  <c r="BA85" i="22"/>
  <c r="BE85" i="22" s="1"/>
  <c r="BA132" i="22"/>
  <c r="BE132" i="22" s="1"/>
  <c r="BA172" i="22"/>
  <c r="BE172" i="22" s="1"/>
  <c r="BA223" i="22"/>
  <c r="BE223" i="22" s="1"/>
  <c r="BA271" i="22"/>
  <c r="BE271" i="22" s="1"/>
  <c r="BA276" i="22"/>
  <c r="BE276" i="22" s="1"/>
  <c r="BA349" i="22"/>
  <c r="BE349" i="22" s="1"/>
  <c r="BH387" i="22"/>
  <c r="BA583" i="22"/>
  <c r="BE583" i="22" s="1"/>
  <c r="BA53" i="22"/>
  <c r="BE53" i="22" s="1"/>
  <c r="BA81" i="22"/>
  <c r="BE81" i="22" s="1"/>
  <c r="BA215" i="22"/>
  <c r="BG215" i="22" s="1"/>
  <c r="BA287" i="22"/>
  <c r="BE287" i="22" s="1"/>
  <c r="BA357" i="22"/>
  <c r="BE357" i="22" s="1"/>
  <c r="BH361" i="22"/>
  <c r="BA465" i="22"/>
  <c r="V494" i="22"/>
  <c r="BA511" i="22"/>
  <c r="BE511" i="22" s="1"/>
  <c r="BA559" i="22"/>
  <c r="BE559" i="22" s="1"/>
  <c r="BA587" i="22"/>
  <c r="BE587" i="22" s="1"/>
  <c r="BA27" i="22"/>
  <c r="BE27" i="22" s="1"/>
  <c r="P91" i="22"/>
  <c r="Q140" i="22"/>
  <c r="BA211" i="22"/>
  <c r="BG211" i="22" s="1"/>
  <c r="BA311" i="22"/>
  <c r="BE311" i="22" s="1"/>
  <c r="BA398" i="22"/>
  <c r="BE398" i="22" s="1"/>
  <c r="BH470" i="22"/>
  <c r="BH539" i="22"/>
  <c r="BA306" i="22"/>
  <c r="BE306" i="22" s="1"/>
  <c r="BA350" i="22"/>
  <c r="BE350" i="22" s="1"/>
  <c r="BA351" i="22"/>
  <c r="BE351" i="22" s="1"/>
  <c r="P414" i="22"/>
  <c r="BA445" i="22"/>
  <c r="BE445" i="22" s="1"/>
  <c r="BH453" i="22"/>
  <c r="BA464" i="22"/>
  <c r="BE464" i="22" s="1"/>
  <c r="Q73" i="22"/>
  <c r="V73" i="22"/>
  <c r="Q57" i="22"/>
  <c r="V57" i="22"/>
  <c r="V100" i="22"/>
  <c r="Q100" i="22"/>
  <c r="P100" i="22"/>
  <c r="P80" i="22"/>
  <c r="V80" i="22"/>
  <c r="Q80" i="22"/>
  <c r="Q75" i="22"/>
  <c r="V75" i="22"/>
  <c r="P75" i="22"/>
  <c r="V132" i="22"/>
  <c r="Q132" i="22"/>
  <c r="P132" i="22"/>
  <c r="V117" i="22"/>
  <c r="BB117" i="22" s="1"/>
  <c r="Q117" i="22"/>
  <c r="P124" i="22"/>
  <c r="V124" i="22"/>
  <c r="Q124" i="22"/>
  <c r="V149" i="22"/>
  <c r="Q149" i="22"/>
  <c r="P149" i="22"/>
  <c r="Q66" i="22"/>
  <c r="V66" i="22"/>
  <c r="BA67" i="22"/>
  <c r="V143" i="22"/>
  <c r="P143" i="22"/>
  <c r="BA259" i="22"/>
  <c r="BA17" i="22"/>
  <c r="BE17" i="22" s="1"/>
  <c r="BA42" i="22"/>
  <c r="BE42" i="22" s="1"/>
  <c r="V68" i="22"/>
  <c r="BA70" i="22"/>
  <c r="BE70" i="22" s="1"/>
  <c r="BA106" i="22"/>
  <c r="BE106" i="22" s="1"/>
  <c r="BA128" i="22"/>
  <c r="Q143" i="22"/>
  <c r="V166" i="22"/>
  <c r="BB166" i="22" s="1"/>
  <c r="Q166" i="22"/>
  <c r="BA179" i="22"/>
  <c r="V188" i="22"/>
  <c r="BB188" i="22" s="1"/>
  <c r="Q188" i="22"/>
  <c r="P188" i="22"/>
  <c r="BA227" i="22"/>
  <c r="BG227" i="22" s="1"/>
  <c r="BA255" i="22"/>
  <c r="P283" i="22"/>
  <c r="Q283" i="22"/>
  <c r="V291" i="22"/>
  <c r="Q291" i="22"/>
  <c r="P291" i="22"/>
  <c r="BA5" i="22"/>
  <c r="BG5" i="22" s="1"/>
  <c r="BA6" i="22"/>
  <c r="BG6" i="22" s="1"/>
  <c r="BA13" i="22"/>
  <c r="BE13" i="22" s="1"/>
  <c r="BA18" i="22"/>
  <c r="BE18" i="22" s="1"/>
  <c r="BA50" i="22"/>
  <c r="BA77" i="22"/>
  <c r="BE77" i="22" s="1"/>
  <c r="BG114" i="22"/>
  <c r="V144" i="22"/>
  <c r="Q144" i="22"/>
  <c r="V189" i="22"/>
  <c r="BB189" i="22" s="1"/>
  <c r="Q189" i="22"/>
  <c r="BA240" i="22"/>
  <c r="BH425" i="22"/>
  <c r="P499" i="22"/>
  <c r="V499" i="22"/>
  <c r="Q499" i="22"/>
  <c r="P508" i="22"/>
  <c r="Q508" i="22"/>
  <c r="BH573" i="22"/>
  <c r="BH574" i="22"/>
  <c r="BA12" i="22"/>
  <c r="BE12" i="22" s="1"/>
  <c r="V101" i="22"/>
  <c r="P101" i="22"/>
  <c r="V118" i="22"/>
  <c r="BB118" i="22" s="1"/>
  <c r="Q118" i="22"/>
  <c r="P221" i="22"/>
  <c r="V221" i="22"/>
  <c r="Q221" i="22"/>
  <c r="V284" i="22"/>
  <c r="Q284" i="22"/>
  <c r="P284" i="22"/>
  <c r="BH426" i="22"/>
  <c r="V434" i="22"/>
  <c r="Q434" i="22"/>
  <c r="P434" i="22"/>
  <c r="BH528" i="22"/>
  <c r="BH531" i="22"/>
  <c r="BH533" i="22"/>
  <c r="BA32" i="22"/>
  <c r="BE32" i="22" s="1"/>
  <c r="BA39" i="22"/>
  <c r="BE39" i="22" s="1"/>
  <c r="BA64" i="22"/>
  <c r="BG64" i="22" s="1"/>
  <c r="BA78" i="22"/>
  <c r="BG78" i="22" s="1"/>
  <c r="V279" i="22"/>
  <c r="BE498" i="22"/>
  <c r="BJ362" i="22"/>
  <c r="P362" i="22"/>
  <c r="Q362" i="22"/>
  <c r="V195" i="22"/>
  <c r="BB195" i="22" s="1"/>
  <c r="Q195" i="22"/>
  <c r="P195" i="22"/>
  <c r="BA7" i="22"/>
  <c r="BG7" i="22" s="1"/>
  <c r="BA45" i="22"/>
  <c r="P59" i="22"/>
  <c r="BA61" i="22"/>
  <c r="BE61" i="22" s="1"/>
  <c r="P205" i="22"/>
  <c r="V205" i="22"/>
  <c r="BA214" i="22"/>
  <c r="BE214" i="22" s="1"/>
  <c r="V269" i="22"/>
  <c r="Q269" i="22"/>
  <c r="P269" i="22"/>
  <c r="P330" i="22"/>
  <c r="BH410" i="22"/>
  <c r="V418" i="22"/>
  <c r="P418" i="22"/>
  <c r="Q418" i="22"/>
  <c r="V51" i="22"/>
  <c r="BA9" i="22"/>
  <c r="BE9" i="22" s="1"/>
  <c r="BA19" i="22"/>
  <c r="BE19" i="22" s="1"/>
  <c r="BA33" i="22"/>
  <c r="BE33" i="22" s="1"/>
  <c r="BA47" i="22"/>
  <c r="BE47" i="22" s="1"/>
  <c r="BA51" i="22"/>
  <c r="BE51" i="22" s="1"/>
  <c r="V59" i="22"/>
  <c r="P92" i="22"/>
  <c r="V127" i="22"/>
  <c r="Q127" i="22"/>
  <c r="P127" i="22"/>
  <c r="BA193" i="22"/>
  <c r="V259" i="22"/>
  <c r="Q259" i="22"/>
  <c r="P259" i="22"/>
  <c r="Q264" i="22"/>
  <c r="V264" i="22"/>
  <c r="V274" i="22"/>
  <c r="Q274" i="22"/>
  <c r="P274" i="22"/>
  <c r="BA55" i="22"/>
  <c r="BE55" i="22" s="1"/>
  <c r="BA58" i="22"/>
  <c r="BE58" i="22" s="1"/>
  <c r="BA69" i="22"/>
  <c r="V92" i="22"/>
  <c r="P111" i="22"/>
  <c r="V159" i="22"/>
  <c r="Q270" i="22"/>
  <c r="P270" i="22"/>
  <c r="V331" i="22"/>
  <c r="Q331" i="22"/>
  <c r="P331" i="22"/>
  <c r="BA21" i="22"/>
  <c r="BA34" i="22"/>
  <c r="BE34" i="22" s="1"/>
  <c r="BA79" i="22"/>
  <c r="BE79" i="22" s="1"/>
  <c r="P98" i="22"/>
  <c r="V98" i="22"/>
  <c r="Q98" i="22"/>
  <c r="BA110" i="22"/>
  <c r="BE110" i="22" s="1"/>
  <c r="V111" i="22"/>
  <c r="V244" i="22"/>
  <c r="BB244" i="22" s="1"/>
  <c r="Q244" i="22"/>
  <c r="P244" i="22"/>
  <c r="BH464" i="22"/>
  <c r="Q148" i="22"/>
  <c r="P148" i="22"/>
  <c r="BA80" i="22"/>
  <c r="V220" i="22"/>
  <c r="Q220" i="22"/>
  <c r="P220" i="22"/>
  <c r="BA28" i="22"/>
  <c r="BE28" i="22" s="1"/>
  <c r="BA52" i="22"/>
  <c r="BE52" i="22" s="1"/>
  <c r="BA75" i="22"/>
  <c r="Q89" i="22"/>
  <c r="V89" i="22"/>
  <c r="V116" i="22"/>
  <c r="BB116" i="22" s="1"/>
  <c r="Q116" i="22"/>
  <c r="V142" i="22"/>
  <c r="Q142" i="22"/>
  <c r="BA199" i="22"/>
  <c r="BE199" i="22" s="1"/>
  <c r="V275" i="22"/>
  <c r="Q275" i="22"/>
  <c r="P275" i="22"/>
  <c r="BA334" i="22"/>
  <c r="BA49" i="22"/>
  <c r="BE49" i="22" s="1"/>
  <c r="BA88" i="22"/>
  <c r="BE88" i="22" s="1"/>
  <c r="P157" i="22"/>
  <c r="V157" i="22"/>
  <c r="Q157" i="22"/>
  <c r="V169" i="22"/>
  <c r="BB169" i="22" s="1"/>
  <c r="Q169" i="22"/>
  <c r="V260" i="22"/>
  <c r="Q260" i="22"/>
  <c r="BH384" i="22"/>
  <c r="BH465" i="22"/>
  <c r="Q95" i="22"/>
  <c r="V95" i="22"/>
  <c r="BA29" i="22"/>
  <c r="BE35" i="22"/>
  <c r="BA56" i="22"/>
  <c r="Q64" i="22"/>
  <c r="BA92" i="22"/>
  <c r="BE92" i="22" s="1"/>
  <c r="V99" i="22"/>
  <c r="Q99" i="22"/>
  <c r="P99" i="22"/>
  <c r="V133" i="22"/>
  <c r="Q133" i="22"/>
  <c r="BA191" i="22"/>
  <c r="BA231" i="22"/>
  <c r="V245" i="22"/>
  <c r="BB245" i="22" s="1"/>
  <c r="Q245" i="22"/>
  <c r="P245" i="22"/>
  <c r="P260" i="22"/>
  <c r="P282" i="22"/>
  <c r="V282" i="22"/>
  <c r="Q282" i="22"/>
  <c r="BH447" i="22"/>
  <c r="P320" i="22"/>
  <c r="V320" i="22"/>
  <c r="Q320" i="22"/>
  <c r="BA10" i="22"/>
  <c r="BE10" i="22" s="1"/>
  <c r="BA41" i="22"/>
  <c r="BE41" i="22" s="1"/>
  <c r="P170" i="22"/>
  <c r="V170" i="22"/>
  <c r="BB170" i="22" s="1"/>
  <c r="Q170" i="22"/>
  <c r="BA340" i="22"/>
  <c r="BE340" i="22" s="1"/>
  <c r="BA143" i="22"/>
  <c r="BA151" i="22"/>
  <c r="BE151" i="22" s="1"/>
  <c r="BA188" i="22"/>
  <c r="BA263" i="22"/>
  <c r="BA282" i="22"/>
  <c r="BA303" i="22"/>
  <c r="BA316" i="22"/>
  <c r="BE316" i="22" s="1"/>
  <c r="BA325" i="22"/>
  <c r="BG325" i="22" s="1"/>
  <c r="BA336" i="22"/>
  <c r="BE336" i="22" s="1"/>
  <c r="BA345" i="22"/>
  <c r="BA361" i="22"/>
  <c r="BE361" i="22" s="1"/>
  <c r="BA376" i="22"/>
  <c r="BG376" i="22" s="1"/>
  <c r="V417" i="22"/>
  <c r="P417" i="22"/>
  <c r="BH477" i="22"/>
  <c r="V478" i="22"/>
  <c r="Q478" i="22"/>
  <c r="BH498" i="22"/>
  <c r="BA94" i="22"/>
  <c r="BA123" i="22"/>
  <c r="BA170" i="22"/>
  <c r="BA232" i="22"/>
  <c r="BG232" i="22" s="1"/>
  <c r="BA257" i="22"/>
  <c r="BE257" i="22" s="1"/>
  <c r="BA392" i="22"/>
  <c r="BG392" i="22" s="1"/>
  <c r="BH471" i="22"/>
  <c r="V493" i="22"/>
  <c r="Q493" i="22"/>
  <c r="BA571" i="22"/>
  <c r="BE571" i="22" s="1"/>
  <c r="BA82" i="22"/>
  <c r="BA126" i="22"/>
  <c r="BA131" i="22"/>
  <c r="BE131" i="22" s="1"/>
  <c r="BA152" i="22"/>
  <c r="BE152" i="22" s="1"/>
  <c r="BA165" i="22"/>
  <c r="BE165" i="22" s="1"/>
  <c r="BA176" i="22"/>
  <c r="BE176" i="22" s="1"/>
  <c r="BA194" i="22"/>
  <c r="BE194" i="22" s="1"/>
  <c r="BA205" i="22"/>
  <c r="BA222" i="22"/>
  <c r="BE222" i="22" s="1"/>
  <c r="BA260" i="22"/>
  <c r="BE260" i="22" s="1"/>
  <c r="BA270" i="22"/>
  <c r="BG270" i="22" s="1"/>
  <c r="BA301" i="22"/>
  <c r="BE301" i="22" s="1"/>
  <c r="BA332" i="22"/>
  <c r="BG332" i="22" s="1"/>
  <c r="P347" i="22"/>
  <c r="V442" i="22"/>
  <c r="Q442" i="22"/>
  <c r="P493" i="22"/>
  <c r="BA102" i="22"/>
  <c r="BG102" i="22" s="1"/>
  <c r="BA264" i="22"/>
  <c r="BE264" i="22" s="1"/>
  <c r="BA326" i="22"/>
  <c r="BE326" i="22" s="1"/>
  <c r="Q347" i="22"/>
  <c r="BA441" i="22"/>
  <c r="BE441" i="22" s="1"/>
  <c r="BA159" i="22"/>
  <c r="BE159" i="22" s="1"/>
  <c r="BA206" i="22"/>
  <c r="BE206" i="22" s="1"/>
  <c r="BA237" i="22"/>
  <c r="BG237" i="22" s="1"/>
  <c r="BA250" i="22"/>
  <c r="BA314" i="22"/>
  <c r="BA322" i="22"/>
  <c r="BE322" i="22" s="1"/>
  <c r="BA330" i="22"/>
  <c r="BG330" i="22" s="1"/>
  <c r="V419" i="22"/>
  <c r="BB419" i="22" s="1"/>
  <c r="Q419" i="22"/>
  <c r="P419" i="22"/>
  <c r="BA105" i="22"/>
  <c r="BE105" i="22" s="1"/>
  <c r="Q115" i="22"/>
  <c r="BA153" i="22"/>
  <c r="BE153" i="22" s="1"/>
  <c r="P175" i="22"/>
  <c r="BA186" i="22"/>
  <c r="BG186" i="22" s="1"/>
  <c r="BA233" i="22"/>
  <c r="BG233" i="22" s="1"/>
  <c r="BA246" i="22"/>
  <c r="BE246" i="22" s="1"/>
  <c r="V251" i="22"/>
  <c r="BB251" i="22" s="1"/>
  <c r="BA253" i="22"/>
  <c r="BA273" i="22"/>
  <c r="BE273" i="22" s="1"/>
  <c r="P299" i="22"/>
  <c r="BH364" i="22"/>
  <c r="V373" i="22"/>
  <c r="Q373" i="22"/>
  <c r="V413" i="22"/>
  <c r="Q413" i="22"/>
  <c r="P413" i="22"/>
  <c r="BA83" i="22"/>
  <c r="BA135" i="22"/>
  <c r="BE135" i="22" s="1"/>
  <c r="BA142" i="22"/>
  <c r="Q175" i="22"/>
  <c r="BA177" i="22"/>
  <c r="BE177" i="22" s="1"/>
  <c r="BA189" i="22"/>
  <c r="BA202" i="22"/>
  <c r="BG202" i="22" s="1"/>
  <c r="BA225" i="22"/>
  <c r="BA243" i="22"/>
  <c r="BE243" i="22" s="1"/>
  <c r="BA265" i="22"/>
  <c r="BE265" i="22" s="1"/>
  <c r="BA279" i="22"/>
  <c r="Q299" i="22"/>
  <c r="BH365" i="22"/>
  <c r="P373" i="22"/>
  <c r="V381" i="22"/>
  <c r="Q381" i="22"/>
  <c r="P381" i="22"/>
  <c r="V388" i="22"/>
  <c r="Q388" i="22"/>
  <c r="P388" i="22"/>
  <c r="BH419" i="22"/>
  <c r="P420" i="22"/>
  <c r="V453" i="22"/>
  <c r="Q453" i="22"/>
  <c r="P453" i="22"/>
  <c r="BH474" i="22"/>
  <c r="BA95" i="22"/>
  <c r="BE95" i="22" s="1"/>
  <c r="BA238" i="22"/>
  <c r="BG238" i="22" s="1"/>
  <c r="BA288" i="22"/>
  <c r="BA302" i="22"/>
  <c r="BG302" i="22" s="1"/>
  <c r="Z303" i="22"/>
  <c r="Q313" i="22"/>
  <c r="BA323" i="22"/>
  <c r="BE323" i="22" s="1"/>
  <c r="BA335" i="22"/>
  <c r="BA347" i="22"/>
  <c r="V353" i="22"/>
  <c r="P353" i="22"/>
  <c r="V405" i="22"/>
  <c r="Q405" i="22"/>
  <c r="P405" i="22"/>
  <c r="BH413" i="22"/>
  <c r="Q420" i="22"/>
  <c r="V430" i="22"/>
  <c r="BB430" i="22" s="1"/>
  <c r="Q430" i="22"/>
  <c r="BH494" i="22"/>
  <c r="BH504" i="22"/>
  <c r="BH511" i="22"/>
  <c r="BA295" i="22"/>
  <c r="BE295" i="22" s="1"/>
  <c r="V313" i="22"/>
  <c r="BA343" i="22"/>
  <c r="P345" i="22"/>
  <c r="Q345" i="22"/>
  <c r="BH381" i="22"/>
  <c r="Q382" i="22"/>
  <c r="P382" i="22"/>
  <c r="V389" i="22"/>
  <c r="Q389" i="22"/>
  <c r="BH481" i="22"/>
  <c r="BE486" i="22"/>
  <c r="BE494" i="22"/>
  <c r="BH557" i="22"/>
  <c r="BH587" i="22"/>
  <c r="V91" i="22"/>
  <c r="BG113" i="22"/>
  <c r="BA127" i="22"/>
  <c r="BA160" i="22"/>
  <c r="P167" i="22"/>
  <c r="BA190" i="22"/>
  <c r="BE190" i="22" s="1"/>
  <c r="BA251" i="22"/>
  <c r="BE251" i="22" s="1"/>
  <c r="Q267" i="22"/>
  <c r="BA315" i="22"/>
  <c r="BA320" i="22"/>
  <c r="V367" i="22"/>
  <c r="Q367" i="22"/>
  <c r="P367" i="22"/>
  <c r="V382" i="22"/>
  <c r="BA388" i="22"/>
  <c r="BE388" i="22" s="1"/>
  <c r="P389" i="22"/>
  <c r="BH405" i="22"/>
  <c r="BH420" i="22"/>
  <c r="V431" i="22"/>
  <c r="Q431" i="22"/>
  <c r="V454" i="22"/>
  <c r="Q454" i="22"/>
  <c r="P454" i="22"/>
  <c r="BH560" i="22"/>
  <c r="BA100" i="22"/>
  <c r="V141" i="22"/>
  <c r="Q167" i="22"/>
  <c r="BA178" i="22"/>
  <c r="BE178" i="22" s="1"/>
  <c r="BA195" i="22"/>
  <c r="BE195" i="22" s="1"/>
  <c r="P211" i="22"/>
  <c r="BA220" i="22"/>
  <c r="BA254" i="22"/>
  <c r="V267" i="22"/>
  <c r="BA269" i="22"/>
  <c r="Z272" i="22"/>
  <c r="BA284" i="22"/>
  <c r="BA289" i="22"/>
  <c r="BE289" i="22" s="1"/>
  <c r="Q321" i="22"/>
  <c r="BA331" i="22"/>
  <c r="BH414" i="22"/>
  <c r="BA429" i="22"/>
  <c r="BE429" i="22" s="1"/>
  <c r="P431" i="22"/>
  <c r="P437" i="22"/>
  <c r="V446" i="22"/>
  <c r="Q446" i="22"/>
  <c r="P446" i="22"/>
  <c r="BA586" i="22"/>
  <c r="BE586" i="22" s="1"/>
  <c r="Q85" i="22"/>
  <c r="BA93" i="22"/>
  <c r="BE93" i="22" s="1"/>
  <c r="P94" i="22"/>
  <c r="P97" i="22"/>
  <c r="BA109" i="22"/>
  <c r="BE109" i="22" s="1"/>
  <c r="BA125" i="22"/>
  <c r="BE125" i="22" s="1"/>
  <c r="BA169" i="22"/>
  <c r="BE169" i="22" s="1"/>
  <c r="BA210" i="22"/>
  <c r="BE210" i="22" s="1"/>
  <c r="Q211" i="22"/>
  <c r="BA230" i="22"/>
  <c r="BE230" i="22" s="1"/>
  <c r="BA239" i="22"/>
  <c r="BG239" i="22" s="1"/>
  <c r="BA299" i="22"/>
  <c r="BA309" i="22"/>
  <c r="BG309" i="22" s="1"/>
  <c r="BA414" i="22"/>
  <c r="BH454" i="22"/>
  <c r="Q498" i="22"/>
  <c r="P498" i="22"/>
  <c r="BE506" i="22"/>
  <c r="BG115" i="22"/>
  <c r="Q94" i="22"/>
  <c r="V97" i="22"/>
  <c r="BA101" i="22"/>
  <c r="BG119" i="22"/>
  <c r="BA137" i="22"/>
  <c r="BE137" i="22" s="1"/>
  <c r="BA147" i="22"/>
  <c r="BE147" i="22" s="1"/>
  <c r="BA175" i="22"/>
  <c r="BA196" i="22"/>
  <c r="BE196" i="22" s="1"/>
  <c r="BA204" i="22"/>
  <c r="BA244" i="22"/>
  <c r="BE244" i="22" s="1"/>
  <c r="BA274" i="22"/>
  <c r="BE274" i="22" s="1"/>
  <c r="V297" i="22"/>
  <c r="P332" i="22"/>
  <c r="P337" i="22"/>
  <c r="BA348" i="22"/>
  <c r="BA367" i="22"/>
  <c r="BE367" i="22" s="1"/>
  <c r="V402" i="22"/>
  <c r="Q402" i="22"/>
  <c r="V438" i="22"/>
  <c r="Q438" i="22"/>
  <c r="P438" i="22"/>
  <c r="V498" i="22"/>
  <c r="BH520" i="22"/>
  <c r="BA363" i="22"/>
  <c r="BE363" i="22" s="1"/>
  <c r="BA377" i="22"/>
  <c r="BE377" i="22" s="1"/>
  <c r="BA393" i="22"/>
  <c r="BE393" i="22" s="1"/>
  <c r="BA397" i="22"/>
  <c r="BA425" i="22"/>
  <c r="BE425" i="22" s="1"/>
  <c r="BA433" i="22"/>
  <c r="BA451" i="22"/>
  <c r="BA461" i="22"/>
  <c r="BH517" i="22"/>
  <c r="BH576" i="22"/>
  <c r="DD763" i="22"/>
  <c r="BA353" i="22"/>
  <c r="BE353" i="22" s="1"/>
  <c r="BA364" i="22"/>
  <c r="BE364" i="22" s="1"/>
  <c r="BA372" i="22"/>
  <c r="BA413" i="22"/>
  <c r="BE413" i="22" s="1"/>
  <c r="BE493" i="22"/>
  <c r="BH566" i="22"/>
  <c r="BA570" i="22"/>
  <c r="BE570" i="22" s="1"/>
  <c r="BA346" i="22"/>
  <c r="BA359" i="22"/>
  <c r="BA401" i="22"/>
  <c r="BA417" i="22"/>
  <c r="BE417" i="22" s="1"/>
  <c r="BA443" i="22"/>
  <c r="BE443" i="22" s="1"/>
  <c r="BH445" i="22"/>
  <c r="BA446" i="22"/>
  <c r="BE446" i="22" s="1"/>
  <c r="BH484" i="22"/>
  <c r="BH500" i="22"/>
  <c r="BA512" i="22"/>
  <c r="BH522" i="22"/>
  <c r="BA534" i="22"/>
  <c r="BE534" i="22" s="1"/>
  <c r="BA535" i="22"/>
  <c r="BE535" i="22" s="1"/>
  <c r="BA560" i="22"/>
  <c r="P463" i="22"/>
  <c r="BA466" i="22"/>
  <c r="BE466" i="22" s="1"/>
  <c r="BA538" i="22"/>
  <c r="BA575" i="22"/>
  <c r="BA360" i="22"/>
  <c r="BA385" i="22"/>
  <c r="BH429" i="22"/>
  <c r="BA430" i="22"/>
  <c r="BE430" i="22" s="1"/>
  <c r="BH485" i="22"/>
  <c r="BA562" i="22"/>
  <c r="BA355" i="22"/>
  <c r="BE355" i="22" s="1"/>
  <c r="BA365" i="22"/>
  <c r="BE365" i="22" s="1"/>
  <c r="BA389" i="22"/>
  <c r="BA431" i="22"/>
  <c r="BE431" i="22" s="1"/>
  <c r="BA457" i="22"/>
  <c r="Q458" i="22"/>
  <c r="BH469" i="22"/>
  <c r="BH493" i="22"/>
  <c r="Q500" i="22"/>
  <c r="BA516" i="22"/>
  <c r="BE516" i="22" s="1"/>
  <c r="BA561" i="22"/>
  <c r="BE561" i="22" s="1"/>
  <c r="BA576" i="22"/>
  <c r="BA386" i="22"/>
  <c r="BE386" i="22" s="1"/>
  <c r="BA434" i="22"/>
  <c r="BA467" i="22"/>
  <c r="BA517" i="22"/>
  <c r="BA543" i="22"/>
  <c r="BE543" i="22" s="1"/>
  <c r="BA544" i="22"/>
  <c r="BE544" i="22" s="1"/>
  <c r="BA545" i="22"/>
  <c r="BE545" i="22" s="1"/>
  <c r="BA344" i="22"/>
  <c r="BE344" i="22" s="1"/>
  <c r="BH371" i="22"/>
  <c r="BH388" i="22"/>
  <c r="BA390" i="22"/>
  <c r="BE390" i="22" s="1"/>
  <c r="P397" i="22"/>
  <c r="BA402" i="22"/>
  <c r="P403" i="22"/>
  <c r="BA418" i="22"/>
  <c r="BA427" i="22"/>
  <c r="BH530" i="22"/>
  <c r="BH572" i="22"/>
  <c r="BA356" i="22"/>
  <c r="BA380" i="22"/>
  <c r="BA421" i="22"/>
  <c r="BA438" i="22"/>
  <c r="BA449" i="22"/>
  <c r="BA550" i="22"/>
  <c r="BE550" i="22" s="1"/>
  <c r="BA563" i="22"/>
  <c r="BE563" i="22" s="1"/>
  <c r="BA579" i="22"/>
  <c r="BH359" i="22"/>
  <c r="BA382" i="22"/>
  <c r="BA415" i="22"/>
  <c r="BH437" i="22"/>
  <c r="BA439" i="22"/>
  <c r="BE439" i="22" s="1"/>
  <c r="BH452" i="22"/>
  <c r="BA459" i="22"/>
  <c r="BH462" i="22"/>
  <c r="BA463" i="22"/>
  <c r="BA468" i="22"/>
  <c r="BE468" i="22" s="1"/>
  <c r="BA522" i="22"/>
  <c r="BH536" i="22"/>
  <c r="BA551" i="22"/>
  <c r="BH404" i="22"/>
  <c r="BA370" i="22"/>
  <c r="BA403" i="22"/>
  <c r="BA407" i="22"/>
  <c r="BE407" i="22" s="1"/>
  <c r="BA423" i="22"/>
  <c r="BA440" i="22"/>
  <c r="BA469" i="22"/>
  <c r="BA472" i="22"/>
  <c r="BE479" i="22"/>
  <c r="BA553" i="22"/>
  <c r="BE553" i="22" s="1"/>
  <c r="BA555" i="22"/>
  <c r="BA568" i="22"/>
  <c r="BE568" i="22" s="1"/>
  <c r="BA569" i="22"/>
  <c r="BE569" i="22" s="1"/>
  <c r="BA582" i="22"/>
  <c r="BE582" i="22" s="1"/>
  <c r="BA584" i="22"/>
  <c r="BQ3" i="22"/>
  <c r="K5" i="22"/>
  <c r="L5" i="22" s="1"/>
  <c r="M4" i="22"/>
  <c r="T4" i="22" s="1"/>
  <c r="BA38" i="22"/>
  <c r="BA72" i="22"/>
  <c r="V86" i="22"/>
  <c r="Q86" i="22"/>
  <c r="V129" i="22"/>
  <c r="Q129" i="22"/>
  <c r="P129" i="22"/>
  <c r="V162" i="22"/>
  <c r="Q162" i="22"/>
  <c r="P162" i="22"/>
  <c r="BA46" i="22"/>
  <c r="BA63" i="22"/>
  <c r="P86" i="22"/>
  <c r="BA74" i="22"/>
  <c r="V151" i="22"/>
  <c r="Q151" i="22"/>
  <c r="P151" i="22"/>
  <c r="V83" i="22"/>
  <c r="Q83" i="22"/>
  <c r="P83" i="22"/>
  <c r="V71" i="22"/>
  <c r="Q71" i="22"/>
  <c r="P71" i="22"/>
  <c r="V81" i="22"/>
  <c r="Q81" i="22"/>
  <c r="P81" i="22"/>
  <c r="Q84" i="22"/>
  <c r="P84" i="22"/>
  <c r="BA90" i="22"/>
  <c r="Q104" i="22"/>
  <c r="P104" i="22"/>
  <c r="V104" i="22"/>
  <c r="Q55" i="22"/>
  <c r="P69" i="22"/>
  <c r="V69" i="22"/>
  <c r="P55" i="22"/>
  <c r="BA66" i="22"/>
  <c r="Q69" i="22"/>
  <c r="V109" i="22"/>
  <c r="Q109" i="22"/>
  <c r="P109" i="22"/>
  <c r="V163" i="22"/>
  <c r="Q163" i="22"/>
  <c r="P163" i="22"/>
  <c r="V67" i="22"/>
  <c r="P67" i="22"/>
  <c r="V87" i="22"/>
  <c r="Q87" i="22"/>
  <c r="P87" i="22"/>
  <c r="V152" i="22"/>
  <c r="Q152" i="22"/>
  <c r="P152" i="22"/>
  <c r="V224" i="22"/>
  <c r="Q224" i="22"/>
  <c r="P224" i="22"/>
  <c r="BA37" i="22"/>
  <c r="V53" i="22"/>
  <c r="Q67" i="22"/>
  <c r="V79" i="22"/>
  <c r="Q79" i="22"/>
  <c r="P79" i="22"/>
  <c r="V130" i="22"/>
  <c r="Q130" i="22"/>
  <c r="P130" i="22"/>
  <c r="V52" i="22"/>
  <c r="P52" i="22"/>
  <c r="V107" i="22"/>
  <c r="Q107" i="22"/>
  <c r="P107" i="22"/>
  <c r="V135" i="22"/>
  <c r="Q135" i="22"/>
  <c r="P135" i="22"/>
  <c r="V65" i="22"/>
  <c r="Q65" i="22"/>
  <c r="P65" i="22"/>
  <c r="BA59" i="22"/>
  <c r="V61" i="22"/>
  <c r="Q61" i="22"/>
  <c r="P61" i="22"/>
  <c r="BA36" i="22"/>
  <c r="V60" i="22"/>
  <c r="Q60" i="22"/>
  <c r="P60" i="22"/>
  <c r="V70" i="22"/>
  <c r="Q70" i="22"/>
  <c r="V72" i="22"/>
  <c r="Q72" i="22"/>
  <c r="P72" i="22"/>
  <c r="V74" i="22"/>
  <c r="P74" i="22"/>
  <c r="V103" i="22"/>
  <c r="Q103" i="22"/>
  <c r="V145" i="22"/>
  <c r="Q145" i="22"/>
  <c r="P145" i="22"/>
  <c r="V56" i="22"/>
  <c r="Q56" i="22"/>
  <c r="P56" i="22"/>
  <c r="V58" i="22"/>
  <c r="P58" i="22"/>
  <c r="V63" i="22"/>
  <c r="Q63" i="22"/>
  <c r="P63" i="22"/>
  <c r="Q173" i="22"/>
  <c r="P173" i="22"/>
  <c r="V173" i="22"/>
  <c r="BB173" i="22" s="1"/>
  <c r="P54" i="22"/>
  <c r="V54" i="22"/>
  <c r="BA65" i="22"/>
  <c r="BA76" i="22"/>
  <c r="BG76" i="22" s="1"/>
  <c r="V77" i="22"/>
  <c r="Q77" i="22"/>
  <c r="P77" i="22"/>
  <c r="V88" i="22"/>
  <c r="Q88" i="22"/>
  <c r="P88" i="22"/>
  <c r="V90" i="22"/>
  <c r="Q90" i="22"/>
  <c r="P90" i="22"/>
  <c r="V85" i="22"/>
  <c r="BA148" i="22"/>
  <c r="BG148" i="22" s="1"/>
  <c r="BA157" i="22"/>
  <c r="V196" i="22"/>
  <c r="BB196" i="22" s="1"/>
  <c r="Q196" i="22"/>
  <c r="P196" i="22"/>
  <c r="V222" i="22"/>
  <c r="Q222" i="22"/>
  <c r="P222" i="22"/>
  <c r="V138" i="22"/>
  <c r="Q138" i="22"/>
  <c r="P138" i="22"/>
  <c r="BA155" i="22"/>
  <c r="V156" i="22"/>
  <c r="Q156" i="22"/>
  <c r="P156" i="22"/>
  <c r="V190" i="22"/>
  <c r="BB190" i="22" s="1"/>
  <c r="Q190" i="22"/>
  <c r="P190" i="22"/>
  <c r="P57" i="22"/>
  <c r="P73" i="22"/>
  <c r="P89" i="22"/>
  <c r="Q93" i="22"/>
  <c r="P102" i="22"/>
  <c r="V136" i="22"/>
  <c r="Q136" i="22"/>
  <c r="P136" i="22"/>
  <c r="BA141" i="22"/>
  <c r="V154" i="22"/>
  <c r="Q154" i="22"/>
  <c r="P154" i="22"/>
  <c r="V229" i="22"/>
  <c r="Q229" i="22"/>
  <c r="P229" i="22"/>
  <c r="V93" i="22"/>
  <c r="Q102" i="22"/>
  <c r="V121" i="22"/>
  <c r="BB121" i="22" s="1"/>
  <c r="Q121" i="22"/>
  <c r="P121" i="22"/>
  <c r="BA122" i="22"/>
  <c r="V123" i="22"/>
  <c r="Q123" i="22"/>
  <c r="P123" i="22"/>
  <c r="BA124" i="22"/>
  <c r="BA133" i="22"/>
  <c r="V146" i="22"/>
  <c r="Q146" i="22"/>
  <c r="P146" i="22"/>
  <c r="V168" i="22"/>
  <c r="BB168" i="22" s="1"/>
  <c r="Q168" i="22"/>
  <c r="P168" i="22"/>
  <c r="BA173" i="22"/>
  <c r="P174" i="22"/>
  <c r="V174" i="22"/>
  <c r="BB174" i="22" s="1"/>
  <c r="Q174" i="22"/>
  <c r="BA226" i="22"/>
  <c r="Q165" i="22"/>
  <c r="P165" i="22"/>
  <c r="V197" i="22"/>
  <c r="BB197" i="22" s="1"/>
  <c r="Q197" i="22"/>
  <c r="P197" i="22"/>
  <c r="V212" i="22"/>
  <c r="Q212" i="22"/>
  <c r="P212" i="22"/>
  <c r="P76" i="22"/>
  <c r="BA99" i="22"/>
  <c r="V110" i="22"/>
  <c r="Q110" i="22"/>
  <c r="P110" i="22"/>
  <c r="P128" i="22"/>
  <c r="Q160" i="22"/>
  <c r="V165" i="22"/>
  <c r="BB165" i="22" s="1"/>
  <c r="V208" i="22"/>
  <c r="Q208" i="22"/>
  <c r="P208" i="22"/>
  <c r="V223" i="22"/>
  <c r="Q223" i="22"/>
  <c r="P223" i="22"/>
  <c r="V240" i="22"/>
  <c r="P240" i="22"/>
  <c r="Q76" i="22"/>
  <c r="Q128" i="22"/>
  <c r="V134" i="22"/>
  <c r="Q134" i="22"/>
  <c r="V172" i="22"/>
  <c r="BB172" i="22" s="1"/>
  <c r="Q172" i="22"/>
  <c r="P172" i="22"/>
  <c r="V206" i="22"/>
  <c r="Q206" i="22"/>
  <c r="P206" i="22"/>
  <c r="P62" i="22"/>
  <c r="P78" i="22"/>
  <c r="V96" i="22"/>
  <c r="P96" i="22"/>
  <c r="Q101" i="22"/>
  <c r="Q105" i="22"/>
  <c r="BA107" i="22"/>
  <c r="Q125" i="22"/>
  <c r="P134" i="22"/>
  <c r="BA149" i="22"/>
  <c r="P150" i="22"/>
  <c r="Q225" i="22"/>
  <c r="P225" i="22"/>
  <c r="V225" i="22"/>
  <c r="V255" i="22"/>
  <c r="BB255" i="22" s="1"/>
  <c r="P255" i="22"/>
  <c r="Q62" i="22"/>
  <c r="Q78" i="22"/>
  <c r="V105" i="22"/>
  <c r="V125" i="22"/>
  <c r="Q131" i="22"/>
  <c r="P131" i="22"/>
  <c r="BA138" i="22"/>
  <c r="V139" i="22"/>
  <c r="Q139" i="22"/>
  <c r="P139" i="22"/>
  <c r="BA140" i="22"/>
  <c r="Q150" i="22"/>
  <c r="BA158" i="22"/>
  <c r="Q255" i="22"/>
  <c r="P64" i="22"/>
  <c r="V108" i="22"/>
  <c r="Q108" i="22"/>
  <c r="V131" i="22"/>
  <c r="V137" i="22"/>
  <c r="Q137" i="22"/>
  <c r="P137" i="22"/>
  <c r="V191" i="22"/>
  <c r="BB191" i="22" s="1"/>
  <c r="Q191" i="22"/>
  <c r="P191" i="22"/>
  <c r="Q193" i="22"/>
  <c r="P193" i="22"/>
  <c r="V201" i="22"/>
  <c r="Q201" i="22"/>
  <c r="P201" i="22"/>
  <c r="V204" i="22"/>
  <c r="Q204" i="22"/>
  <c r="P204" i="22"/>
  <c r="V272" i="22"/>
  <c r="Q272" i="22"/>
  <c r="P272" i="22"/>
  <c r="BA97" i="22"/>
  <c r="V120" i="22"/>
  <c r="BB120" i="22" s="1"/>
  <c r="Q120" i="22"/>
  <c r="P120" i="22"/>
  <c r="V155" i="22"/>
  <c r="Q155" i="22"/>
  <c r="P155" i="22"/>
  <c r="V164" i="22"/>
  <c r="Q164" i="22"/>
  <c r="P164" i="22"/>
  <c r="V213" i="22"/>
  <c r="Q213" i="22"/>
  <c r="P213" i="22"/>
  <c r="P219" i="22"/>
  <c r="V219" i="22"/>
  <c r="Q219" i="22"/>
  <c r="V231" i="22"/>
  <c r="Q231" i="22"/>
  <c r="P231" i="22"/>
  <c r="P51" i="22"/>
  <c r="P66" i="22"/>
  <c r="P82" i="22"/>
  <c r="BA134" i="22"/>
  <c r="V153" i="22"/>
  <c r="Q153" i="22"/>
  <c r="P153" i="22"/>
  <c r="Q177" i="22"/>
  <c r="P177" i="22"/>
  <c r="V177" i="22"/>
  <c r="BB177" i="22" s="1"/>
  <c r="V207" i="22"/>
  <c r="Q207" i="22"/>
  <c r="P207" i="22"/>
  <c r="V122" i="22"/>
  <c r="Q122" i="22"/>
  <c r="P122" i="22"/>
  <c r="Q141" i="22"/>
  <c r="BA150" i="22"/>
  <c r="BG150" i="22" s="1"/>
  <c r="P169" i="22"/>
  <c r="Q147" i="22"/>
  <c r="P147" i="22"/>
  <c r="V161" i="22"/>
  <c r="Q161" i="22"/>
  <c r="V171" i="22"/>
  <c r="BB171" i="22" s="1"/>
  <c r="Q171" i="22"/>
  <c r="P171" i="22"/>
  <c r="Q209" i="22"/>
  <c r="P209" i="22"/>
  <c r="V209" i="22"/>
  <c r="BA96" i="22"/>
  <c r="BA108" i="22"/>
  <c r="BA112" i="22"/>
  <c r="BG112" i="22" s="1"/>
  <c r="BA139" i="22"/>
  <c r="V147" i="22"/>
  <c r="P161" i="22"/>
  <c r="BA235" i="22"/>
  <c r="V179" i="22"/>
  <c r="BB179" i="22" s="1"/>
  <c r="Q179" i="22"/>
  <c r="BA180" i="22"/>
  <c r="BA182" i="22"/>
  <c r="BG182" i="22" s="1"/>
  <c r="BA184" i="22"/>
  <c r="BG184" i="22" s="1"/>
  <c r="BA228" i="22"/>
  <c r="P236" i="22"/>
  <c r="V236" i="22"/>
  <c r="Q236" i="22"/>
  <c r="BA245" i="22"/>
  <c r="BA248" i="22"/>
  <c r="V338" i="22"/>
  <c r="Q338" i="22"/>
  <c r="P338" i="22"/>
  <c r="V192" i="22"/>
  <c r="BB192" i="22" s="1"/>
  <c r="Q192" i="22"/>
  <c r="BA212" i="22"/>
  <c r="BA216" i="22"/>
  <c r="BG216" i="22" s="1"/>
  <c r="Q242" i="22"/>
  <c r="P242" i="22"/>
  <c r="V242" i="22"/>
  <c r="BB242" i="22" s="1"/>
  <c r="V257" i="22"/>
  <c r="BB257" i="22" s="1"/>
  <c r="Q257" i="22"/>
  <c r="P257" i="22"/>
  <c r="BA296" i="22"/>
  <c r="P363" i="22"/>
  <c r="BJ363" i="22"/>
  <c r="Q363" i="22"/>
  <c r="V181" i="22"/>
  <c r="BB181" i="22" s="1"/>
  <c r="Q181" i="22"/>
  <c r="P181" i="22"/>
  <c r="V183" i="22"/>
  <c r="BB183" i="22" s="1"/>
  <c r="Q183" i="22"/>
  <c r="P183" i="22"/>
  <c r="V185" i="22"/>
  <c r="BB185" i="22" s="1"/>
  <c r="Q185" i="22"/>
  <c r="P185" i="22"/>
  <c r="P192" i="22"/>
  <c r="BA200" i="22"/>
  <c r="BG200" i="22" s="1"/>
  <c r="V217" i="22"/>
  <c r="Q217" i="22"/>
  <c r="P217" i="22"/>
  <c r="BA218" i="22"/>
  <c r="BG218" i="22" s="1"/>
  <c r="BA266" i="22"/>
  <c r="V277" i="22"/>
  <c r="Q277" i="22"/>
  <c r="P277" i="22"/>
  <c r="V288" i="22"/>
  <c r="Q288" i="22"/>
  <c r="P288" i="22"/>
  <c r="V386" i="22"/>
  <c r="Q386" i="22"/>
  <c r="P386" i="22"/>
  <c r="V271" i="22"/>
  <c r="Q271" i="22"/>
  <c r="P271" i="22"/>
  <c r="V280" i="22"/>
  <c r="Q280" i="22"/>
  <c r="P280" i="22"/>
  <c r="V356" i="22"/>
  <c r="Q356" i="22"/>
  <c r="P356" i="22"/>
  <c r="Q187" i="22"/>
  <c r="Q203" i="22"/>
  <c r="Q210" i="22"/>
  <c r="Q226" i="22"/>
  <c r="P239" i="22"/>
  <c r="P252" i="22"/>
  <c r="V252" i="22"/>
  <c r="BB252" i="22" s="1"/>
  <c r="Q252" i="22"/>
  <c r="V254" i="22"/>
  <c r="BB254" i="22" s="1"/>
  <c r="Q254" i="22"/>
  <c r="V262" i="22"/>
  <c r="Q262" i="22"/>
  <c r="P262" i="22"/>
  <c r="V339" i="22"/>
  <c r="Q339" i="22"/>
  <c r="P339" i="22"/>
  <c r="V178" i="22"/>
  <c r="BB178" i="22" s="1"/>
  <c r="P178" i="22"/>
  <c r="V187" i="22"/>
  <c r="BB187" i="22" s="1"/>
  <c r="V203" i="22"/>
  <c r="V210" i="22"/>
  <c r="V226" i="22"/>
  <c r="BA229" i="22"/>
  <c r="Q239" i="22"/>
  <c r="V247" i="22"/>
  <c r="BB247" i="22" s="1"/>
  <c r="Q247" i="22"/>
  <c r="P247" i="22"/>
  <c r="P254" i="22"/>
  <c r="Q273" i="22"/>
  <c r="P273" i="22"/>
  <c r="V273" i="22"/>
  <c r="V307" i="22"/>
  <c r="Q307" i="22"/>
  <c r="P307" i="22"/>
  <c r="BA168" i="22"/>
  <c r="Q194" i="22"/>
  <c r="BA213" i="22"/>
  <c r="V230" i="22"/>
  <c r="Q230" i="22"/>
  <c r="P230" i="22"/>
  <c r="V250" i="22"/>
  <c r="BB250" i="22" s="1"/>
  <c r="Q250" i="22"/>
  <c r="P250" i="22"/>
  <c r="P112" i="22"/>
  <c r="P113" i="22"/>
  <c r="P114" i="22"/>
  <c r="P115" i="22"/>
  <c r="P116" i="22"/>
  <c r="P117" i="22"/>
  <c r="P118" i="22"/>
  <c r="P119" i="22"/>
  <c r="V176" i="22"/>
  <c r="BB176" i="22" s="1"/>
  <c r="Q176" i="22"/>
  <c r="BA181" i="22"/>
  <c r="BA183" i="22"/>
  <c r="V194" i="22"/>
  <c r="BB194" i="22" s="1"/>
  <c r="BA197" i="22"/>
  <c r="V214" i="22"/>
  <c r="Q214" i="22"/>
  <c r="P214" i="22"/>
  <c r="V241" i="22"/>
  <c r="BB241" i="22" s="1"/>
  <c r="Q241" i="22"/>
  <c r="BA249" i="22"/>
  <c r="BG249" i="22" s="1"/>
  <c r="V256" i="22"/>
  <c r="BB256" i="22" s="1"/>
  <c r="Q256" i="22"/>
  <c r="V287" i="22"/>
  <c r="Q287" i="22"/>
  <c r="Q112" i="22"/>
  <c r="Q113" i="22"/>
  <c r="BA167" i="22"/>
  <c r="BG167" i="22" s="1"/>
  <c r="BA185" i="22"/>
  <c r="V198" i="22"/>
  <c r="BB198" i="22" s="1"/>
  <c r="Q198" i="22"/>
  <c r="P198" i="22"/>
  <c r="Q243" i="22"/>
  <c r="P243" i="22"/>
  <c r="V243" i="22"/>
  <c r="BB243" i="22" s="1"/>
  <c r="V281" i="22"/>
  <c r="Q281" i="22"/>
  <c r="P281" i="22"/>
  <c r="V333" i="22"/>
  <c r="Q333" i="22"/>
  <c r="P333" i="22"/>
  <c r="V348" i="22"/>
  <c r="P348" i="22"/>
  <c r="V180" i="22"/>
  <c r="BB180" i="22" s="1"/>
  <c r="Q180" i="22"/>
  <c r="P180" i="22"/>
  <c r="BA217" i="22"/>
  <c r="Q218" i="22"/>
  <c r="P218" i="22"/>
  <c r="BA219" i="22"/>
  <c r="BA262" i="22"/>
  <c r="BA292" i="22"/>
  <c r="V301" i="22"/>
  <c r="Q301" i="22"/>
  <c r="P301" i="22"/>
  <c r="Q348" i="22"/>
  <c r="Q368" i="22"/>
  <c r="P368" i="22"/>
  <c r="V368" i="22"/>
  <c r="Q182" i="22"/>
  <c r="P182" i="22"/>
  <c r="Q184" i="22"/>
  <c r="P184" i="22"/>
  <c r="Q186" i="22"/>
  <c r="P186" i="22"/>
  <c r="BA187" i="22"/>
  <c r="BA201" i="22"/>
  <c r="Q202" i="22"/>
  <c r="P202" i="22"/>
  <c r="BA203" i="22"/>
  <c r="V228" i="22"/>
  <c r="Q228" i="22"/>
  <c r="P235" i="22"/>
  <c r="V235" i="22"/>
  <c r="Q235" i="22"/>
  <c r="BA247" i="22"/>
  <c r="V263" i="22"/>
  <c r="Q263" i="22"/>
  <c r="P263" i="22"/>
  <c r="BA275" i="22"/>
  <c r="V293" i="22"/>
  <c r="Q293" i="22"/>
  <c r="P293" i="22"/>
  <c r="V248" i="22"/>
  <c r="BB248" i="22" s="1"/>
  <c r="Q248" i="22"/>
  <c r="P248" i="22"/>
  <c r="BA283" i="22"/>
  <c r="BG283" i="22" s="1"/>
  <c r="V286" i="22"/>
  <c r="Q286" i="22"/>
  <c r="V366" i="22"/>
  <c r="Q366" i="22"/>
  <c r="P366" i="22"/>
  <c r="V265" i="22"/>
  <c r="Q265" i="22"/>
  <c r="P265" i="22"/>
  <c r="BA268" i="22"/>
  <c r="V276" i="22"/>
  <c r="Q276" i="22"/>
  <c r="V295" i="22"/>
  <c r="Q295" i="22"/>
  <c r="P295" i="22"/>
  <c r="Q303" i="22"/>
  <c r="P303" i="22"/>
  <c r="V303" i="22"/>
  <c r="V310" i="22"/>
  <c r="BB310" i="22" s="1"/>
  <c r="Q310" i="22"/>
  <c r="P310" i="22"/>
  <c r="BH374" i="22"/>
  <c r="V384" i="22"/>
  <c r="Q384" i="22"/>
  <c r="P384" i="22"/>
  <c r="V261" i="22"/>
  <c r="Q261" i="22"/>
  <c r="V317" i="22"/>
  <c r="Q317" i="22"/>
  <c r="P317" i="22"/>
  <c r="V350" i="22"/>
  <c r="Q350" i="22"/>
  <c r="P350" i="22"/>
  <c r="V246" i="22"/>
  <c r="BB246" i="22" s="1"/>
  <c r="Q246" i="22"/>
  <c r="Q258" i="22"/>
  <c r="P258" i="22"/>
  <c r="P261" i="22"/>
  <c r="BA280" i="22"/>
  <c r="V305" i="22"/>
  <c r="Q305" i="22"/>
  <c r="V315" i="22"/>
  <c r="BB315" i="22" s="1"/>
  <c r="Q315" i="22"/>
  <c r="V323" i="22"/>
  <c r="Q323" i="22"/>
  <c r="P323" i="22"/>
  <c r="BA328" i="22"/>
  <c r="BG328" i="22" s="1"/>
  <c r="BH360" i="22"/>
  <c r="BA366" i="22"/>
  <c r="P447" i="22"/>
  <c r="V447" i="22"/>
  <c r="Q447" i="22"/>
  <c r="V372" i="22"/>
  <c r="Q372" i="22"/>
  <c r="P372" i="22"/>
  <c r="BH402" i="22"/>
  <c r="BH408" i="22"/>
  <c r="BA291" i="22"/>
  <c r="BA297" i="22"/>
  <c r="BA307" i="22"/>
  <c r="V308" i="22"/>
  <c r="Q308" i="22"/>
  <c r="P308" i="22"/>
  <c r="V357" i="22"/>
  <c r="BB357" i="22" s="1"/>
  <c r="P357" i="22"/>
  <c r="V415" i="22"/>
  <c r="Q415" i="22"/>
  <c r="P415" i="22"/>
  <c r="V266" i="22"/>
  <c r="Q266" i="22"/>
  <c r="P266" i="22"/>
  <c r="BA267" i="22"/>
  <c r="V296" i="22"/>
  <c r="Q296" i="22"/>
  <c r="P296" i="22"/>
  <c r="V327" i="22"/>
  <c r="Q327" i="22"/>
  <c r="P327" i="22"/>
  <c r="Q335" i="22"/>
  <c r="P335" i="22"/>
  <c r="BH376" i="22"/>
  <c r="V410" i="22"/>
  <c r="Q410" i="22"/>
  <c r="P410" i="22"/>
  <c r="Q199" i="22"/>
  <c r="P200" i="22"/>
  <c r="Q215" i="22"/>
  <c r="P216" i="22"/>
  <c r="P232" i="22"/>
  <c r="P233" i="22"/>
  <c r="Q234" i="22"/>
  <c r="BA236" i="22"/>
  <c r="P238" i="22"/>
  <c r="Q289" i="22"/>
  <c r="P289" i="22"/>
  <c r="V292" i="22"/>
  <c r="Q292" i="22"/>
  <c r="Q298" i="22"/>
  <c r="Q429" i="22"/>
  <c r="V429" i="22"/>
  <c r="BB429" i="22" s="1"/>
  <c r="P429" i="22"/>
  <c r="Q200" i="22"/>
  <c r="Q216" i="22"/>
  <c r="Q232" i="22"/>
  <c r="Q233" i="22"/>
  <c r="V234" i="22"/>
  <c r="Q238" i="22"/>
  <c r="Q268" i="22"/>
  <c r="BA281" i="22"/>
  <c r="P285" i="22"/>
  <c r="V289" i="22"/>
  <c r="P292" i="22"/>
  <c r="V298" i="22"/>
  <c r="V316" i="22"/>
  <c r="BB316" i="22" s="1"/>
  <c r="Q316" i="22"/>
  <c r="P316" i="22"/>
  <c r="BA352" i="22"/>
  <c r="V268" i="22"/>
  <c r="BA277" i="22"/>
  <c r="Q285" i="22"/>
  <c r="Q300" i="22"/>
  <c r="BA319" i="22"/>
  <c r="BG319" i="22" s="1"/>
  <c r="V355" i="22"/>
  <c r="Q355" i="22"/>
  <c r="P355" i="22"/>
  <c r="V278" i="22"/>
  <c r="Q278" i="22"/>
  <c r="P278" i="22"/>
  <c r="Q312" i="22"/>
  <c r="P312" i="22"/>
  <c r="BA324" i="22"/>
  <c r="V343" i="22"/>
  <c r="Q343" i="22"/>
  <c r="P343" i="22"/>
  <c r="Q351" i="22"/>
  <c r="P351" i="22"/>
  <c r="V351" i="22"/>
  <c r="V401" i="22"/>
  <c r="Q401" i="22"/>
  <c r="V334" i="22"/>
  <c r="Q334" i="22"/>
  <c r="P334" i="22"/>
  <c r="Q406" i="22"/>
  <c r="P406" i="22"/>
  <c r="V406" i="22"/>
  <c r="V379" i="22"/>
  <c r="Q379" i="22"/>
  <c r="P379" i="22"/>
  <c r="Q399" i="22"/>
  <c r="P399" i="22"/>
  <c r="V399" i="22"/>
  <c r="BA342" i="22"/>
  <c r="Q354" i="22"/>
  <c r="P354" i="22"/>
  <c r="BH363" i="22"/>
  <c r="BA381" i="22"/>
  <c r="BA408" i="22"/>
  <c r="V318" i="22"/>
  <c r="Q318" i="22"/>
  <c r="P318" i="22"/>
  <c r="V370" i="22"/>
  <c r="Q370" i="22"/>
  <c r="BH392" i="22"/>
  <c r="V409" i="22"/>
  <c r="Q409" i="22"/>
  <c r="P409" i="22"/>
  <c r="BA412" i="22"/>
  <c r="BH417" i="22"/>
  <c r="BA300" i="22"/>
  <c r="BA313" i="22"/>
  <c r="BA338" i="22"/>
  <c r="BH372" i="22"/>
  <c r="V387" i="22"/>
  <c r="Q387" i="22"/>
  <c r="P387" i="22"/>
  <c r="V427" i="22"/>
  <c r="BB427" i="22" s="1"/>
  <c r="Q427" i="22"/>
  <c r="V468" i="22"/>
  <c r="Q468" i="22"/>
  <c r="P468" i="22"/>
  <c r="BH423" i="22"/>
  <c r="BA305" i="22"/>
  <c r="V324" i="22"/>
  <c r="Q324" i="22"/>
  <c r="P324" i="22"/>
  <c r="BA327" i="22"/>
  <c r="Q328" i="22"/>
  <c r="P328" i="22"/>
  <c r="BH370" i="22"/>
  <c r="V435" i="22"/>
  <c r="Q435" i="22"/>
  <c r="V326" i="22"/>
  <c r="Q326" i="22"/>
  <c r="P326" i="22"/>
  <c r="BA329" i="22"/>
  <c r="Q390" i="22"/>
  <c r="P390" i="22"/>
  <c r="V390" i="22"/>
  <c r="V411" i="22"/>
  <c r="Q411" i="22"/>
  <c r="P411" i="22"/>
  <c r="P435" i="22"/>
  <c r="P249" i="22"/>
  <c r="P264" i="22"/>
  <c r="P279" i="22"/>
  <c r="P294" i="22"/>
  <c r="P302" i="22"/>
  <c r="BA339" i="22"/>
  <c r="Q344" i="22"/>
  <c r="P344" i="22"/>
  <c r="BH430" i="22"/>
  <c r="Q249" i="22"/>
  <c r="Q294" i="22"/>
  <c r="Q302" i="22"/>
  <c r="BA321" i="22"/>
  <c r="V340" i="22"/>
  <c r="Q340" i="22"/>
  <c r="P340" i="22"/>
  <c r="V342" i="22"/>
  <c r="Q342" i="22"/>
  <c r="P342" i="22"/>
  <c r="V344" i="22"/>
  <c r="P371" i="22"/>
  <c r="BH377" i="22"/>
  <c r="Q421" i="22"/>
  <c r="P421" i="22"/>
  <c r="BA312" i="22"/>
  <c r="BG312" i="22" s="1"/>
  <c r="V349" i="22"/>
  <c r="Q349" i="22"/>
  <c r="P360" i="22"/>
  <c r="BJ360" i="22"/>
  <c r="Q360" i="22"/>
  <c r="V369" i="22"/>
  <c r="Q369" i="22"/>
  <c r="P369" i="22"/>
  <c r="V385" i="22"/>
  <c r="Q385" i="22"/>
  <c r="P385" i="22"/>
  <c r="V416" i="22"/>
  <c r="Q416" i="22"/>
  <c r="P416" i="22"/>
  <c r="V425" i="22"/>
  <c r="BB425" i="22" s="1"/>
  <c r="Q425" i="22"/>
  <c r="P425" i="22"/>
  <c r="V433" i="22"/>
  <c r="Q433" i="22"/>
  <c r="P433" i="22"/>
  <c r="P251" i="22"/>
  <c r="P297" i="22"/>
  <c r="V306" i="22"/>
  <c r="BA310" i="22"/>
  <c r="V322" i="22"/>
  <c r="Q322" i="22"/>
  <c r="Q330" i="22"/>
  <c r="V336" i="22"/>
  <c r="P346" i="22"/>
  <c r="P349" i="22"/>
  <c r="Q352" i="22"/>
  <c r="V365" i="22"/>
  <c r="Q365" i="22"/>
  <c r="P365" i="22"/>
  <c r="V311" i="22"/>
  <c r="Q311" i="22"/>
  <c r="P311" i="22"/>
  <c r="Q319" i="22"/>
  <c r="P319" i="22"/>
  <c r="BA337" i="22"/>
  <c r="V352" i="22"/>
  <c r="V400" i="22"/>
  <c r="Q400" i="22"/>
  <c r="P400" i="22"/>
  <c r="V412" i="22"/>
  <c r="Q412" i="22"/>
  <c r="V449" i="22"/>
  <c r="Q449" i="22"/>
  <c r="P449" i="22"/>
  <c r="P479" i="22"/>
  <c r="V479" i="22"/>
  <c r="Q479" i="22"/>
  <c r="V422" i="22"/>
  <c r="BB422" i="22" s="1"/>
  <c r="Q422" i="22"/>
  <c r="P422" i="22"/>
  <c r="V426" i="22"/>
  <c r="BB426" i="22" s="1"/>
  <c r="Q426" i="22"/>
  <c r="P426" i="22"/>
  <c r="V436" i="22"/>
  <c r="Q436" i="22"/>
  <c r="P436" i="22"/>
  <c r="BE503" i="22"/>
  <c r="BA374" i="22"/>
  <c r="BH375" i="22"/>
  <c r="BA379" i="22"/>
  <c r="V396" i="22"/>
  <c r="Q396" i="22"/>
  <c r="V424" i="22"/>
  <c r="BB424" i="22" s="1"/>
  <c r="Q424" i="22"/>
  <c r="P424" i="22"/>
  <c r="BH373" i="22"/>
  <c r="V377" i="22"/>
  <c r="Q377" i="22"/>
  <c r="P377" i="22"/>
  <c r="Q383" i="22"/>
  <c r="P383" i="22"/>
  <c r="BH386" i="22"/>
  <c r="P396" i="22"/>
  <c r="BA406" i="22"/>
  <c r="BA419" i="22"/>
  <c r="BA437" i="22"/>
  <c r="BA452" i="22"/>
  <c r="Q455" i="22"/>
  <c r="P455" i="22"/>
  <c r="BA462" i="22"/>
  <c r="V481" i="22"/>
  <c r="Q481" i="22"/>
  <c r="P481" i="22"/>
  <c r="BA371" i="22"/>
  <c r="BG371" i="22" s="1"/>
  <c r="Q375" i="22"/>
  <c r="P375" i="22"/>
  <c r="V380" i="22"/>
  <c r="Q380" i="22"/>
  <c r="V393" i="22"/>
  <c r="Q393" i="22"/>
  <c r="P393" i="22"/>
  <c r="V407" i="22"/>
  <c r="Q407" i="22"/>
  <c r="P407" i="22"/>
  <c r="BA409" i="22"/>
  <c r="V445" i="22"/>
  <c r="Q445" i="22"/>
  <c r="V459" i="22"/>
  <c r="Q459" i="22"/>
  <c r="P459" i="22"/>
  <c r="BE480" i="22"/>
  <c r="BE478" i="22"/>
  <c r="BE495" i="22"/>
  <c r="BH501" i="22"/>
  <c r="V502" i="22"/>
  <c r="Q502" i="22"/>
  <c r="P502" i="22"/>
  <c r="V450" i="22"/>
  <c r="Q450" i="22"/>
  <c r="P450" i="22"/>
  <c r="V466" i="22"/>
  <c r="Q466" i="22"/>
  <c r="P466" i="22"/>
  <c r="V469" i="22"/>
  <c r="Q469" i="22"/>
  <c r="V485" i="22"/>
  <c r="Q485" i="22"/>
  <c r="P485" i="22"/>
  <c r="BE501" i="22"/>
  <c r="V391" i="22"/>
  <c r="Q391" i="22"/>
  <c r="P391" i="22"/>
  <c r="BH407" i="22"/>
  <c r="P469" i="22"/>
  <c r="V496" i="22"/>
  <c r="Q496" i="22"/>
  <c r="V394" i="22"/>
  <c r="Q394" i="22"/>
  <c r="P394" i="22"/>
  <c r="BH422" i="22"/>
  <c r="P432" i="22"/>
  <c r="V432" i="22"/>
  <c r="Q461" i="22"/>
  <c r="P461" i="22"/>
  <c r="BE474" i="22"/>
  <c r="P496" i="22"/>
  <c r="BE502" i="22"/>
  <c r="Q509" i="22"/>
  <c r="P509" i="22"/>
  <c r="P309" i="22"/>
  <c r="P325" i="22"/>
  <c r="P341" i="22"/>
  <c r="P361" i="22"/>
  <c r="V378" i="22"/>
  <c r="Q378" i="22"/>
  <c r="P378" i="22"/>
  <c r="P428" i="22"/>
  <c r="Q428" i="22"/>
  <c r="BH450" i="22"/>
  <c r="V451" i="22"/>
  <c r="P451" i="22"/>
  <c r="V475" i="22"/>
  <c r="Q475" i="22"/>
  <c r="P475" i="22"/>
  <c r="V482" i="22"/>
  <c r="Q482" i="22"/>
  <c r="P482" i="22"/>
  <c r="V509" i="22"/>
  <c r="Q309" i="22"/>
  <c r="Q325" i="22"/>
  <c r="Q341" i="22"/>
  <c r="BA373" i="22"/>
  <c r="BH391" i="22"/>
  <c r="V428" i="22"/>
  <c r="BB428" i="22" s="1"/>
  <c r="Q451" i="22"/>
  <c r="BH456" i="22"/>
  <c r="BE473" i="22"/>
  <c r="BA394" i="22"/>
  <c r="BH406" i="22"/>
  <c r="BH442" i="22"/>
  <c r="BA471" i="22"/>
  <c r="BA378" i="22"/>
  <c r="V395" i="22"/>
  <c r="Q395" i="22"/>
  <c r="P395" i="22"/>
  <c r="BA405" i="22"/>
  <c r="BA411" i="22"/>
  <c r="V467" i="22"/>
  <c r="Q467" i="22"/>
  <c r="P467" i="22"/>
  <c r="Q472" i="22"/>
  <c r="P472" i="22"/>
  <c r="BE484" i="22"/>
  <c r="BE488" i="22"/>
  <c r="V492" i="22"/>
  <c r="Q492" i="22"/>
  <c r="P492" i="22"/>
  <c r="V497" i="22"/>
  <c r="Q497" i="22"/>
  <c r="P497" i="22"/>
  <c r="BE499" i="22"/>
  <c r="Q374" i="22"/>
  <c r="P402" i="22"/>
  <c r="BA420" i="22"/>
  <c r="BA426" i="22"/>
  <c r="BH434" i="22"/>
  <c r="BE482" i="22"/>
  <c r="V483" i="22"/>
  <c r="Q483" i="22"/>
  <c r="P483" i="22"/>
  <c r="V489" i="22"/>
  <c r="Q489" i="22"/>
  <c r="P489" i="22"/>
  <c r="BH457" i="22"/>
  <c r="V476" i="22"/>
  <c r="Q476" i="22"/>
  <c r="P476" i="22"/>
  <c r="BE477" i="22"/>
  <c r="BH497" i="22"/>
  <c r="BE504" i="22"/>
  <c r="BH439" i="22"/>
  <c r="V444" i="22"/>
  <c r="Q444" i="22"/>
  <c r="P444" i="22"/>
  <c r="BH483" i="22"/>
  <c r="BE497" i="22"/>
  <c r="V505" i="22"/>
  <c r="Q505" i="22"/>
  <c r="P505" i="22"/>
  <c r="BA442" i="22"/>
  <c r="BH455" i="22"/>
  <c r="V457" i="22"/>
  <c r="Q457" i="22"/>
  <c r="P457" i="22"/>
  <c r="BH468" i="22"/>
  <c r="V443" i="22"/>
  <c r="Q443" i="22"/>
  <c r="P443" i="22"/>
  <c r="BE489" i="22"/>
  <c r="Q494" i="22"/>
  <c r="BA436" i="22"/>
  <c r="BH440" i="22"/>
  <c r="BA454" i="22"/>
  <c r="Q465" i="22"/>
  <c r="P465" i="22"/>
  <c r="BA470" i="22"/>
  <c r="BE475" i="22"/>
  <c r="Q487" i="22"/>
  <c r="P487" i="22"/>
  <c r="V490" i="22"/>
  <c r="Q490" i="22"/>
  <c r="P490" i="22"/>
  <c r="BH502" i="22"/>
  <c r="BE505" i="22"/>
  <c r="BH537" i="22"/>
  <c r="V506" i="22"/>
  <c r="Q506" i="22"/>
  <c r="P506" i="22"/>
  <c r="BH526" i="22"/>
  <c r="BH521" i="22"/>
  <c r="V441" i="22"/>
  <c r="Q441" i="22"/>
  <c r="P441" i="22"/>
  <c r="BH451" i="22"/>
  <c r="BE490" i="22"/>
  <c r="V503" i="22"/>
  <c r="Q503" i="22"/>
  <c r="P503" i="22"/>
  <c r="Q480" i="22"/>
  <c r="P480" i="22"/>
  <c r="Q448" i="22"/>
  <c r="P448" i="22"/>
  <c r="Q462" i="22"/>
  <c r="BE487" i="22"/>
  <c r="V491" i="22"/>
  <c r="Q491" i="22"/>
  <c r="P491" i="22"/>
  <c r="BE507" i="22"/>
  <c r="Q510" i="22"/>
  <c r="P510" i="22"/>
  <c r="P376" i="22"/>
  <c r="P392" i="22"/>
  <c r="P408" i="22"/>
  <c r="P423" i="22"/>
  <c r="Q439" i="22"/>
  <c r="P439" i="22"/>
  <c r="BH441" i="22"/>
  <c r="V448" i="22"/>
  <c r="BA455" i="22"/>
  <c r="P462" i="22"/>
  <c r="BH473" i="22"/>
  <c r="P484" i="22"/>
  <c r="BH503" i="22"/>
  <c r="V510" i="22"/>
  <c r="BA518" i="22"/>
  <c r="Q376" i="22"/>
  <c r="Q392" i="22"/>
  <c r="Q408" i="22"/>
  <c r="Q423" i="22"/>
  <c r="V439" i="22"/>
  <c r="P452" i="22"/>
  <c r="Q464" i="22"/>
  <c r="Q484" i="22"/>
  <c r="Q501" i="22"/>
  <c r="P501" i="22"/>
  <c r="BA444" i="22"/>
  <c r="V464" i="22"/>
  <c r="V495" i="22"/>
  <c r="Q495" i="22"/>
  <c r="P495" i="22"/>
  <c r="V501" i="22"/>
  <c r="BB501" i="22" s="1"/>
  <c r="V507" i="22"/>
  <c r="Q507" i="22"/>
  <c r="BA523" i="22"/>
  <c r="BA458" i="22"/>
  <c r="BH472" i="22"/>
  <c r="V474" i="22"/>
  <c r="Q474" i="22"/>
  <c r="P474" i="22"/>
  <c r="V477" i="22"/>
  <c r="Q477" i="22"/>
  <c r="BH488" i="22"/>
  <c r="V504" i="22"/>
  <c r="Q504" i="22"/>
  <c r="P504" i="22"/>
  <c r="BA515" i="22"/>
  <c r="BA519" i="22"/>
  <c r="BH529" i="22"/>
  <c r="BA521" i="22"/>
  <c r="BA529" i="22"/>
  <c r="BA537" i="22"/>
  <c r="BA513" i="22"/>
  <c r="BH544" i="22"/>
  <c r="BH548" i="22"/>
  <c r="BA558" i="22"/>
  <c r="BA574" i="22"/>
  <c r="BA578" i="22"/>
  <c r="BA524" i="22"/>
  <c r="BA532" i="22"/>
  <c r="P442" i="22"/>
  <c r="P458" i="22"/>
  <c r="BH534" i="22"/>
  <c r="P488" i="22"/>
  <c r="BA525" i="22"/>
  <c r="BA533" i="22"/>
  <c r="P440" i="22"/>
  <c r="P456" i="22"/>
  <c r="Q473" i="22"/>
  <c r="Q488" i="22"/>
  <c r="Q440" i="22"/>
  <c r="Q456" i="22"/>
  <c r="BH513" i="22"/>
  <c r="BA514" i="22"/>
  <c r="BA520" i="22"/>
  <c r="BA528" i="22"/>
  <c r="BA536" i="22"/>
  <c r="BH524" i="22"/>
  <c r="BH532" i="22"/>
  <c r="BA542" i="22"/>
  <c r="BA539" i="22"/>
  <c r="BH568" i="22"/>
  <c r="BH535" i="22"/>
  <c r="BH543" i="22"/>
  <c r="BA573" i="22"/>
  <c r="BA540" i="22"/>
  <c r="BA548" i="22"/>
  <c r="BH581" i="22"/>
  <c r="BA556" i="22"/>
  <c r="BA546" i="22"/>
  <c r="BH564" i="22"/>
  <c r="BA581" i="22"/>
  <c r="BA554" i="22"/>
  <c r="BA549" i="22"/>
  <c r="BA557" i="22"/>
  <c r="BH585" i="22"/>
  <c r="BH567" i="22"/>
  <c r="BA547" i="22"/>
  <c r="BA552" i="22"/>
  <c r="BH577" i="22"/>
  <c r="BA585" i="22"/>
  <c r="BA541" i="22"/>
  <c r="BA566" i="22"/>
  <c r="BA577" i="22"/>
  <c r="DD762" i="22"/>
  <c r="DD764" i="22"/>
  <c r="BG408" i="22" l="1"/>
  <c r="BI448" i="22"/>
  <c r="BD407" i="22"/>
  <c r="BD433" i="22"/>
  <c r="BI411" i="22"/>
  <c r="BI470" i="22"/>
  <c r="BD425" i="22"/>
  <c r="BR425" i="22" s="1"/>
  <c r="BD508" i="22"/>
  <c r="BD429" i="22"/>
  <c r="BR429" i="22" s="1"/>
  <c r="BI446" i="22"/>
  <c r="BD444" i="22"/>
  <c r="BD431" i="22"/>
  <c r="BD409" i="22"/>
  <c r="BD410" i="22"/>
  <c r="BI426" i="22"/>
  <c r="BI459" i="22"/>
  <c r="BD396" i="22"/>
  <c r="BD442" i="22"/>
  <c r="BD443" i="22"/>
  <c r="BD457" i="22"/>
  <c r="BG487" i="22"/>
  <c r="BI439" i="22"/>
  <c r="BD434" i="22"/>
  <c r="BI469" i="22"/>
  <c r="BD422" i="22"/>
  <c r="BR422" i="22" s="1"/>
  <c r="BD449" i="22"/>
  <c r="BB408" i="22"/>
  <c r="BB487" i="22"/>
  <c r="BI453" i="22"/>
  <c r="BD415" i="22"/>
  <c r="BI406" i="22"/>
  <c r="BD398" i="22"/>
  <c r="BD438" i="22"/>
  <c r="BD403" i="22"/>
  <c r="BI478" i="22"/>
  <c r="BB484" i="22"/>
  <c r="BJ484" i="22"/>
  <c r="BD420" i="22"/>
  <c r="BJ420" i="22"/>
  <c r="BQ420" i="22" s="1"/>
  <c r="BD437" i="22"/>
  <c r="BG420" i="22"/>
  <c r="BI419" i="22"/>
  <c r="BG473" i="22"/>
  <c r="BI402" i="22"/>
  <c r="BD428" i="22"/>
  <c r="BR428" i="22" s="1"/>
  <c r="BD468" i="22"/>
  <c r="BG440" i="22"/>
  <c r="BD451" i="22"/>
  <c r="BD441" i="22"/>
  <c r="BD417" i="22"/>
  <c r="BD421" i="22"/>
  <c r="BD436" i="22"/>
  <c r="BD452" i="22"/>
  <c r="BI440" i="22"/>
  <c r="BQ440" i="22" s="1"/>
  <c r="BD467" i="22"/>
  <c r="BI450" i="22"/>
  <c r="BG455" i="22"/>
  <c r="BJ461" i="22"/>
  <c r="BQ461" i="22" s="1"/>
  <c r="BJ480" i="22"/>
  <c r="BI397" i="22"/>
  <c r="BQ397" i="22" s="1"/>
  <c r="BD509" i="22"/>
  <c r="BD510" i="22"/>
  <c r="BG397" i="22"/>
  <c r="BB455" i="22"/>
  <c r="BI435" i="22"/>
  <c r="BD405" i="22"/>
  <c r="BD477" i="22"/>
  <c r="BG488" i="22"/>
  <c r="BG480" i="22"/>
  <c r="BD461" i="22"/>
  <c r="BD473" i="22"/>
  <c r="BD414" i="22"/>
  <c r="BI472" i="22"/>
  <c r="BQ472" i="22" s="1"/>
  <c r="BD423" i="22"/>
  <c r="BI464" i="22"/>
  <c r="BI400" i="22"/>
  <c r="BG465" i="22"/>
  <c r="BJ462" i="22"/>
  <c r="BQ462" i="22" s="1"/>
  <c r="BB471" i="22"/>
  <c r="BB465" i="22"/>
  <c r="BG471" i="22"/>
  <c r="BI427" i="22"/>
  <c r="BJ463" i="22"/>
  <c r="BQ463" i="22" s="1"/>
  <c r="BD395" i="22"/>
  <c r="BD455" i="22"/>
  <c r="BG456" i="22"/>
  <c r="BB458" i="22"/>
  <c r="BD404" i="22"/>
  <c r="BG458" i="22"/>
  <c r="BB456" i="22"/>
  <c r="BD465" i="22"/>
  <c r="BD456" i="22"/>
  <c r="BD462" i="22"/>
  <c r="BI418" i="22"/>
  <c r="BD471" i="22"/>
  <c r="BD430" i="22"/>
  <c r="BR430" i="22" s="1"/>
  <c r="BD463" i="22"/>
  <c r="BI416" i="22"/>
  <c r="BD401" i="22"/>
  <c r="BD458" i="22"/>
  <c r="BG421" i="22"/>
  <c r="BD408" i="22"/>
  <c r="BG472" i="22"/>
  <c r="BG423" i="22"/>
  <c r="BB488" i="22"/>
  <c r="BJ423" i="22"/>
  <c r="BQ423" i="22" s="1"/>
  <c r="BG414" i="22"/>
  <c r="BB397" i="22"/>
  <c r="BB414" i="22"/>
  <c r="BB473" i="22"/>
  <c r="BD454" i="22"/>
  <c r="BD445" i="22"/>
  <c r="BI466" i="22"/>
  <c r="BJ421" i="22"/>
  <c r="BQ421" i="22" s="1"/>
  <c r="BB472" i="22"/>
  <c r="BB440" i="22"/>
  <c r="BI412" i="22"/>
  <c r="BD412" i="22"/>
  <c r="BD484" i="22"/>
  <c r="BI484" i="22"/>
  <c r="BD511" i="22"/>
  <c r="BI507" i="22"/>
  <c r="BD507" i="22"/>
  <c r="BD500" i="22"/>
  <c r="BI500" i="22"/>
  <c r="BD486" i="22"/>
  <c r="BI486" i="22"/>
  <c r="BI487" i="22"/>
  <c r="BQ487" i="22" s="1"/>
  <c r="BD487" i="22"/>
  <c r="BI488" i="22"/>
  <c r="BQ488" i="22" s="1"/>
  <c r="BD488" i="22"/>
  <c r="BD480" i="22"/>
  <c r="BR480" i="22" s="1"/>
  <c r="BI480" i="22"/>
  <c r="BD494" i="22"/>
  <c r="BI494" i="22"/>
  <c r="BQ383" i="22"/>
  <c r="BQ458" i="22"/>
  <c r="BQ371" i="22"/>
  <c r="BI460" i="22"/>
  <c r="BD460" i="22"/>
  <c r="BI447" i="22"/>
  <c r="BD447" i="22"/>
  <c r="BI293" i="22"/>
  <c r="BD293" i="22"/>
  <c r="BD272" i="22"/>
  <c r="BI272" i="22"/>
  <c r="BI303" i="22"/>
  <c r="BD303" i="22"/>
  <c r="BI249" i="22"/>
  <c r="BQ249" i="22" s="1"/>
  <c r="BD249" i="22"/>
  <c r="BI17" i="22"/>
  <c r="BD17" i="22"/>
  <c r="BD432" i="22"/>
  <c r="BI432" i="22"/>
  <c r="BQ62" i="22"/>
  <c r="BQ193" i="22"/>
  <c r="BQ309" i="22"/>
  <c r="BQ330" i="22"/>
  <c r="BQ84" i="22"/>
  <c r="BQ299" i="22"/>
  <c r="BQ202" i="22"/>
  <c r="BQ126" i="22"/>
  <c r="BQ239" i="22"/>
  <c r="BQ64" i="22"/>
  <c r="BQ215" i="22"/>
  <c r="BQ186" i="22"/>
  <c r="BQ175" i="22"/>
  <c r="BQ184" i="22"/>
  <c r="BQ94" i="22"/>
  <c r="BQ102" i="22"/>
  <c r="BQ148" i="22"/>
  <c r="BQ237" i="22"/>
  <c r="BQ76" i="22"/>
  <c r="BQ211" i="22"/>
  <c r="BQ167" i="22"/>
  <c r="BQ347" i="22"/>
  <c r="BQ471" i="22"/>
  <c r="BR113" i="22"/>
  <c r="BQ227" i="22"/>
  <c r="BQ285" i="22"/>
  <c r="BQ253" i="22"/>
  <c r="BQ115" i="22"/>
  <c r="BQ414" i="22"/>
  <c r="BQ216" i="22"/>
  <c r="BQ332" i="22"/>
  <c r="BQ218" i="22"/>
  <c r="BQ473" i="22"/>
  <c r="BQ408" i="22"/>
  <c r="BR119" i="22"/>
  <c r="BJ338" i="22"/>
  <c r="BQ338" i="22" s="1"/>
  <c r="BB338" i="22"/>
  <c r="BJ58" i="22"/>
  <c r="BQ58" i="22" s="1"/>
  <c r="BB58" i="22"/>
  <c r="BR58" i="22" s="1"/>
  <c r="BJ336" i="22"/>
  <c r="BQ336" i="22" s="1"/>
  <c r="BB336" i="22"/>
  <c r="BR336" i="22" s="1"/>
  <c r="BJ296" i="22"/>
  <c r="BQ296" i="22" s="1"/>
  <c r="BB296" i="22"/>
  <c r="BJ510" i="22"/>
  <c r="BQ510" i="22" s="1"/>
  <c r="BB510" i="22"/>
  <c r="BJ476" i="22"/>
  <c r="BQ476" i="22" s="1"/>
  <c r="BB476" i="22"/>
  <c r="BR476" i="22" s="1"/>
  <c r="BJ502" i="22"/>
  <c r="BQ502" i="22" s="1"/>
  <c r="BB502" i="22"/>
  <c r="BR502" i="22" s="1"/>
  <c r="BJ234" i="22"/>
  <c r="BQ234" i="22" s="1"/>
  <c r="BB234" i="22"/>
  <c r="BR234" i="22" s="1"/>
  <c r="BJ447" i="22"/>
  <c r="BB447" i="22"/>
  <c r="BJ276" i="22"/>
  <c r="BQ276" i="22" s="1"/>
  <c r="BB276" i="22"/>
  <c r="BR276" i="22" s="1"/>
  <c r="BJ301" i="22"/>
  <c r="BQ301" i="22" s="1"/>
  <c r="BB301" i="22"/>
  <c r="BR301" i="22" s="1"/>
  <c r="BJ207" i="22"/>
  <c r="BQ207" i="22" s="1"/>
  <c r="BB207" i="22"/>
  <c r="BR207" i="22" s="1"/>
  <c r="BJ206" i="22"/>
  <c r="BQ206" i="22" s="1"/>
  <c r="BB206" i="22"/>
  <c r="BR206" i="22" s="1"/>
  <c r="BJ223" i="22"/>
  <c r="BQ223" i="22" s="1"/>
  <c r="BB223" i="22"/>
  <c r="BR223" i="22" s="1"/>
  <c r="BJ212" i="22"/>
  <c r="BQ212" i="22" s="1"/>
  <c r="BB212" i="22"/>
  <c r="BJ130" i="22"/>
  <c r="BQ130" i="22" s="1"/>
  <c r="BB130" i="22"/>
  <c r="BR130" i="22" s="1"/>
  <c r="BJ438" i="22"/>
  <c r="BQ438" i="22" s="1"/>
  <c r="BB438" i="22"/>
  <c r="BJ446" i="22"/>
  <c r="BB446" i="22"/>
  <c r="BR446" i="22" s="1"/>
  <c r="BJ260" i="22"/>
  <c r="BQ260" i="22" s="1"/>
  <c r="BB260" i="22"/>
  <c r="BR260" i="22" s="1"/>
  <c r="BJ98" i="22"/>
  <c r="BQ98" i="22" s="1"/>
  <c r="BB98" i="22"/>
  <c r="BR98" i="22" s="1"/>
  <c r="BJ127" i="22"/>
  <c r="BQ127" i="22" s="1"/>
  <c r="BB127" i="22"/>
  <c r="BJ75" i="22"/>
  <c r="BQ75" i="22" s="1"/>
  <c r="BB75" i="22"/>
  <c r="BJ391" i="22"/>
  <c r="BQ391" i="22" s="1"/>
  <c r="BB391" i="22"/>
  <c r="BR391" i="22" s="1"/>
  <c r="BJ433" i="22"/>
  <c r="BQ433" i="22" s="1"/>
  <c r="BB433" i="22"/>
  <c r="BJ340" i="22"/>
  <c r="BQ340" i="22" s="1"/>
  <c r="BB340" i="22"/>
  <c r="BR340" i="22" s="1"/>
  <c r="BJ281" i="22"/>
  <c r="BQ281" i="22" s="1"/>
  <c r="BB281" i="22"/>
  <c r="BJ220" i="22"/>
  <c r="BQ220" i="22" s="1"/>
  <c r="BB220" i="22"/>
  <c r="BJ221" i="22"/>
  <c r="BQ221" i="22" s="1"/>
  <c r="BB221" i="22"/>
  <c r="BR221" i="22" s="1"/>
  <c r="BJ106" i="22"/>
  <c r="BQ106" i="22" s="1"/>
  <c r="BB106" i="22"/>
  <c r="BR106" i="22" s="1"/>
  <c r="BJ464" i="22"/>
  <c r="BB464" i="22"/>
  <c r="BR464" i="22" s="1"/>
  <c r="BJ503" i="22"/>
  <c r="BQ503" i="22" s="1"/>
  <c r="BB503" i="22"/>
  <c r="BR503" i="22" s="1"/>
  <c r="BJ395" i="22"/>
  <c r="BQ395" i="22" s="1"/>
  <c r="BB395" i="22"/>
  <c r="BJ449" i="22"/>
  <c r="BQ449" i="22" s="1"/>
  <c r="BB449" i="22"/>
  <c r="BJ365" i="22"/>
  <c r="BQ365" i="22" s="1"/>
  <c r="BB365" i="22"/>
  <c r="BR365" i="22" s="1"/>
  <c r="BJ349" i="22"/>
  <c r="BQ349" i="22" s="1"/>
  <c r="BB349" i="22"/>
  <c r="BR349" i="22" s="1"/>
  <c r="BJ370" i="22"/>
  <c r="BQ370" i="22" s="1"/>
  <c r="BB370" i="22"/>
  <c r="BJ384" i="22"/>
  <c r="BQ384" i="22" s="1"/>
  <c r="BB384" i="22"/>
  <c r="BR384" i="22" s="1"/>
  <c r="BJ293" i="22"/>
  <c r="BB293" i="22"/>
  <c r="BJ226" i="22"/>
  <c r="BQ226" i="22" s="1"/>
  <c r="BB226" i="22"/>
  <c r="BJ262" i="22"/>
  <c r="BQ262" i="22" s="1"/>
  <c r="BB262" i="22"/>
  <c r="BJ280" i="22"/>
  <c r="BQ280" i="22" s="1"/>
  <c r="BB280" i="22"/>
  <c r="BJ139" i="22"/>
  <c r="BQ139" i="22" s="1"/>
  <c r="BB139" i="22"/>
  <c r="BJ72" i="22"/>
  <c r="BQ72" i="22" s="1"/>
  <c r="BB72" i="22"/>
  <c r="BJ65" i="22"/>
  <c r="BQ65" i="22" s="1"/>
  <c r="BB65" i="22"/>
  <c r="BJ55" i="22"/>
  <c r="BQ55" i="22" s="1"/>
  <c r="BB55" i="22"/>
  <c r="BR55" i="22" s="1"/>
  <c r="BJ402" i="22"/>
  <c r="BB402" i="22"/>
  <c r="BJ381" i="22"/>
  <c r="BQ381" i="22" s="1"/>
  <c r="BB381" i="22"/>
  <c r="BJ142" i="22"/>
  <c r="BQ142" i="22" s="1"/>
  <c r="BB142" i="22"/>
  <c r="BJ66" i="22"/>
  <c r="BQ66" i="22" s="1"/>
  <c r="BB66" i="22"/>
  <c r="BJ504" i="22"/>
  <c r="BQ504" i="22" s="1"/>
  <c r="BB504" i="22"/>
  <c r="BR504" i="22" s="1"/>
  <c r="BJ393" i="22"/>
  <c r="BQ393" i="22" s="1"/>
  <c r="BB393" i="22"/>
  <c r="BR393" i="22" s="1"/>
  <c r="BJ93" i="22"/>
  <c r="BQ93" i="22" s="1"/>
  <c r="BB93" i="22"/>
  <c r="BR93" i="22" s="1"/>
  <c r="BJ67" i="22"/>
  <c r="BQ67" i="22" s="1"/>
  <c r="BB67" i="22"/>
  <c r="BJ162" i="22"/>
  <c r="BQ162" i="22" s="1"/>
  <c r="BB162" i="22"/>
  <c r="BR162" i="22" s="1"/>
  <c r="BJ437" i="22"/>
  <c r="BQ437" i="22" s="1"/>
  <c r="BB437" i="22"/>
  <c r="BQ233" i="22"/>
  <c r="BJ432" i="22"/>
  <c r="BB432" i="22"/>
  <c r="BJ380" i="22"/>
  <c r="BQ380" i="22" s="1"/>
  <c r="BB380" i="22"/>
  <c r="BJ387" i="22"/>
  <c r="BQ387" i="22" s="1"/>
  <c r="BB387" i="22"/>
  <c r="BR387" i="22" s="1"/>
  <c r="BJ343" i="22"/>
  <c r="BQ343" i="22" s="1"/>
  <c r="BB343" i="22"/>
  <c r="BJ268" i="22"/>
  <c r="BQ268" i="22" s="1"/>
  <c r="BB268" i="22"/>
  <c r="BJ327" i="22"/>
  <c r="BQ327" i="22" s="1"/>
  <c r="BB327" i="22"/>
  <c r="BJ308" i="22"/>
  <c r="BQ308" i="22" s="1"/>
  <c r="BB308" i="22"/>
  <c r="BR308" i="22" s="1"/>
  <c r="BJ210" i="22"/>
  <c r="BQ210" i="22" s="1"/>
  <c r="BB210" i="22"/>
  <c r="BR210" i="22" s="1"/>
  <c r="BJ137" i="22"/>
  <c r="BQ137" i="22" s="1"/>
  <c r="BB137" i="22"/>
  <c r="BR137" i="22" s="1"/>
  <c r="BJ208" i="22"/>
  <c r="BQ208" i="22" s="1"/>
  <c r="BB208" i="22"/>
  <c r="BR208" i="22" s="1"/>
  <c r="BJ90" i="22"/>
  <c r="BQ90" i="22" s="1"/>
  <c r="BB90" i="22"/>
  <c r="BJ63" i="22"/>
  <c r="BQ63" i="22" s="1"/>
  <c r="BB63" i="22"/>
  <c r="BJ79" i="22"/>
  <c r="BQ79" i="22" s="1"/>
  <c r="BB79" i="22"/>
  <c r="BR79" i="22" s="1"/>
  <c r="BJ104" i="22"/>
  <c r="BQ104" i="22" s="1"/>
  <c r="BB104" i="22"/>
  <c r="BR104" i="22" s="1"/>
  <c r="BJ83" i="22"/>
  <c r="BQ83" i="22" s="1"/>
  <c r="BB83" i="22"/>
  <c r="BJ80" i="22"/>
  <c r="BQ80" i="22" s="1"/>
  <c r="BB80" i="22"/>
  <c r="BJ398" i="22"/>
  <c r="BQ398" i="22" s="1"/>
  <c r="BB398" i="22"/>
  <c r="BJ321" i="22"/>
  <c r="BQ321" i="22" s="1"/>
  <c r="BB321" i="22"/>
  <c r="BJ346" i="22"/>
  <c r="BQ346" i="22" s="1"/>
  <c r="BB346" i="22"/>
  <c r="BJ495" i="22"/>
  <c r="BQ495" i="22" s="1"/>
  <c r="BB495" i="22"/>
  <c r="BR495" i="22" s="1"/>
  <c r="BJ505" i="22"/>
  <c r="BQ505" i="22" s="1"/>
  <c r="BB505" i="22"/>
  <c r="BR505" i="22" s="1"/>
  <c r="BJ219" i="22"/>
  <c r="BQ219" i="22" s="1"/>
  <c r="BB219" i="22"/>
  <c r="BJ138" i="22"/>
  <c r="BQ138" i="22" s="1"/>
  <c r="BB138" i="22"/>
  <c r="BJ493" i="22"/>
  <c r="BQ493" i="22" s="1"/>
  <c r="BB493" i="22"/>
  <c r="BR493" i="22" s="1"/>
  <c r="BJ417" i="22"/>
  <c r="BQ417" i="22" s="1"/>
  <c r="BB417" i="22"/>
  <c r="BJ99" i="22"/>
  <c r="BQ99" i="22" s="1"/>
  <c r="BB99" i="22"/>
  <c r="BJ499" i="22"/>
  <c r="BQ499" i="22" s="1"/>
  <c r="BB499" i="22"/>
  <c r="BR499" i="22" s="1"/>
  <c r="BJ199" i="22"/>
  <c r="BQ199" i="22" s="1"/>
  <c r="BB199" i="22"/>
  <c r="BR199" i="22" s="1"/>
  <c r="BJ497" i="22"/>
  <c r="BQ497" i="22" s="1"/>
  <c r="BB497" i="22"/>
  <c r="BR497" i="22" s="1"/>
  <c r="BJ412" i="22"/>
  <c r="BB412" i="22"/>
  <c r="BJ379" i="22"/>
  <c r="BQ379" i="22" s="1"/>
  <c r="BB379" i="22"/>
  <c r="BJ265" i="22"/>
  <c r="BQ265" i="22" s="1"/>
  <c r="BB265" i="22"/>
  <c r="BR265" i="22" s="1"/>
  <c r="BJ203" i="22"/>
  <c r="BQ203" i="22" s="1"/>
  <c r="BB203" i="22"/>
  <c r="BJ161" i="22"/>
  <c r="BQ161" i="22" s="1"/>
  <c r="BB161" i="22"/>
  <c r="BR161" i="22" s="1"/>
  <c r="BJ272" i="22"/>
  <c r="BB272" i="22"/>
  <c r="BJ131" i="22"/>
  <c r="BQ131" i="22" s="1"/>
  <c r="BB131" i="22"/>
  <c r="BR131" i="22" s="1"/>
  <c r="BJ229" i="22"/>
  <c r="BQ229" i="22" s="1"/>
  <c r="BB229" i="22"/>
  <c r="BJ70" i="22"/>
  <c r="BQ70" i="22" s="1"/>
  <c r="BB70" i="22"/>
  <c r="BR70" i="22" s="1"/>
  <c r="BJ129" i="22"/>
  <c r="BQ129" i="22" s="1"/>
  <c r="BB129" i="22"/>
  <c r="BR129" i="22" s="1"/>
  <c r="BJ91" i="22"/>
  <c r="BQ91" i="22" s="1"/>
  <c r="BB91" i="22"/>
  <c r="BR91" i="22" s="1"/>
  <c r="BJ282" i="22"/>
  <c r="BQ282" i="22" s="1"/>
  <c r="BB282" i="22"/>
  <c r="BJ157" i="22"/>
  <c r="BQ157" i="22" s="1"/>
  <c r="BB157" i="22"/>
  <c r="BJ300" i="22"/>
  <c r="BQ300" i="22" s="1"/>
  <c r="BB300" i="22"/>
  <c r="BJ314" i="22"/>
  <c r="BQ314" i="22" s="1"/>
  <c r="BB314" i="22"/>
  <c r="BQ283" i="22"/>
  <c r="BJ494" i="22"/>
  <c r="BB494" i="22"/>
  <c r="BJ151" i="22"/>
  <c r="BQ151" i="22" s="1"/>
  <c r="BB151" i="22"/>
  <c r="BR151" i="22" s="1"/>
  <c r="BJ444" i="22"/>
  <c r="BQ444" i="22" s="1"/>
  <c r="BB444" i="22"/>
  <c r="BJ469" i="22"/>
  <c r="BB469" i="22"/>
  <c r="BJ400" i="22"/>
  <c r="BB400" i="22"/>
  <c r="BR400" i="22" s="1"/>
  <c r="BJ416" i="22"/>
  <c r="BB416" i="22"/>
  <c r="BR416" i="22" s="1"/>
  <c r="BJ390" i="22"/>
  <c r="BQ390" i="22" s="1"/>
  <c r="BB390" i="22"/>
  <c r="BR390" i="22" s="1"/>
  <c r="BJ350" i="22"/>
  <c r="BQ350" i="22" s="1"/>
  <c r="BB350" i="22"/>
  <c r="BR350" i="22" s="1"/>
  <c r="BJ366" i="22"/>
  <c r="BQ366" i="22" s="1"/>
  <c r="BB366" i="22"/>
  <c r="BJ307" i="22"/>
  <c r="BQ307" i="22" s="1"/>
  <c r="BB307" i="22"/>
  <c r="BJ217" i="22"/>
  <c r="BQ217" i="22" s="1"/>
  <c r="BB217" i="22"/>
  <c r="BJ147" i="22"/>
  <c r="BQ147" i="22" s="1"/>
  <c r="BB147" i="22"/>
  <c r="BR147" i="22" s="1"/>
  <c r="BJ204" i="22"/>
  <c r="BQ204" i="22" s="1"/>
  <c r="BB204" i="22"/>
  <c r="BJ108" i="22"/>
  <c r="BQ108" i="22" s="1"/>
  <c r="BB108" i="22"/>
  <c r="BJ125" i="22"/>
  <c r="BQ125" i="22" s="1"/>
  <c r="BB125" i="22"/>
  <c r="BR125" i="22" s="1"/>
  <c r="BJ154" i="22"/>
  <c r="BQ154" i="22" s="1"/>
  <c r="BB154" i="22"/>
  <c r="BR154" i="22" s="1"/>
  <c r="BJ60" i="22"/>
  <c r="BQ60" i="22" s="1"/>
  <c r="BB60" i="22"/>
  <c r="BR60" i="22" s="1"/>
  <c r="BJ163" i="22"/>
  <c r="BQ163" i="22" s="1"/>
  <c r="BB163" i="22"/>
  <c r="BR163" i="22" s="1"/>
  <c r="BJ313" i="22"/>
  <c r="BQ313" i="22" s="1"/>
  <c r="BB313" i="22"/>
  <c r="BJ413" i="22"/>
  <c r="BQ413" i="22" s="1"/>
  <c r="BB413" i="22"/>
  <c r="BR413" i="22" s="1"/>
  <c r="BJ95" i="22"/>
  <c r="BQ95" i="22" s="1"/>
  <c r="BB95" i="22"/>
  <c r="BR95" i="22" s="1"/>
  <c r="BJ274" i="22"/>
  <c r="BQ274" i="22" s="1"/>
  <c r="BB274" i="22"/>
  <c r="BR274" i="22" s="1"/>
  <c r="BJ291" i="22"/>
  <c r="BQ291" i="22" s="1"/>
  <c r="BB291" i="22"/>
  <c r="BJ68" i="22"/>
  <c r="BQ68" i="22" s="1"/>
  <c r="BB68" i="22"/>
  <c r="BR68" i="22" s="1"/>
  <c r="BJ100" i="22"/>
  <c r="BQ100" i="22" s="1"/>
  <c r="BB100" i="22"/>
  <c r="BJ82" i="22"/>
  <c r="BQ82" i="22" s="1"/>
  <c r="BB82" i="22"/>
  <c r="BQ345" i="22"/>
  <c r="BJ337" i="22"/>
  <c r="BQ337" i="22" s="1"/>
  <c r="BB337" i="22"/>
  <c r="BJ443" i="22"/>
  <c r="BQ443" i="22" s="1"/>
  <c r="BB443" i="22"/>
  <c r="BJ474" i="22"/>
  <c r="BQ474" i="22" s="1"/>
  <c r="BB474" i="22"/>
  <c r="BR474" i="22" s="1"/>
  <c r="BJ448" i="22"/>
  <c r="BB448" i="22"/>
  <c r="BR448" i="22" s="1"/>
  <c r="BJ441" i="22"/>
  <c r="BQ441" i="22" s="1"/>
  <c r="BB441" i="22"/>
  <c r="BJ490" i="22"/>
  <c r="BQ490" i="22" s="1"/>
  <c r="BB490" i="22"/>
  <c r="BR490" i="22" s="1"/>
  <c r="BJ483" i="22"/>
  <c r="BQ483" i="22" s="1"/>
  <c r="BB483" i="22"/>
  <c r="BR483" i="22" s="1"/>
  <c r="BJ459" i="22"/>
  <c r="BB459" i="22"/>
  <c r="BJ352" i="22"/>
  <c r="BQ352" i="22" s="1"/>
  <c r="BB352" i="22"/>
  <c r="BJ324" i="22"/>
  <c r="BQ324" i="22" s="1"/>
  <c r="BB324" i="22"/>
  <c r="BJ298" i="22"/>
  <c r="BQ298" i="22" s="1"/>
  <c r="BB298" i="22"/>
  <c r="BR298" i="22" s="1"/>
  <c r="BJ323" i="22"/>
  <c r="BQ323" i="22" s="1"/>
  <c r="BB323" i="22"/>
  <c r="BR323" i="22" s="1"/>
  <c r="BJ303" i="22"/>
  <c r="BB303" i="22"/>
  <c r="BJ273" i="22"/>
  <c r="BQ273" i="22" s="1"/>
  <c r="BB273" i="22"/>
  <c r="BR273" i="22" s="1"/>
  <c r="BJ56" i="22"/>
  <c r="BQ56" i="22" s="1"/>
  <c r="BB56" i="22"/>
  <c r="BJ297" i="22"/>
  <c r="BQ297" i="22" s="1"/>
  <c r="BB297" i="22"/>
  <c r="BJ405" i="22"/>
  <c r="BQ405" i="22" s="1"/>
  <c r="BB405" i="22"/>
  <c r="BJ264" i="22"/>
  <c r="BQ264" i="22" s="1"/>
  <c r="BB264" i="22"/>
  <c r="BR264" i="22" s="1"/>
  <c r="BJ269" i="22"/>
  <c r="BQ269" i="22" s="1"/>
  <c r="BB269" i="22"/>
  <c r="BJ124" i="22"/>
  <c r="BQ124" i="22" s="1"/>
  <c r="BB124" i="22"/>
  <c r="BJ57" i="22"/>
  <c r="BQ57" i="22" s="1"/>
  <c r="BB57" i="22"/>
  <c r="BR57" i="22" s="1"/>
  <c r="BJ304" i="22"/>
  <c r="BQ304" i="22" s="1"/>
  <c r="BB304" i="22"/>
  <c r="BR304" i="22" s="1"/>
  <c r="BJ404" i="22"/>
  <c r="BQ404" i="22" s="1"/>
  <c r="BB404" i="22"/>
  <c r="BJ222" i="22"/>
  <c r="BQ222" i="22" s="1"/>
  <c r="BB222" i="22"/>
  <c r="BR222" i="22" s="1"/>
  <c r="BJ436" i="22"/>
  <c r="BQ436" i="22" s="1"/>
  <c r="BB436" i="22"/>
  <c r="BJ88" i="22"/>
  <c r="BQ88" i="22" s="1"/>
  <c r="BB88" i="22"/>
  <c r="BR88" i="22" s="1"/>
  <c r="BJ141" i="22"/>
  <c r="BQ141" i="22" s="1"/>
  <c r="BB141" i="22"/>
  <c r="BJ482" i="22"/>
  <c r="BQ482" i="22" s="1"/>
  <c r="BB482" i="22"/>
  <c r="BR482" i="22" s="1"/>
  <c r="BJ394" i="22"/>
  <c r="BQ394" i="22" s="1"/>
  <c r="BB394" i="22"/>
  <c r="BJ481" i="22"/>
  <c r="BQ481" i="22" s="1"/>
  <c r="BB481" i="22"/>
  <c r="BR481" i="22" s="1"/>
  <c r="BJ377" i="22"/>
  <c r="BQ377" i="22" s="1"/>
  <c r="BB377" i="22"/>
  <c r="BR377" i="22" s="1"/>
  <c r="BJ286" i="22"/>
  <c r="BQ286" i="22" s="1"/>
  <c r="BB286" i="22"/>
  <c r="BR286" i="22" s="1"/>
  <c r="BJ235" i="22"/>
  <c r="BQ235" i="22" s="1"/>
  <c r="BB235" i="22"/>
  <c r="BJ368" i="22"/>
  <c r="BQ368" i="22" s="1"/>
  <c r="BB368" i="22"/>
  <c r="BR368" i="22" s="1"/>
  <c r="BJ386" i="22"/>
  <c r="BQ386" i="22" s="1"/>
  <c r="BB386" i="22"/>
  <c r="BR386" i="22" s="1"/>
  <c r="BJ164" i="22"/>
  <c r="BQ164" i="22" s="1"/>
  <c r="BB164" i="22"/>
  <c r="BR164" i="22" s="1"/>
  <c r="BJ105" i="22"/>
  <c r="BQ105" i="22" s="1"/>
  <c r="BB105" i="22"/>
  <c r="BR105" i="22" s="1"/>
  <c r="BJ77" i="22"/>
  <c r="BQ77" i="22" s="1"/>
  <c r="BB77" i="22"/>
  <c r="BR77" i="22" s="1"/>
  <c r="BJ224" i="22"/>
  <c r="BQ224" i="22" s="1"/>
  <c r="BB224" i="22"/>
  <c r="BR224" i="22" s="1"/>
  <c r="BJ367" i="22"/>
  <c r="BQ367" i="22" s="1"/>
  <c r="BB367" i="22"/>
  <c r="BR367" i="22" s="1"/>
  <c r="BJ453" i="22"/>
  <c r="BB453" i="22"/>
  <c r="BR453" i="22" s="1"/>
  <c r="BJ373" i="22"/>
  <c r="BQ373" i="22" s="1"/>
  <c r="BB373" i="22"/>
  <c r="BQ465" i="22"/>
  <c r="BJ290" i="22"/>
  <c r="BQ290" i="22" s="1"/>
  <c r="BB290" i="22"/>
  <c r="BJ477" i="22"/>
  <c r="BQ477" i="22" s="1"/>
  <c r="BB477" i="22"/>
  <c r="BJ489" i="22"/>
  <c r="BQ489" i="22" s="1"/>
  <c r="BB489" i="22"/>
  <c r="BR489" i="22" s="1"/>
  <c r="BJ53" i="22"/>
  <c r="BQ53" i="22" s="1"/>
  <c r="BB53" i="22"/>
  <c r="BR53" i="22" s="1"/>
  <c r="BJ97" i="22"/>
  <c r="BQ97" i="22" s="1"/>
  <c r="BB97" i="22"/>
  <c r="BJ59" i="22"/>
  <c r="BQ59" i="22" s="1"/>
  <c r="BB59" i="22"/>
  <c r="BJ439" i="22"/>
  <c r="BB439" i="22"/>
  <c r="BR439" i="22" s="1"/>
  <c r="BJ466" i="22"/>
  <c r="BB466" i="22"/>
  <c r="BR466" i="22" s="1"/>
  <c r="BJ445" i="22"/>
  <c r="BQ445" i="22" s="1"/>
  <c r="BB445" i="22"/>
  <c r="BJ322" i="22"/>
  <c r="BQ322" i="22" s="1"/>
  <c r="BB322" i="22"/>
  <c r="BR322" i="22" s="1"/>
  <c r="BJ385" i="22"/>
  <c r="BQ385" i="22" s="1"/>
  <c r="BB385" i="22"/>
  <c r="BJ289" i="22"/>
  <c r="BQ289" i="22" s="1"/>
  <c r="BB289" i="22"/>
  <c r="BR289" i="22" s="1"/>
  <c r="BJ410" i="22"/>
  <c r="BQ410" i="22" s="1"/>
  <c r="BB410" i="22"/>
  <c r="BJ266" i="22"/>
  <c r="BQ266" i="22" s="1"/>
  <c r="BB266" i="22"/>
  <c r="BJ236" i="22"/>
  <c r="BQ236" i="22" s="1"/>
  <c r="BB236" i="22"/>
  <c r="BJ201" i="22"/>
  <c r="BQ201" i="22" s="1"/>
  <c r="BB201" i="22"/>
  <c r="BJ110" i="22"/>
  <c r="BQ110" i="22" s="1"/>
  <c r="BB110" i="22"/>
  <c r="BR110" i="22" s="1"/>
  <c r="BJ123" i="22"/>
  <c r="BQ123" i="22" s="1"/>
  <c r="BB123" i="22"/>
  <c r="BJ107" i="22"/>
  <c r="BQ107" i="22" s="1"/>
  <c r="BB107" i="22"/>
  <c r="BJ109" i="22"/>
  <c r="BQ109" i="22" s="1"/>
  <c r="BB109" i="22"/>
  <c r="BR109" i="22" s="1"/>
  <c r="BJ353" i="22"/>
  <c r="BQ353" i="22" s="1"/>
  <c r="BB353" i="22"/>
  <c r="BR353" i="22" s="1"/>
  <c r="BJ331" i="22"/>
  <c r="BQ331" i="22" s="1"/>
  <c r="BB331" i="22"/>
  <c r="BJ434" i="22"/>
  <c r="BQ434" i="22" s="1"/>
  <c r="BB434" i="22"/>
  <c r="BJ73" i="22"/>
  <c r="BQ73" i="22" s="1"/>
  <c r="BB73" i="22"/>
  <c r="BR73" i="22" s="1"/>
  <c r="BJ486" i="22"/>
  <c r="BB486" i="22"/>
  <c r="BJ452" i="22"/>
  <c r="BQ452" i="22" s="1"/>
  <c r="BB452" i="22"/>
  <c r="BJ329" i="22"/>
  <c r="BQ329" i="22" s="1"/>
  <c r="BB329" i="22"/>
  <c r="BJ271" i="22"/>
  <c r="BQ271" i="22" s="1"/>
  <c r="BB271" i="22"/>
  <c r="BR271" i="22" s="1"/>
  <c r="BJ146" i="22"/>
  <c r="BQ146" i="22" s="1"/>
  <c r="BB146" i="22"/>
  <c r="BR146" i="22" s="1"/>
  <c r="BJ214" i="22"/>
  <c r="BQ214" i="22" s="1"/>
  <c r="BB214" i="22"/>
  <c r="BR214" i="22" s="1"/>
  <c r="BJ153" i="22"/>
  <c r="BQ153" i="22" s="1"/>
  <c r="BB153" i="22"/>
  <c r="BR153" i="22" s="1"/>
  <c r="BJ149" i="22"/>
  <c r="BQ149" i="22" s="1"/>
  <c r="BB149" i="22"/>
  <c r="BJ496" i="22"/>
  <c r="BQ496" i="22" s="1"/>
  <c r="BB496" i="22"/>
  <c r="BR496" i="22" s="1"/>
  <c r="BJ344" i="22"/>
  <c r="BQ344" i="22" s="1"/>
  <c r="BB344" i="22"/>
  <c r="BR344" i="22" s="1"/>
  <c r="BJ334" i="22"/>
  <c r="BQ334" i="22" s="1"/>
  <c r="BB334" i="22"/>
  <c r="BJ278" i="22"/>
  <c r="BQ278" i="22" s="1"/>
  <c r="BB278" i="22"/>
  <c r="BR278" i="22" s="1"/>
  <c r="BJ292" i="22"/>
  <c r="BQ292" i="22" s="1"/>
  <c r="BB292" i="22"/>
  <c r="BJ317" i="22"/>
  <c r="BQ317" i="22" s="1"/>
  <c r="BB317" i="22"/>
  <c r="BR317" i="22" s="1"/>
  <c r="BJ348" i="22"/>
  <c r="BQ348" i="22" s="1"/>
  <c r="BB348" i="22"/>
  <c r="BJ96" i="22"/>
  <c r="BQ96" i="22" s="1"/>
  <c r="BB96" i="22"/>
  <c r="BJ136" i="22"/>
  <c r="BQ136" i="22" s="1"/>
  <c r="BB136" i="22"/>
  <c r="BR136" i="22" s="1"/>
  <c r="BJ145" i="22"/>
  <c r="BQ145" i="22" s="1"/>
  <c r="BB145" i="22"/>
  <c r="BR145" i="22" s="1"/>
  <c r="BJ81" i="22"/>
  <c r="BQ81" i="22" s="1"/>
  <c r="BB81" i="22"/>
  <c r="BR81" i="22" s="1"/>
  <c r="BJ442" i="22"/>
  <c r="BQ442" i="22" s="1"/>
  <c r="BB442" i="22"/>
  <c r="BJ205" i="22"/>
  <c r="BQ205" i="22" s="1"/>
  <c r="BB205" i="22"/>
  <c r="BJ144" i="22"/>
  <c r="BQ144" i="22" s="1"/>
  <c r="BB144" i="22"/>
  <c r="BR144" i="22" s="1"/>
  <c r="BJ160" i="22"/>
  <c r="BQ160" i="22" s="1"/>
  <c r="BB160" i="22"/>
  <c r="BJ485" i="22"/>
  <c r="BQ485" i="22" s="1"/>
  <c r="BB485" i="22"/>
  <c r="BR485" i="22" s="1"/>
  <c r="BJ318" i="22"/>
  <c r="BQ318" i="22" s="1"/>
  <c r="BB318" i="22"/>
  <c r="BR318" i="22" s="1"/>
  <c r="BJ213" i="22"/>
  <c r="BQ213" i="22" s="1"/>
  <c r="BB213" i="22"/>
  <c r="BJ411" i="22"/>
  <c r="BB411" i="22"/>
  <c r="BJ135" i="22"/>
  <c r="BQ135" i="22" s="1"/>
  <c r="BB135" i="22"/>
  <c r="BR135" i="22" s="1"/>
  <c r="BJ101" i="22"/>
  <c r="BQ101" i="22" s="1"/>
  <c r="BB101" i="22"/>
  <c r="BJ457" i="22"/>
  <c r="BQ457" i="22" s="1"/>
  <c r="BB457" i="22"/>
  <c r="BQ456" i="22"/>
  <c r="BJ475" i="22"/>
  <c r="BQ475" i="22" s="1"/>
  <c r="BB475" i="22"/>
  <c r="BR475" i="22" s="1"/>
  <c r="BJ306" i="22"/>
  <c r="BQ306" i="22" s="1"/>
  <c r="BB306" i="22"/>
  <c r="BR306" i="22" s="1"/>
  <c r="BJ305" i="22"/>
  <c r="BQ305" i="22" s="1"/>
  <c r="BB305" i="22"/>
  <c r="BJ288" i="22"/>
  <c r="BQ288" i="22" s="1"/>
  <c r="BB288" i="22"/>
  <c r="BJ155" i="22"/>
  <c r="BQ155" i="22" s="1"/>
  <c r="BB155" i="22"/>
  <c r="BJ54" i="22"/>
  <c r="BQ54" i="22" s="1"/>
  <c r="BB54" i="22"/>
  <c r="BR54" i="22" s="1"/>
  <c r="BJ61" i="22"/>
  <c r="BQ61" i="22" s="1"/>
  <c r="BB61" i="22"/>
  <c r="BR61" i="22" s="1"/>
  <c r="BJ152" i="22"/>
  <c r="BQ152" i="22" s="1"/>
  <c r="BB152" i="22"/>
  <c r="BR152" i="22" s="1"/>
  <c r="BJ454" i="22"/>
  <c r="BQ454" i="22" s="1"/>
  <c r="BB454" i="22"/>
  <c r="BJ259" i="22"/>
  <c r="BQ259" i="22" s="1"/>
  <c r="BB259" i="22"/>
  <c r="BJ51" i="22"/>
  <c r="BQ51" i="22" s="1"/>
  <c r="BB51" i="22"/>
  <c r="BR51" i="22" s="1"/>
  <c r="BJ279" i="22"/>
  <c r="BQ279" i="22" s="1"/>
  <c r="BB279" i="22"/>
  <c r="BJ374" i="22"/>
  <c r="BQ374" i="22" s="1"/>
  <c r="BB374" i="22"/>
  <c r="BJ140" i="22"/>
  <c r="BQ140" i="22" s="1"/>
  <c r="BB140" i="22"/>
  <c r="BJ364" i="22"/>
  <c r="BQ364" i="22" s="1"/>
  <c r="BB364" i="22"/>
  <c r="BR364" i="22" s="1"/>
  <c r="BJ378" i="22"/>
  <c r="BQ378" i="22" s="1"/>
  <c r="BB378" i="22"/>
  <c r="BJ509" i="22"/>
  <c r="BQ509" i="22" s="1"/>
  <c r="BB509" i="22"/>
  <c r="BJ263" i="22"/>
  <c r="BQ263" i="22" s="1"/>
  <c r="BB263" i="22"/>
  <c r="BJ134" i="22"/>
  <c r="BQ134" i="22" s="1"/>
  <c r="BB134" i="22"/>
  <c r="BQ455" i="22"/>
  <c r="BJ467" i="22"/>
  <c r="BQ467" i="22" s="1"/>
  <c r="BB467" i="22"/>
  <c r="BJ450" i="22"/>
  <c r="BB450" i="22"/>
  <c r="BR450" i="22" s="1"/>
  <c r="BJ369" i="22"/>
  <c r="BQ369" i="22" s="1"/>
  <c r="BB369" i="22"/>
  <c r="BR369" i="22" s="1"/>
  <c r="BJ326" i="22"/>
  <c r="BQ326" i="22" s="1"/>
  <c r="BB326" i="22"/>
  <c r="BR326" i="22" s="1"/>
  <c r="BJ401" i="22"/>
  <c r="BQ401" i="22" s="1"/>
  <c r="BB401" i="22"/>
  <c r="BJ415" i="22"/>
  <c r="BQ415" i="22" s="1"/>
  <c r="BB415" i="22"/>
  <c r="BJ261" i="22"/>
  <c r="BQ261" i="22" s="1"/>
  <c r="BB261" i="22"/>
  <c r="BR261" i="22" s="1"/>
  <c r="BJ295" i="22"/>
  <c r="BQ295" i="22" s="1"/>
  <c r="BB295" i="22"/>
  <c r="BR295" i="22" s="1"/>
  <c r="BJ228" i="22"/>
  <c r="BQ228" i="22" s="1"/>
  <c r="BB228" i="22"/>
  <c r="BJ230" i="22"/>
  <c r="BQ230" i="22" s="1"/>
  <c r="BB230" i="22"/>
  <c r="BR230" i="22" s="1"/>
  <c r="BJ209" i="22"/>
  <c r="BQ209" i="22" s="1"/>
  <c r="BB209" i="22"/>
  <c r="BR209" i="22" s="1"/>
  <c r="BJ122" i="22"/>
  <c r="BQ122" i="22" s="1"/>
  <c r="BB122" i="22"/>
  <c r="BJ240" i="22"/>
  <c r="BQ240" i="22" s="1"/>
  <c r="BB240" i="22"/>
  <c r="BJ156" i="22"/>
  <c r="BQ156" i="22" s="1"/>
  <c r="BB156" i="22"/>
  <c r="BR156" i="22" s="1"/>
  <c r="BJ103" i="22"/>
  <c r="BQ103" i="22" s="1"/>
  <c r="BB103" i="22"/>
  <c r="BR103" i="22" s="1"/>
  <c r="BJ52" i="22"/>
  <c r="BQ52" i="22" s="1"/>
  <c r="BB52" i="22"/>
  <c r="BR52" i="22" s="1"/>
  <c r="BJ498" i="22"/>
  <c r="BQ498" i="22" s="1"/>
  <c r="BB498" i="22"/>
  <c r="BR498" i="22" s="1"/>
  <c r="BJ478" i="22"/>
  <c r="BB478" i="22"/>
  <c r="BR478" i="22" s="1"/>
  <c r="BJ111" i="22"/>
  <c r="BQ111" i="22" s="1"/>
  <c r="BB111" i="22"/>
  <c r="BR111" i="22" s="1"/>
  <c r="BJ159" i="22"/>
  <c r="BQ159" i="22" s="1"/>
  <c r="BB159" i="22"/>
  <c r="BR159" i="22" s="1"/>
  <c r="BJ403" i="22"/>
  <c r="BQ403" i="22" s="1"/>
  <c r="BB403" i="22"/>
  <c r="BJ470" i="22"/>
  <c r="BB470" i="22"/>
  <c r="BJ158" i="22"/>
  <c r="BQ158" i="22" s="1"/>
  <c r="BB158" i="22"/>
  <c r="BJ407" i="22"/>
  <c r="BQ407" i="22" s="1"/>
  <c r="BB407" i="22"/>
  <c r="BJ479" i="22"/>
  <c r="BQ479" i="22" s="1"/>
  <c r="BB479" i="22"/>
  <c r="BR479" i="22" s="1"/>
  <c r="BJ342" i="22"/>
  <c r="BQ342" i="22" s="1"/>
  <c r="BB342" i="22"/>
  <c r="BJ468" i="22"/>
  <c r="BQ468" i="22" s="1"/>
  <c r="BB468" i="22"/>
  <c r="BJ409" i="22"/>
  <c r="BQ409" i="22" s="1"/>
  <c r="BB409" i="22"/>
  <c r="BJ351" i="22"/>
  <c r="BQ351" i="22" s="1"/>
  <c r="BB351" i="22"/>
  <c r="BR351" i="22" s="1"/>
  <c r="BJ355" i="22"/>
  <c r="BQ355" i="22" s="1"/>
  <c r="BB355" i="22"/>
  <c r="BR355" i="22" s="1"/>
  <c r="BJ372" i="22"/>
  <c r="BQ372" i="22" s="1"/>
  <c r="BB372" i="22"/>
  <c r="BJ333" i="22"/>
  <c r="BQ333" i="22" s="1"/>
  <c r="BB333" i="22"/>
  <c r="BR333" i="22" s="1"/>
  <c r="BJ287" i="22"/>
  <c r="BQ287" i="22" s="1"/>
  <c r="BB287" i="22"/>
  <c r="BR287" i="22" s="1"/>
  <c r="BJ339" i="22"/>
  <c r="BQ339" i="22" s="1"/>
  <c r="BB339" i="22"/>
  <c r="BJ225" i="22"/>
  <c r="BQ225" i="22" s="1"/>
  <c r="BB225" i="22"/>
  <c r="BJ85" i="22"/>
  <c r="BQ85" i="22" s="1"/>
  <c r="BB85" i="22"/>
  <c r="BR85" i="22" s="1"/>
  <c r="BJ71" i="22"/>
  <c r="BQ71" i="22" s="1"/>
  <c r="BB71" i="22"/>
  <c r="BR71" i="22" s="1"/>
  <c r="BJ267" i="22"/>
  <c r="BQ267" i="22" s="1"/>
  <c r="BB267" i="22"/>
  <c r="BJ389" i="22"/>
  <c r="BQ389" i="22" s="1"/>
  <c r="BB389" i="22"/>
  <c r="BJ133" i="22"/>
  <c r="BQ133" i="22" s="1"/>
  <c r="BB133" i="22"/>
  <c r="BJ275" i="22"/>
  <c r="BQ275" i="22" s="1"/>
  <c r="BB275" i="22"/>
  <c r="BJ132" i="22"/>
  <c r="BQ132" i="22" s="1"/>
  <c r="BB132" i="22"/>
  <c r="BR132" i="22" s="1"/>
  <c r="BJ491" i="22"/>
  <c r="BQ491" i="22" s="1"/>
  <c r="BB491" i="22"/>
  <c r="BR491" i="22" s="1"/>
  <c r="BJ492" i="22"/>
  <c r="BQ492" i="22" s="1"/>
  <c r="BB492" i="22"/>
  <c r="BR492" i="22" s="1"/>
  <c r="BJ406" i="22"/>
  <c r="BB406" i="22"/>
  <c r="BJ86" i="22"/>
  <c r="BQ86" i="22" s="1"/>
  <c r="BB86" i="22"/>
  <c r="BR86" i="22" s="1"/>
  <c r="BJ382" i="22"/>
  <c r="BQ382" i="22" s="1"/>
  <c r="BB382" i="22"/>
  <c r="BJ89" i="22"/>
  <c r="BQ89" i="22" s="1"/>
  <c r="BB89" i="22"/>
  <c r="BR89" i="22" s="1"/>
  <c r="BJ508" i="22"/>
  <c r="BQ508" i="22" s="1"/>
  <c r="BB508" i="22"/>
  <c r="BJ507" i="22"/>
  <c r="BB507" i="22"/>
  <c r="BJ451" i="22"/>
  <c r="BQ451" i="22" s="1"/>
  <c r="BB451" i="22"/>
  <c r="BJ506" i="22"/>
  <c r="BQ506" i="22" s="1"/>
  <c r="BB506" i="22"/>
  <c r="BR506" i="22" s="1"/>
  <c r="BJ396" i="22"/>
  <c r="BQ396" i="22" s="1"/>
  <c r="BB396" i="22"/>
  <c r="BJ311" i="22"/>
  <c r="BQ311" i="22" s="1"/>
  <c r="BB311" i="22"/>
  <c r="BR311" i="22" s="1"/>
  <c r="BJ435" i="22"/>
  <c r="BB435" i="22"/>
  <c r="BR435" i="22" s="1"/>
  <c r="BJ399" i="22"/>
  <c r="BQ399" i="22" s="1"/>
  <c r="BB399" i="22"/>
  <c r="BR399" i="22" s="1"/>
  <c r="BJ356" i="22"/>
  <c r="BQ356" i="22" s="1"/>
  <c r="BB356" i="22"/>
  <c r="BJ277" i="22"/>
  <c r="BQ277" i="22" s="1"/>
  <c r="BB277" i="22"/>
  <c r="BJ231" i="22"/>
  <c r="BQ231" i="22" s="1"/>
  <c r="BB231" i="22"/>
  <c r="BJ74" i="22"/>
  <c r="BQ74" i="22" s="1"/>
  <c r="BB74" i="22"/>
  <c r="BJ87" i="22"/>
  <c r="BQ87" i="22" s="1"/>
  <c r="BB87" i="22"/>
  <c r="BR87" i="22" s="1"/>
  <c r="BJ69" i="22"/>
  <c r="BQ69" i="22" s="1"/>
  <c r="BB69" i="22"/>
  <c r="BJ431" i="22"/>
  <c r="BQ431" i="22" s="1"/>
  <c r="BB431" i="22"/>
  <c r="BJ388" i="22"/>
  <c r="BQ388" i="22" s="1"/>
  <c r="BB388" i="22"/>
  <c r="BR388" i="22" s="1"/>
  <c r="BJ320" i="22"/>
  <c r="BQ320" i="22" s="1"/>
  <c r="BB320" i="22"/>
  <c r="BJ92" i="22"/>
  <c r="BQ92" i="22" s="1"/>
  <c r="BB92" i="22"/>
  <c r="BR92" i="22" s="1"/>
  <c r="BJ418" i="22"/>
  <c r="BB418" i="22"/>
  <c r="BJ284" i="22"/>
  <c r="BQ284" i="22" s="1"/>
  <c r="BB284" i="22"/>
  <c r="BJ143" i="22"/>
  <c r="BQ143" i="22" s="1"/>
  <c r="BB143" i="22"/>
  <c r="BJ500" i="22"/>
  <c r="BB500" i="22"/>
  <c r="BJ428" i="22"/>
  <c r="BQ428" i="22" s="1"/>
  <c r="BJ176" i="22"/>
  <c r="BQ176" i="22" s="1"/>
  <c r="BJ255" i="22"/>
  <c r="BQ255" i="22" s="1"/>
  <c r="BJ357" i="22"/>
  <c r="BQ357" i="22" s="1"/>
  <c r="BJ248" i="22"/>
  <c r="BQ248" i="22" s="1"/>
  <c r="BJ247" i="22"/>
  <c r="BQ247" i="22" s="1"/>
  <c r="BJ183" i="22"/>
  <c r="BQ183" i="22" s="1"/>
  <c r="BJ173" i="22"/>
  <c r="BQ173" i="22" s="1"/>
  <c r="BJ243" i="22"/>
  <c r="BQ243" i="22" s="1"/>
  <c r="BJ181" i="22"/>
  <c r="BQ181" i="22" s="1"/>
  <c r="BJ171" i="22"/>
  <c r="BQ171" i="22" s="1"/>
  <c r="BJ192" i="22"/>
  <c r="BQ192" i="22" s="1"/>
  <c r="BJ177" i="22"/>
  <c r="BQ177" i="22" s="1"/>
  <c r="BJ241" i="22"/>
  <c r="BQ241" i="22" s="1"/>
  <c r="BR241" i="22"/>
  <c r="BQ150" i="22"/>
  <c r="BJ168" i="22"/>
  <c r="BQ168" i="22" s="1"/>
  <c r="BJ430" i="22"/>
  <c r="BQ430" i="22" s="1"/>
  <c r="BJ169" i="22"/>
  <c r="BQ169" i="22" s="1"/>
  <c r="BJ166" i="22"/>
  <c r="BQ166" i="22" s="1"/>
  <c r="BJ188" i="22"/>
  <c r="BQ188" i="22" s="1"/>
  <c r="BJ425" i="22"/>
  <c r="BQ425" i="22" s="1"/>
  <c r="BJ246" i="22"/>
  <c r="BQ246" i="22" s="1"/>
  <c r="BR246" i="22"/>
  <c r="BJ254" i="22"/>
  <c r="BQ254" i="22" s="1"/>
  <c r="BJ172" i="22"/>
  <c r="BQ172" i="22" s="1"/>
  <c r="BJ197" i="22"/>
  <c r="BQ197" i="22" s="1"/>
  <c r="BR361" i="22"/>
  <c r="BJ187" i="22"/>
  <c r="BQ187" i="22" s="1"/>
  <c r="BJ165" i="22"/>
  <c r="BQ165" i="22" s="1"/>
  <c r="BJ429" i="22"/>
  <c r="BQ429" i="22" s="1"/>
  <c r="BJ252" i="22"/>
  <c r="BQ252" i="22" s="1"/>
  <c r="BR252" i="22"/>
  <c r="BJ170" i="22"/>
  <c r="BQ170" i="22" s="1"/>
  <c r="BJ195" i="22"/>
  <c r="BQ195" i="22" s="1"/>
  <c r="BJ316" i="22"/>
  <c r="BQ316" i="22" s="1"/>
  <c r="BJ310" i="22"/>
  <c r="BQ310" i="22" s="1"/>
  <c r="BJ191" i="22"/>
  <c r="BQ191" i="22" s="1"/>
  <c r="BJ198" i="22"/>
  <c r="BQ198" i="22" s="1"/>
  <c r="BJ426" i="22"/>
  <c r="BJ180" i="22"/>
  <c r="BQ180" i="22" s="1"/>
  <c r="BJ194" i="22"/>
  <c r="BQ194" i="22" s="1"/>
  <c r="BJ250" i="22"/>
  <c r="BQ250" i="22" s="1"/>
  <c r="BJ257" i="22"/>
  <c r="BQ257" i="22" s="1"/>
  <c r="BJ190" i="22"/>
  <c r="BQ190" i="22" s="1"/>
  <c r="BJ196" i="22"/>
  <c r="BQ196" i="22" s="1"/>
  <c r="BJ189" i="22"/>
  <c r="BQ189" i="22" s="1"/>
  <c r="BJ174" i="22"/>
  <c r="BQ174" i="22" s="1"/>
  <c r="BJ427" i="22"/>
  <c r="BJ179" i="22"/>
  <c r="BQ179" i="22" s="1"/>
  <c r="BJ315" i="22"/>
  <c r="BQ315" i="22" s="1"/>
  <c r="BJ242" i="22"/>
  <c r="BQ242" i="22" s="1"/>
  <c r="BJ245" i="22"/>
  <c r="BQ245" i="22" s="1"/>
  <c r="BJ256" i="22"/>
  <c r="BQ256" i="22" s="1"/>
  <c r="BR256" i="22"/>
  <c r="BJ178" i="22"/>
  <c r="BQ178" i="22" s="1"/>
  <c r="BJ419" i="22"/>
  <c r="BJ361" i="22"/>
  <c r="BQ361" i="22" s="1"/>
  <c r="BJ251" i="22"/>
  <c r="BQ251" i="22" s="1"/>
  <c r="BJ422" i="22"/>
  <c r="BQ422" i="22" s="1"/>
  <c r="BJ185" i="22"/>
  <c r="BQ185" i="22" s="1"/>
  <c r="BJ244" i="22"/>
  <c r="BQ244" i="22" s="1"/>
  <c r="BJ424" i="22"/>
  <c r="BQ424" i="22" s="1"/>
  <c r="BR115" i="22"/>
  <c r="BQ302" i="22"/>
  <c r="BR120" i="22"/>
  <c r="BJ120" i="22"/>
  <c r="BQ120" i="22" s="1"/>
  <c r="BJ121" i="22"/>
  <c r="BQ121" i="22" s="1"/>
  <c r="BR118" i="22"/>
  <c r="BJ118" i="22"/>
  <c r="BQ118" i="22" s="1"/>
  <c r="BR117" i="22"/>
  <c r="BJ117" i="22"/>
  <c r="BQ117" i="22" s="1"/>
  <c r="BR116" i="22"/>
  <c r="BJ116" i="22"/>
  <c r="BQ116" i="22" s="1"/>
  <c r="BR114" i="22"/>
  <c r="BR84" i="22"/>
  <c r="BR171" i="22"/>
  <c r="BR243" i="22"/>
  <c r="BR244" i="22"/>
  <c r="BR316" i="22"/>
  <c r="BR172" i="22"/>
  <c r="BR165" i="22"/>
  <c r="BQ182" i="22"/>
  <c r="BR198" i="22"/>
  <c r="BR251" i="22"/>
  <c r="BQ270" i="22"/>
  <c r="BR194" i="22"/>
  <c r="BR257" i="22"/>
  <c r="BR121" i="22"/>
  <c r="BR242" i="22"/>
  <c r="BR190" i="22"/>
  <c r="BR196" i="22"/>
  <c r="BR169" i="22"/>
  <c r="BR178" i="22"/>
  <c r="BR357" i="22"/>
  <c r="BR166" i="22"/>
  <c r="BR176" i="22"/>
  <c r="BQ78" i="22"/>
  <c r="BQ258" i="22"/>
  <c r="BQ328" i="22"/>
  <c r="BG300" i="22"/>
  <c r="BG329" i="22"/>
  <c r="BG275" i="22"/>
  <c r="BE285" i="22"/>
  <c r="BR285" i="22" s="1"/>
  <c r="T514" i="30"/>
  <c r="O514" i="30"/>
  <c r="L514" i="30"/>
  <c r="BE513" i="30"/>
  <c r="BL513" i="30" s="1"/>
  <c r="BP513" i="30" s="1"/>
  <c r="BU513" i="30" s="1"/>
  <c r="BV513" i="30" s="1"/>
  <c r="BW513" i="30" s="1"/>
  <c r="BB513" i="30"/>
  <c r="O8" i="30"/>
  <c r="L8" i="30"/>
  <c r="H10" i="30"/>
  <c r="I10" i="30" s="1"/>
  <c r="J9" i="30"/>
  <c r="H516" i="30"/>
  <c r="I516" i="30" s="1"/>
  <c r="J515" i="30"/>
  <c r="BE414" i="22"/>
  <c r="BG374" i="22"/>
  <c r="BE341" i="22"/>
  <c r="BR341" i="22" s="1"/>
  <c r="BG201" i="22"/>
  <c r="BG337" i="22"/>
  <c r="BG454" i="22"/>
  <c r="BG486" i="22"/>
  <c r="BE456" i="22"/>
  <c r="BG499" i="22"/>
  <c r="BG82" i="22"/>
  <c r="BG80" i="22"/>
  <c r="BG291" i="22"/>
  <c r="BG493" i="22"/>
  <c r="BG279" i="22"/>
  <c r="BE376" i="22"/>
  <c r="BR376" i="22" s="1"/>
  <c r="BE4" i="22"/>
  <c r="BR4" i="22" s="1"/>
  <c r="BE62" i="22"/>
  <c r="BR62" i="22" s="1"/>
  <c r="BG84" i="22"/>
  <c r="BG470" i="22"/>
  <c r="BG124" i="22"/>
  <c r="BG282" i="22"/>
  <c r="BE421" i="22"/>
  <c r="BR192" i="22"/>
  <c r="BG100" i="22"/>
  <c r="BE392" i="22"/>
  <c r="BR392" i="22" s="1"/>
  <c r="BG442" i="22"/>
  <c r="BG382" i="22"/>
  <c r="BQ362" i="22"/>
  <c r="BE465" i="22"/>
  <c r="BG411" i="22"/>
  <c r="BE375" i="22"/>
  <c r="BR375" i="22" s="1"/>
  <c r="BE397" i="22"/>
  <c r="BG245" i="22"/>
  <c r="BG140" i="22"/>
  <c r="BE309" i="22"/>
  <c r="BR309" i="22" s="1"/>
  <c r="BG183" i="22"/>
  <c r="BE80" i="22"/>
  <c r="BG402" i="22"/>
  <c r="BG307" i="22"/>
  <c r="BG262" i="22"/>
  <c r="BE440" i="22"/>
  <c r="BE82" i="22"/>
  <c r="BE64" i="22"/>
  <c r="BR64" i="22" s="1"/>
  <c r="BG290" i="22"/>
  <c r="BR195" i="22"/>
  <c r="BQ359" i="22"/>
  <c r="BE8" i="22"/>
  <c r="BR8" i="22" s="1"/>
  <c r="BE5" i="22"/>
  <c r="BR5" i="22" s="1"/>
  <c r="BE472" i="22"/>
  <c r="BE423" i="22"/>
  <c r="BE332" i="22"/>
  <c r="BR332" i="22" s="1"/>
  <c r="BE382" i="22"/>
  <c r="BG508" i="22"/>
  <c r="BG405" i="22"/>
  <c r="BE290" i="22"/>
  <c r="BG500" i="22"/>
  <c r="BG57" i="22"/>
  <c r="BE383" i="22"/>
  <c r="BR383" i="22" s="1"/>
  <c r="K512" i="22"/>
  <c r="L512" i="22" s="1"/>
  <c r="K513" i="22" s="1"/>
  <c r="L513" i="22" s="1"/>
  <c r="BG434" i="22"/>
  <c r="BG373" i="22"/>
  <c r="BG75" i="22"/>
  <c r="BG221" i="22"/>
  <c r="BG158" i="22"/>
  <c r="BG72" i="22"/>
  <c r="BE330" i="22"/>
  <c r="BR330" i="22" s="1"/>
  <c r="BG494" i="22"/>
  <c r="BG267" i="22"/>
  <c r="BE202" i="22"/>
  <c r="BR202" i="22" s="1"/>
  <c r="BG59" i="22"/>
  <c r="BG168" i="22"/>
  <c r="BE258" i="22"/>
  <c r="BR258" i="22" s="1"/>
  <c r="BG66" i="22"/>
  <c r="BG98" i="22"/>
  <c r="BG406" i="22"/>
  <c r="BG149" i="22"/>
  <c r="BE75" i="22"/>
  <c r="BG446" i="22"/>
  <c r="BG478" i="22"/>
  <c r="BG99" i="22"/>
  <c r="BE215" i="22"/>
  <c r="BR215" i="22" s="1"/>
  <c r="BE6" i="22"/>
  <c r="BR6" i="22" s="1"/>
  <c r="BG431" i="22"/>
  <c r="BG353" i="22"/>
  <c r="BG195" i="22"/>
  <c r="BG180" i="22"/>
  <c r="BG426" i="22"/>
  <c r="BG310" i="22"/>
  <c r="BQ363" i="22"/>
  <c r="BE402" i="22"/>
  <c r="BG304" i="22"/>
  <c r="BR362" i="22"/>
  <c r="BQ354" i="22"/>
  <c r="BQ335" i="22"/>
  <c r="BQ128" i="22"/>
  <c r="BR174" i="22"/>
  <c r="BQ232" i="22"/>
  <c r="BE325" i="22"/>
  <c r="BR325" i="22" s="1"/>
  <c r="BG187" i="22"/>
  <c r="BG444" i="22"/>
  <c r="BG213" i="22"/>
  <c r="BG157" i="22"/>
  <c r="BE7" i="22"/>
  <c r="BR7" i="22" s="1"/>
  <c r="BG409" i="22"/>
  <c r="BG321" i="22"/>
  <c r="BQ312" i="22"/>
  <c r="BG229" i="22"/>
  <c r="BE237" i="22"/>
  <c r="BR237" i="22" s="1"/>
  <c r="BE239" i="22"/>
  <c r="BR239" i="22" s="1"/>
  <c r="BG274" i="22"/>
  <c r="BG169" i="22"/>
  <c r="BE233" i="22"/>
  <c r="BR233" i="22" s="1"/>
  <c r="BE186" i="22"/>
  <c r="BR186" i="22" s="1"/>
  <c r="BE102" i="22"/>
  <c r="BR102" i="22" s="1"/>
  <c r="BG389" i="22"/>
  <c r="BG166" i="22"/>
  <c r="BG378" i="22"/>
  <c r="BG452" i="22"/>
  <c r="BE211" i="22"/>
  <c r="BR211" i="22" s="1"/>
  <c r="BG212" i="22"/>
  <c r="BG459" i="22"/>
  <c r="BG364" i="22"/>
  <c r="BG398" i="22"/>
  <c r="BG111" i="22"/>
  <c r="BE279" i="22"/>
  <c r="BE294" i="22"/>
  <c r="BR294" i="22" s="1"/>
  <c r="BE100" i="22"/>
  <c r="BG181" i="22"/>
  <c r="BG417" i="22"/>
  <c r="BE232" i="22"/>
  <c r="BR232" i="22" s="1"/>
  <c r="BG379" i="22"/>
  <c r="BE354" i="22"/>
  <c r="BR354" i="22" s="1"/>
  <c r="BE270" i="22"/>
  <c r="BR270" i="22" s="1"/>
  <c r="BQ319" i="22"/>
  <c r="BE302" i="22"/>
  <c r="BR302" i="22" s="1"/>
  <c r="BG173" i="22"/>
  <c r="BG352" i="22"/>
  <c r="BG217" i="22"/>
  <c r="BG386" i="22"/>
  <c r="BG491" i="22"/>
  <c r="BG139" i="22"/>
  <c r="BG391" i="22"/>
  <c r="BG263" i="22"/>
  <c r="BG179" i="22"/>
  <c r="BG497" i="22"/>
  <c r="BG372" i="22"/>
  <c r="BG404" i="22"/>
  <c r="BG368" i="22"/>
  <c r="BG268" i="22"/>
  <c r="BG134" i="22"/>
  <c r="BG65" i="22"/>
  <c r="BE78" i="22"/>
  <c r="BR78" i="22" s="1"/>
  <c r="BG362" i="22"/>
  <c r="BG247" i="22"/>
  <c r="BE282" i="22"/>
  <c r="BG108" i="22"/>
  <c r="BG133" i="22"/>
  <c r="BG349" i="22"/>
  <c r="BG256" i="22"/>
  <c r="BE389" i="22"/>
  <c r="BG381" i="22"/>
  <c r="BG266" i="22"/>
  <c r="BG248" i="22"/>
  <c r="BG155" i="22"/>
  <c r="BG132" i="22"/>
  <c r="BG437" i="22"/>
  <c r="BG327" i="22"/>
  <c r="BE3" i="22"/>
  <c r="BR3" i="22" s="1"/>
  <c r="BG430" i="22"/>
  <c r="BG225" i="22"/>
  <c r="BR363" i="22"/>
  <c r="BG226" i="22"/>
  <c r="BG90" i="22"/>
  <c r="BG159" i="22"/>
  <c r="BG260" i="22"/>
  <c r="BG87" i="22"/>
  <c r="BG106" i="22"/>
  <c r="BG318" i="22"/>
  <c r="BG73" i="22"/>
  <c r="BE434" i="22"/>
  <c r="BG419" i="22"/>
  <c r="BG292" i="22"/>
  <c r="BG185" i="22"/>
  <c r="BG453" i="22"/>
  <c r="BG68" i="22"/>
  <c r="BG394" i="22"/>
  <c r="BG305" i="22"/>
  <c r="BG277" i="22"/>
  <c r="BG297" i="22"/>
  <c r="BE227" i="22"/>
  <c r="BR227" i="22" s="1"/>
  <c r="BG360" i="22"/>
  <c r="BG223" i="22"/>
  <c r="BG144" i="22"/>
  <c r="BG86" i="22"/>
  <c r="BG313" i="22"/>
  <c r="BG219" i="22"/>
  <c r="BG447" i="22"/>
  <c r="BG457" i="22"/>
  <c r="BG199" i="22"/>
  <c r="BG51" i="22"/>
  <c r="BG461" i="22"/>
  <c r="BE461" i="22"/>
  <c r="BG116" i="22"/>
  <c r="BE438" i="22"/>
  <c r="BG438" i="22"/>
  <c r="BG401" i="22"/>
  <c r="BE401" i="22"/>
  <c r="BE238" i="22"/>
  <c r="BR238" i="22" s="1"/>
  <c r="BG439" i="22"/>
  <c r="BG315" i="22"/>
  <c r="BE315" i="22"/>
  <c r="BG510" i="22"/>
  <c r="BG387" i="22"/>
  <c r="BG246" i="22"/>
  <c r="BG441" i="22"/>
  <c r="BG222" i="22"/>
  <c r="BG188" i="22"/>
  <c r="BE188" i="22"/>
  <c r="BG191" i="22"/>
  <c r="BE191" i="22"/>
  <c r="BG58" i="22"/>
  <c r="BG416" i="22"/>
  <c r="BG498" i="22"/>
  <c r="BG400" i="22"/>
  <c r="BG104" i="22"/>
  <c r="BG445" i="22"/>
  <c r="BG122" i="22"/>
  <c r="BG476" i="22"/>
  <c r="BG490" i="22"/>
  <c r="BE359" i="22"/>
  <c r="BR359" i="22" s="1"/>
  <c r="BG359" i="22"/>
  <c r="BG433" i="22"/>
  <c r="BE433" i="22"/>
  <c r="BG244" i="22"/>
  <c r="BG230" i="22"/>
  <c r="BG289" i="22"/>
  <c r="BG509" i="22"/>
  <c r="BG306" i="22"/>
  <c r="BG308" i="22"/>
  <c r="BG55" i="22"/>
  <c r="BG214" i="22"/>
  <c r="BG287" i="22"/>
  <c r="BG259" i="22"/>
  <c r="BE259" i="22"/>
  <c r="BG53" i="22"/>
  <c r="BG97" i="22"/>
  <c r="BE457" i="22"/>
  <c r="BG338" i="22"/>
  <c r="BG107" i="22"/>
  <c r="BG415" i="22"/>
  <c r="BE415" i="22"/>
  <c r="BG380" i="22"/>
  <c r="BE380" i="22"/>
  <c r="BG390" i="22"/>
  <c r="BG346" i="22"/>
  <c r="BE346" i="22"/>
  <c r="BG425" i="22"/>
  <c r="BG204" i="22"/>
  <c r="BE204" i="22"/>
  <c r="BG284" i="22"/>
  <c r="BE284" i="22"/>
  <c r="BG399" i="22"/>
  <c r="BG502" i="22"/>
  <c r="BE189" i="22"/>
  <c r="BR189" i="22" s="1"/>
  <c r="BG189" i="22"/>
  <c r="BG384" i="22"/>
  <c r="BG322" i="22"/>
  <c r="BE205" i="22"/>
  <c r="BG205" i="22"/>
  <c r="BG293" i="22"/>
  <c r="BG151" i="22"/>
  <c r="BG156" i="22"/>
  <c r="BG449" i="22"/>
  <c r="BE449" i="22"/>
  <c r="BG253" i="22"/>
  <c r="BE253" i="22"/>
  <c r="BR253" i="22" s="1"/>
  <c r="BJ501" i="22"/>
  <c r="BQ501" i="22" s="1"/>
  <c r="BG501" i="22"/>
  <c r="BE179" i="22"/>
  <c r="BR179" i="22" s="1"/>
  <c r="BG469" i="22"/>
  <c r="BE469" i="22"/>
  <c r="BG356" i="22"/>
  <c r="BE356" i="22"/>
  <c r="BE512" i="22"/>
  <c r="BG485" i="22"/>
  <c r="BG196" i="22"/>
  <c r="BG210" i="22"/>
  <c r="BG504" i="22"/>
  <c r="BG395" i="22"/>
  <c r="BG177" i="22"/>
  <c r="BG314" i="22"/>
  <c r="BE314" i="22"/>
  <c r="BG464" i="22"/>
  <c r="BG257" i="22"/>
  <c r="BG350" i="22"/>
  <c r="BE334" i="22"/>
  <c r="BG334" i="22"/>
  <c r="BG477" i="22"/>
  <c r="BG85" i="22"/>
  <c r="BG242" i="22"/>
  <c r="BG333" i="22"/>
  <c r="BG278" i="22"/>
  <c r="BG172" i="22"/>
  <c r="BG67" i="22"/>
  <c r="BE67" i="22"/>
  <c r="BG479" i="22"/>
  <c r="BG320" i="22"/>
  <c r="BG69" i="22"/>
  <c r="BE69" i="22"/>
  <c r="BG121" i="22"/>
  <c r="BG365" i="22"/>
  <c r="BG505" i="22"/>
  <c r="BG506" i="22"/>
  <c r="BG269" i="22"/>
  <c r="BE269" i="22"/>
  <c r="BG251" i="22"/>
  <c r="BE343" i="22"/>
  <c r="BG343" i="22"/>
  <c r="BG153" i="22"/>
  <c r="BG311" i="22"/>
  <c r="BG194" i="22"/>
  <c r="BG143" i="22"/>
  <c r="BE143" i="22"/>
  <c r="BG428" i="22"/>
  <c r="BG410" i="22"/>
  <c r="BG234" i="22"/>
  <c r="BG272" i="22"/>
  <c r="BG207" i="22"/>
  <c r="BG54" i="22"/>
  <c r="BG369" i="22"/>
  <c r="BE320" i="22"/>
  <c r="BG96" i="22"/>
  <c r="BG344" i="22"/>
  <c r="BG355" i="22"/>
  <c r="BE575" i="22"/>
  <c r="BG175" i="22"/>
  <c r="BE175" i="22"/>
  <c r="BR175" i="22" s="1"/>
  <c r="BG503" i="22"/>
  <c r="BG298" i="22"/>
  <c r="BG326" i="22"/>
  <c r="BE170" i="22"/>
  <c r="BG170" i="22"/>
  <c r="BG317" i="22"/>
  <c r="BG129" i="22"/>
  <c r="BG128" i="22"/>
  <c r="BE128" i="22"/>
  <c r="BR128" i="22" s="1"/>
  <c r="BG231" i="22"/>
  <c r="BE551" i="22"/>
  <c r="BE576" i="22"/>
  <c r="BG393" i="22"/>
  <c r="BG254" i="22"/>
  <c r="BE254" i="22"/>
  <c r="BG190" i="22"/>
  <c r="BG347" i="22"/>
  <c r="BE347" i="22"/>
  <c r="BR347" i="22" s="1"/>
  <c r="BG142" i="22"/>
  <c r="BE142" i="22"/>
  <c r="BE250" i="22"/>
  <c r="BG250" i="22"/>
  <c r="BG264" i="22"/>
  <c r="BG286" i="22"/>
  <c r="BG52" i="22"/>
  <c r="BG110" i="22"/>
  <c r="BG252" i="22"/>
  <c r="BG146" i="22"/>
  <c r="BG451" i="22"/>
  <c r="BE451" i="22"/>
  <c r="BG342" i="22"/>
  <c r="BG324" i="22"/>
  <c r="BG366" i="22"/>
  <c r="BG203" i="22"/>
  <c r="BG197" i="22"/>
  <c r="BG296" i="22"/>
  <c r="BG228" i="22"/>
  <c r="BG141" i="22"/>
  <c r="BG63" i="22"/>
  <c r="BE562" i="22"/>
  <c r="BE538" i="22"/>
  <c r="BG377" i="22"/>
  <c r="BG147" i="22"/>
  <c r="BG496" i="22"/>
  <c r="BG125" i="22"/>
  <c r="BG220" i="22"/>
  <c r="BE220" i="22"/>
  <c r="BG357" i="22"/>
  <c r="BG135" i="22"/>
  <c r="BG351" i="22"/>
  <c r="BG176" i="22"/>
  <c r="BE123" i="22"/>
  <c r="BG123" i="22"/>
  <c r="BG361" i="22"/>
  <c r="BE193" i="22"/>
  <c r="BR193" i="22" s="1"/>
  <c r="BG193" i="22"/>
  <c r="BG61" i="22"/>
  <c r="BG241" i="22"/>
  <c r="BG77" i="22"/>
  <c r="BG255" i="22"/>
  <c r="BE255" i="22"/>
  <c r="BR255" i="22" s="1"/>
  <c r="BG70" i="22"/>
  <c r="BE560" i="22"/>
  <c r="BG436" i="22"/>
  <c r="BE459" i="22"/>
  <c r="BE372" i="22"/>
  <c r="BE263" i="22"/>
  <c r="BG138" i="22"/>
  <c r="BE21" i="22"/>
  <c r="BE584" i="22"/>
  <c r="BG407" i="22"/>
  <c r="BE522" i="22"/>
  <c r="BG495" i="22"/>
  <c r="BG367" i="22"/>
  <c r="BG137" i="22"/>
  <c r="BG109" i="22"/>
  <c r="BG429" i="22"/>
  <c r="BG388" i="22"/>
  <c r="BG160" i="22"/>
  <c r="BE160" i="22"/>
  <c r="BG295" i="22"/>
  <c r="BE335" i="22"/>
  <c r="BR335" i="22" s="1"/>
  <c r="BG335" i="22"/>
  <c r="BG432" i="22"/>
  <c r="BE83" i="22"/>
  <c r="BG83" i="22"/>
  <c r="BG105" i="22"/>
  <c r="BG206" i="22"/>
  <c r="BG165" i="22"/>
  <c r="BG492" i="22"/>
  <c r="BE94" i="22"/>
  <c r="BR94" i="22" s="1"/>
  <c r="BG94" i="22"/>
  <c r="BG345" i="22"/>
  <c r="BE345" i="22"/>
  <c r="BR345" i="22" s="1"/>
  <c r="BG340" i="22"/>
  <c r="BG154" i="22"/>
  <c r="BG163" i="22"/>
  <c r="BG103" i="22"/>
  <c r="BG208" i="22"/>
  <c r="BG424" i="22"/>
  <c r="BG164" i="22"/>
  <c r="BG462" i="22"/>
  <c r="BG281" i="22"/>
  <c r="BE360" i="22"/>
  <c r="BR360" i="22" s="1"/>
  <c r="BG235" i="22"/>
  <c r="BG74" i="22"/>
  <c r="BG403" i="22"/>
  <c r="BE403" i="22"/>
  <c r="BE579" i="22"/>
  <c r="BG483" i="22"/>
  <c r="BG475" i="22"/>
  <c r="BG363" i="22"/>
  <c r="BG348" i="22"/>
  <c r="BE348" i="22"/>
  <c r="BG261" i="22"/>
  <c r="BG435" i="22"/>
  <c r="BG323" i="22"/>
  <c r="BG174" i="22"/>
  <c r="BG152" i="22"/>
  <c r="BG336" i="22"/>
  <c r="BG224" i="22"/>
  <c r="BE45" i="22"/>
  <c r="BG271" i="22"/>
  <c r="BE50" i="22"/>
  <c r="BG339" i="22"/>
  <c r="BG412" i="22"/>
  <c r="BG236" i="22"/>
  <c r="BE225" i="22"/>
  <c r="BE29" i="22"/>
  <c r="BG489" i="22"/>
  <c r="BG466" i="22"/>
  <c r="BG443" i="22"/>
  <c r="BG481" i="22"/>
  <c r="BG127" i="22"/>
  <c r="BE127" i="22"/>
  <c r="BG95" i="22"/>
  <c r="BG276" i="22"/>
  <c r="BG131" i="22"/>
  <c r="BG81" i="22"/>
  <c r="BG89" i="22"/>
  <c r="BG171" i="22"/>
  <c r="BG136" i="22"/>
  <c r="BG130" i="22"/>
  <c r="BG118" i="22"/>
  <c r="BG280" i="22"/>
  <c r="BE231" i="22"/>
  <c r="BG120" i="22"/>
  <c r="BG370" i="22"/>
  <c r="BE370" i="22"/>
  <c r="BG468" i="22"/>
  <c r="BE517" i="22"/>
  <c r="BG474" i="22"/>
  <c r="BG396" i="22"/>
  <c r="BG93" i="22"/>
  <c r="BG209" i="22"/>
  <c r="BG265" i="22"/>
  <c r="BG450" i="22"/>
  <c r="BG301" i="22"/>
  <c r="BG126" i="22"/>
  <c r="BE126" i="22"/>
  <c r="BR126" i="22" s="1"/>
  <c r="BG448" i="22"/>
  <c r="BG507" i="22"/>
  <c r="BG316" i="22"/>
  <c r="BG92" i="22"/>
  <c r="BG145" i="22"/>
  <c r="BG91" i="22"/>
  <c r="BG192" i="22"/>
  <c r="BG299" i="22"/>
  <c r="BE299" i="22"/>
  <c r="BR299" i="22" s="1"/>
  <c r="BE555" i="22"/>
  <c r="BE463" i="22"/>
  <c r="BG463" i="22"/>
  <c r="BE427" i="22"/>
  <c r="BR427" i="22" s="1"/>
  <c r="BG427" i="22"/>
  <c r="BG467" i="22"/>
  <c r="BE467" i="22"/>
  <c r="BG482" i="22"/>
  <c r="BG178" i="22"/>
  <c r="BG198" i="22"/>
  <c r="BG422" i="22"/>
  <c r="BG303" i="22"/>
  <c r="BE303" i="22"/>
  <c r="BG88" i="22"/>
  <c r="BG79" i="22"/>
  <c r="BG161" i="22"/>
  <c r="BG240" i="22"/>
  <c r="BE240" i="22"/>
  <c r="BG71" i="22"/>
  <c r="BG418" i="22"/>
  <c r="BE418" i="22"/>
  <c r="BG385" i="22"/>
  <c r="BE385" i="22"/>
  <c r="BG413" i="22"/>
  <c r="BG101" i="22"/>
  <c r="BE101" i="22"/>
  <c r="BG331" i="22"/>
  <c r="BE331" i="22"/>
  <c r="BE288" i="22"/>
  <c r="BG288" i="22"/>
  <c r="BG243" i="22"/>
  <c r="BG273" i="22"/>
  <c r="BE56" i="22"/>
  <c r="BG56" i="22"/>
  <c r="BG60" i="22"/>
  <c r="BG162" i="22"/>
  <c r="BG117" i="22"/>
  <c r="BE182" i="22"/>
  <c r="BR182" i="22" s="1"/>
  <c r="V511" i="22"/>
  <c r="BB511" i="22" s="1"/>
  <c r="Q511" i="22"/>
  <c r="P511" i="22"/>
  <c r="BE248" i="22"/>
  <c r="BR248" i="22" s="1"/>
  <c r="BE134" i="22"/>
  <c r="BE573" i="22"/>
  <c r="BE455" i="22"/>
  <c r="BE471" i="22"/>
  <c r="BE437" i="22"/>
  <c r="BE379" i="22"/>
  <c r="BQ341" i="22"/>
  <c r="BE338" i="22"/>
  <c r="BQ200" i="22"/>
  <c r="BE181" i="22"/>
  <c r="BE213" i="22"/>
  <c r="BE218" i="22"/>
  <c r="BR218" i="22" s="1"/>
  <c r="BE245" i="22"/>
  <c r="BE96" i="22"/>
  <c r="BE150" i="22"/>
  <c r="BR150" i="22" s="1"/>
  <c r="BQ119" i="22"/>
  <c r="BE155" i="22"/>
  <c r="BE66" i="22"/>
  <c r="BE217" i="22"/>
  <c r="BE148" i="22"/>
  <c r="BR148" i="22" s="1"/>
  <c r="BE72" i="22"/>
  <c r="BE532" i="22"/>
  <c r="BE519" i="22"/>
  <c r="BE518" i="22"/>
  <c r="BQ375" i="22"/>
  <c r="BQ392" i="22"/>
  <c r="BE324" i="22"/>
  <c r="BE249" i="22"/>
  <c r="BE97" i="22"/>
  <c r="BE138" i="22"/>
  <c r="BE107" i="22"/>
  <c r="BQ112" i="22"/>
  <c r="BQ114" i="22"/>
  <c r="BE46" i="22"/>
  <c r="Q4" i="22"/>
  <c r="P4" i="22"/>
  <c r="BE275" i="22"/>
  <c r="BE201" i="22"/>
  <c r="BQ325" i="22"/>
  <c r="BE185" i="22"/>
  <c r="BE37" i="22"/>
  <c r="BE90" i="22"/>
  <c r="M5" i="22"/>
  <c r="T5" i="22" s="1"/>
  <c r="K6" i="22"/>
  <c r="L6" i="22" s="1"/>
  <c r="BE140" i="22"/>
  <c r="BE436" i="22"/>
  <c r="BE539" i="22"/>
  <c r="BE524" i="22"/>
  <c r="BE313" i="22"/>
  <c r="BE581" i="22"/>
  <c r="BE536" i="22"/>
  <c r="BE408" i="22"/>
  <c r="BE291" i="22"/>
  <c r="BE187" i="22"/>
  <c r="BR177" i="22"/>
  <c r="BE226" i="22"/>
  <c r="BE141" i="22"/>
  <c r="BE307" i="22"/>
  <c r="BE203" i="22"/>
  <c r="BQ294" i="22"/>
  <c r="BE554" i="22"/>
  <c r="BE374" i="22"/>
  <c r="BE528" i="22"/>
  <c r="BE371" i="22"/>
  <c r="BR371" i="22" s="1"/>
  <c r="BE419" i="22"/>
  <c r="BR419" i="22" s="1"/>
  <c r="BE329" i="22"/>
  <c r="BE327" i="22"/>
  <c r="BE381" i="22"/>
  <c r="BQ376" i="22"/>
  <c r="BE167" i="22"/>
  <c r="BR167" i="22" s="1"/>
  <c r="BE228" i="22"/>
  <c r="BE133" i="22"/>
  <c r="BE108" i="22"/>
  <c r="BE444" i="22"/>
  <c r="BE373" i="22"/>
  <c r="BE577" i="22"/>
  <c r="BE549" i="22"/>
  <c r="BE556" i="22"/>
  <c r="BE520" i="22"/>
  <c r="BR424" i="22"/>
  <c r="BE310" i="22"/>
  <c r="BE319" i="22"/>
  <c r="BR319" i="22" s="1"/>
  <c r="BQ360" i="22"/>
  <c r="BE168" i="22"/>
  <c r="BE200" i="22"/>
  <c r="BR200" i="22" s="1"/>
  <c r="BE124" i="22"/>
  <c r="BE38" i="22"/>
  <c r="BE112" i="22"/>
  <c r="BR112" i="22" s="1"/>
  <c r="BE180" i="22"/>
  <c r="BE65" i="22"/>
  <c r="BE183" i="22"/>
  <c r="BE541" i="22"/>
  <c r="BE513" i="22"/>
  <c r="BE378" i="22"/>
  <c r="BR501" i="22"/>
  <c r="BE406" i="22"/>
  <c r="BE300" i="22"/>
  <c r="BE236" i="22"/>
  <c r="BE292" i="22"/>
  <c r="BE566" i="22"/>
  <c r="BE523" i="22"/>
  <c r="BE542" i="22"/>
  <c r="BE578" i="22"/>
  <c r="BE537" i="22"/>
  <c r="BE515" i="22"/>
  <c r="BE470" i="22"/>
  <c r="BE337" i="22"/>
  <c r="BE321" i="22"/>
  <c r="BE268" i="22"/>
  <c r="BE262" i="22"/>
  <c r="BQ113" i="22"/>
  <c r="BE74" i="22"/>
  <c r="BE411" i="22"/>
  <c r="BE352" i="22"/>
  <c r="BE514" i="22"/>
  <c r="BE585" i="22"/>
  <c r="BE546" i="22"/>
  <c r="BE533" i="22"/>
  <c r="BE574" i="22"/>
  <c r="BE529" i="22"/>
  <c r="BE409" i="22"/>
  <c r="BE216" i="22"/>
  <c r="BR216" i="22" s="1"/>
  <c r="BE540" i="22"/>
  <c r="BE525" i="22"/>
  <c r="BE558" i="22"/>
  <c r="BE394" i="22"/>
  <c r="BE280" i="22"/>
  <c r="BE283" i="22"/>
  <c r="BR283" i="22" s="1"/>
  <c r="BQ238" i="22"/>
  <c r="BE212" i="22"/>
  <c r="BE158" i="22"/>
  <c r="BE122" i="22"/>
  <c r="BE76" i="22"/>
  <c r="BR76" i="22" s="1"/>
  <c r="BE59" i="22"/>
  <c r="BE452" i="22"/>
  <c r="BE547" i="22"/>
  <c r="BE442" i="22"/>
  <c r="BE297" i="22"/>
  <c r="BE521" i="22"/>
  <c r="BE454" i="22"/>
  <c r="BE462" i="22"/>
  <c r="BE305" i="22"/>
  <c r="BE277" i="22"/>
  <c r="BE267" i="22"/>
  <c r="BE219" i="22"/>
  <c r="BE229" i="22"/>
  <c r="BE296" i="22"/>
  <c r="BE139" i="22"/>
  <c r="BE281" i="22"/>
  <c r="BE458" i="22"/>
  <c r="BE426" i="22"/>
  <c r="BE339" i="22"/>
  <c r="BE412" i="22"/>
  <c r="BE342" i="22"/>
  <c r="BE366" i="22"/>
  <c r="BE328" i="22"/>
  <c r="BR328" i="22" s="1"/>
  <c r="BE197" i="22"/>
  <c r="BR197" i="22" s="1"/>
  <c r="BE266" i="22"/>
  <c r="BE149" i="22"/>
  <c r="BE173" i="22"/>
  <c r="BE548" i="22"/>
  <c r="BE99" i="22"/>
  <c r="BE157" i="22"/>
  <c r="BE63" i="22"/>
  <c r="BE405" i="22"/>
  <c r="BE557" i="22"/>
  <c r="BE552" i="22"/>
  <c r="BE420" i="22"/>
  <c r="BE312" i="22"/>
  <c r="BR312" i="22" s="1"/>
  <c r="BE247" i="22"/>
  <c r="BE184" i="22"/>
  <c r="BR184" i="22" s="1"/>
  <c r="BE235" i="22"/>
  <c r="BE36" i="22"/>
  <c r="BR407" i="22" l="1"/>
  <c r="BQ448" i="22"/>
  <c r="BQ470" i="22"/>
  <c r="BQ411" i="22"/>
  <c r="BR508" i="22"/>
  <c r="BQ459" i="22"/>
  <c r="BQ446" i="22"/>
  <c r="BQ426" i="22"/>
  <c r="BR431" i="22"/>
  <c r="BR410" i="22"/>
  <c r="BR396" i="22"/>
  <c r="BR443" i="22"/>
  <c r="BQ469" i="22"/>
  <c r="BQ439" i="22"/>
  <c r="BQ427" i="22"/>
  <c r="BR417" i="22"/>
  <c r="BQ484" i="22"/>
  <c r="BR420" i="22"/>
  <c r="BR487" i="22"/>
  <c r="BQ406" i="22"/>
  <c r="BQ453" i="22"/>
  <c r="BQ419" i="22"/>
  <c r="BR484" i="22"/>
  <c r="BR468" i="22"/>
  <c r="BR398" i="22"/>
  <c r="BR421" i="22"/>
  <c r="BQ478" i="22"/>
  <c r="BR477" i="22"/>
  <c r="BQ402" i="22"/>
  <c r="BR441" i="22"/>
  <c r="BQ450" i="22"/>
  <c r="BR455" i="22"/>
  <c r="BQ464" i="22"/>
  <c r="BR465" i="22"/>
  <c r="BR509" i="22"/>
  <c r="BQ400" i="22"/>
  <c r="BR510" i="22"/>
  <c r="BR463" i="22"/>
  <c r="BQ480" i="22"/>
  <c r="BQ435" i="22"/>
  <c r="BQ486" i="22"/>
  <c r="BQ416" i="22"/>
  <c r="BR471" i="22"/>
  <c r="BR461" i="22"/>
  <c r="BR404" i="22"/>
  <c r="BR473" i="22"/>
  <c r="BR423" i="22"/>
  <c r="BR408" i="22"/>
  <c r="BR494" i="22"/>
  <c r="BQ494" i="22"/>
  <c r="BR395" i="22"/>
  <c r="BQ466" i="22"/>
  <c r="BR414" i="22"/>
  <c r="BR397" i="22"/>
  <c r="BR486" i="22"/>
  <c r="BR500" i="22"/>
  <c r="BQ500" i="22"/>
  <c r="BR456" i="22"/>
  <c r="BQ418" i="22"/>
  <c r="BR462" i="22"/>
  <c r="BR440" i="22"/>
  <c r="BR458" i="22"/>
  <c r="BR445" i="22"/>
  <c r="BR472" i="22"/>
  <c r="BQ412" i="22"/>
  <c r="BR488" i="22"/>
  <c r="BQ507" i="22"/>
  <c r="BR511" i="22"/>
  <c r="BR507" i="22"/>
  <c r="BR272" i="22"/>
  <c r="BQ447" i="22"/>
  <c r="BR432" i="22"/>
  <c r="BR293" i="22"/>
  <c r="BQ432" i="22"/>
  <c r="BR249" i="22"/>
  <c r="BR447" i="22"/>
  <c r="BR405" i="22"/>
  <c r="BR381" i="22"/>
  <c r="BR437" i="22"/>
  <c r="BR217" i="22"/>
  <c r="BR338" i="22"/>
  <c r="BR444" i="22"/>
  <c r="BR226" i="22"/>
  <c r="BR378" i="22"/>
  <c r="BR382" i="22"/>
  <c r="BR291" i="22"/>
  <c r="BR72" i="22"/>
  <c r="BR303" i="22"/>
  <c r="BR380" i="22"/>
  <c r="BR108" i="22"/>
  <c r="BR411" i="22"/>
  <c r="BR433" i="22"/>
  <c r="BR454" i="22"/>
  <c r="BR321" i="22"/>
  <c r="BR134" i="22"/>
  <c r="BR320" i="22"/>
  <c r="BR379" i="22"/>
  <c r="BR459" i="22"/>
  <c r="BR442" i="22"/>
  <c r="BR366" i="22"/>
  <c r="BR412" i="22"/>
  <c r="BR337" i="22"/>
  <c r="BR403" i="22"/>
  <c r="BR409" i="22"/>
  <c r="BR438" i="22"/>
  <c r="BR451" i="22"/>
  <c r="BR418" i="22"/>
  <c r="BQ272" i="22"/>
  <c r="BR284" i="22"/>
  <c r="BR296" i="22"/>
  <c r="BR452" i="22"/>
  <c r="BR90" i="22"/>
  <c r="BR385" i="22"/>
  <c r="BR127" i="22"/>
  <c r="BR434" i="22"/>
  <c r="BR204" i="22"/>
  <c r="BR449" i="22"/>
  <c r="BR69" i="22"/>
  <c r="BR372" i="22"/>
  <c r="BR370" i="22"/>
  <c r="BR415" i="22"/>
  <c r="BR281" i="22"/>
  <c r="BR139" i="22"/>
  <c r="BR389" i="22"/>
  <c r="BR82" i="22"/>
  <c r="BR470" i="22"/>
  <c r="BR240" i="22"/>
  <c r="BR394" i="22"/>
  <c r="BR406" i="22"/>
  <c r="BR401" i="22"/>
  <c r="BR346" i="22"/>
  <c r="BQ303" i="22"/>
  <c r="BR457" i="22"/>
  <c r="BR402" i="22"/>
  <c r="BR374" i="22"/>
  <c r="BR373" i="22"/>
  <c r="BR467" i="22"/>
  <c r="BR436" i="22"/>
  <c r="BR469" i="22"/>
  <c r="BR173" i="22"/>
  <c r="BR83" i="22"/>
  <c r="BR183" i="22"/>
  <c r="BR138" i="22"/>
  <c r="BR107" i="22"/>
  <c r="BR339" i="22"/>
  <c r="BR426" i="22"/>
  <c r="BR324" i="22"/>
  <c r="BR262" i="22"/>
  <c r="BR228" i="22"/>
  <c r="BR140" i="22"/>
  <c r="BR75" i="22"/>
  <c r="BR99" i="22"/>
  <c r="BR297" i="22"/>
  <c r="BR142" i="22"/>
  <c r="BR74" i="22"/>
  <c r="BR220" i="22"/>
  <c r="BR235" i="22"/>
  <c r="BR307" i="22"/>
  <c r="BR236" i="22"/>
  <c r="BR213" i="22"/>
  <c r="BR63" i="22"/>
  <c r="BR168" i="22"/>
  <c r="BR313" i="22"/>
  <c r="BR305" i="22"/>
  <c r="BR188" i="22"/>
  <c r="BR277" i="22"/>
  <c r="BR180" i="22"/>
  <c r="BR205" i="22"/>
  <c r="BR141" i="22"/>
  <c r="BR245" i="22"/>
  <c r="BR143" i="22"/>
  <c r="BR80" i="22"/>
  <c r="BR292" i="22"/>
  <c r="BR314" i="22"/>
  <c r="BR100" i="22"/>
  <c r="BR187" i="22"/>
  <c r="BR247" i="22"/>
  <c r="BR59" i="22"/>
  <c r="BR122" i="22"/>
  <c r="BR158" i="22"/>
  <c r="BR201" i="22"/>
  <c r="BR356" i="22"/>
  <c r="BR329" i="22"/>
  <c r="BR181" i="22"/>
  <c r="BR334" i="22"/>
  <c r="BR191" i="22"/>
  <c r="BR259" i="22"/>
  <c r="BR282" i="22"/>
  <c r="BR149" i="22"/>
  <c r="BR97" i="22"/>
  <c r="BR101" i="22"/>
  <c r="BR96" i="22"/>
  <c r="BR310" i="22"/>
  <c r="BR266" i="22"/>
  <c r="BR327" i="22"/>
  <c r="BQ293" i="22"/>
  <c r="BR263" i="22"/>
  <c r="BR123" i="22"/>
  <c r="BR67" i="22"/>
  <c r="BR254" i="22"/>
  <c r="BR275" i="22"/>
  <c r="BR280" i="22"/>
  <c r="BR124" i="22"/>
  <c r="BR203" i="22"/>
  <c r="BR157" i="22"/>
  <c r="BR279" i="22"/>
  <c r="BR185" i="22"/>
  <c r="BR290" i="22"/>
  <c r="BR65" i="22"/>
  <c r="BR352" i="22"/>
  <c r="BR231" i="22"/>
  <c r="BR315" i="22"/>
  <c r="BR348" i="22"/>
  <c r="BR219" i="22"/>
  <c r="BR133" i="22"/>
  <c r="BR56" i="22"/>
  <c r="BR343" i="22"/>
  <c r="BR229" i="22"/>
  <c r="BR267" i="22"/>
  <c r="BR225" i="22"/>
  <c r="BR269" i="22"/>
  <c r="BR250" i="22"/>
  <c r="BR66" i="22"/>
  <c r="BR342" i="22"/>
  <c r="BR268" i="22"/>
  <c r="BR300" i="22"/>
  <c r="BR155" i="22"/>
  <c r="BR288" i="22"/>
  <c r="BR160" i="22"/>
  <c r="BR170" i="22"/>
  <c r="BR331" i="22"/>
  <c r="BR212" i="22"/>
  <c r="L515" i="30"/>
  <c r="T515" i="30"/>
  <c r="O515" i="30"/>
  <c r="H517" i="30"/>
  <c r="I517" i="30" s="1"/>
  <c r="J516" i="30"/>
  <c r="O9" i="30"/>
  <c r="L9" i="30"/>
  <c r="J10" i="30"/>
  <c r="H11" i="30"/>
  <c r="I11" i="30" s="1"/>
  <c r="BE514" i="30"/>
  <c r="BL514" i="30" s="1"/>
  <c r="BP514" i="30" s="1"/>
  <c r="BU514" i="30" s="1"/>
  <c r="BV514" i="30" s="1"/>
  <c r="BW514" i="30" s="1"/>
  <c r="BB514" i="30"/>
  <c r="M512" i="22"/>
  <c r="BJ511" i="22"/>
  <c r="BQ511" i="22" s="1"/>
  <c r="BG511" i="22"/>
  <c r="M6" i="22"/>
  <c r="T6" i="22" s="1"/>
  <c r="K7" i="22"/>
  <c r="L7" i="22" s="1"/>
  <c r="Q5" i="22"/>
  <c r="P5" i="22"/>
  <c r="BQ4" i="22"/>
  <c r="M513" i="22"/>
  <c r="Z513" i="22" s="1"/>
  <c r="K514" i="22"/>
  <c r="L514" i="22" s="1"/>
  <c r="BI513" i="22" l="1"/>
  <c r="BD513" i="22"/>
  <c r="P512" i="22"/>
  <c r="Z512" i="22"/>
  <c r="H12" i="30"/>
  <c r="I12" i="30" s="1"/>
  <c r="J11" i="30"/>
  <c r="T516" i="30"/>
  <c r="O516" i="30"/>
  <c r="L516" i="30"/>
  <c r="O10" i="30"/>
  <c r="L10" i="30"/>
  <c r="T10" i="30"/>
  <c r="H518" i="30"/>
  <c r="I518" i="30" s="1"/>
  <c r="J517" i="30"/>
  <c r="BE515" i="30"/>
  <c r="BL515" i="30" s="1"/>
  <c r="BP515" i="30" s="1"/>
  <c r="BU515" i="30" s="1"/>
  <c r="BV515" i="30" s="1"/>
  <c r="BW515" i="30" s="1"/>
  <c r="BB515" i="30"/>
  <c r="Q512" i="22"/>
  <c r="V512" i="22"/>
  <c r="BB512" i="22" s="1"/>
  <c r="M514" i="22"/>
  <c r="Z514" i="22" s="1"/>
  <c r="K515" i="22"/>
  <c r="L515" i="22" s="1"/>
  <c r="P513" i="22"/>
  <c r="V513" i="22"/>
  <c r="Q513" i="22"/>
  <c r="BQ5" i="22"/>
  <c r="M7" i="22"/>
  <c r="T7" i="22" s="1"/>
  <c r="K8" i="22"/>
  <c r="L8" i="22" s="1"/>
  <c r="Q6" i="22"/>
  <c r="P6" i="22"/>
  <c r="BD512" i="22" l="1"/>
  <c r="BR512" i="22" s="1"/>
  <c r="BI512" i="22"/>
  <c r="BD514" i="22"/>
  <c r="BI514" i="22"/>
  <c r="BB513" i="22"/>
  <c r="BR513" i="22" s="1"/>
  <c r="BJ512" i="22"/>
  <c r="T517" i="30"/>
  <c r="O517" i="30"/>
  <c r="L517" i="30"/>
  <c r="H519" i="30"/>
  <c r="I519" i="30" s="1"/>
  <c r="J518" i="30"/>
  <c r="BE10" i="30"/>
  <c r="BL10" i="30" s="1"/>
  <c r="BP10" i="30" s="1"/>
  <c r="BU10" i="30" s="1"/>
  <c r="BV10" i="30" s="1"/>
  <c r="BW10" i="30" s="1"/>
  <c r="BB10" i="30"/>
  <c r="BE516" i="30"/>
  <c r="BL516" i="30" s="1"/>
  <c r="BP516" i="30" s="1"/>
  <c r="BU516" i="30" s="1"/>
  <c r="BV516" i="30" s="1"/>
  <c r="BW516" i="30" s="1"/>
  <c r="BB516" i="30"/>
  <c r="L11" i="30"/>
  <c r="T11" i="30"/>
  <c r="O11" i="30"/>
  <c r="H13" i="30"/>
  <c r="I13" i="30" s="1"/>
  <c r="J12" i="30"/>
  <c r="BG512" i="22"/>
  <c r="BJ513" i="22"/>
  <c r="BQ513" i="22" s="1"/>
  <c r="BG513" i="22"/>
  <c r="V514" i="22"/>
  <c r="Q514" i="22"/>
  <c r="P514" i="22"/>
  <c r="BQ6" i="22"/>
  <c r="M8" i="22"/>
  <c r="T8" i="22" s="1"/>
  <c r="K9" i="22"/>
  <c r="L9" i="22" s="1"/>
  <c r="Q7" i="22"/>
  <c r="P7" i="22"/>
  <c r="M515" i="22"/>
  <c r="Z515" i="22" s="1"/>
  <c r="K516" i="22"/>
  <c r="L516" i="22" s="1"/>
  <c r="M43" i="10"/>
  <c r="N43" i="10"/>
  <c r="O43" i="10"/>
  <c r="M44" i="10"/>
  <c r="N44" i="10"/>
  <c r="O44" i="10"/>
  <c r="M45" i="10"/>
  <c r="N45" i="10"/>
  <c r="O45" i="10"/>
  <c r="O42" i="10"/>
  <c r="N42" i="10"/>
  <c r="M42" i="10"/>
  <c r="BQ512" i="22" l="1"/>
  <c r="BD515" i="22"/>
  <c r="BI515" i="22"/>
  <c r="BB514" i="22"/>
  <c r="BR514" i="22" s="1"/>
  <c r="T12" i="30"/>
  <c r="L12" i="30"/>
  <c r="O12" i="30"/>
  <c r="J13" i="30"/>
  <c r="H14" i="30"/>
  <c r="I14" i="30" s="1"/>
  <c r="BE11" i="30"/>
  <c r="BL11" i="30" s="1"/>
  <c r="BP11" i="30" s="1"/>
  <c r="BU11" i="30" s="1"/>
  <c r="BV11" i="30" s="1"/>
  <c r="BW11" i="30" s="1"/>
  <c r="BB11" i="30"/>
  <c r="T518" i="30"/>
  <c r="L518" i="30"/>
  <c r="O518" i="30"/>
  <c r="J519" i="30"/>
  <c r="H520" i="30"/>
  <c r="I520" i="30" s="1"/>
  <c r="BE517" i="30"/>
  <c r="BL517" i="30" s="1"/>
  <c r="BP517" i="30" s="1"/>
  <c r="BU517" i="30" s="1"/>
  <c r="BV517" i="30" s="1"/>
  <c r="BW517" i="30" s="1"/>
  <c r="BB517" i="30"/>
  <c r="BJ514" i="22"/>
  <c r="BQ514" i="22" s="1"/>
  <c r="BG514" i="22"/>
  <c r="M516" i="22"/>
  <c r="Z516" i="22" s="1"/>
  <c r="K517" i="22"/>
  <c r="L517" i="22" s="1"/>
  <c r="V515" i="22"/>
  <c r="Q515" i="22"/>
  <c r="P515" i="22"/>
  <c r="BQ7" i="22"/>
  <c r="K10" i="22"/>
  <c r="L10" i="22" s="1"/>
  <c r="M9" i="22"/>
  <c r="P8" i="22"/>
  <c r="Q8" i="22"/>
  <c r="BI516" i="22" l="1"/>
  <c r="BD516" i="22"/>
  <c r="BB515" i="22"/>
  <c r="BR515" i="22" s="1"/>
  <c r="J520" i="30"/>
  <c r="H521" i="30"/>
  <c r="I521" i="30" s="1"/>
  <c r="T519" i="30"/>
  <c r="O519" i="30"/>
  <c r="L519" i="30"/>
  <c r="BE518" i="30"/>
  <c r="BL518" i="30" s="1"/>
  <c r="BP518" i="30" s="1"/>
  <c r="BU518" i="30" s="1"/>
  <c r="BV518" i="30" s="1"/>
  <c r="BW518" i="30" s="1"/>
  <c r="BB518" i="30"/>
  <c r="J14" i="30"/>
  <c r="H15" i="30"/>
  <c r="I15" i="30" s="1"/>
  <c r="T13" i="30"/>
  <c r="O13" i="30"/>
  <c r="L13" i="30"/>
  <c r="BE12" i="30"/>
  <c r="BL12" i="30" s="1"/>
  <c r="BP12" i="30" s="1"/>
  <c r="BU12" i="30" s="1"/>
  <c r="BV12" i="30" s="1"/>
  <c r="BW12" i="30" s="1"/>
  <c r="BB12" i="30"/>
  <c r="BJ515" i="22"/>
  <c r="BQ515" i="22" s="1"/>
  <c r="BG515" i="22"/>
  <c r="V516" i="22"/>
  <c r="Q516" i="22"/>
  <c r="P516" i="22"/>
  <c r="BQ8" i="22"/>
  <c r="Q9" i="22"/>
  <c r="V9" i="22"/>
  <c r="BB9" i="22" s="1"/>
  <c r="P9" i="22"/>
  <c r="M10" i="22"/>
  <c r="K11" i="22"/>
  <c r="L11" i="22" s="1"/>
  <c r="M517" i="22"/>
  <c r="Z517" i="22" s="1"/>
  <c r="K518" i="22"/>
  <c r="L518" i="22" s="1"/>
  <c r="BI517" i="22" l="1"/>
  <c r="BD517" i="22"/>
  <c r="BB516" i="22"/>
  <c r="BR516" i="22" s="1"/>
  <c r="BR9" i="22"/>
  <c r="BJ9" i="22"/>
  <c r="BQ9" i="22" s="1"/>
  <c r="H16" i="30"/>
  <c r="I16" i="30" s="1"/>
  <c r="J15" i="30"/>
  <c r="O14" i="30"/>
  <c r="T14" i="30"/>
  <c r="L14" i="30"/>
  <c r="BE519" i="30"/>
  <c r="BL519" i="30" s="1"/>
  <c r="BP519" i="30" s="1"/>
  <c r="BU519" i="30" s="1"/>
  <c r="BV519" i="30" s="1"/>
  <c r="BW519" i="30" s="1"/>
  <c r="BB519" i="30"/>
  <c r="J521" i="30"/>
  <c r="H522" i="30"/>
  <c r="I522" i="30" s="1"/>
  <c r="BE13" i="30"/>
  <c r="BL13" i="30" s="1"/>
  <c r="BP13" i="30" s="1"/>
  <c r="BU13" i="30" s="1"/>
  <c r="BV13" i="30" s="1"/>
  <c r="BW13" i="30" s="1"/>
  <c r="BB13" i="30"/>
  <c r="L520" i="30"/>
  <c r="O520" i="30"/>
  <c r="T520" i="30"/>
  <c r="BG9" i="22"/>
  <c r="BJ516" i="22"/>
  <c r="BQ516" i="22" s="1"/>
  <c r="BG516" i="22"/>
  <c r="K12" i="22"/>
  <c r="L12" i="22" s="1"/>
  <c r="M11" i="22"/>
  <c r="V517" i="22"/>
  <c r="Q517" i="22"/>
  <c r="P517" i="22"/>
  <c r="V10" i="22"/>
  <c r="BB10" i="22" s="1"/>
  <c r="BR10" i="22" s="1"/>
  <c r="Q10" i="22"/>
  <c r="P10" i="22"/>
  <c r="M518" i="22"/>
  <c r="Z518" i="22" s="1"/>
  <c r="K519" i="22"/>
  <c r="L519" i="22" s="1"/>
  <c r="BI518" i="22" l="1"/>
  <c r="BD518" i="22"/>
  <c r="BB517" i="22"/>
  <c r="BR517" i="22" s="1"/>
  <c r="BJ10" i="22"/>
  <c r="BE14" i="30"/>
  <c r="BL14" i="30" s="1"/>
  <c r="BP14" i="30" s="1"/>
  <c r="BU14" i="30" s="1"/>
  <c r="BV14" i="30" s="1"/>
  <c r="BW14" i="30" s="1"/>
  <c r="BB14" i="30"/>
  <c r="BE520" i="30"/>
  <c r="BL520" i="30" s="1"/>
  <c r="BP520" i="30" s="1"/>
  <c r="BU520" i="30" s="1"/>
  <c r="BV520" i="30" s="1"/>
  <c r="BW520" i="30" s="1"/>
  <c r="BB520" i="30"/>
  <c r="L15" i="30"/>
  <c r="O15" i="30"/>
  <c r="T15" i="30"/>
  <c r="J522" i="30"/>
  <c r="H523" i="30"/>
  <c r="I523" i="30" s="1"/>
  <c r="O521" i="30"/>
  <c r="L521" i="30"/>
  <c r="T521" i="30"/>
  <c r="H17" i="30"/>
  <c r="I17" i="30" s="1"/>
  <c r="J16" i="30"/>
  <c r="BJ517" i="22"/>
  <c r="BQ517" i="22" s="1"/>
  <c r="BG517" i="22"/>
  <c r="BG10" i="22"/>
  <c r="M519" i="22"/>
  <c r="Z519" i="22" s="1"/>
  <c r="K520" i="22"/>
  <c r="L520" i="22" s="1"/>
  <c r="V11" i="22"/>
  <c r="BB11" i="22" s="1"/>
  <c r="Q11" i="22"/>
  <c r="P11" i="22"/>
  <c r="V518" i="22"/>
  <c r="Q518" i="22"/>
  <c r="P518" i="22"/>
  <c r="K13" i="22"/>
  <c r="L13" i="22" s="1"/>
  <c r="M12" i="22"/>
  <c r="BI519" i="22" l="1"/>
  <c r="BD519" i="22"/>
  <c r="BB518" i="22"/>
  <c r="BR518" i="22" s="1"/>
  <c r="BR11" i="22"/>
  <c r="BJ11" i="22"/>
  <c r="BQ11" i="22" s="1"/>
  <c r="O16" i="30"/>
  <c r="T16" i="30"/>
  <c r="L16" i="30"/>
  <c r="BE521" i="30"/>
  <c r="BL521" i="30" s="1"/>
  <c r="BP521" i="30" s="1"/>
  <c r="BU521" i="30" s="1"/>
  <c r="BV521" i="30" s="1"/>
  <c r="BW521" i="30" s="1"/>
  <c r="BB521" i="30"/>
  <c r="T522" i="30"/>
  <c r="O522" i="30"/>
  <c r="L522" i="30"/>
  <c r="J17" i="30"/>
  <c r="H18" i="30"/>
  <c r="I18" i="30" s="1"/>
  <c r="J523" i="30"/>
  <c r="H524" i="30"/>
  <c r="I524" i="30" s="1"/>
  <c r="BE15" i="30"/>
  <c r="BL15" i="30" s="1"/>
  <c r="BP15" i="30" s="1"/>
  <c r="BU15" i="30" s="1"/>
  <c r="BV15" i="30" s="1"/>
  <c r="BW15" i="30" s="1"/>
  <c r="BB15" i="30"/>
  <c r="BQ10" i="22"/>
  <c r="BJ518" i="22"/>
  <c r="BQ518" i="22" s="1"/>
  <c r="BG518" i="22"/>
  <c r="BG11" i="22"/>
  <c r="V12" i="22"/>
  <c r="BB12" i="22" s="1"/>
  <c r="Q12" i="22"/>
  <c r="P12" i="22"/>
  <c r="K14" i="22"/>
  <c r="L14" i="22" s="1"/>
  <c r="M13" i="22"/>
  <c r="P519" i="22"/>
  <c r="V519" i="22"/>
  <c r="Q519" i="22"/>
  <c r="M520" i="22"/>
  <c r="Z520" i="22" s="1"/>
  <c r="K521" i="22"/>
  <c r="L521" i="22" s="1"/>
  <c r="BD520" i="22" l="1"/>
  <c r="BI520" i="22"/>
  <c r="BB519" i="22"/>
  <c r="BR519" i="22" s="1"/>
  <c r="BR12" i="22"/>
  <c r="BJ12" i="22"/>
  <c r="BQ12" i="22" s="1"/>
  <c r="J524" i="30"/>
  <c r="H525" i="30"/>
  <c r="I525" i="30" s="1"/>
  <c r="T17" i="30"/>
  <c r="L17" i="30"/>
  <c r="O17" i="30"/>
  <c r="BE16" i="30"/>
  <c r="BL16" i="30" s="1"/>
  <c r="BP16" i="30" s="1"/>
  <c r="BU16" i="30" s="1"/>
  <c r="BV16" i="30" s="1"/>
  <c r="BW16" i="30" s="1"/>
  <c r="BB16" i="30"/>
  <c r="T523" i="30"/>
  <c r="L523" i="30"/>
  <c r="O523" i="30"/>
  <c r="H19" i="30"/>
  <c r="I19" i="30" s="1"/>
  <c r="J18" i="30"/>
  <c r="BE522" i="30"/>
  <c r="BL522" i="30" s="1"/>
  <c r="BP522" i="30" s="1"/>
  <c r="BU522" i="30" s="1"/>
  <c r="BV522" i="30" s="1"/>
  <c r="BW522" i="30" s="1"/>
  <c r="BB522" i="30"/>
  <c r="BJ519" i="22"/>
  <c r="BQ519" i="22" s="1"/>
  <c r="BG519" i="22"/>
  <c r="BG12" i="22"/>
  <c r="P520" i="22"/>
  <c r="V520" i="22"/>
  <c r="Q520" i="22"/>
  <c r="K15" i="22"/>
  <c r="L15" i="22" s="1"/>
  <c r="M14" i="22"/>
  <c r="V13" i="22"/>
  <c r="BB13" i="22" s="1"/>
  <c r="Q13" i="22"/>
  <c r="P13" i="22"/>
  <c r="M521" i="22"/>
  <c r="Z521" i="22" s="1"/>
  <c r="K522" i="22"/>
  <c r="L522" i="22" s="1"/>
  <c r="BI521" i="22" l="1"/>
  <c r="BD521" i="22"/>
  <c r="BB520" i="22"/>
  <c r="BR520" i="22" s="1"/>
  <c r="BR13" i="22"/>
  <c r="BJ13" i="22"/>
  <c r="BQ13" i="22" s="1"/>
  <c r="O18" i="30"/>
  <c r="L18" i="30"/>
  <c r="T18" i="30"/>
  <c r="O524" i="30"/>
  <c r="L524" i="30"/>
  <c r="T524" i="30"/>
  <c r="J19" i="30"/>
  <c r="H20" i="30"/>
  <c r="I20" i="30" s="1"/>
  <c r="BE523" i="30"/>
  <c r="BL523" i="30" s="1"/>
  <c r="BP523" i="30" s="1"/>
  <c r="BU523" i="30" s="1"/>
  <c r="BV523" i="30" s="1"/>
  <c r="BW523" i="30" s="1"/>
  <c r="BB523" i="30"/>
  <c r="BE17" i="30"/>
  <c r="BL17" i="30" s="1"/>
  <c r="BP17" i="30" s="1"/>
  <c r="BU17" i="30" s="1"/>
  <c r="BV17" i="30" s="1"/>
  <c r="BW17" i="30" s="1"/>
  <c r="BB17" i="30"/>
  <c r="J525" i="30"/>
  <c r="H526" i="30"/>
  <c r="I526" i="30" s="1"/>
  <c r="BG13" i="22"/>
  <c r="BJ520" i="22"/>
  <c r="BQ520" i="22" s="1"/>
  <c r="BG520" i="22"/>
  <c r="M522" i="22"/>
  <c r="Z522" i="22" s="1"/>
  <c r="K523" i="22"/>
  <c r="L523" i="22" s="1"/>
  <c r="P521" i="22"/>
  <c r="V521" i="22"/>
  <c r="Q521" i="22"/>
  <c r="P14" i="22"/>
  <c r="V14" i="22"/>
  <c r="BB14" i="22" s="1"/>
  <c r="BR14" i="22" s="1"/>
  <c r="Q14" i="22"/>
  <c r="M15" i="22"/>
  <c r="K16" i="22"/>
  <c r="L16" i="22" s="1"/>
  <c r="BI522" i="22" l="1"/>
  <c r="BD522" i="22"/>
  <c r="BB521" i="22"/>
  <c r="BR521" i="22" s="1"/>
  <c r="BJ14" i="22"/>
  <c r="BQ14" i="22" s="1"/>
  <c r="J20" i="30"/>
  <c r="H21" i="30"/>
  <c r="I21" i="30" s="1"/>
  <c r="BE524" i="30"/>
  <c r="BL524" i="30" s="1"/>
  <c r="BP524" i="30" s="1"/>
  <c r="BU524" i="30" s="1"/>
  <c r="BV524" i="30" s="1"/>
  <c r="BW524" i="30" s="1"/>
  <c r="BB524" i="30"/>
  <c r="BE18" i="30"/>
  <c r="BL18" i="30" s="1"/>
  <c r="BP18" i="30" s="1"/>
  <c r="BU18" i="30" s="1"/>
  <c r="BV18" i="30" s="1"/>
  <c r="BW18" i="30" s="1"/>
  <c r="BB18" i="30"/>
  <c r="H527" i="30"/>
  <c r="I527" i="30" s="1"/>
  <c r="J526" i="30"/>
  <c r="T525" i="30"/>
  <c r="O525" i="30"/>
  <c r="L525" i="30"/>
  <c r="T19" i="30"/>
  <c r="O19" i="30"/>
  <c r="L19" i="30"/>
  <c r="BJ521" i="22"/>
  <c r="BQ521" i="22" s="1"/>
  <c r="BG521" i="22"/>
  <c r="BG14" i="22"/>
  <c r="P15" i="22"/>
  <c r="V15" i="22"/>
  <c r="BB15" i="22" s="1"/>
  <c r="Q15" i="22"/>
  <c r="M523" i="22"/>
  <c r="Z523" i="22" s="1"/>
  <c r="K524" i="22"/>
  <c r="L524" i="22" s="1"/>
  <c r="K17" i="22"/>
  <c r="L17" i="22" s="1"/>
  <c r="M16" i="22"/>
  <c r="P522" i="22"/>
  <c r="Q522" i="22"/>
  <c r="V522" i="22"/>
  <c r="G11" i="3"/>
  <c r="G8" i="3"/>
  <c r="G6" i="3"/>
  <c r="BI523" i="22" l="1"/>
  <c r="BD523" i="22"/>
  <c r="BB522" i="22"/>
  <c r="BR522" i="22" s="1"/>
  <c r="BR15" i="22"/>
  <c r="BJ15" i="22"/>
  <c r="BQ15" i="22" s="1"/>
  <c r="H22" i="30"/>
  <c r="I22" i="30" s="1"/>
  <c r="J21" i="30"/>
  <c r="T20" i="30"/>
  <c r="O20" i="30"/>
  <c r="L20" i="30"/>
  <c r="BE525" i="30"/>
  <c r="BL525" i="30" s="1"/>
  <c r="BP525" i="30" s="1"/>
  <c r="BU525" i="30" s="1"/>
  <c r="BV525" i="30" s="1"/>
  <c r="BW525" i="30" s="1"/>
  <c r="BB525" i="30"/>
  <c r="BE19" i="30"/>
  <c r="BL19" i="30" s="1"/>
  <c r="BP19" i="30" s="1"/>
  <c r="BU19" i="30" s="1"/>
  <c r="BV19" i="30" s="1"/>
  <c r="BW19" i="30" s="1"/>
  <c r="BB19" i="30"/>
  <c r="T526" i="30"/>
  <c r="L526" i="30"/>
  <c r="O526" i="30"/>
  <c r="J527" i="30"/>
  <c r="H528" i="30"/>
  <c r="I528" i="30" s="1"/>
  <c r="BG15" i="22"/>
  <c r="BJ522" i="22"/>
  <c r="BQ522" i="22" s="1"/>
  <c r="BG522" i="22"/>
  <c r="M524" i="22"/>
  <c r="Z524" i="22" s="1"/>
  <c r="K525" i="22"/>
  <c r="L525" i="22" s="1"/>
  <c r="V16" i="22"/>
  <c r="BB16" i="22" s="1"/>
  <c r="Q16" i="22"/>
  <c r="P16" i="22"/>
  <c r="K18" i="22"/>
  <c r="L18" i="22" s="1"/>
  <c r="M17" i="22"/>
  <c r="P523" i="22"/>
  <c r="V523" i="22"/>
  <c r="Q523" i="22"/>
  <c r="BI524" i="22" l="1"/>
  <c r="BD524" i="22"/>
  <c r="BB523" i="22"/>
  <c r="BR523" i="22" s="1"/>
  <c r="BR16" i="22"/>
  <c r="BJ16" i="22"/>
  <c r="BQ16" i="22" s="1"/>
  <c r="O527" i="30"/>
  <c r="T527" i="30"/>
  <c r="L527" i="30"/>
  <c r="BE20" i="30"/>
  <c r="BL20" i="30" s="1"/>
  <c r="BP20" i="30" s="1"/>
  <c r="BU20" i="30" s="1"/>
  <c r="BV20" i="30" s="1"/>
  <c r="BW20" i="30" s="1"/>
  <c r="BB20" i="30"/>
  <c r="J528" i="30"/>
  <c r="H529" i="30"/>
  <c r="I529" i="30" s="1"/>
  <c r="BE526" i="30"/>
  <c r="BL526" i="30" s="1"/>
  <c r="BP526" i="30" s="1"/>
  <c r="BU526" i="30" s="1"/>
  <c r="BV526" i="30" s="1"/>
  <c r="BW526" i="30" s="1"/>
  <c r="BB526" i="30"/>
  <c r="L21" i="30"/>
  <c r="T21" i="30"/>
  <c r="O21" i="30"/>
  <c r="H23" i="30"/>
  <c r="I23" i="30" s="1"/>
  <c r="J22" i="30"/>
  <c r="BJ523" i="22"/>
  <c r="BQ523" i="22" s="1"/>
  <c r="BG523" i="22"/>
  <c r="BG16" i="22"/>
  <c r="Q17" i="22"/>
  <c r="P17" i="22"/>
  <c r="V17" i="22"/>
  <c r="BB17" i="22" s="1"/>
  <c r="K19" i="22"/>
  <c r="L19" i="22" s="1"/>
  <c r="M18" i="22"/>
  <c r="M525" i="22"/>
  <c r="Z525" i="22" s="1"/>
  <c r="K526" i="22"/>
  <c r="L526" i="22" s="1"/>
  <c r="P524" i="22"/>
  <c r="V524" i="22"/>
  <c r="Q524" i="22"/>
  <c r="BI525" i="22" l="1"/>
  <c r="BD525" i="22"/>
  <c r="BB524" i="22"/>
  <c r="BR524" i="22" s="1"/>
  <c r="BR17" i="22"/>
  <c r="BJ17" i="22"/>
  <c r="BB21" i="30"/>
  <c r="BE21" i="30"/>
  <c r="BL21" i="30" s="1"/>
  <c r="BP21" i="30" s="1"/>
  <c r="BU21" i="30" s="1"/>
  <c r="BV21" i="30" s="1"/>
  <c r="BW21" i="30" s="1"/>
  <c r="H24" i="30"/>
  <c r="I24" i="30" s="1"/>
  <c r="J23" i="30"/>
  <c r="J529" i="30"/>
  <c r="H530" i="30"/>
  <c r="I530" i="30" s="1"/>
  <c r="L22" i="30"/>
  <c r="T22" i="30"/>
  <c r="O22" i="30"/>
  <c r="T528" i="30"/>
  <c r="O528" i="30"/>
  <c r="L528" i="30"/>
  <c r="BE527" i="30"/>
  <c r="BL527" i="30" s="1"/>
  <c r="BP527" i="30" s="1"/>
  <c r="BU527" i="30" s="1"/>
  <c r="BV527" i="30" s="1"/>
  <c r="BW527" i="30" s="1"/>
  <c r="BB527" i="30"/>
  <c r="BJ524" i="22"/>
  <c r="BQ524" i="22" s="1"/>
  <c r="BG524" i="22"/>
  <c r="BG17" i="22"/>
  <c r="M526" i="22"/>
  <c r="Z526" i="22" s="1"/>
  <c r="K527" i="22"/>
  <c r="L527" i="22" s="1"/>
  <c r="P525" i="22"/>
  <c r="V525" i="22"/>
  <c r="Q525" i="22"/>
  <c r="V18" i="22"/>
  <c r="BB18" i="22" s="1"/>
  <c r="Q18" i="22"/>
  <c r="P18" i="22"/>
  <c r="K20" i="22"/>
  <c r="L20" i="22" s="1"/>
  <c r="M19" i="22"/>
  <c r="H20" i="3"/>
  <c r="H19" i="3"/>
  <c r="H18" i="3"/>
  <c r="H17" i="3"/>
  <c r="BI526" i="22" l="1"/>
  <c r="BD526" i="22"/>
  <c r="BB525" i="22"/>
  <c r="BR525" i="22" s="1"/>
  <c r="BR18" i="22"/>
  <c r="BJ18" i="22"/>
  <c r="BQ18" i="22" s="1"/>
  <c r="BE528" i="30"/>
  <c r="BL528" i="30" s="1"/>
  <c r="BP528" i="30" s="1"/>
  <c r="BU528" i="30" s="1"/>
  <c r="BV528" i="30" s="1"/>
  <c r="BW528" i="30" s="1"/>
  <c r="BB528" i="30"/>
  <c r="BB22" i="30"/>
  <c r="BE22" i="30"/>
  <c r="BL22" i="30" s="1"/>
  <c r="BP22" i="30" s="1"/>
  <c r="BU22" i="30" s="1"/>
  <c r="BV22" i="30" s="1"/>
  <c r="BW22" i="30" s="1"/>
  <c r="J530" i="30"/>
  <c r="H531" i="30"/>
  <c r="I531" i="30" s="1"/>
  <c r="L529" i="30"/>
  <c r="T529" i="30"/>
  <c r="O529" i="30"/>
  <c r="L23" i="30"/>
  <c r="T23" i="30"/>
  <c r="O23" i="30"/>
  <c r="J24" i="30"/>
  <c r="H25" i="30"/>
  <c r="I25" i="30" s="1"/>
  <c r="BJ525" i="22"/>
  <c r="BQ525" i="22" s="1"/>
  <c r="BG525" i="22"/>
  <c r="BG18" i="22"/>
  <c r="BQ17" i="22"/>
  <c r="V19" i="22"/>
  <c r="BB19" i="22" s="1"/>
  <c r="Q19" i="22"/>
  <c r="P19" i="22"/>
  <c r="K21" i="22"/>
  <c r="L21" i="22" s="1"/>
  <c r="M20" i="22"/>
  <c r="M527" i="22"/>
  <c r="Z527" i="22" s="1"/>
  <c r="K528" i="22"/>
  <c r="L528" i="22" s="1"/>
  <c r="P526" i="22"/>
  <c r="V526" i="22"/>
  <c r="Q526" i="22"/>
  <c r="BI527" i="22" l="1"/>
  <c r="BD527" i="22"/>
  <c r="BB526" i="22"/>
  <c r="BR526" i="22" s="1"/>
  <c r="BR19" i="22"/>
  <c r="BJ19" i="22"/>
  <c r="H532" i="30"/>
  <c r="I532" i="30" s="1"/>
  <c r="J531" i="30"/>
  <c r="L530" i="30"/>
  <c r="T530" i="30"/>
  <c r="O530" i="30"/>
  <c r="BE23" i="30"/>
  <c r="BL23" i="30" s="1"/>
  <c r="BP23" i="30" s="1"/>
  <c r="BU23" i="30" s="1"/>
  <c r="BV23" i="30" s="1"/>
  <c r="BW23" i="30" s="1"/>
  <c r="BB23" i="30"/>
  <c r="O24" i="30"/>
  <c r="L24" i="30"/>
  <c r="T24" i="30"/>
  <c r="H26" i="30"/>
  <c r="I26" i="30" s="1"/>
  <c r="J25" i="30"/>
  <c r="BE529" i="30"/>
  <c r="BL529" i="30" s="1"/>
  <c r="BP529" i="30" s="1"/>
  <c r="BU529" i="30" s="1"/>
  <c r="BV529" i="30" s="1"/>
  <c r="BW529" i="30" s="1"/>
  <c r="BB529" i="30"/>
  <c r="BG19" i="22"/>
  <c r="BJ526" i="22"/>
  <c r="BQ526" i="22" s="1"/>
  <c r="BG526" i="22"/>
  <c r="P527" i="22"/>
  <c r="V527" i="22"/>
  <c r="Q527" i="22"/>
  <c r="K22" i="22"/>
  <c r="L22" i="22" s="1"/>
  <c r="M21" i="22"/>
  <c r="V20" i="22"/>
  <c r="BB20" i="22" s="1"/>
  <c r="Q20" i="22"/>
  <c r="P20" i="22"/>
  <c r="M528" i="22"/>
  <c r="Z528" i="22" s="1"/>
  <c r="K529" i="22"/>
  <c r="L529" i="22" s="1"/>
  <c r="BD528" i="22" l="1"/>
  <c r="BI528" i="22"/>
  <c r="BB527" i="22"/>
  <c r="BR527" i="22" s="1"/>
  <c r="BR20" i="22"/>
  <c r="BJ20" i="22"/>
  <c r="BQ20" i="22" s="1"/>
  <c r="T25" i="30"/>
  <c r="L25" i="30"/>
  <c r="O25" i="30"/>
  <c r="BE24" i="30"/>
  <c r="BL24" i="30" s="1"/>
  <c r="BP24" i="30" s="1"/>
  <c r="BU24" i="30" s="1"/>
  <c r="BV24" i="30" s="1"/>
  <c r="BW24" i="30" s="1"/>
  <c r="BB24" i="30"/>
  <c r="BE530" i="30"/>
  <c r="BL530" i="30" s="1"/>
  <c r="BP530" i="30" s="1"/>
  <c r="BU530" i="30" s="1"/>
  <c r="BV530" i="30" s="1"/>
  <c r="BW530" i="30" s="1"/>
  <c r="BB530" i="30"/>
  <c r="H533" i="30"/>
  <c r="I533" i="30" s="1"/>
  <c r="J532" i="30"/>
  <c r="H27" i="30"/>
  <c r="I27" i="30" s="1"/>
  <c r="J26" i="30"/>
  <c r="T531" i="30"/>
  <c r="O531" i="30"/>
  <c r="L531" i="30"/>
  <c r="BG20" i="22"/>
  <c r="BJ527" i="22"/>
  <c r="BQ527" i="22" s="1"/>
  <c r="BG527" i="22"/>
  <c r="BQ19" i="22"/>
  <c r="M529" i="22"/>
  <c r="Z529" i="22" s="1"/>
  <c r="K530" i="22"/>
  <c r="L530" i="22" s="1"/>
  <c r="P528" i="22"/>
  <c r="V528" i="22"/>
  <c r="Q528" i="22"/>
  <c r="K23" i="22"/>
  <c r="L23" i="22" s="1"/>
  <c r="M22" i="22"/>
  <c r="P21" i="22"/>
  <c r="V21" i="22"/>
  <c r="BB21" i="22" s="1"/>
  <c r="Q21" i="22"/>
  <c r="BI529" i="22" l="1"/>
  <c r="BD529" i="22"/>
  <c r="BB528" i="22"/>
  <c r="BR528" i="22" s="1"/>
  <c r="BR21" i="22"/>
  <c r="BJ21" i="22"/>
  <c r="BQ21" i="22" s="1"/>
  <c r="BE531" i="30"/>
  <c r="BL531" i="30" s="1"/>
  <c r="BP531" i="30" s="1"/>
  <c r="BU531" i="30" s="1"/>
  <c r="BV531" i="30" s="1"/>
  <c r="BW531" i="30" s="1"/>
  <c r="BB531" i="30"/>
  <c r="O26" i="30"/>
  <c r="T26" i="30"/>
  <c r="L26" i="30"/>
  <c r="L532" i="30"/>
  <c r="T532" i="30"/>
  <c r="O532" i="30"/>
  <c r="H28" i="30"/>
  <c r="I28" i="30" s="1"/>
  <c r="J27" i="30"/>
  <c r="H534" i="30"/>
  <c r="I534" i="30" s="1"/>
  <c r="J533" i="30"/>
  <c r="BE25" i="30"/>
  <c r="BL25" i="30" s="1"/>
  <c r="BP25" i="30" s="1"/>
  <c r="BU25" i="30" s="1"/>
  <c r="BV25" i="30" s="1"/>
  <c r="BW25" i="30" s="1"/>
  <c r="BB25" i="30"/>
  <c r="BJ528" i="22"/>
  <c r="BQ528" i="22" s="1"/>
  <c r="BG528" i="22"/>
  <c r="BG21" i="22"/>
  <c r="K24" i="22"/>
  <c r="L24" i="22" s="1"/>
  <c r="M23" i="22"/>
  <c r="P22" i="22"/>
  <c r="V22" i="22"/>
  <c r="BB22" i="22" s="1"/>
  <c r="Q22" i="22"/>
  <c r="P529" i="22"/>
  <c r="V529" i="22"/>
  <c r="Q529" i="22"/>
  <c r="M530" i="22"/>
  <c r="Z530" i="22" s="1"/>
  <c r="K531" i="22"/>
  <c r="L531" i="22" s="1"/>
  <c r="BD530" i="22" l="1"/>
  <c r="BI530" i="22"/>
  <c r="BB529" i="22"/>
  <c r="BR529" i="22" s="1"/>
  <c r="BR22" i="22"/>
  <c r="BJ22" i="22"/>
  <c r="BQ22" i="22" s="1"/>
  <c r="H29" i="30"/>
  <c r="I29" i="30" s="1"/>
  <c r="J28" i="30"/>
  <c r="T533" i="30"/>
  <c r="O533" i="30"/>
  <c r="L533" i="30"/>
  <c r="H535" i="30"/>
  <c r="I535" i="30" s="1"/>
  <c r="J534" i="30"/>
  <c r="L27" i="30"/>
  <c r="O27" i="30"/>
  <c r="T27" i="30"/>
  <c r="BE532" i="30"/>
  <c r="BL532" i="30" s="1"/>
  <c r="BP532" i="30" s="1"/>
  <c r="BU532" i="30" s="1"/>
  <c r="BV532" i="30" s="1"/>
  <c r="BW532" i="30" s="1"/>
  <c r="BB532" i="30"/>
  <c r="BE26" i="30"/>
  <c r="BL26" i="30" s="1"/>
  <c r="BP26" i="30" s="1"/>
  <c r="BU26" i="30" s="1"/>
  <c r="BV26" i="30" s="1"/>
  <c r="BW26" i="30" s="1"/>
  <c r="BB26" i="30"/>
  <c r="BJ529" i="22"/>
  <c r="BQ529" i="22" s="1"/>
  <c r="BG529" i="22"/>
  <c r="BG22" i="22"/>
  <c r="M531" i="22"/>
  <c r="Z531" i="22" s="1"/>
  <c r="K532" i="22"/>
  <c r="L532" i="22" s="1"/>
  <c r="V23" i="22"/>
  <c r="BB23" i="22" s="1"/>
  <c r="Q23" i="22"/>
  <c r="P23" i="22"/>
  <c r="K25" i="22"/>
  <c r="L25" i="22" s="1"/>
  <c r="M24" i="22"/>
  <c r="P530" i="22"/>
  <c r="Q530" i="22"/>
  <c r="V530" i="22"/>
  <c r="BI531" i="22" l="1"/>
  <c r="BD531" i="22"/>
  <c r="BB530" i="22"/>
  <c r="BR530" i="22" s="1"/>
  <c r="BR23" i="22"/>
  <c r="BJ23" i="22"/>
  <c r="BQ23" i="22" s="1"/>
  <c r="J29" i="30"/>
  <c r="H30" i="30"/>
  <c r="I30" i="30" s="1"/>
  <c r="BE27" i="30"/>
  <c r="BL27" i="30" s="1"/>
  <c r="BP27" i="30" s="1"/>
  <c r="BU27" i="30" s="1"/>
  <c r="BV27" i="30" s="1"/>
  <c r="BW27" i="30" s="1"/>
  <c r="BB27" i="30"/>
  <c r="L534" i="30"/>
  <c r="O534" i="30"/>
  <c r="T534" i="30"/>
  <c r="J535" i="30"/>
  <c r="H536" i="30"/>
  <c r="I536" i="30" s="1"/>
  <c r="BE533" i="30"/>
  <c r="BL533" i="30" s="1"/>
  <c r="BB533" i="30"/>
  <c r="O28" i="30"/>
  <c r="L28" i="30"/>
  <c r="T28" i="30"/>
  <c r="BG23" i="22"/>
  <c r="BJ530" i="22"/>
  <c r="BQ530" i="22" s="1"/>
  <c r="BG530" i="22"/>
  <c r="Q24" i="22"/>
  <c r="V24" i="22"/>
  <c r="BB24" i="22" s="1"/>
  <c r="P24" i="22"/>
  <c r="M25" i="22"/>
  <c r="K26" i="22"/>
  <c r="L26" i="22" s="1"/>
  <c r="P531" i="22"/>
  <c r="V531" i="22"/>
  <c r="Q531" i="22"/>
  <c r="M532" i="22"/>
  <c r="Z532" i="22" s="1"/>
  <c r="K533" i="22"/>
  <c r="L533" i="22" s="1"/>
  <c r="BI532" i="22" l="1"/>
  <c r="BD532" i="22"/>
  <c r="BB531" i="22"/>
  <c r="BR531" i="22" s="1"/>
  <c r="BR24" i="22"/>
  <c r="BJ24" i="22"/>
  <c r="T29" i="30"/>
  <c r="L29" i="30"/>
  <c r="O29" i="30"/>
  <c r="BE28" i="30"/>
  <c r="BL28" i="30" s="1"/>
  <c r="BP28" i="30" s="1"/>
  <c r="BU28" i="30" s="1"/>
  <c r="BV28" i="30" s="1"/>
  <c r="BW28" i="30" s="1"/>
  <c r="BB28" i="30"/>
  <c r="J536" i="30"/>
  <c r="H537" i="30"/>
  <c r="I537" i="30" s="1"/>
  <c r="L535" i="30"/>
  <c r="T535" i="30"/>
  <c r="O535" i="30"/>
  <c r="BE534" i="30"/>
  <c r="BL534" i="30" s="1"/>
  <c r="BB534" i="30"/>
  <c r="J30" i="30"/>
  <c r="H31" i="30"/>
  <c r="I31" i="30" s="1"/>
  <c r="BJ531" i="22"/>
  <c r="BQ531" i="22" s="1"/>
  <c r="BG531" i="22"/>
  <c r="BG24" i="22"/>
  <c r="M533" i="22"/>
  <c r="Z533" i="22" s="1"/>
  <c r="K534" i="22"/>
  <c r="L534" i="22" s="1"/>
  <c r="P532" i="22"/>
  <c r="V532" i="22"/>
  <c r="BB532" i="22" s="1"/>
  <c r="Q532" i="22"/>
  <c r="K27" i="22"/>
  <c r="L27" i="22" s="1"/>
  <c r="M26" i="22"/>
  <c r="V25" i="22"/>
  <c r="BB25" i="22" s="1"/>
  <c r="Q25" i="22"/>
  <c r="P25" i="22"/>
  <c r="D36" i="3"/>
  <c r="D19" i="3"/>
  <c r="D20" i="3" s="1"/>
  <c r="BR532" i="22" l="1"/>
  <c r="BI533" i="22"/>
  <c r="BD533" i="22"/>
  <c r="BR25" i="22"/>
  <c r="BJ25" i="22"/>
  <c r="BQ25" i="22" s="1"/>
  <c r="BE29" i="30"/>
  <c r="BL29" i="30" s="1"/>
  <c r="BP29" i="30" s="1"/>
  <c r="BU29" i="30" s="1"/>
  <c r="BV29" i="30" s="1"/>
  <c r="BW29" i="30" s="1"/>
  <c r="BB29" i="30"/>
  <c r="BE535" i="30"/>
  <c r="BL535" i="30" s="1"/>
  <c r="BB535" i="30"/>
  <c r="H538" i="30"/>
  <c r="I538" i="30" s="1"/>
  <c r="J537" i="30"/>
  <c r="L536" i="30"/>
  <c r="O536" i="30"/>
  <c r="T536" i="30"/>
  <c r="J31" i="30"/>
  <c r="H32" i="30"/>
  <c r="I32" i="30" s="1"/>
  <c r="T30" i="30"/>
  <c r="O30" i="30"/>
  <c r="L30" i="30"/>
  <c r="BG25" i="22"/>
  <c r="BJ532" i="22"/>
  <c r="BQ532" i="22" s="1"/>
  <c r="BG532" i="22"/>
  <c r="BQ24" i="22"/>
  <c r="V26" i="22"/>
  <c r="BB26" i="22" s="1"/>
  <c r="Q26" i="22"/>
  <c r="P26" i="22"/>
  <c r="K28" i="22"/>
  <c r="L28" i="22" s="1"/>
  <c r="M27" i="22"/>
  <c r="M534" i="22"/>
  <c r="Z534" i="22" s="1"/>
  <c r="K535" i="22"/>
  <c r="L535" i="22" s="1"/>
  <c r="P533" i="22"/>
  <c r="V533" i="22"/>
  <c r="BB533" i="22" s="1"/>
  <c r="Q533" i="22"/>
  <c r="BR533" i="22" l="1"/>
  <c r="BD534" i="22"/>
  <c r="BI534" i="22"/>
  <c r="BR26" i="22"/>
  <c r="BJ26" i="22"/>
  <c r="BQ26" i="22" s="1"/>
  <c r="H33" i="30"/>
  <c r="I33" i="30" s="1"/>
  <c r="J32" i="30"/>
  <c r="T31" i="30"/>
  <c r="O31" i="30"/>
  <c r="L31" i="30"/>
  <c r="J538" i="30"/>
  <c r="H539" i="30"/>
  <c r="I539" i="30" s="1"/>
  <c r="BE30" i="30"/>
  <c r="BL30" i="30" s="1"/>
  <c r="BP30" i="30" s="1"/>
  <c r="BU30" i="30" s="1"/>
  <c r="BV30" i="30" s="1"/>
  <c r="BW30" i="30" s="1"/>
  <c r="BB30" i="30"/>
  <c r="BE536" i="30"/>
  <c r="BL536" i="30" s="1"/>
  <c r="BB536" i="30"/>
  <c r="O537" i="30"/>
  <c r="L537" i="30"/>
  <c r="T537" i="30"/>
  <c r="BG26" i="22"/>
  <c r="BJ533" i="22"/>
  <c r="BQ533" i="22" s="1"/>
  <c r="BG533" i="22"/>
  <c r="P534" i="22"/>
  <c r="V534" i="22"/>
  <c r="BB534" i="22" s="1"/>
  <c r="Q534" i="22"/>
  <c r="M535" i="22"/>
  <c r="Z535" i="22" s="1"/>
  <c r="K536" i="22"/>
  <c r="L536" i="22" s="1"/>
  <c r="V27" i="22"/>
  <c r="BB27" i="22" s="1"/>
  <c r="Q27" i="22"/>
  <c r="P27" i="22"/>
  <c r="K29" i="22"/>
  <c r="L29" i="22" s="1"/>
  <c r="M28" i="22"/>
  <c r="BR534" i="22" l="1"/>
  <c r="BI535" i="22"/>
  <c r="BD535" i="22"/>
  <c r="BR27" i="22"/>
  <c r="BJ27" i="22"/>
  <c r="BQ27" i="22" s="1"/>
  <c r="J33" i="30"/>
  <c r="H34" i="30"/>
  <c r="I34" i="30" s="1"/>
  <c r="BE537" i="30"/>
  <c r="BL537" i="30" s="1"/>
  <c r="BB537" i="30"/>
  <c r="J539" i="30"/>
  <c r="H540" i="30"/>
  <c r="I540" i="30" s="1"/>
  <c r="T538" i="30"/>
  <c r="O538" i="30"/>
  <c r="L538" i="30"/>
  <c r="BB31" i="30"/>
  <c r="BE31" i="30"/>
  <c r="BL31" i="30" s="1"/>
  <c r="BP31" i="30" s="1"/>
  <c r="BU31" i="30" s="1"/>
  <c r="BV31" i="30" s="1"/>
  <c r="BW31" i="30" s="1"/>
  <c r="L32" i="30"/>
  <c r="O32" i="30"/>
  <c r="T32" i="30"/>
  <c r="BG27" i="22"/>
  <c r="BJ534" i="22"/>
  <c r="BQ534" i="22" s="1"/>
  <c r="BG534" i="22"/>
  <c r="V28" i="22"/>
  <c r="BB28" i="22" s="1"/>
  <c r="Q28" i="22"/>
  <c r="P28" i="22"/>
  <c r="M536" i="22"/>
  <c r="Z536" i="22" s="1"/>
  <c r="K537" i="22"/>
  <c r="L537" i="22" s="1"/>
  <c r="P535" i="22"/>
  <c r="V535" i="22"/>
  <c r="BB535" i="22" s="1"/>
  <c r="Q535" i="22"/>
  <c r="K30" i="22"/>
  <c r="L30" i="22" s="1"/>
  <c r="M29" i="22"/>
  <c r="BR535" i="22" l="1"/>
  <c r="BD536" i="22"/>
  <c r="BI536" i="22"/>
  <c r="BR28" i="22"/>
  <c r="BJ28" i="22"/>
  <c r="BE32" i="30"/>
  <c r="BL32" i="30" s="1"/>
  <c r="BP32" i="30" s="1"/>
  <c r="BU32" i="30" s="1"/>
  <c r="BV32" i="30" s="1"/>
  <c r="BW32" i="30" s="1"/>
  <c r="BB32" i="30"/>
  <c r="BE538" i="30"/>
  <c r="BL538" i="30" s="1"/>
  <c r="BB538" i="30"/>
  <c r="J540" i="30"/>
  <c r="H541" i="30"/>
  <c r="I541" i="30" s="1"/>
  <c r="T539" i="30"/>
  <c r="L539" i="30"/>
  <c r="O539" i="30"/>
  <c r="J34" i="30"/>
  <c r="H35" i="30"/>
  <c r="I35" i="30" s="1"/>
  <c r="O33" i="30"/>
  <c r="T33" i="30"/>
  <c r="L33" i="30"/>
  <c r="BJ535" i="22"/>
  <c r="BQ535" i="22" s="1"/>
  <c r="BG535" i="22"/>
  <c r="BG28" i="22"/>
  <c r="M30" i="22"/>
  <c r="K31" i="22"/>
  <c r="L31" i="22" s="1"/>
  <c r="P536" i="22"/>
  <c r="V536" i="22"/>
  <c r="BB536" i="22" s="1"/>
  <c r="Q536" i="22"/>
  <c r="P29" i="22"/>
  <c r="V29" i="22"/>
  <c r="BB29" i="22" s="1"/>
  <c r="Q29" i="22"/>
  <c r="M537" i="22"/>
  <c r="Z537" i="22" s="1"/>
  <c r="K538" i="22"/>
  <c r="L538" i="22" s="1"/>
  <c r="BR536" i="22" l="1"/>
  <c r="BI537" i="22"/>
  <c r="BD537" i="22"/>
  <c r="BR29" i="22"/>
  <c r="BJ29" i="22"/>
  <c r="BQ29" i="22" s="1"/>
  <c r="T34" i="30"/>
  <c r="O34" i="30"/>
  <c r="L34" i="30"/>
  <c r="J541" i="30"/>
  <c r="H542" i="30"/>
  <c r="I542" i="30" s="1"/>
  <c r="BE33" i="30"/>
  <c r="BL33" i="30" s="1"/>
  <c r="BP33" i="30" s="1"/>
  <c r="BU33" i="30" s="1"/>
  <c r="BV33" i="30" s="1"/>
  <c r="BW33" i="30" s="1"/>
  <c r="BB33" i="30"/>
  <c r="O540" i="30"/>
  <c r="L540" i="30"/>
  <c r="T540" i="30"/>
  <c r="H36" i="30"/>
  <c r="I36" i="30" s="1"/>
  <c r="J35" i="30"/>
  <c r="BE539" i="30"/>
  <c r="BL539" i="30" s="1"/>
  <c r="BB539" i="30"/>
  <c r="BG29" i="22"/>
  <c r="BJ536" i="22"/>
  <c r="BQ536" i="22" s="1"/>
  <c r="BG536" i="22"/>
  <c r="BQ28" i="22"/>
  <c r="M538" i="22"/>
  <c r="Z538" i="22" s="1"/>
  <c r="K539" i="22"/>
  <c r="L539" i="22" s="1"/>
  <c r="P537" i="22"/>
  <c r="V537" i="22"/>
  <c r="BB537" i="22" s="1"/>
  <c r="Q537" i="22"/>
  <c r="K32" i="22"/>
  <c r="L32" i="22" s="1"/>
  <c r="M31" i="22"/>
  <c r="P30" i="22"/>
  <c r="V30" i="22"/>
  <c r="BB30" i="22" s="1"/>
  <c r="Q30" i="22"/>
  <c r="BR537" i="22" l="1"/>
  <c r="BI538" i="22"/>
  <c r="BD538" i="22"/>
  <c r="BR30" i="22"/>
  <c r="BJ30" i="22"/>
  <c r="BQ30" i="22" s="1"/>
  <c r="T35" i="30"/>
  <c r="O35" i="30"/>
  <c r="L35" i="30"/>
  <c r="BE540" i="30"/>
  <c r="BL540" i="30" s="1"/>
  <c r="BB540" i="30"/>
  <c r="H543" i="30"/>
  <c r="I543" i="30" s="1"/>
  <c r="J542" i="30"/>
  <c r="T541" i="30"/>
  <c r="O541" i="30"/>
  <c r="L541" i="30"/>
  <c r="BE34" i="30"/>
  <c r="BL34" i="30" s="1"/>
  <c r="BP34" i="30" s="1"/>
  <c r="BU34" i="30" s="1"/>
  <c r="BV34" i="30" s="1"/>
  <c r="BW34" i="30" s="1"/>
  <c r="BB34" i="30"/>
  <c r="H37" i="30"/>
  <c r="I37" i="30" s="1"/>
  <c r="J36" i="30"/>
  <c r="BJ537" i="22"/>
  <c r="BQ537" i="22" s="1"/>
  <c r="BG537" i="22"/>
  <c r="BG30" i="22"/>
  <c r="V31" i="22"/>
  <c r="BB31" i="22" s="1"/>
  <c r="Q31" i="22"/>
  <c r="P31" i="22"/>
  <c r="K33" i="22"/>
  <c r="L33" i="22" s="1"/>
  <c r="M32" i="22"/>
  <c r="M539" i="22"/>
  <c r="Z539" i="22" s="1"/>
  <c r="K540" i="22"/>
  <c r="L540" i="22" s="1"/>
  <c r="P538" i="22"/>
  <c r="V538" i="22"/>
  <c r="BB538" i="22" s="1"/>
  <c r="Q538" i="22"/>
  <c r="BR538" i="22" l="1"/>
  <c r="BD539" i="22"/>
  <c r="BI539" i="22"/>
  <c r="BR31" i="22"/>
  <c r="BJ31" i="22"/>
  <c r="O36" i="30"/>
  <c r="L36" i="30"/>
  <c r="T36" i="30"/>
  <c r="BE541" i="30"/>
  <c r="BL541" i="30" s="1"/>
  <c r="BB541" i="30"/>
  <c r="H544" i="30"/>
  <c r="I544" i="30" s="1"/>
  <c r="J543" i="30"/>
  <c r="H38" i="30"/>
  <c r="I38" i="30" s="1"/>
  <c r="J37" i="30"/>
  <c r="T542" i="30"/>
  <c r="L542" i="30"/>
  <c r="O542" i="30"/>
  <c r="BE35" i="30"/>
  <c r="BL35" i="30" s="1"/>
  <c r="BP35" i="30" s="1"/>
  <c r="BU35" i="30" s="1"/>
  <c r="BV35" i="30" s="1"/>
  <c r="BW35" i="30" s="1"/>
  <c r="BB35" i="30"/>
  <c r="BJ538" i="22"/>
  <c r="BQ538" i="22" s="1"/>
  <c r="BG538" i="22"/>
  <c r="BG31" i="22"/>
  <c r="M540" i="22"/>
  <c r="Z540" i="22" s="1"/>
  <c r="K541" i="22"/>
  <c r="L541" i="22" s="1"/>
  <c r="M33" i="22"/>
  <c r="K34" i="22"/>
  <c r="L34" i="22" s="1"/>
  <c r="P539" i="22"/>
  <c r="V539" i="22"/>
  <c r="BB539" i="22" s="1"/>
  <c r="Q539" i="22"/>
  <c r="Q32" i="22"/>
  <c r="V32" i="22"/>
  <c r="BB32" i="22" s="1"/>
  <c r="P32" i="22"/>
  <c r="BR539" i="22" l="1"/>
  <c r="BI540" i="22"/>
  <c r="BD540" i="22"/>
  <c r="BR32" i="22"/>
  <c r="BJ32" i="22"/>
  <c r="BQ32" i="22" s="1"/>
  <c r="BE542" i="30"/>
  <c r="BL542" i="30" s="1"/>
  <c r="BB542" i="30"/>
  <c r="J38" i="30"/>
  <c r="H39" i="30"/>
  <c r="I39" i="30" s="1"/>
  <c r="O543" i="30"/>
  <c r="T543" i="30"/>
  <c r="L543" i="30"/>
  <c r="T37" i="30"/>
  <c r="O37" i="30"/>
  <c r="L37" i="30"/>
  <c r="J544" i="30"/>
  <c r="H545" i="30"/>
  <c r="I545" i="30" s="1"/>
  <c r="BE36" i="30"/>
  <c r="BL36" i="30" s="1"/>
  <c r="BP36" i="30" s="1"/>
  <c r="BU36" i="30" s="1"/>
  <c r="BV36" i="30" s="1"/>
  <c r="BW36" i="30" s="1"/>
  <c r="BB36" i="30"/>
  <c r="BG32" i="22"/>
  <c r="BJ539" i="22"/>
  <c r="BQ539" i="22" s="1"/>
  <c r="BG539" i="22"/>
  <c r="BQ31" i="22"/>
  <c r="V33" i="22"/>
  <c r="BB33" i="22" s="1"/>
  <c r="Q33" i="22"/>
  <c r="P33" i="22"/>
  <c r="M541" i="22"/>
  <c r="Z541" i="22" s="1"/>
  <c r="K542" i="22"/>
  <c r="L542" i="22" s="1"/>
  <c r="M34" i="22"/>
  <c r="K35" i="22"/>
  <c r="L35" i="22" s="1"/>
  <c r="Q540" i="22"/>
  <c r="P540" i="22"/>
  <c r="V540" i="22"/>
  <c r="BB540" i="22" s="1"/>
  <c r="BR540" i="22" l="1"/>
  <c r="BI541" i="22"/>
  <c r="BD541" i="22"/>
  <c r="BR33" i="22"/>
  <c r="BJ33" i="22"/>
  <c r="BQ33" i="22" s="1"/>
  <c r="J545" i="30"/>
  <c r="H546" i="30"/>
  <c r="I546" i="30" s="1"/>
  <c r="BE37" i="30"/>
  <c r="BL37" i="30" s="1"/>
  <c r="BP37" i="30" s="1"/>
  <c r="BU37" i="30" s="1"/>
  <c r="BV37" i="30" s="1"/>
  <c r="BW37" i="30" s="1"/>
  <c r="BB37" i="30"/>
  <c r="BE543" i="30"/>
  <c r="BL543" i="30" s="1"/>
  <c r="BB543" i="30"/>
  <c r="J39" i="30"/>
  <c r="H40" i="30"/>
  <c r="I40" i="30" s="1"/>
  <c r="O38" i="30"/>
  <c r="L38" i="30"/>
  <c r="T38" i="30"/>
  <c r="T544" i="30"/>
  <c r="O544" i="30"/>
  <c r="L544" i="30"/>
  <c r="BG33" i="22"/>
  <c r="BJ540" i="22"/>
  <c r="BQ540" i="22" s="1"/>
  <c r="BG540" i="22"/>
  <c r="Q34" i="22"/>
  <c r="V34" i="22"/>
  <c r="BB34" i="22" s="1"/>
  <c r="P34" i="22"/>
  <c r="K36" i="22"/>
  <c r="L36" i="22" s="1"/>
  <c r="M35" i="22"/>
  <c r="K543" i="22"/>
  <c r="L543" i="22" s="1"/>
  <c r="M542" i="22"/>
  <c r="Z542" i="22" s="1"/>
  <c r="V541" i="22"/>
  <c r="BB541" i="22" s="1"/>
  <c r="Q541" i="22"/>
  <c r="P541" i="22"/>
  <c r="BR541" i="22" l="1"/>
  <c r="BI542" i="22"/>
  <c r="BD542" i="22"/>
  <c r="BR34" i="22"/>
  <c r="BJ34" i="22"/>
  <c r="BE544" i="30"/>
  <c r="BL544" i="30" s="1"/>
  <c r="BB544" i="30"/>
  <c r="H547" i="30"/>
  <c r="I547" i="30" s="1"/>
  <c r="J546" i="30"/>
  <c r="BE38" i="30"/>
  <c r="BL38" i="30" s="1"/>
  <c r="BP38" i="30" s="1"/>
  <c r="BU38" i="30" s="1"/>
  <c r="BV38" i="30" s="1"/>
  <c r="BW38" i="30" s="1"/>
  <c r="BB38" i="30"/>
  <c r="H41" i="30"/>
  <c r="I41" i="30" s="1"/>
  <c r="J40" i="30"/>
  <c r="L39" i="30"/>
  <c r="T39" i="30"/>
  <c r="O39" i="30"/>
  <c r="O545" i="30"/>
  <c r="L545" i="30"/>
  <c r="T545" i="30"/>
  <c r="BJ541" i="22"/>
  <c r="BQ541" i="22" s="1"/>
  <c r="BG541" i="22"/>
  <c r="BG34" i="22"/>
  <c r="V542" i="22"/>
  <c r="BB542" i="22" s="1"/>
  <c r="Q542" i="22"/>
  <c r="P542" i="22"/>
  <c r="M543" i="22"/>
  <c r="Z543" i="22" s="1"/>
  <c r="K544" i="22"/>
  <c r="L544" i="22" s="1"/>
  <c r="V35" i="22"/>
  <c r="BB35" i="22" s="1"/>
  <c r="Q35" i="22"/>
  <c r="P35" i="22"/>
  <c r="K37" i="22"/>
  <c r="L37" i="22" s="1"/>
  <c r="M36" i="22"/>
  <c r="BR542" i="22" l="1"/>
  <c r="BI543" i="22"/>
  <c r="BD543" i="22"/>
  <c r="BR35" i="22"/>
  <c r="BJ35" i="22"/>
  <c r="BQ35" i="22" s="1"/>
  <c r="BE545" i="30"/>
  <c r="BL545" i="30" s="1"/>
  <c r="BB545" i="30"/>
  <c r="O40" i="30"/>
  <c r="T40" i="30"/>
  <c r="L40" i="30"/>
  <c r="BE39" i="30"/>
  <c r="BL39" i="30" s="1"/>
  <c r="BP39" i="30" s="1"/>
  <c r="BU39" i="30" s="1"/>
  <c r="BV39" i="30" s="1"/>
  <c r="BW39" i="30" s="1"/>
  <c r="BB39" i="30"/>
  <c r="H548" i="30"/>
  <c r="I548" i="30" s="1"/>
  <c r="J547" i="30"/>
  <c r="H42" i="30"/>
  <c r="I42" i="30" s="1"/>
  <c r="J41" i="30"/>
  <c r="L546" i="30"/>
  <c r="O546" i="30"/>
  <c r="T546" i="30"/>
  <c r="BJ542" i="22"/>
  <c r="BQ542" i="22" s="1"/>
  <c r="BG542" i="22"/>
  <c r="BG35" i="22"/>
  <c r="BQ34" i="22"/>
  <c r="Q36" i="22"/>
  <c r="V36" i="22"/>
  <c r="BB36" i="22" s="1"/>
  <c r="P36" i="22"/>
  <c r="K38" i="22"/>
  <c r="L38" i="22" s="1"/>
  <c r="M37" i="22"/>
  <c r="K545" i="22"/>
  <c r="L545" i="22" s="1"/>
  <c r="M544" i="22"/>
  <c r="Z544" i="22" s="1"/>
  <c r="V543" i="22"/>
  <c r="BB543" i="22" s="1"/>
  <c r="Q543" i="22"/>
  <c r="P543" i="22"/>
  <c r="BR543" i="22" l="1"/>
  <c r="BD544" i="22"/>
  <c r="BI544" i="22"/>
  <c r="BR36" i="22"/>
  <c r="BJ36" i="22"/>
  <c r="BE546" i="30"/>
  <c r="BL546" i="30" s="1"/>
  <c r="BB546" i="30"/>
  <c r="T41" i="30"/>
  <c r="O41" i="30"/>
  <c r="L41" i="30"/>
  <c r="H43" i="30"/>
  <c r="I43" i="30" s="1"/>
  <c r="J42" i="30"/>
  <c r="O547" i="30"/>
  <c r="L547" i="30"/>
  <c r="T547" i="30"/>
  <c r="H549" i="30"/>
  <c r="I549" i="30" s="1"/>
  <c r="J548" i="30"/>
  <c r="BE40" i="30"/>
  <c r="BL40" i="30" s="1"/>
  <c r="BP40" i="30" s="1"/>
  <c r="BU40" i="30" s="1"/>
  <c r="BV40" i="30" s="1"/>
  <c r="BW40" i="30" s="1"/>
  <c r="BB40" i="30"/>
  <c r="BJ543" i="22"/>
  <c r="BQ543" i="22" s="1"/>
  <c r="BG543" i="22"/>
  <c r="BG36" i="22"/>
  <c r="M545" i="22"/>
  <c r="Z545" i="22" s="1"/>
  <c r="K546" i="22"/>
  <c r="L546" i="22" s="1"/>
  <c r="Q37" i="22"/>
  <c r="V37" i="22"/>
  <c r="BB37" i="22" s="1"/>
  <c r="P37" i="22"/>
  <c r="K39" i="22"/>
  <c r="L39" i="22" s="1"/>
  <c r="M38" i="22"/>
  <c r="V544" i="22"/>
  <c r="BB544" i="22" s="1"/>
  <c r="Q544" i="22"/>
  <c r="P544" i="22"/>
  <c r="BR544" i="22" l="1"/>
  <c r="BI545" i="22"/>
  <c r="BD545" i="22"/>
  <c r="BR37" i="22"/>
  <c r="BJ37" i="22"/>
  <c r="BQ37" i="22" s="1"/>
  <c r="H550" i="30"/>
  <c r="I550" i="30" s="1"/>
  <c r="J549" i="30"/>
  <c r="T548" i="30"/>
  <c r="L548" i="30"/>
  <c r="O548" i="30"/>
  <c r="BE547" i="30"/>
  <c r="BL547" i="30" s="1"/>
  <c r="BB547" i="30"/>
  <c r="T42" i="30"/>
  <c r="O42" i="30"/>
  <c r="L42" i="30"/>
  <c r="H44" i="30"/>
  <c r="I44" i="30" s="1"/>
  <c r="J43" i="30"/>
  <c r="BE41" i="30"/>
  <c r="BL41" i="30" s="1"/>
  <c r="BP41" i="30" s="1"/>
  <c r="BU41" i="30" s="1"/>
  <c r="BV41" i="30" s="1"/>
  <c r="BW41" i="30" s="1"/>
  <c r="BB41" i="30"/>
  <c r="BG37" i="22"/>
  <c r="BJ544" i="22"/>
  <c r="BQ544" i="22" s="1"/>
  <c r="BG544" i="22"/>
  <c r="BQ36" i="22"/>
  <c r="K40" i="22"/>
  <c r="L40" i="22" s="1"/>
  <c r="M39" i="22"/>
  <c r="M546" i="22"/>
  <c r="Z546" i="22" s="1"/>
  <c r="K547" i="22"/>
  <c r="L547" i="22" s="1"/>
  <c r="V38" i="22"/>
  <c r="BB38" i="22" s="1"/>
  <c r="Q38" i="22"/>
  <c r="P38" i="22"/>
  <c r="V545" i="22"/>
  <c r="BB545" i="22" s="1"/>
  <c r="Q545" i="22"/>
  <c r="P545" i="22"/>
  <c r="BR545" i="22" l="1"/>
  <c r="BD546" i="22"/>
  <c r="BI546" i="22"/>
  <c r="BR38" i="22"/>
  <c r="BJ38" i="22"/>
  <c r="BQ38" i="22" s="1"/>
  <c r="T43" i="30"/>
  <c r="O43" i="30"/>
  <c r="L43" i="30"/>
  <c r="H45" i="30"/>
  <c r="I45" i="30" s="1"/>
  <c r="J44" i="30"/>
  <c r="BE42" i="30"/>
  <c r="BL42" i="30" s="1"/>
  <c r="BP42" i="30" s="1"/>
  <c r="BU42" i="30" s="1"/>
  <c r="BV42" i="30" s="1"/>
  <c r="BW42" i="30" s="1"/>
  <c r="BB42" i="30"/>
  <c r="J550" i="30"/>
  <c r="H551" i="30"/>
  <c r="I551" i="30" s="1"/>
  <c r="BE548" i="30"/>
  <c r="BL548" i="30" s="1"/>
  <c r="BB548" i="30"/>
  <c r="L549" i="30"/>
  <c r="T549" i="30"/>
  <c r="O549" i="30"/>
  <c r="BG38" i="22"/>
  <c r="BJ545" i="22"/>
  <c r="BQ545" i="22" s="1"/>
  <c r="BG545" i="22"/>
  <c r="V39" i="22"/>
  <c r="BB39" i="22" s="1"/>
  <c r="Q39" i="22"/>
  <c r="P39" i="22"/>
  <c r="M547" i="22"/>
  <c r="Z547" i="22" s="1"/>
  <c r="K548" i="22"/>
  <c r="L548" i="22" s="1"/>
  <c r="V546" i="22"/>
  <c r="BB546" i="22" s="1"/>
  <c r="Q546" i="22"/>
  <c r="P546" i="22"/>
  <c r="K41" i="22"/>
  <c r="L41" i="22" s="1"/>
  <c r="M40" i="22"/>
  <c r="BR546" i="22" l="1"/>
  <c r="BD547" i="22"/>
  <c r="BI547" i="22"/>
  <c r="BR39" i="22"/>
  <c r="BJ39" i="22"/>
  <c r="BE549" i="30"/>
  <c r="BL549" i="30" s="1"/>
  <c r="BB549" i="30"/>
  <c r="J551" i="30"/>
  <c r="H552" i="30"/>
  <c r="I552" i="30" s="1"/>
  <c r="O550" i="30"/>
  <c r="L550" i="30"/>
  <c r="T550" i="30"/>
  <c r="H46" i="30"/>
  <c r="I46" i="30" s="1"/>
  <c r="J45" i="30"/>
  <c r="O44" i="30"/>
  <c r="L44" i="30"/>
  <c r="T44" i="30"/>
  <c r="BE43" i="30"/>
  <c r="BL43" i="30" s="1"/>
  <c r="BP43" i="30" s="1"/>
  <c r="BU43" i="30" s="1"/>
  <c r="BV43" i="30" s="1"/>
  <c r="BW43" i="30" s="1"/>
  <c r="BB43" i="30"/>
  <c r="BJ546" i="22"/>
  <c r="BQ546" i="22" s="1"/>
  <c r="BG546" i="22"/>
  <c r="BG39" i="22"/>
  <c r="V547" i="22"/>
  <c r="BB547" i="22" s="1"/>
  <c r="Q547" i="22"/>
  <c r="P547" i="22"/>
  <c r="V40" i="22"/>
  <c r="BB40" i="22" s="1"/>
  <c r="Q40" i="22"/>
  <c r="P40" i="22"/>
  <c r="K42" i="22"/>
  <c r="L42" i="22" s="1"/>
  <c r="M41" i="22"/>
  <c r="K549" i="22"/>
  <c r="L549" i="22" s="1"/>
  <c r="M548" i="22"/>
  <c r="Z548" i="22" s="1"/>
  <c r="BR547" i="22" l="1"/>
  <c r="BI548" i="22"/>
  <c r="BD548" i="22"/>
  <c r="BR40" i="22"/>
  <c r="BJ40" i="22"/>
  <c r="BQ40" i="22" s="1"/>
  <c r="BE44" i="30"/>
  <c r="BL44" i="30" s="1"/>
  <c r="BP44" i="30" s="1"/>
  <c r="BU44" i="30" s="1"/>
  <c r="BV44" i="30" s="1"/>
  <c r="BW44" i="30" s="1"/>
  <c r="BB44" i="30"/>
  <c r="J46" i="30"/>
  <c r="H47" i="30"/>
  <c r="I47" i="30" s="1"/>
  <c r="T45" i="30"/>
  <c r="L45" i="30"/>
  <c r="O45" i="30"/>
  <c r="BE550" i="30"/>
  <c r="BL550" i="30" s="1"/>
  <c r="BB550" i="30"/>
  <c r="J552" i="30"/>
  <c r="H553" i="30"/>
  <c r="I553" i="30" s="1"/>
  <c r="O551" i="30"/>
  <c r="T551" i="30"/>
  <c r="L551" i="30"/>
  <c r="BG40" i="22"/>
  <c r="BJ547" i="22"/>
  <c r="BQ547" i="22" s="1"/>
  <c r="BG547" i="22"/>
  <c r="BQ39" i="22"/>
  <c r="K550" i="22"/>
  <c r="L550" i="22" s="1"/>
  <c r="M549" i="22"/>
  <c r="Z549" i="22" s="1"/>
  <c r="V548" i="22"/>
  <c r="BB548" i="22" s="1"/>
  <c r="Q548" i="22"/>
  <c r="P548" i="22"/>
  <c r="V41" i="22"/>
  <c r="BB41" i="22" s="1"/>
  <c r="Q41" i="22"/>
  <c r="P41" i="22"/>
  <c r="K43" i="22"/>
  <c r="L43" i="22" s="1"/>
  <c r="M42" i="22"/>
  <c r="BR548" i="22" l="1"/>
  <c r="BI549" i="22"/>
  <c r="BD549" i="22"/>
  <c r="BR41" i="22"/>
  <c r="BJ41" i="22"/>
  <c r="BQ41" i="22" s="1"/>
  <c r="J553" i="30"/>
  <c r="H554" i="30"/>
  <c r="I554" i="30" s="1"/>
  <c r="J47" i="30"/>
  <c r="H48" i="30"/>
  <c r="I48" i="30" s="1"/>
  <c r="BE551" i="30"/>
  <c r="BL551" i="30" s="1"/>
  <c r="BB551" i="30"/>
  <c r="BE45" i="30"/>
  <c r="BL45" i="30" s="1"/>
  <c r="BP45" i="30" s="1"/>
  <c r="BU45" i="30" s="1"/>
  <c r="BV45" i="30" s="1"/>
  <c r="BW45" i="30" s="1"/>
  <c r="BB45" i="30"/>
  <c r="L46" i="30"/>
  <c r="O46" i="30"/>
  <c r="T46" i="30"/>
  <c r="L552" i="30"/>
  <c r="T552" i="30"/>
  <c r="O552" i="30"/>
  <c r="BG41" i="22"/>
  <c r="BJ548" i="22"/>
  <c r="BQ548" i="22" s="1"/>
  <c r="BG548" i="22"/>
  <c r="Q42" i="22"/>
  <c r="P42" i="22"/>
  <c r="V42" i="22"/>
  <c r="BB42" i="22" s="1"/>
  <c r="V549" i="22"/>
  <c r="BB549" i="22" s="1"/>
  <c r="Q549" i="22"/>
  <c r="P549" i="22"/>
  <c r="K44" i="22"/>
  <c r="L44" i="22" s="1"/>
  <c r="M43" i="22"/>
  <c r="M550" i="22"/>
  <c r="Z550" i="22" s="1"/>
  <c r="K551" i="22"/>
  <c r="L551" i="22" s="1"/>
  <c r="BR549" i="22" l="1"/>
  <c r="BD550" i="22"/>
  <c r="BI550" i="22"/>
  <c r="BR42" i="22"/>
  <c r="BJ42" i="22"/>
  <c r="BQ42" i="22" s="1"/>
  <c r="BE46" i="30"/>
  <c r="BL46" i="30" s="1"/>
  <c r="BP46" i="30" s="1"/>
  <c r="BU46" i="30" s="1"/>
  <c r="BV46" i="30" s="1"/>
  <c r="BW46" i="30" s="1"/>
  <c r="BB46" i="30"/>
  <c r="BE552" i="30"/>
  <c r="BL552" i="30" s="1"/>
  <c r="BB552" i="30"/>
  <c r="J48" i="30"/>
  <c r="H49" i="30"/>
  <c r="I49" i="30" s="1"/>
  <c r="T47" i="30"/>
  <c r="L47" i="30"/>
  <c r="O47" i="30"/>
  <c r="J554" i="30"/>
  <c r="H555" i="30"/>
  <c r="I555" i="30" s="1"/>
  <c r="O553" i="30"/>
  <c r="L553" i="30"/>
  <c r="T553" i="30"/>
  <c r="BG42" i="22"/>
  <c r="BJ549" i="22"/>
  <c r="BQ549" i="22" s="1"/>
  <c r="BG549" i="22"/>
  <c r="K552" i="22"/>
  <c r="L552" i="22" s="1"/>
  <c r="M551" i="22"/>
  <c r="Z551" i="22" s="1"/>
  <c r="Q43" i="22"/>
  <c r="V43" i="22"/>
  <c r="BB43" i="22" s="1"/>
  <c r="P43" i="22"/>
  <c r="V550" i="22"/>
  <c r="BB550" i="22" s="1"/>
  <c r="Q550" i="22"/>
  <c r="P550" i="22"/>
  <c r="K45" i="22"/>
  <c r="L45" i="22" s="1"/>
  <c r="M44" i="22"/>
  <c r="BR550" i="22" l="1"/>
  <c r="BI551" i="22"/>
  <c r="BD551" i="22"/>
  <c r="BR43" i="22"/>
  <c r="BJ43" i="22"/>
  <c r="BQ43" i="22" s="1"/>
  <c r="BE47" i="30"/>
  <c r="BL47" i="30" s="1"/>
  <c r="BP47" i="30" s="1"/>
  <c r="BU47" i="30" s="1"/>
  <c r="BV47" i="30" s="1"/>
  <c r="BW47" i="30" s="1"/>
  <c r="BB47" i="30"/>
  <c r="BE553" i="30"/>
  <c r="BL553" i="30" s="1"/>
  <c r="BB553" i="30"/>
  <c r="J555" i="30"/>
  <c r="H556" i="30"/>
  <c r="I556" i="30" s="1"/>
  <c r="O554" i="30"/>
  <c r="T554" i="30"/>
  <c r="L554" i="30"/>
  <c r="J49" i="30"/>
  <c r="H50" i="30"/>
  <c r="I50" i="30" s="1"/>
  <c r="L48" i="30"/>
  <c r="T48" i="30"/>
  <c r="O48" i="30"/>
  <c r="BJ550" i="22"/>
  <c r="BQ550" i="22" s="1"/>
  <c r="BG550" i="22"/>
  <c r="BG43" i="22"/>
  <c r="V44" i="22"/>
  <c r="BB44" i="22" s="1"/>
  <c r="Q44" i="22"/>
  <c r="P44" i="22"/>
  <c r="K46" i="22"/>
  <c r="L46" i="22" s="1"/>
  <c r="M45" i="22"/>
  <c r="V551" i="22"/>
  <c r="BB551" i="22" s="1"/>
  <c r="Q551" i="22"/>
  <c r="P551" i="22"/>
  <c r="M552" i="22"/>
  <c r="Z552" i="22" s="1"/>
  <c r="K553" i="22"/>
  <c r="L553" i="22" s="1"/>
  <c r="BR551" i="22" l="1"/>
  <c r="BD552" i="22"/>
  <c r="BI552" i="22"/>
  <c r="BR44" i="22"/>
  <c r="BJ44" i="22"/>
  <c r="J556" i="30"/>
  <c r="H557" i="30"/>
  <c r="I557" i="30" s="1"/>
  <c r="T555" i="30"/>
  <c r="O555" i="30"/>
  <c r="L555" i="30"/>
  <c r="BE48" i="30"/>
  <c r="BL48" i="30" s="1"/>
  <c r="BP48" i="30" s="1"/>
  <c r="BU48" i="30" s="1"/>
  <c r="BV48" i="30" s="1"/>
  <c r="BW48" i="30" s="1"/>
  <c r="BB48" i="30"/>
  <c r="H51" i="30"/>
  <c r="J51" i="30" s="1"/>
  <c r="J50" i="30"/>
  <c r="BE554" i="30"/>
  <c r="BL554" i="30" s="1"/>
  <c r="BB554" i="30"/>
  <c r="O49" i="30"/>
  <c r="L49" i="30"/>
  <c r="T49" i="30"/>
  <c r="BG44" i="22"/>
  <c r="BJ551" i="22"/>
  <c r="BQ551" i="22" s="1"/>
  <c r="BG551" i="22"/>
  <c r="K554" i="22"/>
  <c r="L554" i="22" s="1"/>
  <c r="M553" i="22"/>
  <c r="Z553" i="22" s="1"/>
  <c r="V552" i="22"/>
  <c r="BB552" i="22" s="1"/>
  <c r="Q552" i="22"/>
  <c r="P552" i="22"/>
  <c r="K47" i="22"/>
  <c r="L47" i="22" s="1"/>
  <c r="M46" i="22"/>
  <c r="V45" i="22"/>
  <c r="BB45" i="22" s="1"/>
  <c r="Q45" i="22"/>
  <c r="P45" i="22"/>
  <c r="BR552" i="22" l="1"/>
  <c r="BI553" i="22"/>
  <c r="BD553" i="22"/>
  <c r="BR45" i="22"/>
  <c r="BJ45" i="22"/>
  <c r="BQ45" i="22" s="1"/>
  <c r="L51" i="30"/>
  <c r="T51" i="30"/>
  <c r="O51" i="30"/>
  <c r="BE49" i="30"/>
  <c r="BL49" i="30" s="1"/>
  <c r="BP49" i="30" s="1"/>
  <c r="BU49" i="30" s="1"/>
  <c r="BV49" i="30" s="1"/>
  <c r="BW49" i="30" s="1"/>
  <c r="BB49" i="30"/>
  <c r="T50" i="30"/>
  <c r="O50" i="30"/>
  <c r="L50" i="30"/>
  <c r="BE555" i="30"/>
  <c r="BL555" i="30" s="1"/>
  <c r="BB555" i="30"/>
  <c r="H558" i="30"/>
  <c r="I558" i="30" s="1"/>
  <c r="J557" i="30"/>
  <c r="T556" i="30"/>
  <c r="L556" i="30"/>
  <c r="O556" i="30"/>
  <c r="BG45" i="22"/>
  <c r="BJ552" i="22"/>
  <c r="BQ552" i="22" s="1"/>
  <c r="BG552" i="22"/>
  <c r="BQ44" i="22"/>
  <c r="V553" i="22"/>
  <c r="BB553" i="22" s="1"/>
  <c r="Q553" i="22"/>
  <c r="P553" i="22"/>
  <c r="V46" i="22"/>
  <c r="BB46" i="22" s="1"/>
  <c r="P46" i="22"/>
  <c r="Q46" i="22"/>
  <c r="K48" i="22"/>
  <c r="L48" i="22" s="1"/>
  <c r="M47" i="22"/>
  <c r="K555" i="22"/>
  <c r="L555" i="22" s="1"/>
  <c r="M554" i="22"/>
  <c r="Z554" i="22" s="1"/>
  <c r="BR553" i="22" l="1"/>
  <c r="BI554" i="22"/>
  <c r="BD554" i="22"/>
  <c r="BR46" i="22"/>
  <c r="BJ46" i="22"/>
  <c r="BQ46" i="22" s="1"/>
  <c r="BE51" i="30"/>
  <c r="BL51" i="30" s="1"/>
  <c r="BP51" i="30" s="1"/>
  <c r="BU51" i="30" s="1"/>
  <c r="BV51" i="30" s="1"/>
  <c r="BW51" i="30" s="1"/>
  <c r="BB51" i="30"/>
  <c r="J558" i="30"/>
  <c r="H559" i="30"/>
  <c r="I559" i="30" s="1"/>
  <c r="BE50" i="30"/>
  <c r="BL50" i="30" s="1"/>
  <c r="BP50" i="30" s="1"/>
  <c r="BU50" i="30" s="1"/>
  <c r="BV50" i="30" s="1"/>
  <c r="BW50" i="30" s="1"/>
  <c r="BB50" i="30"/>
  <c r="BE556" i="30"/>
  <c r="BL556" i="30" s="1"/>
  <c r="BB556" i="30"/>
  <c r="O557" i="30"/>
  <c r="L557" i="30"/>
  <c r="T557" i="30"/>
  <c r="BG46" i="22"/>
  <c r="BJ553" i="22"/>
  <c r="BQ553" i="22" s="1"/>
  <c r="BG553" i="22"/>
  <c r="M555" i="22"/>
  <c r="Z555" i="22" s="1"/>
  <c r="K556" i="22"/>
  <c r="L556" i="22" s="1"/>
  <c r="V554" i="22"/>
  <c r="BB554" i="22" s="1"/>
  <c r="Q554" i="22"/>
  <c r="P554" i="22"/>
  <c r="V47" i="22"/>
  <c r="BB47" i="22" s="1"/>
  <c r="Q47" i="22"/>
  <c r="P47" i="22"/>
  <c r="K49" i="22"/>
  <c r="L49" i="22" s="1"/>
  <c r="M48" i="22"/>
  <c r="BN50" i="30" l="1"/>
  <c r="BR554" i="22"/>
  <c r="BD555" i="22"/>
  <c r="BI555" i="22"/>
  <c r="BR47" i="22"/>
  <c r="BJ47" i="22"/>
  <c r="BQ47" i="22" s="1"/>
  <c r="BN51" i="30"/>
  <c r="BN6" i="30"/>
  <c r="BN7" i="30"/>
  <c r="BN9" i="30"/>
  <c r="BN8" i="30"/>
  <c r="BN5" i="30"/>
  <c r="BN10" i="30"/>
  <c r="BN11" i="30"/>
  <c r="BN12" i="30"/>
  <c r="BN17" i="30"/>
  <c r="BN18" i="30"/>
  <c r="BN19" i="30"/>
  <c r="BN20" i="30"/>
  <c r="BN21" i="30"/>
  <c r="BN22" i="30"/>
  <c r="BN23" i="30"/>
  <c r="BN28" i="30"/>
  <c r="BN29" i="30"/>
  <c r="BN30" i="30"/>
  <c r="BN31" i="30"/>
  <c r="BN32" i="30"/>
  <c r="BN33" i="30"/>
  <c r="BN34" i="30"/>
  <c r="BN35" i="30"/>
  <c r="BN36" i="30"/>
  <c r="BN37" i="30"/>
  <c r="BN38" i="30"/>
  <c r="BN39" i="30"/>
  <c r="BN40" i="30"/>
  <c r="BN41" i="30"/>
  <c r="BN42" i="30"/>
  <c r="BN43" i="30"/>
  <c r="BN44" i="30"/>
  <c r="BN45" i="30"/>
  <c r="BN48" i="30"/>
  <c r="BN46" i="30"/>
  <c r="BN47" i="30"/>
  <c r="BN49" i="30"/>
  <c r="BE557" i="30"/>
  <c r="BL557" i="30" s="1"/>
  <c r="BB557" i="30"/>
  <c r="J559" i="30"/>
  <c r="H560" i="30"/>
  <c r="I560" i="30" s="1"/>
  <c r="O558" i="30"/>
  <c r="T558" i="30"/>
  <c r="L558" i="30"/>
  <c r="BN4" i="30"/>
  <c r="BG47" i="22"/>
  <c r="BJ554" i="22"/>
  <c r="BQ554" i="22" s="1"/>
  <c r="BG554" i="22"/>
  <c r="V48" i="22"/>
  <c r="BB48" i="22" s="1"/>
  <c r="Q48" i="22"/>
  <c r="P48" i="22"/>
  <c r="K50" i="22"/>
  <c r="M50" i="22" s="1"/>
  <c r="M49" i="22"/>
  <c r="M556" i="22"/>
  <c r="Z556" i="22" s="1"/>
  <c r="K557" i="22"/>
  <c r="L557" i="22" s="1"/>
  <c r="V555" i="22"/>
  <c r="BB555" i="22" s="1"/>
  <c r="Q555" i="22"/>
  <c r="P555" i="22"/>
  <c r="BR555" i="22" l="1"/>
  <c r="BI556" i="22"/>
  <c r="BD556" i="22"/>
  <c r="BR48" i="22"/>
  <c r="BJ48" i="22"/>
  <c r="BE558" i="30"/>
  <c r="BL558" i="30" s="1"/>
  <c r="BB558" i="30"/>
  <c r="H561" i="30"/>
  <c r="I561" i="30" s="1"/>
  <c r="J560" i="30"/>
  <c r="T559" i="30"/>
  <c r="O559" i="30"/>
  <c r="L559" i="30"/>
  <c r="BJ555" i="22"/>
  <c r="BQ555" i="22" s="1"/>
  <c r="BG555" i="22"/>
  <c r="BG48" i="22"/>
  <c r="K558" i="22"/>
  <c r="L558" i="22" s="1"/>
  <c r="M557" i="22"/>
  <c r="Z557" i="22" s="1"/>
  <c r="V556" i="22"/>
  <c r="BB556" i="22" s="1"/>
  <c r="Q556" i="22"/>
  <c r="P556" i="22"/>
  <c r="V49" i="22"/>
  <c r="BB49" i="22" s="1"/>
  <c r="Q49" i="22"/>
  <c r="P49" i="22"/>
  <c r="V50" i="22"/>
  <c r="BB50" i="22" s="1"/>
  <c r="Q50" i="22"/>
  <c r="P50" i="22"/>
  <c r="BR556" i="22" l="1"/>
  <c r="BD557" i="22"/>
  <c r="BI557" i="22"/>
  <c r="BR50" i="22"/>
  <c r="BJ50" i="22"/>
  <c r="BQ50" i="22" s="1"/>
  <c r="BR49" i="22"/>
  <c r="BJ49" i="22"/>
  <c r="BQ49" i="22" s="1"/>
  <c r="BE559" i="30"/>
  <c r="BL559" i="30" s="1"/>
  <c r="BB559" i="30"/>
  <c r="T560" i="30"/>
  <c r="L560" i="30"/>
  <c r="O560" i="30"/>
  <c r="J561" i="30"/>
  <c r="H562" i="30"/>
  <c r="I562" i="30" s="1"/>
  <c r="BG50" i="22"/>
  <c r="BJ556" i="22"/>
  <c r="BQ556" i="22" s="1"/>
  <c r="BG556" i="22"/>
  <c r="BG49" i="22"/>
  <c r="BQ48" i="22"/>
  <c r="V557" i="22"/>
  <c r="BB557" i="22" s="1"/>
  <c r="Q557" i="22"/>
  <c r="P557" i="22"/>
  <c r="M558" i="22"/>
  <c r="Z558" i="22" s="1"/>
  <c r="K559" i="22"/>
  <c r="L559" i="22" s="1"/>
  <c r="BR557" i="22" l="1"/>
  <c r="BI558" i="22"/>
  <c r="BD558" i="22"/>
  <c r="J562" i="30"/>
  <c r="H563" i="30"/>
  <c r="I563" i="30" s="1"/>
  <c r="O561" i="30"/>
  <c r="T561" i="30"/>
  <c r="L561" i="30"/>
  <c r="BE560" i="30"/>
  <c r="BL560" i="30" s="1"/>
  <c r="BB560" i="30"/>
  <c r="BJ557" i="22"/>
  <c r="BQ557" i="22" s="1"/>
  <c r="BG557" i="22"/>
  <c r="M559" i="22"/>
  <c r="Z559" i="22" s="1"/>
  <c r="K560" i="22"/>
  <c r="L560" i="22" s="1"/>
  <c r="V558" i="22"/>
  <c r="BB558" i="22" s="1"/>
  <c r="Q558" i="22"/>
  <c r="P558" i="22"/>
  <c r="BR558" i="22" l="1"/>
  <c r="BI559" i="22"/>
  <c r="BD559" i="22"/>
  <c r="BE561" i="30"/>
  <c r="BL561" i="30" s="1"/>
  <c r="BP561" i="30" s="1"/>
  <c r="BU561" i="30" s="1"/>
  <c r="BV561" i="30" s="1"/>
  <c r="BW561" i="30" s="1"/>
  <c r="BB561" i="30"/>
  <c r="J563" i="30"/>
  <c r="H564" i="30"/>
  <c r="I564" i="30" s="1"/>
  <c r="T562" i="30"/>
  <c r="O562" i="30"/>
  <c r="L562" i="30"/>
  <c r="BJ558" i="22"/>
  <c r="BQ558" i="22" s="1"/>
  <c r="BG558" i="22"/>
  <c r="M560" i="22"/>
  <c r="Z560" i="22" s="1"/>
  <c r="K561" i="22"/>
  <c r="L561" i="22" s="1"/>
  <c r="V559" i="22"/>
  <c r="BB559" i="22" s="1"/>
  <c r="Q559" i="22"/>
  <c r="P559" i="22"/>
  <c r="BR559" i="22" l="1"/>
  <c r="BD560" i="22"/>
  <c r="BI560" i="22"/>
  <c r="T563" i="30"/>
  <c r="O563" i="30"/>
  <c r="L563" i="30"/>
  <c r="BE562" i="30"/>
  <c r="BL562" i="30" s="1"/>
  <c r="BP562" i="30" s="1"/>
  <c r="BU562" i="30" s="1"/>
  <c r="BV562" i="30" s="1"/>
  <c r="BW562" i="30" s="1"/>
  <c r="BB562" i="30"/>
  <c r="H565" i="30"/>
  <c r="I565" i="30" s="1"/>
  <c r="J564" i="30"/>
  <c r="BJ559" i="22"/>
  <c r="BQ559" i="22" s="1"/>
  <c r="BG559" i="22"/>
  <c r="M561" i="22"/>
  <c r="Z561" i="22" s="1"/>
  <c r="K562" i="22"/>
  <c r="L562" i="22" s="1"/>
  <c r="V560" i="22"/>
  <c r="P560" i="22"/>
  <c r="Q560" i="22"/>
  <c r="BI561" i="22" l="1"/>
  <c r="BD561" i="22"/>
  <c r="BB560" i="22"/>
  <c r="BR560" i="22" s="1"/>
  <c r="L564" i="30"/>
  <c r="T564" i="30"/>
  <c r="O564" i="30"/>
  <c r="BE563" i="30"/>
  <c r="BL563" i="30" s="1"/>
  <c r="BP563" i="30" s="1"/>
  <c r="BU563" i="30" s="1"/>
  <c r="BV563" i="30" s="1"/>
  <c r="BW563" i="30" s="1"/>
  <c r="BB563" i="30"/>
  <c r="J565" i="30"/>
  <c r="H566" i="30"/>
  <c r="I566" i="30" s="1"/>
  <c r="BJ560" i="22"/>
  <c r="BQ560" i="22" s="1"/>
  <c r="BG560" i="22"/>
  <c r="M562" i="22"/>
  <c r="Z562" i="22" s="1"/>
  <c r="K563" i="22"/>
  <c r="L563" i="22" s="1"/>
  <c r="Q561" i="22"/>
  <c r="V561" i="22"/>
  <c r="P561" i="22"/>
  <c r="BD562" i="22" l="1"/>
  <c r="BI562" i="22"/>
  <c r="BB561" i="22"/>
  <c r="BR561" i="22" s="1"/>
  <c r="H567" i="30"/>
  <c r="I567" i="30" s="1"/>
  <c r="J566" i="30"/>
  <c r="O565" i="30"/>
  <c r="T565" i="30"/>
  <c r="L565" i="30"/>
  <c r="BE564" i="30"/>
  <c r="BL564" i="30" s="1"/>
  <c r="BP564" i="30" s="1"/>
  <c r="BU564" i="30" s="1"/>
  <c r="BV564" i="30" s="1"/>
  <c r="BW564" i="30" s="1"/>
  <c r="BB564" i="30"/>
  <c r="BJ561" i="22"/>
  <c r="BQ561" i="22" s="1"/>
  <c r="BG561" i="22"/>
  <c r="K564" i="22"/>
  <c r="L564" i="22" s="1"/>
  <c r="M563" i="22"/>
  <c r="Z563" i="22" s="1"/>
  <c r="V562" i="22"/>
  <c r="P562" i="22"/>
  <c r="Q562" i="22"/>
  <c r="BI563" i="22" l="1"/>
  <c r="BD563" i="22"/>
  <c r="BB562" i="22"/>
  <c r="BR562" i="22" s="1"/>
  <c r="BE565" i="30"/>
  <c r="BL565" i="30" s="1"/>
  <c r="BP565" i="30" s="1"/>
  <c r="BU565" i="30" s="1"/>
  <c r="BV565" i="30" s="1"/>
  <c r="BW565" i="30" s="1"/>
  <c r="BB565" i="30"/>
  <c r="T566" i="30"/>
  <c r="O566" i="30"/>
  <c r="L566" i="30"/>
  <c r="H568" i="30"/>
  <c r="I568" i="30" s="1"/>
  <c r="J567" i="30"/>
  <c r="BJ562" i="22"/>
  <c r="BQ562" i="22" s="1"/>
  <c r="BG562" i="22"/>
  <c r="P563" i="22"/>
  <c r="V563" i="22"/>
  <c r="Q563" i="22"/>
  <c r="K565" i="22"/>
  <c r="L565" i="22" s="1"/>
  <c r="M564" i="22"/>
  <c r="Z564" i="22" s="1"/>
  <c r="BI564" i="22" l="1"/>
  <c r="BD564" i="22"/>
  <c r="BB563" i="22"/>
  <c r="BR563" i="22" s="1"/>
  <c r="T567" i="30"/>
  <c r="L567" i="30"/>
  <c r="O567" i="30"/>
  <c r="J568" i="30"/>
  <c r="H569" i="30"/>
  <c r="I569" i="30" s="1"/>
  <c r="BE566" i="30"/>
  <c r="BL566" i="30" s="1"/>
  <c r="BP566" i="30" s="1"/>
  <c r="BU566" i="30" s="1"/>
  <c r="BV566" i="30" s="1"/>
  <c r="BW566" i="30" s="1"/>
  <c r="BB566" i="30"/>
  <c r="BJ563" i="22"/>
  <c r="BQ563" i="22" s="1"/>
  <c r="BG563" i="22"/>
  <c r="Q564" i="22"/>
  <c r="V564" i="22"/>
  <c r="P564" i="22"/>
  <c r="K566" i="22"/>
  <c r="L566" i="22" s="1"/>
  <c r="M565" i="22"/>
  <c r="Z565" i="22" s="1"/>
  <c r="BI565" i="22" l="1"/>
  <c r="BD565" i="22"/>
  <c r="BB564" i="22"/>
  <c r="BR564" i="22" s="1"/>
  <c r="J569" i="30"/>
  <c r="H570" i="30"/>
  <c r="I570" i="30" s="1"/>
  <c r="L568" i="30"/>
  <c r="T568" i="30"/>
  <c r="O568" i="30"/>
  <c r="BE567" i="30"/>
  <c r="BL567" i="30" s="1"/>
  <c r="BP567" i="30" s="1"/>
  <c r="BU567" i="30" s="1"/>
  <c r="BV567" i="30" s="1"/>
  <c r="BW567" i="30" s="1"/>
  <c r="BB567" i="30"/>
  <c r="BJ564" i="22"/>
  <c r="BQ564" i="22" s="1"/>
  <c r="BG564" i="22"/>
  <c r="V565" i="22"/>
  <c r="Q565" i="22"/>
  <c r="P565" i="22"/>
  <c r="M566" i="22"/>
  <c r="Z566" i="22" s="1"/>
  <c r="K567" i="22"/>
  <c r="L567" i="22" s="1"/>
  <c r="BD566" i="22" l="1"/>
  <c r="BI566" i="22"/>
  <c r="BB565" i="22"/>
  <c r="BR565" i="22" s="1"/>
  <c r="BE568" i="30"/>
  <c r="BL568" i="30" s="1"/>
  <c r="BP568" i="30" s="1"/>
  <c r="BU568" i="30" s="1"/>
  <c r="BV568" i="30" s="1"/>
  <c r="BW568" i="30" s="1"/>
  <c r="BB568" i="30"/>
  <c r="J570" i="30"/>
  <c r="H571" i="30"/>
  <c r="I571" i="30" s="1"/>
  <c r="O569" i="30"/>
  <c r="T569" i="30"/>
  <c r="L569" i="30"/>
  <c r="BJ565" i="22"/>
  <c r="BQ565" i="22" s="1"/>
  <c r="BG565" i="22"/>
  <c r="M567" i="22"/>
  <c r="Z567" i="22" s="1"/>
  <c r="K568" i="22"/>
  <c r="L568" i="22" s="1"/>
  <c r="P566" i="22"/>
  <c r="V566" i="22"/>
  <c r="Q566" i="22"/>
  <c r="BI567" i="22" l="1"/>
  <c r="BD567" i="22"/>
  <c r="BB566" i="22"/>
  <c r="BR566" i="22" s="1"/>
  <c r="BE569" i="30"/>
  <c r="BL569" i="30" s="1"/>
  <c r="BP569" i="30" s="1"/>
  <c r="BU569" i="30" s="1"/>
  <c r="BV569" i="30" s="1"/>
  <c r="BW569" i="30" s="1"/>
  <c r="BB569" i="30"/>
  <c r="H572" i="30"/>
  <c r="I572" i="30" s="1"/>
  <c r="J571" i="30"/>
  <c r="L570" i="30"/>
  <c r="T570" i="30"/>
  <c r="O570" i="30"/>
  <c r="BJ566" i="22"/>
  <c r="BQ566" i="22" s="1"/>
  <c r="BG566" i="22"/>
  <c r="M568" i="22"/>
  <c r="Z568" i="22" s="1"/>
  <c r="K569" i="22"/>
  <c r="L569" i="22" s="1"/>
  <c r="P567" i="22"/>
  <c r="Q567" i="22"/>
  <c r="V567" i="22"/>
  <c r="BD568" i="22" l="1"/>
  <c r="BI568" i="22"/>
  <c r="BB567" i="22"/>
  <c r="BR567" i="22" s="1"/>
  <c r="BE570" i="30"/>
  <c r="BL570" i="30" s="1"/>
  <c r="BP570" i="30" s="1"/>
  <c r="BU570" i="30" s="1"/>
  <c r="BV570" i="30" s="1"/>
  <c r="BW570" i="30" s="1"/>
  <c r="BB570" i="30"/>
  <c r="O571" i="30"/>
  <c r="L571" i="30"/>
  <c r="T571" i="30"/>
  <c r="J572" i="30"/>
  <c r="H573" i="30"/>
  <c r="I573" i="30" s="1"/>
  <c r="BJ567" i="22"/>
  <c r="BQ567" i="22" s="1"/>
  <c r="BG567" i="22"/>
  <c r="M569" i="22"/>
  <c r="Z569" i="22" s="1"/>
  <c r="K570" i="22"/>
  <c r="L570" i="22" s="1"/>
  <c r="V568" i="22"/>
  <c r="Q568" i="22"/>
  <c r="P568" i="22"/>
  <c r="BI569" i="22" l="1"/>
  <c r="BD569" i="22"/>
  <c r="BB568" i="22"/>
  <c r="BR568" i="22" s="1"/>
  <c r="J573" i="30"/>
  <c r="H574" i="30"/>
  <c r="I574" i="30" s="1"/>
  <c r="T572" i="30"/>
  <c r="O572" i="30"/>
  <c r="L572" i="30"/>
  <c r="BE571" i="30"/>
  <c r="BL571" i="30" s="1"/>
  <c r="BP571" i="30" s="1"/>
  <c r="BU571" i="30" s="1"/>
  <c r="BV571" i="30" s="1"/>
  <c r="BW571" i="30" s="1"/>
  <c r="BB571" i="30"/>
  <c r="BJ568" i="22"/>
  <c r="BQ568" i="22" s="1"/>
  <c r="BG568" i="22"/>
  <c r="M570" i="22"/>
  <c r="Z570" i="22" s="1"/>
  <c r="K571" i="22"/>
  <c r="L571" i="22" s="1"/>
  <c r="V569" i="22"/>
  <c r="P569" i="22"/>
  <c r="BI570" i="22" l="1"/>
  <c r="BD570" i="22"/>
  <c r="BB569" i="22"/>
  <c r="BR569" i="22" s="1"/>
  <c r="BE572" i="30"/>
  <c r="BL572" i="30" s="1"/>
  <c r="BP572" i="30" s="1"/>
  <c r="BU572" i="30" s="1"/>
  <c r="BV572" i="30" s="1"/>
  <c r="BW572" i="30" s="1"/>
  <c r="BB572" i="30"/>
  <c r="J574" i="30"/>
  <c r="H575" i="30"/>
  <c r="I575" i="30" s="1"/>
  <c r="T573" i="30"/>
  <c r="L573" i="30"/>
  <c r="O573" i="30"/>
  <c r="BJ569" i="22"/>
  <c r="BQ569" i="22" s="1"/>
  <c r="BG569" i="22"/>
  <c r="M571" i="22"/>
  <c r="Z571" i="22" s="1"/>
  <c r="K572" i="22"/>
  <c r="L572" i="22" s="1"/>
  <c r="P570" i="22"/>
  <c r="V570" i="22"/>
  <c r="Q570" i="22"/>
  <c r="BD571" i="22" l="1"/>
  <c r="BI571" i="22"/>
  <c r="BB570" i="22"/>
  <c r="BR570" i="22" s="1"/>
  <c r="BE573" i="30"/>
  <c r="BL573" i="30" s="1"/>
  <c r="BP573" i="30" s="1"/>
  <c r="BU573" i="30" s="1"/>
  <c r="BV573" i="30" s="1"/>
  <c r="BW573" i="30" s="1"/>
  <c r="BB573" i="30"/>
  <c r="O574" i="30"/>
  <c r="L574" i="30"/>
  <c r="T574" i="30"/>
  <c r="J575" i="30"/>
  <c r="H576" i="30"/>
  <c r="I576" i="30" s="1"/>
  <c r="BJ570" i="22"/>
  <c r="BQ570" i="22" s="1"/>
  <c r="BG570" i="22"/>
  <c r="M572" i="22"/>
  <c r="Z572" i="22" s="1"/>
  <c r="K573" i="22"/>
  <c r="L573" i="22" s="1"/>
  <c r="Q571" i="22"/>
  <c r="P571" i="22"/>
  <c r="V571" i="22"/>
  <c r="BI572" i="22" l="1"/>
  <c r="BD572" i="22"/>
  <c r="BB571" i="22"/>
  <c r="BR571" i="22" s="1"/>
  <c r="J576" i="30"/>
  <c r="H577" i="30"/>
  <c r="I577" i="30" s="1"/>
  <c r="T575" i="30"/>
  <c r="O575" i="30"/>
  <c r="L575" i="30"/>
  <c r="BE574" i="30"/>
  <c r="BL574" i="30" s="1"/>
  <c r="BP574" i="30" s="1"/>
  <c r="BU574" i="30" s="1"/>
  <c r="BV574" i="30" s="1"/>
  <c r="BW574" i="30" s="1"/>
  <c r="BB574" i="30"/>
  <c r="BJ571" i="22"/>
  <c r="BQ571" i="22" s="1"/>
  <c r="BG571" i="22"/>
  <c r="M573" i="22"/>
  <c r="Z573" i="22" s="1"/>
  <c r="K574" i="22"/>
  <c r="L574" i="22" s="1"/>
  <c r="V572" i="22"/>
  <c r="Q572" i="22"/>
  <c r="P572" i="22"/>
  <c r="BI573" i="22" l="1"/>
  <c r="BD573" i="22"/>
  <c r="BB572" i="22"/>
  <c r="BR572" i="22" s="1"/>
  <c r="J577" i="30"/>
  <c r="H578" i="30"/>
  <c r="I578" i="30" s="1"/>
  <c r="BE575" i="30"/>
  <c r="BL575" i="30" s="1"/>
  <c r="BP575" i="30" s="1"/>
  <c r="BU575" i="30" s="1"/>
  <c r="BV575" i="30" s="1"/>
  <c r="BW575" i="30" s="1"/>
  <c r="BB575" i="30"/>
  <c r="T576" i="30"/>
  <c r="O576" i="30"/>
  <c r="L576" i="30"/>
  <c r="BJ572" i="22"/>
  <c r="BQ572" i="22" s="1"/>
  <c r="BG572" i="22"/>
  <c r="M574" i="22"/>
  <c r="Z574" i="22" s="1"/>
  <c r="K575" i="22"/>
  <c r="L575" i="22" s="1"/>
  <c r="V573" i="22"/>
  <c r="Q573" i="22"/>
  <c r="P573" i="22"/>
  <c r="BI574" i="22" l="1"/>
  <c r="BD574" i="22"/>
  <c r="BB573" i="22"/>
  <c r="BR573" i="22" s="1"/>
  <c r="BE576" i="30"/>
  <c r="BL576" i="30" s="1"/>
  <c r="BP576" i="30" s="1"/>
  <c r="BU576" i="30" s="1"/>
  <c r="BV576" i="30" s="1"/>
  <c r="BW576" i="30" s="1"/>
  <c r="BB576" i="30"/>
  <c r="J578" i="30"/>
  <c r="H579" i="30"/>
  <c r="I579" i="30" s="1"/>
  <c r="T577" i="30"/>
  <c r="O577" i="30"/>
  <c r="L577" i="30"/>
  <c r="BJ573" i="22"/>
  <c r="BQ573" i="22" s="1"/>
  <c r="BG573" i="22"/>
  <c r="M575" i="22"/>
  <c r="Z575" i="22" s="1"/>
  <c r="K576" i="22"/>
  <c r="L576" i="22" s="1"/>
  <c r="V574" i="22"/>
  <c r="Q574" i="22"/>
  <c r="P574" i="22"/>
  <c r="BI575" i="22" l="1"/>
  <c r="BD575" i="22"/>
  <c r="BB574" i="22"/>
  <c r="BR574" i="22" s="1"/>
  <c r="BE577" i="30"/>
  <c r="BL577" i="30" s="1"/>
  <c r="BP577" i="30" s="1"/>
  <c r="BU577" i="30" s="1"/>
  <c r="BV577" i="30" s="1"/>
  <c r="BW577" i="30" s="1"/>
  <c r="BB577" i="30"/>
  <c r="H580" i="30"/>
  <c r="I580" i="30" s="1"/>
  <c r="J579" i="30"/>
  <c r="T578" i="30"/>
  <c r="O578" i="30"/>
  <c r="L578" i="30"/>
  <c r="BJ574" i="22"/>
  <c r="BQ574" i="22" s="1"/>
  <c r="BG574" i="22"/>
  <c r="M576" i="22"/>
  <c r="Z576" i="22" s="1"/>
  <c r="K577" i="22"/>
  <c r="L577" i="22" s="1"/>
  <c r="V575" i="22"/>
  <c r="Q575" i="22"/>
  <c r="P575" i="22"/>
  <c r="BD576" i="22" l="1"/>
  <c r="BI576" i="22"/>
  <c r="BB575" i="22"/>
  <c r="BR575" i="22" s="1"/>
  <c r="BE578" i="30"/>
  <c r="BL578" i="30" s="1"/>
  <c r="BP578" i="30" s="1"/>
  <c r="BU578" i="30" s="1"/>
  <c r="BV578" i="30" s="1"/>
  <c r="BW578" i="30" s="1"/>
  <c r="BB578" i="30"/>
  <c r="T579" i="30"/>
  <c r="O579" i="30"/>
  <c r="L579" i="30"/>
  <c r="J580" i="30"/>
  <c r="H581" i="30"/>
  <c r="I581" i="30" s="1"/>
  <c r="BJ575" i="22"/>
  <c r="BQ575" i="22" s="1"/>
  <c r="BG575" i="22"/>
  <c r="M577" i="22"/>
  <c r="Z577" i="22" s="1"/>
  <c r="K578" i="22"/>
  <c r="L578" i="22" s="1"/>
  <c r="V576" i="22"/>
  <c r="Q576" i="22"/>
  <c r="P576" i="22"/>
  <c r="BI577" i="22" l="1"/>
  <c r="BD577" i="22"/>
  <c r="BB576" i="22"/>
  <c r="BR576" i="22" s="1"/>
  <c r="H582" i="30"/>
  <c r="I582" i="30" s="1"/>
  <c r="J581" i="30"/>
  <c r="T580" i="30"/>
  <c r="O580" i="30"/>
  <c r="L580" i="30"/>
  <c r="BE579" i="30"/>
  <c r="BL579" i="30" s="1"/>
  <c r="BP579" i="30" s="1"/>
  <c r="BU579" i="30" s="1"/>
  <c r="BV579" i="30" s="1"/>
  <c r="BW579" i="30" s="1"/>
  <c r="BB579" i="30"/>
  <c r="BJ576" i="22"/>
  <c r="BQ576" i="22" s="1"/>
  <c r="BG576" i="22"/>
  <c r="M578" i="22"/>
  <c r="Z578" i="22" s="1"/>
  <c r="K579" i="22"/>
  <c r="L579" i="22" s="1"/>
  <c r="Q577" i="22"/>
  <c r="P577" i="22"/>
  <c r="V577" i="22"/>
  <c r="BD578" i="22" l="1"/>
  <c r="BI578" i="22"/>
  <c r="BB577" i="22"/>
  <c r="BR577" i="22" s="1"/>
  <c r="T581" i="30"/>
  <c r="L581" i="30"/>
  <c r="O581" i="30"/>
  <c r="H583" i="30"/>
  <c r="I583" i="30" s="1"/>
  <c r="J582" i="30"/>
  <c r="BE580" i="30"/>
  <c r="BL580" i="30" s="1"/>
  <c r="BP580" i="30" s="1"/>
  <c r="BU580" i="30" s="1"/>
  <c r="BV580" i="30" s="1"/>
  <c r="BW580" i="30" s="1"/>
  <c r="BB580" i="30"/>
  <c r="BJ577" i="22"/>
  <c r="BQ577" i="22" s="1"/>
  <c r="BG577" i="22"/>
  <c r="M579" i="22"/>
  <c r="Z579" i="22" s="1"/>
  <c r="K580" i="22"/>
  <c r="L580" i="22" s="1"/>
  <c r="V578" i="22"/>
  <c r="Q578" i="22"/>
  <c r="P578" i="22"/>
  <c r="BI579" i="22" l="1"/>
  <c r="BD579" i="22"/>
  <c r="BB578" i="22"/>
  <c r="BR578" i="22" s="1"/>
  <c r="O582" i="30"/>
  <c r="L582" i="30"/>
  <c r="T582" i="30"/>
  <c r="H584" i="30"/>
  <c r="I584" i="30" s="1"/>
  <c r="J583" i="30"/>
  <c r="BE581" i="30"/>
  <c r="BL581" i="30" s="1"/>
  <c r="BP581" i="30" s="1"/>
  <c r="BU581" i="30" s="1"/>
  <c r="BV581" i="30" s="1"/>
  <c r="BW581" i="30" s="1"/>
  <c r="BB581" i="30"/>
  <c r="BJ578" i="22"/>
  <c r="BQ578" i="22" s="1"/>
  <c r="BG578" i="22"/>
  <c r="M580" i="22"/>
  <c r="Z580" i="22" s="1"/>
  <c r="K581" i="22"/>
  <c r="L581" i="22" s="1"/>
  <c r="V579" i="22"/>
  <c r="P579" i="22"/>
  <c r="Q579" i="22"/>
  <c r="BI580" i="22" l="1"/>
  <c r="BD580" i="22"/>
  <c r="BB579" i="22"/>
  <c r="BR579" i="22" s="1"/>
  <c r="T583" i="30"/>
  <c r="O583" i="30"/>
  <c r="L583" i="30"/>
  <c r="H585" i="30"/>
  <c r="I585" i="30" s="1"/>
  <c r="J584" i="30"/>
  <c r="BE582" i="30"/>
  <c r="BL582" i="30" s="1"/>
  <c r="BP582" i="30" s="1"/>
  <c r="BU582" i="30" s="1"/>
  <c r="BV582" i="30" s="1"/>
  <c r="BW582" i="30" s="1"/>
  <c r="BB582" i="30"/>
  <c r="BJ579" i="22"/>
  <c r="BQ579" i="22" s="1"/>
  <c r="BG579" i="22"/>
  <c r="M581" i="22"/>
  <c r="Z581" i="22" s="1"/>
  <c r="K582" i="22"/>
  <c r="L582" i="22" s="1"/>
  <c r="Q580" i="22"/>
  <c r="V580" i="22"/>
  <c r="P580" i="22"/>
  <c r="BI581" i="22" l="1"/>
  <c r="BD581" i="22"/>
  <c r="BB580" i="22"/>
  <c r="BR580" i="22" s="1"/>
  <c r="L584" i="30"/>
  <c r="T584" i="30"/>
  <c r="O584" i="30"/>
  <c r="H586" i="30"/>
  <c r="I586" i="30" s="1"/>
  <c r="J585" i="30"/>
  <c r="BE583" i="30"/>
  <c r="BL583" i="30" s="1"/>
  <c r="BP583" i="30" s="1"/>
  <c r="BU583" i="30" s="1"/>
  <c r="BV583" i="30" s="1"/>
  <c r="BW583" i="30" s="1"/>
  <c r="BB583" i="30"/>
  <c r="BJ580" i="22"/>
  <c r="BQ580" i="22" s="1"/>
  <c r="BG580" i="22"/>
  <c r="M582" i="22"/>
  <c r="Z582" i="22" s="1"/>
  <c r="K583" i="22"/>
  <c r="L583" i="22" s="1"/>
  <c r="Q581" i="22"/>
  <c r="P581" i="22"/>
  <c r="V581" i="22"/>
  <c r="BI582" i="22" l="1"/>
  <c r="BD582" i="22"/>
  <c r="BB581" i="22"/>
  <c r="BR581" i="22" s="1"/>
  <c r="L585" i="30"/>
  <c r="O585" i="30"/>
  <c r="T585" i="30"/>
  <c r="J586" i="30"/>
  <c r="H587" i="30"/>
  <c r="I587" i="30" s="1"/>
  <c r="BE584" i="30"/>
  <c r="BL584" i="30" s="1"/>
  <c r="BP584" i="30" s="1"/>
  <c r="BU584" i="30" s="1"/>
  <c r="BV584" i="30" s="1"/>
  <c r="BW584" i="30" s="1"/>
  <c r="BB584" i="30"/>
  <c r="BJ581" i="22"/>
  <c r="BQ581" i="22" s="1"/>
  <c r="BG581" i="22"/>
  <c r="M583" i="22"/>
  <c r="Z583" i="22" s="1"/>
  <c r="K584" i="22"/>
  <c r="L584" i="22" s="1"/>
  <c r="V582" i="22"/>
  <c r="Q582" i="22"/>
  <c r="P582" i="22"/>
  <c r="BI583" i="22" l="1"/>
  <c r="BD583" i="22"/>
  <c r="BB582" i="22"/>
  <c r="BR582" i="22" s="1"/>
  <c r="BE585" i="30"/>
  <c r="BL585" i="30" s="1"/>
  <c r="BP585" i="30" s="1"/>
  <c r="BU585" i="30" s="1"/>
  <c r="BV585" i="30" s="1"/>
  <c r="BW585" i="30" s="1"/>
  <c r="BB585" i="30"/>
  <c r="J587" i="30"/>
  <c r="H588" i="30"/>
  <c r="I588" i="30" s="1"/>
  <c r="J588" i="30" s="1"/>
  <c r="O586" i="30"/>
  <c r="L586" i="30"/>
  <c r="T586" i="30"/>
  <c r="BJ582" i="22"/>
  <c r="BQ582" i="22" s="1"/>
  <c r="BG582" i="22"/>
  <c r="M584" i="22"/>
  <c r="K585" i="22"/>
  <c r="L585" i="22" s="1"/>
  <c r="V583" i="22"/>
  <c r="P583" i="22"/>
  <c r="Q583" i="22"/>
  <c r="V584" i="22" l="1"/>
  <c r="Z584" i="22"/>
  <c r="BB583" i="22"/>
  <c r="BR583" i="22" s="1"/>
  <c r="BE586" i="30"/>
  <c r="BL586" i="30" s="1"/>
  <c r="BP586" i="30" s="1"/>
  <c r="BU586" i="30" s="1"/>
  <c r="BV586" i="30" s="1"/>
  <c r="BW586" i="30" s="1"/>
  <c r="BB586" i="30"/>
  <c r="O588" i="30"/>
  <c r="L588" i="30"/>
  <c r="T588" i="30"/>
  <c r="L587" i="30"/>
  <c r="T587" i="30"/>
  <c r="O587" i="30"/>
  <c r="BJ583" i="22"/>
  <c r="BQ583" i="22" s="1"/>
  <c r="BG583" i="22"/>
  <c r="M585" i="22"/>
  <c r="K586" i="22"/>
  <c r="L586" i="22" s="1"/>
  <c r="Q584" i="22"/>
  <c r="P584" i="22"/>
  <c r="V585" i="22" l="1"/>
  <c r="Z585" i="22"/>
  <c r="BD584" i="22"/>
  <c r="BI584" i="22"/>
  <c r="BB584" i="22"/>
  <c r="BE587" i="30"/>
  <c r="BL587" i="30" s="1"/>
  <c r="BP587" i="30" s="1"/>
  <c r="BU587" i="30" s="1"/>
  <c r="BV587" i="30" s="1"/>
  <c r="BW587" i="30" s="1"/>
  <c r="BB587" i="30"/>
  <c r="BE588" i="30"/>
  <c r="BL588" i="30" s="1"/>
  <c r="BP588" i="30" s="1"/>
  <c r="BU588" i="30" s="1"/>
  <c r="BV588" i="30" s="1"/>
  <c r="BW588" i="30" s="1"/>
  <c r="BB588" i="30"/>
  <c r="BJ584" i="22"/>
  <c r="BG584" i="22"/>
  <c r="M586" i="22"/>
  <c r="K587" i="22"/>
  <c r="L587" i="22" s="1"/>
  <c r="M587" i="22" s="1"/>
  <c r="Q585" i="22"/>
  <c r="P585" i="22"/>
  <c r="BN513" i="30" l="1"/>
  <c r="BN514" i="30"/>
  <c r="BN515" i="30"/>
  <c r="BN516" i="30"/>
  <c r="BN518" i="30"/>
  <c r="BN517" i="30"/>
  <c r="BN519" i="30"/>
  <c r="BN520" i="30"/>
  <c r="BN522" i="30"/>
  <c r="BN521" i="30"/>
  <c r="BN523" i="30"/>
  <c r="BN524" i="30"/>
  <c r="BN525" i="30"/>
  <c r="BN526" i="30"/>
  <c r="BN527" i="30"/>
  <c r="BN528" i="30"/>
  <c r="BN529" i="30"/>
  <c r="BR584" i="22"/>
  <c r="BQ584" i="22"/>
  <c r="BI585" i="22"/>
  <c r="BD585" i="22"/>
  <c r="BB585" i="22"/>
  <c r="BN587" i="30"/>
  <c r="BN588" i="30"/>
  <c r="BN510" i="30"/>
  <c r="BN511" i="30"/>
  <c r="BN509" i="30"/>
  <c r="BN512" i="30"/>
  <c r="BN530" i="30"/>
  <c r="BN532" i="30"/>
  <c r="BN531" i="30"/>
  <c r="BN561" i="30"/>
  <c r="BN562" i="30"/>
  <c r="BN563" i="30"/>
  <c r="BN564" i="30"/>
  <c r="BN565" i="30"/>
  <c r="BN566" i="30"/>
  <c r="BN567" i="30"/>
  <c r="BN568" i="30"/>
  <c r="BN570" i="30"/>
  <c r="BN569" i="30"/>
  <c r="BN571" i="30"/>
  <c r="BN572" i="30"/>
  <c r="BN573" i="30"/>
  <c r="BN574" i="30"/>
  <c r="BN575" i="30"/>
  <c r="BN576" i="30"/>
  <c r="BN577" i="30"/>
  <c r="BN578" i="30"/>
  <c r="BN579" i="30"/>
  <c r="BN580" i="30"/>
  <c r="BN582" i="30"/>
  <c r="BN581" i="30"/>
  <c r="BN583" i="30"/>
  <c r="BN584" i="30"/>
  <c r="BN585" i="30"/>
  <c r="BN586" i="30"/>
  <c r="BJ585" i="22"/>
  <c r="BG585" i="22"/>
  <c r="P587" i="22"/>
  <c r="P586" i="22"/>
  <c r="BQ585" i="22" l="1"/>
  <c r="BR585" i="22"/>
  <c r="Q587" i="22"/>
  <c r="R587" i="22" s="1"/>
  <c r="Q586" i="22"/>
  <c r="R586" i="22" s="1"/>
  <c r="S586" i="22" l="1"/>
  <c r="S587" i="22"/>
  <c r="U587" i="22" l="1"/>
  <c r="V587" i="22" s="1"/>
  <c r="U586" i="22"/>
  <c r="V586" i="22" s="1"/>
  <c r="BG586" i="22" l="1"/>
  <c r="BB586" i="22"/>
  <c r="BJ586" i="22"/>
  <c r="Z586" i="22" l="1"/>
  <c r="BG587" i="22"/>
  <c r="BB587" i="22"/>
  <c r="BJ587" i="22"/>
  <c r="W587" i="22"/>
  <c r="BI586" i="22" l="1"/>
  <c r="BQ586" i="22" s="1"/>
  <c r="BD586" i="22"/>
  <c r="BR586" i="22" s="1"/>
  <c r="X587" i="22"/>
  <c r="AA586" i="22"/>
  <c r="Y587" i="22" l="1"/>
  <c r="Z587" i="22" s="1"/>
  <c r="AB586" i="22"/>
  <c r="AC586" i="22" s="1"/>
  <c r="AD586" i="22" s="1"/>
  <c r="BD587" i="22" l="1"/>
  <c r="BR587" i="22" s="1"/>
  <c r="BI587" i="22"/>
  <c r="BQ587" i="22" s="1"/>
  <c r="AA587" i="22"/>
  <c r="AB587" i="22" l="1"/>
  <c r="AC587" i="22" s="1"/>
  <c r="AD58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tc={89988F9A-8145-4970-96CC-0D30E401DCC1}</author>
    <author>tc={3AB748B1-BDAB-4ACE-8929-61247FD39057}</author>
    <author>tc={E4F18BB0-BFC4-4161-A443-F48C040A480B}</author>
  </authors>
  <commentList>
    <comment ref="AG2" authorId="0" shapeId="0" xr:uid="{89988F9A-8145-4970-96CC-0D30E401DC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Legenda de Bieniaswki (1989)</t>
      </text>
    </comment>
    <comment ref="AJ2" authorId="1" shapeId="0" xr:uid="{3AB748B1-BDAB-4ACE-8929-61247FD390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 Legenda Blastability Index
</t>
      </text>
    </comment>
    <comment ref="BG2" authorId="2" shapeId="0" xr:uid="{E4F18BB0-BFC4-4161-A443-F48C040A480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Formula empirica - GSI e  RMR76 - Roca baja 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<sst xmlns="http://schemas.openxmlformats.org/spreadsheetml/2006/main" count="40022" uniqueCount="768">
  <si>
    <t>MINE</t>
  </si>
  <si>
    <t>YEAR</t>
  </si>
  <si>
    <t>DDHH</t>
  </si>
  <si>
    <t>From (m)</t>
  </si>
  <si>
    <t>To (m)</t>
  </si>
  <si>
    <t>Lenght (m)</t>
  </si>
  <si>
    <t>Brejo Seco</t>
  </si>
  <si>
    <t xml:space="preserve">Grau de Alteracao </t>
  </si>
  <si>
    <t>Grau de Fraturamento</t>
  </si>
  <si>
    <t xml:space="preserve">Grau de ocorrencia </t>
  </si>
  <si>
    <t>GEOTEC-01</t>
  </si>
  <si>
    <t>RQD (%)</t>
  </si>
  <si>
    <t>RMR89</t>
  </si>
  <si>
    <t>Q BARTON</t>
  </si>
  <si>
    <t>Resistencia</t>
  </si>
  <si>
    <t>MPa</t>
  </si>
  <si>
    <t>rating 89</t>
  </si>
  <si>
    <t>rating 76</t>
  </si>
  <si>
    <t>Jn</t>
  </si>
  <si>
    <t>R6</t>
  </si>
  <si>
    <t>&gt; 250</t>
  </si>
  <si>
    <t>M</t>
  </si>
  <si>
    <t>R5</t>
  </si>
  <si>
    <t>100 - 250</t>
  </si>
  <si>
    <t>R4</t>
  </si>
  <si>
    <t>50 - 100</t>
  </si>
  <si>
    <t>1a</t>
  </si>
  <si>
    <t>R3</t>
  </si>
  <si>
    <t>25 - 50</t>
  </si>
  <si>
    <t>R2</t>
  </si>
  <si>
    <t>5 - 25</t>
  </si>
  <si>
    <t>2a</t>
  </si>
  <si>
    <t>R1</t>
  </si>
  <si>
    <t>1 - 5</t>
  </si>
  <si>
    <t>R0</t>
  </si>
  <si>
    <t>&lt; 1</t>
  </si>
  <si>
    <t>3a</t>
  </si>
  <si>
    <t>4a</t>
  </si>
  <si>
    <t>&lt;25</t>
  </si>
  <si>
    <t>Jr</t>
  </si>
  <si>
    <t>25-50</t>
  </si>
  <si>
    <t>A</t>
  </si>
  <si>
    <t>50-75</t>
  </si>
  <si>
    <t>B</t>
  </si>
  <si>
    <t>75-90</t>
  </si>
  <si>
    <t>C</t>
  </si>
  <si>
    <t>90-100</t>
  </si>
  <si>
    <t>D</t>
  </si>
  <si>
    <t>E</t>
  </si>
  <si>
    <t>F</t>
  </si>
  <si>
    <t>G</t>
  </si>
  <si>
    <t>H</t>
  </si>
  <si>
    <t>&lt;60</t>
  </si>
  <si>
    <t>J</t>
  </si>
  <si>
    <t>60-200</t>
  </si>
  <si>
    <t>Ja</t>
  </si>
  <si>
    <t>200-1000</t>
  </si>
  <si>
    <t>&gt;2000</t>
  </si>
  <si>
    <t>Persistencia</t>
  </si>
  <si>
    <t>&lt;1 m</t>
  </si>
  <si>
    <t>P1</t>
  </si>
  <si>
    <t>1-3 m</t>
  </si>
  <si>
    <t>P2</t>
  </si>
  <si>
    <t>3-10 m</t>
  </si>
  <si>
    <t>P3</t>
  </si>
  <si>
    <t>10-20 m</t>
  </si>
  <si>
    <t>P4</t>
  </si>
  <si>
    <t>K</t>
  </si>
  <si>
    <t>&gt;20 m</t>
  </si>
  <si>
    <t>P5</t>
  </si>
  <si>
    <t>L</t>
  </si>
  <si>
    <t>O</t>
  </si>
  <si>
    <t>P</t>
  </si>
  <si>
    <t>W0</t>
  </si>
  <si>
    <t>Fresca</t>
  </si>
  <si>
    <t>W1</t>
  </si>
  <si>
    <t>Ligera</t>
  </si>
  <si>
    <t>W2</t>
  </si>
  <si>
    <t>Moderada</t>
  </si>
  <si>
    <t>W3</t>
  </si>
  <si>
    <t>Alta</t>
  </si>
  <si>
    <t>W4</t>
  </si>
  <si>
    <t>Descompuesta</t>
  </si>
  <si>
    <t>Abertura (mm)</t>
  </si>
  <si>
    <t>mm</t>
  </si>
  <si>
    <t>A0</t>
  </si>
  <si>
    <t>Masiva</t>
  </si>
  <si>
    <t>&lt;0.1mm</t>
  </si>
  <si>
    <t>A1</t>
  </si>
  <si>
    <t>Entre Abierta</t>
  </si>
  <si>
    <t>&lt; 0.1</t>
  </si>
  <si>
    <t>0.1-1mm</t>
  </si>
  <si>
    <t>A2</t>
  </si>
  <si>
    <t>Abierta</t>
  </si>
  <si>
    <t>&gt;= 0.1 a &lt; 1</t>
  </si>
  <si>
    <t>1-5mm</t>
  </si>
  <si>
    <t>A3</t>
  </si>
  <si>
    <t>Muy Abierta</t>
  </si>
  <si>
    <t>&gt;= 1 a &lt; 5</t>
  </si>
  <si>
    <t>&gt;5mm</t>
  </si>
  <si>
    <t>A4</t>
  </si>
  <si>
    <t>Extremadamente Abierta</t>
  </si>
  <si>
    <t>&gt;= 5</t>
  </si>
  <si>
    <t>G1</t>
  </si>
  <si>
    <t>Muy Rugosa</t>
  </si>
  <si>
    <t>G2</t>
  </si>
  <si>
    <t>Rugosa</t>
  </si>
  <si>
    <t>G3</t>
  </si>
  <si>
    <t>Lig. Rugosa</t>
  </si>
  <si>
    <t>G4</t>
  </si>
  <si>
    <t>Ondulada</t>
  </si>
  <si>
    <t>G5</t>
  </si>
  <si>
    <t>Suave</t>
  </si>
  <si>
    <t>Relleno</t>
  </si>
  <si>
    <t>F0</t>
  </si>
  <si>
    <t>Ninguno</t>
  </si>
  <si>
    <t>F1</t>
  </si>
  <si>
    <t>Duro &lt;5mm</t>
  </si>
  <si>
    <t>F2</t>
  </si>
  <si>
    <t>Duro &gt;5mm</t>
  </si>
  <si>
    <t>F3</t>
  </si>
  <si>
    <t>Blando &lt;5mm</t>
  </si>
  <si>
    <t>F4</t>
  </si>
  <si>
    <t>Blando &gt;5mm</t>
  </si>
  <si>
    <t>AGUA</t>
  </si>
  <si>
    <t>CS</t>
  </si>
  <si>
    <t>humedo</t>
  </si>
  <si>
    <t xml:space="preserve">Goteando </t>
  </si>
  <si>
    <t>fluyendo</t>
  </si>
  <si>
    <t>Litologhy (Geominas)</t>
  </si>
  <si>
    <t>GEOTEC-03</t>
  </si>
  <si>
    <t>Cod</t>
  </si>
  <si>
    <t>PZ-BS-01</t>
  </si>
  <si>
    <t>Recuperation (%)</t>
  </si>
  <si>
    <t>PZ-BS-03</t>
  </si>
  <si>
    <t>P023_BedRock</t>
  </si>
  <si>
    <t>P025_Cob</t>
  </si>
  <si>
    <t>Realizado</t>
  </si>
  <si>
    <t>PNM</t>
  </si>
  <si>
    <t>P24-01</t>
  </si>
  <si>
    <t>Anddes</t>
  </si>
  <si>
    <t>Rocha Lateritica</t>
  </si>
  <si>
    <t>Saprolito, lateritica</t>
  </si>
  <si>
    <t>Solo argiloso,vermelho</t>
  </si>
  <si>
    <t>Saprolito, gmierita,verde</t>
  </si>
  <si>
    <t>P24-02</t>
  </si>
  <si>
    <t>Cascalho lateritico</t>
  </si>
  <si>
    <t>Rocha sa, laterita ferruginosa</t>
  </si>
  <si>
    <t>Saprolito vermelho oscuro</t>
  </si>
  <si>
    <t>P24-03</t>
  </si>
  <si>
    <t>Saprolito, rocha descomposta</t>
  </si>
  <si>
    <t>Rocha sa,</t>
  </si>
  <si>
    <t>P023_SAP_MG_SIL</t>
  </si>
  <si>
    <t>P025_Silica_Zone</t>
  </si>
  <si>
    <t>P0723_Sap_Fe</t>
  </si>
  <si>
    <t>Litology (Snowden)</t>
  </si>
  <si>
    <t>P025_SAP_MG_UM</t>
  </si>
  <si>
    <t>Saprolito, areno argiloso</t>
  </si>
  <si>
    <t>rocha alterada, canga lateritica</t>
  </si>
  <si>
    <t>Rocha sá, serpentinito alterado</t>
  </si>
  <si>
    <t>Rocha descomposta</t>
  </si>
  <si>
    <t>Rocha alterada, serpentinito</t>
  </si>
  <si>
    <t>Rocha sá, serpentinito, bege rosa</t>
  </si>
  <si>
    <t>Rocha sá, serpentinito, bege rossa, pouco alterado</t>
  </si>
  <si>
    <t>Solo descomposto</t>
  </si>
  <si>
    <t>Rocha alterada, vermelha, laterita com bockwirk</t>
  </si>
  <si>
    <t>Rocha alterada, marron oscura, bastante fragmentada</t>
  </si>
  <si>
    <t>Rocha descomposta, areno-argiloso, plasticidade alta, areia fina</t>
  </si>
  <si>
    <t>Rocha alterada, marrom, brecha arenitica</t>
  </si>
  <si>
    <t>Rocha alterada, canga lateritica</t>
  </si>
  <si>
    <t>Rocha sá, arenito-quartzoso, laterita em fragmentos</t>
  </si>
  <si>
    <t>Saprolito, argiloso, marrom-oscuro, plasticidade média</t>
  </si>
  <si>
    <t>Rocha sá, arenito-quartzoso</t>
  </si>
  <si>
    <t>Saprolito, argiloso, marrom-claro, plasticidade alta</t>
  </si>
  <si>
    <t>Saprolito areno-argiloso, marrom, presenca fragmentos de rocha</t>
  </si>
  <si>
    <t>Rocha descomposta, bastante alterada</t>
  </si>
  <si>
    <t>Rocha alterada, branco, macia, consistencia baixa</t>
  </si>
  <si>
    <t>Saprolito, preto, pouco argiloso</t>
  </si>
  <si>
    <t>Rocha sá, serpentinito</t>
  </si>
  <si>
    <t>Solo Areno-Argiloso, fragmentos de laterita e quartzo</t>
  </si>
  <si>
    <t>Saprolito, Argiloso, lateritico, vermelho, plasticidade alta</t>
  </si>
  <si>
    <t>Rocha sá, serpentinito, bege-esverdeada, fraturas abertas</t>
  </si>
  <si>
    <t>Rocha sá, serpentinito, vermelho, oxidacao intensa</t>
  </si>
  <si>
    <t>Saprolito, vermelho, argiloso-ferruginoso, silica e ferro com xistosidade</t>
  </si>
  <si>
    <t>Rocha descomposta, verde-claro</t>
  </si>
  <si>
    <t>Rocha sá, lateritica, presenca de silica, estruturas de box work</t>
  </si>
  <si>
    <t>Rocha sá, lateritica, presenca de silica, estrututrasde boox work</t>
  </si>
  <si>
    <t xml:space="preserve">Piaui nickel metais </t>
  </si>
  <si>
    <t>Numero Fraturas x metro</t>
  </si>
  <si>
    <t>Persistencia\</t>
  </si>
  <si>
    <t>Meteorizacion</t>
  </si>
  <si>
    <t xml:space="preserve">Apertura </t>
  </si>
  <si>
    <t>Rugosidade</t>
  </si>
  <si>
    <t xml:space="preserve">Agua </t>
  </si>
  <si>
    <t>RMR76</t>
  </si>
  <si>
    <t xml:space="preserve">Solo consolidaddo </t>
  </si>
  <si>
    <t>S6</t>
  </si>
  <si>
    <t>Calcedonia Cuarzo</t>
  </si>
  <si>
    <t>Seco</t>
  </si>
  <si>
    <t>S5</t>
  </si>
  <si>
    <t>S3</t>
  </si>
  <si>
    <t>Zona completamente alterada por pos falha</t>
  </si>
  <si>
    <t>Venillas de Calcedonia</t>
  </si>
  <si>
    <t>Solo Limonita</t>
  </si>
  <si>
    <t>Falla</t>
  </si>
  <si>
    <t>Venillas de calcedonia</t>
  </si>
  <si>
    <t xml:space="preserve">Solo Limonita%Completamente desconpuesta </t>
  </si>
  <si>
    <t>Muestra de laboratorio GEOMINAS</t>
  </si>
  <si>
    <t>Condiciones Juntas</t>
  </si>
  <si>
    <t>Rocha alteradae metrorizada</t>
  </si>
  <si>
    <t>Amostras lab Geominas</t>
  </si>
  <si>
    <t xml:space="preserve">Zonas de falhas </t>
  </si>
  <si>
    <t>Box word</t>
  </si>
  <si>
    <t>Completamente meteorizada</t>
  </si>
  <si>
    <t>Falha meteorizada</t>
  </si>
  <si>
    <t>Rocha con venillas de calcedonia</t>
  </si>
  <si>
    <t>Weak Rock - Saprolite</t>
  </si>
  <si>
    <t xml:space="preserve">Bedrock </t>
  </si>
  <si>
    <t xml:space="preserve">Preenchimento duro </t>
  </si>
  <si>
    <t>Amostra de laboratorio</t>
  </si>
  <si>
    <t>Paredes de discontinuidades ligeramente rugosa</t>
  </si>
  <si>
    <t xml:space="preserve">Zona desconmpuesto alterada, percolacao da agua </t>
  </si>
  <si>
    <t>Esqueleto de preenchimento e matriz alterada</t>
  </si>
  <si>
    <t xml:space="preserve">Alterada zona de falha e percolacao </t>
  </si>
  <si>
    <t>Alterada</t>
  </si>
  <si>
    <t>Zona alterada por percolacao</t>
  </si>
  <si>
    <t>Comentarios</t>
  </si>
  <si>
    <t>p4</t>
  </si>
  <si>
    <t>S2</t>
  </si>
  <si>
    <t xml:space="preserve">Zona de transicion </t>
  </si>
  <si>
    <t>Cantos do solo alterados</t>
  </si>
  <si>
    <t>Falha</t>
  </si>
  <si>
    <t>Boxword-zona meteorizada</t>
  </si>
  <si>
    <t xml:space="preserve">Meteorizado </t>
  </si>
  <si>
    <t>Zona silificada com vazios por intemperismo</t>
  </si>
  <si>
    <t>Boxword</t>
  </si>
  <si>
    <t>Boxword / Pemeable</t>
  </si>
  <si>
    <t>Zona compeltamente meteorizada</t>
  </si>
  <si>
    <t>Falha zona alterada e meteorizada/ Material com cohesión</t>
  </si>
  <si>
    <t>S4</t>
  </si>
  <si>
    <t>Boxword/ Xona completamente meteorizada</t>
  </si>
  <si>
    <t>Zona no meteorizada</t>
  </si>
  <si>
    <t>S1</t>
  </si>
  <si>
    <t>Zona meteorizada</t>
  </si>
  <si>
    <t>Meteorizado completamente, com fragmentos de quartzo por meteorización</t>
  </si>
  <si>
    <t>GEOTEC-02</t>
  </si>
  <si>
    <t>Solo argiloso, com cantos, cohesion</t>
  </si>
  <si>
    <t>Humedo</t>
  </si>
  <si>
    <t>Solo argiloso, vermelho</t>
  </si>
  <si>
    <t>Falha/ Material descomposto</t>
  </si>
  <si>
    <t>Maior compactada</t>
  </si>
  <si>
    <t>Cambio litologico</t>
  </si>
  <si>
    <t>Saprolito Verde amarillo</t>
  </si>
  <si>
    <t>Amostra GEOMINAS</t>
  </si>
  <si>
    <t>Saprolito verde amarillo</t>
  </si>
  <si>
    <t>Saprolito Verde amarillo/ Amostra de Cisalhamento Direto</t>
  </si>
  <si>
    <t>Caras de descontinuidades pretas</t>
  </si>
  <si>
    <t>Amostra Laboratoio GEOMINAS</t>
  </si>
  <si>
    <t xml:space="preserve">Rocha com resistencia </t>
  </si>
  <si>
    <t>Amostra Laboratorio Geominas</t>
  </si>
  <si>
    <t>Material descomposto</t>
  </si>
  <si>
    <t>Caracteristica</t>
  </si>
  <si>
    <t>Amostra laboratorio GEOMINAS</t>
  </si>
  <si>
    <t xml:space="preserve">Presenca de falha </t>
  </si>
  <si>
    <t>Zona de transicao de box word</t>
  </si>
  <si>
    <t>NR</t>
  </si>
  <si>
    <t>GEOTEC-04</t>
  </si>
  <si>
    <t>seco</t>
  </si>
  <si>
    <t>Completamente Alterada</t>
  </si>
  <si>
    <t>Amostra p/ laboratorio resistencia</t>
  </si>
  <si>
    <t>veio de quatzo</t>
  </si>
  <si>
    <t xml:space="preserve">Condicoes humedas da corrida </t>
  </si>
  <si>
    <t>Amostra de laboratorio PUC Rio</t>
  </si>
  <si>
    <t>solo</t>
  </si>
  <si>
    <t>falha</t>
  </si>
  <si>
    <t>Zona alterada molhada</t>
  </si>
  <si>
    <t>Zona alterada</t>
  </si>
  <si>
    <t>Amostra intacta</t>
  </si>
  <si>
    <t xml:space="preserve">com uña puedo sacar material </t>
  </si>
  <si>
    <t xml:space="preserve">Uma zona de falha </t>
  </si>
  <si>
    <t>Zona de falha</t>
  </si>
  <si>
    <t xml:space="preserve">Cambia litologia com menos presencia de agua </t>
  </si>
  <si>
    <t xml:space="preserve">Zona de alteracao </t>
  </si>
  <si>
    <t>Zona de mayor competencia</t>
  </si>
  <si>
    <t xml:space="preserve">Zona de falha menor </t>
  </si>
  <si>
    <t>Espaciamiento (mm)</t>
  </si>
  <si>
    <t>Frecuencia Fraturas</t>
  </si>
  <si>
    <t>Bloco</t>
  </si>
  <si>
    <t>Freqüência</t>
  </si>
  <si>
    <t xml:space="preserve">% Incidencia </t>
  </si>
  <si>
    <t xml:space="preserve">Rugosidade </t>
  </si>
  <si>
    <t>Solo superficial, marron oscuo overburden</t>
  </si>
  <si>
    <t>Rocha sá, canga lateritica, consistencia, alterada, pouco fratura, estrutura box work</t>
  </si>
  <si>
    <t>Saprolito argiloso, marro-claro, pouco arenoso (fino), fragmentos de roca, bastante alterada</t>
  </si>
  <si>
    <t xml:space="preserve">Rocha sá, canga lateritica, marron avvermelhada </t>
  </si>
  <si>
    <t xml:space="preserve">Saprolito, cinza verda, pouco argiloso, crizoprazio, alterado, consistencia </t>
  </si>
  <si>
    <t xml:space="preserve">Rocha sá, canga lateritica, vermelha, consistencia, alterada, pouco fraturada, estrutura boox work, </t>
  </si>
  <si>
    <t>Rocha sá, lateriica com silica, vermelha, oxidacao forte. Bastante fraturada com material argiloso, pouco plástico, estrutura boox work bem caracteristica.</t>
  </si>
  <si>
    <t>Saprolito, rocha descomposta, marron claro, muito alterada, pouca xistosidade</t>
  </si>
  <si>
    <t>Rocha sá, lateritica, com silica, verlmelha, oxidacao forte, bastante fragmentada, como mateirla argiloso, estrutura de boox work.</t>
  </si>
  <si>
    <t>Ratio89 RQD</t>
  </si>
  <si>
    <t>Ratio89_Resistencia</t>
  </si>
  <si>
    <t>Ratio89_Espaciamiento</t>
  </si>
  <si>
    <t>Ratio89_Discontinuidades</t>
  </si>
  <si>
    <t xml:space="preserve">RatioAgua </t>
  </si>
  <si>
    <t>Resistencia Piaui</t>
  </si>
  <si>
    <t>Estadisticas Calcareo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</si>
  <si>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</si>
  <si>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</si>
  <si>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</si>
  <si>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</si>
  <si>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</si>
  <si>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</si>
  <si>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</si>
  <si>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</si>
  <si>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</si>
  <si>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</si>
  <si>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</si>
  <si>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</si>
  <si>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</si>
  <si>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Maior(1)</t>
  </si>
  <si>
    <t>Menor(1)</t>
  </si>
  <si>
    <t>Nível de confiança(95,0%)</t>
  </si>
  <si>
    <t>RMR89 / Calcareo</t>
  </si>
  <si>
    <t>Q1</t>
  </si>
  <si>
    <t>Q2</t>
  </si>
  <si>
    <t>Q3</t>
  </si>
  <si>
    <t xml:space="preserve">Observaciones de descontinuidades </t>
  </si>
  <si>
    <t>BREJO SECO</t>
  </si>
  <si>
    <t>C1</t>
  </si>
  <si>
    <t>A5</t>
  </si>
  <si>
    <t>Dip(°)</t>
  </si>
  <si>
    <t>Dip Direction (°)</t>
  </si>
  <si>
    <t>F5</t>
  </si>
  <si>
    <t>C2</t>
  </si>
  <si>
    <t>C5</t>
  </si>
  <si>
    <t>C4</t>
  </si>
  <si>
    <t>C3</t>
  </si>
  <si>
    <t>Rating GEOMINAS</t>
  </si>
  <si>
    <t>Longitud Recuperada</t>
  </si>
  <si>
    <t>RQD (%) Geominas</t>
  </si>
  <si>
    <t xml:space="preserve">Litologia </t>
  </si>
  <si>
    <t>DP</t>
  </si>
  <si>
    <t>Media Resistencia Compressao Simple</t>
  </si>
  <si>
    <t>Resistencia Piauí Niquel</t>
  </si>
  <si>
    <t>Longitud Recuperada (m)</t>
  </si>
  <si>
    <t>GSI (RQD menor 80)</t>
  </si>
  <si>
    <t>Espacamiento (mm)</t>
  </si>
  <si>
    <t/>
  </si>
  <si>
    <t xml:space="preserve">Caracterizacao Geotecnica </t>
  </si>
  <si>
    <t>Resistencia GEOMINAS vs Piauí</t>
  </si>
  <si>
    <t>Mapping Window</t>
  </si>
  <si>
    <t>Date</t>
  </si>
  <si>
    <t>Discontinuity ID</t>
  </si>
  <si>
    <t>Window Joint Set</t>
  </si>
  <si>
    <t>Mapped by</t>
  </si>
  <si>
    <t>X (m)</t>
  </si>
  <si>
    <t>Y (m)</t>
  </si>
  <si>
    <t>Z (m)</t>
  </si>
  <si>
    <t>Litho</t>
  </si>
  <si>
    <t>Structure Type</t>
  </si>
  <si>
    <t>DipDir (°)</t>
  </si>
  <si>
    <t>Dip (°)</t>
  </si>
  <si>
    <t>Compass magnetic declination (°)</t>
  </si>
  <si>
    <t>PNP magnetic declination (°)</t>
  </si>
  <si>
    <t>Dip Dir correction factor</t>
  </si>
  <si>
    <t>Corrected DipDir (°)</t>
  </si>
  <si>
    <t>Compass and measurements</t>
  </si>
  <si>
    <t>Comments</t>
  </si>
  <si>
    <t>P015-P016</t>
  </si>
  <si>
    <t>M01</t>
  </si>
  <si>
    <t>W15-16_Set1</t>
  </si>
  <si>
    <t>Victor Vergara</t>
  </si>
  <si>
    <t>20: Saprolite High MgO</t>
  </si>
  <si>
    <t>Joint</t>
  </si>
  <si>
    <t>Brunton compass, magnetic declination at -19°. Orientations have been corrected to reflect Piaui magnetic declination of -22.3°.</t>
  </si>
  <si>
    <t>M02</t>
  </si>
  <si>
    <t>M03</t>
  </si>
  <si>
    <t>W15-16_Set2</t>
  </si>
  <si>
    <t>M04</t>
  </si>
  <si>
    <t>M05</t>
  </si>
  <si>
    <t>W15-16_Set3</t>
  </si>
  <si>
    <t>M06</t>
  </si>
  <si>
    <t>P017-P018</t>
  </si>
  <si>
    <t>M07</t>
  </si>
  <si>
    <t>W17-19_Set1</t>
  </si>
  <si>
    <t>M08</t>
  </si>
  <si>
    <t>M09</t>
  </si>
  <si>
    <t>W17-19_Set2</t>
  </si>
  <si>
    <t>M10</t>
  </si>
  <si>
    <t>P018-P019</t>
  </si>
  <si>
    <t>M11</t>
  </si>
  <si>
    <t>W18-19_Set1</t>
  </si>
  <si>
    <t>M12</t>
  </si>
  <si>
    <t>M13</t>
  </si>
  <si>
    <t>W18-19_Set2</t>
  </si>
  <si>
    <t>M14</t>
  </si>
  <si>
    <t>P019-P020</t>
  </si>
  <si>
    <t>M15</t>
  </si>
  <si>
    <t>W19-20_Set1</t>
  </si>
  <si>
    <t>P021-P022</t>
  </si>
  <si>
    <t>M16</t>
  </si>
  <si>
    <t>W21-22_Set1</t>
  </si>
  <si>
    <t>M17</t>
  </si>
  <si>
    <t>M18</t>
  </si>
  <si>
    <t>M19</t>
  </si>
  <si>
    <t>W21-22_Set2</t>
  </si>
  <si>
    <t>M20</t>
  </si>
  <si>
    <t>W21-22_Set3</t>
  </si>
  <si>
    <t>Fault?</t>
  </si>
  <si>
    <t>P022-P023</t>
  </si>
  <si>
    <t>M21</t>
  </si>
  <si>
    <t>W22-23_Set1</t>
  </si>
  <si>
    <t>Nathalia Assis</t>
  </si>
  <si>
    <t>M22</t>
  </si>
  <si>
    <t>M23</t>
  </si>
  <si>
    <t>W22-23_Set2</t>
  </si>
  <si>
    <t>M24</t>
  </si>
  <si>
    <t>W22-23_Set3</t>
  </si>
  <si>
    <t>P023-P024</t>
  </si>
  <si>
    <t>M25</t>
  </si>
  <si>
    <t>W23-24_Set1</t>
  </si>
  <si>
    <t>M26</t>
  </si>
  <si>
    <t>W23-24_Set2</t>
  </si>
  <si>
    <t>M27</t>
  </si>
  <si>
    <t>M28</t>
  </si>
  <si>
    <t>W23-24_Set3</t>
  </si>
  <si>
    <t>M29-1</t>
  </si>
  <si>
    <t>W23-24_Set4</t>
  </si>
  <si>
    <t>P024-P025</t>
  </si>
  <si>
    <t>M29-2</t>
  </si>
  <si>
    <t>W24-25_Set1</t>
  </si>
  <si>
    <t>M29-3</t>
  </si>
  <si>
    <t>M30</t>
  </si>
  <si>
    <t>W24-25_Set2</t>
  </si>
  <si>
    <t>P025-P026</t>
  </si>
  <si>
    <t>M31</t>
  </si>
  <si>
    <t>W25-26_Set1</t>
  </si>
  <si>
    <t>M32</t>
  </si>
  <si>
    <t>M33</t>
  </si>
  <si>
    <t>W25-26_Set2</t>
  </si>
  <si>
    <t>M34</t>
  </si>
  <si>
    <t>M35</t>
  </si>
  <si>
    <t>M36</t>
  </si>
  <si>
    <t>W25-26_Set3</t>
  </si>
  <si>
    <t>M37</t>
  </si>
  <si>
    <t>P026-P027</t>
  </si>
  <si>
    <t>M38</t>
  </si>
  <si>
    <t>W26-27_Set1</t>
  </si>
  <si>
    <t>M39</t>
  </si>
  <si>
    <t>W26-27_Set2</t>
  </si>
  <si>
    <t>M40</t>
  </si>
  <si>
    <t>W26-27_Set3</t>
  </si>
  <si>
    <t>M41</t>
  </si>
  <si>
    <t>P027-P028</t>
  </si>
  <si>
    <t>M42</t>
  </si>
  <si>
    <t>W27-28_Set1</t>
  </si>
  <si>
    <t>P028-P029</t>
  </si>
  <si>
    <t>M43</t>
  </si>
  <si>
    <t>W28-29_Set1</t>
  </si>
  <si>
    <t>M44</t>
  </si>
  <si>
    <t>W28-29_Set2</t>
  </si>
  <si>
    <t>M45</t>
  </si>
  <si>
    <t>W28-29_Set3</t>
  </si>
  <si>
    <t>P030-P031</t>
  </si>
  <si>
    <t>M46</t>
  </si>
  <si>
    <t>W30-31_Set1</t>
  </si>
  <si>
    <t>M47</t>
  </si>
  <si>
    <t>M48</t>
  </si>
  <si>
    <t>M49</t>
  </si>
  <si>
    <t>W30-31_Set2</t>
  </si>
  <si>
    <t>M50</t>
  </si>
  <si>
    <t>P031-P032</t>
  </si>
  <si>
    <t>M52</t>
  </si>
  <si>
    <t>W31-32_Set1</t>
  </si>
  <si>
    <t>M53</t>
  </si>
  <si>
    <t>W31-32_Set2</t>
  </si>
  <si>
    <t>M54</t>
  </si>
  <si>
    <t>W31-32_Set3</t>
  </si>
  <si>
    <t>M55</t>
  </si>
  <si>
    <t>M56</t>
  </si>
  <si>
    <t>M57</t>
  </si>
  <si>
    <t>W31-32_Set4</t>
  </si>
  <si>
    <t>M58</t>
  </si>
  <si>
    <t>W31-32_Set5</t>
  </si>
  <si>
    <t>P032-P033</t>
  </si>
  <si>
    <t>M59</t>
  </si>
  <si>
    <t>W33-34_Set1</t>
  </si>
  <si>
    <t>M60</t>
  </si>
  <si>
    <t>M61</t>
  </si>
  <si>
    <t>P033-P034</t>
  </si>
  <si>
    <t>M62</t>
  </si>
  <si>
    <t>W34-35_Set1</t>
  </si>
  <si>
    <t>M63</t>
  </si>
  <si>
    <t>M64</t>
  </si>
  <si>
    <t>M65</t>
  </si>
  <si>
    <t>W34-35_Set2</t>
  </si>
  <si>
    <t>P040-P041</t>
  </si>
  <si>
    <t>M66</t>
  </si>
  <si>
    <t>W40-41_Set1</t>
  </si>
  <si>
    <t>30: Saprolite Med MgO SiO2 or 40: Saprolite High SiO2</t>
  </si>
  <si>
    <t>M67</t>
  </si>
  <si>
    <t>M68</t>
  </si>
  <si>
    <t>M69</t>
  </si>
  <si>
    <t>W40-41_Set2</t>
  </si>
  <si>
    <t>M70</t>
  </si>
  <si>
    <t>P041-P042</t>
  </si>
  <si>
    <t>M71</t>
  </si>
  <si>
    <t>Not selected set</t>
  </si>
  <si>
    <t>40: Saprolite High SiO2</t>
  </si>
  <si>
    <t>M72</t>
  </si>
  <si>
    <t>M73</t>
  </si>
  <si>
    <t>M74</t>
  </si>
  <si>
    <t>M75</t>
  </si>
  <si>
    <t>M76</t>
  </si>
  <si>
    <t>M77</t>
  </si>
  <si>
    <t>M78</t>
  </si>
  <si>
    <t>P042-P043</t>
  </si>
  <si>
    <t>M79</t>
  </si>
  <si>
    <t>W42-43_Set1</t>
  </si>
  <si>
    <t>M80</t>
  </si>
  <si>
    <t>W42-43_Set2</t>
  </si>
  <si>
    <t>M81</t>
  </si>
  <si>
    <t>M82</t>
  </si>
  <si>
    <t>W42-43_Set3</t>
  </si>
  <si>
    <t>M83</t>
  </si>
  <si>
    <t>W42-43_Set4</t>
  </si>
  <si>
    <t>M84</t>
  </si>
  <si>
    <t>M85</t>
  </si>
  <si>
    <t>W42-43_Set5</t>
  </si>
  <si>
    <t>M86</t>
  </si>
  <si>
    <t>W42-43_Set6</t>
  </si>
  <si>
    <t>P046-P047</t>
  </si>
  <si>
    <t>M87</t>
  </si>
  <si>
    <t>W46-47_Set1</t>
  </si>
  <si>
    <t>70: Saprolite High Al2O3</t>
  </si>
  <si>
    <t>Contact between 70 and 60 (folded)</t>
  </si>
  <si>
    <t>M88</t>
  </si>
  <si>
    <t>PO47-P048</t>
  </si>
  <si>
    <t>M89</t>
  </si>
  <si>
    <t>W47-48_Set1</t>
  </si>
  <si>
    <t>60: Overburden</t>
  </si>
  <si>
    <t>M90</t>
  </si>
  <si>
    <t>W47-48_Set2</t>
  </si>
  <si>
    <t>M91</t>
  </si>
  <si>
    <t>FT01</t>
  </si>
  <si>
    <t>-</t>
  </si>
  <si>
    <t>FT02</t>
  </si>
  <si>
    <t>FT03</t>
  </si>
  <si>
    <t>D01</t>
  </si>
  <si>
    <t>Dyke?</t>
  </si>
  <si>
    <t>FT04</t>
  </si>
  <si>
    <t>FT05</t>
  </si>
  <si>
    <t>Folded Fault?</t>
  </si>
  <si>
    <t>Same structure as FT06</t>
  </si>
  <si>
    <t>FT06</t>
  </si>
  <si>
    <t>D04</t>
  </si>
  <si>
    <t>Vein</t>
  </si>
  <si>
    <t>Talc vein</t>
  </si>
  <si>
    <t>D05</t>
  </si>
  <si>
    <t>Aluminium vein subvertical</t>
  </si>
  <si>
    <t>D06</t>
  </si>
  <si>
    <t>Aluminium vein sill</t>
  </si>
  <si>
    <t>FT08</t>
  </si>
  <si>
    <t>Ratio76 RQD</t>
  </si>
  <si>
    <t>Ratio 76 Resistencia</t>
  </si>
  <si>
    <t>Ratio76 Espaciamiento</t>
  </si>
  <si>
    <t>Ratio76 Apertura</t>
  </si>
  <si>
    <t>Ratio76 Rugosidade</t>
  </si>
  <si>
    <t>Ratio76 Preenchimento</t>
  </si>
  <si>
    <t>Ratio76 Meteorizacion</t>
  </si>
  <si>
    <t>Ratio76 Persistencia</t>
  </si>
  <si>
    <t>Preenchimento</t>
  </si>
  <si>
    <t>Mojado</t>
  </si>
  <si>
    <t>1000-2000</t>
  </si>
  <si>
    <t>RQD_Piaui nickel (m)</t>
  </si>
  <si>
    <t>Longitud recuperada (m)</t>
  </si>
  <si>
    <t xml:space="preserve">Numero Fracturas Visibles </t>
  </si>
  <si>
    <t>Numero Fracturas No Visibles</t>
  </si>
  <si>
    <t xml:space="preserve">Fracturas Totales </t>
  </si>
  <si>
    <t>f3</t>
  </si>
  <si>
    <t>Mais</t>
  </si>
  <si>
    <t>% cumulativo</t>
  </si>
  <si>
    <t>% Incidencia</t>
  </si>
  <si>
    <t>Apertura (mm)</t>
  </si>
  <si>
    <t>%Incidencia</t>
  </si>
  <si>
    <t>Alteracao</t>
  </si>
  <si>
    <t>0-20</t>
  </si>
  <si>
    <t>20-40</t>
  </si>
  <si>
    <t>40-60</t>
  </si>
  <si>
    <t>60-80</t>
  </si>
  <si>
    <t>80-100</t>
  </si>
  <si>
    <t>RMD</t>
  </si>
  <si>
    <t>JPS</t>
  </si>
  <si>
    <t>JPO</t>
  </si>
  <si>
    <t>INFLUNECIA PESO ESPECIFICO</t>
  </si>
  <si>
    <t>RSI</t>
  </si>
  <si>
    <t>Fraco &lt;5mm</t>
  </si>
  <si>
    <t>Fraco &gt;5mm</t>
  </si>
  <si>
    <t>Lisa</t>
  </si>
  <si>
    <t>Muito Rugosa</t>
  </si>
  <si>
    <t>1.1</t>
  </si>
  <si>
    <t>1.2</t>
  </si>
  <si>
    <t>1.3</t>
  </si>
  <si>
    <t>Descripción del Macizo Rocoso</t>
  </si>
  <si>
    <t>Fiable, Poco consolidade</t>
  </si>
  <si>
    <t>Diaclasado em bloques</t>
  </si>
  <si>
    <t>Totalmente masivo</t>
  </si>
  <si>
    <t>Espaciamiento entre planos de juntas</t>
  </si>
  <si>
    <t>2.1</t>
  </si>
  <si>
    <t>Pequenho &lt;0,1 m</t>
  </si>
  <si>
    <t>Intermedio 0,1 a 1,0 m</t>
  </si>
  <si>
    <t>2.2</t>
  </si>
  <si>
    <t>2.3</t>
  </si>
  <si>
    <t>Grande &gt;1 m</t>
  </si>
  <si>
    <t>Orientacao de los planos de juntas</t>
  </si>
  <si>
    <t>3.1</t>
  </si>
  <si>
    <t>3.2</t>
  </si>
  <si>
    <t>3.3</t>
  </si>
  <si>
    <t>3.4</t>
  </si>
  <si>
    <t>Horizontal</t>
  </si>
  <si>
    <t>Discontinuidad normal al frente</t>
  </si>
  <si>
    <t>Dirección com el frente</t>
  </si>
  <si>
    <t xml:space="preserve">Buzamiento coincidente com el frente </t>
  </si>
  <si>
    <t>Influencia del peso específico</t>
  </si>
  <si>
    <t xml:space="preserve">Radio de influencia de la resistencia </t>
  </si>
  <si>
    <t>Espaciamiento (m)</t>
  </si>
  <si>
    <t>Peso espec[ifico (Ton/m3)</t>
  </si>
  <si>
    <t>UCS (Mpa)</t>
  </si>
  <si>
    <t>Fator Potencia (Kg Anfo /Ton)</t>
  </si>
  <si>
    <t>Índice Volabilidad (BI)</t>
  </si>
  <si>
    <t>Fator Potencia (Kg/m3)</t>
  </si>
  <si>
    <t>Lithology (Observada)</t>
  </si>
  <si>
    <t>Litology (Snowden) Block Model</t>
  </si>
  <si>
    <t>UCS (MPa)</t>
  </si>
  <si>
    <t>Cod photo</t>
  </si>
  <si>
    <t>% Incidence</t>
  </si>
  <si>
    <t>&lt;25%</t>
  </si>
  <si>
    <t>25-50%</t>
  </si>
  <si>
    <t>50-75%</t>
  </si>
  <si>
    <t>75-90%</t>
  </si>
  <si>
    <t>90-100%</t>
  </si>
  <si>
    <t>%Incidence</t>
  </si>
  <si>
    <t>Resistencia Laboratorio (Mpa)</t>
  </si>
  <si>
    <t>Laboratorio Resistencia (Mpa)</t>
  </si>
  <si>
    <t>Valorizacion Lab</t>
  </si>
  <si>
    <t>Val Lab</t>
  </si>
  <si>
    <t>Laboratorio PNM (MPa)</t>
  </si>
  <si>
    <t>Suma de DiscontinuidadesCondiciones Juntas</t>
  </si>
  <si>
    <t>Suma de Condiciones Juntas</t>
  </si>
  <si>
    <t>Val Laboratorio</t>
  </si>
  <si>
    <t>Dominio Geotecnico I</t>
  </si>
  <si>
    <t>Dominio Geotecnico II</t>
  </si>
  <si>
    <t>RMR 76</t>
  </si>
  <si>
    <t>RMR 89</t>
  </si>
  <si>
    <t xml:space="preserve">Modulo Elasticidad </t>
  </si>
  <si>
    <t>%Indicence</t>
  </si>
  <si>
    <t>PPN-BS-DD01</t>
  </si>
  <si>
    <t>PPN-BS-DD02</t>
  </si>
  <si>
    <t>PPN-BS-DD03</t>
  </si>
  <si>
    <t>PPN-BS-DD04</t>
  </si>
  <si>
    <t>PPN-BS-DD05</t>
  </si>
  <si>
    <t>PPN-BS-DD06</t>
  </si>
  <si>
    <t>PPN-BS-DD07</t>
  </si>
  <si>
    <t>PPN-BS-DD08</t>
  </si>
  <si>
    <t xml:space="preserve">Blasting Index Mohamed </t>
  </si>
  <si>
    <t>RockType</t>
  </si>
  <si>
    <t>Powder Factor (Kg/m3)</t>
  </si>
  <si>
    <t xml:space="preserve">Blastability </t>
  </si>
  <si>
    <t>Extremely high</t>
  </si>
  <si>
    <t>1,50-2,0</t>
  </si>
  <si>
    <t>Difficult to blast</t>
  </si>
  <si>
    <t>Very High strength</t>
  </si>
  <si>
    <t>0,80-1,50</t>
  </si>
  <si>
    <t>Moderate to resistence to blast</t>
  </si>
  <si>
    <t>High strength</t>
  </si>
  <si>
    <t>0,50-0,80</t>
  </si>
  <si>
    <t>Fairly easy to blast</t>
  </si>
  <si>
    <t>Medium stregth</t>
  </si>
  <si>
    <t>0,35-0,50</t>
  </si>
  <si>
    <t>Easy to blast</t>
  </si>
  <si>
    <t>Low strength</t>
  </si>
  <si>
    <t>0,25-0,35</t>
  </si>
  <si>
    <t>No Blasting need</t>
  </si>
  <si>
    <t>Very Low strength</t>
  </si>
  <si>
    <t>0,15-0,25</t>
  </si>
  <si>
    <t>Soil</t>
  </si>
  <si>
    <t>Blastability Index</t>
  </si>
  <si>
    <t>PPN-BS-DD09</t>
  </si>
  <si>
    <t>PPN-BS-DD10</t>
  </si>
  <si>
    <t>PPN-BS-DD11</t>
  </si>
  <si>
    <t>PPN-BS-DD12</t>
  </si>
  <si>
    <t>PPN-BS-DD13</t>
  </si>
  <si>
    <t>PPN-BS-DD14</t>
  </si>
  <si>
    <t>PPN-BS-DD15</t>
  </si>
  <si>
    <t>GEOMINAS</t>
  </si>
  <si>
    <t>GEOSOL</t>
  </si>
  <si>
    <t>FURO</t>
  </si>
  <si>
    <t>Norte (m)</t>
  </si>
  <si>
    <t>Leste (m)</t>
  </si>
  <si>
    <t>Nivel (m)</t>
  </si>
  <si>
    <t>Sondagem</t>
  </si>
  <si>
    <t>Mista</t>
  </si>
  <si>
    <t>Profundidade (m)</t>
  </si>
  <si>
    <t>Sonda</t>
  </si>
  <si>
    <t>Local</t>
  </si>
  <si>
    <t>Inclinación</t>
  </si>
  <si>
    <t>Vertical</t>
  </si>
  <si>
    <t>Inclinado</t>
  </si>
  <si>
    <t>Blasting</t>
  </si>
  <si>
    <t xml:space="preserve">Legend </t>
  </si>
  <si>
    <t>Spacing (mm)</t>
  </si>
  <si>
    <t>Soils</t>
  </si>
  <si>
    <t>Strength</t>
  </si>
  <si>
    <t>Weathering</t>
  </si>
  <si>
    <t>Fresh</t>
  </si>
  <si>
    <t>light</t>
  </si>
  <si>
    <t>Moderate</t>
  </si>
  <si>
    <t>High</t>
  </si>
  <si>
    <t>Descomposed</t>
  </si>
  <si>
    <t>Characteristics</t>
  </si>
  <si>
    <t>Strength Rock</t>
  </si>
  <si>
    <t>S5/S6</t>
  </si>
  <si>
    <t>0.1 - 0.25</t>
  </si>
  <si>
    <t>0.01</t>
  </si>
  <si>
    <t>&lt;0.1</t>
  </si>
  <si>
    <t>S0</t>
  </si>
  <si>
    <t>Strength Soil</t>
  </si>
  <si>
    <t>SUCS</t>
  </si>
  <si>
    <t>La recuperación no fue 100% Infiriendo la presencia de arcillas al momento de perforar</t>
  </si>
  <si>
    <t>Clasificaçao SUCS (Mecanica de Solos)</t>
  </si>
  <si>
    <t xml:space="preserve">Desmonte de Mina/Cobertura </t>
  </si>
  <si>
    <t xml:space="preserve">Recuperacion de Sulos </t>
  </si>
  <si>
    <t>Se presenta 66% de MATERIAL de Suelo em la matriz y restante Litologia 40</t>
  </si>
  <si>
    <t>Se presenta 58% de MATERIAL de Suelo em la matriz y restante Litologia 40</t>
  </si>
  <si>
    <t>Se presenta 52% de MATERIAL de Suelo em la matriz y restante Litologia 40</t>
  </si>
  <si>
    <t>Se presenta 40% de MATERIAL de Suelo em la matriz y restante Litologia 40</t>
  </si>
  <si>
    <t>Se presenta 56% de MATERIAL de Suelo em la matriz y restante Litologia 40</t>
  </si>
  <si>
    <t>Se presenta 46% de MATERIAL de Suelo em la matriz y restante Litologia 40</t>
  </si>
  <si>
    <t>Se presenta 48% de MATERIAL de Suelo em la matriz y restante Litologia 40</t>
  </si>
  <si>
    <t>Recuperation Furo Rock /Soil(%)</t>
  </si>
  <si>
    <t>Material Classification</t>
  </si>
  <si>
    <t>%Soil in Drillhole</t>
  </si>
  <si>
    <t>Material Limonita, Pulgar del dedo se indenta. Se desmorona.</t>
  </si>
  <si>
    <t>Se presenta zonas de muestra de roca intacta de la camada de la capa de silica</t>
  </si>
  <si>
    <t>Material no recuperado em la zona del sondaje</t>
  </si>
  <si>
    <t>Solo se observa material recuperado de pedazos de silica. Donde la mayoria de suelos</t>
  </si>
  <si>
    <t>Material de Suelo Limonita, como capa de suelo em la recuperación. Arcilla</t>
  </si>
  <si>
    <t>Material do tipo recuperable, com presencia de permeabilidad que puede ser rayado com la uma</t>
  </si>
  <si>
    <t xml:space="preserve">Clasificación R1-, com presencia de pocas discontinuidades </t>
  </si>
  <si>
    <t>Matrial poco recuperado</t>
  </si>
  <si>
    <t>Resistencia Piaui (Campo)</t>
  </si>
  <si>
    <t>Clastos de recuperacion em el sondaje. Com material de suelo mayor al 50% de suelos que no se recupero em el sondajge</t>
  </si>
  <si>
    <t>P0725_SAP_MG_SIL</t>
  </si>
  <si>
    <t>Cod Modelo Snowden</t>
  </si>
  <si>
    <t>Lithology (Quimica SGS)</t>
  </si>
  <si>
    <t>SAP FE</t>
  </si>
  <si>
    <t>SAP SIL</t>
  </si>
  <si>
    <t>SAP MAF</t>
  </si>
  <si>
    <t>SAP MG SIL</t>
  </si>
  <si>
    <t>SAP MG UM</t>
  </si>
  <si>
    <t>BED ROCK</t>
  </si>
  <si>
    <t>COB</t>
  </si>
  <si>
    <t>SAP UM</t>
  </si>
  <si>
    <t>SAP MF</t>
  </si>
  <si>
    <t>HIGH MGO RAFT</t>
  </si>
  <si>
    <t>Lito Code Quimica &amp; Comentario</t>
  </si>
  <si>
    <t>Comnetaios Logueo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</si>
</sst>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409]d\-mmm\-yy;@"/>
    <numFmt numFmtId="166" formatCode="000"/>
    <numFmt numFmtId="167" formatCode="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7"/>
      <name val="Arial"/>
      <family val="2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11"/>
      <color rgb="FFEE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7EC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E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6" fillId="0" borderId="0"/>
    <xf numFmtId="165" fontId="6" fillId="0" borderId="0"/>
  </cellStyleXfs>
  <cellXfs count="25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/>
    <xf numFmtId="0" fontId="1" fillId="0" borderId="0" xfId="2"/>
    <xf numFmtId="0" fontId="5" fillId="4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/>
    </xf>
    <xf numFmtId="49" fontId="7" fillId="0" borderId="1" xfId="2" applyNumberFormat="1" applyFont="1" applyBorder="1" applyAlignment="1">
      <alignment horizontal="center"/>
    </xf>
    <xf numFmtId="0" fontId="8" fillId="0" borderId="1" xfId="2" applyFont="1" applyBorder="1" applyAlignment="1">
      <alignment horizontal="center" vertical="center" wrapText="1"/>
    </xf>
    <xf numFmtId="0" fontId="7" fillId="0" borderId="0" xfId="2" applyFont="1" applyAlignment="1">
      <alignment horizontal="center"/>
    </xf>
    <xf numFmtId="0" fontId="8" fillId="0" borderId="0" xfId="2" applyFont="1" applyAlignment="1">
      <alignment horizontal="center" vertical="center" wrapText="1"/>
    </xf>
    <xf numFmtId="0" fontId="6" fillId="0" borderId="1" xfId="3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1" fillId="0" borderId="1" xfId="2" applyBorder="1" applyAlignment="1">
      <alignment horizontal="center"/>
    </xf>
    <xf numFmtId="0" fontId="6" fillId="0" borderId="0" xfId="3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2" applyFont="1"/>
    <xf numFmtId="0" fontId="5" fillId="4" borderId="2" xfId="2" applyFont="1" applyFill="1" applyBorder="1" applyAlignment="1">
      <alignment vertical="center"/>
    </xf>
    <xf numFmtId="16" fontId="7" fillId="0" borderId="1" xfId="2" applyNumberFormat="1" applyFont="1" applyBorder="1" applyAlignment="1">
      <alignment horizontal="center"/>
    </xf>
    <xf numFmtId="0" fontId="5" fillId="3" borderId="1" xfId="2" applyFont="1" applyFill="1" applyBorder="1" applyAlignment="1">
      <alignment vertical="center"/>
    </xf>
    <xf numFmtId="0" fontId="5" fillId="3" borderId="1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vertical="center"/>
    </xf>
    <xf numFmtId="0" fontId="8" fillId="0" borderId="1" xfId="2" applyFont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15" fillId="2" borderId="1" xfId="2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6" fillId="15" borderId="0" xfId="0" applyFont="1" applyFill="1" applyAlignment="1">
      <alignment horizontal="center" vertical="center"/>
    </xf>
    <xf numFmtId="10" fontId="0" fillId="0" borderId="0" xfId="0" applyNumberFormat="1"/>
    <xf numFmtId="9" fontId="0" fillId="0" borderId="0" xfId="1" applyFont="1" applyFill="1" applyBorder="1" applyAlignment="1">
      <alignment horizontal="center" vertical="center"/>
    </xf>
    <xf numFmtId="0" fontId="0" fillId="0" borderId="10" xfId="0" applyBorder="1"/>
    <xf numFmtId="0" fontId="12" fillId="16" borderId="0" xfId="0" applyFont="1" applyFill="1"/>
    <xf numFmtId="0" fontId="3" fillId="0" borderId="0" xfId="0" applyFont="1"/>
    <xf numFmtId="0" fontId="18" fillId="8" borderId="11" xfId="0" applyFont="1" applyFill="1" applyBorder="1" applyAlignment="1">
      <alignment horizontal="centerContinuous"/>
    </xf>
    <xf numFmtId="0" fontId="7" fillId="14" borderId="1" xfId="2" applyFont="1" applyFill="1" applyBorder="1" applyAlignment="1">
      <alignment horizontal="center"/>
    </xf>
    <xf numFmtId="49" fontId="7" fillId="14" borderId="1" xfId="2" applyNumberFormat="1" applyFont="1" applyFill="1" applyBorder="1" applyAlignment="1">
      <alignment horizontal="center"/>
    </xf>
    <xf numFmtId="0" fontId="5" fillId="3" borderId="0" xfId="2" applyFont="1" applyFill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0" fontId="5" fillId="18" borderId="1" xfId="4" applyNumberFormat="1" applyFont="1" applyFill="1" applyBorder="1" applyAlignment="1">
      <alignment horizontal="center" vertical="center" wrapText="1" shrinkToFit="1"/>
    </xf>
    <xf numFmtId="14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4" fontId="0" fillId="0" borderId="1" xfId="0" applyNumberFormat="1" applyBorder="1"/>
    <xf numFmtId="0" fontId="2" fillId="17" borderId="2" xfId="0" applyFont="1" applyFill="1" applyBorder="1" applyAlignment="1">
      <alignment horizontal="center" vertical="center" wrapText="1"/>
    </xf>
    <xf numFmtId="0" fontId="8" fillId="14" borderId="1" xfId="2" applyFont="1" applyFill="1" applyBorder="1" applyAlignment="1">
      <alignment horizontal="center" vertical="center" wrapText="1"/>
    </xf>
    <xf numFmtId="16" fontId="7" fillId="14" borderId="1" xfId="2" applyNumberFormat="1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8" fillId="14" borderId="1" xfId="2" applyFont="1" applyFill="1" applyBorder="1" applyAlignment="1">
      <alignment vertical="center" wrapText="1"/>
    </xf>
    <xf numFmtId="0" fontId="0" fillId="14" borderId="0" xfId="0" applyFill="1" applyAlignment="1">
      <alignment horizontal="center" vertical="center"/>
    </xf>
    <xf numFmtId="0" fontId="15" fillId="2" borderId="2" xfId="2" applyFont="1" applyFill="1" applyBorder="1" applyAlignment="1">
      <alignment horizontal="center"/>
    </xf>
    <xf numFmtId="0" fontId="15" fillId="2" borderId="1" xfId="2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2" fontId="0" fillId="19" borderId="1" xfId="0" applyNumberFormat="1" applyFill="1" applyBorder="1" applyAlignment="1">
      <alignment horizontal="center" vertical="center"/>
    </xf>
    <xf numFmtId="164" fontId="0" fillId="19" borderId="1" xfId="0" applyNumberFormat="1" applyFill="1" applyBorder="1" applyAlignment="1">
      <alignment horizontal="center" vertical="center"/>
    </xf>
    <xf numFmtId="9" fontId="0" fillId="19" borderId="1" xfId="1" applyFont="1" applyFill="1" applyBorder="1" applyAlignment="1">
      <alignment horizontal="center" vertical="center"/>
    </xf>
    <xf numFmtId="1" fontId="0" fillId="19" borderId="1" xfId="1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10" fontId="0" fillId="0" borderId="10" xfId="0" applyNumberFormat="1" applyBorder="1"/>
    <xf numFmtId="0" fontId="13" fillId="0" borderId="11" xfId="0" applyFont="1" applyBorder="1" applyAlignment="1">
      <alignment horizontal="center"/>
    </xf>
    <xf numFmtId="9" fontId="0" fillId="0" borderId="0" xfId="1" applyFont="1"/>
    <xf numFmtId="0" fontId="0" fillId="20" borderId="0" xfId="0" applyFill="1"/>
    <xf numFmtId="0" fontId="2" fillId="21" borderId="13" xfId="0" applyFont="1" applyFill="1" applyBorder="1" applyAlignment="1">
      <alignment horizontal="center" vertical="center"/>
    </xf>
    <xf numFmtId="0" fontId="2" fillId="21" borderId="14" xfId="0" applyFont="1" applyFill="1" applyBorder="1" applyAlignment="1">
      <alignment horizontal="center" vertical="center"/>
    </xf>
    <xf numFmtId="0" fontId="0" fillId="22" borderId="15" xfId="0" applyFill="1" applyBorder="1" applyAlignment="1">
      <alignment horizontal="center" vertical="center"/>
    </xf>
    <xf numFmtId="0" fontId="0" fillId="22" borderId="16" xfId="0" applyFill="1" applyBorder="1" applyAlignment="1">
      <alignment horizontal="center" vertical="center"/>
    </xf>
    <xf numFmtId="0" fontId="0" fillId="22" borderId="17" xfId="0" applyFill="1" applyBorder="1" applyAlignment="1">
      <alignment horizontal="center" vertical="center"/>
    </xf>
    <xf numFmtId="0" fontId="0" fillId="22" borderId="18" xfId="0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164" fontId="0" fillId="14" borderId="2" xfId="0" applyNumberFormat="1" applyFill="1" applyBorder="1" applyAlignment="1">
      <alignment horizontal="center" vertical="center"/>
    </xf>
    <xf numFmtId="0" fontId="0" fillId="0" borderId="2" xfId="0" applyBorder="1"/>
    <xf numFmtId="2" fontId="0" fillId="0" borderId="2" xfId="1" applyNumberFormat="1" applyFont="1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1" fontId="0" fillId="0" borderId="9" xfId="1" applyNumberFormat="1" applyFont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164" fontId="0" fillId="14" borderId="9" xfId="0" applyNumberFormat="1" applyFill="1" applyBorder="1" applyAlignment="1">
      <alignment horizontal="center" vertical="center"/>
    </xf>
    <xf numFmtId="0" fontId="0" fillId="0" borderId="9" xfId="0" applyBorder="1"/>
    <xf numFmtId="2" fontId="0" fillId="0" borderId="9" xfId="1" applyNumberFormat="1" applyFont="1" applyBorder="1" applyAlignment="1">
      <alignment horizontal="center" vertical="center"/>
    </xf>
    <xf numFmtId="9" fontId="0" fillId="0" borderId="9" xfId="1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 wrapText="1"/>
    </xf>
    <xf numFmtId="1" fontId="0" fillId="1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5" fillId="2" borderId="2" xfId="2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64" fontId="0" fillId="25" borderId="1" xfId="0" applyNumberForma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" fontId="0" fillId="26" borderId="1" xfId="0" applyNumberFormat="1" applyFill="1" applyBorder="1" applyAlignment="1">
      <alignment horizontal="center" vertical="center"/>
    </xf>
    <xf numFmtId="164" fontId="0" fillId="26" borderId="1" xfId="0" applyNumberFormat="1" applyFill="1" applyBorder="1" applyAlignment="1">
      <alignment horizontal="center" vertical="center"/>
    </xf>
    <xf numFmtId="0" fontId="17" fillId="2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20" borderId="11" xfId="0" applyFont="1" applyFill="1" applyBorder="1" applyAlignment="1">
      <alignment horizontal="centerContinuous"/>
    </xf>
    <xf numFmtId="0" fontId="0" fillId="20" borderId="10" xfId="0" applyFill="1" applyBorder="1"/>
    <xf numFmtId="0" fontId="0" fillId="20" borderId="19" xfId="0" applyFill="1" applyBorder="1"/>
    <xf numFmtId="0" fontId="0" fillId="20" borderId="14" xfId="0" applyFill="1" applyBorder="1"/>
    <xf numFmtId="0" fontId="0" fillId="20" borderId="16" xfId="0" applyFill="1" applyBorder="1"/>
    <xf numFmtId="0" fontId="0" fillId="20" borderId="18" xfId="0" applyFill="1" applyBorder="1"/>
    <xf numFmtId="0" fontId="19" fillId="28" borderId="13" xfId="0" applyFont="1" applyFill="1" applyBorder="1"/>
    <xf numFmtId="0" fontId="19" fillId="28" borderId="19" xfId="0" applyFont="1" applyFill="1" applyBorder="1"/>
    <xf numFmtId="0" fontId="19" fillId="28" borderId="14" xfId="0" applyFont="1" applyFill="1" applyBorder="1"/>
    <xf numFmtId="0" fontId="19" fillId="28" borderId="15" xfId="0" applyFont="1" applyFill="1" applyBorder="1"/>
    <xf numFmtId="0" fontId="20" fillId="28" borderId="11" xfId="0" applyFont="1" applyFill="1" applyBorder="1" applyAlignment="1">
      <alignment horizontal="centerContinuous"/>
    </xf>
    <xf numFmtId="0" fontId="19" fillId="28" borderId="16" xfId="0" applyFont="1" applyFill="1" applyBorder="1"/>
    <xf numFmtId="0" fontId="19" fillId="28" borderId="0" xfId="0" applyFont="1" applyFill="1"/>
    <xf numFmtId="0" fontId="19" fillId="28" borderId="10" xfId="0" applyFont="1" applyFill="1" applyBorder="1"/>
    <xf numFmtId="0" fontId="19" fillId="28" borderId="17" xfId="0" applyFont="1" applyFill="1" applyBorder="1"/>
    <xf numFmtId="0" fontId="19" fillId="28" borderId="18" xfId="0" applyFont="1" applyFill="1" applyBorder="1"/>
    <xf numFmtId="0" fontId="7" fillId="8" borderId="1" xfId="2" applyFont="1" applyFill="1" applyBorder="1" applyAlignment="1">
      <alignment horizontal="center"/>
    </xf>
    <xf numFmtId="49" fontId="7" fillId="8" borderId="1" xfId="2" applyNumberFormat="1" applyFont="1" applyFill="1" applyBorder="1" applyAlignment="1">
      <alignment horizontal="center"/>
    </xf>
    <xf numFmtId="0" fontId="8" fillId="8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20" borderId="13" xfId="0" applyFill="1" applyBorder="1"/>
    <xf numFmtId="0" fontId="13" fillId="20" borderId="21" xfId="0" applyFont="1" applyFill="1" applyBorder="1" applyAlignment="1">
      <alignment horizontal="centerContinuous"/>
    </xf>
    <xf numFmtId="0" fontId="0" fillId="20" borderId="15" xfId="0" applyFill="1" applyBorder="1"/>
    <xf numFmtId="0" fontId="2" fillId="28" borderId="15" xfId="0" applyFont="1" applyFill="1" applyBorder="1"/>
    <xf numFmtId="0" fontId="2" fillId="28" borderId="0" xfId="0" applyFont="1" applyFill="1"/>
    <xf numFmtId="0" fontId="0" fillId="20" borderId="17" xfId="0" applyFill="1" applyBorder="1"/>
    <xf numFmtId="0" fontId="3" fillId="8" borderId="0" xfId="0" applyFont="1" applyFill="1"/>
    <xf numFmtId="0" fontId="22" fillId="8" borderId="11" xfId="0" applyFont="1" applyFill="1" applyBorder="1" applyAlignment="1">
      <alignment horizontal="centerContinuous"/>
    </xf>
    <xf numFmtId="0" fontId="3" fillId="8" borderId="10" xfId="0" applyFont="1" applyFill="1" applyBorder="1"/>
    <xf numFmtId="0" fontId="17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13" fillId="8" borderId="11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10" fontId="0" fillId="8" borderId="0" xfId="0" applyNumberFormat="1" applyFill="1"/>
    <xf numFmtId="9" fontId="0" fillId="8" borderId="0" xfId="1" applyFont="1" applyFill="1" applyAlignment="1">
      <alignment horizontal="center" vertical="center"/>
    </xf>
    <xf numFmtId="0" fontId="0" fillId="8" borderId="10" xfId="0" applyFill="1" applyBorder="1"/>
    <xf numFmtId="10" fontId="0" fillId="8" borderId="10" xfId="0" applyNumberFormat="1" applyFill="1" applyBorder="1"/>
    <xf numFmtId="9" fontId="0" fillId="8" borderId="0" xfId="1" applyFont="1" applyFill="1"/>
    <xf numFmtId="9" fontId="0" fillId="8" borderId="0" xfId="1" applyFont="1" applyFill="1" applyAlignment="1">
      <alignment horizontal="center"/>
    </xf>
    <xf numFmtId="0" fontId="9" fillId="8" borderId="1" xfId="2" applyFont="1" applyFill="1" applyBorder="1" applyAlignment="1">
      <alignment horizontal="center"/>
    </xf>
    <xf numFmtId="0" fontId="6" fillId="8" borderId="1" xfId="3" applyFill="1" applyBorder="1" applyAlignment="1">
      <alignment horizontal="center"/>
    </xf>
    <xf numFmtId="164" fontId="0" fillId="0" borderId="0" xfId="0" applyNumberFormat="1"/>
    <xf numFmtId="164" fontId="0" fillId="8" borderId="0" xfId="0" applyNumberFormat="1" applyFill="1"/>
    <xf numFmtId="9" fontId="0" fillId="8" borderId="0" xfId="0" applyNumberFormat="1" applyFill="1"/>
    <xf numFmtId="0" fontId="13" fillId="8" borderId="11" xfId="0" applyFont="1" applyFill="1" applyBorder="1" applyAlignment="1">
      <alignment horizontal="centerContinuous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/>
    <xf numFmtId="0" fontId="0" fillId="0" borderId="1" xfId="0" applyBorder="1" applyAlignment="1">
      <alignment vertical="center"/>
    </xf>
    <xf numFmtId="0" fontId="17" fillId="0" borderId="1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0" fontId="7" fillId="14" borderId="1" xfId="2" applyFont="1" applyFill="1" applyBorder="1" applyAlignment="1">
      <alignment horizontal="center" vertical="center"/>
    </xf>
    <xf numFmtId="49" fontId="7" fillId="14" borderId="1" xfId="2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Continuous"/>
    </xf>
    <xf numFmtId="0" fontId="12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/>
    </xf>
    <xf numFmtId="0" fontId="25" fillId="2" borderId="24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8" xfId="0" applyBorder="1"/>
    <xf numFmtId="164" fontId="1" fillId="0" borderId="1" xfId="1" applyNumberFormat="1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8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" fontId="17" fillId="0" borderId="1" xfId="0" applyNumberFormat="1" applyFont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0" borderId="25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20" borderId="2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0" fillId="20" borderId="27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/>
    </xf>
    <xf numFmtId="0" fontId="0" fillId="20" borderId="28" xfId="0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/>
    </xf>
    <xf numFmtId="0" fontId="3" fillId="20" borderId="28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16" borderId="2" xfId="0" applyFill="1" applyBorder="1" applyAlignment="1">
      <alignment horizontal="center" vertical="center"/>
    </xf>
    <xf numFmtId="1" fontId="0" fillId="30" borderId="1" xfId="0" applyNumberFormat="1" applyFill="1" applyBorder="1" applyAlignment="1">
      <alignment horizontal="center" vertical="center"/>
    </xf>
    <xf numFmtId="1" fontId="0" fillId="30" borderId="26" xfId="0" applyNumberFormat="1" applyFill="1" applyBorder="1" applyAlignment="1">
      <alignment horizontal="center" vertical="center"/>
    </xf>
    <xf numFmtId="1" fontId="0" fillId="20" borderId="1" xfId="0" applyNumberFormat="1" applyFill="1" applyBorder="1" applyAlignment="1">
      <alignment horizontal="center" vertical="center"/>
    </xf>
    <xf numFmtId="1" fontId="0" fillId="20" borderId="26" xfId="0" applyNumberFormat="1" applyFill="1" applyBorder="1" applyAlignment="1">
      <alignment horizontal="center" vertical="center"/>
    </xf>
    <xf numFmtId="1" fontId="0" fillId="20" borderId="28" xfId="0" applyNumberFormat="1" applyFill="1" applyBorder="1" applyAlignment="1">
      <alignment horizontal="center" vertical="center"/>
    </xf>
    <xf numFmtId="1" fontId="0" fillId="20" borderId="29" xfId="0" applyNumberForma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2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1" xfId="2" applyFont="1" applyBorder="1" applyAlignment="1">
      <alignment horizontal="center" vertical="center"/>
    </xf>
    <xf numFmtId="0" fontId="6" fillId="0" borderId="1" xfId="3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 wrapText="1"/>
    </xf>
    <xf numFmtId="49" fontId="7" fillId="14" borderId="1" xfId="2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1" fontId="0" fillId="14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0" fontId="4" fillId="0" borderId="3" xfId="2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3" fillId="5" borderId="1" xfId="3" applyFont="1" applyFill="1" applyBorder="1" applyAlignment="1">
      <alignment horizontal="center"/>
    </xf>
    <xf numFmtId="0" fontId="3" fillId="5" borderId="6" xfId="3" applyFont="1" applyFill="1" applyBorder="1" applyAlignment="1">
      <alignment horizontal="center"/>
    </xf>
    <xf numFmtId="0" fontId="3" fillId="5" borderId="7" xfId="3" applyFont="1" applyFill="1" applyBorder="1" applyAlignment="1">
      <alignment horizontal="center"/>
    </xf>
  </cellXfs>
  <cellStyles count="5">
    <cellStyle name="Normal" xfId="0" builtinId="0"/>
    <cellStyle name="Normal 2" xfId="3" xr:uid="{00000000-0005-0000-0000-000001000000}"/>
    <cellStyle name="Normal 2 101" xfId="4" xr:uid="{077BEE0B-4D94-4D1F-B908-0EE5B0BEF9B9}"/>
    <cellStyle name="Normal 3" xfId="2" xr:uid="{00000000-0005-0000-0000-000002000000}"/>
    <cellStyle name="Porcentagem" xfId="1" builtinId="5"/>
  </cellStyles>
  <dxfs count="0"/>
  <tableStyles count="0" defaultTableStyle="TableStyleMedium2" defaultPivotStyle="PivotStyleLight16"/>
  <colors>
    <mruColors>
      <color rgb="FF0000FF"/>
      <color rgb="FF00FF00"/>
      <color rgb="FFFF99CC"/>
      <color rgb="FFEEDFAA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Structure" Target="richData/rdrichvaluestructure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8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8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8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0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10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0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Collar_survey_assay'!$J$2:$J$22</c:f>
              <c:numCache>
                <c:formatCode>0</c:formatCode>
                <c:ptCount val="21"/>
                <c:pt idx="0">
                  <c:v>173695.42499999999</c:v>
                </c:pt>
                <c:pt idx="1">
                  <c:v>174445.89</c:v>
                </c:pt>
                <c:pt idx="2">
                  <c:v>174709.899</c:v>
                </c:pt>
                <c:pt idx="3">
                  <c:v>174188.99</c:v>
                </c:pt>
                <c:pt idx="4">
                  <c:v>173859.73199999999</c:v>
                </c:pt>
                <c:pt idx="5">
                  <c:v>174430.17800000001</c:v>
                </c:pt>
                <c:pt idx="6">
                  <c:v>173847.33</c:v>
                </c:pt>
                <c:pt idx="7">
                  <c:v>174185.92</c:v>
                </c:pt>
                <c:pt idx="8">
                  <c:v>174676.02</c:v>
                </c:pt>
                <c:pt idx="9">
                  <c:v>174695.82</c:v>
                </c:pt>
                <c:pt idx="10">
                  <c:v>174392.73</c:v>
                </c:pt>
                <c:pt idx="11">
                  <c:v>174342.87</c:v>
                </c:pt>
                <c:pt idx="12">
                  <c:v>174038.67</c:v>
                </c:pt>
                <c:pt idx="13">
                  <c:v>173742.07</c:v>
                </c:pt>
                <c:pt idx="14">
                  <c:v>172744.45</c:v>
                </c:pt>
                <c:pt idx="15">
                  <c:v>172846.76</c:v>
                </c:pt>
                <c:pt idx="16">
                  <c:v>172648</c:v>
                </c:pt>
                <c:pt idx="17">
                  <c:v>172649.98</c:v>
                </c:pt>
                <c:pt idx="18">
                  <c:v>172450.47</c:v>
                </c:pt>
                <c:pt idx="19">
                  <c:v>172346.77</c:v>
                </c:pt>
                <c:pt idx="20">
                  <c:v>172350.38</c:v>
                </c:pt>
              </c:numCache>
            </c:numRef>
          </c:xVal>
          <c:yVal>
            <c:numRef>
              <c:f>'1. Collar_survey_assay'!$I$2:$I$22</c:f>
              <c:numCache>
                <c:formatCode>0</c:formatCode>
                <c:ptCount val="21"/>
                <c:pt idx="0">
                  <c:v>9063816.7019999996</c:v>
                </c:pt>
                <c:pt idx="1">
                  <c:v>9063476.4250000007</c:v>
                </c:pt>
                <c:pt idx="2">
                  <c:v>9063223.7550000008</c:v>
                </c:pt>
                <c:pt idx="3">
                  <c:v>9063631</c:v>
                </c:pt>
                <c:pt idx="4">
                  <c:v>9063713.7670000009</c:v>
                </c:pt>
                <c:pt idx="5">
                  <c:v>9063323.4979999997</c:v>
                </c:pt>
                <c:pt idx="6">
                  <c:v>9063705.6699999999</c:v>
                </c:pt>
                <c:pt idx="7">
                  <c:v>9063617.2799999993</c:v>
                </c:pt>
                <c:pt idx="8">
                  <c:v>9063205.1899999995</c:v>
                </c:pt>
                <c:pt idx="9">
                  <c:v>9063848.9700000007</c:v>
                </c:pt>
                <c:pt idx="10">
                  <c:v>9064232.4600000009</c:v>
                </c:pt>
                <c:pt idx="11">
                  <c:v>9064178.8100000005</c:v>
                </c:pt>
                <c:pt idx="12">
                  <c:v>9064277.4800000004</c:v>
                </c:pt>
                <c:pt idx="13">
                  <c:v>9064320.5899999999</c:v>
                </c:pt>
                <c:pt idx="14">
                  <c:v>9063903.7100000009</c:v>
                </c:pt>
                <c:pt idx="15">
                  <c:v>9063714.3000000007</c:v>
                </c:pt>
                <c:pt idx="16">
                  <c:v>9063905.6400000006</c:v>
                </c:pt>
                <c:pt idx="17">
                  <c:v>9063806.7200000007</c:v>
                </c:pt>
                <c:pt idx="18">
                  <c:v>9063685.3200000003</c:v>
                </c:pt>
                <c:pt idx="19">
                  <c:v>9063625.5399999991</c:v>
                </c:pt>
                <c:pt idx="20">
                  <c:v>9063497.9399999995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394-4988-B9B6-D3B4058FC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68447"/>
        <c:axId val="394657887"/>
      </c:scatterChart>
      <c:valAx>
        <c:axId val="39466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4657887"/>
        <c:crosses val="autoZero"/>
        <c:crossBetween val="midCat"/>
      </c:valAx>
      <c:valAx>
        <c:axId val="39465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466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 baseline="0"/>
              <a:t>Umbuzeiro Open Pit</a:t>
            </a:r>
            <a:endParaRPr lang="es-PE" sz="2400" b="1"/>
          </a:p>
        </c:rich>
      </c:tx>
      <c:layout>
        <c:manualLayout>
          <c:xMode val="edge"/>
          <c:yMode val="edge"/>
          <c:x val="0.37186836979457344"/>
          <c:y val="3.26739415937158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9694494042704"/>
          <c:y val="0.11140472838323791"/>
          <c:w val="0.76104851202325541"/>
          <c:h val="0.73738289190401241"/>
        </c:manualLayout>
      </c:layout>
      <c:scatterChart>
        <c:scatterStyle val="lineMarker"/>
        <c:varyColors val="0"/>
        <c:ser>
          <c:idx val="8"/>
          <c:order val="3"/>
          <c:spPr>
            <a:ln w="19050">
              <a:noFill/>
            </a:ln>
          </c:spPr>
          <c:marker>
            <c:symbol val="triangle"/>
            <c:size val="15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xVal>
            <c:numRef>
              <c:f>'Logging Brejo Seco'!#REF!</c:f>
            </c:numRef>
          </c:xVal>
          <c:yVal>
            <c:numRef>
              <c:f>'Logging Brejo Seco'!#REF!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A-491E-BE25-1AF0F654F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</c:scatterChar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34A-491E-BE25-1AF0F654F206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34A-491E-BE25-1AF0F654F206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34A-491E-BE25-1AF0F654F206}"/>
            </c:ext>
          </c:extLst>
        </c:ser>
        <c:ser>
          <c:idx val="3"/>
          <c:order val="4"/>
          <c:tx>
            <c:v>GEOMINAS</c:v>
          </c:tx>
          <c:marker>
            <c:symbol val="none"/>
          </c:marker>
          <c:xVal>
            <c:numRef>
              <c:f>'Logging Brejo Seco'!#REF!</c:f>
            </c:numRef>
          </c:xVal>
          <c:yVal>
            <c:numRef>
              <c:f>'Logging Brejo Seco'!#REF!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434A-491E-BE25-1AF0F654F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Spacing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6.2209024352503681E-2"/>
          <c:y val="0.90888571563285125"/>
          <c:w val="0.87540484639221205"/>
          <c:h val="8.2225313153221111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FF vs RQD(%)</a:t>
            </a:r>
          </a:p>
        </c:rich>
      </c:tx>
      <c:layout>
        <c:manualLayout>
          <c:xMode val="edge"/>
          <c:yMode val="edge"/>
          <c:x val="0.41262201269890286"/>
          <c:y val="2.0449884578919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31"/>
              <c:pt idx="0">
                <c:v>60</c:v>
              </c:pt>
              <c:pt idx="1">
                <c:v>58</c:v>
              </c:pt>
              <c:pt idx="2">
                <c:v>56</c:v>
              </c:pt>
              <c:pt idx="3">
                <c:v>54</c:v>
              </c:pt>
              <c:pt idx="4">
                <c:v>52</c:v>
              </c:pt>
              <c:pt idx="5">
                <c:v>50</c:v>
              </c:pt>
              <c:pt idx="6">
                <c:v>48</c:v>
              </c:pt>
              <c:pt idx="7">
                <c:v>46</c:v>
              </c:pt>
              <c:pt idx="8">
                <c:v>44</c:v>
              </c:pt>
              <c:pt idx="9">
                <c:v>42</c:v>
              </c:pt>
              <c:pt idx="10">
                <c:v>40</c:v>
              </c:pt>
              <c:pt idx="11">
                <c:v>38</c:v>
              </c:pt>
              <c:pt idx="12">
                <c:v>36</c:v>
              </c:pt>
              <c:pt idx="13">
                <c:v>34</c:v>
              </c:pt>
              <c:pt idx="14">
                <c:v>32</c:v>
              </c:pt>
              <c:pt idx="15">
                <c:v>30</c:v>
              </c:pt>
              <c:pt idx="16">
                <c:v>28</c:v>
              </c:pt>
              <c:pt idx="17">
                <c:v>26</c:v>
              </c:pt>
              <c:pt idx="18">
                <c:v>24</c:v>
              </c:pt>
              <c:pt idx="19">
                <c:v>22</c:v>
              </c:pt>
              <c:pt idx="20">
                <c:v>20</c:v>
              </c:pt>
              <c:pt idx="21">
                <c:v>18</c:v>
              </c:pt>
              <c:pt idx="22">
                <c:v>16</c:v>
              </c:pt>
              <c:pt idx="23">
                <c:v>14</c:v>
              </c:pt>
              <c:pt idx="24">
                <c:v>12</c:v>
              </c:pt>
              <c:pt idx="25">
                <c:v>10</c:v>
              </c:pt>
              <c:pt idx="26">
                <c:v>8</c:v>
              </c:pt>
              <c:pt idx="27">
                <c:v>6</c:v>
              </c:pt>
              <c:pt idx="28">
                <c:v>4</c:v>
              </c:pt>
              <c:pt idx="29">
                <c:v>2</c:v>
              </c:pt>
              <c:pt idx="30">
                <c:v>0</c:v>
              </c:pt>
            </c:numLit>
          </c:xVal>
          <c:yVal>
            <c:numLit>
              <c:formatCode>General</c:formatCode>
              <c:ptCount val="31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3</c:v>
              </c:pt>
              <c:pt idx="4">
                <c:v>3</c:v>
              </c:pt>
              <c:pt idx="5">
                <c:v>4</c:v>
              </c:pt>
              <c:pt idx="6">
                <c:v>5</c:v>
              </c:pt>
              <c:pt idx="7">
                <c:v>6</c:v>
              </c:pt>
              <c:pt idx="8">
                <c:v>7</c:v>
              </c:pt>
              <c:pt idx="9">
                <c:v>8</c:v>
              </c:pt>
              <c:pt idx="10">
                <c:v>9</c:v>
              </c:pt>
              <c:pt idx="11">
                <c:v>11</c:v>
              </c:pt>
              <c:pt idx="12">
                <c:v>13</c:v>
              </c:pt>
              <c:pt idx="13">
                <c:v>15</c:v>
              </c:pt>
              <c:pt idx="14">
                <c:v>17</c:v>
              </c:pt>
              <c:pt idx="15">
                <c:v>20</c:v>
              </c:pt>
              <c:pt idx="16">
                <c:v>23</c:v>
              </c:pt>
              <c:pt idx="17">
                <c:v>27</c:v>
              </c:pt>
              <c:pt idx="18">
                <c:v>31</c:v>
              </c:pt>
              <c:pt idx="19">
                <c:v>35</c:v>
              </c:pt>
              <c:pt idx="20">
                <c:v>41</c:v>
              </c:pt>
              <c:pt idx="21">
                <c:v>46</c:v>
              </c:pt>
              <c:pt idx="22">
                <c:v>52</c:v>
              </c:pt>
              <c:pt idx="23">
                <c:v>59</c:v>
              </c:pt>
              <c:pt idx="24">
                <c:v>66</c:v>
              </c:pt>
              <c:pt idx="25">
                <c:v>74</c:v>
              </c:pt>
              <c:pt idx="26">
                <c:v>81</c:v>
              </c:pt>
              <c:pt idx="27">
                <c:v>88</c:v>
              </c:pt>
              <c:pt idx="28">
                <c:v>94</c:v>
              </c:pt>
              <c:pt idx="29">
                <c:v>98</c:v>
              </c:pt>
              <c:pt idx="30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A0C-473B-AD53-5D9BF9556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86488"/>
        <c:axId val="714086096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12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'Logging Brejo Seco'!#REF!</c:f>
            </c:numRef>
          </c:xVal>
          <c:yVal>
            <c:numRef>
              <c:f>'Logging Brejo Seco'!#REF!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0C-473B-AD53-5D9BF9556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86488"/>
        <c:axId val="714086096"/>
      </c:scatterChart>
      <c:valAx>
        <c:axId val="71408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800"/>
                  <a:t>RQD(%)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086096"/>
        <c:crosses val="autoZero"/>
        <c:crossBetween val="midCat"/>
      </c:valAx>
      <c:valAx>
        <c:axId val="7140860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FF/m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086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Grau Alteracao vs Resistencia</a:t>
            </a:r>
          </a:p>
        </c:rich>
      </c:tx>
      <c:layout>
        <c:manualLayout>
          <c:xMode val="edge"/>
          <c:yMode val="edge"/>
          <c:x val="0.21016194284439277"/>
          <c:y val="2.8111109032986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RQD vs Resistencia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1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xVal>
            <c:numRef>
              <c:f>'2. Logging Brejo Seco'!$M$808:$M$909</c:f>
              <c:numCache>
                <c:formatCode>0.0</c:formatCode>
                <c:ptCount val="102"/>
                <c:pt idx="0">
                  <c:v>0.64999999999999858</c:v>
                </c:pt>
                <c:pt idx="1">
                  <c:v>1.3999999999999986</c:v>
                </c:pt>
                <c:pt idx="2">
                  <c:v>0.64999999999999858</c:v>
                </c:pt>
                <c:pt idx="3">
                  <c:v>0.80000000000000426</c:v>
                </c:pt>
                <c:pt idx="4">
                  <c:v>1.8999999999999986</c:v>
                </c:pt>
                <c:pt idx="5">
                  <c:v>1</c:v>
                </c:pt>
                <c:pt idx="6">
                  <c:v>1.7999999999999972</c:v>
                </c:pt>
                <c:pt idx="7">
                  <c:v>1</c:v>
                </c:pt>
                <c:pt idx="8">
                  <c:v>0.70000000000000284</c:v>
                </c:pt>
                <c:pt idx="9">
                  <c:v>1.2000000000000028</c:v>
                </c:pt>
                <c:pt idx="10">
                  <c:v>1.1999999999999957</c:v>
                </c:pt>
                <c:pt idx="11">
                  <c:v>0.80000000000000426</c:v>
                </c:pt>
                <c:pt idx="12">
                  <c:v>1.8999999999999986</c:v>
                </c:pt>
                <c:pt idx="13">
                  <c:v>1.5</c:v>
                </c:pt>
                <c:pt idx="14">
                  <c:v>1.1999999999999957</c:v>
                </c:pt>
                <c:pt idx="15">
                  <c:v>0.5</c:v>
                </c:pt>
                <c:pt idx="16">
                  <c:v>1.2000000000000028</c:v>
                </c:pt>
                <c:pt idx="17">
                  <c:v>1.2000000000000028</c:v>
                </c:pt>
                <c:pt idx="18">
                  <c:v>0.69999999999999574</c:v>
                </c:pt>
                <c:pt idx="19">
                  <c:v>0.5</c:v>
                </c:pt>
                <c:pt idx="20">
                  <c:v>0.45000000000000284</c:v>
                </c:pt>
                <c:pt idx="21">
                  <c:v>0.54999999999999716</c:v>
                </c:pt>
                <c:pt idx="22">
                  <c:v>0.5</c:v>
                </c:pt>
                <c:pt idx="23">
                  <c:v>0.70000000000000284</c:v>
                </c:pt>
                <c:pt idx="24">
                  <c:v>0.69999999999999574</c:v>
                </c:pt>
                <c:pt idx="25">
                  <c:v>1.5</c:v>
                </c:pt>
                <c:pt idx="26">
                  <c:v>0.65000000000000568</c:v>
                </c:pt>
                <c:pt idx="27">
                  <c:v>1.2999999999999972</c:v>
                </c:pt>
                <c:pt idx="28">
                  <c:v>0.95000000000000284</c:v>
                </c:pt>
                <c:pt idx="29">
                  <c:v>2</c:v>
                </c:pt>
                <c:pt idx="30">
                  <c:v>0.39999999999999147</c:v>
                </c:pt>
                <c:pt idx="31">
                  <c:v>1.1000000000000085</c:v>
                </c:pt>
                <c:pt idx="32">
                  <c:v>1.2000000000000028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2.0999999999999943</c:v>
                </c:pt>
                <c:pt idx="37">
                  <c:v>1.9000000000000057</c:v>
                </c:pt>
                <c:pt idx="38">
                  <c:v>0.8</c:v>
                </c:pt>
                <c:pt idx="39">
                  <c:v>1.0999999999999999</c:v>
                </c:pt>
                <c:pt idx="40">
                  <c:v>0.70000000000000018</c:v>
                </c:pt>
                <c:pt idx="41">
                  <c:v>1</c:v>
                </c:pt>
                <c:pt idx="42">
                  <c:v>0.99999999999999956</c:v>
                </c:pt>
                <c:pt idx="43">
                  <c:v>0.80000000000000071</c:v>
                </c:pt>
                <c:pt idx="44">
                  <c:v>0.79999999999999982</c:v>
                </c:pt>
                <c:pt idx="45">
                  <c:v>0.54999999999999982</c:v>
                </c:pt>
                <c:pt idx="46">
                  <c:v>0.54999999999999982</c:v>
                </c:pt>
                <c:pt idx="47">
                  <c:v>0.5</c:v>
                </c:pt>
                <c:pt idx="48">
                  <c:v>0.29999999999999982</c:v>
                </c:pt>
                <c:pt idx="49">
                  <c:v>0.34999999999999964</c:v>
                </c:pt>
                <c:pt idx="50">
                  <c:v>0.75</c:v>
                </c:pt>
                <c:pt idx="51">
                  <c:v>1.3000000000000007</c:v>
                </c:pt>
                <c:pt idx="52">
                  <c:v>0.80000000000000071</c:v>
                </c:pt>
                <c:pt idx="53">
                  <c:v>2.0499999999999989</c:v>
                </c:pt>
                <c:pt idx="54">
                  <c:v>0.30000000000000071</c:v>
                </c:pt>
                <c:pt idx="55">
                  <c:v>0.29999999999999893</c:v>
                </c:pt>
                <c:pt idx="56">
                  <c:v>0.85000000000000142</c:v>
                </c:pt>
                <c:pt idx="57">
                  <c:v>0.29999999999999893</c:v>
                </c:pt>
                <c:pt idx="58">
                  <c:v>0.59999999999999964</c:v>
                </c:pt>
                <c:pt idx="59">
                  <c:v>0.25</c:v>
                </c:pt>
                <c:pt idx="60">
                  <c:v>0.30000000000000071</c:v>
                </c:pt>
                <c:pt idx="61">
                  <c:v>0.35000000000000142</c:v>
                </c:pt>
                <c:pt idx="62">
                  <c:v>0.75</c:v>
                </c:pt>
                <c:pt idx="63">
                  <c:v>0.75</c:v>
                </c:pt>
                <c:pt idx="64">
                  <c:v>0.44999999999999929</c:v>
                </c:pt>
                <c:pt idx="65">
                  <c:v>0.80000000000000071</c:v>
                </c:pt>
                <c:pt idx="66">
                  <c:v>1.3999999999999986</c:v>
                </c:pt>
                <c:pt idx="67">
                  <c:v>1.1999999999999993</c:v>
                </c:pt>
                <c:pt idx="68">
                  <c:v>2</c:v>
                </c:pt>
                <c:pt idx="69">
                  <c:v>1.75</c:v>
                </c:pt>
                <c:pt idx="70">
                  <c:v>2.1000000000000014</c:v>
                </c:pt>
                <c:pt idx="71">
                  <c:v>2</c:v>
                </c:pt>
                <c:pt idx="72">
                  <c:v>2.0999999999999979</c:v>
                </c:pt>
                <c:pt idx="73">
                  <c:v>2</c:v>
                </c:pt>
                <c:pt idx="74">
                  <c:v>2.1000000000000014</c:v>
                </c:pt>
                <c:pt idx="75">
                  <c:v>2.1499999999999986</c:v>
                </c:pt>
                <c:pt idx="76">
                  <c:v>1.8500000000000014</c:v>
                </c:pt>
                <c:pt idx="77">
                  <c:v>1.95</c:v>
                </c:pt>
                <c:pt idx="78">
                  <c:v>0.55000000000000004</c:v>
                </c:pt>
                <c:pt idx="79">
                  <c:v>0.45000000000000018</c:v>
                </c:pt>
                <c:pt idx="80">
                  <c:v>1.0499999999999998</c:v>
                </c:pt>
                <c:pt idx="81">
                  <c:v>2.0999999999999996</c:v>
                </c:pt>
                <c:pt idx="82">
                  <c:v>1.9000000000000004</c:v>
                </c:pt>
                <c:pt idx="83">
                  <c:v>2</c:v>
                </c:pt>
                <c:pt idx="84">
                  <c:v>1.1999999999999993</c:v>
                </c:pt>
                <c:pt idx="85">
                  <c:v>1.1000000000000014</c:v>
                </c:pt>
                <c:pt idx="86">
                  <c:v>0.69999999999999929</c:v>
                </c:pt>
                <c:pt idx="87">
                  <c:v>1.3000000000000007</c:v>
                </c:pt>
                <c:pt idx="88">
                  <c:v>2.0999999999999979</c:v>
                </c:pt>
                <c:pt idx="89">
                  <c:v>2</c:v>
                </c:pt>
                <c:pt idx="90">
                  <c:v>1.9000000000000021</c:v>
                </c:pt>
                <c:pt idx="91">
                  <c:v>0.69999999999999929</c:v>
                </c:pt>
                <c:pt idx="92">
                  <c:v>1.3000000000000007</c:v>
                </c:pt>
                <c:pt idx="93">
                  <c:v>1</c:v>
                </c:pt>
                <c:pt idx="94">
                  <c:v>1.9199999999999982</c:v>
                </c:pt>
                <c:pt idx="95">
                  <c:v>1.1000000000000014</c:v>
                </c:pt>
                <c:pt idx="96">
                  <c:v>1.3000000000000007</c:v>
                </c:pt>
                <c:pt idx="97">
                  <c:v>1.1999999999999993</c:v>
                </c:pt>
                <c:pt idx="98">
                  <c:v>1.9299999999999997</c:v>
                </c:pt>
                <c:pt idx="99">
                  <c:v>1.2399999999999984</c:v>
                </c:pt>
                <c:pt idx="100">
                  <c:v>2.7699999999999996</c:v>
                </c:pt>
                <c:pt idx="101">
                  <c:v>2</c:v>
                </c:pt>
              </c:numCache>
            </c:numRef>
          </c:xVal>
          <c:yVal>
            <c:numRef>
              <c:f>'2. Logging Brejo Seco'!$L$808:$L$909</c:f>
              <c:numCache>
                <c:formatCode>General</c:formatCode>
                <c:ptCount val="102"/>
                <c:pt idx="0">
                  <c:v>37.25</c:v>
                </c:pt>
                <c:pt idx="1">
                  <c:v>38.65</c:v>
                </c:pt>
                <c:pt idx="2">
                  <c:v>39.299999999999997</c:v>
                </c:pt>
                <c:pt idx="3">
                  <c:v>40.1</c:v>
                </c:pt>
                <c:pt idx="4">
                  <c:v>42</c:v>
                </c:pt>
                <c:pt idx="5">
                  <c:v>43</c:v>
                </c:pt>
                <c:pt idx="6">
                  <c:v>44.8</c:v>
                </c:pt>
                <c:pt idx="7">
                  <c:v>45.8</c:v>
                </c:pt>
                <c:pt idx="8">
                  <c:v>46.5</c:v>
                </c:pt>
                <c:pt idx="9">
                  <c:v>47.7</c:v>
                </c:pt>
                <c:pt idx="10">
                  <c:v>48.9</c:v>
                </c:pt>
                <c:pt idx="11">
                  <c:v>49.7</c:v>
                </c:pt>
                <c:pt idx="12">
                  <c:v>51.6</c:v>
                </c:pt>
                <c:pt idx="13">
                  <c:v>53.1</c:v>
                </c:pt>
                <c:pt idx="14">
                  <c:v>54.3</c:v>
                </c:pt>
                <c:pt idx="15">
                  <c:v>54.8</c:v>
                </c:pt>
                <c:pt idx="16">
                  <c:v>56</c:v>
                </c:pt>
                <c:pt idx="17">
                  <c:v>57.2</c:v>
                </c:pt>
                <c:pt idx="18">
                  <c:v>57.9</c:v>
                </c:pt>
                <c:pt idx="19">
                  <c:v>58.4</c:v>
                </c:pt>
                <c:pt idx="20">
                  <c:v>58.85</c:v>
                </c:pt>
                <c:pt idx="21">
                  <c:v>59.4</c:v>
                </c:pt>
                <c:pt idx="22">
                  <c:v>59.9</c:v>
                </c:pt>
                <c:pt idx="23">
                  <c:v>60.6</c:v>
                </c:pt>
                <c:pt idx="24">
                  <c:v>61.3</c:v>
                </c:pt>
                <c:pt idx="25">
                  <c:v>62.8</c:v>
                </c:pt>
                <c:pt idx="26">
                  <c:v>63.45</c:v>
                </c:pt>
                <c:pt idx="27">
                  <c:v>64.75</c:v>
                </c:pt>
                <c:pt idx="28">
                  <c:v>65.7</c:v>
                </c:pt>
                <c:pt idx="29">
                  <c:v>67.7</c:v>
                </c:pt>
                <c:pt idx="30">
                  <c:v>68.099999999999994</c:v>
                </c:pt>
                <c:pt idx="31">
                  <c:v>69.2</c:v>
                </c:pt>
                <c:pt idx="32">
                  <c:v>70.400000000000006</c:v>
                </c:pt>
                <c:pt idx="33">
                  <c:v>72.400000000000006</c:v>
                </c:pt>
                <c:pt idx="34">
                  <c:v>74.400000000000006</c:v>
                </c:pt>
                <c:pt idx="35">
                  <c:v>76.400000000000006</c:v>
                </c:pt>
                <c:pt idx="36">
                  <c:v>78.5</c:v>
                </c:pt>
                <c:pt idx="37">
                  <c:v>80.400000000000006</c:v>
                </c:pt>
                <c:pt idx="38">
                  <c:v>0.8</c:v>
                </c:pt>
                <c:pt idx="39">
                  <c:v>1.9</c:v>
                </c:pt>
                <c:pt idx="40">
                  <c:v>2.6</c:v>
                </c:pt>
                <c:pt idx="41">
                  <c:v>3.6</c:v>
                </c:pt>
                <c:pt idx="42">
                  <c:v>4.5999999999999996</c:v>
                </c:pt>
                <c:pt idx="43">
                  <c:v>5.4</c:v>
                </c:pt>
                <c:pt idx="44">
                  <c:v>6.2</c:v>
                </c:pt>
                <c:pt idx="45">
                  <c:v>6.75</c:v>
                </c:pt>
                <c:pt idx="46">
                  <c:v>7.3</c:v>
                </c:pt>
                <c:pt idx="47">
                  <c:v>7.8</c:v>
                </c:pt>
                <c:pt idx="48">
                  <c:v>8.1</c:v>
                </c:pt>
                <c:pt idx="49">
                  <c:v>8.4499999999999993</c:v>
                </c:pt>
                <c:pt idx="50">
                  <c:v>9.1999999999999993</c:v>
                </c:pt>
                <c:pt idx="51">
                  <c:v>10.5</c:v>
                </c:pt>
                <c:pt idx="52">
                  <c:v>11.3</c:v>
                </c:pt>
                <c:pt idx="53">
                  <c:v>13.35</c:v>
                </c:pt>
                <c:pt idx="54">
                  <c:v>13.65</c:v>
                </c:pt>
                <c:pt idx="55">
                  <c:v>13.95</c:v>
                </c:pt>
                <c:pt idx="56">
                  <c:v>14.8</c:v>
                </c:pt>
                <c:pt idx="57">
                  <c:v>15.1</c:v>
                </c:pt>
                <c:pt idx="58">
                  <c:v>15.7</c:v>
                </c:pt>
                <c:pt idx="59">
                  <c:v>15.95</c:v>
                </c:pt>
                <c:pt idx="60">
                  <c:v>16.25</c:v>
                </c:pt>
                <c:pt idx="61">
                  <c:v>16.600000000000001</c:v>
                </c:pt>
                <c:pt idx="62">
                  <c:v>17.350000000000001</c:v>
                </c:pt>
                <c:pt idx="63">
                  <c:v>18.100000000000001</c:v>
                </c:pt>
                <c:pt idx="64">
                  <c:v>18.55</c:v>
                </c:pt>
                <c:pt idx="65">
                  <c:v>19.350000000000001</c:v>
                </c:pt>
                <c:pt idx="66">
                  <c:v>20.75</c:v>
                </c:pt>
                <c:pt idx="67">
                  <c:v>21.95</c:v>
                </c:pt>
                <c:pt idx="68">
                  <c:v>23.95</c:v>
                </c:pt>
                <c:pt idx="69">
                  <c:v>25.7</c:v>
                </c:pt>
                <c:pt idx="70">
                  <c:v>27.8</c:v>
                </c:pt>
                <c:pt idx="71">
                  <c:v>29.8</c:v>
                </c:pt>
                <c:pt idx="72">
                  <c:v>31.9</c:v>
                </c:pt>
                <c:pt idx="73">
                  <c:v>33.9</c:v>
                </c:pt>
                <c:pt idx="74">
                  <c:v>36</c:v>
                </c:pt>
                <c:pt idx="75">
                  <c:v>38.15</c:v>
                </c:pt>
                <c:pt idx="76">
                  <c:v>40</c:v>
                </c:pt>
                <c:pt idx="77">
                  <c:v>1.95</c:v>
                </c:pt>
                <c:pt idx="78">
                  <c:v>2.5</c:v>
                </c:pt>
                <c:pt idx="79">
                  <c:v>2.95</c:v>
                </c:pt>
                <c:pt idx="80">
                  <c:v>4</c:v>
                </c:pt>
                <c:pt idx="81">
                  <c:v>6.1</c:v>
                </c:pt>
                <c:pt idx="82">
                  <c:v>8</c:v>
                </c:pt>
                <c:pt idx="83">
                  <c:v>10</c:v>
                </c:pt>
                <c:pt idx="84">
                  <c:v>11.2</c:v>
                </c:pt>
                <c:pt idx="85">
                  <c:v>12.3</c:v>
                </c:pt>
                <c:pt idx="86">
                  <c:v>13</c:v>
                </c:pt>
                <c:pt idx="87">
                  <c:v>14.3</c:v>
                </c:pt>
                <c:pt idx="88">
                  <c:v>16.399999999999999</c:v>
                </c:pt>
                <c:pt idx="89">
                  <c:v>18.399999999999999</c:v>
                </c:pt>
                <c:pt idx="90">
                  <c:v>20.3</c:v>
                </c:pt>
                <c:pt idx="91">
                  <c:v>21</c:v>
                </c:pt>
                <c:pt idx="92">
                  <c:v>22.3</c:v>
                </c:pt>
                <c:pt idx="93">
                  <c:v>23.3</c:v>
                </c:pt>
                <c:pt idx="94">
                  <c:v>25.22</c:v>
                </c:pt>
                <c:pt idx="95">
                  <c:v>26.32</c:v>
                </c:pt>
                <c:pt idx="96">
                  <c:v>27.62</c:v>
                </c:pt>
                <c:pt idx="97">
                  <c:v>28.82</c:v>
                </c:pt>
                <c:pt idx="98">
                  <c:v>30.75</c:v>
                </c:pt>
                <c:pt idx="99">
                  <c:v>31.99</c:v>
                </c:pt>
                <c:pt idx="100">
                  <c:v>34.76</c:v>
                </c:pt>
                <c:pt idx="101">
                  <c:v>36.76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C-41A2-9064-64E6CD8AC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923103"/>
        <c:axId val="468051663"/>
      </c:scatterChart>
      <c:valAx>
        <c:axId val="62892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 baseline="0"/>
                  <a:t>RQD (%)</a:t>
                </a:r>
                <a:endParaRPr lang="pt-BR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8051663"/>
        <c:crosses val="autoZero"/>
        <c:crossBetween val="midCat"/>
      </c:valAx>
      <c:valAx>
        <c:axId val="46805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Rating</a:t>
                </a:r>
                <a:r>
                  <a:rPr lang="pt-BR" sz="2400" baseline="0"/>
                  <a:t> 89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892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RMR76 vs GSI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20533590326002"/>
          <c:y val="6.9035608369802381E-2"/>
          <c:w val="0.83628048027738866"/>
          <c:h val="0.84675254582619108"/>
        </c:manualLayout>
      </c:layout>
      <c:scatterChart>
        <c:scatterStyle val="lineMarker"/>
        <c:varyColors val="0"/>
        <c:ser>
          <c:idx val="0"/>
          <c:order val="0"/>
          <c:tx>
            <c:v>Correlation RMR76 vs GSI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76222579575752"/>
                  <c:y val="-2.0132467370286993E-2"/>
                </c:manualLayout>
              </c:layout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'2. Logging Brejo Seco'!$BQ$3:$BQ$587</c:f>
              <c:numCache>
                <c:formatCode>0</c:formatCode>
                <c:ptCount val="58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48</c:v>
                </c:pt>
                <c:pt idx="7">
                  <c:v>64</c:v>
                </c:pt>
                <c:pt idx="8">
                  <c:v>22</c:v>
                </c:pt>
                <c:pt idx="9">
                  <c:v>43</c:v>
                </c:pt>
                <c:pt idx="10">
                  <c:v>30</c:v>
                </c:pt>
                <c:pt idx="11">
                  <c:v>33</c:v>
                </c:pt>
                <c:pt idx="12">
                  <c:v>20</c:v>
                </c:pt>
                <c:pt idx="13">
                  <c:v>31</c:v>
                </c:pt>
                <c:pt idx="14">
                  <c:v>37</c:v>
                </c:pt>
                <c:pt idx="15">
                  <c:v>47</c:v>
                </c:pt>
                <c:pt idx="16">
                  <c:v>52</c:v>
                </c:pt>
                <c:pt idx="17">
                  <c:v>32</c:v>
                </c:pt>
                <c:pt idx="18">
                  <c:v>42</c:v>
                </c:pt>
                <c:pt idx="19">
                  <c:v>49</c:v>
                </c:pt>
                <c:pt idx="20">
                  <c:v>31</c:v>
                </c:pt>
                <c:pt idx="21">
                  <c:v>23</c:v>
                </c:pt>
                <c:pt idx="22">
                  <c:v>34</c:v>
                </c:pt>
                <c:pt idx="23">
                  <c:v>44</c:v>
                </c:pt>
                <c:pt idx="24">
                  <c:v>43</c:v>
                </c:pt>
                <c:pt idx="25">
                  <c:v>37</c:v>
                </c:pt>
                <c:pt idx="26">
                  <c:v>27</c:v>
                </c:pt>
                <c:pt idx="27">
                  <c:v>31</c:v>
                </c:pt>
                <c:pt idx="28">
                  <c:v>41</c:v>
                </c:pt>
                <c:pt idx="29">
                  <c:v>42</c:v>
                </c:pt>
                <c:pt idx="30">
                  <c:v>30</c:v>
                </c:pt>
                <c:pt idx="31">
                  <c:v>41</c:v>
                </c:pt>
                <c:pt idx="32">
                  <c:v>35</c:v>
                </c:pt>
                <c:pt idx="33">
                  <c:v>23</c:v>
                </c:pt>
                <c:pt idx="34">
                  <c:v>22</c:v>
                </c:pt>
                <c:pt idx="35">
                  <c:v>21</c:v>
                </c:pt>
                <c:pt idx="36">
                  <c:v>22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34</c:v>
                </c:pt>
                <c:pt idx="41">
                  <c:v>27</c:v>
                </c:pt>
                <c:pt idx="42">
                  <c:v>28</c:v>
                </c:pt>
                <c:pt idx="43">
                  <c:v>47</c:v>
                </c:pt>
                <c:pt idx="44">
                  <c:v>52</c:v>
                </c:pt>
                <c:pt idx="45">
                  <c:v>74</c:v>
                </c:pt>
                <c:pt idx="46">
                  <c:v>57</c:v>
                </c:pt>
                <c:pt idx="47">
                  <c:v>72</c:v>
                </c:pt>
                <c:pt idx="48">
                  <c:v>47</c:v>
                </c:pt>
                <c:pt idx="49">
                  <c:v>45</c:v>
                </c:pt>
                <c:pt idx="50">
                  <c:v>46</c:v>
                </c:pt>
                <c:pt idx="51">
                  <c:v>65</c:v>
                </c:pt>
                <c:pt idx="52">
                  <c:v>66</c:v>
                </c:pt>
                <c:pt idx="53">
                  <c:v>58</c:v>
                </c:pt>
                <c:pt idx="54">
                  <c:v>65</c:v>
                </c:pt>
                <c:pt idx="55">
                  <c:v>66</c:v>
                </c:pt>
                <c:pt idx="56">
                  <c:v>64</c:v>
                </c:pt>
                <c:pt idx="57">
                  <c:v>55</c:v>
                </c:pt>
                <c:pt idx="58">
                  <c:v>48</c:v>
                </c:pt>
                <c:pt idx="59">
                  <c:v>51</c:v>
                </c:pt>
                <c:pt idx="60">
                  <c:v>73</c:v>
                </c:pt>
                <c:pt idx="61">
                  <c:v>58</c:v>
                </c:pt>
                <c:pt idx="62">
                  <c:v>50</c:v>
                </c:pt>
                <c:pt idx="63">
                  <c:v>33</c:v>
                </c:pt>
                <c:pt idx="64">
                  <c:v>50</c:v>
                </c:pt>
                <c:pt idx="65">
                  <c:v>46</c:v>
                </c:pt>
                <c:pt idx="66">
                  <c:v>33</c:v>
                </c:pt>
                <c:pt idx="67">
                  <c:v>44</c:v>
                </c:pt>
                <c:pt idx="68">
                  <c:v>46</c:v>
                </c:pt>
                <c:pt idx="69">
                  <c:v>42</c:v>
                </c:pt>
                <c:pt idx="70">
                  <c:v>19</c:v>
                </c:pt>
                <c:pt idx="71">
                  <c:v>43</c:v>
                </c:pt>
                <c:pt idx="72">
                  <c:v>50</c:v>
                </c:pt>
                <c:pt idx="73">
                  <c:v>35</c:v>
                </c:pt>
                <c:pt idx="74">
                  <c:v>44</c:v>
                </c:pt>
                <c:pt idx="75">
                  <c:v>44</c:v>
                </c:pt>
                <c:pt idx="76">
                  <c:v>35</c:v>
                </c:pt>
                <c:pt idx="77">
                  <c:v>41</c:v>
                </c:pt>
                <c:pt idx="78">
                  <c:v>29</c:v>
                </c:pt>
                <c:pt idx="79">
                  <c:v>29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32</c:v>
                </c:pt>
                <c:pt idx="85">
                  <c:v>27</c:v>
                </c:pt>
                <c:pt idx="86">
                  <c:v>47</c:v>
                </c:pt>
                <c:pt idx="87">
                  <c:v>33</c:v>
                </c:pt>
                <c:pt idx="88">
                  <c:v>32</c:v>
                </c:pt>
                <c:pt idx="89">
                  <c:v>25</c:v>
                </c:pt>
                <c:pt idx="90">
                  <c:v>31</c:v>
                </c:pt>
                <c:pt idx="91">
                  <c:v>25</c:v>
                </c:pt>
                <c:pt idx="92">
                  <c:v>38</c:v>
                </c:pt>
                <c:pt idx="93">
                  <c:v>63</c:v>
                </c:pt>
                <c:pt idx="94">
                  <c:v>34</c:v>
                </c:pt>
                <c:pt idx="95">
                  <c:v>26</c:v>
                </c:pt>
                <c:pt idx="96">
                  <c:v>26</c:v>
                </c:pt>
                <c:pt idx="97">
                  <c:v>45</c:v>
                </c:pt>
                <c:pt idx="98">
                  <c:v>36</c:v>
                </c:pt>
                <c:pt idx="99">
                  <c:v>36</c:v>
                </c:pt>
                <c:pt idx="100">
                  <c:v>35</c:v>
                </c:pt>
                <c:pt idx="101">
                  <c:v>31</c:v>
                </c:pt>
                <c:pt idx="102">
                  <c:v>23</c:v>
                </c:pt>
                <c:pt idx="103">
                  <c:v>29</c:v>
                </c:pt>
                <c:pt idx="104">
                  <c:v>18</c:v>
                </c:pt>
                <c:pt idx="105">
                  <c:v>18</c:v>
                </c:pt>
                <c:pt idx="106">
                  <c:v>57</c:v>
                </c:pt>
                <c:pt idx="107">
                  <c:v>48</c:v>
                </c:pt>
                <c:pt idx="108">
                  <c:v>53</c:v>
                </c:pt>
                <c:pt idx="109">
                  <c:v>41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32</c:v>
                </c:pt>
                <c:pt idx="122">
                  <c:v>22</c:v>
                </c:pt>
                <c:pt idx="123">
                  <c:v>22</c:v>
                </c:pt>
                <c:pt idx="124">
                  <c:v>24</c:v>
                </c:pt>
                <c:pt idx="125">
                  <c:v>32</c:v>
                </c:pt>
                <c:pt idx="126">
                  <c:v>23</c:v>
                </c:pt>
                <c:pt idx="127">
                  <c:v>19</c:v>
                </c:pt>
                <c:pt idx="128">
                  <c:v>29</c:v>
                </c:pt>
                <c:pt idx="129">
                  <c:v>23</c:v>
                </c:pt>
                <c:pt idx="130">
                  <c:v>36</c:v>
                </c:pt>
                <c:pt idx="131">
                  <c:v>47</c:v>
                </c:pt>
                <c:pt idx="132">
                  <c:v>28</c:v>
                </c:pt>
                <c:pt idx="133">
                  <c:v>28</c:v>
                </c:pt>
                <c:pt idx="134">
                  <c:v>39</c:v>
                </c:pt>
                <c:pt idx="135">
                  <c:v>54</c:v>
                </c:pt>
                <c:pt idx="136">
                  <c:v>35</c:v>
                </c:pt>
                <c:pt idx="137">
                  <c:v>24</c:v>
                </c:pt>
                <c:pt idx="138">
                  <c:v>30</c:v>
                </c:pt>
                <c:pt idx="139">
                  <c:v>24</c:v>
                </c:pt>
                <c:pt idx="140">
                  <c:v>24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19</c:v>
                </c:pt>
                <c:pt idx="147">
                  <c:v>17</c:v>
                </c:pt>
                <c:pt idx="148">
                  <c:v>17</c:v>
                </c:pt>
                <c:pt idx="149">
                  <c:v>16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17</c:v>
                </c:pt>
                <c:pt idx="161">
                  <c:v>17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17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23</c:v>
                </c:pt>
                <c:pt idx="180">
                  <c:v>24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27</c:v>
                </c:pt>
                <c:pt idx="186">
                  <c:v>17</c:v>
                </c:pt>
                <c:pt idx="187">
                  <c:v>19</c:v>
                </c:pt>
                <c:pt idx="188">
                  <c:v>19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30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28</c:v>
                </c:pt>
                <c:pt idx="206">
                  <c:v>28</c:v>
                </c:pt>
                <c:pt idx="207">
                  <c:v>24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23</c:v>
                </c:pt>
                <c:pt idx="212">
                  <c:v>21</c:v>
                </c:pt>
                <c:pt idx="213">
                  <c:v>34</c:v>
                </c:pt>
                <c:pt idx="214">
                  <c:v>24</c:v>
                </c:pt>
                <c:pt idx="215">
                  <c:v>21</c:v>
                </c:pt>
                <c:pt idx="216">
                  <c:v>30</c:v>
                </c:pt>
                <c:pt idx="217">
                  <c:v>22</c:v>
                </c:pt>
                <c:pt idx="218">
                  <c:v>30</c:v>
                </c:pt>
                <c:pt idx="219">
                  <c:v>30</c:v>
                </c:pt>
                <c:pt idx="220">
                  <c:v>33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24</c:v>
                </c:pt>
                <c:pt idx="227">
                  <c:v>23</c:v>
                </c:pt>
                <c:pt idx="228">
                  <c:v>23</c:v>
                </c:pt>
                <c:pt idx="229">
                  <c:v>30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23</c:v>
                </c:pt>
                <c:pt idx="239">
                  <c:v>24</c:v>
                </c:pt>
                <c:pt idx="240">
                  <c:v>29</c:v>
                </c:pt>
                <c:pt idx="241">
                  <c:v>19</c:v>
                </c:pt>
                <c:pt idx="242">
                  <c:v>19</c:v>
                </c:pt>
                <c:pt idx="243">
                  <c:v>22</c:v>
                </c:pt>
                <c:pt idx="244">
                  <c:v>24</c:v>
                </c:pt>
                <c:pt idx="245">
                  <c:v>27</c:v>
                </c:pt>
                <c:pt idx="246">
                  <c:v>26</c:v>
                </c:pt>
                <c:pt idx="247">
                  <c:v>35</c:v>
                </c:pt>
                <c:pt idx="248">
                  <c:v>18</c:v>
                </c:pt>
                <c:pt idx="249">
                  <c:v>17</c:v>
                </c:pt>
                <c:pt idx="250">
                  <c:v>17</c:v>
                </c:pt>
                <c:pt idx="251">
                  <c:v>22</c:v>
                </c:pt>
                <c:pt idx="252">
                  <c:v>17</c:v>
                </c:pt>
                <c:pt idx="253">
                  <c:v>15</c:v>
                </c:pt>
                <c:pt idx="254">
                  <c:v>17</c:v>
                </c:pt>
                <c:pt idx="255">
                  <c:v>15</c:v>
                </c:pt>
                <c:pt idx="256">
                  <c:v>32</c:v>
                </c:pt>
                <c:pt idx="257">
                  <c:v>29</c:v>
                </c:pt>
                <c:pt idx="258">
                  <c:v>26</c:v>
                </c:pt>
                <c:pt idx="259">
                  <c:v>28</c:v>
                </c:pt>
                <c:pt idx="260">
                  <c:v>27</c:v>
                </c:pt>
                <c:pt idx="261">
                  <c:v>23</c:v>
                </c:pt>
                <c:pt idx="262">
                  <c:v>22</c:v>
                </c:pt>
                <c:pt idx="263">
                  <c:v>35</c:v>
                </c:pt>
                <c:pt idx="264">
                  <c:v>21</c:v>
                </c:pt>
                <c:pt idx="265">
                  <c:v>36</c:v>
                </c:pt>
                <c:pt idx="266">
                  <c:v>20</c:v>
                </c:pt>
                <c:pt idx="267">
                  <c:v>29</c:v>
                </c:pt>
                <c:pt idx="268">
                  <c:v>29</c:v>
                </c:pt>
                <c:pt idx="269">
                  <c:v>20</c:v>
                </c:pt>
                <c:pt idx="270">
                  <c:v>23</c:v>
                </c:pt>
                <c:pt idx="271">
                  <c:v>32</c:v>
                </c:pt>
                <c:pt idx="272">
                  <c:v>36</c:v>
                </c:pt>
                <c:pt idx="273">
                  <c:v>20</c:v>
                </c:pt>
                <c:pt idx="274">
                  <c:v>44</c:v>
                </c:pt>
                <c:pt idx="275">
                  <c:v>44</c:v>
                </c:pt>
                <c:pt idx="276">
                  <c:v>59</c:v>
                </c:pt>
                <c:pt idx="277">
                  <c:v>48</c:v>
                </c:pt>
                <c:pt idx="278">
                  <c:v>46</c:v>
                </c:pt>
                <c:pt idx="279">
                  <c:v>46</c:v>
                </c:pt>
                <c:pt idx="280">
                  <c:v>47</c:v>
                </c:pt>
                <c:pt idx="281">
                  <c:v>49</c:v>
                </c:pt>
                <c:pt idx="282">
                  <c:v>56</c:v>
                </c:pt>
                <c:pt idx="283">
                  <c:v>52</c:v>
                </c:pt>
                <c:pt idx="284">
                  <c:v>56</c:v>
                </c:pt>
                <c:pt idx="285">
                  <c:v>61</c:v>
                </c:pt>
                <c:pt idx="286">
                  <c:v>56</c:v>
                </c:pt>
                <c:pt idx="287">
                  <c:v>48</c:v>
                </c:pt>
                <c:pt idx="288">
                  <c:v>33</c:v>
                </c:pt>
                <c:pt idx="289">
                  <c:v>38</c:v>
                </c:pt>
                <c:pt idx="290">
                  <c:v>40</c:v>
                </c:pt>
                <c:pt idx="291">
                  <c:v>28</c:v>
                </c:pt>
                <c:pt idx="292">
                  <c:v>29</c:v>
                </c:pt>
                <c:pt idx="293">
                  <c:v>27</c:v>
                </c:pt>
                <c:pt idx="294">
                  <c:v>32</c:v>
                </c:pt>
                <c:pt idx="295">
                  <c:v>37</c:v>
                </c:pt>
                <c:pt idx="296">
                  <c:v>56</c:v>
                </c:pt>
                <c:pt idx="297">
                  <c:v>42</c:v>
                </c:pt>
                <c:pt idx="298">
                  <c:v>22</c:v>
                </c:pt>
                <c:pt idx="299">
                  <c:v>38</c:v>
                </c:pt>
                <c:pt idx="300">
                  <c:v>27</c:v>
                </c:pt>
                <c:pt idx="301">
                  <c:v>21</c:v>
                </c:pt>
                <c:pt idx="302">
                  <c:v>21</c:v>
                </c:pt>
                <c:pt idx="303">
                  <c:v>44</c:v>
                </c:pt>
                <c:pt idx="304">
                  <c:v>26</c:v>
                </c:pt>
                <c:pt idx="305">
                  <c:v>25</c:v>
                </c:pt>
                <c:pt idx="306">
                  <c:v>47</c:v>
                </c:pt>
                <c:pt idx="307">
                  <c:v>43</c:v>
                </c:pt>
                <c:pt idx="308">
                  <c:v>43</c:v>
                </c:pt>
                <c:pt idx="309">
                  <c:v>51</c:v>
                </c:pt>
                <c:pt idx="310">
                  <c:v>39</c:v>
                </c:pt>
                <c:pt idx="311">
                  <c:v>31</c:v>
                </c:pt>
                <c:pt idx="312">
                  <c:v>52</c:v>
                </c:pt>
                <c:pt idx="313">
                  <c:v>48</c:v>
                </c:pt>
                <c:pt idx="314">
                  <c:v>42</c:v>
                </c:pt>
                <c:pt idx="315">
                  <c:v>24</c:v>
                </c:pt>
                <c:pt idx="316">
                  <c:v>23</c:v>
                </c:pt>
                <c:pt idx="317">
                  <c:v>18</c:v>
                </c:pt>
                <c:pt idx="318">
                  <c:v>18</c:v>
                </c:pt>
                <c:pt idx="319">
                  <c:v>19</c:v>
                </c:pt>
                <c:pt idx="320">
                  <c:v>21</c:v>
                </c:pt>
                <c:pt idx="321">
                  <c:v>21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23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23</c:v>
                </c:pt>
                <c:pt idx="349">
                  <c:v>23</c:v>
                </c:pt>
                <c:pt idx="350" formatCode="0.0">
                  <c:v>15</c:v>
                </c:pt>
                <c:pt idx="351" formatCode="0.0">
                  <c:v>15</c:v>
                </c:pt>
                <c:pt idx="352" formatCode="0.0">
                  <c:v>15</c:v>
                </c:pt>
                <c:pt idx="353" formatCode="0.0">
                  <c:v>33</c:v>
                </c:pt>
                <c:pt idx="354" formatCode="0.0">
                  <c:v>41</c:v>
                </c:pt>
                <c:pt idx="356" formatCode="0.0">
                  <c:v>30</c:v>
                </c:pt>
                <c:pt idx="357" formatCode="0.0">
                  <c:v>13</c:v>
                </c:pt>
                <c:pt idx="358" formatCode="0.0">
                  <c:v>17</c:v>
                </c:pt>
                <c:pt idx="359" formatCode="0.0">
                  <c:v>18</c:v>
                </c:pt>
                <c:pt idx="360" formatCode="0.0">
                  <c:v>17</c:v>
                </c:pt>
                <c:pt idx="361" formatCode="0.0">
                  <c:v>20</c:v>
                </c:pt>
                <c:pt idx="362" formatCode="0.0">
                  <c:v>19</c:v>
                </c:pt>
                <c:pt idx="363" formatCode="0.0">
                  <c:v>21</c:v>
                </c:pt>
                <c:pt idx="364" formatCode="0.0">
                  <c:v>17</c:v>
                </c:pt>
                <c:pt idx="365" formatCode="0.0">
                  <c:v>17</c:v>
                </c:pt>
                <c:pt idx="366" formatCode="0.0">
                  <c:v>17</c:v>
                </c:pt>
                <c:pt idx="367" formatCode="0.0">
                  <c:v>26</c:v>
                </c:pt>
                <c:pt idx="368" formatCode="0.0">
                  <c:v>23</c:v>
                </c:pt>
                <c:pt idx="369" formatCode="0.0">
                  <c:v>19</c:v>
                </c:pt>
                <c:pt idx="370" formatCode="0.0">
                  <c:v>24</c:v>
                </c:pt>
                <c:pt idx="371" formatCode="0.0">
                  <c:v>24</c:v>
                </c:pt>
                <c:pt idx="372" formatCode="0.0">
                  <c:v>19</c:v>
                </c:pt>
                <c:pt idx="373" formatCode="0.0">
                  <c:v>28</c:v>
                </c:pt>
                <c:pt idx="374" formatCode="0.0">
                  <c:v>18</c:v>
                </c:pt>
                <c:pt idx="375" formatCode="0.0">
                  <c:v>30</c:v>
                </c:pt>
                <c:pt idx="376" formatCode="0.0">
                  <c:v>23</c:v>
                </c:pt>
                <c:pt idx="377" formatCode="0.0">
                  <c:v>18</c:v>
                </c:pt>
                <c:pt idx="378" formatCode="0.0">
                  <c:v>21</c:v>
                </c:pt>
                <c:pt idx="379" formatCode="0.0">
                  <c:v>17</c:v>
                </c:pt>
                <c:pt idx="380" formatCode="0.0">
                  <c:v>18</c:v>
                </c:pt>
                <c:pt idx="381" formatCode="0.0">
                  <c:v>18</c:v>
                </c:pt>
                <c:pt idx="382" formatCode="0.0">
                  <c:v>16</c:v>
                </c:pt>
                <c:pt idx="383" formatCode="0.0">
                  <c:v>16</c:v>
                </c:pt>
                <c:pt idx="384" formatCode="0.0">
                  <c:v>16</c:v>
                </c:pt>
                <c:pt idx="385" formatCode="0.0">
                  <c:v>16</c:v>
                </c:pt>
                <c:pt idx="386" formatCode="0.0">
                  <c:v>17</c:v>
                </c:pt>
                <c:pt idx="387" formatCode="0.0">
                  <c:v>17</c:v>
                </c:pt>
                <c:pt idx="388" formatCode="0.0">
                  <c:v>17</c:v>
                </c:pt>
                <c:pt idx="389" formatCode="0.0">
                  <c:v>18</c:v>
                </c:pt>
                <c:pt idx="390" formatCode="0.0">
                  <c:v>19</c:v>
                </c:pt>
                <c:pt idx="391" formatCode="0.0">
                  <c:v>25</c:v>
                </c:pt>
                <c:pt idx="392" formatCode="0.0">
                  <c:v>18</c:v>
                </c:pt>
                <c:pt idx="393" formatCode="0.0">
                  <c:v>29</c:v>
                </c:pt>
                <c:pt idx="394" formatCode="0.0">
                  <c:v>24</c:v>
                </c:pt>
                <c:pt idx="395" formatCode="0.0">
                  <c:v>21</c:v>
                </c:pt>
                <c:pt idx="396" formatCode="0.0">
                  <c:v>23</c:v>
                </c:pt>
                <c:pt idx="397" formatCode="0.0">
                  <c:v>30</c:v>
                </c:pt>
                <c:pt idx="398" formatCode="0.0">
                  <c:v>28</c:v>
                </c:pt>
                <c:pt idx="399" formatCode="0.0">
                  <c:v>25</c:v>
                </c:pt>
                <c:pt idx="400" formatCode="0.0">
                  <c:v>28</c:v>
                </c:pt>
                <c:pt idx="401" formatCode="0.0">
                  <c:v>28</c:v>
                </c:pt>
                <c:pt idx="402" formatCode="0.0">
                  <c:v>27</c:v>
                </c:pt>
                <c:pt idx="403" formatCode="0.0">
                  <c:v>30</c:v>
                </c:pt>
                <c:pt idx="404" formatCode="0.0">
                  <c:v>27</c:v>
                </c:pt>
                <c:pt idx="405" formatCode="0.0">
                  <c:v>27</c:v>
                </c:pt>
                <c:pt idx="406" formatCode="0.0">
                  <c:v>29</c:v>
                </c:pt>
                <c:pt idx="407" formatCode="0.0">
                  <c:v>26</c:v>
                </c:pt>
                <c:pt idx="408" formatCode="0.0">
                  <c:v>26</c:v>
                </c:pt>
                <c:pt idx="409" formatCode="0.0">
                  <c:v>26</c:v>
                </c:pt>
                <c:pt idx="410" formatCode="0.0">
                  <c:v>26</c:v>
                </c:pt>
                <c:pt idx="411" formatCode="0.0">
                  <c:v>19</c:v>
                </c:pt>
                <c:pt idx="412" formatCode="0.0">
                  <c:v>20</c:v>
                </c:pt>
                <c:pt idx="413" formatCode="0.0">
                  <c:v>17</c:v>
                </c:pt>
                <c:pt idx="414" formatCode="0.0">
                  <c:v>24</c:v>
                </c:pt>
                <c:pt idx="415" formatCode="0.0">
                  <c:v>14</c:v>
                </c:pt>
                <c:pt idx="416" formatCode="0.0">
                  <c:v>20</c:v>
                </c:pt>
                <c:pt idx="417" formatCode="0.0">
                  <c:v>27</c:v>
                </c:pt>
                <c:pt idx="418" formatCode="0.0">
                  <c:v>24</c:v>
                </c:pt>
                <c:pt idx="419" formatCode="0.0">
                  <c:v>30</c:v>
                </c:pt>
                <c:pt idx="420" formatCode="0.0">
                  <c:v>36</c:v>
                </c:pt>
                <c:pt idx="421" formatCode="0.0">
                  <c:v>30</c:v>
                </c:pt>
                <c:pt idx="422" formatCode="0.0">
                  <c:v>21</c:v>
                </c:pt>
                <c:pt idx="423" formatCode="0.0">
                  <c:v>23</c:v>
                </c:pt>
                <c:pt idx="424" formatCode="0.0">
                  <c:v>28</c:v>
                </c:pt>
                <c:pt idx="425" formatCode="0.0">
                  <c:v>26</c:v>
                </c:pt>
                <c:pt idx="426" formatCode="0.0">
                  <c:v>24</c:v>
                </c:pt>
                <c:pt idx="427" formatCode="0.0">
                  <c:v>33</c:v>
                </c:pt>
                <c:pt idx="428" formatCode="0.0">
                  <c:v>27</c:v>
                </c:pt>
                <c:pt idx="429" formatCode="0.0">
                  <c:v>23</c:v>
                </c:pt>
                <c:pt idx="430" formatCode="0.0">
                  <c:v>30</c:v>
                </c:pt>
                <c:pt idx="431" formatCode="0.0">
                  <c:v>32</c:v>
                </c:pt>
                <c:pt idx="432" formatCode="0.0">
                  <c:v>32</c:v>
                </c:pt>
                <c:pt idx="433" formatCode="0.0">
                  <c:v>24</c:v>
                </c:pt>
                <c:pt idx="434" formatCode="0.0">
                  <c:v>29</c:v>
                </c:pt>
                <c:pt idx="435" formatCode="0.0">
                  <c:v>24</c:v>
                </c:pt>
                <c:pt idx="436" formatCode="0.0">
                  <c:v>29</c:v>
                </c:pt>
                <c:pt idx="437" formatCode="0.0">
                  <c:v>23</c:v>
                </c:pt>
                <c:pt idx="438" formatCode="0.0">
                  <c:v>26</c:v>
                </c:pt>
                <c:pt idx="439" formatCode="0.0">
                  <c:v>29</c:v>
                </c:pt>
                <c:pt idx="440" formatCode="0.0">
                  <c:v>30</c:v>
                </c:pt>
                <c:pt idx="441" formatCode="0.0">
                  <c:v>20</c:v>
                </c:pt>
                <c:pt idx="442" formatCode="0.0">
                  <c:v>22</c:v>
                </c:pt>
                <c:pt idx="443" formatCode="0.0">
                  <c:v>20</c:v>
                </c:pt>
                <c:pt idx="444" formatCode="0.0">
                  <c:v>28</c:v>
                </c:pt>
                <c:pt idx="445" formatCode="0.0">
                  <c:v>29</c:v>
                </c:pt>
                <c:pt idx="446" formatCode="0.0">
                  <c:v>17</c:v>
                </c:pt>
                <c:pt idx="447" formatCode="0.0">
                  <c:v>17</c:v>
                </c:pt>
                <c:pt idx="448" formatCode="0.0">
                  <c:v>17</c:v>
                </c:pt>
                <c:pt idx="449" formatCode="0.0">
                  <c:v>17</c:v>
                </c:pt>
                <c:pt idx="450" formatCode="0.0">
                  <c:v>23</c:v>
                </c:pt>
                <c:pt idx="451" formatCode="0.0">
                  <c:v>34</c:v>
                </c:pt>
                <c:pt idx="452" formatCode="0.0">
                  <c:v>35</c:v>
                </c:pt>
                <c:pt idx="453" formatCode="0.0">
                  <c:v>31</c:v>
                </c:pt>
                <c:pt idx="454" formatCode="0.0">
                  <c:v>25</c:v>
                </c:pt>
                <c:pt idx="455" formatCode="0.0">
                  <c:v>19</c:v>
                </c:pt>
                <c:pt idx="456" formatCode="0.0">
                  <c:v>34</c:v>
                </c:pt>
                <c:pt idx="458" formatCode="0.0">
                  <c:v>22</c:v>
                </c:pt>
                <c:pt idx="459" formatCode="0.0">
                  <c:v>33</c:v>
                </c:pt>
                <c:pt idx="460" formatCode="0.0">
                  <c:v>26</c:v>
                </c:pt>
                <c:pt idx="461" formatCode="0.0">
                  <c:v>30</c:v>
                </c:pt>
                <c:pt idx="462" formatCode="0.0">
                  <c:v>27</c:v>
                </c:pt>
                <c:pt idx="463" formatCode="0.0">
                  <c:v>20</c:v>
                </c:pt>
                <c:pt idx="464" formatCode="0.0">
                  <c:v>34</c:v>
                </c:pt>
                <c:pt idx="465" formatCode="0.0">
                  <c:v>32</c:v>
                </c:pt>
                <c:pt idx="466" formatCode="0.0">
                  <c:v>35</c:v>
                </c:pt>
                <c:pt idx="467" formatCode="0.0">
                  <c:v>21</c:v>
                </c:pt>
                <c:pt idx="468" formatCode="0.0">
                  <c:v>23</c:v>
                </c:pt>
                <c:pt idx="469" formatCode="0.0">
                  <c:v>24</c:v>
                </c:pt>
                <c:pt idx="470" formatCode="0.0">
                  <c:v>#N/A</c:v>
                </c:pt>
                <c:pt idx="471" formatCode="0.0">
                  <c:v>0</c:v>
                </c:pt>
                <c:pt idx="472" formatCode="0.0">
                  <c:v>0</c:v>
                </c:pt>
                <c:pt idx="473" formatCode="0.0">
                  <c:v>0</c:v>
                </c:pt>
                <c:pt idx="474" formatCode="0.0">
                  <c:v>0</c:v>
                </c:pt>
                <c:pt idx="475" formatCode="0.0">
                  <c:v>0</c:v>
                </c:pt>
                <c:pt idx="476" formatCode="0.0">
                  <c:v>0</c:v>
                </c:pt>
                <c:pt idx="477" formatCode="0.0">
                  <c:v>0</c:v>
                </c:pt>
                <c:pt idx="478" formatCode="0.0">
                  <c:v>0</c:v>
                </c:pt>
                <c:pt idx="479" formatCode="0.0">
                  <c:v>0</c:v>
                </c:pt>
                <c:pt idx="480" formatCode="0.0">
                  <c:v>0</c:v>
                </c:pt>
                <c:pt idx="481" formatCode="0.0">
                  <c:v>0</c:v>
                </c:pt>
                <c:pt idx="482" formatCode="0.0">
                  <c:v>0</c:v>
                </c:pt>
                <c:pt idx="483" formatCode="0.0">
                  <c:v>0</c:v>
                </c:pt>
                <c:pt idx="484" formatCode="0.0">
                  <c:v>0</c:v>
                </c:pt>
                <c:pt idx="485" formatCode="0.0">
                  <c:v>#N/A</c:v>
                </c:pt>
                <c:pt idx="486" formatCode="0.0">
                  <c:v>#N/A</c:v>
                </c:pt>
                <c:pt idx="487" formatCode="0.0">
                  <c:v>0</c:v>
                </c:pt>
                <c:pt idx="488" formatCode="0.0">
                  <c:v>0</c:v>
                </c:pt>
                <c:pt idx="489" formatCode="0.0">
                  <c:v>0</c:v>
                </c:pt>
                <c:pt idx="490" formatCode="0.0">
                  <c:v>0</c:v>
                </c:pt>
                <c:pt idx="491" formatCode="0.0">
                  <c:v>#N/A</c:v>
                </c:pt>
                <c:pt idx="492" formatCode="0.0">
                  <c:v>#N/A</c:v>
                </c:pt>
                <c:pt idx="493" formatCode="0.0">
                  <c:v>#N/A</c:v>
                </c:pt>
                <c:pt idx="494" formatCode="0.0">
                  <c:v>#N/A</c:v>
                </c:pt>
                <c:pt idx="495" formatCode="0.0">
                  <c:v>#N/A</c:v>
                </c:pt>
                <c:pt idx="496" formatCode="0.0">
                  <c:v>#N/A</c:v>
                </c:pt>
                <c:pt idx="497" formatCode="0.0">
                  <c:v>#N/A</c:v>
                </c:pt>
                <c:pt idx="498" formatCode="0.0">
                  <c:v>#N/A</c:v>
                </c:pt>
                <c:pt idx="499" formatCode="0.0">
                  <c:v>#N/A</c:v>
                </c:pt>
                <c:pt idx="500" formatCode="0.0">
                  <c:v>#N/A</c:v>
                </c:pt>
                <c:pt idx="501" formatCode="0.0">
                  <c:v>#N/A</c:v>
                </c:pt>
                <c:pt idx="502" formatCode="0.0">
                  <c:v>#N/A</c:v>
                </c:pt>
                <c:pt idx="503" formatCode="0.0">
                  <c:v>#N/A</c:v>
                </c:pt>
                <c:pt idx="504" formatCode="0.0">
                  <c:v>#N/A</c:v>
                </c:pt>
                <c:pt idx="505">
                  <c:v>30</c:v>
                </c:pt>
                <c:pt idx="506">
                  <c:v>19</c:v>
                </c:pt>
                <c:pt idx="507">
                  <c:v>21</c:v>
                </c:pt>
                <c:pt idx="508">
                  <c:v>19</c:v>
                </c:pt>
                <c:pt idx="509">
                  <c:v>26</c:v>
                </c:pt>
                <c:pt idx="510">
                  <c:v>31</c:v>
                </c:pt>
                <c:pt idx="511">
                  <c:v>26</c:v>
                </c:pt>
                <c:pt idx="512">
                  <c:v>32</c:v>
                </c:pt>
                <c:pt idx="513">
                  <c:v>51</c:v>
                </c:pt>
                <c:pt idx="514">
                  <c:v>24</c:v>
                </c:pt>
                <c:pt idx="515">
                  <c:v>20</c:v>
                </c:pt>
                <c:pt idx="516">
                  <c:v>19</c:v>
                </c:pt>
                <c:pt idx="517">
                  <c:v>30</c:v>
                </c:pt>
                <c:pt idx="518">
                  <c:v>43</c:v>
                </c:pt>
                <c:pt idx="519">
                  <c:v>42</c:v>
                </c:pt>
                <c:pt idx="520">
                  <c:v>51</c:v>
                </c:pt>
                <c:pt idx="521">
                  <c:v>42</c:v>
                </c:pt>
                <c:pt idx="522">
                  <c:v>28</c:v>
                </c:pt>
                <c:pt idx="523">
                  <c:v>26</c:v>
                </c:pt>
                <c:pt idx="524">
                  <c:v>27</c:v>
                </c:pt>
                <c:pt idx="525">
                  <c:v>27</c:v>
                </c:pt>
                <c:pt idx="526">
                  <c:v>21</c:v>
                </c:pt>
                <c:pt idx="527">
                  <c:v>30</c:v>
                </c:pt>
                <c:pt idx="528">
                  <c:v>27</c:v>
                </c:pt>
                <c:pt idx="529">
                  <c:v>24</c:v>
                </c:pt>
                <c:pt idx="530">
                  <c:v>30</c:v>
                </c:pt>
                <c:pt idx="531">
                  <c:v>56</c:v>
                </c:pt>
                <c:pt idx="532">
                  <c:v>38</c:v>
                </c:pt>
                <c:pt idx="533">
                  <c:v>50</c:v>
                </c:pt>
                <c:pt idx="534">
                  <c:v>27</c:v>
                </c:pt>
                <c:pt idx="535">
                  <c:v>18</c:v>
                </c:pt>
                <c:pt idx="536">
                  <c:v>37</c:v>
                </c:pt>
                <c:pt idx="537">
                  <c:v>17</c:v>
                </c:pt>
                <c:pt idx="538">
                  <c:v>14</c:v>
                </c:pt>
                <c:pt idx="539">
                  <c:v>21</c:v>
                </c:pt>
                <c:pt idx="540">
                  <c:v>29</c:v>
                </c:pt>
                <c:pt idx="541">
                  <c:v>28</c:v>
                </c:pt>
                <c:pt idx="542">
                  <c:v>25</c:v>
                </c:pt>
                <c:pt idx="543">
                  <c:v>33</c:v>
                </c:pt>
                <c:pt idx="544">
                  <c:v>19</c:v>
                </c:pt>
                <c:pt idx="545">
                  <c:v>27</c:v>
                </c:pt>
                <c:pt idx="546">
                  <c:v>38</c:v>
                </c:pt>
                <c:pt idx="547">
                  <c:v>34</c:v>
                </c:pt>
                <c:pt idx="548">
                  <c:v>39</c:v>
                </c:pt>
                <c:pt idx="549">
                  <c:v>34</c:v>
                </c:pt>
                <c:pt idx="550">
                  <c:v>37</c:v>
                </c:pt>
                <c:pt idx="551">
                  <c:v>32</c:v>
                </c:pt>
                <c:pt idx="552">
                  <c:v>35</c:v>
                </c:pt>
                <c:pt idx="553">
                  <c:v>39</c:v>
                </c:pt>
                <c:pt idx="554">
                  <c:v>30</c:v>
                </c:pt>
                <c:pt idx="555">
                  <c:v>35</c:v>
                </c:pt>
                <c:pt idx="556">
                  <c:v>24</c:v>
                </c:pt>
                <c:pt idx="557">
                  <c:v>22</c:v>
                </c:pt>
                <c:pt idx="558">
                  <c:v>27</c:v>
                </c:pt>
                <c:pt idx="559">
                  <c:v>29</c:v>
                </c:pt>
                <c:pt idx="560">
                  <c:v>17</c:v>
                </c:pt>
                <c:pt idx="561">
                  <c:v>20</c:v>
                </c:pt>
                <c:pt idx="562">
                  <c:v>20</c:v>
                </c:pt>
                <c:pt idx="563">
                  <c:v>27</c:v>
                </c:pt>
                <c:pt idx="564">
                  <c:v>28</c:v>
                </c:pt>
                <c:pt idx="565">
                  <c:v>30</c:v>
                </c:pt>
                <c:pt idx="566">
                  <c:v>31</c:v>
                </c:pt>
                <c:pt idx="567">
                  <c:v>41</c:v>
                </c:pt>
                <c:pt idx="568">
                  <c:v>41</c:v>
                </c:pt>
                <c:pt idx="569">
                  <c:v>39</c:v>
                </c:pt>
                <c:pt idx="570">
                  <c:v>48</c:v>
                </c:pt>
                <c:pt idx="571">
                  <c:v>34</c:v>
                </c:pt>
                <c:pt idx="572">
                  <c:v>22</c:v>
                </c:pt>
                <c:pt idx="573">
                  <c:v>23</c:v>
                </c:pt>
                <c:pt idx="574">
                  <c:v>20</c:v>
                </c:pt>
                <c:pt idx="575">
                  <c:v>24</c:v>
                </c:pt>
                <c:pt idx="576">
                  <c:v>27</c:v>
                </c:pt>
                <c:pt idx="577">
                  <c:v>15</c:v>
                </c:pt>
                <c:pt idx="578">
                  <c:v>15</c:v>
                </c:pt>
                <c:pt idx="579">
                  <c:v>30</c:v>
                </c:pt>
                <c:pt idx="580">
                  <c:v>42</c:v>
                </c:pt>
                <c:pt idx="581">
                  <c:v>20</c:v>
                </c:pt>
                <c:pt idx="582">
                  <c:v>36</c:v>
                </c:pt>
                <c:pt idx="583">
                  <c:v>25</c:v>
                </c:pt>
                <c:pt idx="584">
                  <c:v>27</c:v>
                </c:pt>
              </c:numCache>
            </c:numRef>
          </c:xVal>
          <c:yVal>
            <c:numRef>
              <c:f>'2. Logging Brejo Seco'!$BG$3:$BG$587</c:f>
              <c:numCache>
                <c:formatCode>0.0</c:formatCode>
                <c:ptCount val="5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46.5</c:v>
                </c:pt>
                <c:pt idx="7">
                  <c:v>63.5</c:v>
                </c:pt>
                <c:pt idx="8">
                  <c:v>3</c:v>
                </c:pt>
                <c:pt idx="9">
                  <c:v>42</c:v>
                </c:pt>
                <c:pt idx="10">
                  <c:v>22</c:v>
                </c:pt>
                <c:pt idx="11">
                  <c:v>28</c:v>
                </c:pt>
                <c:pt idx="12">
                  <c:v>6</c:v>
                </c:pt>
                <c:pt idx="13">
                  <c:v>23</c:v>
                </c:pt>
                <c:pt idx="14">
                  <c:v>33</c:v>
                </c:pt>
                <c:pt idx="15">
                  <c:v>44.5</c:v>
                </c:pt>
                <c:pt idx="16">
                  <c:v>47.5</c:v>
                </c:pt>
                <c:pt idx="17">
                  <c:v>25</c:v>
                </c:pt>
                <c:pt idx="18">
                  <c:v>37.5</c:v>
                </c:pt>
                <c:pt idx="19">
                  <c:v>50.5</c:v>
                </c:pt>
                <c:pt idx="20">
                  <c:v>21.5</c:v>
                </c:pt>
                <c:pt idx="21">
                  <c:v>10.5</c:v>
                </c:pt>
                <c:pt idx="22">
                  <c:v>27</c:v>
                </c:pt>
                <c:pt idx="23">
                  <c:v>43</c:v>
                </c:pt>
                <c:pt idx="24">
                  <c:v>46</c:v>
                </c:pt>
                <c:pt idx="25">
                  <c:v>36.5</c:v>
                </c:pt>
                <c:pt idx="26">
                  <c:v>18</c:v>
                </c:pt>
                <c:pt idx="27">
                  <c:v>20</c:v>
                </c:pt>
                <c:pt idx="28">
                  <c:v>44.5</c:v>
                </c:pt>
                <c:pt idx="29">
                  <c:v>42.5</c:v>
                </c:pt>
                <c:pt idx="30">
                  <c:v>16.5</c:v>
                </c:pt>
                <c:pt idx="31">
                  <c:v>43.5</c:v>
                </c:pt>
                <c:pt idx="32">
                  <c:v>24</c:v>
                </c:pt>
                <c:pt idx="33">
                  <c:v>10.5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12</c:v>
                </c:pt>
                <c:pt idx="38">
                  <c:v>12</c:v>
                </c:pt>
                <c:pt idx="39">
                  <c:v>10.5</c:v>
                </c:pt>
                <c:pt idx="40">
                  <c:v>27.5</c:v>
                </c:pt>
                <c:pt idx="41">
                  <c:v>16.5</c:v>
                </c:pt>
                <c:pt idx="42">
                  <c:v>16.5</c:v>
                </c:pt>
                <c:pt idx="43">
                  <c:v>54.5</c:v>
                </c:pt>
                <c:pt idx="44">
                  <c:v>46.5</c:v>
                </c:pt>
                <c:pt idx="45">
                  <c:v>81.5</c:v>
                </c:pt>
                <c:pt idx="46">
                  <c:v>62.5</c:v>
                </c:pt>
                <c:pt idx="47">
                  <c:v>77.368421052631646</c:v>
                </c:pt>
                <c:pt idx="48">
                  <c:v>47</c:v>
                </c:pt>
                <c:pt idx="49">
                  <c:v>46</c:v>
                </c:pt>
                <c:pt idx="50">
                  <c:v>41</c:v>
                </c:pt>
                <c:pt idx="51">
                  <c:v>72.857142857142691</c:v>
                </c:pt>
                <c:pt idx="52">
                  <c:v>75.744680851063947</c:v>
                </c:pt>
                <c:pt idx="53">
                  <c:v>56.213592233009678</c:v>
                </c:pt>
                <c:pt idx="54">
                  <c:v>70</c:v>
                </c:pt>
                <c:pt idx="55">
                  <c:v>71.21621621621631</c:v>
                </c:pt>
                <c:pt idx="56">
                  <c:v>67.499999999999972</c:v>
                </c:pt>
                <c:pt idx="57">
                  <c:v>50</c:v>
                </c:pt>
                <c:pt idx="58">
                  <c:v>45</c:v>
                </c:pt>
                <c:pt idx="59">
                  <c:v>43.333333333333336</c:v>
                </c:pt>
                <c:pt idx="60">
                  <c:v>76.428571428571246</c:v>
                </c:pt>
                <c:pt idx="61">
                  <c:v>62</c:v>
                </c:pt>
                <c:pt idx="62">
                  <c:v>50</c:v>
                </c:pt>
                <c:pt idx="63">
                  <c:v>19.5</c:v>
                </c:pt>
                <c:pt idx="64">
                  <c:v>48.5</c:v>
                </c:pt>
                <c:pt idx="65">
                  <c:v>37.5</c:v>
                </c:pt>
                <c:pt idx="66">
                  <c:v>19.5</c:v>
                </c:pt>
                <c:pt idx="67">
                  <c:v>35.92857142857153</c:v>
                </c:pt>
                <c:pt idx="68">
                  <c:v>44.499999999999943</c:v>
                </c:pt>
                <c:pt idx="69">
                  <c:v>30.5</c:v>
                </c:pt>
                <c:pt idx="70">
                  <c:v>3</c:v>
                </c:pt>
                <c:pt idx="71">
                  <c:v>33.49999999999995</c:v>
                </c:pt>
                <c:pt idx="72">
                  <c:v>47.5</c:v>
                </c:pt>
                <c:pt idx="73">
                  <c:v>22.5</c:v>
                </c:pt>
                <c:pt idx="74">
                  <c:v>37.250000000000085</c:v>
                </c:pt>
                <c:pt idx="75">
                  <c:v>35.3333333333333</c:v>
                </c:pt>
                <c:pt idx="76">
                  <c:v>28.5</c:v>
                </c:pt>
                <c:pt idx="77">
                  <c:v>30.214285714285779</c:v>
                </c:pt>
                <c:pt idx="78">
                  <c:v>16.5</c:v>
                </c:pt>
                <c:pt idx="79">
                  <c:v>16.5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13.5</c:v>
                </c:pt>
                <c:pt idx="84">
                  <c:v>19.5</c:v>
                </c:pt>
                <c:pt idx="85">
                  <c:v>13.5</c:v>
                </c:pt>
                <c:pt idx="86">
                  <c:v>40.5</c:v>
                </c:pt>
                <c:pt idx="87">
                  <c:v>29</c:v>
                </c:pt>
                <c:pt idx="88">
                  <c:v>27</c:v>
                </c:pt>
                <c:pt idx="89">
                  <c:v>13.5</c:v>
                </c:pt>
                <c:pt idx="90">
                  <c:v>27.772727272727138</c:v>
                </c:pt>
                <c:pt idx="91">
                  <c:v>13.5</c:v>
                </c:pt>
                <c:pt idx="92">
                  <c:v>31.357142857142787</c:v>
                </c:pt>
                <c:pt idx="93">
                  <c:v>57</c:v>
                </c:pt>
                <c:pt idx="94">
                  <c:v>27.5</c:v>
                </c:pt>
                <c:pt idx="95">
                  <c:v>13.5</c:v>
                </c:pt>
                <c:pt idx="96">
                  <c:v>13.5</c:v>
                </c:pt>
                <c:pt idx="97">
                  <c:v>43.5</c:v>
                </c:pt>
                <c:pt idx="98">
                  <c:v>23.5</c:v>
                </c:pt>
                <c:pt idx="99">
                  <c:v>29.5</c:v>
                </c:pt>
                <c:pt idx="100">
                  <c:v>28</c:v>
                </c:pt>
                <c:pt idx="101">
                  <c:v>24</c:v>
                </c:pt>
                <c:pt idx="102">
                  <c:v>10.5</c:v>
                </c:pt>
                <c:pt idx="103">
                  <c:v>13.5</c:v>
                </c:pt>
                <c:pt idx="104">
                  <c:v>3</c:v>
                </c:pt>
                <c:pt idx="105">
                  <c:v>3</c:v>
                </c:pt>
                <c:pt idx="106">
                  <c:v>59.5</c:v>
                </c:pt>
                <c:pt idx="107">
                  <c:v>43.772727272727415</c:v>
                </c:pt>
                <c:pt idx="108">
                  <c:v>54.499999999999915</c:v>
                </c:pt>
                <c:pt idx="109">
                  <c:v>35.5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26.5</c:v>
                </c:pt>
                <c:pt idx="122">
                  <c:v>4.5</c:v>
                </c:pt>
                <c:pt idx="123">
                  <c:v>4.5</c:v>
                </c:pt>
                <c:pt idx="124">
                  <c:v>12</c:v>
                </c:pt>
                <c:pt idx="125">
                  <c:v>21</c:v>
                </c:pt>
                <c:pt idx="126">
                  <c:v>3</c:v>
                </c:pt>
                <c:pt idx="127">
                  <c:v>0</c:v>
                </c:pt>
                <c:pt idx="128">
                  <c:v>16.5</c:v>
                </c:pt>
                <c:pt idx="129">
                  <c:v>9</c:v>
                </c:pt>
                <c:pt idx="130">
                  <c:v>28.5</c:v>
                </c:pt>
                <c:pt idx="131">
                  <c:v>43.5</c:v>
                </c:pt>
                <c:pt idx="132">
                  <c:v>12</c:v>
                </c:pt>
                <c:pt idx="133">
                  <c:v>9</c:v>
                </c:pt>
                <c:pt idx="134">
                  <c:v>29</c:v>
                </c:pt>
                <c:pt idx="135">
                  <c:v>47.5</c:v>
                </c:pt>
                <c:pt idx="136">
                  <c:v>25.5</c:v>
                </c:pt>
                <c:pt idx="137">
                  <c:v>6</c:v>
                </c:pt>
                <c:pt idx="138">
                  <c:v>16</c:v>
                </c:pt>
                <c:pt idx="139">
                  <c:v>6</c:v>
                </c:pt>
                <c:pt idx="140">
                  <c:v>16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10.5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23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22</c:v>
                </c:pt>
                <c:pt idx="206">
                  <c:v>22</c:v>
                </c:pt>
                <c:pt idx="207">
                  <c:v>12</c:v>
                </c:pt>
                <c:pt idx="208">
                  <c:v>4.5</c:v>
                </c:pt>
                <c:pt idx="209">
                  <c:v>4.5</c:v>
                </c:pt>
                <c:pt idx="210">
                  <c:v>4.5</c:v>
                </c:pt>
                <c:pt idx="211">
                  <c:v>12</c:v>
                </c:pt>
                <c:pt idx="212">
                  <c:v>7.5</c:v>
                </c:pt>
                <c:pt idx="213">
                  <c:v>32.5</c:v>
                </c:pt>
                <c:pt idx="214">
                  <c:v>12</c:v>
                </c:pt>
                <c:pt idx="215">
                  <c:v>7.5</c:v>
                </c:pt>
                <c:pt idx="216">
                  <c:v>29.5</c:v>
                </c:pt>
                <c:pt idx="217">
                  <c:v>7.5</c:v>
                </c:pt>
                <c:pt idx="218">
                  <c:v>20.5</c:v>
                </c:pt>
                <c:pt idx="219">
                  <c:v>23.5</c:v>
                </c:pt>
                <c:pt idx="220">
                  <c:v>28.5</c:v>
                </c:pt>
                <c:pt idx="221">
                  <c:v>10.5</c:v>
                </c:pt>
                <c:pt idx="222">
                  <c:v>10.5</c:v>
                </c:pt>
                <c:pt idx="223">
                  <c:v>10.5</c:v>
                </c:pt>
                <c:pt idx="224">
                  <c:v>10.5</c:v>
                </c:pt>
                <c:pt idx="225">
                  <c:v>10.5</c:v>
                </c:pt>
                <c:pt idx="226">
                  <c:v>10.5</c:v>
                </c:pt>
                <c:pt idx="227">
                  <c:v>10.5</c:v>
                </c:pt>
                <c:pt idx="228">
                  <c:v>10.5</c:v>
                </c:pt>
                <c:pt idx="229">
                  <c:v>19.5</c:v>
                </c:pt>
                <c:pt idx="230">
                  <c:v>1.5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20</c:v>
                </c:pt>
                <c:pt idx="239">
                  <c:v>21.5</c:v>
                </c:pt>
                <c:pt idx="240">
                  <c:v>24</c:v>
                </c:pt>
                <c:pt idx="241">
                  <c:v>9</c:v>
                </c:pt>
                <c:pt idx="242">
                  <c:v>9</c:v>
                </c:pt>
                <c:pt idx="243">
                  <c:v>17.5</c:v>
                </c:pt>
                <c:pt idx="244">
                  <c:v>22</c:v>
                </c:pt>
                <c:pt idx="245">
                  <c:v>24</c:v>
                </c:pt>
                <c:pt idx="246">
                  <c:v>23.5</c:v>
                </c:pt>
                <c:pt idx="247">
                  <c:v>37</c:v>
                </c:pt>
                <c:pt idx="248">
                  <c:v>9</c:v>
                </c:pt>
                <c:pt idx="249">
                  <c:v>7.5</c:v>
                </c:pt>
                <c:pt idx="250">
                  <c:v>7.5</c:v>
                </c:pt>
                <c:pt idx="251">
                  <c:v>17.5</c:v>
                </c:pt>
                <c:pt idx="252">
                  <c:v>7.5</c:v>
                </c:pt>
                <c:pt idx="253">
                  <c:v>4.5</c:v>
                </c:pt>
                <c:pt idx="254">
                  <c:v>4.5</c:v>
                </c:pt>
                <c:pt idx="255">
                  <c:v>3</c:v>
                </c:pt>
                <c:pt idx="256">
                  <c:v>23</c:v>
                </c:pt>
                <c:pt idx="257">
                  <c:v>24.5</c:v>
                </c:pt>
                <c:pt idx="258">
                  <c:v>10.5</c:v>
                </c:pt>
                <c:pt idx="259">
                  <c:v>22</c:v>
                </c:pt>
                <c:pt idx="260">
                  <c:v>19</c:v>
                </c:pt>
                <c:pt idx="261">
                  <c:v>12</c:v>
                </c:pt>
                <c:pt idx="262">
                  <c:v>12</c:v>
                </c:pt>
                <c:pt idx="263">
                  <c:v>33</c:v>
                </c:pt>
                <c:pt idx="264">
                  <c:v>9</c:v>
                </c:pt>
                <c:pt idx="265">
                  <c:v>31</c:v>
                </c:pt>
                <c:pt idx="266">
                  <c:v>7.5</c:v>
                </c:pt>
                <c:pt idx="267">
                  <c:v>27</c:v>
                </c:pt>
                <c:pt idx="268">
                  <c:v>22</c:v>
                </c:pt>
                <c:pt idx="269">
                  <c:v>7.5</c:v>
                </c:pt>
                <c:pt idx="270">
                  <c:v>9</c:v>
                </c:pt>
                <c:pt idx="271">
                  <c:v>23</c:v>
                </c:pt>
                <c:pt idx="272">
                  <c:v>32.5</c:v>
                </c:pt>
                <c:pt idx="273">
                  <c:v>7.5</c:v>
                </c:pt>
                <c:pt idx="274">
                  <c:v>51.5</c:v>
                </c:pt>
                <c:pt idx="275">
                  <c:v>39</c:v>
                </c:pt>
                <c:pt idx="276">
                  <c:v>62.5</c:v>
                </c:pt>
                <c:pt idx="277">
                  <c:v>45.5</c:v>
                </c:pt>
                <c:pt idx="278">
                  <c:v>44.5</c:v>
                </c:pt>
                <c:pt idx="279">
                  <c:v>45.5</c:v>
                </c:pt>
                <c:pt idx="280">
                  <c:v>42.5</c:v>
                </c:pt>
                <c:pt idx="281">
                  <c:v>43.5</c:v>
                </c:pt>
                <c:pt idx="282">
                  <c:v>58.5</c:v>
                </c:pt>
                <c:pt idx="283">
                  <c:v>53.5</c:v>
                </c:pt>
                <c:pt idx="284">
                  <c:v>58.5</c:v>
                </c:pt>
                <c:pt idx="285">
                  <c:v>61.5</c:v>
                </c:pt>
                <c:pt idx="286">
                  <c:v>59.5</c:v>
                </c:pt>
                <c:pt idx="287">
                  <c:v>44.5</c:v>
                </c:pt>
                <c:pt idx="288">
                  <c:v>28.5</c:v>
                </c:pt>
                <c:pt idx="289">
                  <c:v>31.5</c:v>
                </c:pt>
                <c:pt idx="290">
                  <c:v>46.5</c:v>
                </c:pt>
                <c:pt idx="291">
                  <c:v>13.5</c:v>
                </c:pt>
                <c:pt idx="292">
                  <c:v>23</c:v>
                </c:pt>
                <c:pt idx="293">
                  <c:v>19</c:v>
                </c:pt>
                <c:pt idx="294">
                  <c:v>22</c:v>
                </c:pt>
                <c:pt idx="295">
                  <c:v>31</c:v>
                </c:pt>
                <c:pt idx="296">
                  <c:v>59</c:v>
                </c:pt>
                <c:pt idx="297">
                  <c:v>39</c:v>
                </c:pt>
                <c:pt idx="298">
                  <c:v>9</c:v>
                </c:pt>
                <c:pt idx="299">
                  <c:v>34</c:v>
                </c:pt>
                <c:pt idx="300">
                  <c:v>12</c:v>
                </c:pt>
                <c:pt idx="301">
                  <c:v>9</c:v>
                </c:pt>
                <c:pt idx="302">
                  <c:v>7.5</c:v>
                </c:pt>
                <c:pt idx="303">
                  <c:v>46.5</c:v>
                </c:pt>
                <c:pt idx="304">
                  <c:v>19</c:v>
                </c:pt>
                <c:pt idx="305">
                  <c:v>19</c:v>
                </c:pt>
                <c:pt idx="306">
                  <c:v>45</c:v>
                </c:pt>
                <c:pt idx="307">
                  <c:v>48.5</c:v>
                </c:pt>
                <c:pt idx="308">
                  <c:v>34.5</c:v>
                </c:pt>
                <c:pt idx="309">
                  <c:v>49.5</c:v>
                </c:pt>
                <c:pt idx="310">
                  <c:v>30.5</c:v>
                </c:pt>
                <c:pt idx="311">
                  <c:v>16.5</c:v>
                </c:pt>
                <c:pt idx="312">
                  <c:v>53.5</c:v>
                </c:pt>
                <c:pt idx="313">
                  <c:v>43.5</c:v>
                </c:pt>
                <c:pt idx="314">
                  <c:v>34.5</c:v>
                </c:pt>
                <c:pt idx="315">
                  <c:v>18</c:v>
                </c:pt>
                <c:pt idx="316">
                  <c:v>15.5</c:v>
                </c:pt>
                <c:pt idx="317">
                  <c:v>4.5</c:v>
                </c:pt>
                <c:pt idx="318">
                  <c:v>4.5</c:v>
                </c:pt>
                <c:pt idx="319">
                  <c:v>4.5</c:v>
                </c:pt>
                <c:pt idx="320">
                  <c:v>9</c:v>
                </c:pt>
                <c:pt idx="321">
                  <c:v>9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33.758064516129025</c:v>
                </c:pt>
                <c:pt idx="354">
                  <c:v>44.35714285714289</c:v>
                </c:pt>
                <c:pt idx="356">
                  <c:v>21.69230769230769</c:v>
                </c:pt>
                <c:pt idx="357">
                  <c:v>1.5</c:v>
                </c:pt>
                <c:pt idx="358">
                  <c:v>7.5</c:v>
                </c:pt>
                <c:pt idx="359">
                  <c:v>7.5</c:v>
                </c:pt>
                <c:pt idx="360">
                  <c:v>7.5</c:v>
                </c:pt>
                <c:pt idx="361">
                  <c:v>7.5</c:v>
                </c:pt>
                <c:pt idx="362">
                  <c:v>7.5</c:v>
                </c:pt>
                <c:pt idx="363">
                  <c:v>7.5</c:v>
                </c:pt>
                <c:pt idx="364">
                  <c:v>7.5</c:v>
                </c:pt>
                <c:pt idx="365">
                  <c:v>7.5</c:v>
                </c:pt>
                <c:pt idx="366">
                  <c:v>7.5</c:v>
                </c:pt>
                <c:pt idx="367">
                  <c:v>20.5</c:v>
                </c:pt>
                <c:pt idx="368">
                  <c:v>18.5</c:v>
                </c:pt>
                <c:pt idx="369">
                  <c:v>7.5</c:v>
                </c:pt>
                <c:pt idx="370">
                  <c:v>18.5</c:v>
                </c:pt>
                <c:pt idx="371">
                  <c:v>18.5</c:v>
                </c:pt>
                <c:pt idx="372">
                  <c:v>7.5</c:v>
                </c:pt>
                <c:pt idx="373">
                  <c:v>20.5</c:v>
                </c:pt>
                <c:pt idx="374">
                  <c:v>1.5</c:v>
                </c:pt>
                <c:pt idx="375">
                  <c:v>22.5</c:v>
                </c:pt>
                <c:pt idx="376">
                  <c:v>12.5</c:v>
                </c:pt>
                <c:pt idx="377">
                  <c:v>1.5</c:v>
                </c:pt>
                <c:pt idx="378">
                  <c:v>11.5</c:v>
                </c:pt>
                <c:pt idx="379">
                  <c:v>1.5</c:v>
                </c:pt>
                <c:pt idx="380">
                  <c:v>1.5</c:v>
                </c:pt>
                <c:pt idx="381">
                  <c:v>1.5</c:v>
                </c:pt>
                <c:pt idx="382">
                  <c:v>1.5</c:v>
                </c:pt>
                <c:pt idx="383">
                  <c:v>1.5</c:v>
                </c:pt>
                <c:pt idx="384">
                  <c:v>1.5</c:v>
                </c:pt>
                <c:pt idx="385">
                  <c:v>1.5</c:v>
                </c:pt>
                <c:pt idx="386">
                  <c:v>7.5</c:v>
                </c:pt>
                <c:pt idx="387">
                  <c:v>7.5</c:v>
                </c:pt>
                <c:pt idx="388">
                  <c:v>7.5</c:v>
                </c:pt>
                <c:pt idx="389">
                  <c:v>7.5</c:v>
                </c:pt>
                <c:pt idx="390">
                  <c:v>7.5</c:v>
                </c:pt>
                <c:pt idx="391">
                  <c:v>18.5</c:v>
                </c:pt>
                <c:pt idx="392">
                  <c:v>7.5</c:v>
                </c:pt>
                <c:pt idx="393">
                  <c:v>26.5</c:v>
                </c:pt>
                <c:pt idx="394">
                  <c:v>21.5</c:v>
                </c:pt>
                <c:pt idx="395">
                  <c:v>7.5</c:v>
                </c:pt>
                <c:pt idx="396">
                  <c:v>18.5</c:v>
                </c:pt>
                <c:pt idx="397">
                  <c:v>29.5</c:v>
                </c:pt>
                <c:pt idx="398">
                  <c:v>13.5</c:v>
                </c:pt>
                <c:pt idx="399">
                  <c:v>13.5</c:v>
                </c:pt>
                <c:pt idx="400">
                  <c:v>13.5</c:v>
                </c:pt>
                <c:pt idx="401">
                  <c:v>13.5</c:v>
                </c:pt>
                <c:pt idx="402">
                  <c:v>13.5</c:v>
                </c:pt>
                <c:pt idx="403">
                  <c:v>13.5</c:v>
                </c:pt>
                <c:pt idx="404">
                  <c:v>13.5</c:v>
                </c:pt>
                <c:pt idx="405">
                  <c:v>13.5</c:v>
                </c:pt>
                <c:pt idx="406">
                  <c:v>13.5</c:v>
                </c:pt>
                <c:pt idx="407">
                  <c:v>13.5</c:v>
                </c:pt>
                <c:pt idx="408">
                  <c:v>13.5</c:v>
                </c:pt>
                <c:pt idx="409">
                  <c:v>13.5</c:v>
                </c:pt>
                <c:pt idx="410">
                  <c:v>13.5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17.5</c:v>
                </c:pt>
                <c:pt idx="415">
                  <c:v>1.5</c:v>
                </c:pt>
                <c:pt idx="416">
                  <c:v>7.5</c:v>
                </c:pt>
                <c:pt idx="417">
                  <c:v>7.5</c:v>
                </c:pt>
                <c:pt idx="418">
                  <c:v>7.5</c:v>
                </c:pt>
                <c:pt idx="419">
                  <c:v>7.5</c:v>
                </c:pt>
                <c:pt idx="420">
                  <c:v>33.5</c:v>
                </c:pt>
                <c:pt idx="421">
                  <c:v>18.5</c:v>
                </c:pt>
                <c:pt idx="422">
                  <c:v>1.5</c:v>
                </c:pt>
                <c:pt idx="423">
                  <c:v>1.5</c:v>
                </c:pt>
                <c:pt idx="424">
                  <c:v>13.5</c:v>
                </c:pt>
                <c:pt idx="425">
                  <c:v>12.5</c:v>
                </c:pt>
                <c:pt idx="426">
                  <c:v>1.5</c:v>
                </c:pt>
                <c:pt idx="427">
                  <c:v>21.5</c:v>
                </c:pt>
                <c:pt idx="428">
                  <c:v>11.5</c:v>
                </c:pt>
                <c:pt idx="429">
                  <c:v>1.5</c:v>
                </c:pt>
                <c:pt idx="430">
                  <c:v>12.5</c:v>
                </c:pt>
                <c:pt idx="431">
                  <c:v>22.5</c:v>
                </c:pt>
                <c:pt idx="432">
                  <c:v>22.5</c:v>
                </c:pt>
                <c:pt idx="433">
                  <c:v>7.5</c:v>
                </c:pt>
                <c:pt idx="434">
                  <c:v>18.5</c:v>
                </c:pt>
                <c:pt idx="435">
                  <c:v>17.5</c:v>
                </c:pt>
                <c:pt idx="436">
                  <c:v>19.5</c:v>
                </c:pt>
                <c:pt idx="437">
                  <c:v>1.5</c:v>
                </c:pt>
                <c:pt idx="438">
                  <c:v>11.5</c:v>
                </c:pt>
                <c:pt idx="439">
                  <c:v>15.500000000000002</c:v>
                </c:pt>
                <c:pt idx="440">
                  <c:v>13.5</c:v>
                </c:pt>
                <c:pt idx="441">
                  <c:v>1.5</c:v>
                </c:pt>
                <c:pt idx="442">
                  <c:v>1.5</c:v>
                </c:pt>
                <c:pt idx="443">
                  <c:v>1.5</c:v>
                </c:pt>
                <c:pt idx="444">
                  <c:v>15.500000000000002</c:v>
                </c:pt>
                <c:pt idx="445">
                  <c:v>18.5</c:v>
                </c:pt>
                <c:pt idx="446">
                  <c:v>1.5</c:v>
                </c:pt>
                <c:pt idx="447">
                  <c:v>1.5</c:v>
                </c:pt>
                <c:pt idx="448">
                  <c:v>1.5</c:v>
                </c:pt>
                <c:pt idx="449">
                  <c:v>1.5</c:v>
                </c:pt>
                <c:pt idx="450">
                  <c:v>7.5</c:v>
                </c:pt>
                <c:pt idx="451">
                  <c:v>34.5</c:v>
                </c:pt>
                <c:pt idx="452">
                  <c:v>33.5</c:v>
                </c:pt>
                <c:pt idx="453">
                  <c:v>24.5</c:v>
                </c:pt>
                <c:pt idx="454">
                  <c:v>21.5</c:v>
                </c:pt>
                <c:pt idx="455">
                  <c:v>7.5</c:v>
                </c:pt>
                <c:pt idx="456">
                  <c:v>32.5</c:v>
                </c:pt>
                <c:pt idx="458">
                  <c:v>7.5</c:v>
                </c:pt>
                <c:pt idx="459">
                  <c:v>29.5</c:v>
                </c:pt>
                <c:pt idx="460">
                  <c:v>18.5</c:v>
                </c:pt>
                <c:pt idx="461">
                  <c:v>22.5</c:v>
                </c:pt>
                <c:pt idx="462">
                  <c:v>20.5</c:v>
                </c:pt>
                <c:pt idx="463">
                  <c:v>7.5</c:v>
                </c:pt>
                <c:pt idx="464">
                  <c:v>34.5</c:v>
                </c:pt>
                <c:pt idx="465">
                  <c:v>25.5</c:v>
                </c:pt>
                <c:pt idx="466">
                  <c:v>32.5</c:v>
                </c:pt>
                <c:pt idx="467">
                  <c:v>7.5</c:v>
                </c:pt>
                <c:pt idx="468">
                  <c:v>7.5</c:v>
                </c:pt>
                <c:pt idx="469">
                  <c:v>7.5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21.5</c:v>
                </c:pt>
                <c:pt idx="506">
                  <c:v>4.5</c:v>
                </c:pt>
                <c:pt idx="507">
                  <c:v>4.5</c:v>
                </c:pt>
                <c:pt idx="508">
                  <c:v>1.5</c:v>
                </c:pt>
                <c:pt idx="509">
                  <c:v>6</c:v>
                </c:pt>
                <c:pt idx="510">
                  <c:v>10.5</c:v>
                </c:pt>
                <c:pt idx="511">
                  <c:v>10.5</c:v>
                </c:pt>
                <c:pt idx="512">
                  <c:v>13.5</c:v>
                </c:pt>
                <c:pt idx="513">
                  <c:v>37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12</c:v>
                </c:pt>
                <c:pt idx="518">
                  <c:v>38</c:v>
                </c:pt>
                <c:pt idx="519">
                  <c:v>31.5</c:v>
                </c:pt>
                <c:pt idx="520">
                  <c:v>41</c:v>
                </c:pt>
                <c:pt idx="521">
                  <c:v>28</c:v>
                </c:pt>
                <c:pt idx="522">
                  <c:v>9</c:v>
                </c:pt>
                <c:pt idx="523">
                  <c:v>9</c:v>
                </c:pt>
                <c:pt idx="524">
                  <c:v>10.5</c:v>
                </c:pt>
                <c:pt idx="525">
                  <c:v>10.5</c:v>
                </c:pt>
                <c:pt idx="526">
                  <c:v>4.5</c:v>
                </c:pt>
                <c:pt idx="527">
                  <c:v>20</c:v>
                </c:pt>
                <c:pt idx="528">
                  <c:v>9</c:v>
                </c:pt>
                <c:pt idx="529">
                  <c:v>4.5</c:v>
                </c:pt>
                <c:pt idx="530">
                  <c:v>16.5</c:v>
                </c:pt>
                <c:pt idx="531">
                  <c:v>57.5</c:v>
                </c:pt>
                <c:pt idx="532">
                  <c:v>22</c:v>
                </c:pt>
                <c:pt idx="533">
                  <c:v>51.5</c:v>
                </c:pt>
                <c:pt idx="534">
                  <c:v>11.5</c:v>
                </c:pt>
                <c:pt idx="535">
                  <c:v>7.5</c:v>
                </c:pt>
                <c:pt idx="536">
                  <c:v>39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21</c:v>
                </c:pt>
                <c:pt idx="541">
                  <c:v>19</c:v>
                </c:pt>
                <c:pt idx="542">
                  <c:v>18</c:v>
                </c:pt>
                <c:pt idx="543">
                  <c:v>37</c:v>
                </c:pt>
                <c:pt idx="544">
                  <c:v>3</c:v>
                </c:pt>
                <c:pt idx="545">
                  <c:v>23</c:v>
                </c:pt>
                <c:pt idx="546">
                  <c:v>32</c:v>
                </c:pt>
                <c:pt idx="547">
                  <c:v>29</c:v>
                </c:pt>
                <c:pt idx="548">
                  <c:v>35</c:v>
                </c:pt>
                <c:pt idx="549">
                  <c:v>25</c:v>
                </c:pt>
                <c:pt idx="550">
                  <c:v>32</c:v>
                </c:pt>
                <c:pt idx="551">
                  <c:v>21.5</c:v>
                </c:pt>
                <c:pt idx="552">
                  <c:v>21.5</c:v>
                </c:pt>
                <c:pt idx="553">
                  <c:v>42</c:v>
                </c:pt>
                <c:pt idx="554">
                  <c:v>17.5</c:v>
                </c:pt>
                <c:pt idx="555">
                  <c:v>28.5</c:v>
                </c:pt>
                <c:pt idx="556">
                  <c:v>13.5</c:v>
                </c:pt>
                <c:pt idx="557">
                  <c:v>9</c:v>
                </c:pt>
                <c:pt idx="558">
                  <c:v>19</c:v>
                </c:pt>
                <c:pt idx="559">
                  <c:v>24</c:v>
                </c:pt>
                <c:pt idx="560">
                  <c:v>1.5</c:v>
                </c:pt>
                <c:pt idx="561">
                  <c:v>1.5</c:v>
                </c:pt>
                <c:pt idx="562">
                  <c:v>1.5</c:v>
                </c:pt>
                <c:pt idx="563">
                  <c:v>12</c:v>
                </c:pt>
                <c:pt idx="564">
                  <c:v>10.5</c:v>
                </c:pt>
                <c:pt idx="565">
                  <c:v>19</c:v>
                </c:pt>
                <c:pt idx="566">
                  <c:v>21</c:v>
                </c:pt>
                <c:pt idx="567">
                  <c:v>40.5</c:v>
                </c:pt>
                <c:pt idx="568">
                  <c:v>39.5</c:v>
                </c:pt>
                <c:pt idx="569">
                  <c:v>28.5</c:v>
                </c:pt>
                <c:pt idx="570">
                  <c:v>48.5</c:v>
                </c:pt>
                <c:pt idx="571">
                  <c:v>23.5</c:v>
                </c:pt>
                <c:pt idx="572">
                  <c:v>7.5</c:v>
                </c:pt>
                <c:pt idx="573">
                  <c:v>12.5</c:v>
                </c:pt>
                <c:pt idx="574">
                  <c:v>1.5</c:v>
                </c:pt>
                <c:pt idx="575">
                  <c:v>10.5</c:v>
                </c:pt>
                <c:pt idx="576">
                  <c:v>10.5</c:v>
                </c:pt>
                <c:pt idx="577">
                  <c:v>1.5</c:v>
                </c:pt>
                <c:pt idx="578">
                  <c:v>1.5</c:v>
                </c:pt>
                <c:pt idx="579">
                  <c:v>13.5</c:v>
                </c:pt>
                <c:pt idx="580">
                  <c:v>30</c:v>
                </c:pt>
                <c:pt idx="581">
                  <c:v>1.5</c:v>
                </c:pt>
                <c:pt idx="582">
                  <c:v>27</c:v>
                </c:pt>
                <c:pt idx="583">
                  <c:v>13.688393011200001</c:v>
                </c:pt>
                <c:pt idx="584">
                  <c:v>15.25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A5-4A23-8A5A-DB1659490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01744"/>
        <c:axId val="1237509904"/>
      </c:scatterChart>
      <c:valAx>
        <c:axId val="123750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RMR76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9904"/>
        <c:crosses val="autoZero"/>
        <c:crossBetween val="midCat"/>
      </c:valAx>
      <c:valAx>
        <c:axId val="123750990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GSI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898451273988243"/>
          <c:y val="7.9026578036302086E-2"/>
          <c:w val="0.78237493569370176"/>
          <c:h val="0.86670001951150966"/>
        </c:manualLayout>
      </c:layout>
      <c:scatterChart>
        <c:scatterStyle val="lineMarker"/>
        <c:varyColors val="0"/>
        <c:ser>
          <c:idx val="2"/>
          <c:order val="0"/>
          <c:tx>
            <c:v>Logging PNM</c:v>
          </c:tx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Logging Brejo Seco'!$V$3:$V$112</c:f>
              <c:numCache>
                <c:formatCode>0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100</c:v>
                </c:pt>
                <c:pt idx="8">
                  <c:v>0</c:v>
                </c:pt>
                <c:pt idx="9">
                  <c:v>60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22</c:v>
                </c:pt>
                <c:pt idx="14">
                  <c:v>42.000000000000007</c:v>
                </c:pt>
                <c:pt idx="15">
                  <c:v>56.000000000000007</c:v>
                </c:pt>
                <c:pt idx="16">
                  <c:v>62</c:v>
                </c:pt>
                <c:pt idx="17">
                  <c:v>32</c:v>
                </c:pt>
                <c:pt idx="18">
                  <c:v>42</c:v>
                </c:pt>
                <c:pt idx="19">
                  <c:v>50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32</c:v>
                </c:pt>
                <c:pt idx="24">
                  <c:v>38</c:v>
                </c:pt>
                <c:pt idx="25">
                  <c:v>22</c:v>
                </c:pt>
                <c:pt idx="26">
                  <c:v>24</c:v>
                </c:pt>
                <c:pt idx="27">
                  <c:v>28.000000000000004</c:v>
                </c:pt>
                <c:pt idx="28">
                  <c:v>44</c:v>
                </c:pt>
                <c:pt idx="29">
                  <c:v>40</c:v>
                </c:pt>
                <c:pt idx="30">
                  <c:v>0</c:v>
                </c:pt>
                <c:pt idx="31">
                  <c:v>54</c:v>
                </c:pt>
                <c:pt idx="32">
                  <c:v>24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</c:v>
                </c:pt>
                <c:pt idx="41">
                  <c:v>0</c:v>
                </c:pt>
                <c:pt idx="42">
                  <c:v>0</c:v>
                </c:pt>
                <c:pt idx="43">
                  <c:v>52</c:v>
                </c:pt>
                <c:pt idx="44">
                  <c:v>36</c:v>
                </c:pt>
                <c:pt idx="45">
                  <c:v>100</c:v>
                </c:pt>
                <c:pt idx="46">
                  <c:v>62</c:v>
                </c:pt>
                <c:pt idx="47">
                  <c:v>94.736842105263278</c:v>
                </c:pt>
                <c:pt idx="48">
                  <c:v>34</c:v>
                </c:pt>
                <c:pt idx="49">
                  <c:v>32</c:v>
                </c:pt>
                <c:pt idx="50">
                  <c:v>22</c:v>
                </c:pt>
                <c:pt idx="51">
                  <c:v>85.714285714285367</c:v>
                </c:pt>
                <c:pt idx="52">
                  <c:v>91.48936170212788</c:v>
                </c:pt>
                <c:pt idx="53">
                  <c:v>52.427184466019362</c:v>
                </c:pt>
                <c:pt idx="54">
                  <c:v>80</c:v>
                </c:pt>
                <c:pt idx="55">
                  <c:v>82.432432432432606</c:v>
                </c:pt>
                <c:pt idx="56">
                  <c:v>74.999999999999929</c:v>
                </c:pt>
                <c:pt idx="57">
                  <c:v>40</c:v>
                </c:pt>
                <c:pt idx="58">
                  <c:v>30</c:v>
                </c:pt>
                <c:pt idx="59">
                  <c:v>26.666666666666668</c:v>
                </c:pt>
                <c:pt idx="60">
                  <c:v>92.857142857142478</c:v>
                </c:pt>
                <c:pt idx="61">
                  <c:v>64</c:v>
                </c:pt>
                <c:pt idx="62">
                  <c:v>40</c:v>
                </c:pt>
                <c:pt idx="63">
                  <c:v>0</c:v>
                </c:pt>
                <c:pt idx="64">
                  <c:v>57.999999999999993</c:v>
                </c:pt>
                <c:pt idx="65">
                  <c:v>36</c:v>
                </c:pt>
                <c:pt idx="66">
                  <c:v>0</c:v>
                </c:pt>
                <c:pt idx="67">
                  <c:v>32.85714285714306</c:v>
                </c:pt>
                <c:pt idx="68">
                  <c:v>49.999999999999879</c:v>
                </c:pt>
                <c:pt idx="69">
                  <c:v>22</c:v>
                </c:pt>
                <c:pt idx="70">
                  <c:v>0</c:v>
                </c:pt>
                <c:pt idx="71">
                  <c:v>39.999999999999901</c:v>
                </c:pt>
                <c:pt idx="72">
                  <c:v>56.000000000000007</c:v>
                </c:pt>
                <c:pt idx="73">
                  <c:v>0</c:v>
                </c:pt>
                <c:pt idx="74">
                  <c:v>47.500000000000171</c:v>
                </c:pt>
                <c:pt idx="75">
                  <c:v>31.666666666666593</c:v>
                </c:pt>
                <c:pt idx="76">
                  <c:v>30</c:v>
                </c:pt>
                <c:pt idx="77">
                  <c:v>21.428571428571558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36</c:v>
                </c:pt>
                <c:pt idx="87">
                  <c:v>28.000000000000004</c:v>
                </c:pt>
                <c:pt idx="88">
                  <c:v>24</c:v>
                </c:pt>
                <c:pt idx="89">
                  <c:v>0</c:v>
                </c:pt>
                <c:pt idx="90">
                  <c:v>34.545454545454277</c:v>
                </c:pt>
                <c:pt idx="91">
                  <c:v>0</c:v>
                </c:pt>
                <c:pt idx="92">
                  <c:v>35.714285714285573</c:v>
                </c:pt>
                <c:pt idx="93">
                  <c:v>81</c:v>
                </c:pt>
                <c:pt idx="94">
                  <c:v>28.000000000000004</c:v>
                </c:pt>
                <c:pt idx="95">
                  <c:v>0</c:v>
                </c:pt>
                <c:pt idx="96">
                  <c:v>0</c:v>
                </c:pt>
                <c:pt idx="97">
                  <c:v>54</c:v>
                </c:pt>
                <c:pt idx="98">
                  <c:v>20</c:v>
                </c:pt>
                <c:pt idx="99">
                  <c:v>32</c:v>
                </c:pt>
                <c:pt idx="100">
                  <c:v>32</c:v>
                </c:pt>
                <c:pt idx="101">
                  <c:v>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80</c:v>
                </c:pt>
                <c:pt idx="107">
                  <c:v>54.545454545454831</c:v>
                </c:pt>
                <c:pt idx="108">
                  <c:v>69.999999999999829</c:v>
                </c:pt>
                <c:pt idx="109">
                  <c:v>32</c:v>
                </c:pt>
              </c:numCache>
            </c:numRef>
          </c:xVal>
          <c:yVal>
            <c:numRef>
              <c:f>'2. Logging Brejo Seco'!$L$3:$L$112</c:f>
              <c:numCache>
                <c:formatCode>0.00</c:formatCode>
                <c:ptCount val="1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24.83</c:v>
                </c:pt>
                <c:pt idx="48">
                  <c:v>25.33</c:v>
                </c:pt>
                <c:pt idx="49">
                  <c:v>25.83</c:v>
                </c:pt>
                <c:pt idx="50">
                  <c:v>26.33</c:v>
                </c:pt>
                <c:pt idx="51">
                  <c:v>27.03</c:v>
                </c:pt>
                <c:pt idx="52">
                  <c:v>27.97</c:v>
                </c:pt>
                <c:pt idx="53">
                  <c:v>29</c:v>
                </c:pt>
                <c:pt idx="54">
                  <c:v>29.5</c:v>
                </c:pt>
                <c:pt idx="55">
                  <c:v>30.24</c:v>
                </c:pt>
                <c:pt idx="56">
                  <c:v>31.04</c:v>
                </c:pt>
                <c:pt idx="57">
                  <c:v>32.04</c:v>
                </c:pt>
                <c:pt idx="58">
                  <c:v>32.54</c:v>
                </c:pt>
                <c:pt idx="59">
                  <c:v>33.29</c:v>
                </c:pt>
                <c:pt idx="60">
                  <c:v>33.85</c:v>
                </c:pt>
                <c:pt idx="61">
                  <c:v>34.35</c:v>
                </c:pt>
                <c:pt idx="62">
                  <c:v>34.85</c:v>
                </c:pt>
                <c:pt idx="63">
                  <c:v>35.35</c:v>
                </c:pt>
                <c:pt idx="64">
                  <c:v>35.85</c:v>
                </c:pt>
                <c:pt idx="65">
                  <c:v>36.35</c:v>
                </c:pt>
                <c:pt idx="66">
                  <c:v>36.85</c:v>
                </c:pt>
                <c:pt idx="67">
                  <c:v>37.549999999999997</c:v>
                </c:pt>
                <c:pt idx="68">
                  <c:v>38.15</c:v>
                </c:pt>
                <c:pt idx="69">
                  <c:v>38.65</c:v>
                </c:pt>
                <c:pt idx="70">
                  <c:v>39.15</c:v>
                </c:pt>
                <c:pt idx="71">
                  <c:v>39.75</c:v>
                </c:pt>
                <c:pt idx="72">
                  <c:v>40</c:v>
                </c:pt>
                <c:pt idx="73">
                  <c:v>40.450000000000003</c:v>
                </c:pt>
                <c:pt idx="74">
                  <c:v>41.25</c:v>
                </c:pt>
                <c:pt idx="75">
                  <c:v>41.85</c:v>
                </c:pt>
                <c:pt idx="76">
                  <c:v>42.35</c:v>
                </c:pt>
                <c:pt idx="77">
                  <c:v>43.05</c:v>
                </c:pt>
                <c:pt idx="78">
                  <c:v>43.55</c:v>
                </c:pt>
                <c:pt idx="79">
                  <c:v>44.05</c:v>
                </c:pt>
                <c:pt idx="80">
                  <c:v>44.55</c:v>
                </c:pt>
                <c:pt idx="81">
                  <c:v>45.05</c:v>
                </c:pt>
                <c:pt idx="82">
                  <c:v>45.55</c:v>
                </c:pt>
                <c:pt idx="83">
                  <c:v>46.05</c:v>
                </c:pt>
                <c:pt idx="84">
                  <c:v>46.55</c:v>
                </c:pt>
                <c:pt idx="85">
                  <c:v>47.05</c:v>
                </c:pt>
                <c:pt idx="86">
                  <c:v>47.55</c:v>
                </c:pt>
                <c:pt idx="87">
                  <c:v>48.05</c:v>
                </c:pt>
                <c:pt idx="88">
                  <c:v>48.55</c:v>
                </c:pt>
                <c:pt idx="89">
                  <c:v>49.05</c:v>
                </c:pt>
                <c:pt idx="90">
                  <c:v>49.6</c:v>
                </c:pt>
                <c:pt idx="91">
                  <c:v>50.15</c:v>
                </c:pt>
                <c:pt idx="92">
                  <c:v>50.85</c:v>
                </c:pt>
                <c:pt idx="93">
                  <c:v>51.85</c:v>
                </c:pt>
                <c:pt idx="94">
                  <c:v>52.35</c:v>
                </c:pt>
                <c:pt idx="95">
                  <c:v>52.85</c:v>
                </c:pt>
                <c:pt idx="96">
                  <c:v>53.35</c:v>
                </c:pt>
                <c:pt idx="97">
                  <c:v>53.85</c:v>
                </c:pt>
                <c:pt idx="98">
                  <c:v>54.35</c:v>
                </c:pt>
                <c:pt idx="99">
                  <c:v>54.85</c:v>
                </c:pt>
                <c:pt idx="100">
                  <c:v>55.35</c:v>
                </c:pt>
                <c:pt idx="101">
                  <c:v>55.85</c:v>
                </c:pt>
                <c:pt idx="102">
                  <c:v>56.35</c:v>
                </c:pt>
                <c:pt idx="103">
                  <c:v>56.85</c:v>
                </c:pt>
                <c:pt idx="104">
                  <c:v>57.35</c:v>
                </c:pt>
                <c:pt idx="105">
                  <c:v>57.85</c:v>
                </c:pt>
                <c:pt idx="106">
                  <c:v>58.35</c:v>
                </c:pt>
                <c:pt idx="107">
                  <c:v>58.9</c:v>
                </c:pt>
                <c:pt idx="108">
                  <c:v>59.5</c:v>
                </c:pt>
                <c:pt idx="10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B-4C1D-831F-E120606CCE1A}"/>
            </c:ext>
          </c:extLst>
        </c:ser>
        <c:ser>
          <c:idx val="3"/>
          <c:order val="1"/>
          <c:tx>
            <c:v>Logging GEOMINAS</c:v>
          </c:tx>
          <c:xVal>
            <c:numRef>
              <c:f>'2. Logging Brejo Seco'!$AA$3:$AA$112</c:f>
              <c:numCache>
                <c:formatCode>General</c:formatCode>
                <c:ptCount val="110"/>
                <c:pt idx="0">
                  <c:v>58</c:v>
                </c:pt>
                <c:pt idx="1">
                  <c:v>24</c:v>
                </c:pt>
                <c:pt idx="2">
                  <c:v>42</c:v>
                </c:pt>
                <c:pt idx="3">
                  <c:v>58</c:v>
                </c:pt>
                <c:pt idx="4">
                  <c:v>0</c:v>
                </c:pt>
                <c:pt idx="5">
                  <c:v>50</c:v>
                </c:pt>
                <c:pt idx="6">
                  <c:v>64</c:v>
                </c:pt>
                <c:pt idx="7">
                  <c:v>22</c:v>
                </c:pt>
                <c:pt idx="8">
                  <c:v>0</c:v>
                </c:pt>
                <c:pt idx="9">
                  <c:v>64</c:v>
                </c:pt>
                <c:pt idx="10">
                  <c:v>32</c:v>
                </c:pt>
                <c:pt idx="11">
                  <c:v>38</c:v>
                </c:pt>
                <c:pt idx="12">
                  <c:v>0</c:v>
                </c:pt>
                <c:pt idx="13">
                  <c:v>24</c:v>
                </c:pt>
                <c:pt idx="14">
                  <c:v>50</c:v>
                </c:pt>
                <c:pt idx="15">
                  <c:v>68</c:v>
                </c:pt>
                <c:pt idx="16">
                  <c:v>86</c:v>
                </c:pt>
                <c:pt idx="17">
                  <c:v>34</c:v>
                </c:pt>
                <c:pt idx="18">
                  <c:v>46</c:v>
                </c:pt>
                <c:pt idx="19">
                  <c:v>42</c:v>
                </c:pt>
                <c:pt idx="20">
                  <c:v>26</c:v>
                </c:pt>
                <c:pt idx="21">
                  <c:v>0</c:v>
                </c:pt>
                <c:pt idx="22">
                  <c:v>0</c:v>
                </c:pt>
                <c:pt idx="23">
                  <c:v>34</c:v>
                </c:pt>
                <c:pt idx="24">
                  <c:v>26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26</c:v>
                </c:pt>
                <c:pt idx="41">
                  <c:v>0</c:v>
                </c:pt>
                <c:pt idx="42">
                  <c:v>0</c:v>
                </c:pt>
                <c:pt idx="43">
                  <c:v>44</c:v>
                </c:pt>
                <c:pt idx="44">
                  <c:v>42</c:v>
                </c:pt>
                <c:pt idx="45">
                  <c:v>97</c:v>
                </c:pt>
                <c:pt idx="46">
                  <c:v>100</c:v>
                </c:pt>
                <c:pt idx="47">
                  <c:v>11</c:v>
                </c:pt>
                <c:pt idx="48">
                  <c:v>42</c:v>
                </c:pt>
                <c:pt idx="49">
                  <c:v>30</c:v>
                </c:pt>
                <c:pt idx="50">
                  <c:v>70</c:v>
                </c:pt>
                <c:pt idx="51">
                  <c:v>94</c:v>
                </c:pt>
                <c:pt idx="52">
                  <c:v>85</c:v>
                </c:pt>
                <c:pt idx="53">
                  <c:v>34</c:v>
                </c:pt>
                <c:pt idx="54">
                  <c:v>80</c:v>
                </c:pt>
                <c:pt idx="55">
                  <c:v>86</c:v>
                </c:pt>
                <c:pt idx="56">
                  <c:v>13</c:v>
                </c:pt>
                <c:pt idx="57">
                  <c:v>21</c:v>
                </c:pt>
                <c:pt idx="58">
                  <c:v>30</c:v>
                </c:pt>
                <c:pt idx="59">
                  <c:v>75</c:v>
                </c:pt>
                <c:pt idx="60">
                  <c:v>54</c:v>
                </c:pt>
                <c:pt idx="61">
                  <c:v>40</c:v>
                </c:pt>
                <c:pt idx="62">
                  <c:v>0</c:v>
                </c:pt>
                <c:pt idx="63">
                  <c:v>0</c:v>
                </c:pt>
                <c:pt idx="64">
                  <c:v>40</c:v>
                </c:pt>
                <c:pt idx="65">
                  <c:v>0</c:v>
                </c:pt>
                <c:pt idx="66">
                  <c:v>46</c:v>
                </c:pt>
                <c:pt idx="67">
                  <c:v>52</c:v>
                </c:pt>
                <c:pt idx="68">
                  <c:v>0</c:v>
                </c:pt>
                <c:pt idx="69">
                  <c:v>0</c:v>
                </c:pt>
                <c:pt idx="70">
                  <c:v>54</c:v>
                </c:pt>
                <c:pt idx="71">
                  <c:v>33</c:v>
                </c:pt>
                <c:pt idx="72">
                  <c:v>52</c:v>
                </c:pt>
                <c:pt idx="73">
                  <c:v>52</c:v>
                </c:pt>
                <c:pt idx="74">
                  <c:v>20</c:v>
                </c:pt>
                <c:pt idx="75">
                  <c:v>32</c:v>
                </c:pt>
                <c:pt idx="76">
                  <c:v>28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36</c:v>
                </c:pt>
                <c:pt idx="93">
                  <c:v>100</c:v>
                </c:pt>
                <c:pt idx="94">
                  <c:v>30</c:v>
                </c:pt>
                <c:pt idx="95">
                  <c:v>0</c:v>
                </c:pt>
                <c:pt idx="96">
                  <c:v>0</c:v>
                </c:pt>
                <c:pt idx="97">
                  <c:v>60</c:v>
                </c:pt>
                <c:pt idx="98">
                  <c:v>20</c:v>
                </c:pt>
                <c:pt idx="99">
                  <c:v>50</c:v>
                </c:pt>
                <c:pt idx="100">
                  <c:v>38</c:v>
                </c:pt>
                <c:pt idx="101">
                  <c:v>20</c:v>
                </c:pt>
                <c:pt idx="102">
                  <c:v>0</c:v>
                </c:pt>
                <c:pt idx="103">
                  <c:v>20</c:v>
                </c:pt>
                <c:pt idx="104">
                  <c:v>0</c:v>
                </c:pt>
                <c:pt idx="105">
                  <c:v>0</c:v>
                </c:pt>
                <c:pt idx="106">
                  <c:v>100</c:v>
                </c:pt>
                <c:pt idx="107">
                  <c:v>45</c:v>
                </c:pt>
                <c:pt idx="108">
                  <c:v>83</c:v>
                </c:pt>
                <c:pt idx="109">
                  <c:v>30</c:v>
                </c:pt>
              </c:numCache>
            </c:numRef>
          </c:xVal>
          <c:yVal>
            <c:numRef>
              <c:f>'2. Logging Brejo Seco'!$L$3:$L$112</c:f>
              <c:numCache>
                <c:formatCode>0.00</c:formatCode>
                <c:ptCount val="1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24.83</c:v>
                </c:pt>
                <c:pt idx="48">
                  <c:v>25.33</c:v>
                </c:pt>
                <c:pt idx="49">
                  <c:v>25.83</c:v>
                </c:pt>
                <c:pt idx="50">
                  <c:v>26.33</c:v>
                </c:pt>
                <c:pt idx="51">
                  <c:v>27.03</c:v>
                </c:pt>
                <c:pt idx="52">
                  <c:v>27.97</c:v>
                </c:pt>
                <c:pt idx="53">
                  <c:v>29</c:v>
                </c:pt>
                <c:pt idx="54">
                  <c:v>29.5</c:v>
                </c:pt>
                <c:pt idx="55">
                  <c:v>30.24</c:v>
                </c:pt>
                <c:pt idx="56">
                  <c:v>31.04</c:v>
                </c:pt>
                <c:pt idx="57">
                  <c:v>32.04</c:v>
                </c:pt>
                <c:pt idx="58">
                  <c:v>32.54</c:v>
                </c:pt>
                <c:pt idx="59">
                  <c:v>33.29</c:v>
                </c:pt>
                <c:pt idx="60">
                  <c:v>33.85</c:v>
                </c:pt>
                <c:pt idx="61">
                  <c:v>34.35</c:v>
                </c:pt>
                <c:pt idx="62">
                  <c:v>34.85</c:v>
                </c:pt>
                <c:pt idx="63">
                  <c:v>35.35</c:v>
                </c:pt>
                <c:pt idx="64">
                  <c:v>35.85</c:v>
                </c:pt>
                <c:pt idx="65">
                  <c:v>36.35</c:v>
                </c:pt>
                <c:pt idx="66">
                  <c:v>36.85</c:v>
                </c:pt>
                <c:pt idx="67">
                  <c:v>37.549999999999997</c:v>
                </c:pt>
                <c:pt idx="68">
                  <c:v>38.15</c:v>
                </c:pt>
                <c:pt idx="69">
                  <c:v>38.65</c:v>
                </c:pt>
                <c:pt idx="70">
                  <c:v>39.15</c:v>
                </c:pt>
                <c:pt idx="71">
                  <c:v>39.75</c:v>
                </c:pt>
                <c:pt idx="72">
                  <c:v>40</c:v>
                </c:pt>
                <c:pt idx="73">
                  <c:v>40.450000000000003</c:v>
                </c:pt>
                <c:pt idx="74">
                  <c:v>41.25</c:v>
                </c:pt>
                <c:pt idx="75">
                  <c:v>41.85</c:v>
                </c:pt>
                <c:pt idx="76">
                  <c:v>42.35</c:v>
                </c:pt>
                <c:pt idx="77">
                  <c:v>43.05</c:v>
                </c:pt>
                <c:pt idx="78">
                  <c:v>43.55</c:v>
                </c:pt>
                <c:pt idx="79">
                  <c:v>44.05</c:v>
                </c:pt>
                <c:pt idx="80">
                  <c:v>44.55</c:v>
                </c:pt>
                <c:pt idx="81">
                  <c:v>45.05</c:v>
                </c:pt>
                <c:pt idx="82">
                  <c:v>45.55</c:v>
                </c:pt>
                <c:pt idx="83">
                  <c:v>46.05</c:v>
                </c:pt>
                <c:pt idx="84">
                  <c:v>46.55</c:v>
                </c:pt>
                <c:pt idx="85">
                  <c:v>47.05</c:v>
                </c:pt>
                <c:pt idx="86">
                  <c:v>47.55</c:v>
                </c:pt>
                <c:pt idx="87">
                  <c:v>48.05</c:v>
                </c:pt>
                <c:pt idx="88">
                  <c:v>48.55</c:v>
                </c:pt>
                <c:pt idx="89">
                  <c:v>49.05</c:v>
                </c:pt>
                <c:pt idx="90">
                  <c:v>49.6</c:v>
                </c:pt>
                <c:pt idx="91">
                  <c:v>50.15</c:v>
                </c:pt>
                <c:pt idx="92">
                  <c:v>50.85</c:v>
                </c:pt>
                <c:pt idx="93">
                  <c:v>51.85</c:v>
                </c:pt>
                <c:pt idx="94">
                  <c:v>52.35</c:v>
                </c:pt>
                <c:pt idx="95">
                  <c:v>52.85</c:v>
                </c:pt>
                <c:pt idx="96">
                  <c:v>53.35</c:v>
                </c:pt>
                <c:pt idx="97">
                  <c:v>53.85</c:v>
                </c:pt>
                <c:pt idx="98">
                  <c:v>54.35</c:v>
                </c:pt>
                <c:pt idx="99">
                  <c:v>54.85</c:v>
                </c:pt>
                <c:pt idx="100">
                  <c:v>55.35</c:v>
                </c:pt>
                <c:pt idx="101">
                  <c:v>55.85</c:v>
                </c:pt>
                <c:pt idx="102">
                  <c:v>56.35</c:v>
                </c:pt>
                <c:pt idx="103">
                  <c:v>56.85</c:v>
                </c:pt>
                <c:pt idx="104">
                  <c:v>57.35</c:v>
                </c:pt>
                <c:pt idx="105">
                  <c:v>57.85</c:v>
                </c:pt>
                <c:pt idx="106">
                  <c:v>58.35</c:v>
                </c:pt>
                <c:pt idx="107">
                  <c:v>58.9</c:v>
                </c:pt>
                <c:pt idx="108">
                  <c:v>59.5</c:v>
                </c:pt>
                <c:pt idx="10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6B-4C1D-831F-E120606CCE1A}"/>
            </c:ext>
          </c:extLst>
        </c:ser>
        <c:ser>
          <c:idx val="0"/>
          <c:order val="2"/>
          <c:tx>
            <c:v>Logging PNM</c:v>
          </c:tx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Logging Brejo Seco'!$V$3:$V$112</c:f>
              <c:numCache>
                <c:formatCode>0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100</c:v>
                </c:pt>
                <c:pt idx="8">
                  <c:v>0</c:v>
                </c:pt>
                <c:pt idx="9">
                  <c:v>60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22</c:v>
                </c:pt>
                <c:pt idx="14">
                  <c:v>42.000000000000007</c:v>
                </c:pt>
                <c:pt idx="15">
                  <c:v>56.000000000000007</c:v>
                </c:pt>
                <c:pt idx="16">
                  <c:v>62</c:v>
                </c:pt>
                <c:pt idx="17">
                  <c:v>32</c:v>
                </c:pt>
                <c:pt idx="18">
                  <c:v>42</c:v>
                </c:pt>
                <c:pt idx="19">
                  <c:v>50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32</c:v>
                </c:pt>
                <c:pt idx="24">
                  <c:v>38</c:v>
                </c:pt>
                <c:pt idx="25">
                  <c:v>22</c:v>
                </c:pt>
                <c:pt idx="26">
                  <c:v>24</c:v>
                </c:pt>
                <c:pt idx="27">
                  <c:v>28.000000000000004</c:v>
                </c:pt>
                <c:pt idx="28">
                  <c:v>44</c:v>
                </c:pt>
                <c:pt idx="29">
                  <c:v>40</c:v>
                </c:pt>
                <c:pt idx="30">
                  <c:v>0</c:v>
                </c:pt>
                <c:pt idx="31">
                  <c:v>54</c:v>
                </c:pt>
                <c:pt idx="32">
                  <c:v>24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</c:v>
                </c:pt>
                <c:pt idx="41">
                  <c:v>0</c:v>
                </c:pt>
                <c:pt idx="42">
                  <c:v>0</c:v>
                </c:pt>
                <c:pt idx="43">
                  <c:v>52</c:v>
                </c:pt>
                <c:pt idx="44">
                  <c:v>36</c:v>
                </c:pt>
                <c:pt idx="45">
                  <c:v>100</c:v>
                </c:pt>
                <c:pt idx="46">
                  <c:v>62</c:v>
                </c:pt>
                <c:pt idx="47">
                  <c:v>94.736842105263278</c:v>
                </c:pt>
                <c:pt idx="48">
                  <c:v>34</c:v>
                </c:pt>
                <c:pt idx="49">
                  <c:v>32</c:v>
                </c:pt>
                <c:pt idx="50">
                  <c:v>22</c:v>
                </c:pt>
                <c:pt idx="51">
                  <c:v>85.714285714285367</c:v>
                </c:pt>
                <c:pt idx="52">
                  <c:v>91.48936170212788</c:v>
                </c:pt>
                <c:pt idx="53">
                  <c:v>52.427184466019362</c:v>
                </c:pt>
                <c:pt idx="54">
                  <c:v>80</c:v>
                </c:pt>
                <c:pt idx="55">
                  <c:v>82.432432432432606</c:v>
                </c:pt>
                <c:pt idx="56">
                  <c:v>74.999999999999929</c:v>
                </c:pt>
                <c:pt idx="57">
                  <c:v>40</c:v>
                </c:pt>
                <c:pt idx="58">
                  <c:v>30</c:v>
                </c:pt>
                <c:pt idx="59">
                  <c:v>26.666666666666668</c:v>
                </c:pt>
                <c:pt idx="60">
                  <c:v>92.857142857142478</c:v>
                </c:pt>
                <c:pt idx="61">
                  <c:v>64</c:v>
                </c:pt>
                <c:pt idx="62">
                  <c:v>40</c:v>
                </c:pt>
                <c:pt idx="63">
                  <c:v>0</c:v>
                </c:pt>
                <c:pt idx="64">
                  <c:v>57.999999999999993</c:v>
                </c:pt>
                <c:pt idx="65">
                  <c:v>36</c:v>
                </c:pt>
                <c:pt idx="66">
                  <c:v>0</c:v>
                </c:pt>
                <c:pt idx="67">
                  <c:v>32.85714285714306</c:v>
                </c:pt>
                <c:pt idx="68">
                  <c:v>49.999999999999879</c:v>
                </c:pt>
                <c:pt idx="69">
                  <c:v>22</c:v>
                </c:pt>
                <c:pt idx="70">
                  <c:v>0</c:v>
                </c:pt>
                <c:pt idx="71">
                  <c:v>39.999999999999901</c:v>
                </c:pt>
                <c:pt idx="72">
                  <c:v>56.000000000000007</c:v>
                </c:pt>
                <c:pt idx="73">
                  <c:v>0</c:v>
                </c:pt>
                <c:pt idx="74">
                  <c:v>47.500000000000171</c:v>
                </c:pt>
                <c:pt idx="75">
                  <c:v>31.666666666666593</c:v>
                </c:pt>
                <c:pt idx="76">
                  <c:v>30</c:v>
                </c:pt>
                <c:pt idx="77">
                  <c:v>21.428571428571558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36</c:v>
                </c:pt>
                <c:pt idx="87">
                  <c:v>28.000000000000004</c:v>
                </c:pt>
                <c:pt idx="88">
                  <c:v>24</c:v>
                </c:pt>
                <c:pt idx="89">
                  <c:v>0</c:v>
                </c:pt>
                <c:pt idx="90">
                  <c:v>34.545454545454277</c:v>
                </c:pt>
                <c:pt idx="91">
                  <c:v>0</c:v>
                </c:pt>
                <c:pt idx="92">
                  <c:v>35.714285714285573</c:v>
                </c:pt>
                <c:pt idx="93">
                  <c:v>81</c:v>
                </c:pt>
                <c:pt idx="94">
                  <c:v>28.000000000000004</c:v>
                </c:pt>
                <c:pt idx="95">
                  <c:v>0</c:v>
                </c:pt>
                <c:pt idx="96">
                  <c:v>0</c:v>
                </c:pt>
                <c:pt idx="97">
                  <c:v>54</c:v>
                </c:pt>
                <c:pt idx="98">
                  <c:v>20</c:v>
                </c:pt>
                <c:pt idx="99">
                  <c:v>32</c:v>
                </c:pt>
                <c:pt idx="100">
                  <c:v>32</c:v>
                </c:pt>
                <c:pt idx="101">
                  <c:v>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80</c:v>
                </c:pt>
                <c:pt idx="107">
                  <c:v>54.545454545454831</c:v>
                </c:pt>
                <c:pt idx="108">
                  <c:v>69.999999999999829</c:v>
                </c:pt>
                <c:pt idx="109">
                  <c:v>32</c:v>
                </c:pt>
              </c:numCache>
            </c:numRef>
          </c:xVal>
          <c:yVal>
            <c:numRef>
              <c:f>'2. Logging Brejo Seco'!$L$3:$L$112</c:f>
              <c:numCache>
                <c:formatCode>0.00</c:formatCode>
                <c:ptCount val="1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24.83</c:v>
                </c:pt>
                <c:pt idx="48">
                  <c:v>25.33</c:v>
                </c:pt>
                <c:pt idx="49">
                  <c:v>25.83</c:v>
                </c:pt>
                <c:pt idx="50">
                  <c:v>26.33</c:v>
                </c:pt>
                <c:pt idx="51">
                  <c:v>27.03</c:v>
                </c:pt>
                <c:pt idx="52">
                  <c:v>27.97</c:v>
                </c:pt>
                <c:pt idx="53">
                  <c:v>29</c:v>
                </c:pt>
                <c:pt idx="54">
                  <c:v>29.5</c:v>
                </c:pt>
                <c:pt idx="55">
                  <c:v>30.24</c:v>
                </c:pt>
                <c:pt idx="56">
                  <c:v>31.04</c:v>
                </c:pt>
                <c:pt idx="57">
                  <c:v>32.04</c:v>
                </c:pt>
                <c:pt idx="58">
                  <c:v>32.54</c:v>
                </c:pt>
                <c:pt idx="59">
                  <c:v>33.29</c:v>
                </c:pt>
                <c:pt idx="60">
                  <c:v>33.85</c:v>
                </c:pt>
                <c:pt idx="61">
                  <c:v>34.35</c:v>
                </c:pt>
                <c:pt idx="62">
                  <c:v>34.85</c:v>
                </c:pt>
                <c:pt idx="63">
                  <c:v>35.35</c:v>
                </c:pt>
                <c:pt idx="64">
                  <c:v>35.85</c:v>
                </c:pt>
                <c:pt idx="65">
                  <c:v>36.35</c:v>
                </c:pt>
                <c:pt idx="66">
                  <c:v>36.85</c:v>
                </c:pt>
                <c:pt idx="67">
                  <c:v>37.549999999999997</c:v>
                </c:pt>
                <c:pt idx="68">
                  <c:v>38.15</c:v>
                </c:pt>
                <c:pt idx="69">
                  <c:v>38.65</c:v>
                </c:pt>
                <c:pt idx="70">
                  <c:v>39.15</c:v>
                </c:pt>
                <c:pt idx="71">
                  <c:v>39.75</c:v>
                </c:pt>
                <c:pt idx="72">
                  <c:v>40</c:v>
                </c:pt>
                <c:pt idx="73">
                  <c:v>40.450000000000003</c:v>
                </c:pt>
                <c:pt idx="74">
                  <c:v>41.25</c:v>
                </c:pt>
                <c:pt idx="75">
                  <c:v>41.85</c:v>
                </c:pt>
                <c:pt idx="76">
                  <c:v>42.35</c:v>
                </c:pt>
                <c:pt idx="77">
                  <c:v>43.05</c:v>
                </c:pt>
                <c:pt idx="78">
                  <c:v>43.55</c:v>
                </c:pt>
                <c:pt idx="79">
                  <c:v>44.05</c:v>
                </c:pt>
                <c:pt idx="80">
                  <c:v>44.55</c:v>
                </c:pt>
                <c:pt idx="81">
                  <c:v>45.05</c:v>
                </c:pt>
                <c:pt idx="82">
                  <c:v>45.55</c:v>
                </c:pt>
                <c:pt idx="83">
                  <c:v>46.05</c:v>
                </c:pt>
                <c:pt idx="84">
                  <c:v>46.55</c:v>
                </c:pt>
                <c:pt idx="85">
                  <c:v>47.05</c:v>
                </c:pt>
                <c:pt idx="86">
                  <c:v>47.55</c:v>
                </c:pt>
                <c:pt idx="87">
                  <c:v>48.05</c:v>
                </c:pt>
                <c:pt idx="88">
                  <c:v>48.55</c:v>
                </c:pt>
                <c:pt idx="89">
                  <c:v>49.05</c:v>
                </c:pt>
                <c:pt idx="90">
                  <c:v>49.6</c:v>
                </c:pt>
                <c:pt idx="91">
                  <c:v>50.15</c:v>
                </c:pt>
                <c:pt idx="92">
                  <c:v>50.85</c:v>
                </c:pt>
                <c:pt idx="93">
                  <c:v>51.85</c:v>
                </c:pt>
                <c:pt idx="94">
                  <c:v>52.35</c:v>
                </c:pt>
                <c:pt idx="95">
                  <c:v>52.85</c:v>
                </c:pt>
                <c:pt idx="96">
                  <c:v>53.35</c:v>
                </c:pt>
                <c:pt idx="97">
                  <c:v>53.85</c:v>
                </c:pt>
                <c:pt idx="98">
                  <c:v>54.35</c:v>
                </c:pt>
                <c:pt idx="99">
                  <c:v>54.85</c:v>
                </c:pt>
                <c:pt idx="100">
                  <c:v>55.35</c:v>
                </c:pt>
                <c:pt idx="101">
                  <c:v>55.85</c:v>
                </c:pt>
                <c:pt idx="102">
                  <c:v>56.35</c:v>
                </c:pt>
                <c:pt idx="103">
                  <c:v>56.85</c:v>
                </c:pt>
                <c:pt idx="104">
                  <c:v>57.35</c:v>
                </c:pt>
                <c:pt idx="105">
                  <c:v>57.85</c:v>
                </c:pt>
                <c:pt idx="106">
                  <c:v>58.35</c:v>
                </c:pt>
                <c:pt idx="107">
                  <c:v>58.9</c:v>
                </c:pt>
                <c:pt idx="108">
                  <c:v>59.5</c:v>
                </c:pt>
                <c:pt idx="10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6B-4C1D-831F-E120606CCE1A}"/>
            </c:ext>
          </c:extLst>
        </c:ser>
        <c:ser>
          <c:idx val="1"/>
          <c:order val="3"/>
          <c:tx>
            <c:v>Logging GEOMINAS</c:v>
          </c:tx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Logging Brejo Seco'!$AA$3:$AA$112</c:f>
              <c:numCache>
                <c:formatCode>General</c:formatCode>
                <c:ptCount val="110"/>
                <c:pt idx="0">
                  <c:v>58</c:v>
                </c:pt>
                <c:pt idx="1">
                  <c:v>24</c:v>
                </c:pt>
                <c:pt idx="2">
                  <c:v>42</c:v>
                </c:pt>
                <c:pt idx="3">
                  <c:v>58</c:v>
                </c:pt>
                <c:pt idx="4">
                  <c:v>0</c:v>
                </c:pt>
                <c:pt idx="5">
                  <c:v>50</c:v>
                </c:pt>
                <c:pt idx="6">
                  <c:v>64</c:v>
                </c:pt>
                <c:pt idx="7">
                  <c:v>22</c:v>
                </c:pt>
                <c:pt idx="8">
                  <c:v>0</c:v>
                </c:pt>
                <c:pt idx="9">
                  <c:v>64</c:v>
                </c:pt>
                <c:pt idx="10">
                  <c:v>32</c:v>
                </c:pt>
                <c:pt idx="11">
                  <c:v>38</c:v>
                </c:pt>
                <c:pt idx="12">
                  <c:v>0</c:v>
                </c:pt>
                <c:pt idx="13">
                  <c:v>24</c:v>
                </c:pt>
                <c:pt idx="14">
                  <c:v>50</c:v>
                </c:pt>
                <c:pt idx="15">
                  <c:v>68</c:v>
                </c:pt>
                <c:pt idx="16">
                  <c:v>86</c:v>
                </c:pt>
                <c:pt idx="17">
                  <c:v>34</c:v>
                </c:pt>
                <c:pt idx="18">
                  <c:v>46</c:v>
                </c:pt>
                <c:pt idx="19">
                  <c:v>42</c:v>
                </c:pt>
                <c:pt idx="20">
                  <c:v>26</c:v>
                </c:pt>
                <c:pt idx="21">
                  <c:v>0</c:v>
                </c:pt>
                <c:pt idx="22">
                  <c:v>0</c:v>
                </c:pt>
                <c:pt idx="23">
                  <c:v>34</c:v>
                </c:pt>
                <c:pt idx="24">
                  <c:v>26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26</c:v>
                </c:pt>
                <c:pt idx="41">
                  <c:v>0</c:v>
                </c:pt>
                <c:pt idx="42">
                  <c:v>0</c:v>
                </c:pt>
                <c:pt idx="43">
                  <c:v>44</c:v>
                </c:pt>
                <c:pt idx="44">
                  <c:v>42</c:v>
                </c:pt>
                <c:pt idx="45">
                  <c:v>97</c:v>
                </c:pt>
                <c:pt idx="46">
                  <c:v>100</c:v>
                </c:pt>
                <c:pt idx="47">
                  <c:v>11</c:v>
                </c:pt>
                <c:pt idx="48">
                  <c:v>42</c:v>
                </c:pt>
                <c:pt idx="49">
                  <c:v>30</c:v>
                </c:pt>
                <c:pt idx="50">
                  <c:v>70</c:v>
                </c:pt>
                <c:pt idx="51">
                  <c:v>94</c:v>
                </c:pt>
                <c:pt idx="52">
                  <c:v>85</c:v>
                </c:pt>
                <c:pt idx="53">
                  <c:v>34</c:v>
                </c:pt>
                <c:pt idx="54">
                  <c:v>80</c:v>
                </c:pt>
                <c:pt idx="55">
                  <c:v>86</c:v>
                </c:pt>
                <c:pt idx="56">
                  <c:v>13</c:v>
                </c:pt>
                <c:pt idx="57">
                  <c:v>21</c:v>
                </c:pt>
                <c:pt idx="58">
                  <c:v>30</c:v>
                </c:pt>
                <c:pt idx="59">
                  <c:v>75</c:v>
                </c:pt>
                <c:pt idx="60">
                  <c:v>54</c:v>
                </c:pt>
                <c:pt idx="61">
                  <c:v>40</c:v>
                </c:pt>
                <c:pt idx="62">
                  <c:v>0</c:v>
                </c:pt>
                <c:pt idx="63">
                  <c:v>0</c:v>
                </c:pt>
                <c:pt idx="64">
                  <c:v>40</c:v>
                </c:pt>
                <c:pt idx="65">
                  <c:v>0</c:v>
                </c:pt>
                <c:pt idx="66">
                  <c:v>46</c:v>
                </c:pt>
                <c:pt idx="67">
                  <c:v>52</c:v>
                </c:pt>
                <c:pt idx="68">
                  <c:v>0</c:v>
                </c:pt>
                <c:pt idx="69">
                  <c:v>0</c:v>
                </c:pt>
                <c:pt idx="70">
                  <c:v>54</c:v>
                </c:pt>
                <c:pt idx="71">
                  <c:v>33</c:v>
                </c:pt>
                <c:pt idx="72">
                  <c:v>52</c:v>
                </c:pt>
                <c:pt idx="73">
                  <c:v>52</c:v>
                </c:pt>
                <c:pt idx="74">
                  <c:v>20</c:v>
                </c:pt>
                <c:pt idx="75">
                  <c:v>32</c:v>
                </c:pt>
                <c:pt idx="76">
                  <c:v>28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36</c:v>
                </c:pt>
                <c:pt idx="93">
                  <c:v>100</c:v>
                </c:pt>
                <c:pt idx="94">
                  <c:v>30</c:v>
                </c:pt>
                <c:pt idx="95">
                  <c:v>0</c:v>
                </c:pt>
                <c:pt idx="96">
                  <c:v>0</c:v>
                </c:pt>
                <c:pt idx="97">
                  <c:v>60</c:v>
                </c:pt>
                <c:pt idx="98">
                  <c:v>20</c:v>
                </c:pt>
                <c:pt idx="99">
                  <c:v>50</c:v>
                </c:pt>
                <c:pt idx="100">
                  <c:v>38</c:v>
                </c:pt>
                <c:pt idx="101">
                  <c:v>20</c:v>
                </c:pt>
                <c:pt idx="102">
                  <c:v>0</c:v>
                </c:pt>
                <c:pt idx="103">
                  <c:v>20</c:v>
                </c:pt>
                <c:pt idx="104">
                  <c:v>0</c:v>
                </c:pt>
                <c:pt idx="105">
                  <c:v>0</c:v>
                </c:pt>
                <c:pt idx="106">
                  <c:v>100</c:v>
                </c:pt>
                <c:pt idx="107">
                  <c:v>45</c:v>
                </c:pt>
                <c:pt idx="108">
                  <c:v>83</c:v>
                </c:pt>
                <c:pt idx="109">
                  <c:v>30</c:v>
                </c:pt>
              </c:numCache>
            </c:numRef>
          </c:xVal>
          <c:yVal>
            <c:numRef>
              <c:f>'2. Logging Brejo Seco'!$L$3:$L$112</c:f>
              <c:numCache>
                <c:formatCode>0.00</c:formatCode>
                <c:ptCount val="1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24.83</c:v>
                </c:pt>
                <c:pt idx="48">
                  <c:v>25.33</c:v>
                </c:pt>
                <c:pt idx="49">
                  <c:v>25.83</c:v>
                </c:pt>
                <c:pt idx="50">
                  <c:v>26.33</c:v>
                </c:pt>
                <c:pt idx="51">
                  <c:v>27.03</c:v>
                </c:pt>
                <c:pt idx="52">
                  <c:v>27.97</c:v>
                </c:pt>
                <c:pt idx="53">
                  <c:v>29</c:v>
                </c:pt>
                <c:pt idx="54">
                  <c:v>29.5</c:v>
                </c:pt>
                <c:pt idx="55">
                  <c:v>30.24</c:v>
                </c:pt>
                <c:pt idx="56">
                  <c:v>31.04</c:v>
                </c:pt>
                <c:pt idx="57">
                  <c:v>32.04</c:v>
                </c:pt>
                <c:pt idx="58">
                  <c:v>32.54</c:v>
                </c:pt>
                <c:pt idx="59">
                  <c:v>33.29</c:v>
                </c:pt>
                <c:pt idx="60">
                  <c:v>33.85</c:v>
                </c:pt>
                <c:pt idx="61">
                  <c:v>34.35</c:v>
                </c:pt>
                <c:pt idx="62">
                  <c:v>34.85</c:v>
                </c:pt>
                <c:pt idx="63">
                  <c:v>35.35</c:v>
                </c:pt>
                <c:pt idx="64">
                  <c:v>35.85</c:v>
                </c:pt>
                <c:pt idx="65">
                  <c:v>36.35</c:v>
                </c:pt>
                <c:pt idx="66">
                  <c:v>36.85</c:v>
                </c:pt>
                <c:pt idx="67">
                  <c:v>37.549999999999997</c:v>
                </c:pt>
                <c:pt idx="68">
                  <c:v>38.15</c:v>
                </c:pt>
                <c:pt idx="69">
                  <c:v>38.65</c:v>
                </c:pt>
                <c:pt idx="70">
                  <c:v>39.15</c:v>
                </c:pt>
                <c:pt idx="71">
                  <c:v>39.75</c:v>
                </c:pt>
                <c:pt idx="72">
                  <c:v>40</c:v>
                </c:pt>
                <c:pt idx="73">
                  <c:v>40.450000000000003</c:v>
                </c:pt>
                <c:pt idx="74">
                  <c:v>41.25</c:v>
                </c:pt>
                <c:pt idx="75">
                  <c:v>41.85</c:v>
                </c:pt>
                <c:pt idx="76">
                  <c:v>42.35</c:v>
                </c:pt>
                <c:pt idx="77">
                  <c:v>43.05</c:v>
                </c:pt>
                <c:pt idx="78">
                  <c:v>43.55</c:v>
                </c:pt>
                <c:pt idx="79">
                  <c:v>44.05</c:v>
                </c:pt>
                <c:pt idx="80">
                  <c:v>44.55</c:v>
                </c:pt>
                <c:pt idx="81">
                  <c:v>45.05</c:v>
                </c:pt>
                <c:pt idx="82">
                  <c:v>45.55</c:v>
                </c:pt>
                <c:pt idx="83">
                  <c:v>46.05</c:v>
                </c:pt>
                <c:pt idx="84">
                  <c:v>46.55</c:v>
                </c:pt>
                <c:pt idx="85">
                  <c:v>47.05</c:v>
                </c:pt>
                <c:pt idx="86">
                  <c:v>47.55</c:v>
                </c:pt>
                <c:pt idx="87">
                  <c:v>48.05</c:v>
                </c:pt>
                <c:pt idx="88">
                  <c:v>48.55</c:v>
                </c:pt>
                <c:pt idx="89">
                  <c:v>49.05</c:v>
                </c:pt>
                <c:pt idx="90">
                  <c:v>49.6</c:v>
                </c:pt>
                <c:pt idx="91">
                  <c:v>50.15</c:v>
                </c:pt>
                <c:pt idx="92">
                  <c:v>50.85</c:v>
                </c:pt>
                <c:pt idx="93">
                  <c:v>51.85</c:v>
                </c:pt>
                <c:pt idx="94">
                  <c:v>52.35</c:v>
                </c:pt>
                <c:pt idx="95">
                  <c:v>52.85</c:v>
                </c:pt>
                <c:pt idx="96">
                  <c:v>53.35</c:v>
                </c:pt>
                <c:pt idx="97">
                  <c:v>53.85</c:v>
                </c:pt>
                <c:pt idx="98">
                  <c:v>54.35</c:v>
                </c:pt>
                <c:pt idx="99">
                  <c:v>54.85</c:v>
                </c:pt>
                <c:pt idx="100">
                  <c:v>55.35</c:v>
                </c:pt>
                <c:pt idx="101">
                  <c:v>55.85</c:v>
                </c:pt>
                <c:pt idx="102">
                  <c:v>56.35</c:v>
                </c:pt>
                <c:pt idx="103">
                  <c:v>56.85</c:v>
                </c:pt>
                <c:pt idx="104">
                  <c:v>57.35</c:v>
                </c:pt>
                <c:pt idx="105">
                  <c:v>57.85</c:v>
                </c:pt>
                <c:pt idx="106">
                  <c:v>58.35</c:v>
                </c:pt>
                <c:pt idx="107">
                  <c:v>58.9</c:v>
                </c:pt>
                <c:pt idx="108">
                  <c:v>59.5</c:v>
                </c:pt>
                <c:pt idx="10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6B-4C1D-831F-E120606CC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144160"/>
        <c:axId val="288978896"/>
      </c:scatterChart>
      <c:valAx>
        <c:axId val="1107144160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RQD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978896"/>
        <c:crosses val="autoZero"/>
        <c:crossBetween val="midCat"/>
      </c:valAx>
      <c:valAx>
        <c:axId val="288978896"/>
        <c:scaling>
          <c:orientation val="maxMin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Lenght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7144160"/>
        <c:crosses val="autoZero"/>
        <c:crossBetween val="midCat"/>
        <c:majorUnit val="2"/>
        <c:minorUnit val="0.5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Geotech-02</a:t>
            </a:r>
          </a:p>
        </c:rich>
      </c:tx>
      <c:layout>
        <c:manualLayout>
          <c:xMode val="edge"/>
          <c:yMode val="edge"/>
          <c:x val="0.38278729525039629"/>
          <c:y val="2.8831710283641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904084728889641"/>
          <c:h val="0.72114905972183252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46B-4152-896B-3365CFEC95E8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46B-4152-896B-3365CFEC95E8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46B-4152-896B-3365CFEC95E8}"/>
            </c:ext>
          </c:extLst>
        </c:ser>
        <c:ser>
          <c:idx val="3"/>
          <c:order val="3"/>
          <c:marker>
            <c:symbol val="none"/>
          </c:marker>
          <c:xVal>
            <c:numRef>
              <c:f>'2. Logging Brejo Seco'!$Z$113:$Z$232</c:f>
              <c:numCache>
                <c:formatCode>0.00</c:formatCode>
                <c:ptCount val="120"/>
                <c:pt idx="0">
                  <c:v>25</c:v>
                </c:pt>
                <c:pt idx="1">
                  <c:v>37</c:v>
                </c:pt>
                <c:pt idx="2">
                  <c:v>37</c:v>
                </c:pt>
                <c:pt idx="3">
                  <c:v>26</c:v>
                </c:pt>
                <c:pt idx="4">
                  <c:v>26</c:v>
                </c:pt>
                <c:pt idx="5">
                  <c:v>24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24</c:v>
                </c:pt>
                <c:pt idx="10">
                  <c:v>15</c:v>
                </c:pt>
                <c:pt idx="11">
                  <c:v>38</c:v>
                </c:pt>
                <c:pt idx="12">
                  <c:v>20</c:v>
                </c:pt>
                <c:pt idx="13">
                  <c:v>24</c:v>
                </c:pt>
                <c:pt idx="14">
                  <c:v>56.666666666666664</c:v>
                </c:pt>
                <c:pt idx="15">
                  <c:v>70</c:v>
                </c:pt>
                <c:pt idx="16">
                  <c:v>76.666666666666671</c:v>
                </c:pt>
                <c:pt idx="17">
                  <c:v>26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135</c:v>
                </c:pt>
                <c:pt idx="22">
                  <c:v>60</c:v>
                </c:pt>
                <c:pt idx="23">
                  <c:v>43.333333333333336</c:v>
                </c:pt>
                <c:pt idx="24">
                  <c:v>102.5</c:v>
                </c:pt>
                <c:pt idx="25">
                  <c:v>215</c:v>
                </c:pt>
                <c:pt idx="26">
                  <c:v>70</c:v>
                </c:pt>
                <c:pt idx="27">
                  <c:v>73.333333333333329</c:v>
                </c:pt>
                <c:pt idx="28">
                  <c:v>100</c:v>
                </c:pt>
                <c:pt idx="29">
                  <c:v>70</c:v>
                </c:pt>
                <c:pt idx="30">
                  <c:v>53.333333333333336</c:v>
                </c:pt>
                <c:pt idx="31">
                  <c:v>32</c:v>
                </c:pt>
                <c:pt idx="32">
                  <c:v>35</c:v>
                </c:pt>
                <c:pt idx="33">
                  <c:v>28</c:v>
                </c:pt>
                <c:pt idx="34">
                  <c:v>36.666666666666664</c:v>
                </c:pt>
                <c:pt idx="35">
                  <c:v>22</c:v>
                </c:pt>
                <c:pt idx="36">
                  <c:v>10</c:v>
                </c:pt>
                <c:pt idx="37">
                  <c:v>10</c:v>
                </c:pt>
                <c:pt idx="38">
                  <c:v>36</c:v>
                </c:pt>
                <c:pt idx="39">
                  <c:v>51.666666666666664</c:v>
                </c:pt>
                <c:pt idx="40">
                  <c:v>60</c:v>
                </c:pt>
                <c:pt idx="41">
                  <c:v>36.666666666666664</c:v>
                </c:pt>
                <c:pt idx="42">
                  <c:v>46</c:v>
                </c:pt>
                <c:pt idx="43">
                  <c:v>34</c:v>
                </c:pt>
                <c:pt idx="44">
                  <c:v>30</c:v>
                </c:pt>
                <c:pt idx="45">
                  <c:v>19</c:v>
                </c:pt>
                <c:pt idx="46">
                  <c:v>24</c:v>
                </c:pt>
                <c:pt idx="47">
                  <c:v>19</c:v>
                </c:pt>
                <c:pt idx="49">
                  <c:v>20</c:v>
                </c:pt>
                <c:pt idx="50">
                  <c:v>23</c:v>
                </c:pt>
                <c:pt idx="51">
                  <c:v>25</c:v>
                </c:pt>
                <c:pt idx="52">
                  <c:v>28</c:v>
                </c:pt>
                <c:pt idx="53">
                  <c:v>24</c:v>
                </c:pt>
                <c:pt idx="54">
                  <c:v>42</c:v>
                </c:pt>
                <c:pt idx="55">
                  <c:v>20</c:v>
                </c:pt>
                <c:pt idx="57">
                  <c:v>13</c:v>
                </c:pt>
                <c:pt idx="58">
                  <c:v>17</c:v>
                </c:pt>
                <c:pt idx="59">
                  <c:v>16</c:v>
                </c:pt>
                <c:pt idx="60">
                  <c:v>14</c:v>
                </c:pt>
                <c:pt idx="61">
                  <c:v>17</c:v>
                </c:pt>
                <c:pt idx="62">
                  <c:v>23</c:v>
                </c:pt>
                <c:pt idx="63">
                  <c:v>20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16.363636363636363</c:v>
                </c:pt>
                <c:pt idx="68">
                  <c:v>10.909090909090908</c:v>
                </c:pt>
                <c:pt idx="70">
                  <c:v>24</c:v>
                </c:pt>
                <c:pt idx="72">
                  <c:v>24</c:v>
                </c:pt>
                <c:pt idx="73">
                  <c:v>11</c:v>
                </c:pt>
                <c:pt idx="74">
                  <c:v>12</c:v>
                </c:pt>
                <c:pt idx="75">
                  <c:v>86.666666666666671</c:v>
                </c:pt>
                <c:pt idx="76">
                  <c:v>26</c:v>
                </c:pt>
                <c:pt idx="77">
                  <c:v>10.666666666666666</c:v>
                </c:pt>
                <c:pt idx="78">
                  <c:v>12</c:v>
                </c:pt>
                <c:pt idx="79">
                  <c:v>45.714285714285715</c:v>
                </c:pt>
                <c:pt idx="80">
                  <c:v>20</c:v>
                </c:pt>
                <c:pt idx="81">
                  <c:v>32</c:v>
                </c:pt>
                <c:pt idx="82">
                  <c:v>44</c:v>
                </c:pt>
                <c:pt idx="83">
                  <c:v>12</c:v>
                </c:pt>
                <c:pt idx="84">
                  <c:v>15</c:v>
                </c:pt>
                <c:pt idx="85">
                  <c:v>18.571428571428573</c:v>
                </c:pt>
                <c:pt idx="86">
                  <c:v>33.333333333333336</c:v>
                </c:pt>
                <c:pt idx="87">
                  <c:v>21.428571428571427</c:v>
                </c:pt>
                <c:pt idx="88">
                  <c:v>40</c:v>
                </c:pt>
                <c:pt idx="89">
                  <c:v>30</c:v>
                </c:pt>
                <c:pt idx="90">
                  <c:v>34</c:v>
                </c:pt>
                <c:pt idx="91">
                  <c:v>28</c:v>
                </c:pt>
                <c:pt idx="92">
                  <c:v>22</c:v>
                </c:pt>
                <c:pt idx="93">
                  <c:v>20</c:v>
                </c:pt>
                <c:pt idx="94">
                  <c:v>22</c:v>
                </c:pt>
                <c:pt idx="95">
                  <c:v>46.666666666666664</c:v>
                </c:pt>
                <c:pt idx="96">
                  <c:v>63.333333333333336</c:v>
                </c:pt>
                <c:pt idx="97">
                  <c:v>24</c:v>
                </c:pt>
                <c:pt idx="98">
                  <c:v>20</c:v>
                </c:pt>
                <c:pt idx="99">
                  <c:v>32</c:v>
                </c:pt>
                <c:pt idx="100">
                  <c:v>24</c:v>
                </c:pt>
                <c:pt idx="101">
                  <c:v>51.666666666666664</c:v>
                </c:pt>
                <c:pt idx="102">
                  <c:v>33</c:v>
                </c:pt>
                <c:pt idx="103">
                  <c:v>94</c:v>
                </c:pt>
                <c:pt idx="104">
                  <c:v>46.25</c:v>
                </c:pt>
                <c:pt idx="105">
                  <c:v>44</c:v>
                </c:pt>
                <c:pt idx="106">
                  <c:v>43.333333333333336</c:v>
                </c:pt>
                <c:pt idx="107">
                  <c:v>67.5</c:v>
                </c:pt>
                <c:pt idx="108">
                  <c:v>100</c:v>
                </c:pt>
                <c:pt idx="109">
                  <c:v>71.428571428571431</c:v>
                </c:pt>
                <c:pt idx="110">
                  <c:v>84</c:v>
                </c:pt>
                <c:pt idx="111">
                  <c:v>35.714285714285715</c:v>
                </c:pt>
                <c:pt idx="112">
                  <c:v>42</c:v>
                </c:pt>
                <c:pt idx="113">
                  <c:v>36</c:v>
                </c:pt>
                <c:pt idx="114">
                  <c:v>34</c:v>
                </c:pt>
                <c:pt idx="115">
                  <c:v>40</c:v>
                </c:pt>
                <c:pt idx="116">
                  <c:v>66.666666666666671</c:v>
                </c:pt>
                <c:pt idx="117">
                  <c:v>50</c:v>
                </c:pt>
                <c:pt idx="118">
                  <c:v>44</c:v>
                </c:pt>
                <c:pt idx="119">
                  <c:v>37.142857142857146</c:v>
                </c:pt>
              </c:numCache>
            </c:numRef>
          </c:xVal>
          <c:yVal>
            <c:numRef>
              <c:f>'2. Logging Brejo Seco'!$V$113:$V$232</c:f>
              <c:numCache>
                <c:formatCode>0.00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38</c:v>
                </c:pt>
                <c:pt idx="12">
                  <c:v>0</c:v>
                </c:pt>
                <c:pt idx="13">
                  <c:v>0</c:v>
                </c:pt>
                <c:pt idx="14">
                  <c:v>24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24</c:v>
                </c:pt>
                <c:pt idx="21">
                  <c:v>54</c:v>
                </c:pt>
                <c:pt idx="22">
                  <c:v>0</c:v>
                </c:pt>
                <c:pt idx="23">
                  <c:v>0</c:v>
                </c:pt>
                <c:pt idx="24">
                  <c:v>46</c:v>
                </c:pt>
                <c:pt idx="25">
                  <c:v>68</c:v>
                </c:pt>
                <c:pt idx="26">
                  <c:v>24</c:v>
                </c:pt>
                <c:pt idx="27">
                  <c:v>0</c:v>
                </c:pt>
                <c:pt idx="28">
                  <c:v>20</c:v>
                </c:pt>
                <c:pt idx="29">
                  <c:v>0</c:v>
                </c:pt>
                <c:pt idx="30">
                  <c:v>20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">
                  <c:v>0</c:v>
                </c:pt>
                <c:pt idx="87" formatCode="0.0">
                  <c:v>0</c:v>
                </c:pt>
                <c:pt idx="88" formatCode="0.0">
                  <c:v>0</c:v>
                </c:pt>
                <c:pt idx="89" formatCode="0.0">
                  <c:v>0</c:v>
                </c:pt>
                <c:pt idx="90" formatCode="0.0">
                  <c:v>0</c:v>
                </c:pt>
                <c:pt idx="91" formatCode="0.0">
                  <c:v>0</c:v>
                </c:pt>
                <c:pt idx="92" formatCode="0.0">
                  <c:v>0</c:v>
                </c:pt>
                <c:pt idx="93" formatCode="0.0">
                  <c:v>0</c:v>
                </c:pt>
                <c:pt idx="94" formatCode="0.0">
                  <c:v>0</c:v>
                </c:pt>
                <c:pt idx="95" formatCode="0.0">
                  <c:v>20</c:v>
                </c:pt>
                <c:pt idx="96" formatCode="0.0">
                  <c:v>20</c:v>
                </c:pt>
                <c:pt idx="97" formatCode="0.0">
                  <c:v>0</c:v>
                </c:pt>
                <c:pt idx="98" formatCode="0.0">
                  <c:v>0</c:v>
                </c:pt>
                <c:pt idx="99" formatCode="0.0">
                  <c:v>0</c:v>
                </c:pt>
                <c:pt idx="100" formatCode="0.0">
                  <c:v>0</c:v>
                </c:pt>
                <c:pt idx="101" formatCode="0.0">
                  <c:v>0</c:v>
                </c:pt>
                <c:pt idx="102" formatCode="0.0">
                  <c:v>0</c:v>
                </c:pt>
                <c:pt idx="103" formatCode="0.0">
                  <c:v>50</c:v>
                </c:pt>
                <c:pt idx="104" formatCode="0.0">
                  <c:v>0</c:v>
                </c:pt>
                <c:pt idx="105" formatCode="0.0">
                  <c:v>0</c:v>
                </c:pt>
                <c:pt idx="106" formatCode="0.0">
                  <c:v>44</c:v>
                </c:pt>
                <c:pt idx="107" formatCode="0.0">
                  <c:v>0</c:v>
                </c:pt>
                <c:pt idx="108" formatCode="0.0">
                  <c:v>26</c:v>
                </c:pt>
                <c:pt idx="109" formatCode="0.0">
                  <c:v>26</c:v>
                </c:pt>
                <c:pt idx="110" formatCode="0.0">
                  <c:v>36</c:v>
                </c:pt>
                <c:pt idx="111" formatCode="0.0">
                  <c:v>0</c:v>
                </c:pt>
                <c:pt idx="112" formatCode="0.0">
                  <c:v>0</c:v>
                </c:pt>
                <c:pt idx="113" formatCode="0.0">
                  <c:v>0</c:v>
                </c:pt>
                <c:pt idx="114" formatCode="0.0">
                  <c:v>0</c:v>
                </c:pt>
                <c:pt idx="115" formatCode="0.0">
                  <c:v>0</c:v>
                </c:pt>
                <c:pt idx="116" formatCode="0.0">
                  <c:v>0</c:v>
                </c:pt>
                <c:pt idx="117" formatCode="0.0">
                  <c:v>0</c:v>
                </c:pt>
                <c:pt idx="118" formatCode="0.0">
                  <c:v>0</c:v>
                </c:pt>
                <c:pt idx="119" formatCode="0.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6B-4152-896B-3365CFEC9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16960981865876"/>
          <c:y val="0.88981819271193463"/>
          <c:w val="0.73213339380026021"/>
          <c:h val="8.3687477569846042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Geotech-03</a:t>
            </a:r>
          </a:p>
        </c:rich>
      </c:tx>
      <c:layout>
        <c:manualLayout>
          <c:xMode val="edge"/>
          <c:yMode val="edge"/>
          <c:x val="0.38278729525039629"/>
          <c:y val="2.8831710283641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9637676749939579"/>
          <c:h val="0.75531322158105763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019-407D-A338-D464D384B11B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019-407D-A338-D464D384B11B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019-407D-A338-D464D384B11B}"/>
            </c:ext>
          </c:extLst>
        </c:ser>
        <c:ser>
          <c:idx val="3"/>
          <c:order val="3"/>
          <c:marker>
            <c:symbol val="none"/>
          </c:marker>
          <c:xVal>
            <c:numRef>
              <c:f>'2. Logging Brejo Seco'!$Z$3:$Z$588</c:f>
              <c:numCache>
                <c:formatCode>0.00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126.66666666666667</c:v>
                </c:pt>
                <c:pt idx="7">
                  <c:v>420</c:v>
                </c:pt>
                <c:pt idx="8">
                  <c:v>19</c:v>
                </c:pt>
                <c:pt idx="9">
                  <c:v>180</c:v>
                </c:pt>
                <c:pt idx="10">
                  <c:v>78</c:v>
                </c:pt>
                <c:pt idx="11">
                  <c:v>87.5</c:v>
                </c:pt>
                <c:pt idx="12">
                  <c:v>15.333333333333334</c:v>
                </c:pt>
                <c:pt idx="13">
                  <c:v>76.666666666666671</c:v>
                </c:pt>
                <c:pt idx="14">
                  <c:v>86</c:v>
                </c:pt>
                <c:pt idx="15">
                  <c:v>112.5</c:v>
                </c:pt>
                <c:pt idx="16">
                  <c:v>235</c:v>
                </c:pt>
                <c:pt idx="17">
                  <c:v>70</c:v>
                </c:pt>
                <c:pt idx="18">
                  <c:v>102.5</c:v>
                </c:pt>
                <c:pt idx="19">
                  <c:v>107.5</c:v>
                </c:pt>
                <c:pt idx="20">
                  <c:v>96.666666666666671</c:v>
                </c:pt>
                <c:pt idx="21">
                  <c:v>20.76923076923077</c:v>
                </c:pt>
                <c:pt idx="22">
                  <c:v>29</c:v>
                </c:pt>
                <c:pt idx="23">
                  <c:v>32</c:v>
                </c:pt>
                <c:pt idx="24">
                  <c:v>44</c:v>
                </c:pt>
                <c:pt idx="25">
                  <c:v>46</c:v>
                </c:pt>
                <c:pt idx="26">
                  <c:v>73.333333333333329</c:v>
                </c:pt>
                <c:pt idx="27">
                  <c:v>140</c:v>
                </c:pt>
                <c:pt idx="28">
                  <c:v>70</c:v>
                </c:pt>
                <c:pt idx="29">
                  <c:v>92.5</c:v>
                </c:pt>
                <c:pt idx="30">
                  <c:v>48.571428571428569</c:v>
                </c:pt>
                <c:pt idx="31">
                  <c:v>81.666666666666671</c:v>
                </c:pt>
                <c:pt idx="32">
                  <c:v>93.333333333333329</c:v>
                </c:pt>
                <c:pt idx="33">
                  <c:v>55</c:v>
                </c:pt>
                <c:pt idx="34">
                  <c:v>19</c:v>
                </c:pt>
                <c:pt idx="35">
                  <c:v>51.666666666666664</c:v>
                </c:pt>
                <c:pt idx="36">
                  <c:v>13</c:v>
                </c:pt>
                <c:pt idx="37">
                  <c:v>11</c:v>
                </c:pt>
                <c:pt idx="38">
                  <c:v>14</c:v>
                </c:pt>
                <c:pt idx="39">
                  <c:v>23</c:v>
                </c:pt>
                <c:pt idx="40">
                  <c:v>34</c:v>
                </c:pt>
                <c:pt idx="41">
                  <c:v>13</c:v>
                </c:pt>
                <c:pt idx="42">
                  <c:v>51.666666666666664</c:v>
                </c:pt>
                <c:pt idx="43">
                  <c:v>54</c:v>
                </c:pt>
                <c:pt idx="44">
                  <c:v>110</c:v>
                </c:pt>
                <c:pt idx="45">
                  <c:v>500</c:v>
                </c:pt>
                <c:pt idx="46">
                  <c:v>166.66666666666666</c:v>
                </c:pt>
                <c:pt idx="47">
                  <c:v>665</c:v>
                </c:pt>
                <c:pt idx="48">
                  <c:v>87.5</c:v>
                </c:pt>
                <c:pt idx="49">
                  <c:v>47.5</c:v>
                </c:pt>
                <c:pt idx="50">
                  <c:v>103.33333333333333</c:v>
                </c:pt>
                <c:pt idx="51">
                  <c:v>305</c:v>
                </c:pt>
                <c:pt idx="52">
                  <c:v>286.66666666666669</c:v>
                </c:pt>
                <c:pt idx="53">
                  <c:v>164</c:v>
                </c:pt>
                <c:pt idx="54">
                  <c:v>240</c:v>
                </c:pt>
                <c:pt idx="55">
                  <c:v>233.33333333333334</c:v>
                </c:pt>
                <c:pt idx="56">
                  <c:v>236.66666666666666</c:v>
                </c:pt>
                <c:pt idx="57">
                  <c:v>150</c:v>
                </c:pt>
                <c:pt idx="58">
                  <c:v>72</c:v>
                </c:pt>
                <c:pt idx="59">
                  <c:v>105.71428571428571</c:v>
                </c:pt>
                <c:pt idx="60">
                  <c:v>520</c:v>
                </c:pt>
                <c:pt idx="61">
                  <c:v>123.33333333333333</c:v>
                </c:pt>
                <c:pt idx="62">
                  <c:v>73.333333333333329</c:v>
                </c:pt>
                <c:pt idx="63">
                  <c:v>49</c:v>
                </c:pt>
                <c:pt idx="64">
                  <c:v>125</c:v>
                </c:pt>
                <c:pt idx="65">
                  <c:v>146.66666666666666</c:v>
                </c:pt>
                <c:pt idx="66">
                  <c:v>32.666666666666664</c:v>
                </c:pt>
                <c:pt idx="67">
                  <c:v>124</c:v>
                </c:pt>
                <c:pt idx="68">
                  <c:v>98</c:v>
                </c:pt>
                <c:pt idx="69">
                  <c:v>120</c:v>
                </c:pt>
                <c:pt idx="70">
                  <c:v>32.666666666666664</c:v>
                </c:pt>
                <c:pt idx="71">
                  <c:v>150</c:v>
                </c:pt>
                <c:pt idx="72">
                  <c:v>126.66666666666667</c:v>
                </c:pt>
                <c:pt idx="73">
                  <c:v>46</c:v>
                </c:pt>
                <c:pt idx="74">
                  <c:v>126.66666666666667</c:v>
                </c:pt>
                <c:pt idx="75">
                  <c:v>156.66666666666666</c:v>
                </c:pt>
                <c:pt idx="76">
                  <c:v>86</c:v>
                </c:pt>
                <c:pt idx="77">
                  <c:v>125</c:v>
                </c:pt>
                <c:pt idx="78">
                  <c:v>41.666666666666664</c:v>
                </c:pt>
                <c:pt idx="79">
                  <c:v>55</c:v>
                </c:pt>
                <c:pt idx="80">
                  <c:v>43.333333333333336</c:v>
                </c:pt>
                <c:pt idx="81">
                  <c:v>24</c:v>
                </c:pt>
                <c:pt idx="82">
                  <c:v>28</c:v>
                </c:pt>
                <c:pt idx="83">
                  <c:v>33.75</c:v>
                </c:pt>
                <c:pt idx="84">
                  <c:v>74</c:v>
                </c:pt>
                <c:pt idx="85">
                  <c:v>47.142857142857146</c:v>
                </c:pt>
                <c:pt idx="86">
                  <c:v>150</c:v>
                </c:pt>
                <c:pt idx="87">
                  <c:v>65</c:v>
                </c:pt>
                <c:pt idx="88">
                  <c:v>70</c:v>
                </c:pt>
                <c:pt idx="89">
                  <c:v>28.571428571428573</c:v>
                </c:pt>
                <c:pt idx="90">
                  <c:v>71.666666666666671</c:v>
                </c:pt>
                <c:pt idx="91">
                  <c:v>53</c:v>
                </c:pt>
                <c:pt idx="92">
                  <c:v>100</c:v>
                </c:pt>
                <c:pt idx="93">
                  <c:v>485</c:v>
                </c:pt>
                <c:pt idx="94">
                  <c:v>71.428571428571431</c:v>
                </c:pt>
                <c:pt idx="95">
                  <c:v>27</c:v>
                </c:pt>
                <c:pt idx="96">
                  <c:v>25</c:v>
                </c:pt>
                <c:pt idx="97">
                  <c:v>100</c:v>
                </c:pt>
                <c:pt idx="98">
                  <c:v>146.66666666666666</c:v>
                </c:pt>
                <c:pt idx="99">
                  <c:v>100</c:v>
                </c:pt>
                <c:pt idx="100">
                  <c:v>83.333333333333329</c:v>
                </c:pt>
                <c:pt idx="101">
                  <c:v>90</c:v>
                </c:pt>
                <c:pt idx="102">
                  <c:v>60</c:v>
                </c:pt>
                <c:pt idx="103">
                  <c:v>86</c:v>
                </c:pt>
                <c:pt idx="104">
                  <c:v>29</c:v>
                </c:pt>
                <c:pt idx="105">
                  <c:v>16.666666666666668</c:v>
                </c:pt>
                <c:pt idx="106">
                  <c:v>235</c:v>
                </c:pt>
                <c:pt idx="107">
                  <c:v>170</c:v>
                </c:pt>
                <c:pt idx="108">
                  <c:v>170</c:v>
                </c:pt>
                <c:pt idx="109">
                  <c:v>100</c:v>
                </c:pt>
                <c:pt idx="110">
                  <c:v>25</c:v>
                </c:pt>
                <c:pt idx="111">
                  <c:v>37</c:v>
                </c:pt>
                <c:pt idx="112">
                  <c:v>37</c:v>
                </c:pt>
                <c:pt idx="113">
                  <c:v>26</c:v>
                </c:pt>
                <c:pt idx="114">
                  <c:v>26</c:v>
                </c:pt>
                <c:pt idx="115">
                  <c:v>24</c:v>
                </c:pt>
                <c:pt idx="116">
                  <c:v>23</c:v>
                </c:pt>
                <c:pt idx="117">
                  <c:v>22</c:v>
                </c:pt>
                <c:pt idx="118">
                  <c:v>20</c:v>
                </c:pt>
                <c:pt idx="119">
                  <c:v>24</c:v>
                </c:pt>
                <c:pt idx="120">
                  <c:v>15</c:v>
                </c:pt>
                <c:pt idx="121">
                  <c:v>38</c:v>
                </c:pt>
                <c:pt idx="122">
                  <c:v>20</c:v>
                </c:pt>
                <c:pt idx="123">
                  <c:v>24</c:v>
                </c:pt>
                <c:pt idx="124">
                  <c:v>56.666666666666664</c:v>
                </c:pt>
                <c:pt idx="125">
                  <c:v>70</c:v>
                </c:pt>
                <c:pt idx="126">
                  <c:v>76.666666666666671</c:v>
                </c:pt>
                <c:pt idx="127">
                  <c:v>26</c:v>
                </c:pt>
                <c:pt idx="128">
                  <c:v>40</c:v>
                </c:pt>
                <c:pt idx="129">
                  <c:v>50</c:v>
                </c:pt>
                <c:pt idx="130">
                  <c:v>60</c:v>
                </c:pt>
                <c:pt idx="131">
                  <c:v>135</c:v>
                </c:pt>
                <c:pt idx="132">
                  <c:v>60</c:v>
                </c:pt>
                <c:pt idx="133">
                  <c:v>43.333333333333336</c:v>
                </c:pt>
                <c:pt idx="134">
                  <c:v>102.5</c:v>
                </c:pt>
                <c:pt idx="135">
                  <c:v>215</c:v>
                </c:pt>
                <c:pt idx="136">
                  <c:v>70</c:v>
                </c:pt>
                <c:pt idx="137">
                  <c:v>73.333333333333329</c:v>
                </c:pt>
                <c:pt idx="138">
                  <c:v>100</c:v>
                </c:pt>
                <c:pt idx="139">
                  <c:v>70</c:v>
                </c:pt>
                <c:pt idx="140">
                  <c:v>53.333333333333336</c:v>
                </c:pt>
                <c:pt idx="141">
                  <c:v>32</c:v>
                </c:pt>
                <c:pt idx="142">
                  <c:v>35</c:v>
                </c:pt>
                <c:pt idx="143">
                  <c:v>28</c:v>
                </c:pt>
                <c:pt idx="144">
                  <c:v>36.666666666666664</c:v>
                </c:pt>
                <c:pt idx="145">
                  <c:v>22</c:v>
                </c:pt>
                <c:pt idx="146">
                  <c:v>10</c:v>
                </c:pt>
                <c:pt idx="147">
                  <c:v>10</c:v>
                </c:pt>
                <c:pt idx="148">
                  <c:v>36</c:v>
                </c:pt>
                <c:pt idx="149">
                  <c:v>51.666666666666664</c:v>
                </c:pt>
                <c:pt idx="150">
                  <c:v>60</c:v>
                </c:pt>
                <c:pt idx="151">
                  <c:v>36.666666666666664</c:v>
                </c:pt>
                <c:pt idx="152">
                  <c:v>46</c:v>
                </c:pt>
                <c:pt idx="153">
                  <c:v>34</c:v>
                </c:pt>
                <c:pt idx="154">
                  <c:v>30</c:v>
                </c:pt>
                <c:pt idx="155">
                  <c:v>19</c:v>
                </c:pt>
                <c:pt idx="156">
                  <c:v>24</c:v>
                </c:pt>
                <c:pt idx="157">
                  <c:v>19</c:v>
                </c:pt>
                <c:pt idx="159">
                  <c:v>20</c:v>
                </c:pt>
                <c:pt idx="160">
                  <c:v>23</c:v>
                </c:pt>
                <c:pt idx="161">
                  <c:v>25</c:v>
                </c:pt>
                <c:pt idx="162">
                  <c:v>28</c:v>
                </c:pt>
                <c:pt idx="163">
                  <c:v>24</c:v>
                </c:pt>
                <c:pt idx="164">
                  <c:v>42</c:v>
                </c:pt>
                <c:pt idx="165">
                  <c:v>20</c:v>
                </c:pt>
                <c:pt idx="167">
                  <c:v>13</c:v>
                </c:pt>
                <c:pt idx="168">
                  <c:v>17</c:v>
                </c:pt>
                <c:pt idx="169">
                  <c:v>16</c:v>
                </c:pt>
                <c:pt idx="170">
                  <c:v>14</c:v>
                </c:pt>
                <c:pt idx="171">
                  <c:v>17</c:v>
                </c:pt>
                <c:pt idx="172">
                  <c:v>23</c:v>
                </c:pt>
                <c:pt idx="173">
                  <c:v>20</c:v>
                </c:pt>
                <c:pt idx="174">
                  <c:v>17</c:v>
                </c:pt>
                <c:pt idx="175">
                  <c:v>18</c:v>
                </c:pt>
                <c:pt idx="176">
                  <c:v>19</c:v>
                </c:pt>
                <c:pt idx="177">
                  <c:v>16.363636363636363</c:v>
                </c:pt>
                <c:pt idx="178">
                  <c:v>10.909090909090908</c:v>
                </c:pt>
                <c:pt idx="180">
                  <c:v>24</c:v>
                </c:pt>
                <c:pt idx="182">
                  <c:v>24</c:v>
                </c:pt>
                <c:pt idx="183">
                  <c:v>11</c:v>
                </c:pt>
                <c:pt idx="184">
                  <c:v>12</c:v>
                </c:pt>
                <c:pt idx="185">
                  <c:v>86.666666666666671</c:v>
                </c:pt>
                <c:pt idx="186">
                  <c:v>26</c:v>
                </c:pt>
                <c:pt idx="187">
                  <c:v>10.666666666666666</c:v>
                </c:pt>
                <c:pt idx="188">
                  <c:v>12</c:v>
                </c:pt>
                <c:pt idx="189">
                  <c:v>45.714285714285715</c:v>
                </c:pt>
                <c:pt idx="190">
                  <c:v>20</c:v>
                </c:pt>
                <c:pt idx="191">
                  <c:v>32</c:v>
                </c:pt>
                <c:pt idx="192">
                  <c:v>44</c:v>
                </c:pt>
                <c:pt idx="193">
                  <c:v>12</c:v>
                </c:pt>
                <c:pt idx="194">
                  <c:v>15</c:v>
                </c:pt>
                <c:pt idx="195">
                  <c:v>18.571428571428573</c:v>
                </c:pt>
                <c:pt idx="196">
                  <c:v>33.333333333333336</c:v>
                </c:pt>
                <c:pt idx="197">
                  <c:v>21.428571428571427</c:v>
                </c:pt>
                <c:pt idx="198">
                  <c:v>40</c:v>
                </c:pt>
                <c:pt idx="199">
                  <c:v>30</c:v>
                </c:pt>
                <c:pt idx="200">
                  <c:v>34</c:v>
                </c:pt>
                <c:pt idx="201">
                  <c:v>28</c:v>
                </c:pt>
                <c:pt idx="202">
                  <c:v>22</c:v>
                </c:pt>
                <c:pt idx="203">
                  <c:v>20</c:v>
                </c:pt>
                <c:pt idx="204">
                  <c:v>22</c:v>
                </c:pt>
                <c:pt idx="205">
                  <c:v>46.666666666666664</c:v>
                </c:pt>
                <c:pt idx="206">
                  <c:v>63.333333333333336</c:v>
                </c:pt>
                <c:pt idx="207">
                  <c:v>24</c:v>
                </c:pt>
                <c:pt idx="208">
                  <c:v>20</c:v>
                </c:pt>
                <c:pt idx="209">
                  <c:v>32</c:v>
                </c:pt>
                <c:pt idx="210">
                  <c:v>24</c:v>
                </c:pt>
                <c:pt idx="211">
                  <c:v>51.666666666666664</c:v>
                </c:pt>
                <c:pt idx="212">
                  <c:v>33</c:v>
                </c:pt>
                <c:pt idx="213">
                  <c:v>94</c:v>
                </c:pt>
                <c:pt idx="214">
                  <c:v>46.25</c:v>
                </c:pt>
                <c:pt idx="215">
                  <c:v>44</c:v>
                </c:pt>
                <c:pt idx="216">
                  <c:v>43.333333333333336</c:v>
                </c:pt>
                <c:pt idx="217">
                  <c:v>67.5</c:v>
                </c:pt>
                <c:pt idx="218">
                  <c:v>100</c:v>
                </c:pt>
                <c:pt idx="219">
                  <c:v>71.428571428571431</c:v>
                </c:pt>
                <c:pt idx="220">
                  <c:v>84</c:v>
                </c:pt>
                <c:pt idx="221">
                  <c:v>35.714285714285715</c:v>
                </c:pt>
                <c:pt idx="222">
                  <c:v>42</c:v>
                </c:pt>
                <c:pt idx="223">
                  <c:v>36</c:v>
                </c:pt>
                <c:pt idx="224">
                  <c:v>34</c:v>
                </c:pt>
                <c:pt idx="225">
                  <c:v>40</c:v>
                </c:pt>
                <c:pt idx="226">
                  <c:v>66.666666666666671</c:v>
                </c:pt>
                <c:pt idx="227">
                  <c:v>50</c:v>
                </c:pt>
                <c:pt idx="228">
                  <c:v>44</c:v>
                </c:pt>
                <c:pt idx="229">
                  <c:v>37.142857142857146</c:v>
                </c:pt>
                <c:pt idx="230">
                  <c:v>29</c:v>
                </c:pt>
                <c:pt idx="231">
                  <c:v>22</c:v>
                </c:pt>
                <c:pt idx="232">
                  <c:v>26</c:v>
                </c:pt>
                <c:pt idx="233">
                  <c:v>25</c:v>
                </c:pt>
                <c:pt idx="234">
                  <c:v>36</c:v>
                </c:pt>
                <c:pt idx="235">
                  <c:v>42</c:v>
                </c:pt>
                <c:pt idx="236">
                  <c:v>17</c:v>
                </c:pt>
                <c:pt idx="237">
                  <c:v>27</c:v>
                </c:pt>
                <c:pt idx="238">
                  <c:v>52</c:v>
                </c:pt>
                <c:pt idx="239">
                  <c:v>50</c:v>
                </c:pt>
                <c:pt idx="240">
                  <c:v>110</c:v>
                </c:pt>
                <c:pt idx="241">
                  <c:v>47.142857142857146</c:v>
                </c:pt>
                <c:pt idx="242">
                  <c:v>41.428571428571431</c:v>
                </c:pt>
                <c:pt idx="243">
                  <c:v>50</c:v>
                </c:pt>
                <c:pt idx="244">
                  <c:v>51.25</c:v>
                </c:pt>
                <c:pt idx="245">
                  <c:v>86</c:v>
                </c:pt>
                <c:pt idx="246">
                  <c:v>74</c:v>
                </c:pt>
                <c:pt idx="247">
                  <c:v>107.5</c:v>
                </c:pt>
                <c:pt idx="248">
                  <c:v>60</c:v>
                </c:pt>
                <c:pt idx="249">
                  <c:v>34</c:v>
                </c:pt>
                <c:pt idx="250">
                  <c:v>32</c:v>
                </c:pt>
                <c:pt idx="251">
                  <c:v>70</c:v>
                </c:pt>
                <c:pt idx="252">
                  <c:v>41</c:v>
                </c:pt>
                <c:pt idx="253">
                  <c:v>45</c:v>
                </c:pt>
                <c:pt idx="254">
                  <c:v>70</c:v>
                </c:pt>
                <c:pt idx="255">
                  <c:v>58.75</c:v>
                </c:pt>
                <c:pt idx="256">
                  <c:v>122.5</c:v>
                </c:pt>
                <c:pt idx="257">
                  <c:v>64.285714285714292</c:v>
                </c:pt>
                <c:pt idx="258">
                  <c:v>120</c:v>
                </c:pt>
                <c:pt idx="259">
                  <c:v>66.666666666666671</c:v>
                </c:pt>
                <c:pt idx="260">
                  <c:v>83.333333333333329</c:v>
                </c:pt>
                <c:pt idx="261">
                  <c:v>46.25</c:v>
                </c:pt>
                <c:pt idx="262">
                  <c:v>54.285714285714285</c:v>
                </c:pt>
                <c:pt idx="263">
                  <c:v>115</c:v>
                </c:pt>
                <c:pt idx="264">
                  <c:v>61.666666666666664</c:v>
                </c:pt>
                <c:pt idx="265">
                  <c:v>153.33333333333334</c:v>
                </c:pt>
                <c:pt idx="266">
                  <c:v>44.444444444444443</c:v>
                </c:pt>
                <c:pt idx="267">
                  <c:v>60</c:v>
                </c:pt>
                <c:pt idx="268">
                  <c:v>83.333333333333329</c:v>
                </c:pt>
                <c:pt idx="269">
                  <c:v>42.000000000000007</c:v>
                </c:pt>
                <c:pt idx="270">
                  <c:v>83.333333333333329</c:v>
                </c:pt>
                <c:pt idx="271">
                  <c:v>146.66666666666666</c:v>
                </c:pt>
                <c:pt idx="272">
                  <c:v>160</c:v>
                </c:pt>
                <c:pt idx="273">
                  <c:v>50</c:v>
                </c:pt>
                <c:pt idx="274">
                  <c:v>166.66666666666666</c:v>
                </c:pt>
                <c:pt idx="275">
                  <c:v>125</c:v>
                </c:pt>
                <c:pt idx="276">
                  <c:v>250</c:v>
                </c:pt>
                <c:pt idx="277">
                  <c:v>125</c:v>
                </c:pt>
                <c:pt idx="278">
                  <c:v>102.5</c:v>
                </c:pt>
                <c:pt idx="279">
                  <c:v>100</c:v>
                </c:pt>
                <c:pt idx="280">
                  <c:v>163.33333333333334</c:v>
                </c:pt>
                <c:pt idx="281">
                  <c:v>205</c:v>
                </c:pt>
                <c:pt idx="282">
                  <c:v>230</c:v>
                </c:pt>
                <c:pt idx="283">
                  <c:v>156.66666666666666</c:v>
                </c:pt>
                <c:pt idx="284">
                  <c:v>215</c:v>
                </c:pt>
                <c:pt idx="285">
                  <c:v>480</c:v>
                </c:pt>
                <c:pt idx="286">
                  <c:v>235</c:v>
                </c:pt>
                <c:pt idx="287">
                  <c:v>156.66666666666666</c:v>
                </c:pt>
                <c:pt idx="288">
                  <c:v>75</c:v>
                </c:pt>
                <c:pt idx="289">
                  <c:v>106.66666666666667</c:v>
                </c:pt>
                <c:pt idx="290">
                  <c:v>146.66666666666669</c:v>
                </c:pt>
                <c:pt idx="291">
                  <c:v>96</c:v>
                </c:pt>
                <c:pt idx="292">
                  <c:v>71.428571428571431</c:v>
                </c:pt>
                <c:pt idx="293">
                  <c:v>68.333333333333329</c:v>
                </c:pt>
                <c:pt idx="294">
                  <c:v>122.5</c:v>
                </c:pt>
                <c:pt idx="295">
                  <c:v>146.66666666666666</c:v>
                </c:pt>
                <c:pt idx="296">
                  <c:v>500</c:v>
                </c:pt>
                <c:pt idx="297">
                  <c:v>156.66666666666666</c:v>
                </c:pt>
                <c:pt idx="298">
                  <c:v>60</c:v>
                </c:pt>
                <c:pt idx="299">
                  <c:v>133.33333333333334</c:v>
                </c:pt>
                <c:pt idx="300">
                  <c:v>86.000000000000014</c:v>
                </c:pt>
                <c:pt idx="301">
                  <c:v>62.5</c:v>
                </c:pt>
                <c:pt idx="302">
                  <c:v>68.571428571428569</c:v>
                </c:pt>
                <c:pt idx="303">
                  <c:v>140</c:v>
                </c:pt>
                <c:pt idx="304">
                  <c:v>65.714285714285708</c:v>
                </c:pt>
                <c:pt idx="305">
                  <c:v>37</c:v>
                </c:pt>
                <c:pt idx="306">
                  <c:v>153.33333333333334</c:v>
                </c:pt>
                <c:pt idx="307">
                  <c:v>107.5</c:v>
                </c:pt>
                <c:pt idx="308">
                  <c:v>115</c:v>
                </c:pt>
                <c:pt idx="309">
                  <c:v>235</c:v>
                </c:pt>
                <c:pt idx="310">
                  <c:v>76.666666666666671</c:v>
                </c:pt>
                <c:pt idx="311">
                  <c:v>62.5</c:v>
                </c:pt>
                <c:pt idx="312">
                  <c:v>150</c:v>
                </c:pt>
                <c:pt idx="313">
                  <c:v>156.66666666666666</c:v>
                </c:pt>
                <c:pt idx="314">
                  <c:v>110</c:v>
                </c:pt>
                <c:pt idx="315">
                  <c:v>57.5</c:v>
                </c:pt>
                <c:pt idx="316">
                  <c:v>61.428571428571431</c:v>
                </c:pt>
                <c:pt idx="317">
                  <c:v>41.428571428571431</c:v>
                </c:pt>
                <c:pt idx="318">
                  <c:v>55.714285714285715</c:v>
                </c:pt>
                <c:pt idx="319">
                  <c:v>70</c:v>
                </c:pt>
                <c:pt idx="320">
                  <c:v>36</c:v>
                </c:pt>
                <c:pt idx="321">
                  <c:v>50</c:v>
                </c:pt>
                <c:pt idx="322">
                  <c:v>32.857142857142854</c:v>
                </c:pt>
                <c:pt idx="323">
                  <c:v>14</c:v>
                </c:pt>
                <c:pt idx="324">
                  <c:v>20</c:v>
                </c:pt>
                <c:pt idx="325">
                  <c:v>20</c:v>
                </c:pt>
                <c:pt idx="326">
                  <c:v>25.714285714285715</c:v>
                </c:pt>
                <c:pt idx="327">
                  <c:v>28.75</c:v>
                </c:pt>
                <c:pt idx="328">
                  <c:v>14.285714285714286</c:v>
                </c:pt>
                <c:pt idx="329">
                  <c:v>50</c:v>
                </c:pt>
                <c:pt idx="330">
                  <c:v>10</c:v>
                </c:pt>
                <c:pt idx="331">
                  <c:v>12</c:v>
                </c:pt>
                <c:pt idx="332">
                  <c:v>6</c:v>
                </c:pt>
                <c:pt idx="333">
                  <c:v>29</c:v>
                </c:pt>
                <c:pt idx="334">
                  <c:v>22</c:v>
                </c:pt>
                <c:pt idx="335">
                  <c:v>21</c:v>
                </c:pt>
                <c:pt idx="336">
                  <c:v>8</c:v>
                </c:pt>
                <c:pt idx="337">
                  <c:v>5</c:v>
                </c:pt>
                <c:pt idx="338">
                  <c:v>7</c:v>
                </c:pt>
                <c:pt idx="339">
                  <c:v>7</c:v>
                </c:pt>
                <c:pt idx="340">
                  <c:v>50</c:v>
                </c:pt>
                <c:pt idx="341">
                  <c:v>50</c:v>
                </c:pt>
                <c:pt idx="342">
                  <c:v>7</c:v>
                </c:pt>
                <c:pt idx="343">
                  <c:v>50</c:v>
                </c:pt>
                <c:pt idx="344">
                  <c:v>11</c:v>
                </c:pt>
                <c:pt idx="345">
                  <c:v>50</c:v>
                </c:pt>
                <c:pt idx="346">
                  <c:v>10</c:v>
                </c:pt>
                <c:pt idx="347">
                  <c:v>7</c:v>
                </c:pt>
                <c:pt idx="348">
                  <c:v>50</c:v>
                </c:pt>
                <c:pt idx="349">
                  <c:v>50</c:v>
                </c:pt>
                <c:pt idx="350">
                  <c:v>40</c:v>
                </c:pt>
                <c:pt idx="351">
                  <c:v>36</c:v>
                </c:pt>
                <c:pt idx="352">
                  <c:v>27</c:v>
                </c:pt>
                <c:pt idx="353">
                  <c:v>183.33333333333334</c:v>
                </c:pt>
                <c:pt idx="354">
                  <c:v>120</c:v>
                </c:pt>
                <c:pt idx="355">
                  <c:v>82</c:v>
                </c:pt>
                <c:pt idx="356">
                  <c:v>70</c:v>
                </c:pt>
                <c:pt idx="357">
                  <c:v>38</c:v>
                </c:pt>
                <c:pt idx="358">
                  <c:v>42</c:v>
                </c:pt>
                <c:pt idx="359">
                  <c:v>28</c:v>
                </c:pt>
                <c:pt idx="360">
                  <c:v>62.5</c:v>
                </c:pt>
                <c:pt idx="361">
                  <c:v>65</c:v>
                </c:pt>
                <c:pt idx="362">
                  <c:v>62.5</c:v>
                </c:pt>
                <c:pt idx="363">
                  <c:v>83.333333333333329</c:v>
                </c:pt>
                <c:pt idx="364">
                  <c:v>56</c:v>
                </c:pt>
                <c:pt idx="365">
                  <c:v>38</c:v>
                </c:pt>
                <c:pt idx="366">
                  <c:v>46</c:v>
                </c:pt>
                <c:pt idx="367">
                  <c:v>70</c:v>
                </c:pt>
                <c:pt idx="368">
                  <c:v>53.333333333333336</c:v>
                </c:pt>
                <c:pt idx="369">
                  <c:v>36</c:v>
                </c:pt>
                <c:pt idx="370">
                  <c:v>63.333333333333336</c:v>
                </c:pt>
                <c:pt idx="371">
                  <c:v>63.333333333333336</c:v>
                </c:pt>
                <c:pt idx="372">
                  <c:v>37.5</c:v>
                </c:pt>
                <c:pt idx="373">
                  <c:v>90</c:v>
                </c:pt>
                <c:pt idx="374">
                  <c:v>46.666666666666664</c:v>
                </c:pt>
                <c:pt idx="375">
                  <c:v>95</c:v>
                </c:pt>
                <c:pt idx="376">
                  <c:v>56.666666666666664</c:v>
                </c:pt>
                <c:pt idx="377">
                  <c:v>30</c:v>
                </c:pt>
                <c:pt idx="378">
                  <c:v>52.5</c:v>
                </c:pt>
                <c:pt idx="379">
                  <c:v>53.333333333333336</c:v>
                </c:pt>
                <c:pt idx="380">
                  <c:v>56.666666666666664</c:v>
                </c:pt>
                <c:pt idx="381">
                  <c:v>30</c:v>
                </c:pt>
                <c:pt idx="382">
                  <c:v>37</c:v>
                </c:pt>
                <c:pt idx="383">
                  <c:v>24</c:v>
                </c:pt>
                <c:pt idx="384">
                  <c:v>27</c:v>
                </c:pt>
                <c:pt idx="385">
                  <c:v>22</c:v>
                </c:pt>
                <c:pt idx="386">
                  <c:v>26</c:v>
                </c:pt>
                <c:pt idx="387">
                  <c:v>58</c:v>
                </c:pt>
                <c:pt idx="388">
                  <c:v>20</c:v>
                </c:pt>
                <c:pt idx="389">
                  <c:v>16</c:v>
                </c:pt>
                <c:pt idx="390">
                  <c:v>28</c:v>
                </c:pt>
                <c:pt idx="391">
                  <c:v>80</c:v>
                </c:pt>
                <c:pt idx="392">
                  <c:v>50</c:v>
                </c:pt>
                <c:pt idx="393">
                  <c:v>100</c:v>
                </c:pt>
                <c:pt idx="394">
                  <c:v>50</c:v>
                </c:pt>
                <c:pt idx="395">
                  <c:v>100</c:v>
                </c:pt>
                <c:pt idx="396">
                  <c:v>41.666666666666664</c:v>
                </c:pt>
                <c:pt idx="397">
                  <c:v>100</c:v>
                </c:pt>
                <c:pt idx="398">
                  <c:v>100</c:v>
                </c:pt>
                <c:pt idx="399">
                  <c:v>50</c:v>
                </c:pt>
                <c:pt idx="400">
                  <c:v>100</c:v>
                </c:pt>
                <c:pt idx="401">
                  <c:v>100</c:v>
                </c:pt>
                <c:pt idx="402">
                  <c:v>50</c:v>
                </c:pt>
                <c:pt idx="403">
                  <c:v>100</c:v>
                </c:pt>
                <c:pt idx="404">
                  <c:v>50</c:v>
                </c:pt>
                <c:pt idx="405">
                  <c:v>50</c:v>
                </c:pt>
                <c:pt idx="406">
                  <c:v>100</c:v>
                </c:pt>
                <c:pt idx="407">
                  <c:v>50</c:v>
                </c:pt>
                <c:pt idx="408">
                  <c:v>50</c:v>
                </c:pt>
                <c:pt idx="411">
                  <c:v>125</c:v>
                </c:pt>
                <c:pt idx="412">
                  <c:v>125</c:v>
                </c:pt>
                <c:pt idx="413">
                  <c:v>100</c:v>
                </c:pt>
                <c:pt idx="414">
                  <c:v>83.333333333333329</c:v>
                </c:pt>
                <c:pt idx="415">
                  <c:v>50</c:v>
                </c:pt>
                <c:pt idx="416">
                  <c:v>100</c:v>
                </c:pt>
                <c:pt idx="417">
                  <c:v>100</c:v>
                </c:pt>
                <c:pt idx="418">
                  <c:v>50</c:v>
                </c:pt>
                <c:pt idx="419">
                  <c:v>166.66666666666666</c:v>
                </c:pt>
                <c:pt idx="420">
                  <c:v>125</c:v>
                </c:pt>
                <c:pt idx="421">
                  <c:v>125</c:v>
                </c:pt>
                <c:pt idx="422">
                  <c:v>100</c:v>
                </c:pt>
                <c:pt idx="423">
                  <c:v>125</c:v>
                </c:pt>
                <c:pt idx="424">
                  <c:v>125</c:v>
                </c:pt>
                <c:pt idx="425">
                  <c:v>100</c:v>
                </c:pt>
                <c:pt idx="426">
                  <c:v>166.66666666666666</c:v>
                </c:pt>
                <c:pt idx="427">
                  <c:v>125</c:v>
                </c:pt>
                <c:pt idx="428">
                  <c:v>125</c:v>
                </c:pt>
                <c:pt idx="429">
                  <c:v>100</c:v>
                </c:pt>
                <c:pt idx="430">
                  <c:v>125</c:v>
                </c:pt>
                <c:pt idx="431">
                  <c:v>125</c:v>
                </c:pt>
                <c:pt idx="432">
                  <c:v>125</c:v>
                </c:pt>
                <c:pt idx="433">
                  <c:v>100</c:v>
                </c:pt>
                <c:pt idx="434">
                  <c:v>125</c:v>
                </c:pt>
                <c:pt idx="435">
                  <c:v>83.333333333333329</c:v>
                </c:pt>
                <c:pt idx="436">
                  <c:v>125</c:v>
                </c:pt>
                <c:pt idx="437">
                  <c:v>125</c:v>
                </c:pt>
                <c:pt idx="438">
                  <c:v>125</c:v>
                </c:pt>
                <c:pt idx="439">
                  <c:v>125</c:v>
                </c:pt>
                <c:pt idx="440">
                  <c:v>125</c:v>
                </c:pt>
                <c:pt idx="441">
                  <c:v>100</c:v>
                </c:pt>
                <c:pt idx="442">
                  <c:v>125</c:v>
                </c:pt>
                <c:pt idx="443">
                  <c:v>100</c:v>
                </c:pt>
                <c:pt idx="444">
                  <c:v>125</c:v>
                </c:pt>
                <c:pt idx="445">
                  <c:v>125</c:v>
                </c:pt>
                <c:pt idx="446">
                  <c:v>71.428571428571431</c:v>
                </c:pt>
                <c:pt idx="447">
                  <c:v>71.428571428571431</c:v>
                </c:pt>
                <c:pt idx="448">
                  <c:v>71.428571428571431</c:v>
                </c:pt>
                <c:pt idx="449">
                  <c:v>71.428571428571431</c:v>
                </c:pt>
                <c:pt idx="450">
                  <c:v>125</c:v>
                </c:pt>
                <c:pt idx="451">
                  <c:v>125</c:v>
                </c:pt>
                <c:pt idx="452">
                  <c:v>125</c:v>
                </c:pt>
                <c:pt idx="453">
                  <c:v>125</c:v>
                </c:pt>
                <c:pt idx="454">
                  <c:v>62.5</c:v>
                </c:pt>
                <c:pt idx="455">
                  <c:v>62.5</c:v>
                </c:pt>
                <c:pt idx="456">
                  <c:v>125</c:v>
                </c:pt>
                <c:pt idx="457">
                  <c:v>100</c:v>
                </c:pt>
                <c:pt idx="458">
                  <c:v>93.75</c:v>
                </c:pt>
                <c:pt idx="459">
                  <c:v>125</c:v>
                </c:pt>
                <c:pt idx="460">
                  <c:v>83.333333333333329</c:v>
                </c:pt>
                <c:pt idx="461">
                  <c:v>125</c:v>
                </c:pt>
                <c:pt idx="462">
                  <c:v>83.333333333333329</c:v>
                </c:pt>
                <c:pt idx="463">
                  <c:v>71.428571428571431</c:v>
                </c:pt>
                <c:pt idx="464">
                  <c:v>125</c:v>
                </c:pt>
                <c:pt idx="465">
                  <c:v>125</c:v>
                </c:pt>
                <c:pt idx="466">
                  <c:v>166.66666666666666</c:v>
                </c:pt>
                <c:pt idx="467">
                  <c:v>100</c:v>
                </c:pt>
                <c:pt idx="468">
                  <c:v>125</c:v>
                </c:pt>
                <c:pt idx="469">
                  <c:v>125</c:v>
                </c:pt>
                <c:pt idx="470">
                  <c:v>60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125</c:v>
                </c:pt>
                <c:pt idx="506">
                  <c:v>71.428571428571431</c:v>
                </c:pt>
                <c:pt idx="507">
                  <c:v>100</c:v>
                </c:pt>
                <c:pt idx="508">
                  <c:v>100</c:v>
                </c:pt>
                <c:pt idx="509">
                  <c:v>50</c:v>
                </c:pt>
                <c:pt idx="510">
                  <c:v>125</c:v>
                </c:pt>
                <c:pt idx="511">
                  <c:v>50</c:v>
                </c:pt>
                <c:pt idx="512">
                  <c:v>50</c:v>
                </c:pt>
                <c:pt idx="513">
                  <c:v>125</c:v>
                </c:pt>
                <c:pt idx="514">
                  <c:v>100</c:v>
                </c:pt>
                <c:pt idx="515">
                  <c:v>50</c:v>
                </c:pt>
                <c:pt idx="516">
                  <c:v>50</c:v>
                </c:pt>
                <c:pt idx="517">
                  <c:v>125</c:v>
                </c:pt>
                <c:pt idx="518">
                  <c:v>100</c:v>
                </c:pt>
                <c:pt idx="519">
                  <c:v>125</c:v>
                </c:pt>
                <c:pt idx="520">
                  <c:v>166.66666666666666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125</c:v>
                </c:pt>
                <c:pt idx="529">
                  <c:v>125</c:v>
                </c:pt>
                <c:pt idx="530">
                  <c:v>100</c:v>
                </c:pt>
                <c:pt idx="531">
                  <c:v>166.66666666666666</c:v>
                </c:pt>
                <c:pt idx="532">
                  <c:v>100</c:v>
                </c:pt>
                <c:pt idx="533">
                  <c:v>125</c:v>
                </c:pt>
                <c:pt idx="534">
                  <c:v>125</c:v>
                </c:pt>
                <c:pt idx="535">
                  <c:v>50</c:v>
                </c:pt>
                <c:pt idx="536">
                  <c:v>166.66666666666666</c:v>
                </c:pt>
                <c:pt idx="537">
                  <c:v>100</c:v>
                </c:pt>
                <c:pt idx="538">
                  <c:v>62.5</c:v>
                </c:pt>
                <c:pt idx="539">
                  <c:v>125</c:v>
                </c:pt>
                <c:pt idx="540">
                  <c:v>125</c:v>
                </c:pt>
                <c:pt idx="541">
                  <c:v>125</c:v>
                </c:pt>
                <c:pt idx="542">
                  <c:v>125</c:v>
                </c:pt>
                <c:pt idx="543">
                  <c:v>125</c:v>
                </c:pt>
                <c:pt idx="544">
                  <c:v>125</c:v>
                </c:pt>
                <c:pt idx="545">
                  <c:v>125</c:v>
                </c:pt>
                <c:pt idx="546">
                  <c:v>125</c:v>
                </c:pt>
                <c:pt idx="547">
                  <c:v>100</c:v>
                </c:pt>
                <c:pt idx="548">
                  <c:v>125</c:v>
                </c:pt>
                <c:pt idx="549">
                  <c:v>125</c:v>
                </c:pt>
                <c:pt idx="550">
                  <c:v>125</c:v>
                </c:pt>
                <c:pt idx="551">
                  <c:v>125</c:v>
                </c:pt>
                <c:pt idx="552">
                  <c:v>125</c:v>
                </c:pt>
                <c:pt idx="553">
                  <c:v>100</c:v>
                </c:pt>
                <c:pt idx="554">
                  <c:v>125</c:v>
                </c:pt>
                <c:pt idx="555">
                  <c:v>125</c:v>
                </c:pt>
                <c:pt idx="556">
                  <c:v>83.333333333333329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50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125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125</c:v>
                </c:pt>
                <c:pt idx="570">
                  <c:v>166.66666666666666</c:v>
                </c:pt>
                <c:pt idx="571">
                  <c:v>100</c:v>
                </c:pt>
                <c:pt idx="572">
                  <c:v>50</c:v>
                </c:pt>
                <c:pt idx="573">
                  <c:v>100</c:v>
                </c:pt>
                <c:pt idx="574">
                  <c:v>125</c:v>
                </c:pt>
                <c:pt idx="575">
                  <c:v>62.5</c:v>
                </c:pt>
                <c:pt idx="576">
                  <c:v>100</c:v>
                </c:pt>
                <c:pt idx="577">
                  <c:v>50</c:v>
                </c:pt>
                <c:pt idx="578">
                  <c:v>50</c:v>
                </c:pt>
                <c:pt idx="579">
                  <c:v>100</c:v>
                </c:pt>
                <c:pt idx="580">
                  <c:v>166.66666666666666</c:v>
                </c:pt>
                <c:pt idx="581">
                  <c:v>125</c:v>
                </c:pt>
                <c:pt idx="582">
                  <c:v>125</c:v>
                </c:pt>
                <c:pt idx="583">
                  <c:v>33.333333333333336</c:v>
                </c:pt>
                <c:pt idx="584">
                  <c:v>65.536000000000001</c:v>
                </c:pt>
                <c:pt idx="585">
                  <c:v>25</c:v>
                </c:pt>
              </c:numCache>
            </c:numRef>
          </c:xVal>
          <c:yVal>
            <c:numRef>
              <c:f>'2. Logging Brejo Seco'!$V$3:$V$588</c:f>
              <c:numCache>
                <c:formatCode>0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100</c:v>
                </c:pt>
                <c:pt idx="8">
                  <c:v>0</c:v>
                </c:pt>
                <c:pt idx="9">
                  <c:v>60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22</c:v>
                </c:pt>
                <c:pt idx="14">
                  <c:v>42.000000000000007</c:v>
                </c:pt>
                <c:pt idx="15">
                  <c:v>56.000000000000007</c:v>
                </c:pt>
                <c:pt idx="16">
                  <c:v>62</c:v>
                </c:pt>
                <c:pt idx="17">
                  <c:v>32</c:v>
                </c:pt>
                <c:pt idx="18">
                  <c:v>42</c:v>
                </c:pt>
                <c:pt idx="19">
                  <c:v>50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32</c:v>
                </c:pt>
                <c:pt idx="24">
                  <c:v>38</c:v>
                </c:pt>
                <c:pt idx="25">
                  <c:v>22</c:v>
                </c:pt>
                <c:pt idx="26">
                  <c:v>24</c:v>
                </c:pt>
                <c:pt idx="27">
                  <c:v>28.000000000000004</c:v>
                </c:pt>
                <c:pt idx="28">
                  <c:v>44</c:v>
                </c:pt>
                <c:pt idx="29">
                  <c:v>40</c:v>
                </c:pt>
                <c:pt idx="30">
                  <c:v>0</c:v>
                </c:pt>
                <c:pt idx="31">
                  <c:v>54</c:v>
                </c:pt>
                <c:pt idx="32">
                  <c:v>24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</c:v>
                </c:pt>
                <c:pt idx="41">
                  <c:v>0</c:v>
                </c:pt>
                <c:pt idx="42">
                  <c:v>0</c:v>
                </c:pt>
                <c:pt idx="43">
                  <c:v>52</c:v>
                </c:pt>
                <c:pt idx="44">
                  <c:v>36</c:v>
                </c:pt>
                <c:pt idx="45">
                  <c:v>100</c:v>
                </c:pt>
                <c:pt idx="46">
                  <c:v>62</c:v>
                </c:pt>
                <c:pt idx="47">
                  <c:v>94.736842105263278</c:v>
                </c:pt>
                <c:pt idx="48">
                  <c:v>34</c:v>
                </c:pt>
                <c:pt idx="49">
                  <c:v>32</c:v>
                </c:pt>
                <c:pt idx="50">
                  <c:v>22</c:v>
                </c:pt>
                <c:pt idx="51">
                  <c:v>85.714285714285367</c:v>
                </c:pt>
                <c:pt idx="52">
                  <c:v>91.48936170212788</c:v>
                </c:pt>
                <c:pt idx="53">
                  <c:v>52.427184466019362</c:v>
                </c:pt>
                <c:pt idx="54">
                  <c:v>80</c:v>
                </c:pt>
                <c:pt idx="55">
                  <c:v>82.432432432432606</c:v>
                </c:pt>
                <c:pt idx="56">
                  <c:v>74.999999999999929</c:v>
                </c:pt>
                <c:pt idx="57">
                  <c:v>40</c:v>
                </c:pt>
                <c:pt idx="58">
                  <c:v>30</c:v>
                </c:pt>
                <c:pt idx="59">
                  <c:v>26.666666666666668</c:v>
                </c:pt>
                <c:pt idx="60">
                  <c:v>92.857142857142478</c:v>
                </c:pt>
                <c:pt idx="61">
                  <c:v>64</c:v>
                </c:pt>
                <c:pt idx="62">
                  <c:v>40</c:v>
                </c:pt>
                <c:pt idx="63">
                  <c:v>0</c:v>
                </c:pt>
                <c:pt idx="64">
                  <c:v>57.999999999999993</c:v>
                </c:pt>
                <c:pt idx="65">
                  <c:v>36</c:v>
                </c:pt>
                <c:pt idx="66">
                  <c:v>0</c:v>
                </c:pt>
                <c:pt idx="67">
                  <c:v>32.85714285714306</c:v>
                </c:pt>
                <c:pt idx="68">
                  <c:v>49.999999999999879</c:v>
                </c:pt>
                <c:pt idx="69">
                  <c:v>22</c:v>
                </c:pt>
                <c:pt idx="70">
                  <c:v>0</c:v>
                </c:pt>
                <c:pt idx="71">
                  <c:v>39.999999999999901</c:v>
                </c:pt>
                <c:pt idx="72">
                  <c:v>56.000000000000007</c:v>
                </c:pt>
                <c:pt idx="73">
                  <c:v>0</c:v>
                </c:pt>
                <c:pt idx="74">
                  <c:v>47.500000000000171</c:v>
                </c:pt>
                <c:pt idx="75">
                  <c:v>31.666666666666593</c:v>
                </c:pt>
                <c:pt idx="76">
                  <c:v>30</c:v>
                </c:pt>
                <c:pt idx="77">
                  <c:v>21.428571428571558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36</c:v>
                </c:pt>
                <c:pt idx="87">
                  <c:v>28.000000000000004</c:v>
                </c:pt>
                <c:pt idx="88">
                  <c:v>24</c:v>
                </c:pt>
                <c:pt idx="89">
                  <c:v>0</c:v>
                </c:pt>
                <c:pt idx="90">
                  <c:v>34.545454545454277</c:v>
                </c:pt>
                <c:pt idx="91">
                  <c:v>0</c:v>
                </c:pt>
                <c:pt idx="92">
                  <c:v>35.714285714285573</c:v>
                </c:pt>
                <c:pt idx="93">
                  <c:v>81</c:v>
                </c:pt>
                <c:pt idx="94">
                  <c:v>28.000000000000004</c:v>
                </c:pt>
                <c:pt idx="95">
                  <c:v>0</c:v>
                </c:pt>
                <c:pt idx="96">
                  <c:v>0</c:v>
                </c:pt>
                <c:pt idx="97">
                  <c:v>54</c:v>
                </c:pt>
                <c:pt idx="98">
                  <c:v>20</c:v>
                </c:pt>
                <c:pt idx="99">
                  <c:v>32</c:v>
                </c:pt>
                <c:pt idx="100">
                  <c:v>32</c:v>
                </c:pt>
                <c:pt idx="101">
                  <c:v>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80</c:v>
                </c:pt>
                <c:pt idx="107">
                  <c:v>54.545454545454831</c:v>
                </c:pt>
                <c:pt idx="108">
                  <c:v>69.999999999999829</c:v>
                </c:pt>
                <c:pt idx="109">
                  <c:v>32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38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24</c:v>
                </c:pt>
                <c:pt idx="125" formatCode="0.00">
                  <c:v>42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24</c:v>
                </c:pt>
                <c:pt idx="131" formatCode="0.00">
                  <c:v>54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46</c:v>
                </c:pt>
                <c:pt idx="135" formatCode="0.00">
                  <c:v>68</c:v>
                </c:pt>
                <c:pt idx="136" formatCode="0.00">
                  <c:v>24</c:v>
                </c:pt>
                <c:pt idx="137" formatCode="0.00">
                  <c:v>0</c:v>
                </c:pt>
                <c:pt idx="138" formatCode="0.00">
                  <c:v>20</c:v>
                </c:pt>
                <c:pt idx="139" formatCode="0.00">
                  <c:v>0</c:v>
                </c:pt>
                <c:pt idx="140" formatCode="0.00">
                  <c:v>20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22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">
                  <c:v>0</c:v>
                </c:pt>
                <c:pt idx="204" formatCode="0.0">
                  <c:v>0</c:v>
                </c:pt>
                <c:pt idx="205" formatCode="0.0">
                  <c:v>20</c:v>
                </c:pt>
                <c:pt idx="206" formatCode="0.0">
                  <c:v>20</c:v>
                </c:pt>
                <c:pt idx="207" formatCode="0.0">
                  <c:v>0</c:v>
                </c:pt>
                <c:pt idx="208" formatCode="0.0">
                  <c:v>0</c:v>
                </c:pt>
                <c:pt idx="209" formatCode="0.0">
                  <c:v>0</c:v>
                </c:pt>
                <c:pt idx="210" formatCode="0.0">
                  <c:v>0</c:v>
                </c:pt>
                <c:pt idx="211" formatCode="0.0">
                  <c:v>0</c:v>
                </c:pt>
                <c:pt idx="212" formatCode="0.0">
                  <c:v>0</c:v>
                </c:pt>
                <c:pt idx="213" formatCode="0.0">
                  <c:v>50</c:v>
                </c:pt>
                <c:pt idx="214" formatCode="0.0">
                  <c:v>0</c:v>
                </c:pt>
                <c:pt idx="215" formatCode="0.0">
                  <c:v>0</c:v>
                </c:pt>
                <c:pt idx="216" formatCode="0.0">
                  <c:v>44</c:v>
                </c:pt>
                <c:pt idx="217" formatCode="0.0">
                  <c:v>0</c:v>
                </c:pt>
                <c:pt idx="218" formatCode="0.0">
                  <c:v>26</c:v>
                </c:pt>
                <c:pt idx="219" formatCode="0.0">
                  <c:v>26</c:v>
                </c:pt>
                <c:pt idx="220" formatCode="0.0">
                  <c:v>36</c:v>
                </c:pt>
                <c:pt idx="221" formatCode="0.0">
                  <c:v>0</c:v>
                </c:pt>
                <c:pt idx="222" formatCode="0.0">
                  <c:v>0</c:v>
                </c:pt>
                <c:pt idx="223" formatCode="0.0">
                  <c:v>0</c:v>
                </c:pt>
                <c:pt idx="224" formatCode="0.0">
                  <c:v>0</c:v>
                </c:pt>
                <c:pt idx="225" formatCode="0.0">
                  <c:v>0</c:v>
                </c:pt>
                <c:pt idx="226" formatCode="0.0">
                  <c:v>0</c:v>
                </c:pt>
                <c:pt idx="227" formatCode="0.0">
                  <c:v>0</c:v>
                </c:pt>
                <c:pt idx="228" formatCode="0.0">
                  <c:v>0</c:v>
                </c:pt>
                <c:pt idx="229" formatCode="0.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22</c:v>
                </c:pt>
                <c:pt idx="239" formatCode="0.00">
                  <c:v>28.000000000000004</c:v>
                </c:pt>
                <c:pt idx="240" formatCode="0.00">
                  <c:v>30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20</c:v>
                </c:pt>
                <c:pt idx="244" formatCode="0.00">
                  <c:v>26</c:v>
                </c:pt>
                <c:pt idx="245" formatCode="0.00">
                  <c:v>30</c:v>
                </c:pt>
                <c:pt idx="246" formatCode="0.00">
                  <c:v>32</c:v>
                </c:pt>
                <c:pt idx="247" formatCode="0.00">
                  <c:v>56.000000000000007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20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28.000000000000004</c:v>
                </c:pt>
                <c:pt idx="257" formatCode="0.00">
                  <c:v>28.000000000000004</c:v>
                </c:pt>
                <c:pt idx="258" formatCode="0.00">
                  <c:v>0</c:v>
                </c:pt>
                <c:pt idx="259" formatCode="0.0">
                  <c:v>26</c:v>
                </c:pt>
                <c:pt idx="260" formatCode="0.0">
                  <c:v>20</c:v>
                </c:pt>
                <c:pt idx="261" formatCode="0.0">
                  <c:v>0</c:v>
                </c:pt>
                <c:pt idx="262" formatCode="0.0">
                  <c:v>0</c:v>
                </c:pt>
                <c:pt idx="263" formatCode="0.0">
                  <c:v>48</c:v>
                </c:pt>
                <c:pt idx="264" formatCode="0.0">
                  <c:v>0</c:v>
                </c:pt>
                <c:pt idx="265" formatCode="0.0">
                  <c:v>44</c:v>
                </c:pt>
                <c:pt idx="266" formatCode="0.0">
                  <c:v>0</c:v>
                </c:pt>
                <c:pt idx="267" formatCode="0.0">
                  <c:v>30</c:v>
                </c:pt>
                <c:pt idx="268" formatCode="0.0">
                  <c:v>26</c:v>
                </c:pt>
                <c:pt idx="269" formatCode="0.0">
                  <c:v>0</c:v>
                </c:pt>
                <c:pt idx="270" formatCode="0.0">
                  <c:v>0</c:v>
                </c:pt>
                <c:pt idx="271" formatCode="0.0">
                  <c:v>28.000000000000004</c:v>
                </c:pt>
                <c:pt idx="272" formatCode="0.0">
                  <c:v>50</c:v>
                </c:pt>
                <c:pt idx="273" formatCode="0.0">
                  <c:v>0</c:v>
                </c:pt>
                <c:pt idx="274" formatCode="0.00">
                  <c:v>88</c:v>
                </c:pt>
                <c:pt idx="275" formatCode="0.00">
                  <c:v>54</c:v>
                </c:pt>
                <c:pt idx="276" formatCode="0.00">
                  <c:v>92</c:v>
                </c:pt>
                <c:pt idx="277" formatCode="0.00">
                  <c:v>57.999999999999993</c:v>
                </c:pt>
                <c:pt idx="278" formatCode="0.00">
                  <c:v>56.000000000000007</c:v>
                </c:pt>
                <c:pt idx="279" formatCode="0.00">
                  <c:v>57.999999999999993</c:v>
                </c:pt>
                <c:pt idx="280" formatCode="0.00">
                  <c:v>57.999999999999993</c:v>
                </c:pt>
                <c:pt idx="281" formatCode="0.00">
                  <c:v>60</c:v>
                </c:pt>
                <c:pt idx="282" formatCode="0.00">
                  <c:v>84</c:v>
                </c:pt>
                <c:pt idx="283" formatCode="0.00">
                  <c:v>74</c:v>
                </c:pt>
                <c:pt idx="284" formatCode="0.00">
                  <c:v>84</c:v>
                </c:pt>
                <c:pt idx="285" formatCode="0.00">
                  <c:v>96</c:v>
                </c:pt>
                <c:pt idx="286" formatCode="0.00">
                  <c:v>92</c:v>
                </c:pt>
                <c:pt idx="287" formatCode="0.00">
                  <c:v>62</c:v>
                </c:pt>
                <c:pt idx="288" formatCode="0.0">
                  <c:v>48</c:v>
                </c:pt>
                <c:pt idx="289" formatCode="0.0">
                  <c:v>48</c:v>
                </c:pt>
                <c:pt idx="290" formatCode="0.0">
                  <c:v>84</c:v>
                </c:pt>
                <c:pt idx="291" formatCode="0.0">
                  <c:v>0</c:v>
                </c:pt>
                <c:pt idx="292" formatCode="0.0">
                  <c:v>28.000000000000004</c:v>
                </c:pt>
                <c:pt idx="293" formatCode="0.0">
                  <c:v>26</c:v>
                </c:pt>
                <c:pt idx="294" formatCode="0.00">
                  <c:v>20</c:v>
                </c:pt>
                <c:pt idx="295" formatCode="0.00">
                  <c:v>44</c:v>
                </c:pt>
                <c:pt idx="296" formatCode="0.00">
                  <c:v>100</c:v>
                </c:pt>
                <c:pt idx="297" formatCode="0.00">
                  <c:v>54</c:v>
                </c:pt>
                <c:pt idx="298" formatCode="0.00">
                  <c:v>0</c:v>
                </c:pt>
                <c:pt idx="299" formatCode="0.00">
                  <c:v>50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">
                  <c:v>0</c:v>
                </c:pt>
                <c:pt idx="303" formatCode="0.0">
                  <c:v>66</c:v>
                </c:pt>
                <c:pt idx="304" formatCode="0.0">
                  <c:v>20</c:v>
                </c:pt>
                <c:pt idx="305" formatCode="0.0">
                  <c:v>20</c:v>
                </c:pt>
                <c:pt idx="306" formatCode="0.00">
                  <c:v>54</c:v>
                </c:pt>
                <c:pt idx="307" formatCode="0.00">
                  <c:v>70</c:v>
                </c:pt>
                <c:pt idx="308" formatCode="0.00">
                  <c:v>36</c:v>
                </c:pt>
                <c:pt idx="309" formatCode="0.00">
                  <c:v>66</c:v>
                </c:pt>
                <c:pt idx="310" formatCode="0.00">
                  <c:v>28.000000000000004</c:v>
                </c:pt>
                <c:pt idx="311" formatCode="0.00">
                  <c:v>0</c:v>
                </c:pt>
                <c:pt idx="312" formatCode="0.00">
                  <c:v>74</c:v>
                </c:pt>
                <c:pt idx="313" formatCode="0.00">
                  <c:v>54</c:v>
                </c:pt>
                <c:pt idx="314" formatCode="0.00">
                  <c:v>42</c:v>
                </c:pt>
                <c:pt idx="315" formatCode="0.00">
                  <c:v>24</c:v>
                </c:pt>
                <c:pt idx="316" formatCode="0.00">
                  <c:v>22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64.51612903225805</c:v>
                </c:pt>
                <c:pt idx="354" formatCode="0.00">
                  <c:v>85.714285714285779</c:v>
                </c:pt>
                <c:pt idx="355" formatCode="0.00">
                  <c:v>27.500000000000007</c:v>
                </c:pt>
                <c:pt idx="356" formatCode="0.00">
                  <c:v>40.38461538461538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0</c:v>
                </c:pt>
                <c:pt idx="361" formatCode="0.00">
                  <c:v>0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26</c:v>
                </c:pt>
                <c:pt idx="368" formatCode="0.00">
                  <c:v>22</c:v>
                </c:pt>
                <c:pt idx="369" formatCode="0.00">
                  <c:v>0</c:v>
                </c:pt>
                <c:pt idx="370" formatCode="0.00">
                  <c:v>22</c:v>
                </c:pt>
                <c:pt idx="371" formatCode="0.00">
                  <c:v>22</c:v>
                </c:pt>
                <c:pt idx="372" formatCode="0.00">
                  <c:v>0</c:v>
                </c:pt>
                <c:pt idx="373" formatCode="0.00">
                  <c:v>26</c:v>
                </c:pt>
                <c:pt idx="374" formatCode="0.00">
                  <c:v>0</c:v>
                </c:pt>
                <c:pt idx="375" formatCode="0.00">
                  <c:v>42</c:v>
                </c:pt>
                <c:pt idx="376" formatCode="0.00">
                  <c:v>22</c:v>
                </c:pt>
                <c:pt idx="377" formatCode="0.00">
                  <c:v>0</c:v>
                </c:pt>
                <c:pt idx="378" formatCode="0.00">
                  <c:v>20</c:v>
                </c:pt>
                <c:pt idx="379" formatCode="0.00">
                  <c:v>0</c:v>
                </c:pt>
                <c:pt idx="380" formatCode="0.00">
                  <c:v>0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0</c:v>
                </c:pt>
                <c:pt idx="384" formatCode="0.00">
                  <c:v>0</c:v>
                </c:pt>
                <c:pt idx="385" formatCode="0.00">
                  <c:v>0</c:v>
                </c:pt>
                <c:pt idx="386" formatCode="0.00">
                  <c:v>0</c:v>
                </c:pt>
                <c:pt idx="387" formatCode="0.00">
                  <c:v>0</c:v>
                </c:pt>
                <c:pt idx="388" formatCode="0.00">
                  <c:v>0</c:v>
                </c:pt>
                <c:pt idx="389" formatCode="0.00">
                  <c:v>0</c:v>
                </c:pt>
                <c:pt idx="390" formatCode="0.00">
                  <c:v>0</c:v>
                </c:pt>
                <c:pt idx="391" formatCode="0.00">
                  <c:v>22</c:v>
                </c:pt>
                <c:pt idx="392" formatCode="0.00">
                  <c:v>0</c:v>
                </c:pt>
                <c:pt idx="393" formatCode="0.00">
                  <c:v>38</c:v>
                </c:pt>
                <c:pt idx="394" formatCode="0.00">
                  <c:v>28.000000000000004</c:v>
                </c:pt>
                <c:pt idx="395" formatCode="0.00">
                  <c:v>0</c:v>
                </c:pt>
                <c:pt idx="396" formatCode="0.00">
                  <c:v>22</c:v>
                </c:pt>
                <c:pt idx="397" formatCode="0.00">
                  <c:v>44</c:v>
                </c:pt>
                <c:pt idx="398" formatCode="0.00">
                  <c:v>0</c:v>
                </c:pt>
                <c:pt idx="399" formatCode="0.00">
                  <c:v>0</c:v>
                </c:pt>
                <c:pt idx="400" formatCode="0.00">
                  <c:v>0</c:v>
                </c:pt>
                <c:pt idx="401" formatCode="0.00">
                  <c:v>0</c:v>
                </c:pt>
                <c:pt idx="402" formatCode="0.00">
                  <c:v>0</c:v>
                </c:pt>
                <c:pt idx="403" formatCode="0.00">
                  <c:v>0</c:v>
                </c:pt>
                <c:pt idx="404" formatCode="0.00">
                  <c:v>0</c:v>
                </c:pt>
                <c:pt idx="405" formatCode="0.00">
                  <c:v>0</c:v>
                </c:pt>
                <c:pt idx="406" formatCode="0.00">
                  <c:v>0</c:v>
                </c:pt>
                <c:pt idx="407" formatCode="0.00">
                  <c:v>0</c:v>
                </c:pt>
                <c:pt idx="408" formatCode="0.00">
                  <c:v>0</c:v>
                </c:pt>
                <c:pt idx="409" formatCode="0.00">
                  <c:v>0</c:v>
                </c:pt>
                <c:pt idx="410" formatCode="0.00">
                  <c:v>0</c:v>
                </c:pt>
                <c:pt idx="411" formatCode="0.00">
                  <c:v>0</c:v>
                </c:pt>
                <c:pt idx="412" formatCode="0.00">
                  <c:v>0</c:v>
                </c:pt>
                <c:pt idx="413" formatCode="0.00">
                  <c:v>0</c:v>
                </c:pt>
                <c:pt idx="414" formatCode="0.00">
                  <c:v>32</c:v>
                </c:pt>
                <c:pt idx="415" formatCode="0.00">
                  <c:v>0</c:v>
                </c:pt>
                <c:pt idx="416" formatCode="0.00">
                  <c:v>0</c:v>
                </c:pt>
                <c:pt idx="417" formatCode="0.00">
                  <c:v>0</c:v>
                </c:pt>
                <c:pt idx="418" formatCode="0.00">
                  <c:v>0</c:v>
                </c:pt>
                <c:pt idx="419" formatCode="0.00">
                  <c:v>0</c:v>
                </c:pt>
                <c:pt idx="420" formatCode="0.00">
                  <c:v>64</c:v>
                </c:pt>
                <c:pt idx="421" formatCode="0.00">
                  <c:v>34</c:v>
                </c:pt>
                <c:pt idx="422" formatCode="0.00">
                  <c:v>0</c:v>
                </c:pt>
                <c:pt idx="423" formatCode="0.00">
                  <c:v>0</c:v>
                </c:pt>
                <c:pt idx="424" formatCode="0.00">
                  <c:v>24</c:v>
                </c:pt>
                <c:pt idx="425" formatCode="0.00">
                  <c:v>22</c:v>
                </c:pt>
                <c:pt idx="426" formatCode="0.00">
                  <c:v>0</c:v>
                </c:pt>
                <c:pt idx="427" formatCode="0.00">
                  <c:v>40</c:v>
                </c:pt>
                <c:pt idx="428" formatCode="0.00">
                  <c:v>20</c:v>
                </c:pt>
                <c:pt idx="429" formatCode="0.00">
                  <c:v>0</c:v>
                </c:pt>
                <c:pt idx="430" formatCode="0.00">
                  <c:v>22</c:v>
                </c:pt>
                <c:pt idx="431" formatCode="0.00">
                  <c:v>30</c:v>
                </c:pt>
                <c:pt idx="432" formatCode="0.00">
                  <c:v>30</c:v>
                </c:pt>
                <c:pt idx="433" formatCode="0.00">
                  <c:v>0</c:v>
                </c:pt>
                <c:pt idx="434" formatCode="0.00">
                  <c:v>22</c:v>
                </c:pt>
                <c:pt idx="435" formatCode="0.00">
                  <c:v>20</c:v>
                </c:pt>
                <c:pt idx="436" formatCode="0.00">
                  <c:v>24</c:v>
                </c:pt>
                <c:pt idx="437" formatCode="0.00">
                  <c:v>0</c:v>
                </c:pt>
                <c:pt idx="438" formatCode="0.00">
                  <c:v>20</c:v>
                </c:pt>
                <c:pt idx="439" formatCode="0.00">
                  <c:v>28.000000000000004</c:v>
                </c:pt>
                <c:pt idx="440" formatCode="0.00">
                  <c:v>24</c:v>
                </c:pt>
                <c:pt idx="441" formatCode="0.00">
                  <c:v>0</c:v>
                </c:pt>
                <c:pt idx="442" formatCode="0.00">
                  <c:v>0</c:v>
                </c:pt>
                <c:pt idx="443" formatCode="0.00">
                  <c:v>0</c:v>
                </c:pt>
                <c:pt idx="444" formatCode="0.00">
                  <c:v>28.000000000000004</c:v>
                </c:pt>
                <c:pt idx="445" formatCode="0.00">
                  <c:v>34</c:v>
                </c:pt>
                <c:pt idx="446" formatCode="0.00">
                  <c:v>0</c:v>
                </c:pt>
                <c:pt idx="447" formatCode="0.00">
                  <c:v>0</c:v>
                </c:pt>
                <c:pt idx="448" formatCode="0.00">
                  <c:v>0</c:v>
                </c:pt>
                <c:pt idx="449" formatCode="0.00">
                  <c:v>0</c:v>
                </c:pt>
                <c:pt idx="450" formatCode="0.00">
                  <c:v>0</c:v>
                </c:pt>
                <c:pt idx="451" formatCode="0.00">
                  <c:v>54</c:v>
                </c:pt>
                <c:pt idx="452" formatCode="0.00">
                  <c:v>52</c:v>
                </c:pt>
                <c:pt idx="453" formatCode="0.00">
                  <c:v>34</c:v>
                </c:pt>
                <c:pt idx="454" formatCode="0.00">
                  <c:v>28.000000000000004</c:v>
                </c:pt>
                <c:pt idx="455" formatCode="0.00">
                  <c:v>0</c:v>
                </c:pt>
                <c:pt idx="456" formatCode="0.00">
                  <c:v>50</c:v>
                </c:pt>
                <c:pt idx="457" formatCode="0.00">
                  <c:v>20</c:v>
                </c:pt>
                <c:pt idx="458" formatCode="0.00">
                  <c:v>0</c:v>
                </c:pt>
                <c:pt idx="459" formatCode="0.00">
                  <c:v>44</c:v>
                </c:pt>
                <c:pt idx="460" formatCode="0.00">
                  <c:v>22</c:v>
                </c:pt>
                <c:pt idx="461" formatCode="0.00">
                  <c:v>30</c:v>
                </c:pt>
                <c:pt idx="462" formatCode="0.00">
                  <c:v>26</c:v>
                </c:pt>
                <c:pt idx="463" formatCode="0.00">
                  <c:v>0</c:v>
                </c:pt>
                <c:pt idx="464" formatCode="0.00">
                  <c:v>66</c:v>
                </c:pt>
                <c:pt idx="465" formatCode="0.00">
                  <c:v>36</c:v>
                </c:pt>
                <c:pt idx="466" formatCode="0.00">
                  <c:v>50</c:v>
                </c:pt>
                <c:pt idx="467" formatCode="0.00">
                  <c:v>0</c:v>
                </c:pt>
                <c:pt idx="468" formatCode="0.00">
                  <c:v>0</c:v>
                </c:pt>
                <c:pt idx="469" formatCode="0.00">
                  <c:v>0</c:v>
                </c:pt>
                <c:pt idx="470" formatCode="0.00">
                  <c:v>0</c:v>
                </c:pt>
                <c:pt idx="471" formatCode="0.00">
                  <c:v>0</c:v>
                </c:pt>
                <c:pt idx="472" formatCode="0.00">
                  <c:v>0</c:v>
                </c:pt>
                <c:pt idx="473" formatCode="0.00">
                  <c:v>0</c:v>
                </c:pt>
                <c:pt idx="474" formatCode="0.00">
                  <c:v>0</c:v>
                </c:pt>
                <c:pt idx="475" formatCode="0.00">
                  <c:v>0</c:v>
                </c:pt>
                <c:pt idx="476" formatCode="0.00">
                  <c:v>0</c:v>
                </c:pt>
                <c:pt idx="477" formatCode="0.00">
                  <c:v>0</c:v>
                </c:pt>
                <c:pt idx="478" formatCode="0.00">
                  <c:v>0</c:v>
                </c:pt>
                <c:pt idx="479" formatCode="0.00">
                  <c:v>0</c:v>
                </c:pt>
                <c:pt idx="480" formatCode="0.00">
                  <c:v>0</c:v>
                </c:pt>
                <c:pt idx="481" formatCode="0.00">
                  <c:v>0</c:v>
                </c:pt>
                <c:pt idx="482" formatCode="0.00">
                  <c:v>0</c:v>
                </c:pt>
                <c:pt idx="483" formatCode="0.00">
                  <c:v>0</c:v>
                </c:pt>
                <c:pt idx="484" formatCode="0.00">
                  <c:v>0</c:v>
                </c:pt>
                <c:pt idx="485" formatCode="0.00">
                  <c:v>0</c:v>
                </c:pt>
                <c:pt idx="486" formatCode="0.00">
                  <c:v>0</c:v>
                </c:pt>
                <c:pt idx="487" formatCode="0.00">
                  <c:v>0</c:v>
                </c:pt>
                <c:pt idx="488" formatCode="0.00">
                  <c:v>0</c:v>
                </c:pt>
                <c:pt idx="489" formatCode="0.00">
                  <c:v>0</c:v>
                </c:pt>
                <c:pt idx="490" formatCode="0.00">
                  <c:v>0</c:v>
                </c:pt>
                <c:pt idx="491" formatCode="0.00">
                  <c:v>0</c:v>
                </c:pt>
                <c:pt idx="492" formatCode="0.00">
                  <c:v>0</c:v>
                </c:pt>
                <c:pt idx="493" formatCode="0.00">
                  <c:v>0</c:v>
                </c:pt>
                <c:pt idx="494" formatCode="0.00">
                  <c:v>0</c:v>
                </c:pt>
                <c:pt idx="495" formatCode="0.00">
                  <c:v>0</c:v>
                </c:pt>
                <c:pt idx="496" formatCode="0.00">
                  <c:v>0</c:v>
                </c:pt>
                <c:pt idx="497" formatCode="0.00">
                  <c:v>0</c:v>
                </c:pt>
                <c:pt idx="498" formatCode="0.00">
                  <c:v>0</c:v>
                </c:pt>
                <c:pt idx="499" formatCode="0.00">
                  <c:v>0</c:v>
                </c:pt>
                <c:pt idx="500" formatCode="0.00">
                  <c:v>0</c:v>
                </c:pt>
                <c:pt idx="501" formatCode="0.00">
                  <c:v>0</c:v>
                </c:pt>
                <c:pt idx="502" formatCode="0.00">
                  <c:v>0</c:v>
                </c:pt>
                <c:pt idx="503" formatCode="0.00">
                  <c:v>0</c:v>
                </c:pt>
                <c:pt idx="504" formatCode="0.00">
                  <c:v>0</c:v>
                </c:pt>
                <c:pt idx="505" formatCode="0.00">
                  <c:v>34</c:v>
                </c:pt>
                <c:pt idx="506" formatCode="0.00">
                  <c:v>0</c:v>
                </c:pt>
                <c:pt idx="507" formatCode="0.00">
                  <c:v>0</c:v>
                </c:pt>
                <c:pt idx="508" formatCode="0.00">
                  <c:v>0</c:v>
                </c:pt>
                <c:pt idx="509" formatCode="0.00">
                  <c:v>0</c:v>
                </c:pt>
                <c:pt idx="510" formatCode="0.00">
                  <c:v>0</c:v>
                </c:pt>
                <c:pt idx="511" formatCode="0.00">
                  <c:v>0</c:v>
                </c:pt>
                <c:pt idx="512" formatCode="0.00">
                  <c:v>0</c:v>
                </c:pt>
                <c:pt idx="513" formatCode="0.00">
                  <c:v>62</c:v>
                </c:pt>
                <c:pt idx="514" formatCode="0.00">
                  <c:v>0</c:v>
                </c:pt>
                <c:pt idx="515" formatCode="0.00">
                  <c:v>0</c:v>
                </c:pt>
                <c:pt idx="516" formatCode="0.00">
                  <c:v>0</c:v>
                </c:pt>
                <c:pt idx="517" formatCode="0.00">
                  <c:v>0</c:v>
                </c:pt>
                <c:pt idx="518" formatCode="0.00">
                  <c:v>40</c:v>
                </c:pt>
                <c:pt idx="519" formatCode="0.00">
                  <c:v>36</c:v>
                </c:pt>
                <c:pt idx="520" formatCode="0.00">
                  <c:v>46</c:v>
                </c:pt>
                <c:pt idx="521" formatCode="0.00">
                  <c:v>26</c:v>
                </c:pt>
                <c:pt idx="522" formatCode="0.00">
                  <c:v>0</c:v>
                </c:pt>
                <c:pt idx="523" formatCode="0.00">
                  <c:v>0</c:v>
                </c:pt>
                <c:pt idx="524" formatCode="0.00">
                  <c:v>0</c:v>
                </c:pt>
                <c:pt idx="525" formatCode="0.00">
                  <c:v>0</c:v>
                </c:pt>
                <c:pt idx="526" formatCode="0.00">
                  <c:v>0</c:v>
                </c:pt>
                <c:pt idx="527" formatCode="0.00">
                  <c:v>22</c:v>
                </c:pt>
                <c:pt idx="528" formatCode="0.00">
                  <c:v>0</c:v>
                </c:pt>
                <c:pt idx="529" formatCode="0.00">
                  <c:v>0</c:v>
                </c:pt>
                <c:pt idx="530" formatCode="0.00">
                  <c:v>0</c:v>
                </c:pt>
                <c:pt idx="531" formatCode="0.00">
                  <c:v>88</c:v>
                </c:pt>
                <c:pt idx="532" formatCode="0.00">
                  <c:v>20</c:v>
                </c:pt>
                <c:pt idx="533" formatCode="0.00">
                  <c:v>88</c:v>
                </c:pt>
                <c:pt idx="534" formatCode="0.00">
                  <c:v>20</c:v>
                </c:pt>
                <c:pt idx="535" formatCode="0.00">
                  <c:v>0</c:v>
                </c:pt>
                <c:pt idx="536" formatCode="0.00">
                  <c:v>72</c:v>
                </c:pt>
                <c:pt idx="537" formatCode="0.00">
                  <c:v>0</c:v>
                </c:pt>
                <c:pt idx="538" formatCode="0.00">
                  <c:v>0</c:v>
                </c:pt>
                <c:pt idx="539" formatCode="0.00">
                  <c:v>0</c:v>
                </c:pt>
                <c:pt idx="540" formatCode="0.00">
                  <c:v>36</c:v>
                </c:pt>
                <c:pt idx="541" formatCode="0.00">
                  <c:v>32</c:v>
                </c:pt>
                <c:pt idx="542" formatCode="0.00">
                  <c:v>30</c:v>
                </c:pt>
                <c:pt idx="543" formatCode="0.00">
                  <c:v>68</c:v>
                </c:pt>
                <c:pt idx="544" formatCode="0.00">
                  <c:v>0</c:v>
                </c:pt>
                <c:pt idx="545" formatCode="0.00">
                  <c:v>40</c:v>
                </c:pt>
                <c:pt idx="546" formatCode="0.00">
                  <c:v>46</c:v>
                </c:pt>
                <c:pt idx="547" formatCode="0.00">
                  <c:v>40</c:v>
                </c:pt>
                <c:pt idx="548" formatCode="0.00">
                  <c:v>52</c:v>
                </c:pt>
                <c:pt idx="549" formatCode="0.00">
                  <c:v>38</c:v>
                </c:pt>
                <c:pt idx="550" formatCode="0.00">
                  <c:v>52</c:v>
                </c:pt>
                <c:pt idx="551" formatCode="0.00">
                  <c:v>34</c:v>
                </c:pt>
                <c:pt idx="552" formatCode="0.00">
                  <c:v>22</c:v>
                </c:pt>
                <c:pt idx="553" formatCode="0.00">
                  <c:v>66</c:v>
                </c:pt>
                <c:pt idx="554" formatCode="0.00">
                  <c:v>20</c:v>
                </c:pt>
                <c:pt idx="555" formatCode="0.00">
                  <c:v>42</c:v>
                </c:pt>
                <c:pt idx="556" formatCode="0.00">
                  <c:v>24</c:v>
                </c:pt>
                <c:pt idx="557" formatCode="0.00">
                  <c:v>0</c:v>
                </c:pt>
                <c:pt idx="558" formatCode="0.00">
                  <c:v>20</c:v>
                </c:pt>
                <c:pt idx="559" formatCode="0.00">
                  <c:v>30</c:v>
                </c:pt>
                <c:pt idx="560" formatCode="0.00">
                  <c:v>0</c:v>
                </c:pt>
                <c:pt idx="561" formatCode="0.00">
                  <c:v>0</c:v>
                </c:pt>
                <c:pt idx="562" formatCode="0.00">
                  <c:v>0</c:v>
                </c:pt>
                <c:pt idx="563" formatCode="0.00">
                  <c:v>0</c:v>
                </c:pt>
                <c:pt idx="564" formatCode="0.00">
                  <c:v>0</c:v>
                </c:pt>
                <c:pt idx="565" formatCode="0.00">
                  <c:v>20</c:v>
                </c:pt>
                <c:pt idx="566" formatCode="0.00">
                  <c:v>24</c:v>
                </c:pt>
                <c:pt idx="567" formatCode="0.00">
                  <c:v>54</c:v>
                </c:pt>
                <c:pt idx="568" formatCode="0.00">
                  <c:v>52</c:v>
                </c:pt>
                <c:pt idx="569" formatCode="0.00">
                  <c:v>24</c:v>
                </c:pt>
                <c:pt idx="570" formatCode="0.00">
                  <c:v>64</c:v>
                </c:pt>
                <c:pt idx="571" formatCode="0.00">
                  <c:v>20</c:v>
                </c:pt>
                <c:pt idx="572" formatCode="0.00">
                  <c:v>0</c:v>
                </c:pt>
                <c:pt idx="573" formatCode="0.00">
                  <c:v>22</c:v>
                </c:pt>
                <c:pt idx="574" formatCode="0.00">
                  <c:v>0</c:v>
                </c:pt>
                <c:pt idx="575" formatCode="0.00">
                  <c:v>0</c:v>
                </c:pt>
                <c:pt idx="576" formatCode="0.00">
                  <c:v>0</c:v>
                </c:pt>
                <c:pt idx="577" formatCode="0.00">
                  <c:v>0</c:v>
                </c:pt>
                <c:pt idx="578" formatCode="0.00">
                  <c:v>0</c:v>
                </c:pt>
                <c:pt idx="579" formatCode="0.00">
                  <c:v>0</c:v>
                </c:pt>
                <c:pt idx="580" formatCode="0.00">
                  <c:v>48</c:v>
                </c:pt>
                <c:pt idx="581" formatCode="0.00">
                  <c:v>0</c:v>
                </c:pt>
                <c:pt idx="582" formatCode="0.00">
                  <c:v>36</c:v>
                </c:pt>
                <c:pt idx="583" formatCode="0.00">
                  <c:v>9.376786022400001</c:v>
                </c:pt>
                <c:pt idx="584" formatCode="0.00">
                  <c:v>12.5</c:v>
                </c:pt>
                <c:pt idx="585" formatCode="0.00">
                  <c:v>2.8149950088000009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19-407D-A338-D464D384B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16960981865876"/>
          <c:y val="0.92553528034393151"/>
          <c:w val="0.69433374422134408"/>
          <c:h val="3.55471306984892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Geotech-01</a:t>
            </a:r>
          </a:p>
        </c:rich>
      </c:tx>
      <c:layout>
        <c:manualLayout>
          <c:xMode val="edge"/>
          <c:yMode val="edge"/>
          <c:x val="0.38278729525039629"/>
          <c:y val="2.8831710283641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6773126900556887"/>
          <c:h val="0.71279697876461334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DC38-40CF-B353-BC337F2F9413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C38-40CF-B353-BC337F2F9413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C38-40CF-B353-BC337F2F9413}"/>
            </c:ext>
          </c:extLst>
        </c:ser>
        <c:ser>
          <c:idx val="3"/>
          <c:order val="3"/>
          <c:tx>
            <c:v>Geotech-01</c:v>
          </c:tx>
          <c:marker>
            <c:symbol val="none"/>
          </c:marker>
          <c:xVal>
            <c:numRef>
              <c:f>'2. Logging Brejo Seco'!$Z$3:$Z$112</c:f>
              <c:numCache>
                <c:formatCode>0.00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126.66666666666667</c:v>
                </c:pt>
                <c:pt idx="7">
                  <c:v>420</c:v>
                </c:pt>
                <c:pt idx="8">
                  <c:v>19</c:v>
                </c:pt>
                <c:pt idx="9">
                  <c:v>180</c:v>
                </c:pt>
                <c:pt idx="10">
                  <c:v>78</c:v>
                </c:pt>
                <c:pt idx="11">
                  <c:v>87.5</c:v>
                </c:pt>
                <c:pt idx="12">
                  <c:v>15.333333333333334</c:v>
                </c:pt>
                <c:pt idx="13">
                  <c:v>76.666666666666671</c:v>
                </c:pt>
                <c:pt idx="14">
                  <c:v>86</c:v>
                </c:pt>
                <c:pt idx="15">
                  <c:v>112.5</c:v>
                </c:pt>
                <c:pt idx="16">
                  <c:v>235</c:v>
                </c:pt>
                <c:pt idx="17">
                  <c:v>70</c:v>
                </c:pt>
                <c:pt idx="18">
                  <c:v>102.5</c:v>
                </c:pt>
                <c:pt idx="19">
                  <c:v>107.5</c:v>
                </c:pt>
                <c:pt idx="20">
                  <c:v>96.666666666666671</c:v>
                </c:pt>
                <c:pt idx="21">
                  <c:v>20.76923076923077</c:v>
                </c:pt>
                <c:pt idx="22">
                  <c:v>29</c:v>
                </c:pt>
                <c:pt idx="23">
                  <c:v>32</c:v>
                </c:pt>
                <c:pt idx="24">
                  <c:v>44</c:v>
                </c:pt>
                <c:pt idx="25">
                  <c:v>46</c:v>
                </c:pt>
                <c:pt idx="26">
                  <c:v>73.333333333333329</c:v>
                </c:pt>
                <c:pt idx="27">
                  <c:v>140</c:v>
                </c:pt>
                <c:pt idx="28">
                  <c:v>70</c:v>
                </c:pt>
                <c:pt idx="29">
                  <c:v>92.5</c:v>
                </c:pt>
                <c:pt idx="30">
                  <c:v>48.571428571428569</c:v>
                </c:pt>
                <c:pt idx="31">
                  <c:v>81.666666666666671</c:v>
                </c:pt>
                <c:pt idx="32">
                  <c:v>93.333333333333329</c:v>
                </c:pt>
                <c:pt idx="33">
                  <c:v>55</c:v>
                </c:pt>
                <c:pt idx="34">
                  <c:v>19</c:v>
                </c:pt>
                <c:pt idx="35">
                  <c:v>51.666666666666664</c:v>
                </c:pt>
                <c:pt idx="36">
                  <c:v>13</c:v>
                </c:pt>
                <c:pt idx="37">
                  <c:v>11</c:v>
                </c:pt>
                <c:pt idx="38">
                  <c:v>14</c:v>
                </c:pt>
                <c:pt idx="39">
                  <c:v>23</c:v>
                </c:pt>
                <c:pt idx="40">
                  <c:v>34</c:v>
                </c:pt>
                <c:pt idx="41">
                  <c:v>13</c:v>
                </c:pt>
                <c:pt idx="42">
                  <c:v>51.666666666666664</c:v>
                </c:pt>
                <c:pt idx="43">
                  <c:v>54</c:v>
                </c:pt>
                <c:pt idx="44">
                  <c:v>110</c:v>
                </c:pt>
                <c:pt idx="45">
                  <c:v>500</c:v>
                </c:pt>
                <c:pt idx="46">
                  <c:v>166.66666666666666</c:v>
                </c:pt>
                <c:pt idx="47">
                  <c:v>665</c:v>
                </c:pt>
                <c:pt idx="48">
                  <c:v>87.5</c:v>
                </c:pt>
                <c:pt idx="49">
                  <c:v>47.5</c:v>
                </c:pt>
                <c:pt idx="50">
                  <c:v>103.33333333333333</c:v>
                </c:pt>
                <c:pt idx="51">
                  <c:v>305</c:v>
                </c:pt>
                <c:pt idx="52">
                  <c:v>286.66666666666669</c:v>
                </c:pt>
                <c:pt idx="53">
                  <c:v>164</c:v>
                </c:pt>
                <c:pt idx="54">
                  <c:v>240</c:v>
                </c:pt>
                <c:pt idx="55">
                  <c:v>233.33333333333334</c:v>
                </c:pt>
                <c:pt idx="56">
                  <c:v>236.66666666666666</c:v>
                </c:pt>
                <c:pt idx="57">
                  <c:v>150</c:v>
                </c:pt>
                <c:pt idx="58">
                  <c:v>72</c:v>
                </c:pt>
                <c:pt idx="59">
                  <c:v>105.71428571428571</c:v>
                </c:pt>
                <c:pt idx="60">
                  <c:v>520</c:v>
                </c:pt>
                <c:pt idx="61">
                  <c:v>123.33333333333333</c:v>
                </c:pt>
                <c:pt idx="62">
                  <c:v>73.333333333333329</c:v>
                </c:pt>
                <c:pt idx="63">
                  <c:v>49</c:v>
                </c:pt>
                <c:pt idx="64">
                  <c:v>125</c:v>
                </c:pt>
                <c:pt idx="65">
                  <c:v>146.66666666666666</c:v>
                </c:pt>
                <c:pt idx="66">
                  <c:v>32.666666666666664</c:v>
                </c:pt>
                <c:pt idx="67">
                  <c:v>124</c:v>
                </c:pt>
                <c:pt idx="68">
                  <c:v>98</c:v>
                </c:pt>
                <c:pt idx="69">
                  <c:v>120</c:v>
                </c:pt>
                <c:pt idx="70">
                  <c:v>32.666666666666664</c:v>
                </c:pt>
                <c:pt idx="71">
                  <c:v>150</c:v>
                </c:pt>
                <c:pt idx="72">
                  <c:v>126.66666666666667</c:v>
                </c:pt>
                <c:pt idx="73">
                  <c:v>46</c:v>
                </c:pt>
                <c:pt idx="74">
                  <c:v>126.66666666666667</c:v>
                </c:pt>
                <c:pt idx="75">
                  <c:v>156.66666666666666</c:v>
                </c:pt>
                <c:pt idx="76">
                  <c:v>86</c:v>
                </c:pt>
                <c:pt idx="77">
                  <c:v>125</c:v>
                </c:pt>
                <c:pt idx="78">
                  <c:v>41.666666666666664</c:v>
                </c:pt>
                <c:pt idx="79">
                  <c:v>55</c:v>
                </c:pt>
                <c:pt idx="80">
                  <c:v>43.333333333333336</c:v>
                </c:pt>
                <c:pt idx="81">
                  <c:v>24</c:v>
                </c:pt>
                <c:pt idx="82">
                  <c:v>28</c:v>
                </c:pt>
                <c:pt idx="83">
                  <c:v>33.75</c:v>
                </c:pt>
                <c:pt idx="84">
                  <c:v>74</c:v>
                </c:pt>
                <c:pt idx="85">
                  <c:v>47.142857142857146</c:v>
                </c:pt>
                <c:pt idx="86">
                  <c:v>150</c:v>
                </c:pt>
                <c:pt idx="87">
                  <c:v>65</c:v>
                </c:pt>
                <c:pt idx="88">
                  <c:v>70</c:v>
                </c:pt>
                <c:pt idx="89">
                  <c:v>28.571428571428573</c:v>
                </c:pt>
                <c:pt idx="90">
                  <c:v>71.666666666666671</c:v>
                </c:pt>
                <c:pt idx="91">
                  <c:v>53</c:v>
                </c:pt>
                <c:pt idx="92">
                  <c:v>100</c:v>
                </c:pt>
                <c:pt idx="93">
                  <c:v>485</c:v>
                </c:pt>
                <c:pt idx="94">
                  <c:v>71.428571428571431</c:v>
                </c:pt>
                <c:pt idx="95">
                  <c:v>27</c:v>
                </c:pt>
                <c:pt idx="96">
                  <c:v>25</c:v>
                </c:pt>
                <c:pt idx="97">
                  <c:v>100</c:v>
                </c:pt>
                <c:pt idx="98">
                  <c:v>146.66666666666666</c:v>
                </c:pt>
                <c:pt idx="99">
                  <c:v>100</c:v>
                </c:pt>
                <c:pt idx="100">
                  <c:v>83.333333333333329</c:v>
                </c:pt>
                <c:pt idx="101">
                  <c:v>90</c:v>
                </c:pt>
                <c:pt idx="102">
                  <c:v>60</c:v>
                </c:pt>
                <c:pt idx="103">
                  <c:v>86</c:v>
                </c:pt>
                <c:pt idx="104">
                  <c:v>29</c:v>
                </c:pt>
                <c:pt idx="105">
                  <c:v>16.666666666666668</c:v>
                </c:pt>
                <c:pt idx="106">
                  <c:v>235</c:v>
                </c:pt>
                <c:pt idx="107">
                  <c:v>170</c:v>
                </c:pt>
                <c:pt idx="108">
                  <c:v>170</c:v>
                </c:pt>
                <c:pt idx="109">
                  <c:v>100</c:v>
                </c:pt>
              </c:numCache>
            </c:numRef>
          </c:xVal>
          <c:yVal>
            <c:numRef>
              <c:f>'2. Logging Brejo Seco'!$V$3:$V$112</c:f>
              <c:numCache>
                <c:formatCode>0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100</c:v>
                </c:pt>
                <c:pt idx="8">
                  <c:v>0</c:v>
                </c:pt>
                <c:pt idx="9">
                  <c:v>60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22</c:v>
                </c:pt>
                <c:pt idx="14">
                  <c:v>42.000000000000007</c:v>
                </c:pt>
                <c:pt idx="15">
                  <c:v>56.000000000000007</c:v>
                </c:pt>
                <c:pt idx="16">
                  <c:v>62</c:v>
                </c:pt>
                <c:pt idx="17">
                  <c:v>32</c:v>
                </c:pt>
                <c:pt idx="18">
                  <c:v>42</c:v>
                </c:pt>
                <c:pt idx="19">
                  <c:v>50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32</c:v>
                </c:pt>
                <c:pt idx="24">
                  <c:v>38</c:v>
                </c:pt>
                <c:pt idx="25">
                  <c:v>22</c:v>
                </c:pt>
                <c:pt idx="26">
                  <c:v>24</c:v>
                </c:pt>
                <c:pt idx="27">
                  <c:v>28.000000000000004</c:v>
                </c:pt>
                <c:pt idx="28">
                  <c:v>44</c:v>
                </c:pt>
                <c:pt idx="29">
                  <c:v>40</c:v>
                </c:pt>
                <c:pt idx="30">
                  <c:v>0</c:v>
                </c:pt>
                <c:pt idx="31">
                  <c:v>54</c:v>
                </c:pt>
                <c:pt idx="32">
                  <c:v>24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</c:v>
                </c:pt>
                <c:pt idx="41">
                  <c:v>0</c:v>
                </c:pt>
                <c:pt idx="42">
                  <c:v>0</c:v>
                </c:pt>
                <c:pt idx="43">
                  <c:v>52</c:v>
                </c:pt>
                <c:pt idx="44">
                  <c:v>36</c:v>
                </c:pt>
                <c:pt idx="45">
                  <c:v>100</c:v>
                </c:pt>
                <c:pt idx="46">
                  <c:v>62</c:v>
                </c:pt>
                <c:pt idx="47">
                  <c:v>94.736842105263278</c:v>
                </c:pt>
                <c:pt idx="48">
                  <c:v>34</c:v>
                </c:pt>
                <c:pt idx="49">
                  <c:v>32</c:v>
                </c:pt>
                <c:pt idx="50">
                  <c:v>22</c:v>
                </c:pt>
                <c:pt idx="51">
                  <c:v>85.714285714285367</c:v>
                </c:pt>
                <c:pt idx="52">
                  <c:v>91.48936170212788</c:v>
                </c:pt>
                <c:pt idx="53">
                  <c:v>52.427184466019362</c:v>
                </c:pt>
                <c:pt idx="54">
                  <c:v>80</c:v>
                </c:pt>
                <c:pt idx="55">
                  <c:v>82.432432432432606</c:v>
                </c:pt>
                <c:pt idx="56">
                  <c:v>74.999999999999929</c:v>
                </c:pt>
                <c:pt idx="57">
                  <c:v>40</c:v>
                </c:pt>
                <c:pt idx="58">
                  <c:v>30</c:v>
                </c:pt>
                <c:pt idx="59">
                  <c:v>26.666666666666668</c:v>
                </c:pt>
                <c:pt idx="60">
                  <c:v>92.857142857142478</c:v>
                </c:pt>
                <c:pt idx="61">
                  <c:v>64</c:v>
                </c:pt>
                <c:pt idx="62">
                  <c:v>40</c:v>
                </c:pt>
                <c:pt idx="63">
                  <c:v>0</c:v>
                </c:pt>
                <c:pt idx="64">
                  <c:v>57.999999999999993</c:v>
                </c:pt>
                <c:pt idx="65">
                  <c:v>36</c:v>
                </c:pt>
                <c:pt idx="66">
                  <c:v>0</c:v>
                </c:pt>
                <c:pt idx="67">
                  <c:v>32.85714285714306</c:v>
                </c:pt>
                <c:pt idx="68">
                  <c:v>49.999999999999879</c:v>
                </c:pt>
                <c:pt idx="69">
                  <c:v>22</c:v>
                </c:pt>
                <c:pt idx="70">
                  <c:v>0</c:v>
                </c:pt>
                <c:pt idx="71">
                  <c:v>39.999999999999901</c:v>
                </c:pt>
                <c:pt idx="72">
                  <c:v>56.000000000000007</c:v>
                </c:pt>
                <c:pt idx="73">
                  <c:v>0</c:v>
                </c:pt>
                <c:pt idx="74">
                  <c:v>47.500000000000171</c:v>
                </c:pt>
                <c:pt idx="75">
                  <c:v>31.666666666666593</c:v>
                </c:pt>
                <c:pt idx="76">
                  <c:v>30</c:v>
                </c:pt>
                <c:pt idx="77">
                  <c:v>21.428571428571558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36</c:v>
                </c:pt>
                <c:pt idx="87">
                  <c:v>28.000000000000004</c:v>
                </c:pt>
                <c:pt idx="88">
                  <c:v>24</c:v>
                </c:pt>
                <c:pt idx="89">
                  <c:v>0</c:v>
                </c:pt>
                <c:pt idx="90">
                  <c:v>34.545454545454277</c:v>
                </c:pt>
                <c:pt idx="91">
                  <c:v>0</c:v>
                </c:pt>
                <c:pt idx="92">
                  <c:v>35.714285714285573</c:v>
                </c:pt>
                <c:pt idx="93">
                  <c:v>81</c:v>
                </c:pt>
                <c:pt idx="94">
                  <c:v>28.000000000000004</c:v>
                </c:pt>
                <c:pt idx="95">
                  <c:v>0</c:v>
                </c:pt>
                <c:pt idx="96">
                  <c:v>0</c:v>
                </c:pt>
                <c:pt idx="97">
                  <c:v>54</c:v>
                </c:pt>
                <c:pt idx="98">
                  <c:v>20</c:v>
                </c:pt>
                <c:pt idx="99">
                  <c:v>32</c:v>
                </c:pt>
                <c:pt idx="100">
                  <c:v>32</c:v>
                </c:pt>
                <c:pt idx="101">
                  <c:v>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80</c:v>
                </c:pt>
                <c:pt idx="107">
                  <c:v>54.545454545454831</c:v>
                </c:pt>
                <c:pt idx="108">
                  <c:v>69.999999999999829</c:v>
                </c:pt>
                <c:pt idx="109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38-40CF-B353-BC337F2F9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861922747139183"/>
          <c:y val="0.88358390843341794"/>
          <c:w val="0.68888412109249286"/>
          <c:h val="9.769107706694613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Geotech-04</a:t>
            </a:r>
          </a:p>
        </c:rich>
      </c:tx>
      <c:layout>
        <c:manualLayout>
          <c:xMode val="edge"/>
          <c:yMode val="edge"/>
          <c:x val="0.38278729525039629"/>
          <c:y val="2.8831710283641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9637676749939579"/>
          <c:h val="0.75531322158105763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9F35-460C-B9CF-1369F7A29685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F35-460C-B9CF-1369F7A29685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F35-460C-B9CF-1369F7A29685}"/>
            </c:ext>
          </c:extLst>
        </c:ser>
        <c:ser>
          <c:idx val="3"/>
          <c:order val="3"/>
          <c:marker>
            <c:symbol val="none"/>
          </c:marker>
          <c:xVal>
            <c:numRef>
              <c:f>'2. Logging Brejo Seco'!$Z$508:$Z$587</c:f>
              <c:numCache>
                <c:formatCode>0.00</c:formatCode>
                <c:ptCount val="80"/>
                <c:pt idx="0">
                  <c:v>125</c:v>
                </c:pt>
                <c:pt idx="1">
                  <c:v>71.428571428571431</c:v>
                </c:pt>
                <c:pt idx="2">
                  <c:v>100</c:v>
                </c:pt>
                <c:pt idx="3">
                  <c:v>100</c:v>
                </c:pt>
                <c:pt idx="4">
                  <c:v>50</c:v>
                </c:pt>
                <c:pt idx="5">
                  <c:v>125</c:v>
                </c:pt>
                <c:pt idx="6">
                  <c:v>50</c:v>
                </c:pt>
                <c:pt idx="7">
                  <c:v>50</c:v>
                </c:pt>
                <c:pt idx="8">
                  <c:v>125</c:v>
                </c:pt>
                <c:pt idx="9">
                  <c:v>100</c:v>
                </c:pt>
                <c:pt idx="10">
                  <c:v>50</c:v>
                </c:pt>
                <c:pt idx="11">
                  <c:v>50</c:v>
                </c:pt>
                <c:pt idx="12">
                  <c:v>125</c:v>
                </c:pt>
                <c:pt idx="13">
                  <c:v>100</c:v>
                </c:pt>
                <c:pt idx="14">
                  <c:v>125</c:v>
                </c:pt>
                <c:pt idx="15">
                  <c:v>166.66666666666666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125</c:v>
                </c:pt>
                <c:pt idx="24">
                  <c:v>125</c:v>
                </c:pt>
                <c:pt idx="25">
                  <c:v>100</c:v>
                </c:pt>
                <c:pt idx="26">
                  <c:v>166.66666666666666</c:v>
                </c:pt>
                <c:pt idx="27">
                  <c:v>100</c:v>
                </c:pt>
                <c:pt idx="28">
                  <c:v>125</c:v>
                </c:pt>
                <c:pt idx="29">
                  <c:v>125</c:v>
                </c:pt>
                <c:pt idx="30">
                  <c:v>50</c:v>
                </c:pt>
                <c:pt idx="31">
                  <c:v>166.66666666666666</c:v>
                </c:pt>
                <c:pt idx="32">
                  <c:v>100</c:v>
                </c:pt>
                <c:pt idx="33">
                  <c:v>62.5</c:v>
                </c:pt>
                <c:pt idx="34">
                  <c:v>125</c:v>
                </c:pt>
                <c:pt idx="35">
                  <c:v>125</c:v>
                </c:pt>
                <c:pt idx="36">
                  <c:v>125</c:v>
                </c:pt>
                <c:pt idx="37">
                  <c:v>125</c:v>
                </c:pt>
                <c:pt idx="38">
                  <c:v>125</c:v>
                </c:pt>
                <c:pt idx="39">
                  <c:v>125</c:v>
                </c:pt>
                <c:pt idx="40">
                  <c:v>125</c:v>
                </c:pt>
                <c:pt idx="41">
                  <c:v>125</c:v>
                </c:pt>
                <c:pt idx="42">
                  <c:v>100</c:v>
                </c:pt>
                <c:pt idx="43">
                  <c:v>125</c:v>
                </c:pt>
                <c:pt idx="44">
                  <c:v>125</c:v>
                </c:pt>
                <c:pt idx="45">
                  <c:v>125</c:v>
                </c:pt>
                <c:pt idx="46">
                  <c:v>125</c:v>
                </c:pt>
                <c:pt idx="47">
                  <c:v>125</c:v>
                </c:pt>
                <c:pt idx="48">
                  <c:v>100</c:v>
                </c:pt>
                <c:pt idx="49">
                  <c:v>125</c:v>
                </c:pt>
                <c:pt idx="50">
                  <c:v>125</c:v>
                </c:pt>
                <c:pt idx="51">
                  <c:v>83.333333333333329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50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125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125</c:v>
                </c:pt>
                <c:pt idx="65">
                  <c:v>166.66666666666666</c:v>
                </c:pt>
                <c:pt idx="66">
                  <c:v>100</c:v>
                </c:pt>
                <c:pt idx="67">
                  <c:v>50</c:v>
                </c:pt>
                <c:pt idx="68">
                  <c:v>100</c:v>
                </c:pt>
                <c:pt idx="69">
                  <c:v>125</c:v>
                </c:pt>
                <c:pt idx="70">
                  <c:v>62.5</c:v>
                </c:pt>
                <c:pt idx="71">
                  <c:v>100</c:v>
                </c:pt>
                <c:pt idx="72">
                  <c:v>50</c:v>
                </c:pt>
                <c:pt idx="73">
                  <c:v>50</c:v>
                </c:pt>
                <c:pt idx="74">
                  <c:v>100</c:v>
                </c:pt>
                <c:pt idx="75">
                  <c:v>166.66666666666666</c:v>
                </c:pt>
                <c:pt idx="76">
                  <c:v>125</c:v>
                </c:pt>
                <c:pt idx="77">
                  <c:v>125</c:v>
                </c:pt>
                <c:pt idx="78">
                  <c:v>33.333333333333336</c:v>
                </c:pt>
                <c:pt idx="79">
                  <c:v>65.536000000000001</c:v>
                </c:pt>
              </c:numCache>
            </c:numRef>
          </c:xVal>
          <c:yVal>
            <c:numRef>
              <c:f>'2. Logging Brejo Seco'!$V$508:$V$587</c:f>
              <c:numCache>
                <c:formatCode>0.00</c:formatCode>
                <c:ptCount val="80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40</c:v>
                </c:pt>
                <c:pt idx="14">
                  <c:v>36</c:v>
                </c:pt>
                <c:pt idx="15">
                  <c:v>46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88</c:v>
                </c:pt>
                <c:pt idx="27">
                  <c:v>20</c:v>
                </c:pt>
                <c:pt idx="28">
                  <c:v>88</c:v>
                </c:pt>
                <c:pt idx="29">
                  <c:v>20</c:v>
                </c:pt>
                <c:pt idx="30">
                  <c:v>0</c:v>
                </c:pt>
                <c:pt idx="31">
                  <c:v>72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36</c:v>
                </c:pt>
                <c:pt idx="36">
                  <c:v>32</c:v>
                </c:pt>
                <c:pt idx="37">
                  <c:v>30</c:v>
                </c:pt>
                <c:pt idx="38">
                  <c:v>68</c:v>
                </c:pt>
                <c:pt idx="39">
                  <c:v>0</c:v>
                </c:pt>
                <c:pt idx="40">
                  <c:v>40</c:v>
                </c:pt>
                <c:pt idx="41">
                  <c:v>46</c:v>
                </c:pt>
                <c:pt idx="42">
                  <c:v>40</c:v>
                </c:pt>
                <c:pt idx="43">
                  <c:v>52</c:v>
                </c:pt>
                <c:pt idx="44">
                  <c:v>38</c:v>
                </c:pt>
                <c:pt idx="45">
                  <c:v>52</c:v>
                </c:pt>
                <c:pt idx="46">
                  <c:v>34</c:v>
                </c:pt>
                <c:pt idx="47">
                  <c:v>22</c:v>
                </c:pt>
                <c:pt idx="48">
                  <c:v>66</c:v>
                </c:pt>
                <c:pt idx="49">
                  <c:v>20</c:v>
                </c:pt>
                <c:pt idx="50">
                  <c:v>42</c:v>
                </c:pt>
                <c:pt idx="51">
                  <c:v>24</c:v>
                </c:pt>
                <c:pt idx="52">
                  <c:v>0</c:v>
                </c:pt>
                <c:pt idx="53">
                  <c:v>20</c:v>
                </c:pt>
                <c:pt idx="54">
                  <c:v>30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20</c:v>
                </c:pt>
                <c:pt idx="61">
                  <c:v>24</c:v>
                </c:pt>
                <c:pt idx="62">
                  <c:v>54</c:v>
                </c:pt>
                <c:pt idx="63">
                  <c:v>52</c:v>
                </c:pt>
                <c:pt idx="64">
                  <c:v>24</c:v>
                </c:pt>
                <c:pt idx="65">
                  <c:v>64</c:v>
                </c:pt>
                <c:pt idx="66">
                  <c:v>20</c:v>
                </c:pt>
                <c:pt idx="67">
                  <c:v>0</c:v>
                </c:pt>
                <c:pt idx="68">
                  <c:v>22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48</c:v>
                </c:pt>
                <c:pt idx="76">
                  <c:v>0</c:v>
                </c:pt>
                <c:pt idx="77">
                  <c:v>36</c:v>
                </c:pt>
                <c:pt idx="78">
                  <c:v>9.376786022400001</c:v>
                </c:pt>
                <c:pt idx="79">
                  <c:v>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35-460C-B9CF-1369F7A29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2.3189808019726418E-2"/>
              <c:y val="0.4260197694450125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16960981865876"/>
          <c:y val="0.92553528034393151"/>
          <c:w val="0.85683038807021661"/>
          <c:h val="4.7526028411987435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PZ-01,03</a:t>
            </a:r>
          </a:p>
        </c:rich>
      </c:tx>
      <c:layout>
        <c:manualLayout>
          <c:xMode val="edge"/>
          <c:yMode val="edge"/>
          <c:x val="0.38278729525039629"/>
          <c:y val="2.8831710283641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9637676749939579"/>
          <c:h val="0.75531322158105763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F7E-4BA8-93E3-2A6E9A0C7234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F7E-4BA8-93E3-2A6E9A0C7234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F7E-4BA8-93E3-2A6E9A0C7234}"/>
            </c:ext>
          </c:extLst>
        </c:ser>
        <c:ser>
          <c:idx val="3"/>
          <c:order val="3"/>
          <c:marker>
            <c:symbol val="none"/>
          </c:marker>
          <c:xVal>
            <c:numRef>
              <c:f>'2. Logging Brejo Seco'!$Z$353:$Z$473</c:f>
              <c:numCache>
                <c:formatCode>0.00</c:formatCode>
                <c:ptCount val="121"/>
                <c:pt idx="0">
                  <c:v>40</c:v>
                </c:pt>
                <c:pt idx="1">
                  <c:v>36</c:v>
                </c:pt>
                <c:pt idx="2">
                  <c:v>27</c:v>
                </c:pt>
                <c:pt idx="3">
                  <c:v>183.33333333333334</c:v>
                </c:pt>
                <c:pt idx="4">
                  <c:v>120</c:v>
                </c:pt>
                <c:pt idx="5">
                  <c:v>82</c:v>
                </c:pt>
                <c:pt idx="6">
                  <c:v>70</c:v>
                </c:pt>
                <c:pt idx="7">
                  <c:v>38</c:v>
                </c:pt>
                <c:pt idx="8">
                  <c:v>42</c:v>
                </c:pt>
                <c:pt idx="9">
                  <c:v>28</c:v>
                </c:pt>
                <c:pt idx="10">
                  <c:v>62.5</c:v>
                </c:pt>
                <c:pt idx="11">
                  <c:v>65</c:v>
                </c:pt>
                <c:pt idx="12">
                  <c:v>62.5</c:v>
                </c:pt>
                <c:pt idx="13">
                  <c:v>83.333333333333329</c:v>
                </c:pt>
                <c:pt idx="14">
                  <c:v>56</c:v>
                </c:pt>
                <c:pt idx="15">
                  <c:v>38</c:v>
                </c:pt>
                <c:pt idx="16">
                  <c:v>46</c:v>
                </c:pt>
                <c:pt idx="17">
                  <c:v>70</c:v>
                </c:pt>
                <c:pt idx="18">
                  <c:v>53.333333333333336</c:v>
                </c:pt>
                <c:pt idx="19">
                  <c:v>36</c:v>
                </c:pt>
                <c:pt idx="20">
                  <c:v>63.333333333333336</c:v>
                </c:pt>
                <c:pt idx="21">
                  <c:v>63.333333333333336</c:v>
                </c:pt>
                <c:pt idx="22">
                  <c:v>37.5</c:v>
                </c:pt>
                <c:pt idx="23">
                  <c:v>90</c:v>
                </c:pt>
                <c:pt idx="24">
                  <c:v>46.666666666666664</c:v>
                </c:pt>
                <c:pt idx="25">
                  <c:v>95</c:v>
                </c:pt>
                <c:pt idx="26">
                  <c:v>56.666666666666664</c:v>
                </c:pt>
                <c:pt idx="27">
                  <c:v>30</c:v>
                </c:pt>
                <c:pt idx="28">
                  <c:v>52.5</c:v>
                </c:pt>
                <c:pt idx="29">
                  <c:v>53.333333333333336</c:v>
                </c:pt>
                <c:pt idx="30">
                  <c:v>56.666666666666664</c:v>
                </c:pt>
                <c:pt idx="31">
                  <c:v>30</c:v>
                </c:pt>
                <c:pt idx="32">
                  <c:v>37</c:v>
                </c:pt>
                <c:pt idx="33">
                  <c:v>24</c:v>
                </c:pt>
                <c:pt idx="34">
                  <c:v>27</c:v>
                </c:pt>
                <c:pt idx="35">
                  <c:v>22</c:v>
                </c:pt>
                <c:pt idx="36">
                  <c:v>26</c:v>
                </c:pt>
                <c:pt idx="37">
                  <c:v>58</c:v>
                </c:pt>
                <c:pt idx="38">
                  <c:v>20</c:v>
                </c:pt>
                <c:pt idx="39">
                  <c:v>16</c:v>
                </c:pt>
                <c:pt idx="40">
                  <c:v>28</c:v>
                </c:pt>
                <c:pt idx="41">
                  <c:v>80</c:v>
                </c:pt>
                <c:pt idx="42">
                  <c:v>50</c:v>
                </c:pt>
                <c:pt idx="43">
                  <c:v>100</c:v>
                </c:pt>
                <c:pt idx="44">
                  <c:v>50</c:v>
                </c:pt>
                <c:pt idx="45">
                  <c:v>100</c:v>
                </c:pt>
                <c:pt idx="46">
                  <c:v>41.666666666666664</c:v>
                </c:pt>
                <c:pt idx="47">
                  <c:v>100</c:v>
                </c:pt>
                <c:pt idx="48">
                  <c:v>100</c:v>
                </c:pt>
                <c:pt idx="49">
                  <c:v>50</c:v>
                </c:pt>
                <c:pt idx="50">
                  <c:v>100</c:v>
                </c:pt>
                <c:pt idx="51">
                  <c:v>100</c:v>
                </c:pt>
                <c:pt idx="52">
                  <c:v>50</c:v>
                </c:pt>
                <c:pt idx="53">
                  <c:v>100</c:v>
                </c:pt>
                <c:pt idx="54">
                  <c:v>50</c:v>
                </c:pt>
                <c:pt idx="55">
                  <c:v>50</c:v>
                </c:pt>
                <c:pt idx="56">
                  <c:v>100</c:v>
                </c:pt>
                <c:pt idx="57">
                  <c:v>50</c:v>
                </c:pt>
                <c:pt idx="58">
                  <c:v>50</c:v>
                </c:pt>
                <c:pt idx="61">
                  <c:v>125</c:v>
                </c:pt>
                <c:pt idx="62">
                  <c:v>125</c:v>
                </c:pt>
                <c:pt idx="63">
                  <c:v>100</c:v>
                </c:pt>
                <c:pt idx="64">
                  <c:v>83.333333333333329</c:v>
                </c:pt>
                <c:pt idx="65">
                  <c:v>50</c:v>
                </c:pt>
                <c:pt idx="66">
                  <c:v>100</c:v>
                </c:pt>
                <c:pt idx="67">
                  <c:v>100</c:v>
                </c:pt>
                <c:pt idx="68">
                  <c:v>50</c:v>
                </c:pt>
                <c:pt idx="69">
                  <c:v>166.66666666666666</c:v>
                </c:pt>
                <c:pt idx="70">
                  <c:v>125</c:v>
                </c:pt>
                <c:pt idx="71">
                  <c:v>125</c:v>
                </c:pt>
                <c:pt idx="72">
                  <c:v>100</c:v>
                </c:pt>
                <c:pt idx="73">
                  <c:v>125</c:v>
                </c:pt>
                <c:pt idx="74">
                  <c:v>125</c:v>
                </c:pt>
                <c:pt idx="75">
                  <c:v>100</c:v>
                </c:pt>
                <c:pt idx="76">
                  <c:v>166.66666666666666</c:v>
                </c:pt>
                <c:pt idx="77">
                  <c:v>125</c:v>
                </c:pt>
                <c:pt idx="78">
                  <c:v>125</c:v>
                </c:pt>
                <c:pt idx="79">
                  <c:v>100</c:v>
                </c:pt>
                <c:pt idx="80">
                  <c:v>125</c:v>
                </c:pt>
                <c:pt idx="81">
                  <c:v>125</c:v>
                </c:pt>
                <c:pt idx="82">
                  <c:v>125</c:v>
                </c:pt>
                <c:pt idx="83">
                  <c:v>100</c:v>
                </c:pt>
                <c:pt idx="84">
                  <c:v>125</c:v>
                </c:pt>
                <c:pt idx="85">
                  <c:v>83.333333333333329</c:v>
                </c:pt>
                <c:pt idx="86">
                  <c:v>125</c:v>
                </c:pt>
                <c:pt idx="87">
                  <c:v>125</c:v>
                </c:pt>
                <c:pt idx="88">
                  <c:v>125</c:v>
                </c:pt>
                <c:pt idx="89">
                  <c:v>125</c:v>
                </c:pt>
                <c:pt idx="90">
                  <c:v>125</c:v>
                </c:pt>
                <c:pt idx="91">
                  <c:v>100</c:v>
                </c:pt>
                <c:pt idx="92">
                  <c:v>125</c:v>
                </c:pt>
                <c:pt idx="93">
                  <c:v>100</c:v>
                </c:pt>
                <c:pt idx="94">
                  <c:v>125</c:v>
                </c:pt>
                <c:pt idx="95">
                  <c:v>125</c:v>
                </c:pt>
                <c:pt idx="96">
                  <c:v>71.428571428571431</c:v>
                </c:pt>
                <c:pt idx="97">
                  <c:v>71.428571428571431</c:v>
                </c:pt>
                <c:pt idx="98">
                  <c:v>71.428571428571431</c:v>
                </c:pt>
                <c:pt idx="99">
                  <c:v>71.428571428571431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62.5</c:v>
                </c:pt>
                <c:pt idx="105">
                  <c:v>62.5</c:v>
                </c:pt>
                <c:pt idx="106">
                  <c:v>125</c:v>
                </c:pt>
                <c:pt idx="107">
                  <c:v>100</c:v>
                </c:pt>
                <c:pt idx="108">
                  <c:v>93.75</c:v>
                </c:pt>
                <c:pt idx="109">
                  <c:v>125</c:v>
                </c:pt>
                <c:pt idx="110">
                  <c:v>83.333333333333329</c:v>
                </c:pt>
                <c:pt idx="111">
                  <c:v>125</c:v>
                </c:pt>
                <c:pt idx="112">
                  <c:v>83.333333333333329</c:v>
                </c:pt>
                <c:pt idx="113">
                  <c:v>71.428571428571431</c:v>
                </c:pt>
                <c:pt idx="114">
                  <c:v>125</c:v>
                </c:pt>
                <c:pt idx="115">
                  <c:v>125</c:v>
                </c:pt>
                <c:pt idx="116">
                  <c:v>166.66666666666666</c:v>
                </c:pt>
                <c:pt idx="117">
                  <c:v>100</c:v>
                </c:pt>
                <c:pt idx="118">
                  <c:v>125</c:v>
                </c:pt>
                <c:pt idx="119">
                  <c:v>125</c:v>
                </c:pt>
                <c:pt idx="120">
                  <c:v>60</c:v>
                </c:pt>
              </c:numCache>
            </c:numRef>
          </c:xVal>
          <c:yVal>
            <c:numRef>
              <c:f>'2. Logging Brejo Seco'!$V$353:$V$472</c:f>
              <c:numCache>
                <c:formatCode>0.00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64.51612903225805</c:v>
                </c:pt>
                <c:pt idx="4">
                  <c:v>85.714285714285779</c:v>
                </c:pt>
                <c:pt idx="5">
                  <c:v>27.500000000000007</c:v>
                </c:pt>
                <c:pt idx="6">
                  <c:v>40.38461538461538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</c:v>
                </c:pt>
                <c:pt idx="18">
                  <c:v>22</c:v>
                </c:pt>
                <c:pt idx="19">
                  <c:v>0</c:v>
                </c:pt>
                <c:pt idx="20">
                  <c:v>22</c:v>
                </c:pt>
                <c:pt idx="21">
                  <c:v>22</c:v>
                </c:pt>
                <c:pt idx="22">
                  <c:v>0</c:v>
                </c:pt>
                <c:pt idx="23">
                  <c:v>26</c:v>
                </c:pt>
                <c:pt idx="24">
                  <c:v>0</c:v>
                </c:pt>
                <c:pt idx="25">
                  <c:v>42</c:v>
                </c:pt>
                <c:pt idx="26">
                  <c:v>22</c:v>
                </c:pt>
                <c:pt idx="27">
                  <c:v>0</c:v>
                </c:pt>
                <c:pt idx="28">
                  <c:v>20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22</c:v>
                </c:pt>
                <c:pt idx="42">
                  <c:v>0</c:v>
                </c:pt>
                <c:pt idx="43">
                  <c:v>38</c:v>
                </c:pt>
                <c:pt idx="44">
                  <c:v>28.000000000000004</c:v>
                </c:pt>
                <c:pt idx="45">
                  <c:v>0</c:v>
                </c:pt>
                <c:pt idx="46">
                  <c:v>22</c:v>
                </c:pt>
                <c:pt idx="47">
                  <c:v>44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64</c:v>
                </c:pt>
                <c:pt idx="71">
                  <c:v>34</c:v>
                </c:pt>
                <c:pt idx="72">
                  <c:v>0</c:v>
                </c:pt>
                <c:pt idx="73">
                  <c:v>0</c:v>
                </c:pt>
                <c:pt idx="74">
                  <c:v>24</c:v>
                </c:pt>
                <c:pt idx="75">
                  <c:v>22</c:v>
                </c:pt>
                <c:pt idx="76">
                  <c:v>0</c:v>
                </c:pt>
                <c:pt idx="77">
                  <c:v>40</c:v>
                </c:pt>
                <c:pt idx="78">
                  <c:v>20</c:v>
                </c:pt>
                <c:pt idx="79">
                  <c:v>0</c:v>
                </c:pt>
                <c:pt idx="80">
                  <c:v>22</c:v>
                </c:pt>
                <c:pt idx="81">
                  <c:v>30</c:v>
                </c:pt>
                <c:pt idx="82">
                  <c:v>30</c:v>
                </c:pt>
                <c:pt idx="83">
                  <c:v>0</c:v>
                </c:pt>
                <c:pt idx="84">
                  <c:v>22</c:v>
                </c:pt>
                <c:pt idx="85">
                  <c:v>20</c:v>
                </c:pt>
                <c:pt idx="86">
                  <c:v>24</c:v>
                </c:pt>
                <c:pt idx="87">
                  <c:v>0</c:v>
                </c:pt>
                <c:pt idx="88">
                  <c:v>20</c:v>
                </c:pt>
                <c:pt idx="89">
                  <c:v>28.000000000000004</c:v>
                </c:pt>
                <c:pt idx="90">
                  <c:v>24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28.000000000000004</c:v>
                </c:pt>
                <c:pt idx="95">
                  <c:v>34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54</c:v>
                </c:pt>
                <c:pt idx="102">
                  <c:v>52</c:v>
                </c:pt>
                <c:pt idx="103">
                  <c:v>34</c:v>
                </c:pt>
                <c:pt idx="104">
                  <c:v>28.000000000000004</c:v>
                </c:pt>
                <c:pt idx="105">
                  <c:v>0</c:v>
                </c:pt>
                <c:pt idx="106">
                  <c:v>50</c:v>
                </c:pt>
                <c:pt idx="107">
                  <c:v>20</c:v>
                </c:pt>
                <c:pt idx="108">
                  <c:v>0</c:v>
                </c:pt>
                <c:pt idx="109">
                  <c:v>44</c:v>
                </c:pt>
                <c:pt idx="110">
                  <c:v>22</c:v>
                </c:pt>
                <c:pt idx="111">
                  <c:v>30</c:v>
                </c:pt>
                <c:pt idx="112">
                  <c:v>26</c:v>
                </c:pt>
                <c:pt idx="113">
                  <c:v>0</c:v>
                </c:pt>
                <c:pt idx="114">
                  <c:v>66</c:v>
                </c:pt>
                <c:pt idx="115">
                  <c:v>36</c:v>
                </c:pt>
                <c:pt idx="116">
                  <c:v>50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7E-4BA8-93E3-2A6E9A0C7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2.3189808019726418E-2"/>
              <c:y val="0.4260197694450125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16960981865876"/>
          <c:y val="0.92553528034393151"/>
          <c:w val="0.85683038807021661"/>
          <c:h val="4.7526028411987435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RMR76 vs GSI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20533590326002"/>
          <c:y val="6.9035608369802381E-2"/>
          <c:w val="0.8379606190681117"/>
          <c:h val="0.80735140820163442"/>
        </c:manualLayout>
      </c:layout>
      <c:scatterChart>
        <c:scatterStyle val="lineMarker"/>
        <c:varyColors val="0"/>
        <c:ser>
          <c:idx val="0"/>
          <c:order val="0"/>
          <c:tx>
            <c:v>Correlation RMR76 vs GSI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00B05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44450" cap="rnd">
                <a:noFill/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161947897446216"/>
                  <c:y val="-7.4053795721026917E-3"/>
                </c:manualLayout>
              </c:layout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'2. Logging Brejo Seco'!$BQ$3:$BQ$587</c:f>
              <c:numCache>
                <c:formatCode>0</c:formatCode>
                <c:ptCount val="58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48</c:v>
                </c:pt>
                <c:pt idx="7">
                  <c:v>64</c:v>
                </c:pt>
                <c:pt idx="8">
                  <c:v>22</c:v>
                </c:pt>
                <c:pt idx="9">
                  <c:v>43</c:v>
                </c:pt>
                <c:pt idx="10">
                  <c:v>30</c:v>
                </c:pt>
                <c:pt idx="11">
                  <c:v>33</c:v>
                </c:pt>
                <c:pt idx="12">
                  <c:v>20</c:v>
                </c:pt>
                <c:pt idx="13">
                  <c:v>31</c:v>
                </c:pt>
                <c:pt idx="14">
                  <c:v>37</c:v>
                </c:pt>
                <c:pt idx="15">
                  <c:v>47</c:v>
                </c:pt>
                <c:pt idx="16">
                  <c:v>52</c:v>
                </c:pt>
                <c:pt idx="17">
                  <c:v>32</c:v>
                </c:pt>
                <c:pt idx="18">
                  <c:v>42</c:v>
                </c:pt>
                <c:pt idx="19">
                  <c:v>49</c:v>
                </c:pt>
                <c:pt idx="20">
                  <c:v>31</c:v>
                </c:pt>
                <c:pt idx="21">
                  <c:v>23</c:v>
                </c:pt>
                <c:pt idx="22">
                  <c:v>34</c:v>
                </c:pt>
                <c:pt idx="23">
                  <c:v>44</c:v>
                </c:pt>
                <c:pt idx="24">
                  <c:v>43</c:v>
                </c:pt>
                <c:pt idx="25">
                  <c:v>37</c:v>
                </c:pt>
                <c:pt idx="26">
                  <c:v>27</c:v>
                </c:pt>
                <c:pt idx="27">
                  <c:v>31</c:v>
                </c:pt>
                <c:pt idx="28">
                  <c:v>41</c:v>
                </c:pt>
                <c:pt idx="29">
                  <c:v>42</c:v>
                </c:pt>
                <c:pt idx="30">
                  <c:v>30</c:v>
                </c:pt>
                <c:pt idx="31">
                  <c:v>41</c:v>
                </c:pt>
                <c:pt idx="32">
                  <c:v>35</c:v>
                </c:pt>
                <c:pt idx="33">
                  <c:v>23</c:v>
                </c:pt>
                <c:pt idx="34">
                  <c:v>22</c:v>
                </c:pt>
                <c:pt idx="35">
                  <c:v>21</c:v>
                </c:pt>
                <c:pt idx="36">
                  <c:v>22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34</c:v>
                </c:pt>
                <c:pt idx="41">
                  <c:v>27</c:v>
                </c:pt>
                <c:pt idx="42">
                  <c:v>28</c:v>
                </c:pt>
                <c:pt idx="43">
                  <c:v>47</c:v>
                </c:pt>
                <c:pt idx="44">
                  <c:v>52</c:v>
                </c:pt>
                <c:pt idx="45">
                  <c:v>74</c:v>
                </c:pt>
                <c:pt idx="46">
                  <c:v>57</c:v>
                </c:pt>
                <c:pt idx="47">
                  <c:v>72</c:v>
                </c:pt>
                <c:pt idx="48">
                  <c:v>47</c:v>
                </c:pt>
                <c:pt idx="49">
                  <c:v>45</c:v>
                </c:pt>
                <c:pt idx="50">
                  <c:v>46</c:v>
                </c:pt>
                <c:pt idx="51">
                  <c:v>65</c:v>
                </c:pt>
                <c:pt idx="52">
                  <c:v>66</c:v>
                </c:pt>
                <c:pt idx="53">
                  <c:v>58</c:v>
                </c:pt>
                <c:pt idx="54">
                  <c:v>65</c:v>
                </c:pt>
                <c:pt idx="55">
                  <c:v>66</c:v>
                </c:pt>
                <c:pt idx="56">
                  <c:v>64</c:v>
                </c:pt>
                <c:pt idx="57">
                  <c:v>55</c:v>
                </c:pt>
                <c:pt idx="58">
                  <c:v>48</c:v>
                </c:pt>
                <c:pt idx="59">
                  <c:v>51</c:v>
                </c:pt>
                <c:pt idx="60">
                  <c:v>73</c:v>
                </c:pt>
                <c:pt idx="61">
                  <c:v>58</c:v>
                </c:pt>
                <c:pt idx="62">
                  <c:v>50</c:v>
                </c:pt>
                <c:pt idx="63">
                  <c:v>33</c:v>
                </c:pt>
                <c:pt idx="64">
                  <c:v>50</c:v>
                </c:pt>
                <c:pt idx="65">
                  <c:v>46</c:v>
                </c:pt>
                <c:pt idx="66">
                  <c:v>33</c:v>
                </c:pt>
                <c:pt idx="67">
                  <c:v>44</c:v>
                </c:pt>
                <c:pt idx="68">
                  <c:v>46</c:v>
                </c:pt>
                <c:pt idx="69">
                  <c:v>42</c:v>
                </c:pt>
                <c:pt idx="70">
                  <c:v>19</c:v>
                </c:pt>
                <c:pt idx="71">
                  <c:v>43</c:v>
                </c:pt>
                <c:pt idx="72">
                  <c:v>50</c:v>
                </c:pt>
                <c:pt idx="73">
                  <c:v>35</c:v>
                </c:pt>
                <c:pt idx="74">
                  <c:v>44</c:v>
                </c:pt>
                <c:pt idx="75">
                  <c:v>44</c:v>
                </c:pt>
                <c:pt idx="76">
                  <c:v>35</c:v>
                </c:pt>
                <c:pt idx="77">
                  <c:v>41</c:v>
                </c:pt>
                <c:pt idx="78">
                  <c:v>29</c:v>
                </c:pt>
                <c:pt idx="79">
                  <c:v>29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32</c:v>
                </c:pt>
                <c:pt idx="85">
                  <c:v>27</c:v>
                </c:pt>
                <c:pt idx="86">
                  <c:v>47</c:v>
                </c:pt>
                <c:pt idx="87">
                  <c:v>33</c:v>
                </c:pt>
                <c:pt idx="88">
                  <c:v>32</c:v>
                </c:pt>
                <c:pt idx="89">
                  <c:v>25</c:v>
                </c:pt>
                <c:pt idx="90">
                  <c:v>31</c:v>
                </c:pt>
                <c:pt idx="91">
                  <c:v>25</c:v>
                </c:pt>
                <c:pt idx="92">
                  <c:v>38</c:v>
                </c:pt>
                <c:pt idx="93">
                  <c:v>63</c:v>
                </c:pt>
                <c:pt idx="94">
                  <c:v>34</c:v>
                </c:pt>
                <c:pt idx="95">
                  <c:v>26</c:v>
                </c:pt>
                <c:pt idx="96">
                  <c:v>26</c:v>
                </c:pt>
                <c:pt idx="97">
                  <c:v>45</c:v>
                </c:pt>
                <c:pt idx="98">
                  <c:v>36</c:v>
                </c:pt>
                <c:pt idx="99">
                  <c:v>36</c:v>
                </c:pt>
                <c:pt idx="100">
                  <c:v>35</c:v>
                </c:pt>
                <c:pt idx="101">
                  <c:v>31</c:v>
                </c:pt>
                <c:pt idx="102">
                  <c:v>23</c:v>
                </c:pt>
                <c:pt idx="103">
                  <c:v>29</c:v>
                </c:pt>
                <c:pt idx="104">
                  <c:v>18</c:v>
                </c:pt>
                <c:pt idx="105">
                  <c:v>18</c:v>
                </c:pt>
                <c:pt idx="106">
                  <c:v>57</c:v>
                </c:pt>
                <c:pt idx="107">
                  <c:v>48</c:v>
                </c:pt>
                <c:pt idx="108">
                  <c:v>53</c:v>
                </c:pt>
                <c:pt idx="109">
                  <c:v>41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32</c:v>
                </c:pt>
                <c:pt idx="122">
                  <c:v>22</c:v>
                </c:pt>
                <c:pt idx="123">
                  <c:v>22</c:v>
                </c:pt>
                <c:pt idx="124">
                  <c:v>24</c:v>
                </c:pt>
                <c:pt idx="125">
                  <c:v>32</c:v>
                </c:pt>
                <c:pt idx="126">
                  <c:v>23</c:v>
                </c:pt>
                <c:pt idx="127">
                  <c:v>19</c:v>
                </c:pt>
                <c:pt idx="128">
                  <c:v>29</c:v>
                </c:pt>
                <c:pt idx="129">
                  <c:v>23</c:v>
                </c:pt>
                <c:pt idx="130">
                  <c:v>36</c:v>
                </c:pt>
                <c:pt idx="131">
                  <c:v>47</c:v>
                </c:pt>
                <c:pt idx="132">
                  <c:v>28</c:v>
                </c:pt>
                <c:pt idx="133">
                  <c:v>28</c:v>
                </c:pt>
                <c:pt idx="134">
                  <c:v>39</c:v>
                </c:pt>
                <c:pt idx="135">
                  <c:v>54</c:v>
                </c:pt>
                <c:pt idx="136">
                  <c:v>35</c:v>
                </c:pt>
                <c:pt idx="137">
                  <c:v>24</c:v>
                </c:pt>
                <c:pt idx="138">
                  <c:v>30</c:v>
                </c:pt>
                <c:pt idx="139">
                  <c:v>24</c:v>
                </c:pt>
                <c:pt idx="140">
                  <c:v>24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19</c:v>
                </c:pt>
                <c:pt idx="147">
                  <c:v>17</c:v>
                </c:pt>
                <c:pt idx="148">
                  <c:v>17</c:v>
                </c:pt>
                <c:pt idx="149">
                  <c:v>16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17</c:v>
                </c:pt>
                <c:pt idx="161">
                  <c:v>17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17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23</c:v>
                </c:pt>
                <c:pt idx="180">
                  <c:v>24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27</c:v>
                </c:pt>
                <c:pt idx="186">
                  <c:v>17</c:v>
                </c:pt>
                <c:pt idx="187">
                  <c:v>19</c:v>
                </c:pt>
                <c:pt idx="188">
                  <c:v>19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30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28</c:v>
                </c:pt>
                <c:pt idx="206">
                  <c:v>28</c:v>
                </c:pt>
                <c:pt idx="207">
                  <c:v>24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23</c:v>
                </c:pt>
                <c:pt idx="212">
                  <c:v>21</c:v>
                </c:pt>
                <c:pt idx="213">
                  <c:v>34</c:v>
                </c:pt>
                <c:pt idx="214">
                  <c:v>24</c:v>
                </c:pt>
                <c:pt idx="215">
                  <c:v>21</c:v>
                </c:pt>
                <c:pt idx="216">
                  <c:v>30</c:v>
                </c:pt>
                <c:pt idx="217">
                  <c:v>22</c:v>
                </c:pt>
                <c:pt idx="218">
                  <c:v>30</c:v>
                </c:pt>
                <c:pt idx="219">
                  <c:v>30</c:v>
                </c:pt>
                <c:pt idx="220">
                  <c:v>33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24</c:v>
                </c:pt>
                <c:pt idx="227">
                  <c:v>23</c:v>
                </c:pt>
                <c:pt idx="228">
                  <c:v>23</c:v>
                </c:pt>
                <c:pt idx="229">
                  <c:v>30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23</c:v>
                </c:pt>
                <c:pt idx="239">
                  <c:v>24</c:v>
                </c:pt>
                <c:pt idx="240">
                  <c:v>29</c:v>
                </c:pt>
                <c:pt idx="241">
                  <c:v>19</c:v>
                </c:pt>
                <c:pt idx="242">
                  <c:v>19</c:v>
                </c:pt>
                <c:pt idx="243">
                  <c:v>22</c:v>
                </c:pt>
                <c:pt idx="244">
                  <c:v>24</c:v>
                </c:pt>
                <c:pt idx="245">
                  <c:v>27</c:v>
                </c:pt>
                <c:pt idx="246">
                  <c:v>26</c:v>
                </c:pt>
                <c:pt idx="247">
                  <c:v>35</c:v>
                </c:pt>
                <c:pt idx="248">
                  <c:v>18</c:v>
                </c:pt>
                <c:pt idx="249">
                  <c:v>17</c:v>
                </c:pt>
                <c:pt idx="250">
                  <c:v>17</c:v>
                </c:pt>
                <c:pt idx="251">
                  <c:v>22</c:v>
                </c:pt>
                <c:pt idx="252">
                  <c:v>17</c:v>
                </c:pt>
                <c:pt idx="253">
                  <c:v>15</c:v>
                </c:pt>
                <c:pt idx="254">
                  <c:v>17</c:v>
                </c:pt>
                <c:pt idx="255">
                  <c:v>15</c:v>
                </c:pt>
                <c:pt idx="256">
                  <c:v>32</c:v>
                </c:pt>
                <c:pt idx="257">
                  <c:v>29</c:v>
                </c:pt>
                <c:pt idx="258">
                  <c:v>26</c:v>
                </c:pt>
                <c:pt idx="259">
                  <c:v>28</c:v>
                </c:pt>
                <c:pt idx="260">
                  <c:v>27</c:v>
                </c:pt>
                <c:pt idx="261">
                  <c:v>23</c:v>
                </c:pt>
                <c:pt idx="262">
                  <c:v>22</c:v>
                </c:pt>
                <c:pt idx="263">
                  <c:v>35</c:v>
                </c:pt>
                <c:pt idx="264">
                  <c:v>21</c:v>
                </c:pt>
                <c:pt idx="265">
                  <c:v>36</c:v>
                </c:pt>
                <c:pt idx="266">
                  <c:v>20</c:v>
                </c:pt>
                <c:pt idx="267">
                  <c:v>29</c:v>
                </c:pt>
                <c:pt idx="268">
                  <c:v>29</c:v>
                </c:pt>
                <c:pt idx="269">
                  <c:v>20</c:v>
                </c:pt>
                <c:pt idx="270">
                  <c:v>23</c:v>
                </c:pt>
                <c:pt idx="271">
                  <c:v>32</c:v>
                </c:pt>
                <c:pt idx="272">
                  <c:v>36</c:v>
                </c:pt>
                <c:pt idx="273">
                  <c:v>20</c:v>
                </c:pt>
                <c:pt idx="274">
                  <c:v>44</c:v>
                </c:pt>
                <c:pt idx="275">
                  <c:v>44</c:v>
                </c:pt>
                <c:pt idx="276">
                  <c:v>59</c:v>
                </c:pt>
                <c:pt idx="277">
                  <c:v>48</c:v>
                </c:pt>
                <c:pt idx="278">
                  <c:v>46</c:v>
                </c:pt>
                <c:pt idx="279">
                  <c:v>46</c:v>
                </c:pt>
                <c:pt idx="280">
                  <c:v>47</c:v>
                </c:pt>
                <c:pt idx="281">
                  <c:v>49</c:v>
                </c:pt>
                <c:pt idx="282">
                  <c:v>56</c:v>
                </c:pt>
                <c:pt idx="283">
                  <c:v>52</c:v>
                </c:pt>
                <c:pt idx="284">
                  <c:v>56</c:v>
                </c:pt>
                <c:pt idx="285">
                  <c:v>61</c:v>
                </c:pt>
                <c:pt idx="286">
                  <c:v>56</c:v>
                </c:pt>
                <c:pt idx="287">
                  <c:v>48</c:v>
                </c:pt>
                <c:pt idx="288">
                  <c:v>33</c:v>
                </c:pt>
                <c:pt idx="289">
                  <c:v>38</c:v>
                </c:pt>
                <c:pt idx="290">
                  <c:v>40</c:v>
                </c:pt>
                <c:pt idx="291">
                  <c:v>28</c:v>
                </c:pt>
                <c:pt idx="292">
                  <c:v>29</c:v>
                </c:pt>
                <c:pt idx="293">
                  <c:v>27</c:v>
                </c:pt>
                <c:pt idx="294">
                  <c:v>32</c:v>
                </c:pt>
                <c:pt idx="295">
                  <c:v>37</c:v>
                </c:pt>
                <c:pt idx="296">
                  <c:v>56</c:v>
                </c:pt>
                <c:pt idx="297">
                  <c:v>42</c:v>
                </c:pt>
                <c:pt idx="298">
                  <c:v>22</c:v>
                </c:pt>
                <c:pt idx="299">
                  <c:v>38</c:v>
                </c:pt>
                <c:pt idx="300">
                  <c:v>27</c:v>
                </c:pt>
                <c:pt idx="301">
                  <c:v>21</c:v>
                </c:pt>
                <c:pt idx="302">
                  <c:v>21</c:v>
                </c:pt>
                <c:pt idx="303">
                  <c:v>44</c:v>
                </c:pt>
                <c:pt idx="304">
                  <c:v>26</c:v>
                </c:pt>
                <c:pt idx="305">
                  <c:v>25</c:v>
                </c:pt>
                <c:pt idx="306">
                  <c:v>47</c:v>
                </c:pt>
                <c:pt idx="307">
                  <c:v>43</c:v>
                </c:pt>
                <c:pt idx="308">
                  <c:v>43</c:v>
                </c:pt>
                <c:pt idx="309">
                  <c:v>51</c:v>
                </c:pt>
                <c:pt idx="310">
                  <c:v>39</c:v>
                </c:pt>
                <c:pt idx="311">
                  <c:v>31</c:v>
                </c:pt>
                <c:pt idx="312">
                  <c:v>52</c:v>
                </c:pt>
                <c:pt idx="313">
                  <c:v>48</c:v>
                </c:pt>
                <c:pt idx="314">
                  <c:v>42</c:v>
                </c:pt>
                <c:pt idx="315">
                  <c:v>24</c:v>
                </c:pt>
                <c:pt idx="316">
                  <c:v>23</c:v>
                </c:pt>
                <c:pt idx="317">
                  <c:v>18</c:v>
                </c:pt>
                <c:pt idx="318">
                  <c:v>18</c:v>
                </c:pt>
                <c:pt idx="319">
                  <c:v>19</c:v>
                </c:pt>
                <c:pt idx="320">
                  <c:v>21</c:v>
                </c:pt>
                <c:pt idx="321">
                  <c:v>21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23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23</c:v>
                </c:pt>
                <c:pt idx="349">
                  <c:v>23</c:v>
                </c:pt>
                <c:pt idx="350" formatCode="0.0">
                  <c:v>15</c:v>
                </c:pt>
                <c:pt idx="351" formatCode="0.0">
                  <c:v>15</c:v>
                </c:pt>
                <c:pt idx="352" formatCode="0.0">
                  <c:v>15</c:v>
                </c:pt>
                <c:pt idx="353" formatCode="0.0">
                  <c:v>33</c:v>
                </c:pt>
                <c:pt idx="354" formatCode="0.0">
                  <c:v>41</c:v>
                </c:pt>
                <c:pt idx="356" formatCode="0.0">
                  <c:v>30</c:v>
                </c:pt>
                <c:pt idx="357" formatCode="0.0">
                  <c:v>13</c:v>
                </c:pt>
                <c:pt idx="358" formatCode="0.0">
                  <c:v>17</c:v>
                </c:pt>
                <c:pt idx="359" formatCode="0.0">
                  <c:v>18</c:v>
                </c:pt>
                <c:pt idx="360" formatCode="0.0">
                  <c:v>17</c:v>
                </c:pt>
                <c:pt idx="361" formatCode="0.0">
                  <c:v>20</c:v>
                </c:pt>
                <c:pt idx="362" formatCode="0.0">
                  <c:v>19</c:v>
                </c:pt>
                <c:pt idx="363" formatCode="0.0">
                  <c:v>21</c:v>
                </c:pt>
                <c:pt idx="364" formatCode="0.0">
                  <c:v>17</c:v>
                </c:pt>
                <c:pt idx="365" formatCode="0.0">
                  <c:v>17</c:v>
                </c:pt>
                <c:pt idx="366" formatCode="0.0">
                  <c:v>17</c:v>
                </c:pt>
                <c:pt idx="367" formatCode="0.0">
                  <c:v>26</c:v>
                </c:pt>
                <c:pt idx="368" formatCode="0.0">
                  <c:v>23</c:v>
                </c:pt>
                <c:pt idx="369" formatCode="0.0">
                  <c:v>19</c:v>
                </c:pt>
                <c:pt idx="370" formatCode="0.0">
                  <c:v>24</c:v>
                </c:pt>
                <c:pt idx="371" formatCode="0.0">
                  <c:v>24</c:v>
                </c:pt>
                <c:pt idx="372" formatCode="0.0">
                  <c:v>19</c:v>
                </c:pt>
                <c:pt idx="373" formatCode="0.0">
                  <c:v>28</c:v>
                </c:pt>
                <c:pt idx="374" formatCode="0.0">
                  <c:v>18</c:v>
                </c:pt>
                <c:pt idx="375" formatCode="0.0">
                  <c:v>30</c:v>
                </c:pt>
                <c:pt idx="376" formatCode="0.0">
                  <c:v>23</c:v>
                </c:pt>
                <c:pt idx="377" formatCode="0.0">
                  <c:v>18</c:v>
                </c:pt>
                <c:pt idx="378" formatCode="0.0">
                  <c:v>21</c:v>
                </c:pt>
                <c:pt idx="379" formatCode="0.0">
                  <c:v>17</c:v>
                </c:pt>
                <c:pt idx="380" formatCode="0.0">
                  <c:v>18</c:v>
                </c:pt>
                <c:pt idx="381" formatCode="0.0">
                  <c:v>18</c:v>
                </c:pt>
                <c:pt idx="382" formatCode="0.0">
                  <c:v>16</c:v>
                </c:pt>
                <c:pt idx="383" formatCode="0.0">
                  <c:v>16</c:v>
                </c:pt>
                <c:pt idx="384" formatCode="0.0">
                  <c:v>16</c:v>
                </c:pt>
                <c:pt idx="385" formatCode="0.0">
                  <c:v>16</c:v>
                </c:pt>
                <c:pt idx="386" formatCode="0.0">
                  <c:v>17</c:v>
                </c:pt>
                <c:pt idx="387" formatCode="0.0">
                  <c:v>17</c:v>
                </c:pt>
                <c:pt idx="388" formatCode="0.0">
                  <c:v>17</c:v>
                </c:pt>
                <c:pt idx="389" formatCode="0.0">
                  <c:v>18</c:v>
                </c:pt>
                <c:pt idx="390" formatCode="0.0">
                  <c:v>19</c:v>
                </c:pt>
                <c:pt idx="391" formatCode="0.0">
                  <c:v>25</c:v>
                </c:pt>
                <c:pt idx="392" formatCode="0.0">
                  <c:v>18</c:v>
                </c:pt>
                <c:pt idx="393" formatCode="0.0">
                  <c:v>29</c:v>
                </c:pt>
                <c:pt idx="394" formatCode="0.0">
                  <c:v>24</c:v>
                </c:pt>
                <c:pt idx="395" formatCode="0.0">
                  <c:v>21</c:v>
                </c:pt>
                <c:pt idx="396" formatCode="0.0">
                  <c:v>23</c:v>
                </c:pt>
                <c:pt idx="397" formatCode="0.0">
                  <c:v>30</c:v>
                </c:pt>
                <c:pt idx="398" formatCode="0.0">
                  <c:v>28</c:v>
                </c:pt>
                <c:pt idx="399" formatCode="0.0">
                  <c:v>25</c:v>
                </c:pt>
                <c:pt idx="400" formatCode="0.0">
                  <c:v>28</c:v>
                </c:pt>
                <c:pt idx="401" formatCode="0.0">
                  <c:v>28</c:v>
                </c:pt>
                <c:pt idx="402" formatCode="0.0">
                  <c:v>27</c:v>
                </c:pt>
                <c:pt idx="403" formatCode="0.0">
                  <c:v>30</c:v>
                </c:pt>
                <c:pt idx="404" formatCode="0.0">
                  <c:v>27</c:v>
                </c:pt>
                <c:pt idx="405" formatCode="0.0">
                  <c:v>27</c:v>
                </c:pt>
                <c:pt idx="406" formatCode="0.0">
                  <c:v>29</c:v>
                </c:pt>
                <c:pt idx="407" formatCode="0.0">
                  <c:v>26</c:v>
                </c:pt>
                <c:pt idx="408" formatCode="0.0">
                  <c:v>26</c:v>
                </c:pt>
                <c:pt idx="409" formatCode="0.0">
                  <c:v>26</c:v>
                </c:pt>
                <c:pt idx="410" formatCode="0.0">
                  <c:v>26</c:v>
                </c:pt>
                <c:pt idx="411" formatCode="0.0">
                  <c:v>19</c:v>
                </c:pt>
                <c:pt idx="412" formatCode="0.0">
                  <c:v>20</c:v>
                </c:pt>
                <c:pt idx="413" formatCode="0.0">
                  <c:v>17</c:v>
                </c:pt>
                <c:pt idx="414" formatCode="0.0">
                  <c:v>24</c:v>
                </c:pt>
                <c:pt idx="415" formatCode="0.0">
                  <c:v>14</c:v>
                </c:pt>
                <c:pt idx="416" formatCode="0.0">
                  <c:v>20</c:v>
                </c:pt>
                <c:pt idx="417" formatCode="0.0">
                  <c:v>27</c:v>
                </c:pt>
                <c:pt idx="418" formatCode="0.0">
                  <c:v>24</c:v>
                </c:pt>
                <c:pt idx="419" formatCode="0.0">
                  <c:v>30</c:v>
                </c:pt>
                <c:pt idx="420" formatCode="0.0">
                  <c:v>36</c:v>
                </c:pt>
                <c:pt idx="421" formatCode="0.0">
                  <c:v>30</c:v>
                </c:pt>
                <c:pt idx="422" formatCode="0.0">
                  <c:v>21</c:v>
                </c:pt>
                <c:pt idx="423" formatCode="0.0">
                  <c:v>23</c:v>
                </c:pt>
                <c:pt idx="424" formatCode="0.0">
                  <c:v>28</c:v>
                </c:pt>
                <c:pt idx="425" formatCode="0.0">
                  <c:v>26</c:v>
                </c:pt>
                <c:pt idx="426" formatCode="0.0">
                  <c:v>24</c:v>
                </c:pt>
                <c:pt idx="427" formatCode="0.0">
                  <c:v>33</c:v>
                </c:pt>
                <c:pt idx="428" formatCode="0.0">
                  <c:v>27</c:v>
                </c:pt>
                <c:pt idx="429" formatCode="0.0">
                  <c:v>23</c:v>
                </c:pt>
                <c:pt idx="430" formatCode="0.0">
                  <c:v>30</c:v>
                </c:pt>
                <c:pt idx="431" formatCode="0.0">
                  <c:v>32</c:v>
                </c:pt>
                <c:pt idx="432" formatCode="0.0">
                  <c:v>32</c:v>
                </c:pt>
                <c:pt idx="433" formatCode="0.0">
                  <c:v>24</c:v>
                </c:pt>
                <c:pt idx="434" formatCode="0.0">
                  <c:v>29</c:v>
                </c:pt>
                <c:pt idx="435" formatCode="0.0">
                  <c:v>24</c:v>
                </c:pt>
                <c:pt idx="436" formatCode="0.0">
                  <c:v>29</c:v>
                </c:pt>
                <c:pt idx="437" formatCode="0.0">
                  <c:v>23</c:v>
                </c:pt>
                <c:pt idx="438" formatCode="0.0">
                  <c:v>26</c:v>
                </c:pt>
                <c:pt idx="439" formatCode="0.0">
                  <c:v>29</c:v>
                </c:pt>
                <c:pt idx="440" formatCode="0.0">
                  <c:v>30</c:v>
                </c:pt>
                <c:pt idx="441" formatCode="0.0">
                  <c:v>20</c:v>
                </c:pt>
                <c:pt idx="442" formatCode="0.0">
                  <c:v>22</c:v>
                </c:pt>
                <c:pt idx="443" formatCode="0.0">
                  <c:v>20</c:v>
                </c:pt>
                <c:pt idx="444" formatCode="0.0">
                  <c:v>28</c:v>
                </c:pt>
                <c:pt idx="445" formatCode="0.0">
                  <c:v>29</c:v>
                </c:pt>
                <c:pt idx="446" formatCode="0.0">
                  <c:v>17</c:v>
                </c:pt>
                <c:pt idx="447" formatCode="0.0">
                  <c:v>17</c:v>
                </c:pt>
                <c:pt idx="448" formatCode="0.0">
                  <c:v>17</c:v>
                </c:pt>
                <c:pt idx="449" formatCode="0.0">
                  <c:v>17</c:v>
                </c:pt>
                <c:pt idx="450" formatCode="0.0">
                  <c:v>23</c:v>
                </c:pt>
                <c:pt idx="451" formatCode="0.0">
                  <c:v>34</c:v>
                </c:pt>
                <c:pt idx="452" formatCode="0.0">
                  <c:v>35</c:v>
                </c:pt>
                <c:pt idx="453" formatCode="0.0">
                  <c:v>31</c:v>
                </c:pt>
                <c:pt idx="454" formatCode="0.0">
                  <c:v>25</c:v>
                </c:pt>
                <c:pt idx="455" formatCode="0.0">
                  <c:v>19</c:v>
                </c:pt>
                <c:pt idx="456" formatCode="0.0">
                  <c:v>34</c:v>
                </c:pt>
                <c:pt idx="458" formatCode="0.0">
                  <c:v>22</c:v>
                </c:pt>
                <c:pt idx="459" formatCode="0.0">
                  <c:v>33</c:v>
                </c:pt>
                <c:pt idx="460" formatCode="0.0">
                  <c:v>26</c:v>
                </c:pt>
                <c:pt idx="461" formatCode="0.0">
                  <c:v>30</c:v>
                </c:pt>
                <c:pt idx="462" formatCode="0.0">
                  <c:v>27</c:v>
                </c:pt>
                <c:pt idx="463" formatCode="0.0">
                  <c:v>20</c:v>
                </c:pt>
                <c:pt idx="464" formatCode="0.0">
                  <c:v>34</c:v>
                </c:pt>
                <c:pt idx="465" formatCode="0.0">
                  <c:v>32</c:v>
                </c:pt>
                <c:pt idx="466" formatCode="0.0">
                  <c:v>35</c:v>
                </c:pt>
                <c:pt idx="467" formatCode="0.0">
                  <c:v>21</c:v>
                </c:pt>
                <c:pt idx="468" formatCode="0.0">
                  <c:v>23</c:v>
                </c:pt>
                <c:pt idx="469" formatCode="0.0">
                  <c:v>24</c:v>
                </c:pt>
                <c:pt idx="470" formatCode="0.0">
                  <c:v>#N/A</c:v>
                </c:pt>
                <c:pt idx="471" formatCode="0.0">
                  <c:v>0</c:v>
                </c:pt>
                <c:pt idx="472" formatCode="0.0">
                  <c:v>0</c:v>
                </c:pt>
                <c:pt idx="473" formatCode="0.0">
                  <c:v>0</c:v>
                </c:pt>
                <c:pt idx="474" formatCode="0.0">
                  <c:v>0</c:v>
                </c:pt>
                <c:pt idx="475" formatCode="0.0">
                  <c:v>0</c:v>
                </c:pt>
                <c:pt idx="476" formatCode="0.0">
                  <c:v>0</c:v>
                </c:pt>
                <c:pt idx="477" formatCode="0.0">
                  <c:v>0</c:v>
                </c:pt>
                <c:pt idx="478" formatCode="0.0">
                  <c:v>0</c:v>
                </c:pt>
                <c:pt idx="479" formatCode="0.0">
                  <c:v>0</c:v>
                </c:pt>
                <c:pt idx="480" formatCode="0.0">
                  <c:v>0</c:v>
                </c:pt>
                <c:pt idx="481" formatCode="0.0">
                  <c:v>0</c:v>
                </c:pt>
                <c:pt idx="482" formatCode="0.0">
                  <c:v>0</c:v>
                </c:pt>
                <c:pt idx="483" formatCode="0.0">
                  <c:v>0</c:v>
                </c:pt>
                <c:pt idx="484" formatCode="0.0">
                  <c:v>0</c:v>
                </c:pt>
                <c:pt idx="485" formatCode="0.0">
                  <c:v>#N/A</c:v>
                </c:pt>
                <c:pt idx="486" formatCode="0.0">
                  <c:v>#N/A</c:v>
                </c:pt>
                <c:pt idx="487" formatCode="0.0">
                  <c:v>0</c:v>
                </c:pt>
                <c:pt idx="488" formatCode="0.0">
                  <c:v>0</c:v>
                </c:pt>
                <c:pt idx="489" formatCode="0.0">
                  <c:v>0</c:v>
                </c:pt>
                <c:pt idx="490" formatCode="0.0">
                  <c:v>0</c:v>
                </c:pt>
                <c:pt idx="491" formatCode="0.0">
                  <c:v>#N/A</c:v>
                </c:pt>
                <c:pt idx="492" formatCode="0.0">
                  <c:v>#N/A</c:v>
                </c:pt>
                <c:pt idx="493" formatCode="0.0">
                  <c:v>#N/A</c:v>
                </c:pt>
                <c:pt idx="494" formatCode="0.0">
                  <c:v>#N/A</c:v>
                </c:pt>
                <c:pt idx="495" formatCode="0.0">
                  <c:v>#N/A</c:v>
                </c:pt>
                <c:pt idx="496" formatCode="0.0">
                  <c:v>#N/A</c:v>
                </c:pt>
                <c:pt idx="497" formatCode="0.0">
                  <c:v>#N/A</c:v>
                </c:pt>
                <c:pt idx="498" formatCode="0.0">
                  <c:v>#N/A</c:v>
                </c:pt>
                <c:pt idx="499" formatCode="0.0">
                  <c:v>#N/A</c:v>
                </c:pt>
                <c:pt idx="500" formatCode="0.0">
                  <c:v>#N/A</c:v>
                </c:pt>
                <c:pt idx="501" formatCode="0.0">
                  <c:v>#N/A</c:v>
                </c:pt>
                <c:pt idx="502" formatCode="0.0">
                  <c:v>#N/A</c:v>
                </c:pt>
                <c:pt idx="503" formatCode="0.0">
                  <c:v>#N/A</c:v>
                </c:pt>
                <c:pt idx="504" formatCode="0.0">
                  <c:v>#N/A</c:v>
                </c:pt>
                <c:pt idx="505">
                  <c:v>30</c:v>
                </c:pt>
                <c:pt idx="506">
                  <c:v>19</c:v>
                </c:pt>
                <c:pt idx="507">
                  <c:v>21</c:v>
                </c:pt>
                <c:pt idx="508">
                  <c:v>19</c:v>
                </c:pt>
                <c:pt idx="509">
                  <c:v>26</c:v>
                </c:pt>
                <c:pt idx="510">
                  <c:v>31</c:v>
                </c:pt>
                <c:pt idx="511">
                  <c:v>26</c:v>
                </c:pt>
                <c:pt idx="512">
                  <c:v>32</c:v>
                </c:pt>
                <c:pt idx="513">
                  <c:v>51</c:v>
                </c:pt>
                <c:pt idx="514">
                  <c:v>24</c:v>
                </c:pt>
                <c:pt idx="515">
                  <c:v>20</c:v>
                </c:pt>
                <c:pt idx="516">
                  <c:v>19</c:v>
                </c:pt>
                <c:pt idx="517">
                  <c:v>30</c:v>
                </c:pt>
                <c:pt idx="518">
                  <c:v>43</c:v>
                </c:pt>
                <c:pt idx="519">
                  <c:v>42</c:v>
                </c:pt>
                <c:pt idx="520">
                  <c:v>51</c:v>
                </c:pt>
                <c:pt idx="521">
                  <c:v>42</c:v>
                </c:pt>
                <c:pt idx="522">
                  <c:v>28</c:v>
                </c:pt>
                <c:pt idx="523">
                  <c:v>26</c:v>
                </c:pt>
                <c:pt idx="524">
                  <c:v>27</c:v>
                </c:pt>
                <c:pt idx="525">
                  <c:v>27</c:v>
                </c:pt>
                <c:pt idx="526">
                  <c:v>21</c:v>
                </c:pt>
                <c:pt idx="527">
                  <c:v>30</c:v>
                </c:pt>
                <c:pt idx="528">
                  <c:v>27</c:v>
                </c:pt>
                <c:pt idx="529">
                  <c:v>24</c:v>
                </c:pt>
                <c:pt idx="530">
                  <c:v>30</c:v>
                </c:pt>
                <c:pt idx="531">
                  <c:v>56</c:v>
                </c:pt>
                <c:pt idx="532">
                  <c:v>38</c:v>
                </c:pt>
                <c:pt idx="533">
                  <c:v>50</c:v>
                </c:pt>
                <c:pt idx="534">
                  <c:v>27</c:v>
                </c:pt>
                <c:pt idx="535">
                  <c:v>18</c:v>
                </c:pt>
                <c:pt idx="536">
                  <c:v>37</c:v>
                </c:pt>
                <c:pt idx="537">
                  <c:v>17</c:v>
                </c:pt>
                <c:pt idx="538">
                  <c:v>14</c:v>
                </c:pt>
                <c:pt idx="539">
                  <c:v>21</c:v>
                </c:pt>
                <c:pt idx="540">
                  <c:v>29</c:v>
                </c:pt>
                <c:pt idx="541">
                  <c:v>28</c:v>
                </c:pt>
                <c:pt idx="542">
                  <c:v>25</c:v>
                </c:pt>
                <c:pt idx="543">
                  <c:v>33</c:v>
                </c:pt>
                <c:pt idx="544">
                  <c:v>19</c:v>
                </c:pt>
                <c:pt idx="545">
                  <c:v>27</c:v>
                </c:pt>
                <c:pt idx="546">
                  <c:v>38</c:v>
                </c:pt>
                <c:pt idx="547">
                  <c:v>34</c:v>
                </c:pt>
                <c:pt idx="548">
                  <c:v>39</c:v>
                </c:pt>
                <c:pt idx="549">
                  <c:v>34</c:v>
                </c:pt>
                <c:pt idx="550">
                  <c:v>37</c:v>
                </c:pt>
                <c:pt idx="551">
                  <c:v>32</c:v>
                </c:pt>
                <c:pt idx="552">
                  <c:v>35</c:v>
                </c:pt>
                <c:pt idx="553">
                  <c:v>39</c:v>
                </c:pt>
                <c:pt idx="554">
                  <c:v>30</c:v>
                </c:pt>
                <c:pt idx="555">
                  <c:v>35</c:v>
                </c:pt>
                <c:pt idx="556">
                  <c:v>24</c:v>
                </c:pt>
                <c:pt idx="557">
                  <c:v>22</c:v>
                </c:pt>
                <c:pt idx="558">
                  <c:v>27</c:v>
                </c:pt>
                <c:pt idx="559">
                  <c:v>29</c:v>
                </c:pt>
                <c:pt idx="560">
                  <c:v>17</c:v>
                </c:pt>
                <c:pt idx="561">
                  <c:v>20</c:v>
                </c:pt>
                <c:pt idx="562">
                  <c:v>20</c:v>
                </c:pt>
                <c:pt idx="563">
                  <c:v>27</c:v>
                </c:pt>
                <c:pt idx="564">
                  <c:v>28</c:v>
                </c:pt>
                <c:pt idx="565">
                  <c:v>30</c:v>
                </c:pt>
                <c:pt idx="566">
                  <c:v>31</c:v>
                </c:pt>
                <c:pt idx="567">
                  <c:v>41</c:v>
                </c:pt>
                <c:pt idx="568">
                  <c:v>41</c:v>
                </c:pt>
                <c:pt idx="569">
                  <c:v>39</c:v>
                </c:pt>
                <c:pt idx="570">
                  <c:v>48</c:v>
                </c:pt>
                <c:pt idx="571">
                  <c:v>34</c:v>
                </c:pt>
                <c:pt idx="572">
                  <c:v>22</c:v>
                </c:pt>
                <c:pt idx="573">
                  <c:v>23</c:v>
                </c:pt>
                <c:pt idx="574">
                  <c:v>20</c:v>
                </c:pt>
                <c:pt idx="575">
                  <c:v>24</c:v>
                </c:pt>
                <c:pt idx="576">
                  <c:v>27</c:v>
                </c:pt>
                <c:pt idx="577">
                  <c:v>15</c:v>
                </c:pt>
                <c:pt idx="578">
                  <c:v>15</c:v>
                </c:pt>
                <c:pt idx="579">
                  <c:v>30</c:v>
                </c:pt>
                <c:pt idx="580">
                  <c:v>42</c:v>
                </c:pt>
                <c:pt idx="581">
                  <c:v>20</c:v>
                </c:pt>
                <c:pt idx="582">
                  <c:v>36</c:v>
                </c:pt>
                <c:pt idx="583">
                  <c:v>25</c:v>
                </c:pt>
                <c:pt idx="584">
                  <c:v>27</c:v>
                </c:pt>
              </c:numCache>
            </c:numRef>
          </c:xVal>
          <c:yVal>
            <c:numRef>
              <c:f>'2. Logging Brejo Seco'!$BG$3:$BG$587</c:f>
              <c:numCache>
                <c:formatCode>0.0</c:formatCode>
                <c:ptCount val="5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46.5</c:v>
                </c:pt>
                <c:pt idx="7">
                  <c:v>63.5</c:v>
                </c:pt>
                <c:pt idx="8">
                  <c:v>3</c:v>
                </c:pt>
                <c:pt idx="9">
                  <c:v>42</c:v>
                </c:pt>
                <c:pt idx="10">
                  <c:v>22</c:v>
                </c:pt>
                <c:pt idx="11">
                  <c:v>28</c:v>
                </c:pt>
                <c:pt idx="12">
                  <c:v>6</c:v>
                </c:pt>
                <c:pt idx="13">
                  <c:v>23</c:v>
                </c:pt>
                <c:pt idx="14">
                  <c:v>33</c:v>
                </c:pt>
                <c:pt idx="15">
                  <c:v>44.5</c:v>
                </c:pt>
                <c:pt idx="16">
                  <c:v>47.5</c:v>
                </c:pt>
                <c:pt idx="17">
                  <c:v>25</c:v>
                </c:pt>
                <c:pt idx="18">
                  <c:v>37.5</c:v>
                </c:pt>
                <c:pt idx="19">
                  <c:v>50.5</c:v>
                </c:pt>
                <c:pt idx="20">
                  <c:v>21.5</c:v>
                </c:pt>
                <c:pt idx="21">
                  <c:v>10.5</c:v>
                </c:pt>
                <c:pt idx="22">
                  <c:v>27</c:v>
                </c:pt>
                <c:pt idx="23">
                  <c:v>43</c:v>
                </c:pt>
                <c:pt idx="24">
                  <c:v>46</c:v>
                </c:pt>
                <c:pt idx="25">
                  <c:v>36.5</c:v>
                </c:pt>
                <c:pt idx="26">
                  <c:v>18</c:v>
                </c:pt>
                <c:pt idx="27">
                  <c:v>20</c:v>
                </c:pt>
                <c:pt idx="28">
                  <c:v>44.5</c:v>
                </c:pt>
                <c:pt idx="29">
                  <c:v>42.5</c:v>
                </c:pt>
                <c:pt idx="30">
                  <c:v>16.5</c:v>
                </c:pt>
                <c:pt idx="31">
                  <c:v>43.5</c:v>
                </c:pt>
                <c:pt idx="32">
                  <c:v>24</c:v>
                </c:pt>
                <c:pt idx="33">
                  <c:v>10.5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12</c:v>
                </c:pt>
                <c:pt idx="38">
                  <c:v>12</c:v>
                </c:pt>
                <c:pt idx="39">
                  <c:v>10.5</c:v>
                </c:pt>
                <c:pt idx="40">
                  <c:v>27.5</c:v>
                </c:pt>
                <c:pt idx="41">
                  <c:v>16.5</c:v>
                </c:pt>
                <c:pt idx="42">
                  <c:v>16.5</c:v>
                </c:pt>
                <c:pt idx="43">
                  <c:v>54.5</c:v>
                </c:pt>
                <c:pt idx="44">
                  <c:v>46.5</c:v>
                </c:pt>
                <c:pt idx="45">
                  <c:v>81.5</c:v>
                </c:pt>
                <c:pt idx="46">
                  <c:v>62.5</c:v>
                </c:pt>
                <c:pt idx="47">
                  <c:v>77.368421052631646</c:v>
                </c:pt>
                <c:pt idx="48">
                  <c:v>47</c:v>
                </c:pt>
                <c:pt idx="49">
                  <c:v>46</c:v>
                </c:pt>
                <c:pt idx="50">
                  <c:v>41</c:v>
                </c:pt>
                <c:pt idx="51">
                  <c:v>72.857142857142691</c:v>
                </c:pt>
                <c:pt idx="52">
                  <c:v>75.744680851063947</c:v>
                </c:pt>
                <c:pt idx="53">
                  <c:v>56.213592233009678</c:v>
                </c:pt>
                <c:pt idx="54">
                  <c:v>70</c:v>
                </c:pt>
                <c:pt idx="55">
                  <c:v>71.21621621621631</c:v>
                </c:pt>
                <c:pt idx="56">
                  <c:v>67.499999999999972</c:v>
                </c:pt>
                <c:pt idx="57">
                  <c:v>50</c:v>
                </c:pt>
                <c:pt idx="58">
                  <c:v>45</c:v>
                </c:pt>
                <c:pt idx="59">
                  <c:v>43.333333333333336</c:v>
                </c:pt>
                <c:pt idx="60">
                  <c:v>76.428571428571246</c:v>
                </c:pt>
                <c:pt idx="61">
                  <c:v>62</c:v>
                </c:pt>
                <c:pt idx="62">
                  <c:v>50</c:v>
                </c:pt>
                <c:pt idx="63">
                  <c:v>19.5</c:v>
                </c:pt>
                <c:pt idx="64">
                  <c:v>48.5</c:v>
                </c:pt>
                <c:pt idx="65">
                  <c:v>37.5</c:v>
                </c:pt>
                <c:pt idx="66">
                  <c:v>19.5</c:v>
                </c:pt>
                <c:pt idx="67">
                  <c:v>35.92857142857153</c:v>
                </c:pt>
                <c:pt idx="68">
                  <c:v>44.499999999999943</c:v>
                </c:pt>
                <c:pt idx="69">
                  <c:v>30.5</c:v>
                </c:pt>
                <c:pt idx="70">
                  <c:v>3</c:v>
                </c:pt>
                <c:pt idx="71">
                  <c:v>33.49999999999995</c:v>
                </c:pt>
                <c:pt idx="72">
                  <c:v>47.5</c:v>
                </c:pt>
                <c:pt idx="73">
                  <c:v>22.5</c:v>
                </c:pt>
                <c:pt idx="74">
                  <c:v>37.250000000000085</c:v>
                </c:pt>
                <c:pt idx="75">
                  <c:v>35.3333333333333</c:v>
                </c:pt>
                <c:pt idx="76">
                  <c:v>28.5</c:v>
                </c:pt>
                <c:pt idx="77">
                  <c:v>30.214285714285779</c:v>
                </c:pt>
                <c:pt idx="78">
                  <c:v>16.5</c:v>
                </c:pt>
                <c:pt idx="79">
                  <c:v>16.5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13.5</c:v>
                </c:pt>
                <c:pt idx="84">
                  <c:v>19.5</c:v>
                </c:pt>
                <c:pt idx="85">
                  <c:v>13.5</c:v>
                </c:pt>
                <c:pt idx="86">
                  <c:v>40.5</c:v>
                </c:pt>
                <c:pt idx="87">
                  <c:v>29</c:v>
                </c:pt>
                <c:pt idx="88">
                  <c:v>27</c:v>
                </c:pt>
                <c:pt idx="89">
                  <c:v>13.5</c:v>
                </c:pt>
                <c:pt idx="90">
                  <c:v>27.772727272727138</c:v>
                </c:pt>
                <c:pt idx="91">
                  <c:v>13.5</c:v>
                </c:pt>
                <c:pt idx="92">
                  <c:v>31.357142857142787</c:v>
                </c:pt>
                <c:pt idx="93">
                  <c:v>57</c:v>
                </c:pt>
                <c:pt idx="94">
                  <c:v>27.5</c:v>
                </c:pt>
                <c:pt idx="95">
                  <c:v>13.5</c:v>
                </c:pt>
                <c:pt idx="96">
                  <c:v>13.5</c:v>
                </c:pt>
                <c:pt idx="97">
                  <c:v>43.5</c:v>
                </c:pt>
                <c:pt idx="98">
                  <c:v>23.5</c:v>
                </c:pt>
                <c:pt idx="99">
                  <c:v>29.5</c:v>
                </c:pt>
                <c:pt idx="100">
                  <c:v>28</c:v>
                </c:pt>
                <c:pt idx="101">
                  <c:v>24</c:v>
                </c:pt>
                <c:pt idx="102">
                  <c:v>10.5</c:v>
                </c:pt>
                <c:pt idx="103">
                  <c:v>13.5</c:v>
                </c:pt>
                <c:pt idx="104">
                  <c:v>3</c:v>
                </c:pt>
                <c:pt idx="105">
                  <c:v>3</c:v>
                </c:pt>
                <c:pt idx="106">
                  <c:v>59.5</c:v>
                </c:pt>
                <c:pt idx="107">
                  <c:v>43.772727272727415</c:v>
                </c:pt>
                <c:pt idx="108">
                  <c:v>54.499999999999915</c:v>
                </c:pt>
                <c:pt idx="109">
                  <c:v>35.5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26.5</c:v>
                </c:pt>
                <c:pt idx="122">
                  <c:v>4.5</c:v>
                </c:pt>
                <c:pt idx="123">
                  <c:v>4.5</c:v>
                </c:pt>
                <c:pt idx="124">
                  <c:v>12</c:v>
                </c:pt>
                <c:pt idx="125">
                  <c:v>21</c:v>
                </c:pt>
                <c:pt idx="126">
                  <c:v>3</c:v>
                </c:pt>
                <c:pt idx="127">
                  <c:v>0</c:v>
                </c:pt>
                <c:pt idx="128">
                  <c:v>16.5</c:v>
                </c:pt>
                <c:pt idx="129">
                  <c:v>9</c:v>
                </c:pt>
                <c:pt idx="130">
                  <c:v>28.5</c:v>
                </c:pt>
                <c:pt idx="131">
                  <c:v>43.5</c:v>
                </c:pt>
                <c:pt idx="132">
                  <c:v>12</c:v>
                </c:pt>
                <c:pt idx="133">
                  <c:v>9</c:v>
                </c:pt>
                <c:pt idx="134">
                  <c:v>29</c:v>
                </c:pt>
                <c:pt idx="135">
                  <c:v>47.5</c:v>
                </c:pt>
                <c:pt idx="136">
                  <c:v>25.5</c:v>
                </c:pt>
                <c:pt idx="137">
                  <c:v>6</c:v>
                </c:pt>
                <c:pt idx="138">
                  <c:v>16</c:v>
                </c:pt>
                <c:pt idx="139">
                  <c:v>6</c:v>
                </c:pt>
                <c:pt idx="140">
                  <c:v>16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10.5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23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22</c:v>
                </c:pt>
                <c:pt idx="206">
                  <c:v>22</c:v>
                </c:pt>
                <c:pt idx="207">
                  <c:v>12</c:v>
                </c:pt>
                <c:pt idx="208">
                  <c:v>4.5</c:v>
                </c:pt>
                <c:pt idx="209">
                  <c:v>4.5</c:v>
                </c:pt>
                <c:pt idx="210">
                  <c:v>4.5</c:v>
                </c:pt>
                <c:pt idx="211">
                  <c:v>12</c:v>
                </c:pt>
                <c:pt idx="212">
                  <c:v>7.5</c:v>
                </c:pt>
                <c:pt idx="213">
                  <c:v>32.5</c:v>
                </c:pt>
                <c:pt idx="214">
                  <c:v>12</c:v>
                </c:pt>
                <c:pt idx="215">
                  <c:v>7.5</c:v>
                </c:pt>
                <c:pt idx="216">
                  <c:v>29.5</c:v>
                </c:pt>
                <c:pt idx="217">
                  <c:v>7.5</c:v>
                </c:pt>
                <c:pt idx="218">
                  <c:v>20.5</c:v>
                </c:pt>
                <c:pt idx="219">
                  <c:v>23.5</c:v>
                </c:pt>
                <c:pt idx="220">
                  <c:v>28.5</c:v>
                </c:pt>
                <c:pt idx="221">
                  <c:v>10.5</c:v>
                </c:pt>
                <c:pt idx="222">
                  <c:v>10.5</c:v>
                </c:pt>
                <c:pt idx="223">
                  <c:v>10.5</c:v>
                </c:pt>
                <c:pt idx="224">
                  <c:v>10.5</c:v>
                </c:pt>
                <c:pt idx="225">
                  <c:v>10.5</c:v>
                </c:pt>
                <c:pt idx="226">
                  <c:v>10.5</c:v>
                </c:pt>
                <c:pt idx="227">
                  <c:v>10.5</c:v>
                </c:pt>
                <c:pt idx="228">
                  <c:v>10.5</c:v>
                </c:pt>
                <c:pt idx="229">
                  <c:v>19.5</c:v>
                </c:pt>
                <c:pt idx="230">
                  <c:v>1.5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20</c:v>
                </c:pt>
                <c:pt idx="239">
                  <c:v>21.5</c:v>
                </c:pt>
                <c:pt idx="240">
                  <c:v>24</c:v>
                </c:pt>
                <c:pt idx="241">
                  <c:v>9</c:v>
                </c:pt>
                <c:pt idx="242">
                  <c:v>9</c:v>
                </c:pt>
                <c:pt idx="243">
                  <c:v>17.5</c:v>
                </c:pt>
                <c:pt idx="244">
                  <c:v>22</c:v>
                </c:pt>
                <c:pt idx="245">
                  <c:v>24</c:v>
                </c:pt>
                <c:pt idx="246">
                  <c:v>23.5</c:v>
                </c:pt>
                <c:pt idx="247">
                  <c:v>37</c:v>
                </c:pt>
                <c:pt idx="248">
                  <c:v>9</c:v>
                </c:pt>
                <c:pt idx="249">
                  <c:v>7.5</c:v>
                </c:pt>
                <c:pt idx="250">
                  <c:v>7.5</c:v>
                </c:pt>
                <c:pt idx="251">
                  <c:v>17.5</c:v>
                </c:pt>
                <c:pt idx="252">
                  <c:v>7.5</c:v>
                </c:pt>
                <c:pt idx="253">
                  <c:v>4.5</c:v>
                </c:pt>
                <c:pt idx="254">
                  <c:v>4.5</c:v>
                </c:pt>
                <c:pt idx="255">
                  <c:v>3</c:v>
                </c:pt>
                <c:pt idx="256">
                  <c:v>23</c:v>
                </c:pt>
                <c:pt idx="257">
                  <c:v>24.5</c:v>
                </c:pt>
                <c:pt idx="258">
                  <c:v>10.5</c:v>
                </c:pt>
                <c:pt idx="259">
                  <c:v>22</c:v>
                </c:pt>
                <c:pt idx="260">
                  <c:v>19</c:v>
                </c:pt>
                <c:pt idx="261">
                  <c:v>12</c:v>
                </c:pt>
                <c:pt idx="262">
                  <c:v>12</c:v>
                </c:pt>
                <c:pt idx="263">
                  <c:v>33</c:v>
                </c:pt>
                <c:pt idx="264">
                  <c:v>9</c:v>
                </c:pt>
                <c:pt idx="265">
                  <c:v>31</c:v>
                </c:pt>
                <c:pt idx="266">
                  <c:v>7.5</c:v>
                </c:pt>
                <c:pt idx="267">
                  <c:v>27</c:v>
                </c:pt>
                <c:pt idx="268">
                  <c:v>22</c:v>
                </c:pt>
                <c:pt idx="269">
                  <c:v>7.5</c:v>
                </c:pt>
                <c:pt idx="270">
                  <c:v>9</c:v>
                </c:pt>
                <c:pt idx="271">
                  <c:v>23</c:v>
                </c:pt>
                <c:pt idx="272">
                  <c:v>32.5</c:v>
                </c:pt>
                <c:pt idx="273">
                  <c:v>7.5</c:v>
                </c:pt>
                <c:pt idx="274">
                  <c:v>51.5</c:v>
                </c:pt>
                <c:pt idx="275">
                  <c:v>39</c:v>
                </c:pt>
                <c:pt idx="276">
                  <c:v>62.5</c:v>
                </c:pt>
                <c:pt idx="277">
                  <c:v>45.5</c:v>
                </c:pt>
                <c:pt idx="278">
                  <c:v>44.5</c:v>
                </c:pt>
                <c:pt idx="279">
                  <c:v>45.5</c:v>
                </c:pt>
                <c:pt idx="280">
                  <c:v>42.5</c:v>
                </c:pt>
                <c:pt idx="281">
                  <c:v>43.5</c:v>
                </c:pt>
                <c:pt idx="282">
                  <c:v>58.5</c:v>
                </c:pt>
                <c:pt idx="283">
                  <c:v>53.5</c:v>
                </c:pt>
                <c:pt idx="284">
                  <c:v>58.5</c:v>
                </c:pt>
                <c:pt idx="285">
                  <c:v>61.5</c:v>
                </c:pt>
                <c:pt idx="286">
                  <c:v>59.5</c:v>
                </c:pt>
                <c:pt idx="287">
                  <c:v>44.5</c:v>
                </c:pt>
                <c:pt idx="288">
                  <c:v>28.5</c:v>
                </c:pt>
                <c:pt idx="289">
                  <c:v>31.5</c:v>
                </c:pt>
                <c:pt idx="290">
                  <c:v>46.5</c:v>
                </c:pt>
                <c:pt idx="291">
                  <c:v>13.5</c:v>
                </c:pt>
                <c:pt idx="292">
                  <c:v>23</c:v>
                </c:pt>
                <c:pt idx="293">
                  <c:v>19</c:v>
                </c:pt>
                <c:pt idx="294">
                  <c:v>22</c:v>
                </c:pt>
                <c:pt idx="295">
                  <c:v>31</c:v>
                </c:pt>
                <c:pt idx="296">
                  <c:v>59</c:v>
                </c:pt>
                <c:pt idx="297">
                  <c:v>39</c:v>
                </c:pt>
                <c:pt idx="298">
                  <c:v>9</c:v>
                </c:pt>
                <c:pt idx="299">
                  <c:v>34</c:v>
                </c:pt>
                <c:pt idx="300">
                  <c:v>12</c:v>
                </c:pt>
                <c:pt idx="301">
                  <c:v>9</c:v>
                </c:pt>
                <c:pt idx="302">
                  <c:v>7.5</c:v>
                </c:pt>
                <c:pt idx="303">
                  <c:v>46.5</c:v>
                </c:pt>
                <c:pt idx="304">
                  <c:v>19</c:v>
                </c:pt>
                <c:pt idx="305">
                  <c:v>19</c:v>
                </c:pt>
                <c:pt idx="306">
                  <c:v>45</c:v>
                </c:pt>
                <c:pt idx="307">
                  <c:v>48.5</c:v>
                </c:pt>
                <c:pt idx="308">
                  <c:v>34.5</c:v>
                </c:pt>
                <c:pt idx="309">
                  <c:v>49.5</c:v>
                </c:pt>
                <c:pt idx="310">
                  <c:v>30.5</c:v>
                </c:pt>
                <c:pt idx="311">
                  <c:v>16.5</c:v>
                </c:pt>
                <c:pt idx="312">
                  <c:v>53.5</c:v>
                </c:pt>
                <c:pt idx="313">
                  <c:v>43.5</c:v>
                </c:pt>
                <c:pt idx="314">
                  <c:v>34.5</c:v>
                </c:pt>
                <c:pt idx="315">
                  <c:v>18</c:v>
                </c:pt>
                <c:pt idx="316">
                  <c:v>15.5</c:v>
                </c:pt>
                <c:pt idx="317">
                  <c:v>4.5</c:v>
                </c:pt>
                <c:pt idx="318">
                  <c:v>4.5</c:v>
                </c:pt>
                <c:pt idx="319">
                  <c:v>4.5</c:v>
                </c:pt>
                <c:pt idx="320">
                  <c:v>9</c:v>
                </c:pt>
                <c:pt idx="321">
                  <c:v>9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33.758064516129025</c:v>
                </c:pt>
                <c:pt idx="354">
                  <c:v>44.35714285714289</c:v>
                </c:pt>
                <c:pt idx="356">
                  <c:v>21.69230769230769</c:v>
                </c:pt>
                <c:pt idx="357">
                  <c:v>1.5</c:v>
                </c:pt>
                <c:pt idx="358">
                  <c:v>7.5</c:v>
                </c:pt>
                <c:pt idx="359">
                  <c:v>7.5</c:v>
                </c:pt>
                <c:pt idx="360">
                  <c:v>7.5</c:v>
                </c:pt>
                <c:pt idx="361">
                  <c:v>7.5</c:v>
                </c:pt>
                <c:pt idx="362">
                  <c:v>7.5</c:v>
                </c:pt>
                <c:pt idx="363">
                  <c:v>7.5</c:v>
                </c:pt>
                <c:pt idx="364">
                  <c:v>7.5</c:v>
                </c:pt>
                <c:pt idx="365">
                  <c:v>7.5</c:v>
                </c:pt>
                <c:pt idx="366">
                  <c:v>7.5</c:v>
                </c:pt>
                <c:pt idx="367">
                  <c:v>20.5</c:v>
                </c:pt>
                <c:pt idx="368">
                  <c:v>18.5</c:v>
                </c:pt>
                <c:pt idx="369">
                  <c:v>7.5</c:v>
                </c:pt>
                <c:pt idx="370">
                  <c:v>18.5</c:v>
                </c:pt>
                <c:pt idx="371">
                  <c:v>18.5</c:v>
                </c:pt>
                <c:pt idx="372">
                  <c:v>7.5</c:v>
                </c:pt>
                <c:pt idx="373">
                  <c:v>20.5</c:v>
                </c:pt>
                <c:pt idx="374">
                  <c:v>1.5</c:v>
                </c:pt>
                <c:pt idx="375">
                  <c:v>22.5</c:v>
                </c:pt>
                <c:pt idx="376">
                  <c:v>12.5</c:v>
                </c:pt>
                <c:pt idx="377">
                  <c:v>1.5</c:v>
                </c:pt>
                <c:pt idx="378">
                  <c:v>11.5</c:v>
                </c:pt>
                <c:pt idx="379">
                  <c:v>1.5</c:v>
                </c:pt>
                <c:pt idx="380">
                  <c:v>1.5</c:v>
                </c:pt>
                <c:pt idx="381">
                  <c:v>1.5</c:v>
                </c:pt>
                <c:pt idx="382">
                  <c:v>1.5</c:v>
                </c:pt>
                <c:pt idx="383">
                  <c:v>1.5</c:v>
                </c:pt>
                <c:pt idx="384">
                  <c:v>1.5</c:v>
                </c:pt>
                <c:pt idx="385">
                  <c:v>1.5</c:v>
                </c:pt>
                <c:pt idx="386">
                  <c:v>7.5</c:v>
                </c:pt>
                <c:pt idx="387">
                  <c:v>7.5</c:v>
                </c:pt>
                <c:pt idx="388">
                  <c:v>7.5</c:v>
                </c:pt>
                <c:pt idx="389">
                  <c:v>7.5</c:v>
                </c:pt>
                <c:pt idx="390">
                  <c:v>7.5</c:v>
                </c:pt>
                <c:pt idx="391">
                  <c:v>18.5</c:v>
                </c:pt>
                <c:pt idx="392">
                  <c:v>7.5</c:v>
                </c:pt>
                <c:pt idx="393">
                  <c:v>26.5</c:v>
                </c:pt>
                <c:pt idx="394">
                  <c:v>21.5</c:v>
                </c:pt>
                <c:pt idx="395">
                  <c:v>7.5</c:v>
                </c:pt>
                <c:pt idx="396">
                  <c:v>18.5</c:v>
                </c:pt>
                <c:pt idx="397">
                  <c:v>29.5</c:v>
                </c:pt>
                <c:pt idx="398">
                  <c:v>13.5</c:v>
                </c:pt>
                <c:pt idx="399">
                  <c:v>13.5</c:v>
                </c:pt>
                <c:pt idx="400">
                  <c:v>13.5</c:v>
                </c:pt>
                <c:pt idx="401">
                  <c:v>13.5</c:v>
                </c:pt>
                <c:pt idx="402">
                  <c:v>13.5</c:v>
                </c:pt>
                <c:pt idx="403">
                  <c:v>13.5</c:v>
                </c:pt>
                <c:pt idx="404">
                  <c:v>13.5</c:v>
                </c:pt>
                <c:pt idx="405">
                  <c:v>13.5</c:v>
                </c:pt>
                <c:pt idx="406">
                  <c:v>13.5</c:v>
                </c:pt>
                <c:pt idx="407">
                  <c:v>13.5</c:v>
                </c:pt>
                <c:pt idx="408">
                  <c:v>13.5</c:v>
                </c:pt>
                <c:pt idx="409">
                  <c:v>13.5</c:v>
                </c:pt>
                <c:pt idx="410">
                  <c:v>13.5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17.5</c:v>
                </c:pt>
                <c:pt idx="415">
                  <c:v>1.5</c:v>
                </c:pt>
                <c:pt idx="416">
                  <c:v>7.5</c:v>
                </c:pt>
                <c:pt idx="417">
                  <c:v>7.5</c:v>
                </c:pt>
                <c:pt idx="418">
                  <c:v>7.5</c:v>
                </c:pt>
                <c:pt idx="419">
                  <c:v>7.5</c:v>
                </c:pt>
                <c:pt idx="420">
                  <c:v>33.5</c:v>
                </c:pt>
                <c:pt idx="421">
                  <c:v>18.5</c:v>
                </c:pt>
                <c:pt idx="422">
                  <c:v>1.5</c:v>
                </c:pt>
                <c:pt idx="423">
                  <c:v>1.5</c:v>
                </c:pt>
                <c:pt idx="424">
                  <c:v>13.5</c:v>
                </c:pt>
                <c:pt idx="425">
                  <c:v>12.5</c:v>
                </c:pt>
                <c:pt idx="426">
                  <c:v>1.5</c:v>
                </c:pt>
                <c:pt idx="427">
                  <c:v>21.5</c:v>
                </c:pt>
                <c:pt idx="428">
                  <c:v>11.5</c:v>
                </c:pt>
                <c:pt idx="429">
                  <c:v>1.5</c:v>
                </c:pt>
                <c:pt idx="430">
                  <c:v>12.5</c:v>
                </c:pt>
                <c:pt idx="431">
                  <c:v>22.5</c:v>
                </c:pt>
                <c:pt idx="432">
                  <c:v>22.5</c:v>
                </c:pt>
                <c:pt idx="433">
                  <c:v>7.5</c:v>
                </c:pt>
                <c:pt idx="434">
                  <c:v>18.5</c:v>
                </c:pt>
                <c:pt idx="435">
                  <c:v>17.5</c:v>
                </c:pt>
                <c:pt idx="436">
                  <c:v>19.5</c:v>
                </c:pt>
                <c:pt idx="437">
                  <c:v>1.5</c:v>
                </c:pt>
                <c:pt idx="438">
                  <c:v>11.5</c:v>
                </c:pt>
                <c:pt idx="439">
                  <c:v>15.500000000000002</c:v>
                </c:pt>
                <c:pt idx="440">
                  <c:v>13.5</c:v>
                </c:pt>
                <c:pt idx="441">
                  <c:v>1.5</c:v>
                </c:pt>
                <c:pt idx="442">
                  <c:v>1.5</c:v>
                </c:pt>
                <c:pt idx="443">
                  <c:v>1.5</c:v>
                </c:pt>
                <c:pt idx="444">
                  <c:v>15.500000000000002</c:v>
                </c:pt>
                <c:pt idx="445">
                  <c:v>18.5</c:v>
                </c:pt>
                <c:pt idx="446">
                  <c:v>1.5</c:v>
                </c:pt>
                <c:pt idx="447">
                  <c:v>1.5</c:v>
                </c:pt>
                <c:pt idx="448">
                  <c:v>1.5</c:v>
                </c:pt>
                <c:pt idx="449">
                  <c:v>1.5</c:v>
                </c:pt>
                <c:pt idx="450">
                  <c:v>7.5</c:v>
                </c:pt>
                <c:pt idx="451">
                  <c:v>34.5</c:v>
                </c:pt>
                <c:pt idx="452">
                  <c:v>33.5</c:v>
                </c:pt>
                <c:pt idx="453">
                  <c:v>24.5</c:v>
                </c:pt>
                <c:pt idx="454">
                  <c:v>21.5</c:v>
                </c:pt>
                <c:pt idx="455">
                  <c:v>7.5</c:v>
                </c:pt>
                <c:pt idx="456">
                  <c:v>32.5</c:v>
                </c:pt>
                <c:pt idx="458">
                  <c:v>7.5</c:v>
                </c:pt>
                <c:pt idx="459">
                  <c:v>29.5</c:v>
                </c:pt>
                <c:pt idx="460">
                  <c:v>18.5</c:v>
                </c:pt>
                <c:pt idx="461">
                  <c:v>22.5</c:v>
                </c:pt>
                <c:pt idx="462">
                  <c:v>20.5</c:v>
                </c:pt>
                <c:pt idx="463">
                  <c:v>7.5</c:v>
                </c:pt>
                <c:pt idx="464">
                  <c:v>34.5</c:v>
                </c:pt>
                <c:pt idx="465">
                  <c:v>25.5</c:v>
                </c:pt>
                <c:pt idx="466">
                  <c:v>32.5</c:v>
                </c:pt>
                <c:pt idx="467">
                  <c:v>7.5</c:v>
                </c:pt>
                <c:pt idx="468">
                  <c:v>7.5</c:v>
                </c:pt>
                <c:pt idx="469">
                  <c:v>7.5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21.5</c:v>
                </c:pt>
                <c:pt idx="506">
                  <c:v>4.5</c:v>
                </c:pt>
                <c:pt idx="507">
                  <c:v>4.5</c:v>
                </c:pt>
                <c:pt idx="508">
                  <c:v>1.5</c:v>
                </c:pt>
                <c:pt idx="509">
                  <c:v>6</c:v>
                </c:pt>
                <c:pt idx="510">
                  <c:v>10.5</c:v>
                </c:pt>
                <c:pt idx="511">
                  <c:v>10.5</c:v>
                </c:pt>
                <c:pt idx="512">
                  <c:v>13.5</c:v>
                </c:pt>
                <c:pt idx="513">
                  <c:v>37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12</c:v>
                </c:pt>
                <c:pt idx="518">
                  <c:v>38</c:v>
                </c:pt>
                <c:pt idx="519">
                  <c:v>31.5</c:v>
                </c:pt>
                <c:pt idx="520">
                  <c:v>41</c:v>
                </c:pt>
                <c:pt idx="521">
                  <c:v>28</c:v>
                </c:pt>
                <c:pt idx="522">
                  <c:v>9</c:v>
                </c:pt>
                <c:pt idx="523">
                  <c:v>9</c:v>
                </c:pt>
                <c:pt idx="524">
                  <c:v>10.5</c:v>
                </c:pt>
                <c:pt idx="525">
                  <c:v>10.5</c:v>
                </c:pt>
                <c:pt idx="526">
                  <c:v>4.5</c:v>
                </c:pt>
                <c:pt idx="527">
                  <c:v>20</c:v>
                </c:pt>
                <c:pt idx="528">
                  <c:v>9</c:v>
                </c:pt>
                <c:pt idx="529">
                  <c:v>4.5</c:v>
                </c:pt>
                <c:pt idx="530">
                  <c:v>16.5</c:v>
                </c:pt>
                <c:pt idx="531">
                  <c:v>57.5</c:v>
                </c:pt>
                <c:pt idx="532">
                  <c:v>22</c:v>
                </c:pt>
                <c:pt idx="533">
                  <c:v>51.5</c:v>
                </c:pt>
                <c:pt idx="534">
                  <c:v>11.5</c:v>
                </c:pt>
                <c:pt idx="535">
                  <c:v>7.5</c:v>
                </c:pt>
                <c:pt idx="536">
                  <c:v>39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21</c:v>
                </c:pt>
                <c:pt idx="541">
                  <c:v>19</c:v>
                </c:pt>
                <c:pt idx="542">
                  <c:v>18</c:v>
                </c:pt>
                <c:pt idx="543">
                  <c:v>37</c:v>
                </c:pt>
                <c:pt idx="544">
                  <c:v>3</c:v>
                </c:pt>
                <c:pt idx="545">
                  <c:v>23</c:v>
                </c:pt>
                <c:pt idx="546">
                  <c:v>32</c:v>
                </c:pt>
                <c:pt idx="547">
                  <c:v>29</c:v>
                </c:pt>
                <c:pt idx="548">
                  <c:v>35</c:v>
                </c:pt>
                <c:pt idx="549">
                  <c:v>25</c:v>
                </c:pt>
                <c:pt idx="550">
                  <c:v>32</c:v>
                </c:pt>
                <c:pt idx="551">
                  <c:v>21.5</c:v>
                </c:pt>
                <c:pt idx="552">
                  <c:v>21.5</c:v>
                </c:pt>
                <c:pt idx="553">
                  <c:v>42</c:v>
                </c:pt>
                <c:pt idx="554">
                  <c:v>17.5</c:v>
                </c:pt>
                <c:pt idx="555">
                  <c:v>28.5</c:v>
                </c:pt>
                <c:pt idx="556">
                  <c:v>13.5</c:v>
                </c:pt>
                <c:pt idx="557">
                  <c:v>9</c:v>
                </c:pt>
                <c:pt idx="558">
                  <c:v>19</c:v>
                </c:pt>
                <c:pt idx="559">
                  <c:v>24</c:v>
                </c:pt>
                <c:pt idx="560">
                  <c:v>1.5</c:v>
                </c:pt>
                <c:pt idx="561">
                  <c:v>1.5</c:v>
                </c:pt>
                <c:pt idx="562">
                  <c:v>1.5</c:v>
                </c:pt>
                <c:pt idx="563">
                  <c:v>12</c:v>
                </c:pt>
                <c:pt idx="564">
                  <c:v>10.5</c:v>
                </c:pt>
                <c:pt idx="565">
                  <c:v>19</c:v>
                </c:pt>
                <c:pt idx="566">
                  <c:v>21</c:v>
                </c:pt>
                <c:pt idx="567">
                  <c:v>40.5</c:v>
                </c:pt>
                <c:pt idx="568">
                  <c:v>39.5</c:v>
                </c:pt>
                <c:pt idx="569">
                  <c:v>28.5</c:v>
                </c:pt>
                <c:pt idx="570">
                  <c:v>48.5</c:v>
                </c:pt>
                <c:pt idx="571">
                  <c:v>23.5</c:v>
                </c:pt>
                <c:pt idx="572">
                  <c:v>7.5</c:v>
                </c:pt>
                <c:pt idx="573">
                  <c:v>12.5</c:v>
                </c:pt>
                <c:pt idx="574">
                  <c:v>1.5</c:v>
                </c:pt>
                <c:pt idx="575">
                  <c:v>10.5</c:v>
                </c:pt>
                <c:pt idx="576">
                  <c:v>10.5</c:v>
                </c:pt>
                <c:pt idx="577">
                  <c:v>1.5</c:v>
                </c:pt>
                <c:pt idx="578">
                  <c:v>1.5</c:v>
                </c:pt>
                <c:pt idx="579">
                  <c:v>13.5</c:v>
                </c:pt>
                <c:pt idx="580">
                  <c:v>30</c:v>
                </c:pt>
                <c:pt idx="581">
                  <c:v>1.5</c:v>
                </c:pt>
                <c:pt idx="582">
                  <c:v>27</c:v>
                </c:pt>
                <c:pt idx="583">
                  <c:v>13.688393011200001</c:v>
                </c:pt>
                <c:pt idx="584">
                  <c:v>15.25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B-4603-8EAE-F4AD93523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01744"/>
        <c:axId val="1237509904"/>
      </c:scatterChart>
      <c:valAx>
        <c:axId val="123750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RMR76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9904"/>
        <c:crosses val="autoZero"/>
        <c:crossBetween val="midCat"/>
      </c:valAx>
      <c:valAx>
        <c:axId val="123750990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GSI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1600" b="1" baseline="0">
                <a:solidFill>
                  <a:schemeClr val="tx1"/>
                </a:solidFill>
              </a:rPr>
              <a:t>Brejo Seco Open Pit - </a:t>
            </a:r>
          </a:p>
          <a:p>
            <a:pPr>
              <a:defRPr b="1"/>
            </a:pPr>
            <a:r>
              <a:rPr lang="es-PE" sz="1600" b="1" baseline="0">
                <a:solidFill>
                  <a:schemeClr val="tx1"/>
                </a:solidFill>
              </a:rPr>
              <a:t>Geological drillhole</a:t>
            </a:r>
            <a:endParaRPr lang="es-PE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607809999359834"/>
          <c:y val="6.48299265622100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23801293131042"/>
          <c:y val="7.891884726530396E-2"/>
          <c:w val="0.79060751552397401"/>
          <c:h val="0.80386033563986314"/>
        </c:manualLayout>
      </c:layout>
      <c:scatterChart>
        <c:scatterStyle val="lineMarker"/>
        <c:varyColors val="0"/>
        <c:ser>
          <c:idx val="8"/>
          <c:order val="3"/>
          <c:tx>
            <c:v>Drillholes</c:v>
          </c:tx>
          <c:marker>
            <c:symbol val="triangle"/>
            <c:size val="15"/>
            <c:spPr>
              <a:solidFill>
                <a:srgbClr val="00FF00"/>
              </a:solidFill>
              <a:ln>
                <a:solidFill>
                  <a:srgbClr val="00FF00"/>
                </a:solidFill>
              </a:ln>
            </c:spPr>
          </c:marker>
          <c:xVal>
            <c:numRef>
              <c:f>'2. Logging Brejo Seco'!$Z$588:$Z$1019</c:f>
              <c:numCache>
                <c:formatCode>0.00</c:formatCode>
                <c:ptCount val="432"/>
                <c:pt idx="0">
                  <c:v>25</c:v>
                </c:pt>
                <c:pt idx="1">
                  <c:v>20.000000000000004</c:v>
                </c:pt>
                <c:pt idx="2">
                  <c:v>19.999999999999996</c:v>
                </c:pt>
                <c:pt idx="3">
                  <c:v>14.999999999999998</c:v>
                </c:pt>
                <c:pt idx="4">
                  <c:v>21.666666666666664</c:v>
                </c:pt>
                <c:pt idx="5">
                  <c:v>16.666666666666668</c:v>
                </c:pt>
                <c:pt idx="6">
                  <c:v>20.000000000000004</c:v>
                </c:pt>
                <c:pt idx="7">
                  <c:v>20.000000000000004</c:v>
                </c:pt>
                <c:pt idx="8">
                  <c:v>55.000000000000014</c:v>
                </c:pt>
                <c:pt idx="9">
                  <c:v>29.999999999999982</c:v>
                </c:pt>
                <c:pt idx="10">
                  <c:v>100.0000000000001</c:v>
                </c:pt>
                <c:pt idx="11">
                  <c:v>162.50000000000009</c:v>
                </c:pt>
                <c:pt idx="12">
                  <c:v>19.999999999999929</c:v>
                </c:pt>
                <c:pt idx="13">
                  <c:v>10.000000000000053</c:v>
                </c:pt>
                <c:pt idx="14">
                  <c:v>22.499999999999964</c:v>
                </c:pt>
                <c:pt idx="15">
                  <c:v>112.50000000000027</c:v>
                </c:pt>
                <c:pt idx="16">
                  <c:v>128.57142857142838</c:v>
                </c:pt>
                <c:pt idx="17">
                  <c:v>80.000000000000071</c:v>
                </c:pt>
                <c:pt idx="18">
                  <c:v>83.333333333333329</c:v>
                </c:pt>
                <c:pt idx="19">
                  <c:v>22.500000000000053</c:v>
                </c:pt>
                <c:pt idx="20">
                  <c:v>100</c:v>
                </c:pt>
                <c:pt idx="21">
                  <c:v>29.999999999999982</c:v>
                </c:pt>
                <c:pt idx="22">
                  <c:v>14.999999999999947</c:v>
                </c:pt>
                <c:pt idx="23">
                  <c:v>12.5</c:v>
                </c:pt>
                <c:pt idx="24">
                  <c:v>15.000000000000034</c:v>
                </c:pt>
                <c:pt idx="25">
                  <c:v>50</c:v>
                </c:pt>
                <c:pt idx="26">
                  <c:v>32.500000000000014</c:v>
                </c:pt>
                <c:pt idx="27">
                  <c:v>39.99999999999995</c:v>
                </c:pt>
                <c:pt idx="28">
                  <c:v>129.16666666666671</c:v>
                </c:pt>
                <c:pt idx="29">
                  <c:v>266.66666666666691</c:v>
                </c:pt>
                <c:pt idx="30">
                  <c:v>199.9999999999998</c:v>
                </c:pt>
                <c:pt idx="31">
                  <c:v>320.00000000000028</c:v>
                </c:pt>
                <c:pt idx="32">
                  <c:v>150</c:v>
                </c:pt>
                <c:pt idx="33">
                  <c:v>191.66666666666643</c:v>
                </c:pt>
                <c:pt idx="34">
                  <c:v>200.00000000000017</c:v>
                </c:pt>
                <c:pt idx="35">
                  <c:v>125</c:v>
                </c:pt>
                <c:pt idx="36">
                  <c:v>145.83333333333334</c:v>
                </c:pt>
                <c:pt idx="37">
                  <c:v>138.88888888888889</c:v>
                </c:pt>
                <c:pt idx="38">
                  <c:v>316.66666666666646</c:v>
                </c:pt>
                <c:pt idx="39">
                  <c:v>100.00000000000009</c:v>
                </c:pt>
                <c:pt idx="40">
                  <c:v>79.166666666666302</c:v>
                </c:pt>
                <c:pt idx="41">
                  <c:v>136.36363636363637</c:v>
                </c:pt>
                <c:pt idx="42">
                  <c:v>95.454545454545851</c:v>
                </c:pt>
                <c:pt idx="43">
                  <c:v>121.42857142857112</c:v>
                </c:pt>
                <c:pt idx="44">
                  <c:v>144.44444444444491</c:v>
                </c:pt>
                <c:pt idx="45">
                  <c:v>92.857142857142662</c:v>
                </c:pt>
                <c:pt idx="46">
                  <c:v>99.999999999999844</c:v>
                </c:pt>
                <c:pt idx="47">
                  <c:v>157.14285714285734</c:v>
                </c:pt>
                <c:pt idx="48">
                  <c:v>143.74999999999983</c:v>
                </c:pt>
                <c:pt idx="49">
                  <c:v>134.61538461538461</c:v>
                </c:pt>
                <c:pt idx="50">
                  <c:v>35.000000000000142</c:v>
                </c:pt>
                <c:pt idx="51">
                  <c:v>32.499999999999929</c:v>
                </c:pt>
                <c:pt idx="52">
                  <c:v>12.5</c:v>
                </c:pt>
                <c:pt idx="53">
                  <c:v>66.66666666666643</c:v>
                </c:pt>
                <c:pt idx="54">
                  <c:v>116.66666666666714</c:v>
                </c:pt>
                <c:pt idx="55">
                  <c:v>34.999999999999787</c:v>
                </c:pt>
                <c:pt idx="56">
                  <c:v>128.57142857142838</c:v>
                </c:pt>
                <c:pt idx="57">
                  <c:v>30.000000000000068</c:v>
                </c:pt>
                <c:pt idx="58">
                  <c:v>116.66666666666714</c:v>
                </c:pt>
                <c:pt idx="59">
                  <c:v>139.99999999999915</c:v>
                </c:pt>
                <c:pt idx="60">
                  <c:v>120.00000000000027</c:v>
                </c:pt>
                <c:pt idx="61">
                  <c:v>91.666666666667382</c:v>
                </c:pt>
                <c:pt idx="62">
                  <c:v>32.499999999999929</c:v>
                </c:pt>
                <c:pt idx="63">
                  <c:v>116.66666666666595</c:v>
                </c:pt>
                <c:pt idx="64">
                  <c:v>30.000000000000068</c:v>
                </c:pt>
                <c:pt idx="65">
                  <c:v>140.00000000000057</c:v>
                </c:pt>
                <c:pt idx="66">
                  <c:v>60.000000000000135</c:v>
                </c:pt>
                <c:pt idx="67">
                  <c:v>56.666666666666288</c:v>
                </c:pt>
                <c:pt idx="68">
                  <c:v>118.75000000000036</c:v>
                </c:pt>
                <c:pt idx="69">
                  <c:v>91.666666666666785</c:v>
                </c:pt>
                <c:pt idx="70">
                  <c:v>149.99999999999977</c:v>
                </c:pt>
                <c:pt idx="71">
                  <c:v>129.99999999999972</c:v>
                </c:pt>
                <c:pt idx="72">
                  <c:v>83.333333333333329</c:v>
                </c:pt>
                <c:pt idx="73">
                  <c:v>55.000000000000071</c:v>
                </c:pt>
                <c:pt idx="74">
                  <c:v>50</c:v>
                </c:pt>
                <c:pt idx="75">
                  <c:v>67.000000000000171</c:v>
                </c:pt>
                <c:pt idx="76">
                  <c:v>250</c:v>
                </c:pt>
                <c:pt idx="77">
                  <c:v>87.500000000000355</c:v>
                </c:pt>
                <c:pt idx="78">
                  <c:v>14.999999999999858</c:v>
                </c:pt>
                <c:pt idx="79">
                  <c:v>118.74999999999946</c:v>
                </c:pt>
                <c:pt idx="80">
                  <c:v>55.000000000000433</c:v>
                </c:pt>
                <c:pt idx="81">
                  <c:v>119.99999999999886</c:v>
                </c:pt>
                <c:pt idx="82">
                  <c:v>77.272727272728048</c:v>
                </c:pt>
                <c:pt idx="83">
                  <c:v>29.999999999999716</c:v>
                </c:pt>
                <c:pt idx="84">
                  <c:v>187.5</c:v>
                </c:pt>
                <c:pt idx="85">
                  <c:v>190.00000000000057</c:v>
                </c:pt>
                <c:pt idx="86">
                  <c:v>221.42857142857105</c:v>
                </c:pt>
                <c:pt idx="87">
                  <c:v>307.50000000000102</c:v>
                </c:pt>
                <c:pt idx="88">
                  <c:v>472.50000000000011</c:v>
                </c:pt>
                <c:pt idx="89">
                  <c:v>37.5</c:v>
                </c:pt>
                <c:pt idx="90">
                  <c:v>37.5</c:v>
                </c:pt>
                <c:pt idx="91">
                  <c:v>37.5</c:v>
                </c:pt>
                <c:pt idx="92">
                  <c:v>50</c:v>
                </c:pt>
                <c:pt idx="93">
                  <c:v>109.99999999999996</c:v>
                </c:pt>
                <c:pt idx="94">
                  <c:v>66.666666666666728</c:v>
                </c:pt>
                <c:pt idx="95">
                  <c:v>88.888888888888857</c:v>
                </c:pt>
                <c:pt idx="96">
                  <c:v>100.00000000000004</c:v>
                </c:pt>
                <c:pt idx="97">
                  <c:v>157.49999999999997</c:v>
                </c:pt>
                <c:pt idx="98">
                  <c:v>189.99999999999994</c:v>
                </c:pt>
                <c:pt idx="99">
                  <c:v>90.000000000000028</c:v>
                </c:pt>
                <c:pt idx="100">
                  <c:v>100.00000000000004</c:v>
                </c:pt>
                <c:pt idx="101">
                  <c:v>79.999999999999716</c:v>
                </c:pt>
                <c:pt idx="102">
                  <c:v>100.00000000000023</c:v>
                </c:pt>
                <c:pt idx="103">
                  <c:v>128.57142857142838</c:v>
                </c:pt>
                <c:pt idx="104">
                  <c:v>170.00000000000011</c:v>
                </c:pt>
                <c:pt idx="105">
                  <c:v>69.999999999999929</c:v>
                </c:pt>
                <c:pt idx="106">
                  <c:v>83.999999999999986</c:v>
                </c:pt>
                <c:pt idx="107">
                  <c:v>83.333333333333329</c:v>
                </c:pt>
                <c:pt idx="108">
                  <c:v>61.000000000000036</c:v>
                </c:pt>
                <c:pt idx="109">
                  <c:v>127.99999999999987</c:v>
                </c:pt>
                <c:pt idx="110">
                  <c:v>78.666666666666885</c:v>
                </c:pt>
                <c:pt idx="111">
                  <c:v>75</c:v>
                </c:pt>
                <c:pt idx="112">
                  <c:v>163.6363636363634</c:v>
                </c:pt>
                <c:pt idx="113">
                  <c:v>50</c:v>
                </c:pt>
                <c:pt idx="114">
                  <c:v>160.83333333333331</c:v>
                </c:pt>
                <c:pt idx="115">
                  <c:v>15.000000000000034</c:v>
                </c:pt>
                <c:pt idx="116">
                  <c:v>34.999999999999964</c:v>
                </c:pt>
                <c:pt idx="117">
                  <c:v>59.999999999999964</c:v>
                </c:pt>
                <c:pt idx="118">
                  <c:v>60.526315789473792</c:v>
                </c:pt>
                <c:pt idx="119">
                  <c:v>142.85714285714286</c:v>
                </c:pt>
                <c:pt idx="120">
                  <c:v>144.44444444444431</c:v>
                </c:pt>
                <c:pt idx="121">
                  <c:v>51.999999999999957</c:v>
                </c:pt>
                <c:pt idx="122">
                  <c:v>80.000000000000327</c:v>
                </c:pt>
                <c:pt idx="123">
                  <c:v>30.000000000000068</c:v>
                </c:pt>
                <c:pt idx="124">
                  <c:v>17.500000000000071</c:v>
                </c:pt>
                <c:pt idx="125">
                  <c:v>68.181818181818187</c:v>
                </c:pt>
                <c:pt idx="126">
                  <c:v>59.999999999999908</c:v>
                </c:pt>
                <c:pt idx="127">
                  <c:v>44.999999999999929</c:v>
                </c:pt>
                <c:pt idx="128">
                  <c:v>39.999999999999858</c:v>
                </c:pt>
                <c:pt idx="129">
                  <c:v>32.500000000000284</c:v>
                </c:pt>
                <c:pt idx="130">
                  <c:v>99.999999999999389</c:v>
                </c:pt>
                <c:pt idx="131">
                  <c:v>39.999999999999858</c:v>
                </c:pt>
                <c:pt idx="132">
                  <c:v>40.000000000000213</c:v>
                </c:pt>
                <c:pt idx="133">
                  <c:v>100</c:v>
                </c:pt>
                <c:pt idx="134">
                  <c:v>75</c:v>
                </c:pt>
                <c:pt idx="135">
                  <c:v>44.999999999999929</c:v>
                </c:pt>
                <c:pt idx="136">
                  <c:v>30.000000000000068</c:v>
                </c:pt>
                <c:pt idx="137">
                  <c:v>100</c:v>
                </c:pt>
                <c:pt idx="138">
                  <c:v>53.333333333333144</c:v>
                </c:pt>
                <c:pt idx="139">
                  <c:v>56.666666666666757</c:v>
                </c:pt>
                <c:pt idx="140">
                  <c:v>36.66666666666648</c:v>
                </c:pt>
                <c:pt idx="141">
                  <c:v>46.666666666666856</c:v>
                </c:pt>
                <c:pt idx="142">
                  <c:v>143.74999999999983</c:v>
                </c:pt>
                <c:pt idx="143">
                  <c:v>135.99999999999994</c:v>
                </c:pt>
                <c:pt idx="144">
                  <c:v>131.25000000000054</c:v>
                </c:pt>
                <c:pt idx="145">
                  <c:v>89.999999999999858</c:v>
                </c:pt>
                <c:pt idx="146">
                  <c:v>125</c:v>
                </c:pt>
                <c:pt idx="147">
                  <c:v>19.999999999999929</c:v>
                </c:pt>
                <c:pt idx="148">
                  <c:v>25</c:v>
                </c:pt>
                <c:pt idx="149">
                  <c:v>116.66666666666636</c:v>
                </c:pt>
                <c:pt idx="150">
                  <c:v>5.0000000000000711</c:v>
                </c:pt>
                <c:pt idx="151">
                  <c:v>19.999999999999929</c:v>
                </c:pt>
                <c:pt idx="152">
                  <c:v>53.33333333333362</c:v>
                </c:pt>
                <c:pt idx="153">
                  <c:v>59.999999999999787</c:v>
                </c:pt>
                <c:pt idx="154">
                  <c:v>100</c:v>
                </c:pt>
                <c:pt idx="155">
                  <c:v>65.000000000000213</c:v>
                </c:pt>
                <c:pt idx="156">
                  <c:v>117.64705882352941</c:v>
                </c:pt>
                <c:pt idx="157">
                  <c:v>181.81818181818181</c:v>
                </c:pt>
                <c:pt idx="158">
                  <c:v>139.99999999999963</c:v>
                </c:pt>
                <c:pt idx="159">
                  <c:v>142.85714285714286</c:v>
                </c:pt>
                <c:pt idx="160">
                  <c:v>50</c:v>
                </c:pt>
                <c:pt idx="161">
                  <c:v>100</c:v>
                </c:pt>
                <c:pt idx="162">
                  <c:v>95.000000000000284</c:v>
                </c:pt>
                <c:pt idx="163">
                  <c:v>80.000000000000185</c:v>
                </c:pt>
                <c:pt idx="164">
                  <c:v>35.000000000000142</c:v>
                </c:pt>
                <c:pt idx="165">
                  <c:v>79.999999999999247</c:v>
                </c:pt>
                <c:pt idx="166">
                  <c:v>80.000000000000185</c:v>
                </c:pt>
                <c:pt idx="167">
                  <c:v>46.000000000000085</c:v>
                </c:pt>
                <c:pt idx="168">
                  <c:v>30</c:v>
                </c:pt>
                <c:pt idx="169">
                  <c:v>30</c:v>
                </c:pt>
                <c:pt idx="170">
                  <c:v>30.000000000000007</c:v>
                </c:pt>
                <c:pt idx="171">
                  <c:v>35</c:v>
                </c:pt>
                <c:pt idx="172">
                  <c:v>32.499999999999993</c:v>
                </c:pt>
                <c:pt idx="173">
                  <c:v>44.999999999999993</c:v>
                </c:pt>
                <c:pt idx="174">
                  <c:v>64.999999999999986</c:v>
                </c:pt>
                <c:pt idx="175">
                  <c:v>45.000000000000014</c:v>
                </c:pt>
                <c:pt idx="176">
                  <c:v>140.00000000000006</c:v>
                </c:pt>
                <c:pt idx="177">
                  <c:v>50</c:v>
                </c:pt>
                <c:pt idx="178">
                  <c:v>187.5</c:v>
                </c:pt>
                <c:pt idx="179">
                  <c:v>150.00000000000003</c:v>
                </c:pt>
                <c:pt idx="180">
                  <c:v>25</c:v>
                </c:pt>
                <c:pt idx="181">
                  <c:v>169.99999999999994</c:v>
                </c:pt>
                <c:pt idx="182">
                  <c:v>100</c:v>
                </c:pt>
                <c:pt idx="183">
                  <c:v>120.00000000000004</c:v>
                </c:pt>
                <c:pt idx="184">
                  <c:v>112.49999999999983</c:v>
                </c:pt>
                <c:pt idx="185">
                  <c:v>114.28571428571438</c:v>
                </c:pt>
                <c:pt idx="186">
                  <c:v>37.500000000000085</c:v>
                </c:pt>
                <c:pt idx="187">
                  <c:v>49.999999999999822</c:v>
                </c:pt>
                <c:pt idx="188">
                  <c:v>35.000000000000142</c:v>
                </c:pt>
                <c:pt idx="189">
                  <c:v>112.49999999999983</c:v>
                </c:pt>
                <c:pt idx="190">
                  <c:v>166.66666666666666</c:v>
                </c:pt>
                <c:pt idx="191">
                  <c:v>66.66666666666643</c:v>
                </c:pt>
                <c:pt idx="192">
                  <c:v>137.50000000000017</c:v>
                </c:pt>
                <c:pt idx="193">
                  <c:v>85.000000000000142</c:v>
                </c:pt>
                <c:pt idx="194">
                  <c:v>34.999999999999787</c:v>
                </c:pt>
                <c:pt idx="195">
                  <c:v>40.000000000000213</c:v>
                </c:pt>
                <c:pt idx="196">
                  <c:v>52.500000000000036</c:v>
                </c:pt>
                <c:pt idx="197">
                  <c:v>77.7777777777777</c:v>
                </c:pt>
                <c:pt idx="198">
                  <c:v>33.333333333333336</c:v>
                </c:pt>
                <c:pt idx="199">
                  <c:v>36.666666666666714</c:v>
                </c:pt>
                <c:pt idx="200">
                  <c:v>20.000000000000046</c:v>
                </c:pt>
                <c:pt idx="201">
                  <c:v>30.000000000000068</c:v>
                </c:pt>
                <c:pt idx="202">
                  <c:v>43.74999999999973</c:v>
                </c:pt>
                <c:pt idx="203">
                  <c:v>42.857142857142954</c:v>
                </c:pt>
                <c:pt idx="204">
                  <c:v>133.33333333333286</c:v>
                </c:pt>
                <c:pt idx="205">
                  <c:v>57.142857142857451</c:v>
                </c:pt>
                <c:pt idx="206">
                  <c:v>72.222222222222072</c:v>
                </c:pt>
                <c:pt idx="207">
                  <c:v>137.50000000000017</c:v>
                </c:pt>
                <c:pt idx="208">
                  <c:v>120.00000000000027</c:v>
                </c:pt>
                <c:pt idx="209">
                  <c:v>159.99999999999943</c:v>
                </c:pt>
                <c:pt idx="210">
                  <c:v>92.85714285714316</c:v>
                </c:pt>
                <c:pt idx="211">
                  <c:v>77.7777777777777</c:v>
                </c:pt>
                <c:pt idx="212">
                  <c:v>66.666666666666814</c:v>
                </c:pt>
                <c:pt idx="213">
                  <c:v>100</c:v>
                </c:pt>
                <c:pt idx="214">
                  <c:v>59.999999999999432</c:v>
                </c:pt>
                <c:pt idx="215">
                  <c:v>105.55555555555587</c:v>
                </c:pt>
                <c:pt idx="216">
                  <c:v>120.00000000000027</c:v>
                </c:pt>
                <c:pt idx="217">
                  <c:v>62.5</c:v>
                </c:pt>
                <c:pt idx="218">
                  <c:v>94.444444444443818</c:v>
                </c:pt>
                <c:pt idx="219">
                  <c:v>66.666666666667027</c:v>
                </c:pt>
                <c:pt idx="220">
                  <c:v>162.49999999999966</c:v>
                </c:pt>
                <c:pt idx="221">
                  <c:v>107.69230769230759</c:v>
                </c:pt>
                <c:pt idx="222">
                  <c:v>64.999999999999858</c:v>
                </c:pt>
                <c:pt idx="223">
                  <c:v>80.000000000000426</c:v>
                </c:pt>
                <c:pt idx="224">
                  <c:v>94.999999999999929</c:v>
                </c:pt>
                <c:pt idx="225">
                  <c:v>66.666666666666671</c:v>
                </c:pt>
                <c:pt idx="226">
                  <c:v>89.999999999999858</c:v>
                </c:pt>
                <c:pt idx="227">
                  <c:v>125</c:v>
                </c:pt>
                <c:pt idx="228">
                  <c:v>100.00000000000041</c:v>
                </c:pt>
                <c:pt idx="229">
                  <c:v>100.00000000000023</c:v>
                </c:pt>
                <c:pt idx="230">
                  <c:v>79.999999999999716</c:v>
                </c:pt>
                <c:pt idx="231">
                  <c:v>40.000000000000213</c:v>
                </c:pt>
                <c:pt idx="232">
                  <c:v>135.71428571428561</c:v>
                </c:pt>
                <c:pt idx="233">
                  <c:v>187.5</c:v>
                </c:pt>
                <c:pt idx="234">
                  <c:v>119.99999999999957</c:v>
                </c:pt>
                <c:pt idx="235">
                  <c:v>55.555555555555557</c:v>
                </c:pt>
                <c:pt idx="236">
                  <c:v>171.42857142857181</c:v>
                </c:pt>
                <c:pt idx="237">
                  <c:v>120.00000000000027</c:v>
                </c:pt>
                <c:pt idx="238">
                  <c:v>77.777777777777303</c:v>
                </c:pt>
                <c:pt idx="239">
                  <c:v>125</c:v>
                </c:pt>
                <c:pt idx="240">
                  <c:v>112.50000000000071</c:v>
                </c:pt>
                <c:pt idx="241">
                  <c:v>109.99999999999943</c:v>
                </c:pt>
                <c:pt idx="242">
                  <c:v>62.5</c:v>
                </c:pt>
                <c:pt idx="243">
                  <c:v>63.636363636363896</c:v>
                </c:pt>
                <c:pt idx="244">
                  <c:v>116.66666666666595</c:v>
                </c:pt>
                <c:pt idx="245">
                  <c:v>150</c:v>
                </c:pt>
                <c:pt idx="246">
                  <c:v>92.857142857143671</c:v>
                </c:pt>
                <c:pt idx="247">
                  <c:v>108.3333333333331</c:v>
                </c:pt>
                <c:pt idx="248">
                  <c:v>86.363636363636616</c:v>
                </c:pt>
                <c:pt idx="249">
                  <c:v>142.85714285714286</c:v>
                </c:pt>
                <c:pt idx="250">
                  <c:v>199.99999999999574</c:v>
                </c:pt>
                <c:pt idx="251">
                  <c:v>157.14285714285839</c:v>
                </c:pt>
                <c:pt idx="252">
                  <c:v>75.000000000000171</c:v>
                </c:pt>
                <c:pt idx="253">
                  <c:v>200</c:v>
                </c:pt>
                <c:pt idx="254">
                  <c:v>285.71428571428572</c:v>
                </c:pt>
                <c:pt idx="255">
                  <c:v>181.81818181818181</c:v>
                </c:pt>
                <c:pt idx="256">
                  <c:v>139.99999999999963</c:v>
                </c:pt>
                <c:pt idx="257">
                  <c:v>158.3333333333338</c:v>
                </c:pt>
                <c:pt idx="258">
                  <c:v>40</c:v>
                </c:pt>
                <c:pt idx="259">
                  <c:v>54.999999999999986</c:v>
                </c:pt>
                <c:pt idx="260">
                  <c:v>35.000000000000014</c:v>
                </c:pt>
                <c:pt idx="261">
                  <c:v>50</c:v>
                </c:pt>
                <c:pt idx="262">
                  <c:v>49.999999999999979</c:v>
                </c:pt>
                <c:pt idx="263">
                  <c:v>40.000000000000036</c:v>
                </c:pt>
                <c:pt idx="264">
                  <c:v>159.99999999999994</c:v>
                </c:pt>
                <c:pt idx="265">
                  <c:v>109.99999999999996</c:v>
                </c:pt>
                <c:pt idx="266">
                  <c:v>61.111111111111086</c:v>
                </c:pt>
                <c:pt idx="267">
                  <c:v>62.5</c:v>
                </c:pt>
                <c:pt idx="268">
                  <c:v>99.999999999999943</c:v>
                </c:pt>
                <c:pt idx="269">
                  <c:v>116.66666666666656</c:v>
                </c:pt>
                <c:pt idx="270">
                  <c:v>150</c:v>
                </c:pt>
                <c:pt idx="271">
                  <c:v>144.44444444444451</c:v>
                </c:pt>
                <c:pt idx="272">
                  <c:v>88.888888888888971</c:v>
                </c:pt>
                <c:pt idx="273">
                  <c:v>120.5882352941176</c:v>
                </c:pt>
                <c:pt idx="274">
                  <c:v>50.000000000000114</c:v>
                </c:pt>
                <c:pt idx="275">
                  <c:v>59.999999999999787</c:v>
                </c:pt>
                <c:pt idx="276">
                  <c:v>85.000000000000142</c:v>
                </c:pt>
                <c:pt idx="277">
                  <c:v>29.999999999999893</c:v>
                </c:pt>
                <c:pt idx="278">
                  <c:v>119.99999999999993</c:v>
                </c:pt>
                <c:pt idx="279">
                  <c:v>41.666666666666664</c:v>
                </c:pt>
                <c:pt idx="280">
                  <c:v>50.000000000000114</c:v>
                </c:pt>
                <c:pt idx="281">
                  <c:v>70.000000000000284</c:v>
                </c:pt>
                <c:pt idx="282">
                  <c:v>75</c:v>
                </c:pt>
                <c:pt idx="283">
                  <c:v>75</c:v>
                </c:pt>
                <c:pt idx="284">
                  <c:v>89.999999999999858</c:v>
                </c:pt>
                <c:pt idx="285">
                  <c:v>160.00000000000014</c:v>
                </c:pt>
                <c:pt idx="286">
                  <c:v>139.99999999999986</c:v>
                </c:pt>
                <c:pt idx="287">
                  <c:v>109.09090909090902</c:v>
                </c:pt>
                <c:pt idx="288">
                  <c:v>125</c:v>
                </c:pt>
                <c:pt idx="289">
                  <c:v>250</c:v>
                </c:pt>
                <c:pt idx="290">
                  <c:v>233.33333333333348</c:v>
                </c:pt>
                <c:pt idx="291">
                  <c:v>181.81818181818181</c:v>
                </c:pt>
                <c:pt idx="292">
                  <c:v>161.53846153846138</c:v>
                </c:pt>
                <c:pt idx="293">
                  <c:v>222.22222222222223</c:v>
                </c:pt>
                <c:pt idx="294">
                  <c:v>161.53846153846163</c:v>
                </c:pt>
                <c:pt idx="295">
                  <c:v>179.16666666666654</c:v>
                </c:pt>
                <c:pt idx="296">
                  <c:v>154.16666666666677</c:v>
                </c:pt>
                <c:pt idx="297">
                  <c:v>130</c:v>
                </c:pt>
                <c:pt idx="298">
                  <c:v>36.666666666666664</c:v>
                </c:pt>
                <c:pt idx="299">
                  <c:v>75.000000000000028</c:v>
                </c:pt>
                <c:pt idx="300">
                  <c:v>87.499999999999986</c:v>
                </c:pt>
                <c:pt idx="301">
                  <c:v>83.999999999999986</c:v>
                </c:pt>
                <c:pt idx="302">
                  <c:v>126.6666666666667</c:v>
                </c:pt>
                <c:pt idx="303">
                  <c:v>142.85714285714286</c:v>
                </c:pt>
                <c:pt idx="304">
                  <c:v>119.99999999999993</c:v>
                </c:pt>
                <c:pt idx="305">
                  <c:v>110.00000000000014</c:v>
                </c:pt>
                <c:pt idx="306">
                  <c:v>69.999999999999929</c:v>
                </c:pt>
                <c:pt idx="307">
                  <c:v>130.00000000000006</c:v>
                </c:pt>
                <c:pt idx="308">
                  <c:v>190.90909090909071</c:v>
                </c:pt>
                <c:pt idx="309">
                  <c:v>133.33333333333334</c:v>
                </c:pt>
                <c:pt idx="310">
                  <c:v>79.166666666666757</c:v>
                </c:pt>
                <c:pt idx="311">
                  <c:v>87.499999999999915</c:v>
                </c:pt>
                <c:pt idx="312">
                  <c:v>86.666666666666714</c:v>
                </c:pt>
                <c:pt idx="313">
                  <c:v>333.33333333333331</c:v>
                </c:pt>
                <c:pt idx="314">
                  <c:v>213.33333333333314</c:v>
                </c:pt>
                <c:pt idx="315">
                  <c:v>73.333333333333428</c:v>
                </c:pt>
                <c:pt idx="316">
                  <c:v>65.000000000000028</c:v>
                </c:pt>
                <c:pt idx="317">
                  <c:v>70.588235294117609</c:v>
                </c:pt>
                <c:pt idx="318">
                  <c:v>107.22222222222221</c:v>
                </c:pt>
                <c:pt idx="319">
                  <c:v>619.9999999999992</c:v>
                </c:pt>
                <c:pt idx="320">
                  <c:v>197.85714285714283</c:v>
                </c:pt>
                <c:pt idx="321">
                  <c:v>200</c:v>
                </c:pt>
                <c:pt idx="322">
                  <c:v>406.66666666666629</c:v>
                </c:pt>
                <c:pt idx="323">
                  <c:v>224.4444444444448</c:v>
                </c:pt>
                <c:pt idx="324">
                  <c:v>35</c:v>
                </c:pt>
                <c:pt idx="325">
                  <c:v>35</c:v>
                </c:pt>
                <c:pt idx="326">
                  <c:v>35.000000000000014</c:v>
                </c:pt>
                <c:pt idx="327">
                  <c:v>46.66666666666665</c:v>
                </c:pt>
                <c:pt idx="328">
                  <c:v>25.000000000000021</c:v>
                </c:pt>
                <c:pt idx="329">
                  <c:v>59.999999999999964</c:v>
                </c:pt>
                <c:pt idx="330">
                  <c:v>53.333333333333321</c:v>
                </c:pt>
                <c:pt idx="331">
                  <c:v>100.00000000000004</c:v>
                </c:pt>
                <c:pt idx="332">
                  <c:v>87.500000000000028</c:v>
                </c:pt>
                <c:pt idx="333">
                  <c:v>162.49999999999986</c:v>
                </c:pt>
                <c:pt idx="334">
                  <c:v>133.33333333333334</c:v>
                </c:pt>
                <c:pt idx="335">
                  <c:v>116.6666666666667</c:v>
                </c:pt>
                <c:pt idx="336">
                  <c:v>128.57142857142861</c:v>
                </c:pt>
                <c:pt idx="337">
                  <c:v>100</c:v>
                </c:pt>
                <c:pt idx="338">
                  <c:v>69.444444444444343</c:v>
                </c:pt>
                <c:pt idx="339">
                  <c:v>140.90909090909096</c:v>
                </c:pt>
                <c:pt idx="340">
                  <c:v>99.999999999999943</c:v>
                </c:pt>
                <c:pt idx="341">
                  <c:v>71.428571428571431</c:v>
                </c:pt>
                <c:pt idx="342">
                  <c:v>82.352941176470708</c:v>
                </c:pt>
                <c:pt idx="343">
                  <c:v>92.857142857142662</c:v>
                </c:pt>
                <c:pt idx="344">
                  <c:v>71.428571428571431</c:v>
                </c:pt>
                <c:pt idx="345">
                  <c:v>59.999999999999964</c:v>
                </c:pt>
                <c:pt idx="346">
                  <c:v>121.42857142857163</c:v>
                </c:pt>
                <c:pt idx="347">
                  <c:v>90.909090909090907</c:v>
                </c:pt>
                <c:pt idx="348">
                  <c:v>111.11111111111111</c:v>
                </c:pt>
                <c:pt idx="349">
                  <c:v>60.000000000000135</c:v>
                </c:pt>
                <c:pt idx="350">
                  <c:v>88.888888888888573</c:v>
                </c:pt>
                <c:pt idx="351">
                  <c:v>73.333333333333428</c:v>
                </c:pt>
                <c:pt idx="352">
                  <c:v>111.11111111111111</c:v>
                </c:pt>
                <c:pt idx="353">
                  <c:v>78.571428571428669</c:v>
                </c:pt>
                <c:pt idx="354">
                  <c:v>106.24999999999973</c:v>
                </c:pt>
                <c:pt idx="355">
                  <c:v>85.714285714285907</c:v>
                </c:pt>
                <c:pt idx="356">
                  <c:v>133.33333333333363</c:v>
                </c:pt>
                <c:pt idx="357">
                  <c:v>185.71428571428532</c:v>
                </c:pt>
                <c:pt idx="358">
                  <c:v>222.22222222222223</c:v>
                </c:pt>
                <c:pt idx="359">
                  <c:v>206.24999999999983</c:v>
                </c:pt>
                <c:pt idx="360">
                  <c:v>275</c:v>
                </c:pt>
                <c:pt idx="361">
                  <c:v>200</c:v>
                </c:pt>
                <c:pt idx="362">
                  <c:v>155.55555555555554</c:v>
                </c:pt>
                <c:pt idx="363">
                  <c:v>71.428571428571431</c:v>
                </c:pt>
                <c:pt idx="364">
                  <c:v>100.00000000000003</c:v>
                </c:pt>
                <c:pt idx="365">
                  <c:v>149.99999999999991</c:v>
                </c:pt>
                <c:pt idx="366">
                  <c:v>166.66666666666666</c:v>
                </c:pt>
                <c:pt idx="367">
                  <c:v>133.33333333333329</c:v>
                </c:pt>
                <c:pt idx="368">
                  <c:v>96.15384615384616</c:v>
                </c:pt>
                <c:pt idx="369">
                  <c:v>316.66666666666674</c:v>
                </c:pt>
                <c:pt idx="370">
                  <c:v>155.5555555555556</c:v>
                </c:pt>
                <c:pt idx="371">
                  <c:v>150.00000000000006</c:v>
                </c:pt>
                <c:pt idx="372">
                  <c:v>175.00000000000006</c:v>
                </c:pt>
                <c:pt idx="373">
                  <c:v>193.75000000000009</c:v>
                </c:pt>
                <c:pt idx="374">
                  <c:v>155.5555555555554</c:v>
                </c:pt>
                <c:pt idx="375">
                  <c:v>189.99999999999986</c:v>
                </c:pt>
                <c:pt idx="376">
                  <c:v>170.00000000000028</c:v>
                </c:pt>
                <c:pt idx="377">
                  <c:v>139.99999999999986</c:v>
                </c:pt>
                <c:pt idx="378">
                  <c:v>169.99999999999994</c:v>
                </c:pt>
                <c:pt idx="379">
                  <c:v>300.00000000000011</c:v>
                </c:pt>
                <c:pt idx="380">
                  <c:v>260.00000000000011</c:v>
                </c:pt>
                <c:pt idx="381">
                  <c:v>99.999999999999872</c:v>
                </c:pt>
                <c:pt idx="382">
                  <c:v>88.461538461538623</c:v>
                </c:pt>
                <c:pt idx="383">
                  <c:v>52.631578947368418</c:v>
                </c:pt>
                <c:pt idx="384">
                  <c:v>80.769230769230816</c:v>
                </c:pt>
                <c:pt idx="385">
                  <c:v>66.66666666666643</c:v>
                </c:pt>
                <c:pt idx="386">
                  <c:v>91.666666666666785</c:v>
                </c:pt>
                <c:pt idx="387">
                  <c:v>118.74999999999991</c:v>
                </c:pt>
                <c:pt idx="388">
                  <c:v>112.50000000000011</c:v>
                </c:pt>
                <c:pt idx="389">
                  <c:v>300.00000000000017</c:v>
                </c:pt>
                <c:pt idx="390">
                  <c:v>146.15384615384605</c:v>
                </c:pt>
                <c:pt idx="391">
                  <c:v>139.99999999999915</c:v>
                </c:pt>
                <c:pt idx="392">
                  <c:v>46.666666666666664</c:v>
                </c:pt>
                <c:pt idx="393">
                  <c:v>46.666666666666664</c:v>
                </c:pt>
                <c:pt idx="394">
                  <c:v>46.666666666666679</c:v>
                </c:pt>
                <c:pt idx="395">
                  <c:v>46.66666666666665</c:v>
                </c:pt>
                <c:pt idx="396">
                  <c:v>107.69230769230772</c:v>
                </c:pt>
                <c:pt idx="397">
                  <c:v>46.666666666666679</c:v>
                </c:pt>
                <c:pt idx="398">
                  <c:v>63.636363636363576</c:v>
                </c:pt>
                <c:pt idx="399">
                  <c:v>128.57142857142861</c:v>
                </c:pt>
                <c:pt idx="400">
                  <c:v>120.00000000000003</c:v>
                </c:pt>
                <c:pt idx="401">
                  <c:v>166.66666666666657</c:v>
                </c:pt>
                <c:pt idx="402">
                  <c:v>200</c:v>
                </c:pt>
                <c:pt idx="403">
                  <c:v>138.88888888888889</c:v>
                </c:pt>
                <c:pt idx="404">
                  <c:v>214.28571428571428</c:v>
                </c:pt>
                <c:pt idx="405">
                  <c:v>123.07692307692318</c:v>
                </c:pt>
                <c:pt idx="406">
                  <c:v>57.499999999999929</c:v>
                </c:pt>
                <c:pt idx="407">
                  <c:v>28.571428571428637</c:v>
                </c:pt>
                <c:pt idx="408">
                  <c:v>71.428571428571431</c:v>
                </c:pt>
                <c:pt idx="409">
                  <c:v>99.999999999999815</c:v>
                </c:pt>
                <c:pt idx="410">
                  <c:v>26.470588235294287</c:v>
                </c:pt>
                <c:pt idx="411">
                  <c:v>77.7777777777777</c:v>
                </c:pt>
                <c:pt idx="412">
                  <c:v>76.92307692307692</c:v>
                </c:pt>
                <c:pt idx="413">
                  <c:v>61.53846153846159</c:v>
                </c:pt>
                <c:pt idx="414">
                  <c:v>49.999999999999524</c:v>
                </c:pt>
                <c:pt idx="415">
                  <c:v>100.00000000000023</c:v>
                </c:pt>
                <c:pt idx="416">
                  <c:v>59.999999999999964</c:v>
                </c:pt>
                <c:pt idx="417">
                  <c:v>133.33333333333346</c:v>
                </c:pt>
                <c:pt idx="418">
                  <c:v>170.00000000000028</c:v>
                </c:pt>
                <c:pt idx="419">
                  <c:v>81.249999999999829</c:v>
                </c:pt>
                <c:pt idx="420">
                  <c:v>128.57142857142887</c:v>
                </c:pt>
                <c:pt idx="421">
                  <c:v>149.99999999999977</c:v>
                </c:pt>
                <c:pt idx="422">
                  <c:v>108.33333333333339</c:v>
                </c:pt>
                <c:pt idx="423">
                  <c:v>78.571428571428427</c:v>
                </c:pt>
                <c:pt idx="424">
                  <c:v>188.8888888888892</c:v>
                </c:pt>
                <c:pt idx="425">
                  <c:v>79.999999999999716</c:v>
                </c:pt>
                <c:pt idx="426">
                  <c:v>108.33333333333428</c:v>
                </c:pt>
                <c:pt idx="427">
                  <c:v>200</c:v>
                </c:pt>
                <c:pt idx="428">
                  <c:v>181.81818181818181</c:v>
                </c:pt>
                <c:pt idx="429">
                  <c:v>100</c:v>
                </c:pt>
                <c:pt idx="430">
                  <c:v>250</c:v>
                </c:pt>
                <c:pt idx="431">
                  <c:v>125</c:v>
                </c:pt>
              </c:numCache>
            </c:numRef>
          </c:xVal>
          <c:yVal>
            <c:numRef>
              <c:f>'2. Logging Brejo Seco'!$V$588:$V$1019</c:f>
              <c:numCache>
                <c:formatCode>General</c:formatCode>
                <c:ptCount val="432"/>
                <c:pt idx="0" formatCode="0.00">
                  <c:v>2.8149950088000009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.0">
                  <c:v>23.333333333333314</c:v>
                </c:pt>
                <c:pt idx="11" formatCode="0.0">
                  <c:v>19.999999999999989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53.333333333333208</c:v>
                </c:pt>
                <c:pt idx="16" formatCode="0.0">
                  <c:v>16.666666666666693</c:v>
                </c:pt>
                <c:pt idx="17" formatCode="0.0">
                  <c:v>27.499999999999975</c:v>
                </c:pt>
                <c:pt idx="18" formatCode="0.0">
                  <c:v>40</c:v>
                </c:pt>
                <c:pt idx="19" formatCode="0.0">
                  <c:v>0</c:v>
                </c:pt>
                <c:pt idx="20" formatCode="0.0">
                  <c:v>30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27.096774193548374</c:v>
                </c:pt>
                <c:pt idx="29" formatCode="0.0">
                  <c:v>63.749999999999943</c:v>
                </c:pt>
                <c:pt idx="30" formatCode="0.0">
                  <c:v>64.285714285714363</c:v>
                </c:pt>
                <c:pt idx="31" formatCode="0.0">
                  <c:v>73.124999999999929</c:v>
                </c:pt>
                <c:pt idx="32" formatCode="0.0">
                  <c:v>43.333333333333336</c:v>
                </c:pt>
                <c:pt idx="33" formatCode="0.0">
                  <c:v>49.565217391304408</c:v>
                </c:pt>
                <c:pt idx="34" formatCode="0.0">
                  <c:v>46.874999999999957</c:v>
                </c:pt>
                <c:pt idx="35" formatCode="0.0">
                  <c:v>15.2</c:v>
                </c:pt>
                <c:pt idx="36" formatCode="0.0">
                  <c:v>22.857142857142858</c:v>
                </c:pt>
                <c:pt idx="37" formatCode="0.0">
                  <c:v>45.599999999999994</c:v>
                </c:pt>
                <c:pt idx="38" formatCode="0.0">
                  <c:v>65.263157894736892</c:v>
                </c:pt>
                <c:pt idx="39" formatCode="0.0">
                  <c:v>11.874999999999989</c:v>
                </c:pt>
                <c:pt idx="40" formatCode="0.0">
                  <c:v>13.684210526315852</c:v>
                </c:pt>
                <c:pt idx="41" formatCode="0.0">
                  <c:v>48.666666666666664</c:v>
                </c:pt>
                <c:pt idx="42" formatCode="0.0">
                  <c:v>13.333333333333281</c:v>
                </c:pt>
                <c:pt idx="43" formatCode="0.0">
                  <c:v>30.588235294117727</c:v>
                </c:pt>
                <c:pt idx="44" formatCode="0.0">
                  <c:v>52.307692307692143</c:v>
                </c:pt>
                <c:pt idx="45" formatCode="0.0">
                  <c:v>7.6923076923077094</c:v>
                </c:pt>
                <c:pt idx="46" formatCode="0.0">
                  <c:v>12.222222222222241</c:v>
                </c:pt>
                <c:pt idx="47" formatCode="0.0">
                  <c:v>39.999999999999943</c:v>
                </c:pt>
                <c:pt idx="48" formatCode="0.0">
                  <c:v>39.130434782608745</c:v>
                </c:pt>
                <c:pt idx="49" formatCode="0.0">
                  <c:v>30.857142857142861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25.000000000000089</c:v>
                </c:pt>
                <c:pt idx="54" formatCode="0.0">
                  <c:v>24.285714285714189</c:v>
                </c:pt>
                <c:pt idx="55" formatCode="0.0">
                  <c:v>0</c:v>
                </c:pt>
                <c:pt idx="56" formatCode="0.0">
                  <c:v>20.000000000000032</c:v>
                </c:pt>
                <c:pt idx="57" formatCode="0.0">
                  <c:v>0</c:v>
                </c:pt>
                <c:pt idx="58" formatCode="0.0">
                  <c:v>17.142857142857075</c:v>
                </c:pt>
                <c:pt idx="59" formatCode="0.0">
                  <c:v>47.14285714285743</c:v>
                </c:pt>
                <c:pt idx="60" formatCode="0.0">
                  <c:v>19.99999999999995</c:v>
                </c:pt>
                <c:pt idx="61" formatCode="0.0">
                  <c:v>18.181818181818041</c:v>
                </c:pt>
                <c:pt idx="62" formatCode="0.0">
                  <c:v>0</c:v>
                </c:pt>
                <c:pt idx="63" formatCode="0.0">
                  <c:v>14.285714285714374</c:v>
                </c:pt>
                <c:pt idx="64" formatCode="0.0">
                  <c:v>0</c:v>
                </c:pt>
                <c:pt idx="65" formatCode="0.0">
                  <c:v>41.42857142857126</c:v>
                </c:pt>
                <c:pt idx="66" formatCode="0.0">
                  <c:v>0</c:v>
                </c:pt>
                <c:pt idx="67" formatCode="0.0">
                  <c:v>0</c:v>
                </c:pt>
                <c:pt idx="68" formatCode="0.0">
                  <c:v>44.210526315789338</c:v>
                </c:pt>
                <c:pt idx="69" formatCode="0.0">
                  <c:v>9.9999999999999858</c:v>
                </c:pt>
                <c:pt idx="70" formatCode="0.0">
                  <c:v>22.222222222222261</c:v>
                </c:pt>
                <c:pt idx="71" formatCode="0.0">
                  <c:v>70.76923076923093</c:v>
                </c:pt>
                <c:pt idx="72" formatCode="0.0">
                  <c:v>54</c:v>
                </c:pt>
                <c:pt idx="73" formatCode="0.0">
                  <c:v>0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70</c:v>
                </c:pt>
                <c:pt idx="77" formatCode="0.0">
                  <c:v>14.28571428571423</c:v>
                </c:pt>
                <c:pt idx="78" formatCode="0.0">
                  <c:v>0</c:v>
                </c:pt>
                <c:pt idx="79" formatCode="0.0">
                  <c:v>5.7894736842105523</c:v>
                </c:pt>
                <c:pt idx="80" formatCode="0.0">
                  <c:v>0</c:v>
                </c:pt>
                <c:pt idx="81" formatCode="0.0">
                  <c:v>20.000000000000188</c:v>
                </c:pt>
                <c:pt idx="82" formatCode="0.0">
                  <c:v>17.647058823529235</c:v>
                </c:pt>
                <c:pt idx="83" formatCode="0.0">
                  <c:v>0</c:v>
                </c:pt>
                <c:pt idx="84" formatCode="0.0">
                  <c:v>52.666666666666671</c:v>
                </c:pt>
                <c:pt idx="85" formatCode="0.0">
                  <c:v>42.105263157894612</c:v>
                </c:pt>
                <c:pt idx="86" formatCode="0.0">
                  <c:v>60.64516129032269</c:v>
                </c:pt>
                <c:pt idx="87" formatCode="0.0">
                  <c:v>81.300813008129808</c:v>
                </c:pt>
                <c:pt idx="88" formatCode="0.0">
                  <c:v>89.947089947089921</c:v>
                </c:pt>
                <c:pt idx="89" formatCode="0.0">
                  <c:v>0</c:v>
                </c:pt>
                <c:pt idx="90" formatCode="0.0">
                  <c:v>0</c:v>
                </c:pt>
                <c:pt idx="91" formatCode="0.0">
                  <c:v>0</c:v>
                </c:pt>
                <c:pt idx="92" formatCode="0.0">
                  <c:v>0</c:v>
                </c:pt>
                <c:pt idx="93" formatCode="0.0">
                  <c:v>30.000000000000011</c:v>
                </c:pt>
                <c:pt idx="94" formatCode="0.0">
                  <c:v>46.666666666666629</c:v>
                </c:pt>
                <c:pt idx="95" formatCode="0.0">
                  <c:v>26.250000000000007</c:v>
                </c:pt>
                <c:pt idx="96" formatCode="0.0">
                  <c:v>46.666666666666643</c:v>
                </c:pt>
                <c:pt idx="97" formatCode="0.0">
                  <c:v>63.492063492063508</c:v>
                </c:pt>
                <c:pt idx="98" formatCode="0.0">
                  <c:v>68.421052631578974</c:v>
                </c:pt>
                <c:pt idx="99" formatCode="0.0">
                  <c:v>16.666666666666661</c:v>
                </c:pt>
                <c:pt idx="100" formatCode="0.0">
                  <c:v>56.666666666666643</c:v>
                </c:pt>
                <c:pt idx="101" formatCode="0.0">
                  <c:v>27.500000000000096</c:v>
                </c:pt>
                <c:pt idx="102" formatCode="0.0">
                  <c:v>0</c:v>
                </c:pt>
                <c:pt idx="103" formatCode="0.0">
                  <c:v>57.777777777777871</c:v>
                </c:pt>
                <c:pt idx="104" formatCode="0.0">
                  <c:v>43.529411764705856</c:v>
                </c:pt>
                <c:pt idx="105" formatCode="0.0">
                  <c:v>17.14285714285716</c:v>
                </c:pt>
                <c:pt idx="106" formatCode="0.0">
                  <c:v>22.61904761904762</c:v>
                </c:pt>
                <c:pt idx="107" formatCode="0.0">
                  <c:v>0</c:v>
                </c:pt>
                <c:pt idx="108" formatCode="0.0">
                  <c:v>0</c:v>
                </c:pt>
                <c:pt idx="109" formatCode="0.0">
                  <c:v>26.041666666666689</c:v>
                </c:pt>
                <c:pt idx="110" formatCode="0.0">
                  <c:v>23.728813559321971</c:v>
                </c:pt>
                <c:pt idx="111" formatCode="0.0">
                  <c:v>0</c:v>
                </c:pt>
                <c:pt idx="112" formatCode="0.0">
                  <c:v>27.222222222222264</c:v>
                </c:pt>
                <c:pt idx="113" formatCode="0.0">
                  <c:v>0</c:v>
                </c:pt>
                <c:pt idx="114" formatCode="0.0">
                  <c:v>47.150259067357517</c:v>
                </c:pt>
                <c:pt idx="115" formatCode="0.0">
                  <c:v>0</c:v>
                </c:pt>
                <c:pt idx="116" formatCode="0.0">
                  <c:v>0</c:v>
                </c:pt>
                <c:pt idx="117" formatCode="0.0">
                  <c:v>0</c:v>
                </c:pt>
                <c:pt idx="118" formatCode="0.0">
                  <c:v>18.260869565217359</c:v>
                </c:pt>
                <c:pt idx="119" formatCode="0.0">
                  <c:v>36</c:v>
                </c:pt>
                <c:pt idx="120" formatCode="0.0">
                  <c:v>10.769230769230779</c:v>
                </c:pt>
                <c:pt idx="121" formatCode="0.0">
                  <c:v>34.615384615384642</c:v>
                </c:pt>
                <c:pt idx="122" formatCode="0.0">
                  <c:v>23.214285714285619</c:v>
                </c:pt>
                <c:pt idx="123" formatCode="0.0">
                  <c:v>0</c:v>
                </c:pt>
                <c:pt idx="124" formatCode="0.0">
                  <c:v>0</c:v>
                </c:pt>
                <c:pt idx="125" formatCode="0.0">
                  <c:v>33.333333333333329</c:v>
                </c:pt>
                <c:pt idx="126" formatCode="0.0">
                  <c:v>0</c:v>
                </c:pt>
                <c:pt idx="127" formatCode="0.0">
                  <c:v>0</c:v>
                </c:pt>
                <c:pt idx="128" formatCode="0.0">
                  <c:v>0</c:v>
                </c:pt>
                <c:pt idx="129" formatCode="0.0">
                  <c:v>0</c:v>
                </c:pt>
                <c:pt idx="130" formatCode="0.0">
                  <c:v>17.142857142857245</c:v>
                </c:pt>
                <c:pt idx="131" formatCode="0.0">
                  <c:v>0</c:v>
                </c:pt>
                <c:pt idx="132" formatCode="0.0">
                  <c:v>0</c:v>
                </c:pt>
                <c:pt idx="133" formatCode="0.0">
                  <c:v>0</c:v>
                </c:pt>
                <c:pt idx="134" formatCode="0.0">
                  <c:v>0</c:v>
                </c:pt>
                <c:pt idx="135" formatCode="0.0">
                  <c:v>0</c:v>
                </c:pt>
                <c:pt idx="136" formatCode="0.0">
                  <c:v>0</c:v>
                </c:pt>
                <c:pt idx="137" formatCode="0.0">
                  <c:v>24</c:v>
                </c:pt>
                <c:pt idx="138" formatCode="0.0">
                  <c:v>0</c:v>
                </c:pt>
                <c:pt idx="139" formatCode="0.0">
                  <c:v>0</c:v>
                </c:pt>
                <c:pt idx="140" formatCode="0.0">
                  <c:v>0</c:v>
                </c:pt>
                <c:pt idx="141" formatCode="0.0">
                  <c:v>0</c:v>
                </c:pt>
                <c:pt idx="142" formatCode="0.0">
                  <c:v>29.565217391304387</c:v>
                </c:pt>
                <c:pt idx="143" formatCode="0.0">
                  <c:v>44.117647058823543</c:v>
                </c:pt>
                <c:pt idx="144" formatCode="0.0">
                  <c:v>35.238095238095099</c:v>
                </c:pt>
                <c:pt idx="145" formatCode="0.0">
                  <c:v>13.333333333333353</c:v>
                </c:pt>
                <c:pt idx="146" formatCode="0.0">
                  <c:v>13</c:v>
                </c:pt>
                <c:pt idx="147" formatCode="0.0">
                  <c:v>0</c:v>
                </c:pt>
                <c:pt idx="148" formatCode="0.0">
                  <c:v>0</c:v>
                </c:pt>
                <c:pt idx="149" formatCode="0.0">
                  <c:v>10.476190476190505</c:v>
                </c:pt>
                <c:pt idx="150" formatCode="0.0">
                  <c:v>0</c:v>
                </c:pt>
                <c:pt idx="151" formatCode="0.0">
                  <c:v>0</c:v>
                </c:pt>
                <c:pt idx="152" formatCode="0.0">
                  <c:v>22.499999999999879</c:v>
                </c:pt>
                <c:pt idx="153" formatCode="0.0">
                  <c:v>0</c:v>
                </c:pt>
                <c:pt idx="154" formatCode="0.0">
                  <c:v>16.666666666666664</c:v>
                </c:pt>
                <c:pt idx="155" formatCode="0.0">
                  <c:v>0</c:v>
                </c:pt>
                <c:pt idx="156" formatCode="0.0">
                  <c:v>6</c:v>
                </c:pt>
                <c:pt idx="157" formatCode="0.0">
                  <c:v>45.5</c:v>
                </c:pt>
                <c:pt idx="158" formatCode="0.0">
                  <c:v>42.857142857142975</c:v>
                </c:pt>
                <c:pt idx="159" formatCode="0.0">
                  <c:v>17.5</c:v>
                </c:pt>
                <c:pt idx="160" formatCode="0.0">
                  <c:v>0</c:v>
                </c:pt>
                <c:pt idx="161" formatCode="0.0">
                  <c:v>11.333333333333334</c:v>
                </c:pt>
                <c:pt idx="162" formatCode="0.0">
                  <c:v>0</c:v>
                </c:pt>
                <c:pt idx="163" formatCode="0.0">
                  <c:v>12.49999999999997</c:v>
                </c:pt>
                <c:pt idx="164" formatCode="0.0">
                  <c:v>0</c:v>
                </c:pt>
                <c:pt idx="165" formatCode="0.0">
                  <c:v>9.1666666666667531</c:v>
                </c:pt>
                <c:pt idx="166" formatCode="0.0">
                  <c:v>10.833333333333309</c:v>
                </c:pt>
                <c:pt idx="167" formatCode="0.0">
                  <c:v>0</c:v>
                </c:pt>
                <c:pt idx="168" formatCode="0.0">
                  <c:v>0</c:v>
                </c:pt>
                <c:pt idx="169" formatCode="0.0">
                  <c:v>0</c:v>
                </c:pt>
                <c:pt idx="170" formatCode="0.0">
                  <c:v>0</c:v>
                </c:pt>
                <c:pt idx="171" formatCode="0.0">
                  <c:v>0</c:v>
                </c:pt>
                <c:pt idx="172" formatCode="0.0">
                  <c:v>0</c:v>
                </c:pt>
                <c:pt idx="173" formatCode="0.0">
                  <c:v>0</c:v>
                </c:pt>
                <c:pt idx="174" formatCode="0.0">
                  <c:v>0</c:v>
                </c:pt>
                <c:pt idx="175" formatCode="0.0">
                  <c:v>0</c:v>
                </c:pt>
                <c:pt idx="176" formatCode="0.0">
                  <c:v>17.857142857142851</c:v>
                </c:pt>
                <c:pt idx="177" formatCode="0.0">
                  <c:v>0</c:v>
                </c:pt>
                <c:pt idx="178" formatCode="0.0">
                  <c:v>24</c:v>
                </c:pt>
                <c:pt idx="179" formatCode="0.0">
                  <c:v>23.636363636363633</c:v>
                </c:pt>
                <c:pt idx="180" formatCode="0.0">
                  <c:v>0</c:v>
                </c:pt>
                <c:pt idx="181" formatCode="0.0">
                  <c:v>23.529411764705895</c:v>
                </c:pt>
                <c:pt idx="182" formatCode="0.0">
                  <c:v>26</c:v>
                </c:pt>
                <c:pt idx="183" formatCode="0.0">
                  <c:v>6.6666666666666634</c:v>
                </c:pt>
                <c:pt idx="184" formatCode="0.0">
                  <c:v>0</c:v>
                </c:pt>
                <c:pt idx="185" formatCode="0.0">
                  <c:v>17.499999999999986</c:v>
                </c:pt>
                <c:pt idx="186" formatCode="0.0">
                  <c:v>0</c:v>
                </c:pt>
                <c:pt idx="187" formatCode="0.0">
                  <c:v>0</c:v>
                </c:pt>
                <c:pt idx="188" formatCode="0.0">
                  <c:v>0</c:v>
                </c:pt>
                <c:pt idx="189" formatCode="0.0">
                  <c:v>60.000000000000099</c:v>
                </c:pt>
                <c:pt idx="190" formatCode="0.0">
                  <c:v>46</c:v>
                </c:pt>
                <c:pt idx="191" formatCode="0.0">
                  <c:v>0</c:v>
                </c:pt>
                <c:pt idx="192" formatCode="0.0">
                  <c:v>32.727272727272684</c:v>
                </c:pt>
                <c:pt idx="193" formatCode="0.0">
                  <c:v>0</c:v>
                </c:pt>
                <c:pt idx="194" formatCode="0.0">
                  <c:v>0</c:v>
                </c:pt>
                <c:pt idx="195" formatCode="0.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">
                  <c:v>0</c:v>
                </c:pt>
                <c:pt idx="204" formatCode="0.0">
                  <c:v>0</c:v>
                </c:pt>
                <c:pt idx="205" formatCode="0.0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43.333333333333236</c:v>
                </c:pt>
                <c:pt idx="209">
                  <c:v>16.25000000000006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 formatCode="0.0">
                  <c:v>0</c:v>
                </c:pt>
                <c:pt idx="215" formatCode="0.0">
                  <c:v>12.631578947368382</c:v>
                </c:pt>
                <c:pt idx="216" formatCode="0.0">
                  <c:v>29.999999999999925</c:v>
                </c:pt>
                <c:pt idx="217" formatCode="0.0">
                  <c:v>0</c:v>
                </c:pt>
                <c:pt idx="218" formatCode="0.0">
                  <c:v>0</c:v>
                </c:pt>
                <c:pt idx="219" formatCode="0.0">
                  <c:v>0</c:v>
                </c:pt>
                <c:pt idx="220">
                  <c:v>0</c:v>
                </c:pt>
                <c:pt idx="221">
                  <c:v>15.714285714285731</c:v>
                </c:pt>
                <c:pt idx="222" formatCode="0.0">
                  <c:v>0</c:v>
                </c:pt>
                <c:pt idx="223" formatCode="0.0">
                  <c:v>0</c:v>
                </c:pt>
                <c:pt idx="224" formatCode="0.0">
                  <c:v>0</c:v>
                </c:pt>
                <c:pt idx="225" formatCode="0.0">
                  <c:v>0</c:v>
                </c:pt>
                <c:pt idx="226" formatCode="0.0">
                  <c:v>0</c:v>
                </c:pt>
                <c:pt idx="227" formatCode="0.0">
                  <c:v>0</c:v>
                </c:pt>
                <c:pt idx="228">
                  <c:v>0</c:v>
                </c:pt>
                <c:pt idx="229" formatCode="0.0">
                  <c:v>0</c:v>
                </c:pt>
                <c:pt idx="230" formatCode="0.0">
                  <c:v>0</c:v>
                </c:pt>
                <c:pt idx="231" formatCode="0.0">
                  <c:v>0</c:v>
                </c:pt>
                <c:pt idx="232" formatCode="0.0">
                  <c:v>16.842105263157908</c:v>
                </c:pt>
                <c:pt idx="233" formatCode="0.0">
                  <c:v>28.666666666666668</c:v>
                </c:pt>
                <c:pt idx="234" formatCode="0.0">
                  <c:v>31.666666666666782</c:v>
                </c:pt>
                <c:pt idx="235" formatCode="0.0">
                  <c:v>0</c:v>
                </c:pt>
                <c:pt idx="236" formatCode="0.0">
                  <c:v>0</c:v>
                </c:pt>
                <c:pt idx="237" formatCode="0.0">
                  <c:v>9.1666666666666448</c:v>
                </c:pt>
                <c:pt idx="238" formatCode="0.0">
                  <c:v>0</c:v>
                </c:pt>
                <c:pt idx="239" formatCode="0.0">
                  <c:v>64</c:v>
                </c:pt>
                <c:pt idx="240" formatCode="0.0">
                  <c:v>0</c:v>
                </c:pt>
                <c:pt idx="241" formatCode="0.0">
                  <c:v>0</c:v>
                </c:pt>
                <c:pt idx="242" formatCode="0.0">
                  <c:v>0</c:v>
                </c:pt>
                <c:pt idx="243" formatCode="0.0">
                  <c:v>0</c:v>
                </c:pt>
                <c:pt idx="244" formatCode="0.0">
                  <c:v>34.285714285714491</c:v>
                </c:pt>
                <c:pt idx="245" formatCode="0.0">
                  <c:v>0</c:v>
                </c:pt>
                <c:pt idx="246" formatCode="0.0">
                  <c:v>0</c:v>
                </c:pt>
                <c:pt idx="247">
                  <c:v>9.2307692307692513</c:v>
                </c:pt>
                <c:pt idx="248">
                  <c:v>14.736842105263115</c:v>
                </c:pt>
                <c:pt idx="249">
                  <c:v>42</c:v>
                </c:pt>
                <c:pt idx="250">
                  <c:v>75.000000000001592</c:v>
                </c:pt>
                <c:pt idx="251">
                  <c:v>13.63636363636353</c:v>
                </c:pt>
                <c:pt idx="252">
                  <c:v>35.83333333333325</c:v>
                </c:pt>
                <c:pt idx="253">
                  <c:v>63</c:v>
                </c:pt>
                <c:pt idx="254">
                  <c:v>46</c:v>
                </c:pt>
                <c:pt idx="255">
                  <c:v>35.5</c:v>
                </c:pt>
                <c:pt idx="256">
                  <c:v>41.428571428571544</c:v>
                </c:pt>
                <c:pt idx="257">
                  <c:v>57.894736842105097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30.909090909090921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28.571428571428605</c:v>
                </c:pt>
                <c:pt idx="270">
                  <c:v>0</c:v>
                </c:pt>
                <c:pt idx="271">
                  <c:v>29.230769230769216</c:v>
                </c:pt>
                <c:pt idx="272">
                  <c:v>0</c:v>
                </c:pt>
                <c:pt idx="273">
                  <c:v>16.097560975609763</c:v>
                </c:pt>
                <c:pt idx="274">
                  <c:v>33.33333333333325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37.142857142856997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52.499999999999943</c:v>
                </c:pt>
                <c:pt idx="286">
                  <c:v>0</c:v>
                </c:pt>
                <c:pt idx="287">
                  <c:v>17.500000000000011</c:v>
                </c:pt>
                <c:pt idx="288" formatCode="0.0">
                  <c:v>18.5</c:v>
                </c:pt>
                <c:pt idx="289" formatCode="0.0">
                  <c:v>53.714285714285715</c:v>
                </c:pt>
                <c:pt idx="290" formatCode="0.0">
                  <c:v>55.238095238095198</c:v>
                </c:pt>
                <c:pt idx="291" formatCode="0.0">
                  <c:v>34.5</c:v>
                </c:pt>
                <c:pt idx="292" formatCode="0.0">
                  <c:v>34.761904761904795</c:v>
                </c:pt>
                <c:pt idx="293" formatCode="0.0">
                  <c:v>45.5</c:v>
                </c:pt>
                <c:pt idx="294" formatCode="0.0">
                  <c:v>22.85714285714284</c:v>
                </c:pt>
                <c:pt idx="295" formatCode="0.0">
                  <c:v>31.162790697674442</c:v>
                </c:pt>
                <c:pt idx="296" formatCode="0.0">
                  <c:v>36.756756756756729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45.714285714285715</c:v>
                </c:pt>
                <c:pt idx="301">
                  <c:v>10.476190476190478</c:v>
                </c:pt>
                <c:pt idx="302">
                  <c:v>28.947368421052627</c:v>
                </c:pt>
                <c:pt idx="303" formatCode="0.0">
                  <c:v>23.5</c:v>
                </c:pt>
                <c:pt idx="304" formatCode="0.0">
                  <c:v>37.500000000000021</c:v>
                </c:pt>
                <c:pt idx="305" formatCode="0.0">
                  <c:v>17.272727272727252</c:v>
                </c:pt>
                <c:pt idx="306" formatCode="0.0">
                  <c:v>0</c:v>
                </c:pt>
                <c:pt idx="307" formatCode="0.0">
                  <c:v>21.538461538461529</c:v>
                </c:pt>
                <c:pt idx="308" formatCode="0.0">
                  <c:v>31.904761904761941</c:v>
                </c:pt>
                <c:pt idx="309" formatCode="0.0">
                  <c:v>10.5</c:v>
                </c:pt>
                <c:pt idx="310" formatCode="0.0">
                  <c:v>0</c:v>
                </c:pt>
                <c:pt idx="311" formatCode="0.0">
                  <c:v>15.714285714285731</c:v>
                </c:pt>
                <c:pt idx="312" formatCode="0.0">
                  <c:v>11.538461538461533</c:v>
                </c:pt>
                <c:pt idx="313" formatCode="0.0">
                  <c:v>79</c:v>
                </c:pt>
                <c:pt idx="314" formatCode="0.0">
                  <c:v>50.000000000000043</c:v>
                </c:pt>
                <c:pt idx="315" formatCode="0.0">
                  <c:v>22.727272727272698</c:v>
                </c:pt>
                <c:pt idx="316" formatCode="0.0">
                  <c:v>0</c:v>
                </c:pt>
                <c:pt idx="317" formatCode="0.0">
                  <c:v>0</c:v>
                </c:pt>
                <c:pt idx="318" formatCode="0.0">
                  <c:v>0</c:v>
                </c:pt>
                <c:pt idx="319">
                  <c:v>85.48387096774205</c:v>
                </c:pt>
                <c:pt idx="320">
                  <c:v>58.844765342960294</c:v>
                </c:pt>
                <c:pt idx="321">
                  <c:v>62</c:v>
                </c:pt>
                <c:pt idx="322">
                  <c:v>85.245901639344339</c:v>
                </c:pt>
                <c:pt idx="323">
                  <c:v>70.297029702970192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28.888888888888882</c:v>
                </c:pt>
                <c:pt idx="332">
                  <c:v>8.5714285714285694</c:v>
                </c:pt>
                <c:pt idx="333" formatCode="0.0">
                  <c:v>18.461538461538478</c:v>
                </c:pt>
                <c:pt idx="334" formatCode="0.0">
                  <c:v>25</c:v>
                </c:pt>
                <c:pt idx="335" formatCode="0.0">
                  <c:v>27.142857142857135</c:v>
                </c:pt>
                <c:pt idx="336" formatCode="0.0">
                  <c:v>30.555555555555546</c:v>
                </c:pt>
                <c:pt idx="337" formatCode="0.0">
                  <c:v>0</c:v>
                </c:pt>
                <c:pt idx="338" formatCode="0.0">
                  <c:v>9.6000000000000121</c:v>
                </c:pt>
                <c:pt idx="339" formatCode="0.0">
                  <c:v>30.322580645161274</c:v>
                </c:pt>
                <c:pt idx="340" formatCode="0.0">
                  <c:v>18.333333333333343</c:v>
                </c:pt>
                <c:pt idx="341" formatCode="0.0">
                  <c:v>0</c:v>
                </c:pt>
                <c:pt idx="342" formatCode="0.0">
                  <c:v>7.1428571428571326</c:v>
                </c:pt>
                <c:pt idx="343" formatCode="0.0">
                  <c:v>35.384615384615465</c:v>
                </c:pt>
                <c:pt idx="344" formatCode="0.0">
                  <c:v>0</c:v>
                </c:pt>
                <c:pt idx="345" formatCode="0.0">
                  <c:v>9.1666666666666714</c:v>
                </c:pt>
                <c:pt idx="346" formatCode="0.0">
                  <c:v>0</c:v>
                </c:pt>
                <c:pt idx="347" formatCode="0.0">
                  <c:v>0</c:v>
                </c:pt>
                <c:pt idx="348" formatCode="0.0">
                  <c:v>21</c:v>
                </c:pt>
                <c:pt idx="349" formatCode="0.0">
                  <c:v>0</c:v>
                </c:pt>
                <c:pt idx="350" formatCode="0.0">
                  <c:v>0</c:v>
                </c:pt>
                <c:pt idx="351" formatCode="0.0">
                  <c:v>0</c:v>
                </c:pt>
                <c:pt idx="352" formatCode="0.0">
                  <c:v>10</c:v>
                </c:pt>
                <c:pt idx="353" formatCode="0.0">
                  <c:v>12.727272727272712</c:v>
                </c:pt>
                <c:pt idx="354" formatCode="0.0">
                  <c:v>12.352941176470621</c:v>
                </c:pt>
                <c:pt idx="355" formatCode="0.0">
                  <c:v>0</c:v>
                </c:pt>
                <c:pt idx="356" formatCode="0.0">
                  <c:v>51.666666666666536</c:v>
                </c:pt>
                <c:pt idx="357" formatCode="0.0">
                  <c:v>40.000000000000092</c:v>
                </c:pt>
                <c:pt idx="358" formatCode="0.0">
                  <c:v>54.500000000000007</c:v>
                </c:pt>
                <c:pt idx="359">
                  <c:v>51.515151515151572</c:v>
                </c:pt>
                <c:pt idx="360">
                  <c:v>93.636363636363626</c:v>
                </c:pt>
                <c:pt idx="361">
                  <c:v>56.000000000000007</c:v>
                </c:pt>
                <c:pt idx="362">
                  <c:v>33.571428571428577</c:v>
                </c:pt>
                <c:pt idx="363">
                  <c:v>0</c:v>
                </c:pt>
                <c:pt idx="364">
                  <c:v>32.857142857142854</c:v>
                </c:pt>
                <c:pt idx="365">
                  <c:v>47.777777777777807</c:v>
                </c:pt>
                <c:pt idx="366">
                  <c:v>29.333333333333332</c:v>
                </c:pt>
                <c:pt idx="367">
                  <c:v>20.000000000000004</c:v>
                </c:pt>
                <c:pt idx="368">
                  <c:v>8.7999999999999989</c:v>
                </c:pt>
                <c:pt idx="369">
                  <c:v>73.157894736842081</c:v>
                </c:pt>
                <c:pt idx="370">
                  <c:v>26.428571428571423</c:v>
                </c:pt>
                <c:pt idx="371">
                  <c:v>42.222222222222207</c:v>
                </c:pt>
                <c:pt idx="372">
                  <c:v>44.999999999999993</c:v>
                </c:pt>
                <c:pt idx="373">
                  <c:v>49.032258064516107</c:v>
                </c:pt>
                <c:pt idx="374">
                  <c:v>54.285714285714334</c:v>
                </c:pt>
                <c:pt idx="375">
                  <c:v>52.63157894736846</c:v>
                </c:pt>
                <c:pt idx="376">
                  <c:v>45.882352941176393</c:v>
                </c:pt>
                <c:pt idx="377">
                  <c:v>38.571428571428612</c:v>
                </c:pt>
                <c:pt idx="378">
                  <c:v>56.470588235294137</c:v>
                </c:pt>
                <c:pt idx="379" formatCode="0.0">
                  <c:v>52.777777777777757</c:v>
                </c:pt>
                <c:pt idx="380" formatCode="0.0">
                  <c:v>63.846153846153811</c:v>
                </c:pt>
                <c:pt idx="381" formatCode="0.0">
                  <c:v>20.625000000000028</c:v>
                </c:pt>
                <c:pt idx="382" formatCode="0.0">
                  <c:v>8.6956521739130288</c:v>
                </c:pt>
                <c:pt idx="383" formatCode="0.0">
                  <c:v>22</c:v>
                </c:pt>
                <c:pt idx="384" formatCode="0.0">
                  <c:v>9.5238095238095184</c:v>
                </c:pt>
                <c:pt idx="385" formatCode="0.0">
                  <c:v>0</c:v>
                </c:pt>
                <c:pt idx="386" formatCode="0.0">
                  <c:v>16.363636363636342</c:v>
                </c:pt>
                <c:pt idx="387" formatCode="0.0">
                  <c:v>41.57894736842109</c:v>
                </c:pt>
                <c:pt idx="388" formatCode="0.0">
                  <c:v>28.148148148148117</c:v>
                </c:pt>
                <c:pt idx="389" formatCode="0.0">
                  <c:v>47.14285714285711</c:v>
                </c:pt>
                <c:pt idx="390" formatCode="0.0">
                  <c:v>31.052631578947388</c:v>
                </c:pt>
                <c:pt idx="391" formatCode="0.0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16.428571428571427</c:v>
                </c:pt>
                <c:pt idx="397">
                  <c:v>0</c:v>
                </c:pt>
                <c:pt idx="398">
                  <c:v>0</c:v>
                </c:pt>
                <c:pt idx="399">
                  <c:v>14.444444444444441</c:v>
                </c:pt>
                <c:pt idx="400">
                  <c:v>8.3333333333333321</c:v>
                </c:pt>
                <c:pt idx="401">
                  <c:v>33.333333333333357</c:v>
                </c:pt>
                <c:pt idx="402">
                  <c:v>38</c:v>
                </c:pt>
                <c:pt idx="403">
                  <c:v>27.200000000000003</c:v>
                </c:pt>
                <c:pt idx="404">
                  <c:v>31.333333333333329</c:v>
                </c:pt>
                <c:pt idx="405">
                  <c:v>21.249999999999982</c:v>
                </c:pt>
                <c:pt idx="406">
                  <c:v>0</c:v>
                </c:pt>
                <c:pt idx="407" formatCode="0.0">
                  <c:v>0</c:v>
                </c:pt>
                <c:pt idx="408" formatCode="0.0">
                  <c:v>28.000000000000004</c:v>
                </c:pt>
                <c:pt idx="409" formatCode="0.0">
                  <c:v>26.363636363636417</c:v>
                </c:pt>
                <c:pt idx="410" formatCode="0.0">
                  <c:v>0</c:v>
                </c:pt>
                <c:pt idx="411" formatCode="0.0">
                  <c:v>14.285714285714302</c:v>
                </c:pt>
                <c:pt idx="412" formatCode="0.0">
                  <c:v>0</c:v>
                </c:pt>
                <c:pt idx="413" formatCode="0.0">
                  <c:v>0</c:v>
                </c:pt>
                <c:pt idx="414">
                  <c:v>36.666666666667012</c:v>
                </c:pt>
                <c:pt idx="415" formatCode="0.0">
                  <c:v>73.333333333333158</c:v>
                </c:pt>
                <c:pt idx="416" formatCode="0.0">
                  <c:v>8.3333333333333393</c:v>
                </c:pt>
                <c:pt idx="417">
                  <c:v>14.999999999999986</c:v>
                </c:pt>
                <c:pt idx="418">
                  <c:v>36.470588235294052</c:v>
                </c:pt>
                <c:pt idx="419">
                  <c:v>23.076923076923126</c:v>
                </c:pt>
                <c:pt idx="420">
                  <c:v>36.666666666666579</c:v>
                </c:pt>
                <c:pt idx="421">
                  <c:v>35.555555555555614</c:v>
                </c:pt>
                <c:pt idx="422">
                  <c:v>39.999999999999979</c:v>
                </c:pt>
                <c:pt idx="423">
                  <c:v>0</c:v>
                </c:pt>
                <c:pt idx="424">
                  <c:v>38.823529411764639</c:v>
                </c:pt>
                <c:pt idx="425">
                  <c:v>0</c:v>
                </c:pt>
                <c:pt idx="426">
                  <c:v>53.846153846153378</c:v>
                </c:pt>
                <c:pt idx="427">
                  <c:v>60</c:v>
                </c:pt>
                <c:pt idx="428">
                  <c:v>33</c:v>
                </c:pt>
                <c:pt idx="429">
                  <c:v>50</c:v>
                </c:pt>
                <c:pt idx="430">
                  <c:v>38</c:v>
                </c:pt>
                <c:pt idx="431">
                  <c:v>16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3F1-4CC2-AE75-18F3B902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3F1-4CC2-AE75-18F3B902B9EE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3F1-4CC2-AE75-18F3B902B9EE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23F1-4CC2-AE75-18F3B902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Spacing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1.6445554061839833E-2"/>
              <c:y val="0.39477144144860676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9.6355418987260744E-2"/>
          <c:y val="0.94255574113841811"/>
          <c:w val="0.840894821074195"/>
          <c:h val="5.0451284498528592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1600" b="1" baseline="0"/>
              <a:t>Brejo Seco Open Pit</a:t>
            </a:r>
          </a:p>
          <a:p>
            <a:pPr>
              <a:defRPr b="1"/>
            </a:pPr>
            <a:r>
              <a:rPr lang="es-PE" sz="1600" b="1" baseline="0"/>
              <a:t>Geotechnical + Geological Drillhole</a:t>
            </a:r>
            <a:endParaRPr lang="es-PE" sz="1600" b="1"/>
          </a:p>
        </c:rich>
      </c:tx>
      <c:layout>
        <c:manualLayout>
          <c:xMode val="edge"/>
          <c:yMode val="edge"/>
          <c:x val="0.33172993907788251"/>
          <c:y val="7.747474035274307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65427013930951"/>
          <c:y val="7.6225288003338609E-2"/>
          <c:w val="0.79979904435022531"/>
          <c:h val="0.76871026912662443"/>
        </c:manualLayout>
      </c:layout>
      <c:scatterChart>
        <c:scatterStyle val="lineMarker"/>
        <c:varyColors val="0"/>
        <c:ser>
          <c:idx val="8"/>
          <c:order val="3"/>
          <c:marker>
            <c:symbol val="triangle"/>
            <c:size val="15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xVal>
            <c:numRef>
              <c:f>'2. Logging Brejo Seco'!$Z$3:$Z$1019</c:f>
              <c:numCache>
                <c:formatCode>0.00</c:formatCode>
                <c:ptCount val="1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126.66666666666667</c:v>
                </c:pt>
                <c:pt idx="7">
                  <c:v>420</c:v>
                </c:pt>
                <c:pt idx="8">
                  <c:v>19</c:v>
                </c:pt>
                <c:pt idx="9">
                  <c:v>180</c:v>
                </c:pt>
                <c:pt idx="10">
                  <c:v>78</c:v>
                </c:pt>
                <c:pt idx="11">
                  <c:v>87.5</c:v>
                </c:pt>
                <c:pt idx="12">
                  <c:v>15.333333333333334</c:v>
                </c:pt>
                <c:pt idx="13">
                  <c:v>76.666666666666671</c:v>
                </c:pt>
                <c:pt idx="14">
                  <c:v>86</c:v>
                </c:pt>
                <c:pt idx="15">
                  <c:v>112.5</c:v>
                </c:pt>
                <c:pt idx="16">
                  <c:v>235</c:v>
                </c:pt>
                <c:pt idx="17">
                  <c:v>70</c:v>
                </c:pt>
                <c:pt idx="18">
                  <c:v>102.5</c:v>
                </c:pt>
                <c:pt idx="19">
                  <c:v>107.5</c:v>
                </c:pt>
                <c:pt idx="20">
                  <c:v>96.666666666666671</c:v>
                </c:pt>
                <c:pt idx="21">
                  <c:v>20.76923076923077</c:v>
                </c:pt>
                <c:pt idx="22">
                  <c:v>29</c:v>
                </c:pt>
                <c:pt idx="23">
                  <c:v>32</c:v>
                </c:pt>
                <c:pt idx="24">
                  <c:v>44</c:v>
                </c:pt>
                <c:pt idx="25">
                  <c:v>46</c:v>
                </c:pt>
                <c:pt idx="26">
                  <c:v>73.333333333333329</c:v>
                </c:pt>
                <c:pt idx="27">
                  <c:v>140</c:v>
                </c:pt>
                <c:pt idx="28">
                  <c:v>70</c:v>
                </c:pt>
                <c:pt idx="29">
                  <c:v>92.5</c:v>
                </c:pt>
                <c:pt idx="30">
                  <c:v>48.571428571428569</c:v>
                </c:pt>
                <c:pt idx="31">
                  <c:v>81.666666666666671</c:v>
                </c:pt>
                <c:pt idx="32">
                  <c:v>93.333333333333329</c:v>
                </c:pt>
                <c:pt idx="33">
                  <c:v>55</c:v>
                </c:pt>
                <c:pt idx="34">
                  <c:v>19</c:v>
                </c:pt>
                <c:pt idx="35">
                  <c:v>51.666666666666664</c:v>
                </c:pt>
                <c:pt idx="36">
                  <c:v>13</c:v>
                </c:pt>
                <c:pt idx="37">
                  <c:v>11</c:v>
                </c:pt>
                <c:pt idx="38">
                  <c:v>14</c:v>
                </c:pt>
                <c:pt idx="39">
                  <c:v>23</c:v>
                </c:pt>
                <c:pt idx="40">
                  <c:v>34</c:v>
                </c:pt>
                <c:pt idx="41">
                  <c:v>13</c:v>
                </c:pt>
                <c:pt idx="42">
                  <c:v>51.666666666666664</c:v>
                </c:pt>
                <c:pt idx="43">
                  <c:v>54</c:v>
                </c:pt>
                <c:pt idx="44">
                  <c:v>110</c:v>
                </c:pt>
                <c:pt idx="45">
                  <c:v>500</c:v>
                </c:pt>
                <c:pt idx="46">
                  <c:v>166.66666666666666</c:v>
                </c:pt>
                <c:pt idx="47">
                  <c:v>665</c:v>
                </c:pt>
                <c:pt idx="48">
                  <c:v>87.5</c:v>
                </c:pt>
                <c:pt idx="49">
                  <c:v>47.5</c:v>
                </c:pt>
                <c:pt idx="50">
                  <c:v>103.33333333333333</c:v>
                </c:pt>
                <c:pt idx="51">
                  <c:v>305</c:v>
                </c:pt>
                <c:pt idx="52">
                  <c:v>286.66666666666669</c:v>
                </c:pt>
                <c:pt idx="53">
                  <c:v>164</c:v>
                </c:pt>
                <c:pt idx="54">
                  <c:v>240</c:v>
                </c:pt>
                <c:pt idx="55">
                  <c:v>233.33333333333334</c:v>
                </c:pt>
                <c:pt idx="56">
                  <c:v>236.66666666666666</c:v>
                </c:pt>
                <c:pt idx="57">
                  <c:v>150</c:v>
                </c:pt>
                <c:pt idx="58">
                  <c:v>72</c:v>
                </c:pt>
                <c:pt idx="59">
                  <c:v>105.71428571428571</c:v>
                </c:pt>
                <c:pt idx="60">
                  <c:v>520</c:v>
                </c:pt>
                <c:pt idx="61">
                  <c:v>123.33333333333333</c:v>
                </c:pt>
                <c:pt idx="62">
                  <c:v>73.333333333333329</c:v>
                </c:pt>
                <c:pt idx="63">
                  <c:v>49</c:v>
                </c:pt>
                <c:pt idx="64">
                  <c:v>125</c:v>
                </c:pt>
                <c:pt idx="65">
                  <c:v>146.66666666666666</c:v>
                </c:pt>
                <c:pt idx="66">
                  <c:v>32.666666666666664</c:v>
                </c:pt>
                <c:pt idx="67">
                  <c:v>124</c:v>
                </c:pt>
                <c:pt idx="68">
                  <c:v>98</c:v>
                </c:pt>
                <c:pt idx="69">
                  <c:v>120</c:v>
                </c:pt>
                <c:pt idx="70">
                  <c:v>32.666666666666664</c:v>
                </c:pt>
                <c:pt idx="71">
                  <c:v>150</c:v>
                </c:pt>
                <c:pt idx="72">
                  <c:v>126.66666666666667</c:v>
                </c:pt>
                <c:pt idx="73">
                  <c:v>46</c:v>
                </c:pt>
                <c:pt idx="74">
                  <c:v>126.66666666666667</c:v>
                </c:pt>
                <c:pt idx="75">
                  <c:v>156.66666666666666</c:v>
                </c:pt>
                <c:pt idx="76">
                  <c:v>86</c:v>
                </c:pt>
                <c:pt idx="77">
                  <c:v>125</c:v>
                </c:pt>
                <c:pt idx="78">
                  <c:v>41.666666666666664</c:v>
                </c:pt>
                <c:pt idx="79">
                  <c:v>55</c:v>
                </c:pt>
                <c:pt idx="80">
                  <c:v>43.333333333333336</c:v>
                </c:pt>
                <c:pt idx="81">
                  <c:v>24</c:v>
                </c:pt>
                <c:pt idx="82">
                  <c:v>28</c:v>
                </c:pt>
                <c:pt idx="83">
                  <c:v>33.75</c:v>
                </c:pt>
                <c:pt idx="84">
                  <c:v>74</c:v>
                </c:pt>
                <c:pt idx="85">
                  <c:v>47.142857142857146</c:v>
                </c:pt>
                <c:pt idx="86">
                  <c:v>150</c:v>
                </c:pt>
                <c:pt idx="87">
                  <c:v>65</c:v>
                </c:pt>
                <c:pt idx="88">
                  <c:v>70</c:v>
                </c:pt>
                <c:pt idx="89">
                  <c:v>28.571428571428573</c:v>
                </c:pt>
                <c:pt idx="90">
                  <c:v>71.666666666666671</c:v>
                </c:pt>
                <c:pt idx="91">
                  <c:v>53</c:v>
                </c:pt>
                <c:pt idx="92">
                  <c:v>100</c:v>
                </c:pt>
                <c:pt idx="93">
                  <c:v>485</c:v>
                </c:pt>
                <c:pt idx="94">
                  <c:v>71.428571428571431</c:v>
                </c:pt>
                <c:pt idx="95">
                  <c:v>27</c:v>
                </c:pt>
                <c:pt idx="96">
                  <c:v>25</c:v>
                </c:pt>
                <c:pt idx="97">
                  <c:v>100</c:v>
                </c:pt>
                <c:pt idx="98">
                  <c:v>146.66666666666666</c:v>
                </c:pt>
                <c:pt idx="99">
                  <c:v>100</c:v>
                </c:pt>
                <c:pt idx="100">
                  <c:v>83.333333333333329</c:v>
                </c:pt>
                <c:pt idx="101">
                  <c:v>90</c:v>
                </c:pt>
                <c:pt idx="102">
                  <c:v>60</c:v>
                </c:pt>
                <c:pt idx="103">
                  <c:v>86</c:v>
                </c:pt>
                <c:pt idx="104">
                  <c:v>29</c:v>
                </c:pt>
                <c:pt idx="105">
                  <c:v>16.666666666666668</c:v>
                </c:pt>
                <c:pt idx="106">
                  <c:v>235</c:v>
                </c:pt>
                <c:pt idx="107">
                  <c:v>170</c:v>
                </c:pt>
                <c:pt idx="108">
                  <c:v>170</c:v>
                </c:pt>
                <c:pt idx="109">
                  <c:v>100</c:v>
                </c:pt>
                <c:pt idx="110">
                  <c:v>25</c:v>
                </c:pt>
                <c:pt idx="111">
                  <c:v>37</c:v>
                </c:pt>
                <c:pt idx="112">
                  <c:v>37</c:v>
                </c:pt>
                <c:pt idx="113">
                  <c:v>26</c:v>
                </c:pt>
                <c:pt idx="114">
                  <c:v>26</c:v>
                </c:pt>
                <c:pt idx="115">
                  <c:v>24</c:v>
                </c:pt>
                <c:pt idx="116">
                  <c:v>23</c:v>
                </c:pt>
                <c:pt idx="117">
                  <c:v>22</c:v>
                </c:pt>
                <c:pt idx="118">
                  <c:v>20</c:v>
                </c:pt>
                <c:pt idx="119">
                  <c:v>24</c:v>
                </c:pt>
                <c:pt idx="120">
                  <c:v>15</c:v>
                </c:pt>
                <c:pt idx="121">
                  <c:v>38</c:v>
                </c:pt>
                <c:pt idx="122">
                  <c:v>20</c:v>
                </c:pt>
                <c:pt idx="123">
                  <c:v>24</c:v>
                </c:pt>
                <c:pt idx="124">
                  <c:v>56.666666666666664</c:v>
                </c:pt>
                <c:pt idx="125">
                  <c:v>70</c:v>
                </c:pt>
                <c:pt idx="126">
                  <c:v>76.666666666666671</c:v>
                </c:pt>
                <c:pt idx="127">
                  <c:v>26</c:v>
                </c:pt>
                <c:pt idx="128">
                  <c:v>40</c:v>
                </c:pt>
                <c:pt idx="129">
                  <c:v>50</c:v>
                </c:pt>
                <c:pt idx="130">
                  <c:v>60</c:v>
                </c:pt>
                <c:pt idx="131">
                  <c:v>135</c:v>
                </c:pt>
                <c:pt idx="132">
                  <c:v>60</c:v>
                </c:pt>
                <c:pt idx="133">
                  <c:v>43.333333333333336</c:v>
                </c:pt>
                <c:pt idx="134">
                  <c:v>102.5</c:v>
                </c:pt>
                <c:pt idx="135">
                  <c:v>215</c:v>
                </c:pt>
                <c:pt idx="136">
                  <c:v>70</c:v>
                </c:pt>
                <c:pt idx="137">
                  <c:v>73.333333333333329</c:v>
                </c:pt>
                <c:pt idx="138">
                  <c:v>100</c:v>
                </c:pt>
                <c:pt idx="139">
                  <c:v>70</c:v>
                </c:pt>
                <c:pt idx="140">
                  <c:v>53.333333333333336</c:v>
                </c:pt>
                <c:pt idx="141">
                  <c:v>32</c:v>
                </c:pt>
                <c:pt idx="142">
                  <c:v>35</c:v>
                </c:pt>
                <c:pt idx="143">
                  <c:v>28</c:v>
                </c:pt>
                <c:pt idx="144">
                  <c:v>36.666666666666664</c:v>
                </c:pt>
                <c:pt idx="145">
                  <c:v>22</c:v>
                </c:pt>
                <c:pt idx="146">
                  <c:v>10</c:v>
                </c:pt>
                <c:pt idx="147">
                  <c:v>10</c:v>
                </c:pt>
                <c:pt idx="148">
                  <c:v>36</c:v>
                </c:pt>
                <c:pt idx="149">
                  <c:v>51.666666666666664</c:v>
                </c:pt>
                <c:pt idx="150">
                  <c:v>60</c:v>
                </c:pt>
                <c:pt idx="151">
                  <c:v>36.666666666666664</c:v>
                </c:pt>
                <c:pt idx="152">
                  <c:v>46</c:v>
                </c:pt>
                <c:pt idx="153">
                  <c:v>34</c:v>
                </c:pt>
                <c:pt idx="154">
                  <c:v>30</c:v>
                </c:pt>
                <c:pt idx="155">
                  <c:v>19</c:v>
                </c:pt>
                <c:pt idx="156">
                  <c:v>24</c:v>
                </c:pt>
                <c:pt idx="157">
                  <c:v>19</c:v>
                </c:pt>
                <c:pt idx="159">
                  <c:v>20</c:v>
                </c:pt>
                <c:pt idx="160">
                  <c:v>23</c:v>
                </c:pt>
                <c:pt idx="161">
                  <c:v>25</c:v>
                </c:pt>
                <c:pt idx="162">
                  <c:v>28</c:v>
                </c:pt>
                <c:pt idx="163">
                  <c:v>24</c:v>
                </c:pt>
                <c:pt idx="164">
                  <c:v>42</c:v>
                </c:pt>
                <c:pt idx="165">
                  <c:v>20</c:v>
                </c:pt>
                <c:pt idx="167">
                  <c:v>13</c:v>
                </c:pt>
                <c:pt idx="168">
                  <c:v>17</c:v>
                </c:pt>
                <c:pt idx="169">
                  <c:v>16</c:v>
                </c:pt>
                <c:pt idx="170">
                  <c:v>14</c:v>
                </c:pt>
                <c:pt idx="171">
                  <c:v>17</c:v>
                </c:pt>
                <c:pt idx="172">
                  <c:v>23</c:v>
                </c:pt>
                <c:pt idx="173">
                  <c:v>20</c:v>
                </c:pt>
                <c:pt idx="174">
                  <c:v>17</c:v>
                </c:pt>
                <c:pt idx="175">
                  <c:v>18</c:v>
                </c:pt>
                <c:pt idx="176">
                  <c:v>19</c:v>
                </c:pt>
                <c:pt idx="177">
                  <c:v>16.363636363636363</c:v>
                </c:pt>
                <c:pt idx="178">
                  <c:v>10.909090909090908</c:v>
                </c:pt>
                <c:pt idx="180">
                  <c:v>24</c:v>
                </c:pt>
                <c:pt idx="182">
                  <c:v>24</c:v>
                </c:pt>
                <c:pt idx="183">
                  <c:v>11</c:v>
                </c:pt>
                <c:pt idx="184">
                  <c:v>12</c:v>
                </c:pt>
                <c:pt idx="185">
                  <c:v>86.666666666666671</c:v>
                </c:pt>
                <c:pt idx="186">
                  <c:v>26</c:v>
                </c:pt>
                <c:pt idx="187">
                  <c:v>10.666666666666666</c:v>
                </c:pt>
                <c:pt idx="188">
                  <c:v>12</c:v>
                </c:pt>
                <c:pt idx="189">
                  <c:v>45.714285714285715</c:v>
                </c:pt>
                <c:pt idx="190">
                  <c:v>20</c:v>
                </c:pt>
                <c:pt idx="191">
                  <c:v>32</c:v>
                </c:pt>
                <c:pt idx="192">
                  <c:v>44</c:v>
                </c:pt>
                <c:pt idx="193">
                  <c:v>12</c:v>
                </c:pt>
                <c:pt idx="194">
                  <c:v>15</c:v>
                </c:pt>
                <c:pt idx="195">
                  <c:v>18.571428571428573</c:v>
                </c:pt>
                <c:pt idx="196">
                  <c:v>33.333333333333336</c:v>
                </c:pt>
                <c:pt idx="197">
                  <c:v>21.428571428571427</c:v>
                </c:pt>
                <c:pt idx="198">
                  <c:v>40</c:v>
                </c:pt>
                <c:pt idx="199">
                  <c:v>30</c:v>
                </c:pt>
                <c:pt idx="200">
                  <c:v>34</c:v>
                </c:pt>
                <c:pt idx="201">
                  <c:v>28</c:v>
                </c:pt>
                <c:pt idx="202">
                  <c:v>22</c:v>
                </c:pt>
                <c:pt idx="203">
                  <c:v>20</c:v>
                </c:pt>
                <c:pt idx="204">
                  <c:v>22</c:v>
                </c:pt>
                <c:pt idx="205">
                  <c:v>46.666666666666664</c:v>
                </c:pt>
                <c:pt idx="206">
                  <c:v>63.333333333333336</c:v>
                </c:pt>
                <c:pt idx="207">
                  <c:v>24</c:v>
                </c:pt>
                <c:pt idx="208">
                  <c:v>20</c:v>
                </c:pt>
                <c:pt idx="209">
                  <c:v>32</c:v>
                </c:pt>
                <c:pt idx="210">
                  <c:v>24</c:v>
                </c:pt>
                <c:pt idx="211">
                  <c:v>51.666666666666664</c:v>
                </c:pt>
                <c:pt idx="212">
                  <c:v>33</c:v>
                </c:pt>
                <c:pt idx="213">
                  <c:v>94</c:v>
                </c:pt>
                <c:pt idx="214">
                  <c:v>46.25</c:v>
                </c:pt>
                <c:pt idx="215">
                  <c:v>44</c:v>
                </c:pt>
                <c:pt idx="216">
                  <c:v>43.333333333333336</c:v>
                </c:pt>
                <c:pt idx="217">
                  <c:v>67.5</c:v>
                </c:pt>
                <c:pt idx="218">
                  <c:v>100</c:v>
                </c:pt>
                <c:pt idx="219">
                  <c:v>71.428571428571431</c:v>
                </c:pt>
                <c:pt idx="220">
                  <c:v>84</c:v>
                </c:pt>
                <c:pt idx="221">
                  <c:v>35.714285714285715</c:v>
                </c:pt>
                <c:pt idx="222">
                  <c:v>42</c:v>
                </c:pt>
                <c:pt idx="223">
                  <c:v>36</c:v>
                </c:pt>
                <c:pt idx="224">
                  <c:v>34</c:v>
                </c:pt>
                <c:pt idx="225">
                  <c:v>40</c:v>
                </c:pt>
                <c:pt idx="226">
                  <c:v>66.666666666666671</c:v>
                </c:pt>
                <c:pt idx="227">
                  <c:v>50</c:v>
                </c:pt>
                <c:pt idx="228">
                  <c:v>44</c:v>
                </c:pt>
                <c:pt idx="229">
                  <c:v>37.142857142857146</c:v>
                </c:pt>
                <c:pt idx="230">
                  <c:v>29</c:v>
                </c:pt>
                <c:pt idx="231">
                  <c:v>22</c:v>
                </c:pt>
                <c:pt idx="232">
                  <c:v>26</c:v>
                </c:pt>
                <c:pt idx="233">
                  <c:v>25</c:v>
                </c:pt>
                <c:pt idx="234">
                  <c:v>36</c:v>
                </c:pt>
                <c:pt idx="235">
                  <c:v>42</c:v>
                </c:pt>
                <c:pt idx="236">
                  <c:v>17</c:v>
                </c:pt>
                <c:pt idx="237">
                  <c:v>27</c:v>
                </c:pt>
                <c:pt idx="238">
                  <c:v>52</c:v>
                </c:pt>
                <c:pt idx="239">
                  <c:v>50</c:v>
                </c:pt>
                <c:pt idx="240">
                  <c:v>110</c:v>
                </c:pt>
                <c:pt idx="241">
                  <c:v>47.142857142857146</c:v>
                </c:pt>
                <c:pt idx="242">
                  <c:v>41.428571428571431</c:v>
                </c:pt>
                <c:pt idx="243">
                  <c:v>50</c:v>
                </c:pt>
                <c:pt idx="244">
                  <c:v>51.25</c:v>
                </c:pt>
                <c:pt idx="245">
                  <c:v>86</c:v>
                </c:pt>
                <c:pt idx="246">
                  <c:v>74</c:v>
                </c:pt>
                <c:pt idx="247">
                  <c:v>107.5</c:v>
                </c:pt>
                <c:pt idx="248">
                  <c:v>60</c:v>
                </c:pt>
                <c:pt idx="249">
                  <c:v>34</c:v>
                </c:pt>
                <c:pt idx="250">
                  <c:v>32</c:v>
                </c:pt>
                <c:pt idx="251">
                  <c:v>70</c:v>
                </c:pt>
                <c:pt idx="252">
                  <c:v>41</c:v>
                </c:pt>
                <c:pt idx="253">
                  <c:v>45</c:v>
                </c:pt>
                <c:pt idx="254">
                  <c:v>70</c:v>
                </c:pt>
                <c:pt idx="255">
                  <c:v>58.75</c:v>
                </c:pt>
                <c:pt idx="256">
                  <c:v>122.5</c:v>
                </c:pt>
                <c:pt idx="257">
                  <c:v>64.285714285714292</c:v>
                </c:pt>
                <c:pt idx="258">
                  <c:v>120</c:v>
                </c:pt>
                <c:pt idx="259">
                  <c:v>66.666666666666671</c:v>
                </c:pt>
                <c:pt idx="260">
                  <c:v>83.333333333333329</c:v>
                </c:pt>
                <c:pt idx="261">
                  <c:v>46.25</c:v>
                </c:pt>
                <c:pt idx="262">
                  <c:v>54.285714285714285</c:v>
                </c:pt>
                <c:pt idx="263">
                  <c:v>115</c:v>
                </c:pt>
                <c:pt idx="264">
                  <c:v>61.666666666666664</c:v>
                </c:pt>
                <c:pt idx="265">
                  <c:v>153.33333333333334</c:v>
                </c:pt>
                <c:pt idx="266">
                  <c:v>44.444444444444443</c:v>
                </c:pt>
                <c:pt idx="267">
                  <c:v>60</c:v>
                </c:pt>
                <c:pt idx="268">
                  <c:v>83.333333333333329</c:v>
                </c:pt>
                <c:pt idx="269">
                  <c:v>42.000000000000007</c:v>
                </c:pt>
                <c:pt idx="270">
                  <c:v>83.333333333333329</c:v>
                </c:pt>
                <c:pt idx="271">
                  <c:v>146.66666666666666</c:v>
                </c:pt>
                <c:pt idx="272">
                  <c:v>160</c:v>
                </c:pt>
                <c:pt idx="273">
                  <c:v>50</c:v>
                </c:pt>
                <c:pt idx="274">
                  <c:v>166.66666666666666</c:v>
                </c:pt>
                <c:pt idx="275">
                  <c:v>125</c:v>
                </c:pt>
                <c:pt idx="276">
                  <c:v>250</c:v>
                </c:pt>
                <c:pt idx="277">
                  <c:v>125</c:v>
                </c:pt>
                <c:pt idx="278">
                  <c:v>102.5</c:v>
                </c:pt>
                <c:pt idx="279">
                  <c:v>100</c:v>
                </c:pt>
                <c:pt idx="280">
                  <c:v>163.33333333333334</c:v>
                </c:pt>
                <c:pt idx="281">
                  <c:v>205</c:v>
                </c:pt>
                <c:pt idx="282">
                  <c:v>230</c:v>
                </c:pt>
                <c:pt idx="283">
                  <c:v>156.66666666666666</c:v>
                </c:pt>
                <c:pt idx="284">
                  <c:v>215</c:v>
                </c:pt>
                <c:pt idx="285">
                  <c:v>480</c:v>
                </c:pt>
                <c:pt idx="286">
                  <c:v>235</c:v>
                </c:pt>
                <c:pt idx="287">
                  <c:v>156.66666666666666</c:v>
                </c:pt>
                <c:pt idx="288">
                  <c:v>75</c:v>
                </c:pt>
                <c:pt idx="289">
                  <c:v>106.66666666666667</c:v>
                </c:pt>
                <c:pt idx="290">
                  <c:v>146.66666666666669</c:v>
                </c:pt>
                <c:pt idx="291">
                  <c:v>96</c:v>
                </c:pt>
                <c:pt idx="292">
                  <c:v>71.428571428571431</c:v>
                </c:pt>
                <c:pt idx="293">
                  <c:v>68.333333333333329</c:v>
                </c:pt>
                <c:pt idx="294">
                  <c:v>122.5</c:v>
                </c:pt>
                <c:pt idx="295">
                  <c:v>146.66666666666666</c:v>
                </c:pt>
                <c:pt idx="296">
                  <c:v>500</c:v>
                </c:pt>
                <c:pt idx="297">
                  <c:v>156.66666666666666</c:v>
                </c:pt>
                <c:pt idx="298">
                  <c:v>60</c:v>
                </c:pt>
                <c:pt idx="299">
                  <c:v>133.33333333333334</c:v>
                </c:pt>
                <c:pt idx="300">
                  <c:v>86.000000000000014</c:v>
                </c:pt>
                <c:pt idx="301">
                  <c:v>62.5</c:v>
                </c:pt>
                <c:pt idx="302">
                  <c:v>68.571428571428569</c:v>
                </c:pt>
                <c:pt idx="303">
                  <c:v>140</c:v>
                </c:pt>
                <c:pt idx="304">
                  <c:v>65.714285714285708</c:v>
                </c:pt>
                <c:pt idx="305">
                  <c:v>37</c:v>
                </c:pt>
                <c:pt idx="306">
                  <c:v>153.33333333333334</c:v>
                </c:pt>
                <c:pt idx="307">
                  <c:v>107.5</c:v>
                </c:pt>
                <c:pt idx="308">
                  <c:v>115</c:v>
                </c:pt>
                <c:pt idx="309">
                  <c:v>235</c:v>
                </c:pt>
                <c:pt idx="310">
                  <c:v>76.666666666666671</c:v>
                </c:pt>
                <c:pt idx="311">
                  <c:v>62.5</c:v>
                </c:pt>
                <c:pt idx="312">
                  <c:v>150</c:v>
                </c:pt>
                <c:pt idx="313">
                  <c:v>156.66666666666666</c:v>
                </c:pt>
                <c:pt idx="314">
                  <c:v>110</c:v>
                </c:pt>
                <c:pt idx="315">
                  <c:v>57.5</c:v>
                </c:pt>
                <c:pt idx="316">
                  <c:v>61.428571428571431</c:v>
                </c:pt>
                <c:pt idx="317">
                  <c:v>41.428571428571431</c:v>
                </c:pt>
                <c:pt idx="318">
                  <c:v>55.714285714285715</c:v>
                </c:pt>
                <c:pt idx="319">
                  <c:v>70</c:v>
                </c:pt>
                <c:pt idx="320">
                  <c:v>36</c:v>
                </c:pt>
                <c:pt idx="321">
                  <c:v>50</c:v>
                </c:pt>
                <c:pt idx="322">
                  <c:v>32.857142857142854</c:v>
                </c:pt>
                <c:pt idx="323">
                  <c:v>14</c:v>
                </c:pt>
                <c:pt idx="324">
                  <c:v>20</c:v>
                </c:pt>
                <c:pt idx="325">
                  <c:v>20</c:v>
                </c:pt>
                <c:pt idx="326">
                  <c:v>25.714285714285715</c:v>
                </c:pt>
                <c:pt idx="327">
                  <c:v>28.75</c:v>
                </c:pt>
                <c:pt idx="328">
                  <c:v>14.285714285714286</c:v>
                </c:pt>
                <c:pt idx="329">
                  <c:v>50</c:v>
                </c:pt>
                <c:pt idx="330">
                  <c:v>10</c:v>
                </c:pt>
                <c:pt idx="331">
                  <c:v>12</c:v>
                </c:pt>
                <c:pt idx="332">
                  <c:v>6</c:v>
                </c:pt>
                <c:pt idx="333">
                  <c:v>29</c:v>
                </c:pt>
                <c:pt idx="334">
                  <c:v>22</c:v>
                </c:pt>
                <c:pt idx="335">
                  <c:v>21</c:v>
                </c:pt>
                <c:pt idx="336">
                  <c:v>8</c:v>
                </c:pt>
                <c:pt idx="337">
                  <c:v>5</c:v>
                </c:pt>
                <c:pt idx="338">
                  <c:v>7</c:v>
                </c:pt>
                <c:pt idx="339">
                  <c:v>7</c:v>
                </c:pt>
                <c:pt idx="340">
                  <c:v>50</c:v>
                </c:pt>
                <c:pt idx="341">
                  <c:v>50</c:v>
                </c:pt>
                <c:pt idx="342">
                  <c:v>7</c:v>
                </c:pt>
                <c:pt idx="343">
                  <c:v>50</c:v>
                </c:pt>
                <c:pt idx="344">
                  <c:v>11</c:v>
                </c:pt>
                <c:pt idx="345">
                  <c:v>50</c:v>
                </c:pt>
                <c:pt idx="346">
                  <c:v>10</c:v>
                </c:pt>
                <c:pt idx="347">
                  <c:v>7</c:v>
                </c:pt>
                <c:pt idx="348">
                  <c:v>50</c:v>
                </c:pt>
                <c:pt idx="349">
                  <c:v>50</c:v>
                </c:pt>
                <c:pt idx="350">
                  <c:v>40</c:v>
                </c:pt>
                <c:pt idx="351">
                  <c:v>36</c:v>
                </c:pt>
                <c:pt idx="352">
                  <c:v>27</c:v>
                </c:pt>
                <c:pt idx="353">
                  <c:v>183.33333333333334</c:v>
                </c:pt>
                <c:pt idx="354">
                  <c:v>120</c:v>
                </c:pt>
                <c:pt idx="355">
                  <c:v>82</c:v>
                </c:pt>
                <c:pt idx="356">
                  <c:v>70</c:v>
                </c:pt>
                <c:pt idx="357">
                  <c:v>38</c:v>
                </c:pt>
                <c:pt idx="358">
                  <c:v>42</c:v>
                </c:pt>
                <c:pt idx="359">
                  <c:v>28</c:v>
                </c:pt>
                <c:pt idx="360">
                  <c:v>62.5</c:v>
                </c:pt>
                <c:pt idx="361">
                  <c:v>65</c:v>
                </c:pt>
                <c:pt idx="362">
                  <c:v>62.5</c:v>
                </c:pt>
                <c:pt idx="363">
                  <c:v>83.333333333333329</c:v>
                </c:pt>
                <c:pt idx="364">
                  <c:v>56</c:v>
                </c:pt>
                <c:pt idx="365">
                  <c:v>38</c:v>
                </c:pt>
                <c:pt idx="366">
                  <c:v>46</c:v>
                </c:pt>
                <c:pt idx="367">
                  <c:v>70</c:v>
                </c:pt>
                <c:pt idx="368">
                  <c:v>53.333333333333336</c:v>
                </c:pt>
                <c:pt idx="369">
                  <c:v>36</c:v>
                </c:pt>
                <c:pt idx="370">
                  <c:v>63.333333333333336</c:v>
                </c:pt>
                <c:pt idx="371">
                  <c:v>63.333333333333336</c:v>
                </c:pt>
                <c:pt idx="372">
                  <c:v>37.5</c:v>
                </c:pt>
                <c:pt idx="373">
                  <c:v>90</c:v>
                </c:pt>
                <c:pt idx="374">
                  <c:v>46.666666666666664</c:v>
                </c:pt>
                <c:pt idx="375">
                  <c:v>95</c:v>
                </c:pt>
                <c:pt idx="376">
                  <c:v>56.666666666666664</c:v>
                </c:pt>
                <c:pt idx="377">
                  <c:v>30</c:v>
                </c:pt>
                <c:pt idx="378">
                  <c:v>52.5</c:v>
                </c:pt>
                <c:pt idx="379">
                  <c:v>53.333333333333336</c:v>
                </c:pt>
                <c:pt idx="380">
                  <c:v>56.666666666666664</c:v>
                </c:pt>
                <c:pt idx="381">
                  <c:v>30</c:v>
                </c:pt>
                <c:pt idx="382">
                  <c:v>37</c:v>
                </c:pt>
                <c:pt idx="383">
                  <c:v>24</c:v>
                </c:pt>
                <c:pt idx="384">
                  <c:v>27</c:v>
                </c:pt>
                <c:pt idx="385">
                  <c:v>22</c:v>
                </c:pt>
                <c:pt idx="386">
                  <c:v>26</c:v>
                </c:pt>
                <c:pt idx="387">
                  <c:v>58</c:v>
                </c:pt>
                <c:pt idx="388">
                  <c:v>20</c:v>
                </c:pt>
                <c:pt idx="389">
                  <c:v>16</c:v>
                </c:pt>
                <c:pt idx="390">
                  <c:v>28</c:v>
                </c:pt>
                <c:pt idx="391">
                  <c:v>80</c:v>
                </c:pt>
                <c:pt idx="392">
                  <c:v>50</c:v>
                </c:pt>
                <c:pt idx="393">
                  <c:v>100</c:v>
                </c:pt>
                <c:pt idx="394">
                  <c:v>50</c:v>
                </c:pt>
                <c:pt idx="395">
                  <c:v>100</c:v>
                </c:pt>
                <c:pt idx="396">
                  <c:v>41.666666666666664</c:v>
                </c:pt>
                <c:pt idx="397">
                  <c:v>100</c:v>
                </c:pt>
                <c:pt idx="398">
                  <c:v>100</c:v>
                </c:pt>
                <c:pt idx="399">
                  <c:v>50</c:v>
                </c:pt>
                <c:pt idx="400">
                  <c:v>100</c:v>
                </c:pt>
                <c:pt idx="401">
                  <c:v>100</c:v>
                </c:pt>
                <c:pt idx="402">
                  <c:v>50</c:v>
                </c:pt>
                <c:pt idx="403">
                  <c:v>100</c:v>
                </c:pt>
                <c:pt idx="404">
                  <c:v>50</c:v>
                </c:pt>
                <c:pt idx="405">
                  <c:v>50</c:v>
                </c:pt>
                <c:pt idx="406">
                  <c:v>100</c:v>
                </c:pt>
                <c:pt idx="407">
                  <c:v>50</c:v>
                </c:pt>
                <c:pt idx="408">
                  <c:v>50</c:v>
                </c:pt>
                <c:pt idx="411">
                  <c:v>125</c:v>
                </c:pt>
                <c:pt idx="412">
                  <c:v>125</c:v>
                </c:pt>
                <c:pt idx="413">
                  <c:v>100</c:v>
                </c:pt>
                <c:pt idx="414">
                  <c:v>83.333333333333329</c:v>
                </c:pt>
                <c:pt idx="415">
                  <c:v>50</c:v>
                </c:pt>
                <c:pt idx="416">
                  <c:v>100</c:v>
                </c:pt>
                <c:pt idx="417">
                  <c:v>100</c:v>
                </c:pt>
                <c:pt idx="418">
                  <c:v>50</c:v>
                </c:pt>
                <c:pt idx="419">
                  <c:v>166.66666666666666</c:v>
                </c:pt>
                <c:pt idx="420">
                  <c:v>125</c:v>
                </c:pt>
                <c:pt idx="421">
                  <c:v>125</c:v>
                </c:pt>
                <c:pt idx="422">
                  <c:v>100</c:v>
                </c:pt>
                <c:pt idx="423">
                  <c:v>125</c:v>
                </c:pt>
                <c:pt idx="424">
                  <c:v>125</c:v>
                </c:pt>
                <c:pt idx="425">
                  <c:v>100</c:v>
                </c:pt>
                <c:pt idx="426">
                  <c:v>166.66666666666666</c:v>
                </c:pt>
                <c:pt idx="427">
                  <c:v>125</c:v>
                </c:pt>
                <c:pt idx="428">
                  <c:v>125</c:v>
                </c:pt>
                <c:pt idx="429">
                  <c:v>100</c:v>
                </c:pt>
                <c:pt idx="430">
                  <c:v>125</c:v>
                </c:pt>
                <c:pt idx="431">
                  <c:v>125</c:v>
                </c:pt>
                <c:pt idx="432">
                  <c:v>125</c:v>
                </c:pt>
                <c:pt idx="433">
                  <c:v>100</c:v>
                </c:pt>
                <c:pt idx="434">
                  <c:v>125</c:v>
                </c:pt>
                <c:pt idx="435">
                  <c:v>83.333333333333329</c:v>
                </c:pt>
                <c:pt idx="436">
                  <c:v>125</c:v>
                </c:pt>
                <c:pt idx="437">
                  <c:v>125</c:v>
                </c:pt>
                <c:pt idx="438">
                  <c:v>125</c:v>
                </c:pt>
                <c:pt idx="439">
                  <c:v>125</c:v>
                </c:pt>
                <c:pt idx="440">
                  <c:v>125</c:v>
                </c:pt>
                <c:pt idx="441">
                  <c:v>100</c:v>
                </c:pt>
                <c:pt idx="442">
                  <c:v>125</c:v>
                </c:pt>
                <c:pt idx="443">
                  <c:v>100</c:v>
                </c:pt>
                <c:pt idx="444">
                  <c:v>125</c:v>
                </c:pt>
                <c:pt idx="445">
                  <c:v>125</c:v>
                </c:pt>
                <c:pt idx="446">
                  <c:v>71.428571428571431</c:v>
                </c:pt>
                <c:pt idx="447">
                  <c:v>71.428571428571431</c:v>
                </c:pt>
                <c:pt idx="448">
                  <c:v>71.428571428571431</c:v>
                </c:pt>
                <c:pt idx="449">
                  <c:v>71.428571428571431</c:v>
                </c:pt>
                <c:pt idx="450">
                  <c:v>125</c:v>
                </c:pt>
                <c:pt idx="451">
                  <c:v>125</c:v>
                </c:pt>
                <c:pt idx="452">
                  <c:v>125</c:v>
                </c:pt>
                <c:pt idx="453">
                  <c:v>125</c:v>
                </c:pt>
                <c:pt idx="454">
                  <c:v>62.5</c:v>
                </c:pt>
                <c:pt idx="455">
                  <c:v>62.5</c:v>
                </c:pt>
                <c:pt idx="456">
                  <c:v>125</c:v>
                </c:pt>
                <c:pt idx="457">
                  <c:v>100</c:v>
                </c:pt>
                <c:pt idx="458">
                  <c:v>93.75</c:v>
                </c:pt>
                <c:pt idx="459">
                  <c:v>125</c:v>
                </c:pt>
                <c:pt idx="460">
                  <c:v>83.333333333333329</c:v>
                </c:pt>
                <c:pt idx="461">
                  <c:v>125</c:v>
                </c:pt>
                <c:pt idx="462">
                  <c:v>83.333333333333329</c:v>
                </c:pt>
                <c:pt idx="463">
                  <c:v>71.428571428571431</c:v>
                </c:pt>
                <c:pt idx="464">
                  <c:v>125</c:v>
                </c:pt>
                <c:pt idx="465">
                  <c:v>125</c:v>
                </c:pt>
                <c:pt idx="466">
                  <c:v>166.66666666666666</c:v>
                </c:pt>
                <c:pt idx="467">
                  <c:v>100</c:v>
                </c:pt>
                <c:pt idx="468">
                  <c:v>125</c:v>
                </c:pt>
                <c:pt idx="469">
                  <c:v>125</c:v>
                </c:pt>
                <c:pt idx="470">
                  <c:v>60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125</c:v>
                </c:pt>
                <c:pt idx="506">
                  <c:v>71.428571428571431</c:v>
                </c:pt>
                <c:pt idx="507">
                  <c:v>100</c:v>
                </c:pt>
                <c:pt idx="508">
                  <c:v>100</c:v>
                </c:pt>
                <c:pt idx="509">
                  <c:v>50</c:v>
                </c:pt>
                <c:pt idx="510">
                  <c:v>125</c:v>
                </c:pt>
                <c:pt idx="511">
                  <c:v>50</c:v>
                </c:pt>
                <c:pt idx="512">
                  <c:v>50</c:v>
                </c:pt>
                <c:pt idx="513">
                  <c:v>125</c:v>
                </c:pt>
                <c:pt idx="514">
                  <c:v>100</c:v>
                </c:pt>
                <c:pt idx="515">
                  <c:v>50</c:v>
                </c:pt>
                <c:pt idx="516">
                  <c:v>50</c:v>
                </c:pt>
                <c:pt idx="517">
                  <c:v>125</c:v>
                </c:pt>
                <c:pt idx="518">
                  <c:v>100</c:v>
                </c:pt>
                <c:pt idx="519">
                  <c:v>125</c:v>
                </c:pt>
                <c:pt idx="520">
                  <c:v>166.66666666666666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125</c:v>
                </c:pt>
                <c:pt idx="529">
                  <c:v>125</c:v>
                </c:pt>
                <c:pt idx="530">
                  <c:v>100</c:v>
                </c:pt>
                <c:pt idx="531">
                  <c:v>166.66666666666666</c:v>
                </c:pt>
                <c:pt idx="532">
                  <c:v>100</c:v>
                </c:pt>
                <c:pt idx="533">
                  <c:v>125</c:v>
                </c:pt>
                <c:pt idx="534">
                  <c:v>125</c:v>
                </c:pt>
                <c:pt idx="535">
                  <c:v>50</c:v>
                </c:pt>
                <c:pt idx="536">
                  <c:v>166.66666666666666</c:v>
                </c:pt>
                <c:pt idx="537">
                  <c:v>100</c:v>
                </c:pt>
                <c:pt idx="538">
                  <c:v>62.5</c:v>
                </c:pt>
                <c:pt idx="539">
                  <c:v>125</c:v>
                </c:pt>
                <c:pt idx="540">
                  <c:v>125</c:v>
                </c:pt>
                <c:pt idx="541">
                  <c:v>125</c:v>
                </c:pt>
                <c:pt idx="542">
                  <c:v>125</c:v>
                </c:pt>
                <c:pt idx="543">
                  <c:v>125</c:v>
                </c:pt>
                <c:pt idx="544">
                  <c:v>125</c:v>
                </c:pt>
                <c:pt idx="545">
                  <c:v>125</c:v>
                </c:pt>
                <c:pt idx="546">
                  <c:v>125</c:v>
                </c:pt>
                <c:pt idx="547">
                  <c:v>100</c:v>
                </c:pt>
                <c:pt idx="548">
                  <c:v>125</c:v>
                </c:pt>
                <c:pt idx="549">
                  <c:v>125</c:v>
                </c:pt>
                <c:pt idx="550">
                  <c:v>125</c:v>
                </c:pt>
                <c:pt idx="551">
                  <c:v>125</c:v>
                </c:pt>
                <c:pt idx="552">
                  <c:v>125</c:v>
                </c:pt>
                <c:pt idx="553">
                  <c:v>100</c:v>
                </c:pt>
                <c:pt idx="554">
                  <c:v>125</c:v>
                </c:pt>
                <c:pt idx="555">
                  <c:v>125</c:v>
                </c:pt>
                <c:pt idx="556">
                  <c:v>83.333333333333329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50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125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125</c:v>
                </c:pt>
                <c:pt idx="570">
                  <c:v>166.66666666666666</c:v>
                </c:pt>
                <c:pt idx="571">
                  <c:v>100</c:v>
                </c:pt>
                <c:pt idx="572">
                  <c:v>50</c:v>
                </c:pt>
                <c:pt idx="573">
                  <c:v>100</c:v>
                </c:pt>
                <c:pt idx="574">
                  <c:v>125</c:v>
                </c:pt>
                <c:pt idx="575">
                  <c:v>62.5</c:v>
                </c:pt>
                <c:pt idx="576">
                  <c:v>100</c:v>
                </c:pt>
                <c:pt idx="577">
                  <c:v>50</c:v>
                </c:pt>
                <c:pt idx="578">
                  <c:v>50</c:v>
                </c:pt>
                <c:pt idx="579">
                  <c:v>100</c:v>
                </c:pt>
                <c:pt idx="580">
                  <c:v>166.66666666666666</c:v>
                </c:pt>
                <c:pt idx="581">
                  <c:v>125</c:v>
                </c:pt>
                <c:pt idx="582">
                  <c:v>125</c:v>
                </c:pt>
                <c:pt idx="583">
                  <c:v>33.333333333333336</c:v>
                </c:pt>
                <c:pt idx="584">
                  <c:v>65.536000000000001</c:v>
                </c:pt>
                <c:pt idx="585">
                  <c:v>25</c:v>
                </c:pt>
                <c:pt idx="586">
                  <c:v>20.000000000000004</c:v>
                </c:pt>
                <c:pt idx="587">
                  <c:v>19.999999999999996</c:v>
                </c:pt>
                <c:pt idx="588">
                  <c:v>14.999999999999998</c:v>
                </c:pt>
                <c:pt idx="589">
                  <c:v>21.666666666666664</c:v>
                </c:pt>
                <c:pt idx="590">
                  <c:v>16.666666666666668</c:v>
                </c:pt>
                <c:pt idx="591">
                  <c:v>20.000000000000004</c:v>
                </c:pt>
                <c:pt idx="592">
                  <c:v>20.000000000000004</c:v>
                </c:pt>
                <c:pt idx="593">
                  <c:v>55.000000000000014</c:v>
                </c:pt>
                <c:pt idx="594">
                  <c:v>29.999999999999982</c:v>
                </c:pt>
                <c:pt idx="595">
                  <c:v>100.0000000000001</c:v>
                </c:pt>
                <c:pt idx="596">
                  <c:v>162.50000000000009</c:v>
                </c:pt>
                <c:pt idx="597">
                  <c:v>19.999999999999929</c:v>
                </c:pt>
                <c:pt idx="598">
                  <c:v>10.000000000000053</c:v>
                </c:pt>
                <c:pt idx="599">
                  <c:v>22.499999999999964</c:v>
                </c:pt>
                <c:pt idx="600">
                  <c:v>112.50000000000027</c:v>
                </c:pt>
                <c:pt idx="601">
                  <c:v>128.57142857142838</c:v>
                </c:pt>
                <c:pt idx="602">
                  <c:v>80.000000000000071</c:v>
                </c:pt>
                <c:pt idx="603">
                  <c:v>83.333333333333329</c:v>
                </c:pt>
                <c:pt idx="604">
                  <c:v>22.500000000000053</c:v>
                </c:pt>
                <c:pt idx="605">
                  <c:v>100</c:v>
                </c:pt>
                <c:pt idx="606">
                  <c:v>29.999999999999982</c:v>
                </c:pt>
                <c:pt idx="607">
                  <c:v>14.999999999999947</c:v>
                </c:pt>
                <c:pt idx="608">
                  <c:v>12.5</c:v>
                </c:pt>
                <c:pt idx="609">
                  <c:v>15.000000000000034</c:v>
                </c:pt>
                <c:pt idx="610">
                  <c:v>50</c:v>
                </c:pt>
                <c:pt idx="611">
                  <c:v>32.500000000000014</c:v>
                </c:pt>
                <c:pt idx="612">
                  <c:v>39.99999999999995</c:v>
                </c:pt>
                <c:pt idx="613">
                  <c:v>129.16666666666671</c:v>
                </c:pt>
                <c:pt idx="614">
                  <c:v>266.66666666666691</c:v>
                </c:pt>
                <c:pt idx="615">
                  <c:v>199.9999999999998</c:v>
                </c:pt>
                <c:pt idx="616">
                  <c:v>320.00000000000028</c:v>
                </c:pt>
                <c:pt idx="617">
                  <c:v>150</c:v>
                </c:pt>
                <c:pt idx="618">
                  <c:v>191.66666666666643</c:v>
                </c:pt>
                <c:pt idx="619">
                  <c:v>200.00000000000017</c:v>
                </c:pt>
                <c:pt idx="620">
                  <c:v>125</c:v>
                </c:pt>
                <c:pt idx="621">
                  <c:v>145.83333333333334</c:v>
                </c:pt>
                <c:pt idx="622">
                  <c:v>138.88888888888889</c:v>
                </c:pt>
                <c:pt idx="623">
                  <c:v>316.66666666666646</c:v>
                </c:pt>
                <c:pt idx="624">
                  <c:v>100.00000000000009</c:v>
                </c:pt>
                <c:pt idx="625">
                  <c:v>79.166666666666302</c:v>
                </c:pt>
                <c:pt idx="626">
                  <c:v>136.36363636363637</c:v>
                </c:pt>
                <c:pt idx="627">
                  <c:v>95.454545454545851</c:v>
                </c:pt>
                <c:pt idx="628">
                  <c:v>121.42857142857112</c:v>
                </c:pt>
                <c:pt idx="629">
                  <c:v>144.44444444444491</c:v>
                </c:pt>
                <c:pt idx="630">
                  <c:v>92.857142857142662</c:v>
                </c:pt>
                <c:pt idx="631">
                  <c:v>99.999999999999844</c:v>
                </c:pt>
                <c:pt idx="632">
                  <c:v>157.14285714285734</c:v>
                </c:pt>
                <c:pt idx="633">
                  <c:v>143.74999999999983</c:v>
                </c:pt>
                <c:pt idx="634">
                  <c:v>134.61538461538461</c:v>
                </c:pt>
                <c:pt idx="635">
                  <c:v>35.000000000000142</c:v>
                </c:pt>
                <c:pt idx="636">
                  <c:v>32.499999999999929</c:v>
                </c:pt>
                <c:pt idx="637">
                  <c:v>12.5</c:v>
                </c:pt>
                <c:pt idx="638">
                  <c:v>66.66666666666643</c:v>
                </c:pt>
                <c:pt idx="639">
                  <c:v>116.66666666666714</c:v>
                </c:pt>
                <c:pt idx="640">
                  <c:v>34.999999999999787</c:v>
                </c:pt>
                <c:pt idx="641">
                  <c:v>128.57142857142838</c:v>
                </c:pt>
                <c:pt idx="642">
                  <c:v>30.000000000000068</c:v>
                </c:pt>
                <c:pt idx="643">
                  <c:v>116.66666666666714</c:v>
                </c:pt>
                <c:pt idx="644">
                  <c:v>139.99999999999915</c:v>
                </c:pt>
                <c:pt idx="645">
                  <c:v>120.00000000000027</c:v>
                </c:pt>
                <c:pt idx="646">
                  <c:v>91.666666666667382</c:v>
                </c:pt>
                <c:pt idx="647">
                  <c:v>32.499999999999929</c:v>
                </c:pt>
                <c:pt idx="648">
                  <c:v>116.66666666666595</c:v>
                </c:pt>
                <c:pt idx="649">
                  <c:v>30.000000000000068</c:v>
                </c:pt>
                <c:pt idx="650">
                  <c:v>140.00000000000057</c:v>
                </c:pt>
                <c:pt idx="651">
                  <c:v>60.000000000000135</c:v>
                </c:pt>
                <c:pt idx="652">
                  <c:v>56.666666666666288</c:v>
                </c:pt>
                <c:pt idx="653">
                  <c:v>118.75000000000036</c:v>
                </c:pt>
                <c:pt idx="654">
                  <c:v>91.666666666666785</c:v>
                </c:pt>
                <c:pt idx="655">
                  <c:v>149.99999999999977</c:v>
                </c:pt>
                <c:pt idx="656">
                  <c:v>129.99999999999972</c:v>
                </c:pt>
                <c:pt idx="657">
                  <c:v>83.333333333333329</c:v>
                </c:pt>
                <c:pt idx="658">
                  <c:v>55.000000000000071</c:v>
                </c:pt>
                <c:pt idx="659">
                  <c:v>50</c:v>
                </c:pt>
                <c:pt idx="660">
                  <c:v>67.000000000000171</c:v>
                </c:pt>
                <c:pt idx="661">
                  <c:v>250</c:v>
                </c:pt>
                <c:pt idx="662">
                  <c:v>87.500000000000355</c:v>
                </c:pt>
                <c:pt idx="663">
                  <c:v>14.999999999999858</c:v>
                </c:pt>
                <c:pt idx="664">
                  <c:v>118.74999999999946</c:v>
                </c:pt>
                <c:pt idx="665">
                  <c:v>55.000000000000433</c:v>
                </c:pt>
                <c:pt idx="666">
                  <c:v>119.99999999999886</c:v>
                </c:pt>
                <c:pt idx="667">
                  <c:v>77.272727272728048</c:v>
                </c:pt>
                <c:pt idx="668">
                  <c:v>29.999999999999716</c:v>
                </c:pt>
                <c:pt idx="669">
                  <c:v>187.5</c:v>
                </c:pt>
                <c:pt idx="670">
                  <c:v>190.00000000000057</c:v>
                </c:pt>
                <c:pt idx="671">
                  <c:v>221.42857142857105</c:v>
                </c:pt>
                <c:pt idx="672">
                  <c:v>307.50000000000102</c:v>
                </c:pt>
                <c:pt idx="673">
                  <c:v>472.50000000000011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50</c:v>
                </c:pt>
                <c:pt idx="678">
                  <c:v>109.99999999999996</c:v>
                </c:pt>
                <c:pt idx="679">
                  <c:v>66.666666666666728</c:v>
                </c:pt>
                <c:pt idx="680">
                  <c:v>88.888888888888857</c:v>
                </c:pt>
                <c:pt idx="681">
                  <c:v>100.00000000000004</c:v>
                </c:pt>
                <c:pt idx="682">
                  <c:v>157.49999999999997</c:v>
                </c:pt>
                <c:pt idx="683">
                  <c:v>189.99999999999994</c:v>
                </c:pt>
                <c:pt idx="684">
                  <c:v>90.000000000000028</c:v>
                </c:pt>
                <c:pt idx="685">
                  <c:v>100.00000000000004</c:v>
                </c:pt>
                <c:pt idx="686">
                  <c:v>79.999999999999716</c:v>
                </c:pt>
                <c:pt idx="687">
                  <c:v>100.00000000000023</c:v>
                </c:pt>
                <c:pt idx="688">
                  <c:v>128.57142857142838</c:v>
                </c:pt>
                <c:pt idx="689">
                  <c:v>170.00000000000011</c:v>
                </c:pt>
                <c:pt idx="690">
                  <c:v>69.999999999999929</c:v>
                </c:pt>
                <c:pt idx="691">
                  <c:v>83.999999999999986</c:v>
                </c:pt>
                <c:pt idx="692">
                  <c:v>83.333333333333329</c:v>
                </c:pt>
                <c:pt idx="693">
                  <c:v>61.000000000000036</c:v>
                </c:pt>
                <c:pt idx="694">
                  <c:v>127.99999999999987</c:v>
                </c:pt>
                <c:pt idx="695">
                  <c:v>78.666666666666885</c:v>
                </c:pt>
                <c:pt idx="696">
                  <c:v>75</c:v>
                </c:pt>
                <c:pt idx="697">
                  <c:v>163.6363636363634</c:v>
                </c:pt>
                <c:pt idx="698">
                  <c:v>50</c:v>
                </c:pt>
                <c:pt idx="699">
                  <c:v>160.83333333333331</c:v>
                </c:pt>
                <c:pt idx="700">
                  <c:v>15.000000000000034</c:v>
                </c:pt>
                <c:pt idx="701">
                  <c:v>34.999999999999964</c:v>
                </c:pt>
                <c:pt idx="702">
                  <c:v>59.999999999999964</c:v>
                </c:pt>
                <c:pt idx="703">
                  <c:v>60.526315789473792</c:v>
                </c:pt>
                <c:pt idx="704">
                  <c:v>142.85714285714286</c:v>
                </c:pt>
                <c:pt idx="705">
                  <c:v>144.44444444444431</c:v>
                </c:pt>
                <c:pt idx="706">
                  <c:v>51.999999999999957</c:v>
                </c:pt>
                <c:pt idx="707">
                  <c:v>80.000000000000327</c:v>
                </c:pt>
                <c:pt idx="708">
                  <c:v>30.000000000000068</c:v>
                </c:pt>
                <c:pt idx="709">
                  <c:v>17.500000000000071</c:v>
                </c:pt>
                <c:pt idx="710">
                  <c:v>68.181818181818187</c:v>
                </c:pt>
                <c:pt idx="711">
                  <c:v>59.999999999999908</c:v>
                </c:pt>
                <c:pt idx="712">
                  <c:v>44.999999999999929</c:v>
                </c:pt>
                <c:pt idx="713">
                  <c:v>39.999999999999858</c:v>
                </c:pt>
                <c:pt idx="714">
                  <c:v>32.500000000000284</c:v>
                </c:pt>
                <c:pt idx="715">
                  <c:v>99.999999999999389</c:v>
                </c:pt>
                <c:pt idx="716">
                  <c:v>39.999999999999858</c:v>
                </c:pt>
                <c:pt idx="717">
                  <c:v>40.000000000000213</c:v>
                </c:pt>
                <c:pt idx="718">
                  <c:v>100</c:v>
                </c:pt>
                <c:pt idx="719">
                  <c:v>75</c:v>
                </c:pt>
                <c:pt idx="720">
                  <c:v>44.999999999999929</c:v>
                </c:pt>
                <c:pt idx="721">
                  <c:v>30.000000000000068</c:v>
                </c:pt>
                <c:pt idx="722">
                  <c:v>100</c:v>
                </c:pt>
                <c:pt idx="723">
                  <c:v>53.333333333333144</c:v>
                </c:pt>
                <c:pt idx="724">
                  <c:v>56.666666666666757</c:v>
                </c:pt>
                <c:pt idx="725">
                  <c:v>36.66666666666648</c:v>
                </c:pt>
                <c:pt idx="726">
                  <c:v>46.666666666666856</c:v>
                </c:pt>
                <c:pt idx="727">
                  <c:v>143.74999999999983</c:v>
                </c:pt>
                <c:pt idx="728">
                  <c:v>135.99999999999994</c:v>
                </c:pt>
                <c:pt idx="729">
                  <c:v>131.25000000000054</c:v>
                </c:pt>
                <c:pt idx="730">
                  <c:v>89.999999999999858</c:v>
                </c:pt>
                <c:pt idx="731">
                  <c:v>125</c:v>
                </c:pt>
                <c:pt idx="732">
                  <c:v>19.999999999999929</c:v>
                </c:pt>
                <c:pt idx="733">
                  <c:v>25</c:v>
                </c:pt>
                <c:pt idx="734">
                  <c:v>116.66666666666636</c:v>
                </c:pt>
                <c:pt idx="735">
                  <c:v>5.0000000000000711</c:v>
                </c:pt>
                <c:pt idx="736">
                  <c:v>19.999999999999929</c:v>
                </c:pt>
                <c:pt idx="737">
                  <c:v>53.33333333333362</c:v>
                </c:pt>
                <c:pt idx="738">
                  <c:v>59.999999999999787</c:v>
                </c:pt>
                <c:pt idx="739">
                  <c:v>100</c:v>
                </c:pt>
                <c:pt idx="740">
                  <c:v>65.000000000000213</c:v>
                </c:pt>
                <c:pt idx="741">
                  <c:v>117.64705882352941</c:v>
                </c:pt>
                <c:pt idx="742">
                  <c:v>181.81818181818181</c:v>
                </c:pt>
                <c:pt idx="743">
                  <c:v>139.99999999999963</c:v>
                </c:pt>
                <c:pt idx="744">
                  <c:v>142.85714285714286</c:v>
                </c:pt>
                <c:pt idx="745">
                  <c:v>50</c:v>
                </c:pt>
                <c:pt idx="746">
                  <c:v>100</c:v>
                </c:pt>
                <c:pt idx="747">
                  <c:v>95.000000000000284</c:v>
                </c:pt>
                <c:pt idx="748">
                  <c:v>80.000000000000185</c:v>
                </c:pt>
                <c:pt idx="749">
                  <c:v>35.000000000000142</c:v>
                </c:pt>
                <c:pt idx="750">
                  <c:v>79.999999999999247</c:v>
                </c:pt>
                <c:pt idx="751">
                  <c:v>80.000000000000185</c:v>
                </c:pt>
                <c:pt idx="752">
                  <c:v>46.000000000000085</c:v>
                </c:pt>
                <c:pt idx="753">
                  <c:v>30</c:v>
                </c:pt>
                <c:pt idx="754">
                  <c:v>30</c:v>
                </c:pt>
                <c:pt idx="755">
                  <c:v>30.000000000000007</c:v>
                </c:pt>
                <c:pt idx="756">
                  <c:v>35</c:v>
                </c:pt>
                <c:pt idx="757">
                  <c:v>32.499999999999993</c:v>
                </c:pt>
                <c:pt idx="758">
                  <c:v>44.999999999999993</c:v>
                </c:pt>
                <c:pt idx="759">
                  <c:v>64.999999999999986</c:v>
                </c:pt>
                <c:pt idx="760">
                  <c:v>45.000000000000014</c:v>
                </c:pt>
                <c:pt idx="761">
                  <c:v>140.00000000000006</c:v>
                </c:pt>
                <c:pt idx="762">
                  <c:v>50</c:v>
                </c:pt>
                <c:pt idx="763">
                  <c:v>187.5</c:v>
                </c:pt>
                <c:pt idx="764">
                  <c:v>150.00000000000003</c:v>
                </c:pt>
                <c:pt idx="765">
                  <c:v>25</c:v>
                </c:pt>
                <c:pt idx="766">
                  <c:v>169.99999999999994</c:v>
                </c:pt>
                <c:pt idx="767">
                  <c:v>100</c:v>
                </c:pt>
                <c:pt idx="768">
                  <c:v>120.00000000000004</c:v>
                </c:pt>
                <c:pt idx="769">
                  <c:v>112.49999999999983</c:v>
                </c:pt>
                <c:pt idx="770">
                  <c:v>114.28571428571438</c:v>
                </c:pt>
                <c:pt idx="771">
                  <c:v>37.500000000000085</c:v>
                </c:pt>
                <c:pt idx="772">
                  <c:v>49.999999999999822</c:v>
                </c:pt>
                <c:pt idx="773">
                  <c:v>35.000000000000142</c:v>
                </c:pt>
                <c:pt idx="774">
                  <c:v>112.49999999999983</c:v>
                </c:pt>
                <c:pt idx="775">
                  <c:v>166.66666666666666</c:v>
                </c:pt>
                <c:pt idx="776">
                  <c:v>66.66666666666643</c:v>
                </c:pt>
                <c:pt idx="777">
                  <c:v>137.50000000000017</c:v>
                </c:pt>
                <c:pt idx="778">
                  <c:v>85.000000000000142</c:v>
                </c:pt>
                <c:pt idx="779">
                  <c:v>34.999999999999787</c:v>
                </c:pt>
                <c:pt idx="780">
                  <c:v>40.000000000000213</c:v>
                </c:pt>
                <c:pt idx="781">
                  <c:v>52.500000000000036</c:v>
                </c:pt>
                <c:pt idx="782">
                  <c:v>77.7777777777777</c:v>
                </c:pt>
                <c:pt idx="783">
                  <c:v>33.333333333333336</c:v>
                </c:pt>
                <c:pt idx="784">
                  <c:v>36.666666666666714</c:v>
                </c:pt>
                <c:pt idx="785">
                  <c:v>20.000000000000046</c:v>
                </c:pt>
                <c:pt idx="786">
                  <c:v>30.000000000000068</c:v>
                </c:pt>
                <c:pt idx="787">
                  <c:v>43.74999999999973</c:v>
                </c:pt>
                <c:pt idx="788">
                  <c:v>42.857142857142954</c:v>
                </c:pt>
                <c:pt idx="789">
                  <c:v>133.33333333333286</c:v>
                </c:pt>
                <c:pt idx="790">
                  <c:v>57.142857142857451</c:v>
                </c:pt>
                <c:pt idx="791">
                  <c:v>72.222222222222072</c:v>
                </c:pt>
                <c:pt idx="792">
                  <c:v>137.50000000000017</c:v>
                </c:pt>
                <c:pt idx="793">
                  <c:v>120.00000000000027</c:v>
                </c:pt>
                <c:pt idx="794">
                  <c:v>159.99999999999943</c:v>
                </c:pt>
                <c:pt idx="795">
                  <c:v>92.85714285714316</c:v>
                </c:pt>
                <c:pt idx="796">
                  <c:v>77.7777777777777</c:v>
                </c:pt>
                <c:pt idx="797">
                  <c:v>66.666666666666814</c:v>
                </c:pt>
                <c:pt idx="798">
                  <c:v>100</c:v>
                </c:pt>
                <c:pt idx="799">
                  <c:v>59.999999999999432</c:v>
                </c:pt>
                <c:pt idx="800">
                  <c:v>105.55555555555587</c:v>
                </c:pt>
                <c:pt idx="801">
                  <c:v>120.00000000000027</c:v>
                </c:pt>
                <c:pt idx="802">
                  <c:v>62.5</c:v>
                </c:pt>
                <c:pt idx="803">
                  <c:v>94.444444444443818</c:v>
                </c:pt>
                <c:pt idx="804">
                  <c:v>66.666666666667027</c:v>
                </c:pt>
                <c:pt idx="805">
                  <c:v>162.49999999999966</c:v>
                </c:pt>
                <c:pt idx="806">
                  <c:v>107.69230769230759</c:v>
                </c:pt>
                <c:pt idx="807">
                  <c:v>64.999999999999858</c:v>
                </c:pt>
                <c:pt idx="808">
                  <c:v>80.000000000000426</c:v>
                </c:pt>
                <c:pt idx="809">
                  <c:v>94.999999999999929</c:v>
                </c:pt>
                <c:pt idx="810">
                  <c:v>66.666666666666671</c:v>
                </c:pt>
                <c:pt idx="811">
                  <c:v>89.999999999999858</c:v>
                </c:pt>
                <c:pt idx="812">
                  <c:v>125</c:v>
                </c:pt>
                <c:pt idx="813">
                  <c:v>100.00000000000041</c:v>
                </c:pt>
                <c:pt idx="814">
                  <c:v>100.00000000000023</c:v>
                </c:pt>
                <c:pt idx="815">
                  <c:v>79.999999999999716</c:v>
                </c:pt>
                <c:pt idx="816">
                  <c:v>40.000000000000213</c:v>
                </c:pt>
                <c:pt idx="817">
                  <c:v>135.71428571428561</c:v>
                </c:pt>
                <c:pt idx="818">
                  <c:v>187.5</c:v>
                </c:pt>
                <c:pt idx="819">
                  <c:v>119.99999999999957</c:v>
                </c:pt>
                <c:pt idx="820">
                  <c:v>55.555555555555557</c:v>
                </c:pt>
                <c:pt idx="821">
                  <c:v>171.42857142857181</c:v>
                </c:pt>
                <c:pt idx="822">
                  <c:v>120.00000000000027</c:v>
                </c:pt>
                <c:pt idx="823">
                  <c:v>77.777777777777303</c:v>
                </c:pt>
                <c:pt idx="824">
                  <c:v>125</c:v>
                </c:pt>
                <c:pt idx="825">
                  <c:v>112.50000000000071</c:v>
                </c:pt>
                <c:pt idx="826">
                  <c:v>109.99999999999943</c:v>
                </c:pt>
                <c:pt idx="827">
                  <c:v>62.5</c:v>
                </c:pt>
                <c:pt idx="828">
                  <c:v>63.636363636363896</c:v>
                </c:pt>
                <c:pt idx="829">
                  <c:v>116.66666666666595</c:v>
                </c:pt>
                <c:pt idx="830">
                  <c:v>150</c:v>
                </c:pt>
                <c:pt idx="831">
                  <c:v>92.857142857143671</c:v>
                </c:pt>
                <c:pt idx="832">
                  <c:v>108.3333333333331</c:v>
                </c:pt>
                <c:pt idx="833">
                  <c:v>86.363636363636616</c:v>
                </c:pt>
                <c:pt idx="834">
                  <c:v>142.85714285714286</c:v>
                </c:pt>
                <c:pt idx="835">
                  <c:v>199.99999999999574</c:v>
                </c:pt>
                <c:pt idx="836">
                  <c:v>157.14285714285839</c:v>
                </c:pt>
                <c:pt idx="837">
                  <c:v>75.000000000000171</c:v>
                </c:pt>
                <c:pt idx="838">
                  <c:v>200</c:v>
                </c:pt>
                <c:pt idx="839">
                  <c:v>285.71428571428572</c:v>
                </c:pt>
                <c:pt idx="840">
                  <c:v>181.81818181818181</c:v>
                </c:pt>
                <c:pt idx="841">
                  <c:v>139.99999999999963</c:v>
                </c:pt>
                <c:pt idx="842">
                  <c:v>158.3333333333338</c:v>
                </c:pt>
                <c:pt idx="843">
                  <c:v>40</c:v>
                </c:pt>
                <c:pt idx="844">
                  <c:v>54.999999999999986</c:v>
                </c:pt>
                <c:pt idx="845">
                  <c:v>35.000000000000014</c:v>
                </c:pt>
                <c:pt idx="846">
                  <c:v>50</c:v>
                </c:pt>
                <c:pt idx="847">
                  <c:v>49.999999999999979</c:v>
                </c:pt>
                <c:pt idx="848">
                  <c:v>40.000000000000036</c:v>
                </c:pt>
                <c:pt idx="849">
                  <c:v>159.99999999999994</c:v>
                </c:pt>
                <c:pt idx="850">
                  <c:v>109.99999999999996</c:v>
                </c:pt>
                <c:pt idx="851">
                  <c:v>61.111111111111086</c:v>
                </c:pt>
                <c:pt idx="852">
                  <c:v>62.5</c:v>
                </c:pt>
                <c:pt idx="853">
                  <c:v>99.999999999999943</c:v>
                </c:pt>
                <c:pt idx="854">
                  <c:v>116.66666666666656</c:v>
                </c:pt>
                <c:pt idx="855">
                  <c:v>150</c:v>
                </c:pt>
                <c:pt idx="856">
                  <c:v>144.44444444444451</c:v>
                </c:pt>
                <c:pt idx="857">
                  <c:v>88.888888888888971</c:v>
                </c:pt>
                <c:pt idx="858">
                  <c:v>120.5882352941176</c:v>
                </c:pt>
                <c:pt idx="859">
                  <c:v>50.000000000000114</c:v>
                </c:pt>
                <c:pt idx="860">
                  <c:v>59.999999999999787</c:v>
                </c:pt>
                <c:pt idx="861">
                  <c:v>85.000000000000142</c:v>
                </c:pt>
                <c:pt idx="862">
                  <c:v>29.999999999999893</c:v>
                </c:pt>
                <c:pt idx="863">
                  <c:v>119.99999999999993</c:v>
                </c:pt>
                <c:pt idx="864">
                  <c:v>41.666666666666664</c:v>
                </c:pt>
                <c:pt idx="865">
                  <c:v>50.000000000000114</c:v>
                </c:pt>
                <c:pt idx="866">
                  <c:v>70.000000000000284</c:v>
                </c:pt>
                <c:pt idx="867">
                  <c:v>75</c:v>
                </c:pt>
                <c:pt idx="868">
                  <c:v>75</c:v>
                </c:pt>
                <c:pt idx="869">
                  <c:v>89.999999999999858</c:v>
                </c:pt>
                <c:pt idx="870">
                  <c:v>160.00000000000014</c:v>
                </c:pt>
                <c:pt idx="871">
                  <c:v>139.99999999999986</c:v>
                </c:pt>
                <c:pt idx="872">
                  <c:v>109.09090909090902</c:v>
                </c:pt>
                <c:pt idx="873">
                  <c:v>125</c:v>
                </c:pt>
                <c:pt idx="874">
                  <c:v>250</c:v>
                </c:pt>
                <c:pt idx="875">
                  <c:v>233.33333333333348</c:v>
                </c:pt>
                <c:pt idx="876">
                  <c:v>181.81818181818181</c:v>
                </c:pt>
                <c:pt idx="877">
                  <c:v>161.53846153846138</c:v>
                </c:pt>
                <c:pt idx="878">
                  <c:v>222.22222222222223</c:v>
                </c:pt>
                <c:pt idx="879">
                  <c:v>161.53846153846163</c:v>
                </c:pt>
                <c:pt idx="880">
                  <c:v>179.16666666666654</c:v>
                </c:pt>
                <c:pt idx="881">
                  <c:v>154.16666666666677</c:v>
                </c:pt>
                <c:pt idx="882">
                  <c:v>130</c:v>
                </c:pt>
                <c:pt idx="883">
                  <c:v>36.666666666666664</c:v>
                </c:pt>
                <c:pt idx="884">
                  <c:v>75.000000000000028</c:v>
                </c:pt>
                <c:pt idx="885">
                  <c:v>87.499999999999986</c:v>
                </c:pt>
                <c:pt idx="886">
                  <c:v>83.999999999999986</c:v>
                </c:pt>
                <c:pt idx="887">
                  <c:v>126.6666666666667</c:v>
                </c:pt>
                <c:pt idx="888">
                  <c:v>142.85714285714286</c:v>
                </c:pt>
                <c:pt idx="889">
                  <c:v>119.99999999999993</c:v>
                </c:pt>
                <c:pt idx="890">
                  <c:v>110.00000000000014</c:v>
                </c:pt>
                <c:pt idx="891">
                  <c:v>69.999999999999929</c:v>
                </c:pt>
                <c:pt idx="892">
                  <c:v>130.00000000000006</c:v>
                </c:pt>
                <c:pt idx="893">
                  <c:v>190.90909090909071</c:v>
                </c:pt>
                <c:pt idx="894">
                  <c:v>133.33333333333334</c:v>
                </c:pt>
                <c:pt idx="895">
                  <c:v>79.166666666666757</c:v>
                </c:pt>
                <c:pt idx="896">
                  <c:v>87.499999999999915</c:v>
                </c:pt>
                <c:pt idx="897">
                  <c:v>86.666666666666714</c:v>
                </c:pt>
                <c:pt idx="898">
                  <c:v>333.33333333333331</c:v>
                </c:pt>
                <c:pt idx="899">
                  <c:v>213.33333333333314</c:v>
                </c:pt>
                <c:pt idx="900">
                  <c:v>73.333333333333428</c:v>
                </c:pt>
                <c:pt idx="901">
                  <c:v>65.000000000000028</c:v>
                </c:pt>
                <c:pt idx="902">
                  <c:v>70.588235294117609</c:v>
                </c:pt>
                <c:pt idx="903">
                  <c:v>107.22222222222221</c:v>
                </c:pt>
                <c:pt idx="904">
                  <c:v>619.9999999999992</c:v>
                </c:pt>
                <c:pt idx="905">
                  <c:v>197.85714285714283</c:v>
                </c:pt>
                <c:pt idx="906">
                  <c:v>200</c:v>
                </c:pt>
                <c:pt idx="907">
                  <c:v>406.66666666666629</c:v>
                </c:pt>
                <c:pt idx="908">
                  <c:v>224.4444444444448</c:v>
                </c:pt>
                <c:pt idx="909">
                  <c:v>35</c:v>
                </c:pt>
                <c:pt idx="910">
                  <c:v>35</c:v>
                </c:pt>
                <c:pt idx="911">
                  <c:v>35.000000000000014</c:v>
                </c:pt>
                <c:pt idx="912">
                  <c:v>46.66666666666665</c:v>
                </c:pt>
                <c:pt idx="913">
                  <c:v>25.000000000000021</c:v>
                </c:pt>
                <c:pt idx="914">
                  <c:v>59.999999999999964</c:v>
                </c:pt>
                <c:pt idx="915">
                  <c:v>53.333333333333321</c:v>
                </c:pt>
                <c:pt idx="916">
                  <c:v>100.00000000000004</c:v>
                </c:pt>
                <c:pt idx="917">
                  <c:v>87.500000000000028</c:v>
                </c:pt>
                <c:pt idx="918">
                  <c:v>162.49999999999986</c:v>
                </c:pt>
                <c:pt idx="919">
                  <c:v>133.33333333333334</c:v>
                </c:pt>
                <c:pt idx="920">
                  <c:v>116.6666666666667</c:v>
                </c:pt>
                <c:pt idx="921">
                  <c:v>128.57142857142861</c:v>
                </c:pt>
                <c:pt idx="922">
                  <c:v>100</c:v>
                </c:pt>
                <c:pt idx="923">
                  <c:v>69.444444444444343</c:v>
                </c:pt>
                <c:pt idx="924">
                  <c:v>140.90909090909096</c:v>
                </c:pt>
                <c:pt idx="925">
                  <c:v>99.999999999999943</c:v>
                </c:pt>
                <c:pt idx="926">
                  <c:v>71.428571428571431</c:v>
                </c:pt>
                <c:pt idx="927">
                  <c:v>82.352941176470708</c:v>
                </c:pt>
                <c:pt idx="928">
                  <c:v>92.857142857142662</c:v>
                </c:pt>
                <c:pt idx="929">
                  <c:v>71.428571428571431</c:v>
                </c:pt>
                <c:pt idx="930">
                  <c:v>59.999999999999964</c:v>
                </c:pt>
                <c:pt idx="931">
                  <c:v>121.42857142857163</c:v>
                </c:pt>
                <c:pt idx="932">
                  <c:v>90.909090909090907</c:v>
                </c:pt>
                <c:pt idx="933">
                  <c:v>111.11111111111111</c:v>
                </c:pt>
                <c:pt idx="934">
                  <c:v>60.000000000000135</c:v>
                </c:pt>
                <c:pt idx="935">
                  <c:v>88.888888888888573</c:v>
                </c:pt>
                <c:pt idx="936">
                  <c:v>73.333333333333428</c:v>
                </c:pt>
                <c:pt idx="937">
                  <c:v>111.11111111111111</c:v>
                </c:pt>
                <c:pt idx="938">
                  <c:v>78.571428571428669</c:v>
                </c:pt>
                <c:pt idx="939">
                  <c:v>106.24999999999973</c:v>
                </c:pt>
                <c:pt idx="940">
                  <c:v>85.714285714285907</c:v>
                </c:pt>
                <c:pt idx="941">
                  <c:v>133.33333333333363</c:v>
                </c:pt>
                <c:pt idx="942">
                  <c:v>185.71428571428532</c:v>
                </c:pt>
                <c:pt idx="943">
                  <c:v>222.22222222222223</c:v>
                </c:pt>
                <c:pt idx="944">
                  <c:v>206.24999999999983</c:v>
                </c:pt>
                <c:pt idx="945">
                  <c:v>275</c:v>
                </c:pt>
                <c:pt idx="946">
                  <c:v>200</c:v>
                </c:pt>
                <c:pt idx="947">
                  <c:v>155.55555555555554</c:v>
                </c:pt>
                <c:pt idx="948">
                  <c:v>71.428571428571431</c:v>
                </c:pt>
                <c:pt idx="949">
                  <c:v>100.00000000000003</c:v>
                </c:pt>
                <c:pt idx="950">
                  <c:v>149.99999999999991</c:v>
                </c:pt>
                <c:pt idx="951">
                  <c:v>166.66666666666666</c:v>
                </c:pt>
                <c:pt idx="952">
                  <c:v>133.33333333333329</c:v>
                </c:pt>
                <c:pt idx="953">
                  <c:v>96.15384615384616</c:v>
                </c:pt>
                <c:pt idx="954">
                  <c:v>316.66666666666674</c:v>
                </c:pt>
                <c:pt idx="955">
                  <c:v>155.5555555555556</c:v>
                </c:pt>
                <c:pt idx="956">
                  <c:v>150.00000000000006</c:v>
                </c:pt>
                <c:pt idx="957">
                  <c:v>175.00000000000006</c:v>
                </c:pt>
                <c:pt idx="958">
                  <c:v>193.75000000000009</c:v>
                </c:pt>
                <c:pt idx="959">
                  <c:v>155.5555555555554</c:v>
                </c:pt>
                <c:pt idx="960">
                  <c:v>189.99999999999986</c:v>
                </c:pt>
                <c:pt idx="961">
                  <c:v>170.00000000000028</c:v>
                </c:pt>
                <c:pt idx="962">
                  <c:v>139.99999999999986</c:v>
                </c:pt>
                <c:pt idx="963">
                  <c:v>169.99999999999994</c:v>
                </c:pt>
                <c:pt idx="964">
                  <c:v>300.00000000000011</c:v>
                </c:pt>
                <c:pt idx="965">
                  <c:v>260.00000000000011</c:v>
                </c:pt>
                <c:pt idx="966">
                  <c:v>99.999999999999872</c:v>
                </c:pt>
                <c:pt idx="967">
                  <c:v>88.461538461538623</c:v>
                </c:pt>
                <c:pt idx="968">
                  <c:v>52.631578947368418</c:v>
                </c:pt>
                <c:pt idx="969">
                  <c:v>80.769230769230816</c:v>
                </c:pt>
                <c:pt idx="970">
                  <c:v>66.66666666666643</c:v>
                </c:pt>
                <c:pt idx="971">
                  <c:v>91.666666666666785</c:v>
                </c:pt>
                <c:pt idx="972">
                  <c:v>118.74999999999991</c:v>
                </c:pt>
                <c:pt idx="973">
                  <c:v>112.50000000000011</c:v>
                </c:pt>
                <c:pt idx="974">
                  <c:v>300.00000000000017</c:v>
                </c:pt>
                <c:pt idx="975">
                  <c:v>146.15384615384605</c:v>
                </c:pt>
                <c:pt idx="976">
                  <c:v>139.99999999999915</c:v>
                </c:pt>
                <c:pt idx="977">
                  <c:v>46.666666666666664</c:v>
                </c:pt>
                <c:pt idx="978">
                  <c:v>46.666666666666664</c:v>
                </c:pt>
                <c:pt idx="979">
                  <c:v>46.666666666666679</c:v>
                </c:pt>
                <c:pt idx="980">
                  <c:v>46.66666666666665</c:v>
                </c:pt>
                <c:pt idx="981">
                  <c:v>107.69230769230772</c:v>
                </c:pt>
                <c:pt idx="982">
                  <c:v>46.666666666666679</c:v>
                </c:pt>
                <c:pt idx="983">
                  <c:v>63.636363636363576</c:v>
                </c:pt>
                <c:pt idx="984">
                  <c:v>128.57142857142861</c:v>
                </c:pt>
                <c:pt idx="985">
                  <c:v>120.00000000000003</c:v>
                </c:pt>
                <c:pt idx="986">
                  <c:v>166.66666666666657</c:v>
                </c:pt>
                <c:pt idx="987">
                  <c:v>200</c:v>
                </c:pt>
                <c:pt idx="988">
                  <c:v>138.88888888888889</c:v>
                </c:pt>
                <c:pt idx="989">
                  <c:v>214.28571428571428</c:v>
                </c:pt>
                <c:pt idx="990">
                  <c:v>123.07692307692318</c:v>
                </c:pt>
                <c:pt idx="991">
                  <c:v>57.499999999999929</c:v>
                </c:pt>
                <c:pt idx="992">
                  <c:v>28.571428571428637</c:v>
                </c:pt>
                <c:pt idx="993">
                  <c:v>71.428571428571431</c:v>
                </c:pt>
                <c:pt idx="994">
                  <c:v>99.999999999999815</c:v>
                </c:pt>
                <c:pt idx="995">
                  <c:v>26.470588235294287</c:v>
                </c:pt>
                <c:pt idx="996">
                  <c:v>77.7777777777777</c:v>
                </c:pt>
                <c:pt idx="997">
                  <c:v>76.92307692307692</c:v>
                </c:pt>
                <c:pt idx="998">
                  <c:v>61.53846153846159</c:v>
                </c:pt>
                <c:pt idx="999">
                  <c:v>49.999999999999524</c:v>
                </c:pt>
                <c:pt idx="1000">
                  <c:v>100.00000000000023</c:v>
                </c:pt>
                <c:pt idx="1001">
                  <c:v>59.999999999999964</c:v>
                </c:pt>
                <c:pt idx="1002">
                  <c:v>133.33333333333346</c:v>
                </c:pt>
                <c:pt idx="1003">
                  <c:v>170.00000000000028</c:v>
                </c:pt>
                <c:pt idx="1004">
                  <c:v>81.249999999999829</c:v>
                </c:pt>
                <c:pt idx="1005">
                  <c:v>128.57142857142887</c:v>
                </c:pt>
                <c:pt idx="1006">
                  <c:v>149.99999999999977</c:v>
                </c:pt>
                <c:pt idx="1007">
                  <c:v>108.33333333333339</c:v>
                </c:pt>
                <c:pt idx="1008">
                  <c:v>78.571428571428427</c:v>
                </c:pt>
                <c:pt idx="1009">
                  <c:v>188.8888888888892</c:v>
                </c:pt>
                <c:pt idx="1010">
                  <c:v>79.999999999999716</c:v>
                </c:pt>
                <c:pt idx="1011">
                  <c:v>108.33333333333428</c:v>
                </c:pt>
                <c:pt idx="1012">
                  <c:v>200</c:v>
                </c:pt>
                <c:pt idx="1013">
                  <c:v>181.81818181818181</c:v>
                </c:pt>
                <c:pt idx="1014">
                  <c:v>100</c:v>
                </c:pt>
                <c:pt idx="1015">
                  <c:v>250</c:v>
                </c:pt>
                <c:pt idx="1016">
                  <c:v>125</c:v>
                </c:pt>
              </c:numCache>
            </c:numRef>
          </c:xVal>
          <c:yVal>
            <c:numRef>
              <c:f>'2. Logging Brejo Seco'!$V$3:$V$1019</c:f>
              <c:numCache>
                <c:formatCode>0</c:formatCode>
                <c:ptCount val="1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100</c:v>
                </c:pt>
                <c:pt idx="8">
                  <c:v>0</c:v>
                </c:pt>
                <c:pt idx="9">
                  <c:v>60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22</c:v>
                </c:pt>
                <c:pt idx="14">
                  <c:v>42.000000000000007</c:v>
                </c:pt>
                <c:pt idx="15">
                  <c:v>56.000000000000007</c:v>
                </c:pt>
                <c:pt idx="16">
                  <c:v>62</c:v>
                </c:pt>
                <c:pt idx="17">
                  <c:v>32</c:v>
                </c:pt>
                <c:pt idx="18">
                  <c:v>42</c:v>
                </c:pt>
                <c:pt idx="19">
                  <c:v>50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32</c:v>
                </c:pt>
                <c:pt idx="24">
                  <c:v>38</c:v>
                </c:pt>
                <c:pt idx="25">
                  <c:v>22</c:v>
                </c:pt>
                <c:pt idx="26">
                  <c:v>24</c:v>
                </c:pt>
                <c:pt idx="27">
                  <c:v>28.000000000000004</c:v>
                </c:pt>
                <c:pt idx="28">
                  <c:v>44</c:v>
                </c:pt>
                <c:pt idx="29">
                  <c:v>40</c:v>
                </c:pt>
                <c:pt idx="30">
                  <c:v>0</c:v>
                </c:pt>
                <c:pt idx="31">
                  <c:v>54</c:v>
                </c:pt>
                <c:pt idx="32">
                  <c:v>24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</c:v>
                </c:pt>
                <c:pt idx="41">
                  <c:v>0</c:v>
                </c:pt>
                <c:pt idx="42">
                  <c:v>0</c:v>
                </c:pt>
                <c:pt idx="43">
                  <c:v>52</c:v>
                </c:pt>
                <c:pt idx="44">
                  <c:v>36</c:v>
                </c:pt>
                <c:pt idx="45">
                  <c:v>100</c:v>
                </c:pt>
                <c:pt idx="46">
                  <c:v>62</c:v>
                </c:pt>
                <c:pt idx="47">
                  <c:v>94.736842105263278</c:v>
                </c:pt>
                <c:pt idx="48">
                  <c:v>34</c:v>
                </c:pt>
                <c:pt idx="49">
                  <c:v>32</c:v>
                </c:pt>
                <c:pt idx="50">
                  <c:v>22</c:v>
                </c:pt>
                <c:pt idx="51">
                  <c:v>85.714285714285367</c:v>
                </c:pt>
                <c:pt idx="52">
                  <c:v>91.48936170212788</c:v>
                </c:pt>
                <c:pt idx="53">
                  <c:v>52.427184466019362</c:v>
                </c:pt>
                <c:pt idx="54">
                  <c:v>80</c:v>
                </c:pt>
                <c:pt idx="55">
                  <c:v>82.432432432432606</c:v>
                </c:pt>
                <c:pt idx="56">
                  <c:v>74.999999999999929</c:v>
                </c:pt>
                <c:pt idx="57">
                  <c:v>40</c:v>
                </c:pt>
                <c:pt idx="58">
                  <c:v>30</c:v>
                </c:pt>
                <c:pt idx="59">
                  <c:v>26.666666666666668</c:v>
                </c:pt>
                <c:pt idx="60">
                  <c:v>92.857142857142478</c:v>
                </c:pt>
                <c:pt idx="61">
                  <c:v>64</c:v>
                </c:pt>
                <c:pt idx="62">
                  <c:v>40</c:v>
                </c:pt>
                <c:pt idx="63">
                  <c:v>0</c:v>
                </c:pt>
                <c:pt idx="64">
                  <c:v>57.999999999999993</c:v>
                </c:pt>
                <c:pt idx="65">
                  <c:v>36</c:v>
                </c:pt>
                <c:pt idx="66">
                  <c:v>0</c:v>
                </c:pt>
                <c:pt idx="67">
                  <c:v>32.85714285714306</c:v>
                </c:pt>
                <c:pt idx="68">
                  <c:v>49.999999999999879</c:v>
                </c:pt>
                <c:pt idx="69">
                  <c:v>22</c:v>
                </c:pt>
                <c:pt idx="70">
                  <c:v>0</c:v>
                </c:pt>
                <c:pt idx="71">
                  <c:v>39.999999999999901</c:v>
                </c:pt>
                <c:pt idx="72">
                  <c:v>56.000000000000007</c:v>
                </c:pt>
                <c:pt idx="73">
                  <c:v>0</c:v>
                </c:pt>
                <c:pt idx="74">
                  <c:v>47.500000000000171</c:v>
                </c:pt>
                <c:pt idx="75">
                  <c:v>31.666666666666593</c:v>
                </c:pt>
                <c:pt idx="76">
                  <c:v>30</c:v>
                </c:pt>
                <c:pt idx="77">
                  <c:v>21.428571428571558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36</c:v>
                </c:pt>
                <c:pt idx="87">
                  <c:v>28.000000000000004</c:v>
                </c:pt>
                <c:pt idx="88">
                  <c:v>24</c:v>
                </c:pt>
                <c:pt idx="89">
                  <c:v>0</c:v>
                </c:pt>
                <c:pt idx="90">
                  <c:v>34.545454545454277</c:v>
                </c:pt>
                <c:pt idx="91">
                  <c:v>0</c:v>
                </c:pt>
                <c:pt idx="92">
                  <c:v>35.714285714285573</c:v>
                </c:pt>
                <c:pt idx="93">
                  <c:v>81</c:v>
                </c:pt>
                <c:pt idx="94">
                  <c:v>28.000000000000004</c:v>
                </c:pt>
                <c:pt idx="95">
                  <c:v>0</c:v>
                </c:pt>
                <c:pt idx="96">
                  <c:v>0</c:v>
                </c:pt>
                <c:pt idx="97">
                  <c:v>54</c:v>
                </c:pt>
                <c:pt idx="98">
                  <c:v>20</c:v>
                </c:pt>
                <c:pt idx="99">
                  <c:v>32</c:v>
                </c:pt>
                <c:pt idx="100">
                  <c:v>32</c:v>
                </c:pt>
                <c:pt idx="101">
                  <c:v>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80</c:v>
                </c:pt>
                <c:pt idx="107">
                  <c:v>54.545454545454831</c:v>
                </c:pt>
                <c:pt idx="108">
                  <c:v>69.999999999999829</c:v>
                </c:pt>
                <c:pt idx="109">
                  <c:v>32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38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24</c:v>
                </c:pt>
                <c:pt idx="125" formatCode="0.00">
                  <c:v>42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24</c:v>
                </c:pt>
                <c:pt idx="131" formatCode="0.00">
                  <c:v>54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46</c:v>
                </c:pt>
                <c:pt idx="135" formatCode="0.00">
                  <c:v>68</c:v>
                </c:pt>
                <c:pt idx="136" formatCode="0.00">
                  <c:v>24</c:v>
                </c:pt>
                <c:pt idx="137" formatCode="0.00">
                  <c:v>0</c:v>
                </c:pt>
                <c:pt idx="138" formatCode="0.00">
                  <c:v>20</c:v>
                </c:pt>
                <c:pt idx="139" formatCode="0.00">
                  <c:v>0</c:v>
                </c:pt>
                <c:pt idx="140" formatCode="0.00">
                  <c:v>20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22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">
                  <c:v>0</c:v>
                </c:pt>
                <c:pt idx="204" formatCode="0.0">
                  <c:v>0</c:v>
                </c:pt>
                <c:pt idx="205" formatCode="0.0">
                  <c:v>20</c:v>
                </c:pt>
                <c:pt idx="206" formatCode="0.0">
                  <c:v>20</c:v>
                </c:pt>
                <c:pt idx="207" formatCode="0.0">
                  <c:v>0</c:v>
                </c:pt>
                <c:pt idx="208" formatCode="0.0">
                  <c:v>0</c:v>
                </c:pt>
                <c:pt idx="209" formatCode="0.0">
                  <c:v>0</c:v>
                </c:pt>
                <c:pt idx="210" formatCode="0.0">
                  <c:v>0</c:v>
                </c:pt>
                <c:pt idx="211" formatCode="0.0">
                  <c:v>0</c:v>
                </c:pt>
                <c:pt idx="212" formatCode="0.0">
                  <c:v>0</c:v>
                </c:pt>
                <c:pt idx="213" formatCode="0.0">
                  <c:v>50</c:v>
                </c:pt>
                <c:pt idx="214" formatCode="0.0">
                  <c:v>0</c:v>
                </c:pt>
                <c:pt idx="215" formatCode="0.0">
                  <c:v>0</c:v>
                </c:pt>
                <c:pt idx="216" formatCode="0.0">
                  <c:v>44</c:v>
                </c:pt>
                <c:pt idx="217" formatCode="0.0">
                  <c:v>0</c:v>
                </c:pt>
                <c:pt idx="218" formatCode="0.0">
                  <c:v>26</c:v>
                </c:pt>
                <c:pt idx="219" formatCode="0.0">
                  <c:v>26</c:v>
                </c:pt>
                <c:pt idx="220" formatCode="0.0">
                  <c:v>36</c:v>
                </c:pt>
                <c:pt idx="221" formatCode="0.0">
                  <c:v>0</c:v>
                </c:pt>
                <c:pt idx="222" formatCode="0.0">
                  <c:v>0</c:v>
                </c:pt>
                <c:pt idx="223" formatCode="0.0">
                  <c:v>0</c:v>
                </c:pt>
                <c:pt idx="224" formatCode="0.0">
                  <c:v>0</c:v>
                </c:pt>
                <c:pt idx="225" formatCode="0.0">
                  <c:v>0</c:v>
                </c:pt>
                <c:pt idx="226" formatCode="0.0">
                  <c:v>0</c:v>
                </c:pt>
                <c:pt idx="227" formatCode="0.0">
                  <c:v>0</c:v>
                </c:pt>
                <c:pt idx="228" formatCode="0.0">
                  <c:v>0</c:v>
                </c:pt>
                <c:pt idx="229" formatCode="0.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22</c:v>
                </c:pt>
                <c:pt idx="239" formatCode="0.00">
                  <c:v>28.000000000000004</c:v>
                </c:pt>
                <c:pt idx="240" formatCode="0.00">
                  <c:v>30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20</c:v>
                </c:pt>
                <c:pt idx="244" formatCode="0.00">
                  <c:v>26</c:v>
                </c:pt>
                <c:pt idx="245" formatCode="0.00">
                  <c:v>30</c:v>
                </c:pt>
                <c:pt idx="246" formatCode="0.00">
                  <c:v>32</c:v>
                </c:pt>
                <c:pt idx="247" formatCode="0.00">
                  <c:v>56.000000000000007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20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28.000000000000004</c:v>
                </c:pt>
                <c:pt idx="257" formatCode="0.00">
                  <c:v>28.000000000000004</c:v>
                </c:pt>
                <c:pt idx="258" formatCode="0.00">
                  <c:v>0</c:v>
                </c:pt>
                <c:pt idx="259" formatCode="0.0">
                  <c:v>26</c:v>
                </c:pt>
                <c:pt idx="260" formatCode="0.0">
                  <c:v>20</c:v>
                </c:pt>
                <c:pt idx="261" formatCode="0.0">
                  <c:v>0</c:v>
                </c:pt>
                <c:pt idx="262" formatCode="0.0">
                  <c:v>0</c:v>
                </c:pt>
                <c:pt idx="263" formatCode="0.0">
                  <c:v>48</c:v>
                </c:pt>
                <c:pt idx="264" formatCode="0.0">
                  <c:v>0</c:v>
                </c:pt>
                <c:pt idx="265" formatCode="0.0">
                  <c:v>44</c:v>
                </c:pt>
                <c:pt idx="266" formatCode="0.0">
                  <c:v>0</c:v>
                </c:pt>
                <c:pt idx="267" formatCode="0.0">
                  <c:v>30</c:v>
                </c:pt>
                <c:pt idx="268" formatCode="0.0">
                  <c:v>26</c:v>
                </c:pt>
                <c:pt idx="269" formatCode="0.0">
                  <c:v>0</c:v>
                </c:pt>
                <c:pt idx="270" formatCode="0.0">
                  <c:v>0</c:v>
                </c:pt>
                <c:pt idx="271" formatCode="0.0">
                  <c:v>28.000000000000004</c:v>
                </c:pt>
                <c:pt idx="272" formatCode="0.0">
                  <c:v>50</c:v>
                </c:pt>
                <c:pt idx="273" formatCode="0.0">
                  <c:v>0</c:v>
                </c:pt>
                <c:pt idx="274" formatCode="0.00">
                  <c:v>88</c:v>
                </c:pt>
                <c:pt idx="275" formatCode="0.00">
                  <c:v>54</c:v>
                </c:pt>
                <c:pt idx="276" formatCode="0.00">
                  <c:v>92</c:v>
                </c:pt>
                <c:pt idx="277" formatCode="0.00">
                  <c:v>57.999999999999993</c:v>
                </c:pt>
                <c:pt idx="278" formatCode="0.00">
                  <c:v>56.000000000000007</c:v>
                </c:pt>
                <c:pt idx="279" formatCode="0.00">
                  <c:v>57.999999999999993</c:v>
                </c:pt>
                <c:pt idx="280" formatCode="0.00">
                  <c:v>57.999999999999993</c:v>
                </c:pt>
                <c:pt idx="281" formatCode="0.00">
                  <c:v>60</c:v>
                </c:pt>
                <c:pt idx="282" formatCode="0.00">
                  <c:v>84</c:v>
                </c:pt>
                <c:pt idx="283" formatCode="0.00">
                  <c:v>74</c:v>
                </c:pt>
                <c:pt idx="284" formatCode="0.00">
                  <c:v>84</c:v>
                </c:pt>
                <c:pt idx="285" formatCode="0.00">
                  <c:v>96</c:v>
                </c:pt>
                <c:pt idx="286" formatCode="0.00">
                  <c:v>92</c:v>
                </c:pt>
                <c:pt idx="287" formatCode="0.00">
                  <c:v>62</c:v>
                </c:pt>
                <c:pt idx="288" formatCode="0.0">
                  <c:v>48</c:v>
                </c:pt>
                <c:pt idx="289" formatCode="0.0">
                  <c:v>48</c:v>
                </c:pt>
                <c:pt idx="290" formatCode="0.0">
                  <c:v>84</c:v>
                </c:pt>
                <c:pt idx="291" formatCode="0.0">
                  <c:v>0</c:v>
                </c:pt>
                <c:pt idx="292" formatCode="0.0">
                  <c:v>28.000000000000004</c:v>
                </c:pt>
                <c:pt idx="293" formatCode="0.0">
                  <c:v>26</c:v>
                </c:pt>
                <c:pt idx="294" formatCode="0.00">
                  <c:v>20</c:v>
                </c:pt>
                <c:pt idx="295" formatCode="0.00">
                  <c:v>44</c:v>
                </c:pt>
                <c:pt idx="296" formatCode="0.00">
                  <c:v>100</c:v>
                </c:pt>
                <c:pt idx="297" formatCode="0.00">
                  <c:v>54</c:v>
                </c:pt>
                <c:pt idx="298" formatCode="0.00">
                  <c:v>0</c:v>
                </c:pt>
                <c:pt idx="299" formatCode="0.00">
                  <c:v>50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">
                  <c:v>0</c:v>
                </c:pt>
                <c:pt idx="303" formatCode="0.0">
                  <c:v>66</c:v>
                </c:pt>
                <c:pt idx="304" formatCode="0.0">
                  <c:v>20</c:v>
                </c:pt>
                <c:pt idx="305" formatCode="0.0">
                  <c:v>20</c:v>
                </c:pt>
                <c:pt idx="306" formatCode="0.00">
                  <c:v>54</c:v>
                </c:pt>
                <c:pt idx="307" formatCode="0.00">
                  <c:v>70</c:v>
                </c:pt>
                <c:pt idx="308" formatCode="0.00">
                  <c:v>36</c:v>
                </c:pt>
                <c:pt idx="309" formatCode="0.00">
                  <c:v>66</c:v>
                </c:pt>
                <c:pt idx="310" formatCode="0.00">
                  <c:v>28.000000000000004</c:v>
                </c:pt>
                <c:pt idx="311" formatCode="0.00">
                  <c:v>0</c:v>
                </c:pt>
                <c:pt idx="312" formatCode="0.00">
                  <c:v>74</c:v>
                </c:pt>
                <c:pt idx="313" formatCode="0.00">
                  <c:v>54</c:v>
                </c:pt>
                <c:pt idx="314" formatCode="0.00">
                  <c:v>42</c:v>
                </c:pt>
                <c:pt idx="315" formatCode="0.00">
                  <c:v>24</c:v>
                </c:pt>
                <c:pt idx="316" formatCode="0.00">
                  <c:v>22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64.51612903225805</c:v>
                </c:pt>
                <c:pt idx="354" formatCode="0.00">
                  <c:v>85.714285714285779</c:v>
                </c:pt>
                <c:pt idx="355" formatCode="0.00">
                  <c:v>27.500000000000007</c:v>
                </c:pt>
                <c:pt idx="356" formatCode="0.00">
                  <c:v>40.38461538461538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0</c:v>
                </c:pt>
                <c:pt idx="361" formatCode="0.00">
                  <c:v>0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26</c:v>
                </c:pt>
                <c:pt idx="368" formatCode="0.00">
                  <c:v>22</c:v>
                </c:pt>
                <c:pt idx="369" formatCode="0.00">
                  <c:v>0</c:v>
                </c:pt>
                <c:pt idx="370" formatCode="0.00">
                  <c:v>22</c:v>
                </c:pt>
                <c:pt idx="371" formatCode="0.00">
                  <c:v>22</c:v>
                </c:pt>
                <c:pt idx="372" formatCode="0.00">
                  <c:v>0</c:v>
                </c:pt>
                <c:pt idx="373" formatCode="0.00">
                  <c:v>26</c:v>
                </c:pt>
                <c:pt idx="374" formatCode="0.00">
                  <c:v>0</c:v>
                </c:pt>
                <c:pt idx="375" formatCode="0.00">
                  <c:v>42</c:v>
                </c:pt>
                <c:pt idx="376" formatCode="0.00">
                  <c:v>22</c:v>
                </c:pt>
                <c:pt idx="377" formatCode="0.00">
                  <c:v>0</c:v>
                </c:pt>
                <c:pt idx="378" formatCode="0.00">
                  <c:v>20</c:v>
                </c:pt>
                <c:pt idx="379" formatCode="0.00">
                  <c:v>0</c:v>
                </c:pt>
                <c:pt idx="380" formatCode="0.00">
                  <c:v>0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0</c:v>
                </c:pt>
                <c:pt idx="384" formatCode="0.00">
                  <c:v>0</c:v>
                </c:pt>
                <c:pt idx="385" formatCode="0.00">
                  <c:v>0</c:v>
                </c:pt>
                <c:pt idx="386" formatCode="0.00">
                  <c:v>0</c:v>
                </c:pt>
                <c:pt idx="387" formatCode="0.00">
                  <c:v>0</c:v>
                </c:pt>
                <c:pt idx="388" formatCode="0.00">
                  <c:v>0</c:v>
                </c:pt>
                <c:pt idx="389" formatCode="0.00">
                  <c:v>0</c:v>
                </c:pt>
                <c:pt idx="390" formatCode="0.00">
                  <c:v>0</c:v>
                </c:pt>
                <c:pt idx="391" formatCode="0.00">
                  <c:v>22</c:v>
                </c:pt>
                <c:pt idx="392" formatCode="0.00">
                  <c:v>0</c:v>
                </c:pt>
                <c:pt idx="393" formatCode="0.00">
                  <c:v>38</c:v>
                </c:pt>
                <c:pt idx="394" formatCode="0.00">
                  <c:v>28.000000000000004</c:v>
                </c:pt>
                <c:pt idx="395" formatCode="0.00">
                  <c:v>0</c:v>
                </c:pt>
                <c:pt idx="396" formatCode="0.00">
                  <c:v>22</c:v>
                </c:pt>
                <c:pt idx="397" formatCode="0.00">
                  <c:v>44</c:v>
                </c:pt>
                <c:pt idx="398" formatCode="0.00">
                  <c:v>0</c:v>
                </c:pt>
                <c:pt idx="399" formatCode="0.00">
                  <c:v>0</c:v>
                </c:pt>
                <c:pt idx="400" formatCode="0.00">
                  <c:v>0</c:v>
                </c:pt>
                <c:pt idx="401" formatCode="0.00">
                  <c:v>0</c:v>
                </c:pt>
                <c:pt idx="402" formatCode="0.00">
                  <c:v>0</c:v>
                </c:pt>
                <c:pt idx="403" formatCode="0.00">
                  <c:v>0</c:v>
                </c:pt>
                <c:pt idx="404" formatCode="0.00">
                  <c:v>0</c:v>
                </c:pt>
                <c:pt idx="405" formatCode="0.00">
                  <c:v>0</c:v>
                </c:pt>
                <c:pt idx="406" formatCode="0.00">
                  <c:v>0</c:v>
                </c:pt>
                <c:pt idx="407" formatCode="0.00">
                  <c:v>0</c:v>
                </c:pt>
                <c:pt idx="408" formatCode="0.00">
                  <c:v>0</c:v>
                </c:pt>
                <c:pt idx="409" formatCode="0.00">
                  <c:v>0</c:v>
                </c:pt>
                <c:pt idx="410" formatCode="0.00">
                  <c:v>0</c:v>
                </c:pt>
                <c:pt idx="411" formatCode="0.00">
                  <c:v>0</c:v>
                </c:pt>
                <c:pt idx="412" formatCode="0.00">
                  <c:v>0</c:v>
                </c:pt>
                <c:pt idx="413" formatCode="0.00">
                  <c:v>0</c:v>
                </c:pt>
                <c:pt idx="414" formatCode="0.00">
                  <c:v>32</c:v>
                </c:pt>
                <c:pt idx="415" formatCode="0.00">
                  <c:v>0</c:v>
                </c:pt>
                <c:pt idx="416" formatCode="0.00">
                  <c:v>0</c:v>
                </c:pt>
                <c:pt idx="417" formatCode="0.00">
                  <c:v>0</c:v>
                </c:pt>
                <c:pt idx="418" formatCode="0.00">
                  <c:v>0</c:v>
                </c:pt>
                <c:pt idx="419" formatCode="0.00">
                  <c:v>0</c:v>
                </c:pt>
                <c:pt idx="420" formatCode="0.00">
                  <c:v>64</c:v>
                </c:pt>
                <c:pt idx="421" formatCode="0.00">
                  <c:v>34</c:v>
                </c:pt>
                <c:pt idx="422" formatCode="0.00">
                  <c:v>0</c:v>
                </c:pt>
                <c:pt idx="423" formatCode="0.00">
                  <c:v>0</c:v>
                </c:pt>
                <c:pt idx="424" formatCode="0.00">
                  <c:v>24</c:v>
                </c:pt>
                <c:pt idx="425" formatCode="0.00">
                  <c:v>22</c:v>
                </c:pt>
                <c:pt idx="426" formatCode="0.00">
                  <c:v>0</c:v>
                </c:pt>
                <c:pt idx="427" formatCode="0.00">
                  <c:v>40</c:v>
                </c:pt>
                <c:pt idx="428" formatCode="0.00">
                  <c:v>20</c:v>
                </c:pt>
                <c:pt idx="429" formatCode="0.00">
                  <c:v>0</c:v>
                </c:pt>
                <c:pt idx="430" formatCode="0.00">
                  <c:v>22</c:v>
                </c:pt>
                <c:pt idx="431" formatCode="0.00">
                  <c:v>30</c:v>
                </c:pt>
                <c:pt idx="432" formatCode="0.00">
                  <c:v>30</c:v>
                </c:pt>
                <c:pt idx="433" formatCode="0.00">
                  <c:v>0</c:v>
                </c:pt>
                <c:pt idx="434" formatCode="0.00">
                  <c:v>22</c:v>
                </c:pt>
                <c:pt idx="435" formatCode="0.00">
                  <c:v>20</c:v>
                </c:pt>
                <c:pt idx="436" formatCode="0.00">
                  <c:v>24</c:v>
                </c:pt>
                <c:pt idx="437" formatCode="0.00">
                  <c:v>0</c:v>
                </c:pt>
                <c:pt idx="438" formatCode="0.00">
                  <c:v>20</c:v>
                </c:pt>
                <c:pt idx="439" formatCode="0.00">
                  <c:v>28.000000000000004</c:v>
                </c:pt>
                <c:pt idx="440" formatCode="0.00">
                  <c:v>24</c:v>
                </c:pt>
                <c:pt idx="441" formatCode="0.00">
                  <c:v>0</c:v>
                </c:pt>
                <c:pt idx="442" formatCode="0.00">
                  <c:v>0</c:v>
                </c:pt>
                <c:pt idx="443" formatCode="0.00">
                  <c:v>0</c:v>
                </c:pt>
                <c:pt idx="444" formatCode="0.00">
                  <c:v>28.000000000000004</c:v>
                </c:pt>
                <c:pt idx="445" formatCode="0.00">
                  <c:v>34</c:v>
                </c:pt>
                <c:pt idx="446" formatCode="0.00">
                  <c:v>0</c:v>
                </c:pt>
                <c:pt idx="447" formatCode="0.00">
                  <c:v>0</c:v>
                </c:pt>
                <c:pt idx="448" formatCode="0.00">
                  <c:v>0</c:v>
                </c:pt>
                <c:pt idx="449" formatCode="0.00">
                  <c:v>0</c:v>
                </c:pt>
                <c:pt idx="450" formatCode="0.00">
                  <c:v>0</c:v>
                </c:pt>
                <c:pt idx="451" formatCode="0.00">
                  <c:v>54</c:v>
                </c:pt>
                <c:pt idx="452" formatCode="0.00">
                  <c:v>52</c:v>
                </c:pt>
                <c:pt idx="453" formatCode="0.00">
                  <c:v>34</c:v>
                </c:pt>
                <c:pt idx="454" formatCode="0.00">
                  <c:v>28.000000000000004</c:v>
                </c:pt>
                <c:pt idx="455" formatCode="0.00">
                  <c:v>0</c:v>
                </c:pt>
                <c:pt idx="456" formatCode="0.00">
                  <c:v>50</c:v>
                </c:pt>
                <c:pt idx="457" formatCode="0.00">
                  <c:v>20</c:v>
                </c:pt>
                <c:pt idx="458" formatCode="0.00">
                  <c:v>0</c:v>
                </c:pt>
                <c:pt idx="459" formatCode="0.00">
                  <c:v>44</c:v>
                </c:pt>
                <c:pt idx="460" formatCode="0.00">
                  <c:v>22</c:v>
                </c:pt>
                <c:pt idx="461" formatCode="0.00">
                  <c:v>30</c:v>
                </c:pt>
                <c:pt idx="462" formatCode="0.00">
                  <c:v>26</c:v>
                </c:pt>
                <c:pt idx="463" formatCode="0.00">
                  <c:v>0</c:v>
                </c:pt>
                <c:pt idx="464" formatCode="0.00">
                  <c:v>66</c:v>
                </c:pt>
                <c:pt idx="465" formatCode="0.00">
                  <c:v>36</c:v>
                </c:pt>
                <c:pt idx="466" formatCode="0.00">
                  <c:v>50</c:v>
                </c:pt>
                <c:pt idx="467" formatCode="0.00">
                  <c:v>0</c:v>
                </c:pt>
                <c:pt idx="468" formatCode="0.00">
                  <c:v>0</c:v>
                </c:pt>
                <c:pt idx="469" formatCode="0.00">
                  <c:v>0</c:v>
                </c:pt>
                <c:pt idx="470" formatCode="0.00">
                  <c:v>0</c:v>
                </c:pt>
                <c:pt idx="471" formatCode="0.00">
                  <c:v>0</c:v>
                </c:pt>
                <c:pt idx="472" formatCode="0.00">
                  <c:v>0</c:v>
                </c:pt>
                <c:pt idx="473" formatCode="0.00">
                  <c:v>0</c:v>
                </c:pt>
                <c:pt idx="474" formatCode="0.00">
                  <c:v>0</c:v>
                </c:pt>
                <c:pt idx="475" formatCode="0.00">
                  <c:v>0</c:v>
                </c:pt>
                <c:pt idx="476" formatCode="0.00">
                  <c:v>0</c:v>
                </c:pt>
                <c:pt idx="477" formatCode="0.00">
                  <c:v>0</c:v>
                </c:pt>
                <c:pt idx="478" formatCode="0.00">
                  <c:v>0</c:v>
                </c:pt>
                <c:pt idx="479" formatCode="0.00">
                  <c:v>0</c:v>
                </c:pt>
                <c:pt idx="480" formatCode="0.00">
                  <c:v>0</c:v>
                </c:pt>
                <c:pt idx="481" formatCode="0.00">
                  <c:v>0</c:v>
                </c:pt>
                <c:pt idx="482" formatCode="0.00">
                  <c:v>0</c:v>
                </c:pt>
                <c:pt idx="483" formatCode="0.00">
                  <c:v>0</c:v>
                </c:pt>
                <c:pt idx="484" formatCode="0.00">
                  <c:v>0</c:v>
                </c:pt>
                <c:pt idx="485" formatCode="0.00">
                  <c:v>0</c:v>
                </c:pt>
                <c:pt idx="486" formatCode="0.00">
                  <c:v>0</c:v>
                </c:pt>
                <c:pt idx="487" formatCode="0.00">
                  <c:v>0</c:v>
                </c:pt>
                <c:pt idx="488" formatCode="0.00">
                  <c:v>0</c:v>
                </c:pt>
                <c:pt idx="489" formatCode="0.00">
                  <c:v>0</c:v>
                </c:pt>
                <c:pt idx="490" formatCode="0.00">
                  <c:v>0</c:v>
                </c:pt>
                <c:pt idx="491" formatCode="0.00">
                  <c:v>0</c:v>
                </c:pt>
                <c:pt idx="492" formatCode="0.00">
                  <c:v>0</c:v>
                </c:pt>
                <c:pt idx="493" formatCode="0.00">
                  <c:v>0</c:v>
                </c:pt>
                <c:pt idx="494" formatCode="0.00">
                  <c:v>0</c:v>
                </c:pt>
                <c:pt idx="495" formatCode="0.00">
                  <c:v>0</c:v>
                </c:pt>
                <c:pt idx="496" formatCode="0.00">
                  <c:v>0</c:v>
                </c:pt>
                <c:pt idx="497" formatCode="0.00">
                  <c:v>0</c:v>
                </c:pt>
                <c:pt idx="498" formatCode="0.00">
                  <c:v>0</c:v>
                </c:pt>
                <c:pt idx="499" formatCode="0.00">
                  <c:v>0</c:v>
                </c:pt>
                <c:pt idx="500" formatCode="0.00">
                  <c:v>0</c:v>
                </c:pt>
                <c:pt idx="501" formatCode="0.00">
                  <c:v>0</c:v>
                </c:pt>
                <c:pt idx="502" formatCode="0.00">
                  <c:v>0</c:v>
                </c:pt>
                <c:pt idx="503" formatCode="0.00">
                  <c:v>0</c:v>
                </c:pt>
                <c:pt idx="504" formatCode="0.00">
                  <c:v>0</c:v>
                </c:pt>
                <c:pt idx="505" formatCode="0.00">
                  <c:v>34</c:v>
                </c:pt>
                <c:pt idx="506" formatCode="0.00">
                  <c:v>0</c:v>
                </c:pt>
                <c:pt idx="507" formatCode="0.00">
                  <c:v>0</c:v>
                </c:pt>
                <c:pt idx="508" formatCode="0.00">
                  <c:v>0</c:v>
                </c:pt>
                <c:pt idx="509" formatCode="0.00">
                  <c:v>0</c:v>
                </c:pt>
                <c:pt idx="510" formatCode="0.00">
                  <c:v>0</c:v>
                </c:pt>
                <c:pt idx="511" formatCode="0.00">
                  <c:v>0</c:v>
                </c:pt>
                <c:pt idx="512" formatCode="0.00">
                  <c:v>0</c:v>
                </c:pt>
                <c:pt idx="513" formatCode="0.00">
                  <c:v>62</c:v>
                </c:pt>
                <c:pt idx="514" formatCode="0.00">
                  <c:v>0</c:v>
                </c:pt>
                <c:pt idx="515" formatCode="0.00">
                  <c:v>0</c:v>
                </c:pt>
                <c:pt idx="516" formatCode="0.00">
                  <c:v>0</c:v>
                </c:pt>
                <c:pt idx="517" formatCode="0.00">
                  <c:v>0</c:v>
                </c:pt>
                <c:pt idx="518" formatCode="0.00">
                  <c:v>40</c:v>
                </c:pt>
                <c:pt idx="519" formatCode="0.00">
                  <c:v>36</c:v>
                </c:pt>
                <c:pt idx="520" formatCode="0.00">
                  <c:v>46</c:v>
                </c:pt>
                <c:pt idx="521" formatCode="0.00">
                  <c:v>26</c:v>
                </c:pt>
                <c:pt idx="522" formatCode="0.00">
                  <c:v>0</c:v>
                </c:pt>
                <c:pt idx="523" formatCode="0.00">
                  <c:v>0</c:v>
                </c:pt>
                <c:pt idx="524" formatCode="0.00">
                  <c:v>0</c:v>
                </c:pt>
                <c:pt idx="525" formatCode="0.00">
                  <c:v>0</c:v>
                </c:pt>
                <c:pt idx="526" formatCode="0.00">
                  <c:v>0</c:v>
                </c:pt>
                <c:pt idx="527" formatCode="0.00">
                  <c:v>22</c:v>
                </c:pt>
                <c:pt idx="528" formatCode="0.00">
                  <c:v>0</c:v>
                </c:pt>
                <c:pt idx="529" formatCode="0.00">
                  <c:v>0</c:v>
                </c:pt>
                <c:pt idx="530" formatCode="0.00">
                  <c:v>0</c:v>
                </c:pt>
                <c:pt idx="531" formatCode="0.00">
                  <c:v>88</c:v>
                </c:pt>
                <c:pt idx="532" formatCode="0.00">
                  <c:v>20</c:v>
                </c:pt>
                <c:pt idx="533" formatCode="0.00">
                  <c:v>88</c:v>
                </c:pt>
                <c:pt idx="534" formatCode="0.00">
                  <c:v>20</c:v>
                </c:pt>
                <c:pt idx="535" formatCode="0.00">
                  <c:v>0</c:v>
                </c:pt>
                <c:pt idx="536" formatCode="0.00">
                  <c:v>72</c:v>
                </c:pt>
                <c:pt idx="537" formatCode="0.00">
                  <c:v>0</c:v>
                </c:pt>
                <c:pt idx="538" formatCode="0.00">
                  <c:v>0</c:v>
                </c:pt>
                <c:pt idx="539" formatCode="0.00">
                  <c:v>0</c:v>
                </c:pt>
                <c:pt idx="540" formatCode="0.00">
                  <c:v>36</c:v>
                </c:pt>
                <c:pt idx="541" formatCode="0.00">
                  <c:v>32</c:v>
                </c:pt>
                <c:pt idx="542" formatCode="0.00">
                  <c:v>30</c:v>
                </c:pt>
                <c:pt idx="543" formatCode="0.00">
                  <c:v>68</c:v>
                </c:pt>
                <c:pt idx="544" formatCode="0.00">
                  <c:v>0</c:v>
                </c:pt>
                <c:pt idx="545" formatCode="0.00">
                  <c:v>40</c:v>
                </c:pt>
                <c:pt idx="546" formatCode="0.00">
                  <c:v>46</c:v>
                </c:pt>
                <c:pt idx="547" formatCode="0.00">
                  <c:v>40</c:v>
                </c:pt>
                <c:pt idx="548" formatCode="0.00">
                  <c:v>52</c:v>
                </c:pt>
                <c:pt idx="549" formatCode="0.00">
                  <c:v>38</c:v>
                </c:pt>
                <c:pt idx="550" formatCode="0.00">
                  <c:v>52</c:v>
                </c:pt>
                <c:pt idx="551" formatCode="0.00">
                  <c:v>34</c:v>
                </c:pt>
                <c:pt idx="552" formatCode="0.00">
                  <c:v>22</c:v>
                </c:pt>
                <c:pt idx="553" formatCode="0.00">
                  <c:v>66</c:v>
                </c:pt>
                <c:pt idx="554" formatCode="0.00">
                  <c:v>20</c:v>
                </c:pt>
                <c:pt idx="555" formatCode="0.00">
                  <c:v>42</c:v>
                </c:pt>
                <c:pt idx="556" formatCode="0.00">
                  <c:v>24</c:v>
                </c:pt>
                <c:pt idx="557" formatCode="0.00">
                  <c:v>0</c:v>
                </c:pt>
                <c:pt idx="558" formatCode="0.00">
                  <c:v>20</c:v>
                </c:pt>
                <c:pt idx="559" formatCode="0.00">
                  <c:v>30</c:v>
                </c:pt>
                <c:pt idx="560" formatCode="0.00">
                  <c:v>0</c:v>
                </c:pt>
                <c:pt idx="561" formatCode="0.00">
                  <c:v>0</c:v>
                </c:pt>
                <c:pt idx="562" formatCode="0.00">
                  <c:v>0</c:v>
                </c:pt>
                <c:pt idx="563" formatCode="0.00">
                  <c:v>0</c:v>
                </c:pt>
                <c:pt idx="564" formatCode="0.00">
                  <c:v>0</c:v>
                </c:pt>
                <c:pt idx="565" formatCode="0.00">
                  <c:v>20</c:v>
                </c:pt>
                <c:pt idx="566" formatCode="0.00">
                  <c:v>24</c:v>
                </c:pt>
                <c:pt idx="567" formatCode="0.00">
                  <c:v>54</c:v>
                </c:pt>
                <c:pt idx="568" formatCode="0.00">
                  <c:v>52</c:v>
                </c:pt>
                <c:pt idx="569" formatCode="0.00">
                  <c:v>24</c:v>
                </c:pt>
                <c:pt idx="570" formatCode="0.00">
                  <c:v>64</c:v>
                </c:pt>
                <c:pt idx="571" formatCode="0.00">
                  <c:v>20</c:v>
                </c:pt>
                <c:pt idx="572" formatCode="0.00">
                  <c:v>0</c:v>
                </c:pt>
                <c:pt idx="573" formatCode="0.00">
                  <c:v>22</c:v>
                </c:pt>
                <c:pt idx="574" formatCode="0.00">
                  <c:v>0</c:v>
                </c:pt>
                <c:pt idx="575" formatCode="0.00">
                  <c:v>0</c:v>
                </c:pt>
                <c:pt idx="576" formatCode="0.00">
                  <c:v>0</c:v>
                </c:pt>
                <c:pt idx="577" formatCode="0.00">
                  <c:v>0</c:v>
                </c:pt>
                <c:pt idx="578" formatCode="0.00">
                  <c:v>0</c:v>
                </c:pt>
                <c:pt idx="579" formatCode="0.00">
                  <c:v>0</c:v>
                </c:pt>
                <c:pt idx="580" formatCode="0.00">
                  <c:v>48</c:v>
                </c:pt>
                <c:pt idx="581" formatCode="0.00">
                  <c:v>0</c:v>
                </c:pt>
                <c:pt idx="582" formatCode="0.00">
                  <c:v>36</c:v>
                </c:pt>
                <c:pt idx="583" formatCode="0.00">
                  <c:v>9.376786022400001</c:v>
                </c:pt>
                <c:pt idx="584" formatCode="0.00">
                  <c:v>12.5</c:v>
                </c:pt>
                <c:pt idx="585" formatCode="0.00">
                  <c:v>2.8149950088000009</c:v>
                </c:pt>
                <c:pt idx="586" formatCode="General">
                  <c:v>0</c:v>
                </c:pt>
                <c:pt idx="587" formatCode="General">
                  <c:v>0</c:v>
                </c:pt>
                <c:pt idx="588" formatCode="General">
                  <c:v>0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 formatCode="General">
                  <c:v>0</c:v>
                </c:pt>
                <c:pt idx="595" formatCode="0.0">
                  <c:v>23.333333333333314</c:v>
                </c:pt>
                <c:pt idx="596" formatCode="0.0">
                  <c:v>19.999999999999989</c:v>
                </c:pt>
                <c:pt idx="597" formatCode="0.0">
                  <c:v>0</c:v>
                </c:pt>
                <c:pt idx="598" formatCode="0.0">
                  <c:v>0</c:v>
                </c:pt>
                <c:pt idx="599" formatCode="0.0">
                  <c:v>0</c:v>
                </c:pt>
                <c:pt idx="600" formatCode="0.0">
                  <c:v>53.333333333333208</c:v>
                </c:pt>
                <c:pt idx="601" formatCode="0.0">
                  <c:v>16.666666666666693</c:v>
                </c:pt>
                <c:pt idx="602" formatCode="0.0">
                  <c:v>27.499999999999975</c:v>
                </c:pt>
                <c:pt idx="603" formatCode="0.0">
                  <c:v>40</c:v>
                </c:pt>
                <c:pt idx="604" formatCode="0.0">
                  <c:v>0</c:v>
                </c:pt>
                <c:pt idx="605" formatCode="0.0">
                  <c:v>30</c:v>
                </c:pt>
                <c:pt idx="606" formatCode="0.0">
                  <c:v>0</c:v>
                </c:pt>
                <c:pt idx="607" formatCode="0.0">
                  <c:v>0</c:v>
                </c:pt>
                <c:pt idx="608" formatCode="0.0">
                  <c:v>0</c:v>
                </c:pt>
                <c:pt idx="609" formatCode="0.0">
                  <c:v>0</c:v>
                </c:pt>
                <c:pt idx="610" formatCode="0.0">
                  <c:v>0</c:v>
                </c:pt>
                <c:pt idx="611" formatCode="0.0">
                  <c:v>0</c:v>
                </c:pt>
                <c:pt idx="612" formatCode="0.0">
                  <c:v>0</c:v>
                </c:pt>
                <c:pt idx="613" formatCode="0.0">
                  <c:v>27.096774193548374</c:v>
                </c:pt>
                <c:pt idx="614" formatCode="0.0">
                  <c:v>63.749999999999943</c:v>
                </c:pt>
                <c:pt idx="615" formatCode="0.0">
                  <c:v>64.285714285714363</c:v>
                </c:pt>
                <c:pt idx="616" formatCode="0.0">
                  <c:v>73.124999999999929</c:v>
                </c:pt>
                <c:pt idx="617" formatCode="0.0">
                  <c:v>43.333333333333336</c:v>
                </c:pt>
                <c:pt idx="618" formatCode="0.0">
                  <c:v>49.565217391304408</c:v>
                </c:pt>
                <c:pt idx="619" formatCode="0.0">
                  <c:v>46.874999999999957</c:v>
                </c:pt>
                <c:pt idx="620" formatCode="0.0">
                  <c:v>15.2</c:v>
                </c:pt>
                <c:pt idx="621" formatCode="0.0">
                  <c:v>22.857142857142858</c:v>
                </c:pt>
                <c:pt idx="622" formatCode="0.0">
                  <c:v>45.599999999999994</c:v>
                </c:pt>
                <c:pt idx="623" formatCode="0.0">
                  <c:v>65.263157894736892</c:v>
                </c:pt>
                <c:pt idx="624" formatCode="0.0">
                  <c:v>11.874999999999989</c:v>
                </c:pt>
                <c:pt idx="625" formatCode="0.0">
                  <c:v>13.684210526315852</c:v>
                </c:pt>
                <c:pt idx="626" formatCode="0.0">
                  <c:v>48.666666666666664</c:v>
                </c:pt>
                <c:pt idx="627" formatCode="0.0">
                  <c:v>13.333333333333281</c:v>
                </c:pt>
                <c:pt idx="628" formatCode="0.0">
                  <c:v>30.588235294117727</c:v>
                </c:pt>
                <c:pt idx="629" formatCode="0.0">
                  <c:v>52.307692307692143</c:v>
                </c:pt>
                <c:pt idx="630" formatCode="0.0">
                  <c:v>7.6923076923077094</c:v>
                </c:pt>
                <c:pt idx="631" formatCode="0.0">
                  <c:v>12.222222222222241</c:v>
                </c:pt>
                <c:pt idx="632" formatCode="0.0">
                  <c:v>39.999999999999943</c:v>
                </c:pt>
                <c:pt idx="633" formatCode="0.0">
                  <c:v>39.130434782608745</c:v>
                </c:pt>
                <c:pt idx="634" formatCode="0.0">
                  <c:v>30.857142857142861</c:v>
                </c:pt>
                <c:pt idx="635" formatCode="0.0">
                  <c:v>0</c:v>
                </c:pt>
                <c:pt idx="636" formatCode="0.0">
                  <c:v>0</c:v>
                </c:pt>
                <c:pt idx="637" formatCode="0.0">
                  <c:v>0</c:v>
                </c:pt>
                <c:pt idx="638" formatCode="0.0">
                  <c:v>25.000000000000089</c:v>
                </c:pt>
                <c:pt idx="639" formatCode="0.0">
                  <c:v>24.285714285714189</c:v>
                </c:pt>
                <c:pt idx="640" formatCode="0.0">
                  <c:v>0</c:v>
                </c:pt>
                <c:pt idx="641" formatCode="0.0">
                  <c:v>20.000000000000032</c:v>
                </c:pt>
                <c:pt idx="642" formatCode="0.0">
                  <c:v>0</c:v>
                </c:pt>
                <c:pt idx="643" formatCode="0.0">
                  <c:v>17.142857142857075</c:v>
                </c:pt>
                <c:pt idx="644" formatCode="0.0">
                  <c:v>47.14285714285743</c:v>
                </c:pt>
                <c:pt idx="645" formatCode="0.0">
                  <c:v>19.99999999999995</c:v>
                </c:pt>
                <c:pt idx="646" formatCode="0.0">
                  <c:v>18.181818181818041</c:v>
                </c:pt>
                <c:pt idx="647" formatCode="0.0">
                  <c:v>0</c:v>
                </c:pt>
                <c:pt idx="648" formatCode="0.0">
                  <c:v>14.285714285714374</c:v>
                </c:pt>
                <c:pt idx="649" formatCode="0.0">
                  <c:v>0</c:v>
                </c:pt>
                <c:pt idx="650" formatCode="0.0">
                  <c:v>41.42857142857126</c:v>
                </c:pt>
                <c:pt idx="651" formatCode="0.0">
                  <c:v>0</c:v>
                </c:pt>
                <c:pt idx="652" formatCode="0.0">
                  <c:v>0</c:v>
                </c:pt>
                <c:pt idx="653" formatCode="0.0">
                  <c:v>44.210526315789338</c:v>
                </c:pt>
                <c:pt idx="654" formatCode="0.0">
                  <c:v>9.9999999999999858</c:v>
                </c:pt>
                <c:pt idx="655" formatCode="0.0">
                  <c:v>22.222222222222261</c:v>
                </c:pt>
                <c:pt idx="656" formatCode="0.0">
                  <c:v>70.76923076923093</c:v>
                </c:pt>
                <c:pt idx="657" formatCode="0.0">
                  <c:v>54</c:v>
                </c:pt>
                <c:pt idx="658" formatCode="0.0">
                  <c:v>0</c:v>
                </c:pt>
                <c:pt idx="659" formatCode="0.0">
                  <c:v>0</c:v>
                </c:pt>
                <c:pt idx="660" formatCode="0.0">
                  <c:v>0</c:v>
                </c:pt>
                <c:pt idx="661" formatCode="0.0">
                  <c:v>70</c:v>
                </c:pt>
                <c:pt idx="662" formatCode="0.0">
                  <c:v>14.28571428571423</c:v>
                </c:pt>
                <c:pt idx="663" formatCode="0.0">
                  <c:v>0</c:v>
                </c:pt>
                <c:pt idx="664" formatCode="0.0">
                  <c:v>5.7894736842105523</c:v>
                </c:pt>
                <c:pt idx="665" formatCode="0.0">
                  <c:v>0</c:v>
                </c:pt>
                <c:pt idx="666" formatCode="0.0">
                  <c:v>20.000000000000188</c:v>
                </c:pt>
                <c:pt idx="667" formatCode="0.0">
                  <c:v>17.647058823529235</c:v>
                </c:pt>
                <c:pt idx="668" formatCode="0.0">
                  <c:v>0</c:v>
                </c:pt>
                <c:pt idx="669" formatCode="0.0">
                  <c:v>52.666666666666671</c:v>
                </c:pt>
                <c:pt idx="670" formatCode="0.0">
                  <c:v>42.105263157894612</c:v>
                </c:pt>
                <c:pt idx="671" formatCode="0.0">
                  <c:v>60.64516129032269</c:v>
                </c:pt>
                <c:pt idx="672" formatCode="0.0">
                  <c:v>81.300813008129808</c:v>
                </c:pt>
                <c:pt idx="673" formatCode="0.0">
                  <c:v>89.947089947089921</c:v>
                </c:pt>
                <c:pt idx="674" formatCode="0.0">
                  <c:v>0</c:v>
                </c:pt>
                <c:pt idx="675" formatCode="0.0">
                  <c:v>0</c:v>
                </c:pt>
                <c:pt idx="676" formatCode="0.0">
                  <c:v>0</c:v>
                </c:pt>
                <c:pt idx="677" formatCode="0.0">
                  <c:v>0</c:v>
                </c:pt>
                <c:pt idx="678" formatCode="0.0">
                  <c:v>30.000000000000011</c:v>
                </c:pt>
                <c:pt idx="679" formatCode="0.0">
                  <c:v>46.666666666666629</c:v>
                </c:pt>
                <c:pt idx="680" formatCode="0.0">
                  <c:v>26.250000000000007</c:v>
                </c:pt>
                <c:pt idx="681" formatCode="0.0">
                  <c:v>46.666666666666643</c:v>
                </c:pt>
                <c:pt idx="682" formatCode="0.0">
                  <c:v>63.492063492063508</c:v>
                </c:pt>
                <c:pt idx="683" formatCode="0.0">
                  <c:v>68.421052631578974</c:v>
                </c:pt>
                <c:pt idx="684" formatCode="0.0">
                  <c:v>16.666666666666661</c:v>
                </c:pt>
                <c:pt idx="685" formatCode="0.0">
                  <c:v>56.666666666666643</c:v>
                </c:pt>
                <c:pt idx="686" formatCode="0.0">
                  <c:v>27.500000000000096</c:v>
                </c:pt>
                <c:pt idx="687" formatCode="0.0">
                  <c:v>0</c:v>
                </c:pt>
                <c:pt idx="688" formatCode="0.0">
                  <c:v>57.777777777777871</c:v>
                </c:pt>
                <c:pt idx="689" formatCode="0.0">
                  <c:v>43.529411764705856</c:v>
                </c:pt>
                <c:pt idx="690" formatCode="0.0">
                  <c:v>17.14285714285716</c:v>
                </c:pt>
                <c:pt idx="691" formatCode="0.0">
                  <c:v>22.61904761904762</c:v>
                </c:pt>
                <c:pt idx="692" formatCode="0.0">
                  <c:v>0</c:v>
                </c:pt>
                <c:pt idx="693" formatCode="0.0">
                  <c:v>0</c:v>
                </c:pt>
                <c:pt idx="694" formatCode="0.0">
                  <c:v>26.041666666666689</c:v>
                </c:pt>
                <c:pt idx="695" formatCode="0.0">
                  <c:v>23.728813559321971</c:v>
                </c:pt>
                <c:pt idx="696" formatCode="0.0">
                  <c:v>0</c:v>
                </c:pt>
                <c:pt idx="697" formatCode="0.0">
                  <c:v>27.222222222222264</c:v>
                </c:pt>
                <c:pt idx="698" formatCode="0.0">
                  <c:v>0</c:v>
                </c:pt>
                <c:pt idx="699" formatCode="0.0">
                  <c:v>47.150259067357517</c:v>
                </c:pt>
                <c:pt idx="700" formatCode="0.0">
                  <c:v>0</c:v>
                </c:pt>
                <c:pt idx="701" formatCode="0.0">
                  <c:v>0</c:v>
                </c:pt>
                <c:pt idx="702" formatCode="0.0">
                  <c:v>0</c:v>
                </c:pt>
                <c:pt idx="703" formatCode="0.0">
                  <c:v>18.260869565217359</c:v>
                </c:pt>
                <c:pt idx="704" formatCode="0.0">
                  <c:v>36</c:v>
                </c:pt>
                <c:pt idx="705" formatCode="0.0">
                  <c:v>10.769230769230779</c:v>
                </c:pt>
                <c:pt idx="706" formatCode="0.0">
                  <c:v>34.615384615384642</c:v>
                </c:pt>
                <c:pt idx="707" formatCode="0.0">
                  <c:v>23.214285714285619</c:v>
                </c:pt>
                <c:pt idx="708" formatCode="0.0">
                  <c:v>0</c:v>
                </c:pt>
                <c:pt idx="709" formatCode="0.0">
                  <c:v>0</c:v>
                </c:pt>
                <c:pt idx="710" formatCode="0.0">
                  <c:v>33.333333333333329</c:v>
                </c:pt>
                <c:pt idx="711" formatCode="0.0">
                  <c:v>0</c:v>
                </c:pt>
                <c:pt idx="712" formatCode="0.0">
                  <c:v>0</c:v>
                </c:pt>
                <c:pt idx="713" formatCode="0.0">
                  <c:v>0</c:v>
                </c:pt>
                <c:pt idx="714" formatCode="0.0">
                  <c:v>0</c:v>
                </c:pt>
                <c:pt idx="715" formatCode="0.0">
                  <c:v>17.142857142857245</c:v>
                </c:pt>
                <c:pt idx="716" formatCode="0.0">
                  <c:v>0</c:v>
                </c:pt>
                <c:pt idx="717" formatCode="0.0">
                  <c:v>0</c:v>
                </c:pt>
                <c:pt idx="718" formatCode="0.0">
                  <c:v>0</c:v>
                </c:pt>
                <c:pt idx="719" formatCode="0.0">
                  <c:v>0</c:v>
                </c:pt>
                <c:pt idx="720" formatCode="0.0">
                  <c:v>0</c:v>
                </c:pt>
                <c:pt idx="721" formatCode="0.0">
                  <c:v>0</c:v>
                </c:pt>
                <c:pt idx="722" formatCode="0.0">
                  <c:v>24</c:v>
                </c:pt>
                <c:pt idx="723" formatCode="0.0">
                  <c:v>0</c:v>
                </c:pt>
                <c:pt idx="724" formatCode="0.0">
                  <c:v>0</c:v>
                </c:pt>
                <c:pt idx="725" formatCode="0.0">
                  <c:v>0</c:v>
                </c:pt>
                <c:pt idx="726" formatCode="0.0">
                  <c:v>0</c:v>
                </c:pt>
                <c:pt idx="727" formatCode="0.0">
                  <c:v>29.565217391304387</c:v>
                </c:pt>
                <c:pt idx="728" formatCode="0.0">
                  <c:v>44.117647058823543</c:v>
                </c:pt>
                <c:pt idx="729" formatCode="0.0">
                  <c:v>35.238095238095099</c:v>
                </c:pt>
                <c:pt idx="730" formatCode="0.0">
                  <c:v>13.333333333333353</c:v>
                </c:pt>
                <c:pt idx="731" formatCode="0.0">
                  <c:v>13</c:v>
                </c:pt>
                <c:pt idx="732" formatCode="0.0">
                  <c:v>0</c:v>
                </c:pt>
                <c:pt idx="733" formatCode="0.0">
                  <c:v>0</c:v>
                </c:pt>
                <c:pt idx="734" formatCode="0.0">
                  <c:v>10.476190476190505</c:v>
                </c:pt>
                <c:pt idx="735" formatCode="0.0">
                  <c:v>0</c:v>
                </c:pt>
                <c:pt idx="736" formatCode="0.0">
                  <c:v>0</c:v>
                </c:pt>
                <c:pt idx="737" formatCode="0.0">
                  <c:v>22.499999999999879</c:v>
                </c:pt>
                <c:pt idx="738" formatCode="0.0">
                  <c:v>0</c:v>
                </c:pt>
                <c:pt idx="739" formatCode="0.0">
                  <c:v>16.666666666666664</c:v>
                </c:pt>
                <c:pt idx="740" formatCode="0.0">
                  <c:v>0</c:v>
                </c:pt>
                <c:pt idx="741" formatCode="0.0">
                  <c:v>6</c:v>
                </c:pt>
                <c:pt idx="742" formatCode="0.0">
                  <c:v>45.5</c:v>
                </c:pt>
                <c:pt idx="743" formatCode="0.0">
                  <c:v>42.857142857142975</c:v>
                </c:pt>
                <c:pt idx="744" formatCode="0.0">
                  <c:v>17.5</c:v>
                </c:pt>
                <c:pt idx="745" formatCode="0.0">
                  <c:v>0</c:v>
                </c:pt>
                <c:pt idx="746" formatCode="0.0">
                  <c:v>11.333333333333334</c:v>
                </c:pt>
                <c:pt idx="747" formatCode="0.0">
                  <c:v>0</c:v>
                </c:pt>
                <c:pt idx="748" formatCode="0.0">
                  <c:v>12.49999999999997</c:v>
                </c:pt>
                <c:pt idx="749" formatCode="0.0">
                  <c:v>0</c:v>
                </c:pt>
                <c:pt idx="750" formatCode="0.0">
                  <c:v>9.1666666666667531</c:v>
                </c:pt>
                <c:pt idx="751" formatCode="0.0">
                  <c:v>10.833333333333309</c:v>
                </c:pt>
                <c:pt idx="752" formatCode="0.0">
                  <c:v>0</c:v>
                </c:pt>
                <c:pt idx="753" formatCode="0.0">
                  <c:v>0</c:v>
                </c:pt>
                <c:pt idx="754" formatCode="0.0">
                  <c:v>0</c:v>
                </c:pt>
                <c:pt idx="755" formatCode="0.0">
                  <c:v>0</c:v>
                </c:pt>
                <c:pt idx="756" formatCode="0.0">
                  <c:v>0</c:v>
                </c:pt>
                <c:pt idx="757" formatCode="0.0">
                  <c:v>0</c:v>
                </c:pt>
                <c:pt idx="758" formatCode="0.0">
                  <c:v>0</c:v>
                </c:pt>
                <c:pt idx="759" formatCode="0.0">
                  <c:v>0</c:v>
                </c:pt>
                <c:pt idx="760" formatCode="0.0">
                  <c:v>0</c:v>
                </c:pt>
                <c:pt idx="761" formatCode="0.0">
                  <c:v>17.857142857142851</c:v>
                </c:pt>
                <c:pt idx="762" formatCode="0.0">
                  <c:v>0</c:v>
                </c:pt>
                <c:pt idx="763" formatCode="0.0">
                  <c:v>24</c:v>
                </c:pt>
                <c:pt idx="764" formatCode="0.0">
                  <c:v>23.636363636363633</c:v>
                </c:pt>
                <c:pt idx="765" formatCode="0.0">
                  <c:v>0</c:v>
                </c:pt>
                <c:pt idx="766" formatCode="0.0">
                  <c:v>23.529411764705895</c:v>
                </c:pt>
                <c:pt idx="767" formatCode="0.0">
                  <c:v>26</c:v>
                </c:pt>
                <c:pt idx="768" formatCode="0.0">
                  <c:v>6.6666666666666634</c:v>
                </c:pt>
                <c:pt idx="769" formatCode="0.0">
                  <c:v>0</c:v>
                </c:pt>
                <c:pt idx="770" formatCode="0.0">
                  <c:v>17.499999999999986</c:v>
                </c:pt>
                <c:pt idx="771" formatCode="0.0">
                  <c:v>0</c:v>
                </c:pt>
                <c:pt idx="772" formatCode="0.0">
                  <c:v>0</c:v>
                </c:pt>
                <c:pt idx="773" formatCode="0.0">
                  <c:v>0</c:v>
                </c:pt>
                <c:pt idx="774" formatCode="0.0">
                  <c:v>60.000000000000099</c:v>
                </c:pt>
                <c:pt idx="775" formatCode="0.0">
                  <c:v>46</c:v>
                </c:pt>
                <c:pt idx="776" formatCode="0.0">
                  <c:v>0</c:v>
                </c:pt>
                <c:pt idx="777" formatCode="0.0">
                  <c:v>32.727272727272684</c:v>
                </c:pt>
                <c:pt idx="778" formatCode="0.0">
                  <c:v>0</c:v>
                </c:pt>
                <c:pt idx="779" formatCode="0.0">
                  <c:v>0</c:v>
                </c:pt>
                <c:pt idx="780" formatCode="0.0">
                  <c:v>0</c:v>
                </c:pt>
                <c:pt idx="781" formatCode="0.0">
                  <c:v>0</c:v>
                </c:pt>
                <c:pt idx="782" formatCode="0.0">
                  <c:v>0</c:v>
                </c:pt>
                <c:pt idx="783" formatCode="0.0">
                  <c:v>0</c:v>
                </c:pt>
                <c:pt idx="784" formatCode="0.0">
                  <c:v>0</c:v>
                </c:pt>
                <c:pt idx="785" formatCode="0.0">
                  <c:v>0</c:v>
                </c:pt>
                <c:pt idx="786" formatCode="0.0">
                  <c:v>0</c:v>
                </c:pt>
                <c:pt idx="787" formatCode="0.0">
                  <c:v>0</c:v>
                </c:pt>
                <c:pt idx="788" formatCode="0.0">
                  <c:v>0</c:v>
                </c:pt>
                <c:pt idx="789" formatCode="0.0">
                  <c:v>0</c:v>
                </c:pt>
                <c:pt idx="790" formatCode="0.0">
                  <c:v>0</c:v>
                </c:pt>
                <c:pt idx="791" formatCode="General">
                  <c:v>0</c:v>
                </c:pt>
                <c:pt idx="792" formatCode="General">
                  <c:v>0</c:v>
                </c:pt>
                <c:pt idx="793" formatCode="General">
                  <c:v>43.333333333333236</c:v>
                </c:pt>
                <c:pt idx="794" formatCode="General">
                  <c:v>16.25000000000006</c:v>
                </c:pt>
                <c:pt idx="795" formatCode="General">
                  <c:v>0</c:v>
                </c:pt>
                <c:pt idx="796" formatCode="General">
                  <c:v>0</c:v>
                </c:pt>
                <c:pt idx="797" formatCode="General">
                  <c:v>0</c:v>
                </c:pt>
                <c:pt idx="798" formatCode="General">
                  <c:v>0</c:v>
                </c:pt>
                <c:pt idx="799" formatCode="0.0">
                  <c:v>0</c:v>
                </c:pt>
                <c:pt idx="800" formatCode="0.0">
                  <c:v>12.631578947368382</c:v>
                </c:pt>
                <c:pt idx="801" formatCode="0.0">
                  <c:v>29.999999999999925</c:v>
                </c:pt>
                <c:pt idx="802" formatCode="0.0">
                  <c:v>0</c:v>
                </c:pt>
                <c:pt idx="803" formatCode="0.0">
                  <c:v>0</c:v>
                </c:pt>
                <c:pt idx="804" formatCode="0.0">
                  <c:v>0</c:v>
                </c:pt>
                <c:pt idx="805" formatCode="General">
                  <c:v>0</c:v>
                </c:pt>
                <c:pt idx="806" formatCode="General">
                  <c:v>15.714285714285731</c:v>
                </c:pt>
                <c:pt idx="807" formatCode="0.0">
                  <c:v>0</c:v>
                </c:pt>
                <c:pt idx="808" formatCode="0.0">
                  <c:v>0</c:v>
                </c:pt>
                <c:pt idx="809" formatCode="0.0">
                  <c:v>0</c:v>
                </c:pt>
                <c:pt idx="810" formatCode="0.0">
                  <c:v>0</c:v>
                </c:pt>
                <c:pt idx="811" formatCode="0.0">
                  <c:v>0</c:v>
                </c:pt>
                <c:pt idx="812" formatCode="0.0">
                  <c:v>0</c:v>
                </c:pt>
                <c:pt idx="813" formatCode="General">
                  <c:v>0</c:v>
                </c:pt>
                <c:pt idx="814" formatCode="0.0">
                  <c:v>0</c:v>
                </c:pt>
                <c:pt idx="815" formatCode="0.0">
                  <c:v>0</c:v>
                </c:pt>
                <c:pt idx="816" formatCode="0.0">
                  <c:v>0</c:v>
                </c:pt>
                <c:pt idx="817" formatCode="0.0">
                  <c:v>16.842105263157908</c:v>
                </c:pt>
                <c:pt idx="818" formatCode="0.0">
                  <c:v>28.666666666666668</c:v>
                </c:pt>
                <c:pt idx="819" formatCode="0.0">
                  <c:v>31.666666666666782</c:v>
                </c:pt>
                <c:pt idx="820" formatCode="0.0">
                  <c:v>0</c:v>
                </c:pt>
                <c:pt idx="821" formatCode="0.0">
                  <c:v>0</c:v>
                </c:pt>
                <c:pt idx="822" formatCode="0.0">
                  <c:v>9.1666666666666448</c:v>
                </c:pt>
                <c:pt idx="823" formatCode="0.0">
                  <c:v>0</c:v>
                </c:pt>
                <c:pt idx="824" formatCode="0.0">
                  <c:v>64</c:v>
                </c:pt>
                <c:pt idx="825" formatCode="0.0">
                  <c:v>0</c:v>
                </c:pt>
                <c:pt idx="826" formatCode="0.0">
                  <c:v>0</c:v>
                </c:pt>
                <c:pt idx="827" formatCode="0.0">
                  <c:v>0</c:v>
                </c:pt>
                <c:pt idx="828" formatCode="0.0">
                  <c:v>0</c:v>
                </c:pt>
                <c:pt idx="829" formatCode="0.0">
                  <c:v>34.285714285714491</c:v>
                </c:pt>
                <c:pt idx="830" formatCode="0.0">
                  <c:v>0</c:v>
                </c:pt>
                <c:pt idx="831" formatCode="0.0">
                  <c:v>0</c:v>
                </c:pt>
                <c:pt idx="832" formatCode="General">
                  <c:v>9.2307692307692513</c:v>
                </c:pt>
                <c:pt idx="833" formatCode="General">
                  <c:v>14.736842105263115</c:v>
                </c:pt>
                <c:pt idx="834" formatCode="General">
                  <c:v>42</c:v>
                </c:pt>
                <c:pt idx="835" formatCode="General">
                  <c:v>75.000000000001592</c:v>
                </c:pt>
                <c:pt idx="836" formatCode="General">
                  <c:v>13.63636363636353</c:v>
                </c:pt>
                <c:pt idx="837" formatCode="General">
                  <c:v>35.83333333333325</c:v>
                </c:pt>
                <c:pt idx="838" formatCode="General">
                  <c:v>63</c:v>
                </c:pt>
                <c:pt idx="839" formatCode="General">
                  <c:v>46</c:v>
                </c:pt>
                <c:pt idx="840" formatCode="General">
                  <c:v>35.5</c:v>
                </c:pt>
                <c:pt idx="841" formatCode="General">
                  <c:v>41.428571428571544</c:v>
                </c:pt>
                <c:pt idx="842" formatCode="General">
                  <c:v>57.894736842105097</c:v>
                </c:pt>
                <c:pt idx="843" formatCode="General">
                  <c:v>0</c:v>
                </c:pt>
                <c:pt idx="844" formatCode="General">
                  <c:v>0</c:v>
                </c:pt>
                <c:pt idx="845" formatCode="General">
                  <c:v>0</c:v>
                </c:pt>
                <c:pt idx="846" formatCode="General">
                  <c:v>0</c:v>
                </c:pt>
                <c:pt idx="847" formatCode="General">
                  <c:v>0</c:v>
                </c:pt>
                <c:pt idx="848" formatCode="General">
                  <c:v>0</c:v>
                </c:pt>
                <c:pt idx="849" formatCode="General">
                  <c:v>0</c:v>
                </c:pt>
                <c:pt idx="850" formatCode="General">
                  <c:v>30.909090909090921</c:v>
                </c:pt>
                <c:pt idx="851" formatCode="General">
                  <c:v>0</c:v>
                </c:pt>
                <c:pt idx="852" formatCode="General">
                  <c:v>0</c:v>
                </c:pt>
                <c:pt idx="853" formatCode="General">
                  <c:v>0</c:v>
                </c:pt>
                <c:pt idx="854" formatCode="General">
                  <c:v>28.571428571428605</c:v>
                </c:pt>
                <c:pt idx="855" formatCode="General">
                  <c:v>0</c:v>
                </c:pt>
                <c:pt idx="856" formatCode="General">
                  <c:v>29.230769230769216</c:v>
                </c:pt>
                <c:pt idx="857" formatCode="General">
                  <c:v>0</c:v>
                </c:pt>
                <c:pt idx="858" formatCode="General">
                  <c:v>16.097560975609763</c:v>
                </c:pt>
                <c:pt idx="859" formatCode="General">
                  <c:v>33.33333333333325</c:v>
                </c:pt>
                <c:pt idx="860" formatCode="General">
                  <c:v>0</c:v>
                </c:pt>
                <c:pt idx="861" formatCode="General">
                  <c:v>0</c:v>
                </c:pt>
                <c:pt idx="862" formatCode="General">
                  <c:v>0</c:v>
                </c:pt>
                <c:pt idx="863" formatCode="General">
                  <c:v>0</c:v>
                </c:pt>
                <c:pt idx="864" formatCode="General">
                  <c:v>0</c:v>
                </c:pt>
                <c:pt idx="865" formatCode="General">
                  <c:v>0</c:v>
                </c:pt>
                <c:pt idx="866" formatCode="General">
                  <c:v>37.142857142856997</c:v>
                </c:pt>
                <c:pt idx="867" formatCode="General">
                  <c:v>0</c:v>
                </c:pt>
                <c:pt idx="868" formatCode="General">
                  <c:v>0</c:v>
                </c:pt>
                <c:pt idx="869" formatCode="General">
                  <c:v>0</c:v>
                </c:pt>
                <c:pt idx="870" formatCode="General">
                  <c:v>52.499999999999943</c:v>
                </c:pt>
                <c:pt idx="871" formatCode="General">
                  <c:v>0</c:v>
                </c:pt>
                <c:pt idx="872" formatCode="General">
                  <c:v>17.500000000000011</c:v>
                </c:pt>
                <c:pt idx="873" formatCode="0.0">
                  <c:v>18.5</c:v>
                </c:pt>
                <c:pt idx="874" formatCode="0.0">
                  <c:v>53.714285714285715</c:v>
                </c:pt>
                <c:pt idx="875" formatCode="0.0">
                  <c:v>55.238095238095198</c:v>
                </c:pt>
                <c:pt idx="876" formatCode="0.0">
                  <c:v>34.5</c:v>
                </c:pt>
                <c:pt idx="877" formatCode="0.0">
                  <c:v>34.761904761904795</c:v>
                </c:pt>
                <c:pt idx="878" formatCode="0.0">
                  <c:v>45.5</c:v>
                </c:pt>
                <c:pt idx="879" formatCode="0.0">
                  <c:v>22.85714285714284</c:v>
                </c:pt>
                <c:pt idx="880" formatCode="0.0">
                  <c:v>31.162790697674442</c:v>
                </c:pt>
                <c:pt idx="881" formatCode="0.0">
                  <c:v>36.756756756756729</c:v>
                </c:pt>
                <c:pt idx="882" formatCode="General">
                  <c:v>0</c:v>
                </c:pt>
                <c:pt idx="883" formatCode="General">
                  <c:v>0</c:v>
                </c:pt>
                <c:pt idx="884" formatCode="General">
                  <c:v>0</c:v>
                </c:pt>
                <c:pt idx="885" formatCode="General">
                  <c:v>45.714285714285715</c:v>
                </c:pt>
                <c:pt idx="886" formatCode="General">
                  <c:v>10.476190476190478</c:v>
                </c:pt>
                <c:pt idx="887" formatCode="General">
                  <c:v>28.947368421052627</c:v>
                </c:pt>
                <c:pt idx="888" formatCode="0.0">
                  <c:v>23.5</c:v>
                </c:pt>
                <c:pt idx="889" formatCode="0.0">
                  <c:v>37.500000000000021</c:v>
                </c:pt>
                <c:pt idx="890" formatCode="0.0">
                  <c:v>17.272727272727252</c:v>
                </c:pt>
                <c:pt idx="891" formatCode="0.0">
                  <c:v>0</c:v>
                </c:pt>
                <c:pt idx="892" formatCode="0.0">
                  <c:v>21.538461538461529</c:v>
                </c:pt>
                <c:pt idx="893" formatCode="0.0">
                  <c:v>31.904761904761941</c:v>
                </c:pt>
                <c:pt idx="894" formatCode="0.0">
                  <c:v>10.5</c:v>
                </c:pt>
                <c:pt idx="895" formatCode="0.0">
                  <c:v>0</c:v>
                </c:pt>
                <c:pt idx="896" formatCode="0.0">
                  <c:v>15.714285714285731</c:v>
                </c:pt>
                <c:pt idx="897" formatCode="0.0">
                  <c:v>11.538461538461533</c:v>
                </c:pt>
                <c:pt idx="898" formatCode="0.0">
                  <c:v>79</c:v>
                </c:pt>
                <c:pt idx="899" formatCode="0.0">
                  <c:v>50.000000000000043</c:v>
                </c:pt>
                <c:pt idx="900" formatCode="0.0">
                  <c:v>22.727272727272698</c:v>
                </c:pt>
                <c:pt idx="901" formatCode="0.0">
                  <c:v>0</c:v>
                </c:pt>
                <c:pt idx="902" formatCode="0.0">
                  <c:v>0</c:v>
                </c:pt>
                <c:pt idx="903" formatCode="0.0">
                  <c:v>0</c:v>
                </c:pt>
                <c:pt idx="904" formatCode="General">
                  <c:v>85.48387096774205</c:v>
                </c:pt>
                <c:pt idx="905" formatCode="General">
                  <c:v>58.844765342960294</c:v>
                </c:pt>
                <c:pt idx="906" formatCode="General">
                  <c:v>62</c:v>
                </c:pt>
                <c:pt idx="907" formatCode="General">
                  <c:v>85.245901639344339</c:v>
                </c:pt>
                <c:pt idx="908" formatCode="General">
                  <c:v>70.297029702970192</c:v>
                </c:pt>
                <c:pt idx="909" formatCode="General">
                  <c:v>0</c:v>
                </c:pt>
                <c:pt idx="910" formatCode="General">
                  <c:v>0</c:v>
                </c:pt>
                <c:pt idx="911" formatCode="General">
                  <c:v>0</c:v>
                </c:pt>
                <c:pt idx="912" formatCode="General">
                  <c:v>0</c:v>
                </c:pt>
                <c:pt idx="913" formatCode="General">
                  <c:v>0</c:v>
                </c:pt>
                <c:pt idx="914" formatCode="General">
                  <c:v>0</c:v>
                </c:pt>
                <c:pt idx="915" formatCode="General">
                  <c:v>0</c:v>
                </c:pt>
                <c:pt idx="916" formatCode="General">
                  <c:v>28.888888888888882</c:v>
                </c:pt>
                <c:pt idx="917" formatCode="General">
                  <c:v>8.5714285714285694</c:v>
                </c:pt>
                <c:pt idx="918" formatCode="0.0">
                  <c:v>18.461538461538478</c:v>
                </c:pt>
                <c:pt idx="919" formatCode="0.0">
                  <c:v>25</c:v>
                </c:pt>
                <c:pt idx="920" formatCode="0.0">
                  <c:v>27.142857142857135</c:v>
                </c:pt>
                <c:pt idx="921" formatCode="0.0">
                  <c:v>30.555555555555546</c:v>
                </c:pt>
                <c:pt idx="922" formatCode="0.0">
                  <c:v>0</c:v>
                </c:pt>
                <c:pt idx="923" formatCode="0.0">
                  <c:v>9.6000000000000121</c:v>
                </c:pt>
                <c:pt idx="924" formatCode="0.0">
                  <c:v>30.322580645161274</c:v>
                </c:pt>
                <c:pt idx="925" formatCode="0.0">
                  <c:v>18.333333333333343</c:v>
                </c:pt>
                <c:pt idx="926" formatCode="0.0">
                  <c:v>0</c:v>
                </c:pt>
                <c:pt idx="927" formatCode="0.0">
                  <c:v>7.1428571428571326</c:v>
                </c:pt>
                <c:pt idx="928" formatCode="0.0">
                  <c:v>35.384615384615465</c:v>
                </c:pt>
                <c:pt idx="929" formatCode="0.0">
                  <c:v>0</c:v>
                </c:pt>
                <c:pt idx="930" formatCode="0.0">
                  <c:v>9.1666666666666714</c:v>
                </c:pt>
                <c:pt idx="931" formatCode="0.0">
                  <c:v>0</c:v>
                </c:pt>
                <c:pt idx="932" formatCode="0.0">
                  <c:v>0</c:v>
                </c:pt>
                <c:pt idx="933" formatCode="0.0">
                  <c:v>21</c:v>
                </c:pt>
                <c:pt idx="934" formatCode="0.0">
                  <c:v>0</c:v>
                </c:pt>
                <c:pt idx="935" formatCode="0.0">
                  <c:v>0</c:v>
                </c:pt>
                <c:pt idx="936" formatCode="0.0">
                  <c:v>0</c:v>
                </c:pt>
                <c:pt idx="937" formatCode="0.0">
                  <c:v>10</c:v>
                </c:pt>
                <c:pt idx="938" formatCode="0.0">
                  <c:v>12.727272727272712</c:v>
                </c:pt>
                <c:pt idx="939" formatCode="0.0">
                  <c:v>12.352941176470621</c:v>
                </c:pt>
                <c:pt idx="940" formatCode="0.0">
                  <c:v>0</c:v>
                </c:pt>
                <c:pt idx="941" formatCode="0.0">
                  <c:v>51.666666666666536</c:v>
                </c:pt>
                <c:pt idx="942" formatCode="0.0">
                  <c:v>40.000000000000092</c:v>
                </c:pt>
                <c:pt idx="943" formatCode="0.0">
                  <c:v>54.500000000000007</c:v>
                </c:pt>
                <c:pt idx="944" formatCode="General">
                  <c:v>51.515151515151572</c:v>
                </c:pt>
                <c:pt idx="945" formatCode="General">
                  <c:v>93.636363636363626</c:v>
                </c:pt>
                <c:pt idx="946" formatCode="General">
                  <c:v>56.000000000000007</c:v>
                </c:pt>
                <c:pt idx="947" formatCode="General">
                  <c:v>33.571428571428577</c:v>
                </c:pt>
                <c:pt idx="948" formatCode="General">
                  <c:v>0</c:v>
                </c:pt>
                <c:pt idx="949" formatCode="General">
                  <c:v>32.857142857142854</c:v>
                </c:pt>
                <c:pt idx="950" formatCode="General">
                  <c:v>47.777777777777807</c:v>
                </c:pt>
                <c:pt idx="951" formatCode="General">
                  <c:v>29.333333333333332</c:v>
                </c:pt>
                <c:pt idx="952" formatCode="General">
                  <c:v>20.000000000000004</c:v>
                </c:pt>
                <c:pt idx="953" formatCode="General">
                  <c:v>8.7999999999999989</c:v>
                </c:pt>
                <c:pt idx="954" formatCode="General">
                  <c:v>73.157894736842081</c:v>
                </c:pt>
                <c:pt idx="955" formatCode="General">
                  <c:v>26.428571428571423</c:v>
                </c:pt>
                <c:pt idx="956" formatCode="General">
                  <c:v>42.222222222222207</c:v>
                </c:pt>
                <c:pt idx="957" formatCode="General">
                  <c:v>44.999999999999993</c:v>
                </c:pt>
                <c:pt idx="958" formatCode="General">
                  <c:v>49.032258064516107</c:v>
                </c:pt>
                <c:pt idx="959" formatCode="General">
                  <c:v>54.285714285714334</c:v>
                </c:pt>
                <c:pt idx="960" formatCode="General">
                  <c:v>52.63157894736846</c:v>
                </c:pt>
                <c:pt idx="961" formatCode="General">
                  <c:v>45.882352941176393</c:v>
                </c:pt>
                <c:pt idx="962" formatCode="General">
                  <c:v>38.571428571428612</c:v>
                </c:pt>
                <c:pt idx="963" formatCode="General">
                  <c:v>56.470588235294137</c:v>
                </c:pt>
                <c:pt idx="964" formatCode="0.0">
                  <c:v>52.777777777777757</c:v>
                </c:pt>
                <c:pt idx="965" formatCode="0.0">
                  <c:v>63.846153846153811</c:v>
                </c:pt>
                <c:pt idx="966" formatCode="0.0">
                  <c:v>20.625000000000028</c:v>
                </c:pt>
                <c:pt idx="967" formatCode="0.0">
                  <c:v>8.6956521739130288</c:v>
                </c:pt>
                <c:pt idx="968" formatCode="0.0">
                  <c:v>22</c:v>
                </c:pt>
                <c:pt idx="969" formatCode="0.0">
                  <c:v>9.5238095238095184</c:v>
                </c:pt>
                <c:pt idx="970" formatCode="0.0">
                  <c:v>0</c:v>
                </c:pt>
                <c:pt idx="971" formatCode="0.0">
                  <c:v>16.363636363636342</c:v>
                </c:pt>
                <c:pt idx="972" formatCode="0.0">
                  <c:v>41.57894736842109</c:v>
                </c:pt>
                <c:pt idx="973" formatCode="0.0">
                  <c:v>28.148148148148117</c:v>
                </c:pt>
                <c:pt idx="974" formatCode="0.0">
                  <c:v>47.14285714285711</c:v>
                </c:pt>
                <c:pt idx="975" formatCode="0.0">
                  <c:v>31.052631578947388</c:v>
                </c:pt>
                <c:pt idx="976" formatCode="0.0">
                  <c:v>0</c:v>
                </c:pt>
                <c:pt idx="977" formatCode="General">
                  <c:v>0</c:v>
                </c:pt>
                <c:pt idx="978" formatCode="General">
                  <c:v>0</c:v>
                </c:pt>
                <c:pt idx="979" formatCode="General">
                  <c:v>0</c:v>
                </c:pt>
                <c:pt idx="980" formatCode="General">
                  <c:v>0</c:v>
                </c:pt>
                <c:pt idx="981" formatCode="General">
                  <c:v>16.428571428571427</c:v>
                </c:pt>
                <c:pt idx="982" formatCode="General">
                  <c:v>0</c:v>
                </c:pt>
                <c:pt idx="983" formatCode="General">
                  <c:v>0</c:v>
                </c:pt>
                <c:pt idx="984" formatCode="General">
                  <c:v>14.444444444444441</c:v>
                </c:pt>
                <c:pt idx="985" formatCode="General">
                  <c:v>8.3333333333333321</c:v>
                </c:pt>
                <c:pt idx="986" formatCode="General">
                  <c:v>33.333333333333357</c:v>
                </c:pt>
                <c:pt idx="987" formatCode="General">
                  <c:v>38</c:v>
                </c:pt>
                <c:pt idx="988" formatCode="General">
                  <c:v>27.200000000000003</c:v>
                </c:pt>
                <c:pt idx="989" formatCode="General">
                  <c:v>31.333333333333329</c:v>
                </c:pt>
                <c:pt idx="990" formatCode="General">
                  <c:v>21.249999999999982</c:v>
                </c:pt>
                <c:pt idx="991" formatCode="General">
                  <c:v>0</c:v>
                </c:pt>
                <c:pt idx="992" formatCode="0.0">
                  <c:v>0</c:v>
                </c:pt>
                <c:pt idx="993" formatCode="0.0">
                  <c:v>28.000000000000004</c:v>
                </c:pt>
                <c:pt idx="994" formatCode="0.0">
                  <c:v>26.363636363636417</c:v>
                </c:pt>
                <c:pt idx="995" formatCode="0.0">
                  <c:v>0</c:v>
                </c:pt>
                <c:pt idx="996" formatCode="0.0">
                  <c:v>14.285714285714302</c:v>
                </c:pt>
                <c:pt idx="997" formatCode="0.0">
                  <c:v>0</c:v>
                </c:pt>
                <c:pt idx="998" formatCode="0.0">
                  <c:v>0</c:v>
                </c:pt>
                <c:pt idx="999" formatCode="General">
                  <c:v>36.666666666667012</c:v>
                </c:pt>
                <c:pt idx="1000" formatCode="0.0">
                  <c:v>73.333333333333158</c:v>
                </c:pt>
                <c:pt idx="1001" formatCode="0.0">
                  <c:v>8.3333333333333393</c:v>
                </c:pt>
                <c:pt idx="1002" formatCode="General">
                  <c:v>14.999999999999986</c:v>
                </c:pt>
                <c:pt idx="1003" formatCode="General">
                  <c:v>36.470588235294052</c:v>
                </c:pt>
                <c:pt idx="1004" formatCode="General">
                  <c:v>23.076923076923126</c:v>
                </c:pt>
                <c:pt idx="1005" formatCode="General">
                  <c:v>36.666666666666579</c:v>
                </c:pt>
                <c:pt idx="1006" formatCode="General">
                  <c:v>35.555555555555614</c:v>
                </c:pt>
                <c:pt idx="1007" formatCode="General">
                  <c:v>39.999999999999979</c:v>
                </c:pt>
                <c:pt idx="1008" formatCode="General">
                  <c:v>0</c:v>
                </c:pt>
                <c:pt idx="1009" formatCode="General">
                  <c:v>38.823529411764639</c:v>
                </c:pt>
                <c:pt idx="1010" formatCode="General">
                  <c:v>0</c:v>
                </c:pt>
                <c:pt idx="1011" formatCode="General">
                  <c:v>53.846153846153378</c:v>
                </c:pt>
                <c:pt idx="1012" formatCode="General">
                  <c:v>60</c:v>
                </c:pt>
                <c:pt idx="1013" formatCode="General">
                  <c:v>33</c:v>
                </c:pt>
                <c:pt idx="1014" formatCode="General">
                  <c:v>50</c:v>
                </c:pt>
                <c:pt idx="1015" formatCode="General">
                  <c:v>38</c:v>
                </c:pt>
                <c:pt idx="1016" formatCode="General">
                  <c:v>16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FD83-4359-8084-FB09C3B9A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FD83-4359-8084-FB09C3B9ABF0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D83-4359-8084-FB09C3B9ABF0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FD83-4359-8084-FB09C3B9ABF0}"/>
            </c:ext>
          </c:extLst>
        </c:ser>
        <c:ser>
          <c:idx val="4"/>
          <c:order val="4"/>
          <c:tx>
            <c:v>Drillholes</c:v>
          </c:tx>
          <c:marker>
            <c:symbol val="none"/>
          </c:marker>
          <c:xVal>
            <c:numRef>
              <c:f>'2. Logging Brejo Seco'!$Z$677:$Z$766</c:f>
              <c:numCache>
                <c:formatCode>0.00</c:formatCode>
                <c:ptCount val="90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50</c:v>
                </c:pt>
                <c:pt idx="4">
                  <c:v>109.99999999999996</c:v>
                </c:pt>
                <c:pt idx="5">
                  <c:v>66.666666666666728</c:v>
                </c:pt>
                <c:pt idx="6">
                  <c:v>88.888888888888857</c:v>
                </c:pt>
                <c:pt idx="7">
                  <c:v>100.00000000000004</c:v>
                </c:pt>
                <c:pt idx="8">
                  <c:v>157.49999999999997</c:v>
                </c:pt>
                <c:pt idx="9">
                  <c:v>189.99999999999994</c:v>
                </c:pt>
                <c:pt idx="10">
                  <c:v>90.000000000000028</c:v>
                </c:pt>
                <c:pt idx="11">
                  <c:v>100.00000000000004</c:v>
                </c:pt>
                <c:pt idx="12">
                  <c:v>79.999999999999716</c:v>
                </c:pt>
                <c:pt idx="13">
                  <c:v>100.00000000000023</c:v>
                </c:pt>
                <c:pt idx="14">
                  <c:v>128.57142857142838</c:v>
                </c:pt>
                <c:pt idx="15">
                  <c:v>170.00000000000011</c:v>
                </c:pt>
                <c:pt idx="16">
                  <c:v>69.999999999999929</c:v>
                </c:pt>
                <c:pt idx="17">
                  <c:v>83.999999999999986</c:v>
                </c:pt>
                <c:pt idx="18">
                  <c:v>83.333333333333329</c:v>
                </c:pt>
                <c:pt idx="19">
                  <c:v>61.000000000000036</c:v>
                </c:pt>
                <c:pt idx="20">
                  <c:v>127.99999999999987</c:v>
                </c:pt>
                <c:pt idx="21">
                  <c:v>78.666666666666885</c:v>
                </c:pt>
                <c:pt idx="22">
                  <c:v>75</c:v>
                </c:pt>
                <c:pt idx="23">
                  <c:v>163.6363636363634</c:v>
                </c:pt>
                <c:pt idx="24">
                  <c:v>50</c:v>
                </c:pt>
                <c:pt idx="25">
                  <c:v>160.83333333333331</c:v>
                </c:pt>
                <c:pt idx="26">
                  <c:v>15.000000000000034</c:v>
                </c:pt>
                <c:pt idx="27">
                  <c:v>34.999999999999964</c:v>
                </c:pt>
                <c:pt idx="28">
                  <c:v>59.999999999999964</c:v>
                </c:pt>
                <c:pt idx="29">
                  <c:v>60.526315789473792</c:v>
                </c:pt>
                <c:pt idx="30">
                  <c:v>142.85714285714286</c:v>
                </c:pt>
                <c:pt idx="31">
                  <c:v>144.44444444444431</c:v>
                </c:pt>
                <c:pt idx="32">
                  <c:v>51.999999999999957</c:v>
                </c:pt>
                <c:pt idx="33">
                  <c:v>80.000000000000327</c:v>
                </c:pt>
                <c:pt idx="34">
                  <c:v>30.000000000000068</c:v>
                </c:pt>
                <c:pt idx="35">
                  <c:v>17.500000000000071</c:v>
                </c:pt>
                <c:pt idx="36">
                  <c:v>68.181818181818187</c:v>
                </c:pt>
                <c:pt idx="37">
                  <c:v>59.999999999999908</c:v>
                </c:pt>
                <c:pt idx="38">
                  <c:v>44.999999999999929</c:v>
                </c:pt>
                <c:pt idx="39">
                  <c:v>39.999999999999858</c:v>
                </c:pt>
                <c:pt idx="40">
                  <c:v>32.500000000000284</c:v>
                </c:pt>
                <c:pt idx="41">
                  <c:v>99.999999999999389</c:v>
                </c:pt>
                <c:pt idx="42">
                  <c:v>39.999999999999858</c:v>
                </c:pt>
                <c:pt idx="43">
                  <c:v>40.000000000000213</c:v>
                </c:pt>
                <c:pt idx="44">
                  <c:v>100</c:v>
                </c:pt>
                <c:pt idx="45">
                  <c:v>75</c:v>
                </c:pt>
                <c:pt idx="46">
                  <c:v>44.999999999999929</c:v>
                </c:pt>
                <c:pt idx="47">
                  <c:v>30.000000000000068</c:v>
                </c:pt>
                <c:pt idx="48">
                  <c:v>100</c:v>
                </c:pt>
                <c:pt idx="49">
                  <c:v>53.333333333333144</c:v>
                </c:pt>
                <c:pt idx="50">
                  <c:v>56.666666666666757</c:v>
                </c:pt>
                <c:pt idx="51">
                  <c:v>36.66666666666648</c:v>
                </c:pt>
                <c:pt idx="52">
                  <c:v>46.666666666666856</c:v>
                </c:pt>
                <c:pt idx="53">
                  <c:v>143.74999999999983</c:v>
                </c:pt>
                <c:pt idx="54">
                  <c:v>135.99999999999994</c:v>
                </c:pt>
                <c:pt idx="55">
                  <c:v>131.25000000000054</c:v>
                </c:pt>
                <c:pt idx="56">
                  <c:v>89.999999999999858</c:v>
                </c:pt>
                <c:pt idx="57">
                  <c:v>125</c:v>
                </c:pt>
                <c:pt idx="58">
                  <c:v>19.999999999999929</c:v>
                </c:pt>
                <c:pt idx="59">
                  <c:v>25</c:v>
                </c:pt>
                <c:pt idx="60">
                  <c:v>116.66666666666636</c:v>
                </c:pt>
                <c:pt idx="61">
                  <c:v>5.0000000000000711</c:v>
                </c:pt>
                <c:pt idx="62">
                  <c:v>19.999999999999929</c:v>
                </c:pt>
                <c:pt idx="63">
                  <c:v>53.33333333333362</c:v>
                </c:pt>
                <c:pt idx="64">
                  <c:v>59.999999999999787</c:v>
                </c:pt>
                <c:pt idx="65">
                  <c:v>100</c:v>
                </c:pt>
                <c:pt idx="66">
                  <c:v>65.000000000000213</c:v>
                </c:pt>
                <c:pt idx="67">
                  <c:v>117.64705882352941</c:v>
                </c:pt>
                <c:pt idx="68">
                  <c:v>181.81818181818181</c:v>
                </c:pt>
                <c:pt idx="69">
                  <c:v>139.99999999999963</c:v>
                </c:pt>
                <c:pt idx="70">
                  <c:v>142.85714285714286</c:v>
                </c:pt>
                <c:pt idx="71">
                  <c:v>50</c:v>
                </c:pt>
                <c:pt idx="72">
                  <c:v>100</c:v>
                </c:pt>
                <c:pt idx="73">
                  <c:v>95.000000000000284</c:v>
                </c:pt>
                <c:pt idx="74">
                  <c:v>80.000000000000185</c:v>
                </c:pt>
                <c:pt idx="75">
                  <c:v>35.000000000000142</c:v>
                </c:pt>
                <c:pt idx="76">
                  <c:v>79.999999999999247</c:v>
                </c:pt>
                <c:pt idx="77">
                  <c:v>80.000000000000185</c:v>
                </c:pt>
                <c:pt idx="78">
                  <c:v>46.000000000000085</c:v>
                </c:pt>
                <c:pt idx="79">
                  <c:v>30</c:v>
                </c:pt>
                <c:pt idx="80">
                  <c:v>30</c:v>
                </c:pt>
                <c:pt idx="81">
                  <c:v>30.000000000000007</c:v>
                </c:pt>
                <c:pt idx="82">
                  <c:v>35</c:v>
                </c:pt>
                <c:pt idx="83">
                  <c:v>32.499999999999993</c:v>
                </c:pt>
                <c:pt idx="84">
                  <c:v>44.999999999999993</c:v>
                </c:pt>
                <c:pt idx="85">
                  <c:v>64.999999999999986</c:v>
                </c:pt>
                <c:pt idx="86">
                  <c:v>45.000000000000014</c:v>
                </c:pt>
                <c:pt idx="87">
                  <c:v>140.00000000000006</c:v>
                </c:pt>
                <c:pt idx="88">
                  <c:v>50</c:v>
                </c:pt>
                <c:pt idx="89">
                  <c:v>187.5</c:v>
                </c:pt>
              </c:numCache>
            </c:numRef>
          </c:xVal>
          <c:yVal>
            <c:numRef>
              <c:f>'2. Logging Brejo Seco'!$V$677:$V$766</c:f>
              <c:numCache>
                <c:formatCode>0.0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30.000000000000011</c:v>
                </c:pt>
                <c:pt idx="5">
                  <c:v>46.666666666666629</c:v>
                </c:pt>
                <c:pt idx="6">
                  <c:v>26.250000000000007</c:v>
                </c:pt>
                <c:pt idx="7">
                  <c:v>46.666666666666643</c:v>
                </c:pt>
                <c:pt idx="8">
                  <c:v>63.492063492063508</c:v>
                </c:pt>
                <c:pt idx="9">
                  <c:v>68.421052631578974</c:v>
                </c:pt>
                <c:pt idx="10">
                  <c:v>16.666666666666661</c:v>
                </c:pt>
                <c:pt idx="11">
                  <c:v>56.666666666666643</c:v>
                </c:pt>
                <c:pt idx="12">
                  <c:v>27.500000000000096</c:v>
                </c:pt>
                <c:pt idx="13">
                  <c:v>0</c:v>
                </c:pt>
                <c:pt idx="14">
                  <c:v>57.777777777777871</c:v>
                </c:pt>
                <c:pt idx="15">
                  <c:v>43.529411764705856</c:v>
                </c:pt>
                <c:pt idx="16">
                  <c:v>17.14285714285716</c:v>
                </c:pt>
                <c:pt idx="17">
                  <c:v>22.61904761904762</c:v>
                </c:pt>
                <c:pt idx="18">
                  <c:v>0</c:v>
                </c:pt>
                <c:pt idx="19">
                  <c:v>0</c:v>
                </c:pt>
                <c:pt idx="20">
                  <c:v>26.041666666666689</c:v>
                </c:pt>
                <c:pt idx="21">
                  <c:v>23.728813559321971</c:v>
                </c:pt>
                <c:pt idx="22">
                  <c:v>0</c:v>
                </c:pt>
                <c:pt idx="23">
                  <c:v>27.222222222222264</c:v>
                </c:pt>
                <c:pt idx="24">
                  <c:v>0</c:v>
                </c:pt>
                <c:pt idx="25">
                  <c:v>47.150259067357517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18.260869565217359</c:v>
                </c:pt>
                <c:pt idx="30">
                  <c:v>36</c:v>
                </c:pt>
                <c:pt idx="31">
                  <c:v>10.769230769230779</c:v>
                </c:pt>
                <c:pt idx="32">
                  <c:v>34.615384615384642</c:v>
                </c:pt>
                <c:pt idx="33">
                  <c:v>23.214285714285619</c:v>
                </c:pt>
                <c:pt idx="34">
                  <c:v>0</c:v>
                </c:pt>
                <c:pt idx="35">
                  <c:v>0</c:v>
                </c:pt>
                <c:pt idx="36">
                  <c:v>33.333333333333329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17.142857142857245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29.565217391304387</c:v>
                </c:pt>
                <c:pt idx="54">
                  <c:v>44.117647058823543</c:v>
                </c:pt>
                <c:pt idx="55">
                  <c:v>35.238095238095099</c:v>
                </c:pt>
                <c:pt idx="56">
                  <c:v>13.333333333333353</c:v>
                </c:pt>
                <c:pt idx="57">
                  <c:v>13</c:v>
                </c:pt>
                <c:pt idx="58">
                  <c:v>0</c:v>
                </c:pt>
                <c:pt idx="59">
                  <c:v>0</c:v>
                </c:pt>
                <c:pt idx="60">
                  <c:v>10.476190476190505</c:v>
                </c:pt>
                <c:pt idx="61">
                  <c:v>0</c:v>
                </c:pt>
                <c:pt idx="62">
                  <c:v>0</c:v>
                </c:pt>
                <c:pt idx="63">
                  <c:v>22.499999999999879</c:v>
                </c:pt>
                <c:pt idx="64">
                  <c:v>0</c:v>
                </c:pt>
                <c:pt idx="65">
                  <c:v>16.666666666666664</c:v>
                </c:pt>
                <c:pt idx="66">
                  <c:v>0</c:v>
                </c:pt>
                <c:pt idx="67">
                  <c:v>6</c:v>
                </c:pt>
                <c:pt idx="68">
                  <c:v>45.5</c:v>
                </c:pt>
                <c:pt idx="69">
                  <c:v>42.857142857142975</c:v>
                </c:pt>
                <c:pt idx="70">
                  <c:v>17.5</c:v>
                </c:pt>
                <c:pt idx="71">
                  <c:v>0</c:v>
                </c:pt>
                <c:pt idx="72">
                  <c:v>11.333333333333334</c:v>
                </c:pt>
                <c:pt idx="73">
                  <c:v>0</c:v>
                </c:pt>
                <c:pt idx="74">
                  <c:v>12.49999999999997</c:v>
                </c:pt>
                <c:pt idx="75">
                  <c:v>0</c:v>
                </c:pt>
                <c:pt idx="76">
                  <c:v>9.1666666666667531</c:v>
                </c:pt>
                <c:pt idx="77">
                  <c:v>10.833333333333309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17.857142857142851</c:v>
                </c:pt>
                <c:pt idx="88">
                  <c:v>0</c:v>
                </c:pt>
                <c:pt idx="89">
                  <c:v>24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FD83-4359-8084-FB09C3B9A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Spacing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9.056016763495987E-3"/>
              <c:y val="0.4217345948857178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6.2209024352503681E-2"/>
          <c:y val="0.90888571563285125"/>
          <c:w val="0.86691109695837365"/>
          <c:h val="8.2774559721791985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1600" b="1" baseline="0"/>
              <a:t>Brejo Seco Open Pit</a:t>
            </a:r>
          </a:p>
          <a:p>
            <a:pPr>
              <a:defRPr b="1"/>
            </a:pPr>
            <a:r>
              <a:rPr lang="es-PE" sz="1600" b="1" baseline="0"/>
              <a:t>Geotechnical drrillhole</a:t>
            </a:r>
            <a:endParaRPr lang="es-PE" sz="1600" b="1"/>
          </a:p>
        </c:rich>
      </c:tx>
      <c:layout>
        <c:manualLayout>
          <c:xMode val="edge"/>
          <c:yMode val="edge"/>
          <c:x val="0.36042668409761547"/>
          <c:y val="1.056690307008715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654270775044472"/>
          <c:y val="7.3540182097726572E-2"/>
          <c:w val="0.79979904435022531"/>
          <c:h val="0.76871026912662443"/>
        </c:manualLayout>
      </c:layout>
      <c:scatterChart>
        <c:scatterStyle val="lineMarker"/>
        <c:varyColors val="0"/>
        <c:ser>
          <c:idx val="8"/>
          <c:order val="3"/>
          <c:marker>
            <c:symbol val="none"/>
          </c:marker>
          <c:xVal>
            <c:numRef>
              <c:f>'2. Logging Brejo Seco'!$Z$3:$Z$756</c:f>
              <c:numCache>
                <c:formatCode>0.00</c:formatCode>
                <c:ptCount val="7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126.66666666666667</c:v>
                </c:pt>
                <c:pt idx="7">
                  <c:v>420</c:v>
                </c:pt>
                <c:pt idx="8">
                  <c:v>19</c:v>
                </c:pt>
                <c:pt idx="9">
                  <c:v>180</c:v>
                </c:pt>
                <c:pt idx="10">
                  <c:v>78</c:v>
                </c:pt>
                <c:pt idx="11">
                  <c:v>87.5</c:v>
                </c:pt>
                <c:pt idx="12">
                  <c:v>15.333333333333334</c:v>
                </c:pt>
                <c:pt idx="13">
                  <c:v>76.666666666666671</c:v>
                </c:pt>
                <c:pt idx="14">
                  <c:v>86</c:v>
                </c:pt>
                <c:pt idx="15">
                  <c:v>112.5</c:v>
                </c:pt>
                <c:pt idx="16">
                  <c:v>235</c:v>
                </c:pt>
                <c:pt idx="17">
                  <c:v>70</c:v>
                </c:pt>
                <c:pt idx="18">
                  <c:v>102.5</c:v>
                </c:pt>
                <c:pt idx="19">
                  <c:v>107.5</c:v>
                </c:pt>
                <c:pt idx="20">
                  <c:v>96.666666666666671</c:v>
                </c:pt>
                <c:pt idx="21">
                  <c:v>20.76923076923077</c:v>
                </c:pt>
                <c:pt idx="22">
                  <c:v>29</c:v>
                </c:pt>
                <c:pt idx="23">
                  <c:v>32</c:v>
                </c:pt>
                <c:pt idx="24">
                  <c:v>44</c:v>
                </c:pt>
                <c:pt idx="25">
                  <c:v>46</c:v>
                </c:pt>
                <c:pt idx="26">
                  <c:v>73.333333333333329</c:v>
                </c:pt>
                <c:pt idx="27">
                  <c:v>140</c:v>
                </c:pt>
                <c:pt idx="28">
                  <c:v>70</c:v>
                </c:pt>
                <c:pt idx="29">
                  <c:v>92.5</c:v>
                </c:pt>
                <c:pt idx="30">
                  <c:v>48.571428571428569</c:v>
                </c:pt>
                <c:pt idx="31">
                  <c:v>81.666666666666671</c:v>
                </c:pt>
                <c:pt idx="32">
                  <c:v>93.333333333333329</c:v>
                </c:pt>
                <c:pt idx="33">
                  <c:v>55</c:v>
                </c:pt>
                <c:pt idx="34">
                  <c:v>19</c:v>
                </c:pt>
                <c:pt idx="35">
                  <c:v>51.666666666666664</c:v>
                </c:pt>
                <c:pt idx="36">
                  <c:v>13</c:v>
                </c:pt>
                <c:pt idx="37">
                  <c:v>11</c:v>
                </c:pt>
                <c:pt idx="38">
                  <c:v>14</c:v>
                </c:pt>
                <c:pt idx="39">
                  <c:v>23</c:v>
                </c:pt>
                <c:pt idx="40">
                  <c:v>34</c:v>
                </c:pt>
                <c:pt idx="41">
                  <c:v>13</c:v>
                </c:pt>
                <c:pt idx="42">
                  <c:v>51.666666666666664</c:v>
                </c:pt>
                <c:pt idx="43">
                  <c:v>54</c:v>
                </c:pt>
                <c:pt idx="44">
                  <c:v>110</c:v>
                </c:pt>
                <c:pt idx="45">
                  <c:v>500</c:v>
                </c:pt>
                <c:pt idx="46">
                  <c:v>166.66666666666666</c:v>
                </c:pt>
                <c:pt idx="47">
                  <c:v>665</c:v>
                </c:pt>
                <c:pt idx="48">
                  <c:v>87.5</c:v>
                </c:pt>
                <c:pt idx="49">
                  <c:v>47.5</c:v>
                </c:pt>
                <c:pt idx="50">
                  <c:v>103.33333333333333</c:v>
                </c:pt>
                <c:pt idx="51">
                  <c:v>305</c:v>
                </c:pt>
                <c:pt idx="52">
                  <c:v>286.66666666666669</c:v>
                </c:pt>
                <c:pt idx="53">
                  <c:v>164</c:v>
                </c:pt>
                <c:pt idx="54">
                  <c:v>240</c:v>
                </c:pt>
                <c:pt idx="55">
                  <c:v>233.33333333333334</c:v>
                </c:pt>
                <c:pt idx="56">
                  <c:v>236.66666666666666</c:v>
                </c:pt>
                <c:pt idx="57">
                  <c:v>150</c:v>
                </c:pt>
                <c:pt idx="58">
                  <c:v>72</c:v>
                </c:pt>
                <c:pt idx="59">
                  <c:v>105.71428571428571</c:v>
                </c:pt>
                <c:pt idx="60">
                  <c:v>520</c:v>
                </c:pt>
                <c:pt idx="61">
                  <c:v>123.33333333333333</c:v>
                </c:pt>
                <c:pt idx="62">
                  <c:v>73.333333333333329</c:v>
                </c:pt>
                <c:pt idx="63">
                  <c:v>49</c:v>
                </c:pt>
                <c:pt idx="64">
                  <c:v>125</c:v>
                </c:pt>
                <c:pt idx="65">
                  <c:v>146.66666666666666</c:v>
                </c:pt>
                <c:pt idx="66">
                  <c:v>32.666666666666664</c:v>
                </c:pt>
                <c:pt idx="67">
                  <c:v>124</c:v>
                </c:pt>
                <c:pt idx="68">
                  <c:v>98</c:v>
                </c:pt>
                <c:pt idx="69">
                  <c:v>120</c:v>
                </c:pt>
                <c:pt idx="70">
                  <c:v>32.666666666666664</c:v>
                </c:pt>
                <c:pt idx="71">
                  <c:v>150</c:v>
                </c:pt>
                <c:pt idx="72">
                  <c:v>126.66666666666667</c:v>
                </c:pt>
                <c:pt idx="73">
                  <c:v>46</c:v>
                </c:pt>
                <c:pt idx="74">
                  <c:v>126.66666666666667</c:v>
                </c:pt>
                <c:pt idx="75">
                  <c:v>156.66666666666666</c:v>
                </c:pt>
                <c:pt idx="76">
                  <c:v>86</c:v>
                </c:pt>
                <c:pt idx="77">
                  <c:v>125</c:v>
                </c:pt>
                <c:pt idx="78">
                  <c:v>41.666666666666664</c:v>
                </c:pt>
                <c:pt idx="79">
                  <c:v>55</c:v>
                </c:pt>
                <c:pt idx="80">
                  <c:v>43.333333333333336</c:v>
                </c:pt>
                <c:pt idx="81">
                  <c:v>24</c:v>
                </c:pt>
                <c:pt idx="82">
                  <c:v>28</c:v>
                </c:pt>
                <c:pt idx="83">
                  <c:v>33.75</c:v>
                </c:pt>
                <c:pt idx="84">
                  <c:v>74</c:v>
                </c:pt>
                <c:pt idx="85">
                  <c:v>47.142857142857146</c:v>
                </c:pt>
                <c:pt idx="86">
                  <c:v>150</c:v>
                </c:pt>
                <c:pt idx="87">
                  <c:v>65</c:v>
                </c:pt>
                <c:pt idx="88">
                  <c:v>70</c:v>
                </c:pt>
                <c:pt idx="89">
                  <c:v>28.571428571428573</c:v>
                </c:pt>
                <c:pt idx="90">
                  <c:v>71.666666666666671</c:v>
                </c:pt>
                <c:pt idx="91">
                  <c:v>53</c:v>
                </c:pt>
                <c:pt idx="92">
                  <c:v>100</c:v>
                </c:pt>
                <c:pt idx="93">
                  <c:v>485</c:v>
                </c:pt>
                <c:pt idx="94">
                  <c:v>71.428571428571431</c:v>
                </c:pt>
                <c:pt idx="95">
                  <c:v>27</c:v>
                </c:pt>
                <c:pt idx="96">
                  <c:v>25</c:v>
                </c:pt>
                <c:pt idx="97">
                  <c:v>100</c:v>
                </c:pt>
                <c:pt idx="98">
                  <c:v>146.66666666666666</c:v>
                </c:pt>
                <c:pt idx="99">
                  <c:v>100</c:v>
                </c:pt>
                <c:pt idx="100">
                  <c:v>83.333333333333329</c:v>
                </c:pt>
                <c:pt idx="101">
                  <c:v>90</c:v>
                </c:pt>
                <c:pt idx="102">
                  <c:v>60</c:v>
                </c:pt>
                <c:pt idx="103">
                  <c:v>86</c:v>
                </c:pt>
                <c:pt idx="104">
                  <c:v>29</c:v>
                </c:pt>
                <c:pt idx="105">
                  <c:v>16.666666666666668</c:v>
                </c:pt>
                <c:pt idx="106">
                  <c:v>235</c:v>
                </c:pt>
                <c:pt idx="107">
                  <c:v>170</c:v>
                </c:pt>
                <c:pt idx="108">
                  <c:v>170</c:v>
                </c:pt>
                <c:pt idx="109">
                  <c:v>100</c:v>
                </c:pt>
                <c:pt idx="110">
                  <c:v>25</c:v>
                </c:pt>
                <c:pt idx="111">
                  <c:v>37</c:v>
                </c:pt>
                <c:pt idx="112">
                  <c:v>37</c:v>
                </c:pt>
                <c:pt idx="113">
                  <c:v>26</c:v>
                </c:pt>
                <c:pt idx="114">
                  <c:v>26</c:v>
                </c:pt>
                <c:pt idx="115">
                  <c:v>24</c:v>
                </c:pt>
                <c:pt idx="116">
                  <c:v>23</c:v>
                </c:pt>
                <c:pt idx="117">
                  <c:v>22</c:v>
                </c:pt>
                <c:pt idx="118">
                  <c:v>20</c:v>
                </c:pt>
                <c:pt idx="119">
                  <c:v>24</c:v>
                </c:pt>
                <c:pt idx="120">
                  <c:v>15</c:v>
                </c:pt>
                <c:pt idx="121">
                  <c:v>38</c:v>
                </c:pt>
                <c:pt idx="122">
                  <c:v>20</c:v>
                </c:pt>
                <c:pt idx="123">
                  <c:v>24</c:v>
                </c:pt>
                <c:pt idx="124">
                  <c:v>56.666666666666664</c:v>
                </c:pt>
                <c:pt idx="125">
                  <c:v>70</c:v>
                </c:pt>
                <c:pt idx="126">
                  <c:v>76.666666666666671</c:v>
                </c:pt>
                <c:pt idx="127">
                  <c:v>26</c:v>
                </c:pt>
                <c:pt idx="128">
                  <c:v>40</c:v>
                </c:pt>
                <c:pt idx="129">
                  <c:v>50</c:v>
                </c:pt>
                <c:pt idx="130">
                  <c:v>60</c:v>
                </c:pt>
                <c:pt idx="131">
                  <c:v>135</c:v>
                </c:pt>
                <c:pt idx="132">
                  <c:v>60</c:v>
                </c:pt>
                <c:pt idx="133">
                  <c:v>43.333333333333336</c:v>
                </c:pt>
                <c:pt idx="134">
                  <c:v>102.5</c:v>
                </c:pt>
                <c:pt idx="135">
                  <c:v>215</c:v>
                </c:pt>
                <c:pt idx="136">
                  <c:v>70</c:v>
                </c:pt>
                <c:pt idx="137">
                  <c:v>73.333333333333329</c:v>
                </c:pt>
                <c:pt idx="138">
                  <c:v>100</c:v>
                </c:pt>
                <c:pt idx="139">
                  <c:v>70</c:v>
                </c:pt>
                <c:pt idx="140">
                  <c:v>53.333333333333336</c:v>
                </c:pt>
                <c:pt idx="141">
                  <c:v>32</c:v>
                </c:pt>
                <c:pt idx="142">
                  <c:v>35</c:v>
                </c:pt>
                <c:pt idx="143">
                  <c:v>28</c:v>
                </c:pt>
                <c:pt idx="144">
                  <c:v>36.666666666666664</c:v>
                </c:pt>
                <c:pt idx="145">
                  <c:v>22</c:v>
                </c:pt>
                <c:pt idx="146">
                  <c:v>10</c:v>
                </c:pt>
                <c:pt idx="147">
                  <c:v>10</c:v>
                </c:pt>
                <c:pt idx="148">
                  <c:v>36</c:v>
                </c:pt>
                <c:pt idx="149">
                  <c:v>51.666666666666664</c:v>
                </c:pt>
                <c:pt idx="150">
                  <c:v>60</c:v>
                </c:pt>
                <c:pt idx="151">
                  <c:v>36.666666666666664</c:v>
                </c:pt>
                <c:pt idx="152">
                  <c:v>46</c:v>
                </c:pt>
                <c:pt idx="153">
                  <c:v>34</c:v>
                </c:pt>
                <c:pt idx="154">
                  <c:v>30</c:v>
                </c:pt>
                <c:pt idx="155">
                  <c:v>19</c:v>
                </c:pt>
                <c:pt idx="156">
                  <c:v>24</c:v>
                </c:pt>
                <c:pt idx="157">
                  <c:v>19</c:v>
                </c:pt>
                <c:pt idx="159">
                  <c:v>20</c:v>
                </c:pt>
                <c:pt idx="160">
                  <c:v>23</c:v>
                </c:pt>
                <c:pt idx="161">
                  <c:v>25</c:v>
                </c:pt>
                <c:pt idx="162">
                  <c:v>28</c:v>
                </c:pt>
                <c:pt idx="163">
                  <c:v>24</c:v>
                </c:pt>
                <c:pt idx="164">
                  <c:v>42</c:v>
                </c:pt>
                <c:pt idx="165">
                  <c:v>20</c:v>
                </c:pt>
                <c:pt idx="167">
                  <c:v>13</c:v>
                </c:pt>
                <c:pt idx="168">
                  <c:v>17</c:v>
                </c:pt>
                <c:pt idx="169">
                  <c:v>16</c:v>
                </c:pt>
                <c:pt idx="170">
                  <c:v>14</c:v>
                </c:pt>
                <c:pt idx="171">
                  <c:v>17</c:v>
                </c:pt>
                <c:pt idx="172">
                  <c:v>23</c:v>
                </c:pt>
                <c:pt idx="173">
                  <c:v>20</c:v>
                </c:pt>
                <c:pt idx="174">
                  <c:v>17</c:v>
                </c:pt>
                <c:pt idx="175">
                  <c:v>18</c:v>
                </c:pt>
                <c:pt idx="176">
                  <c:v>19</c:v>
                </c:pt>
                <c:pt idx="177">
                  <c:v>16.363636363636363</c:v>
                </c:pt>
                <c:pt idx="178">
                  <c:v>10.909090909090908</c:v>
                </c:pt>
                <c:pt idx="180">
                  <c:v>24</c:v>
                </c:pt>
                <c:pt idx="182">
                  <c:v>24</c:v>
                </c:pt>
                <c:pt idx="183">
                  <c:v>11</c:v>
                </c:pt>
                <c:pt idx="184">
                  <c:v>12</c:v>
                </c:pt>
                <c:pt idx="185">
                  <c:v>86.666666666666671</c:v>
                </c:pt>
                <c:pt idx="186">
                  <c:v>26</c:v>
                </c:pt>
                <c:pt idx="187">
                  <c:v>10.666666666666666</c:v>
                </c:pt>
                <c:pt idx="188">
                  <c:v>12</c:v>
                </c:pt>
                <c:pt idx="189">
                  <c:v>45.714285714285715</c:v>
                </c:pt>
                <c:pt idx="190">
                  <c:v>20</c:v>
                </c:pt>
                <c:pt idx="191">
                  <c:v>32</c:v>
                </c:pt>
                <c:pt idx="192">
                  <c:v>44</c:v>
                </c:pt>
                <c:pt idx="193">
                  <c:v>12</c:v>
                </c:pt>
                <c:pt idx="194">
                  <c:v>15</c:v>
                </c:pt>
                <c:pt idx="195">
                  <c:v>18.571428571428573</c:v>
                </c:pt>
                <c:pt idx="196">
                  <c:v>33.333333333333336</c:v>
                </c:pt>
                <c:pt idx="197">
                  <c:v>21.428571428571427</c:v>
                </c:pt>
                <c:pt idx="198">
                  <c:v>40</c:v>
                </c:pt>
                <c:pt idx="199">
                  <c:v>30</c:v>
                </c:pt>
                <c:pt idx="200">
                  <c:v>34</c:v>
                </c:pt>
                <c:pt idx="201">
                  <c:v>28</c:v>
                </c:pt>
                <c:pt idx="202">
                  <c:v>22</c:v>
                </c:pt>
                <c:pt idx="203">
                  <c:v>20</c:v>
                </c:pt>
                <c:pt idx="204">
                  <c:v>22</c:v>
                </c:pt>
                <c:pt idx="205">
                  <c:v>46.666666666666664</c:v>
                </c:pt>
                <c:pt idx="206">
                  <c:v>63.333333333333336</c:v>
                </c:pt>
                <c:pt idx="207">
                  <c:v>24</c:v>
                </c:pt>
                <c:pt idx="208">
                  <c:v>20</c:v>
                </c:pt>
                <c:pt idx="209">
                  <c:v>32</c:v>
                </c:pt>
                <c:pt idx="210">
                  <c:v>24</c:v>
                </c:pt>
                <c:pt idx="211">
                  <c:v>51.666666666666664</c:v>
                </c:pt>
                <c:pt idx="212">
                  <c:v>33</c:v>
                </c:pt>
                <c:pt idx="213">
                  <c:v>94</c:v>
                </c:pt>
                <c:pt idx="214">
                  <c:v>46.25</c:v>
                </c:pt>
                <c:pt idx="215">
                  <c:v>44</c:v>
                </c:pt>
                <c:pt idx="216">
                  <c:v>43.333333333333336</c:v>
                </c:pt>
                <c:pt idx="217">
                  <c:v>67.5</c:v>
                </c:pt>
                <c:pt idx="218">
                  <c:v>100</c:v>
                </c:pt>
                <c:pt idx="219">
                  <c:v>71.428571428571431</c:v>
                </c:pt>
                <c:pt idx="220">
                  <c:v>84</c:v>
                </c:pt>
                <c:pt idx="221">
                  <c:v>35.714285714285715</c:v>
                </c:pt>
                <c:pt idx="222">
                  <c:v>42</c:v>
                </c:pt>
                <c:pt idx="223">
                  <c:v>36</c:v>
                </c:pt>
                <c:pt idx="224">
                  <c:v>34</c:v>
                </c:pt>
                <c:pt idx="225">
                  <c:v>40</c:v>
                </c:pt>
                <c:pt idx="226">
                  <c:v>66.666666666666671</c:v>
                </c:pt>
                <c:pt idx="227">
                  <c:v>50</c:v>
                </c:pt>
                <c:pt idx="228">
                  <c:v>44</c:v>
                </c:pt>
                <c:pt idx="229">
                  <c:v>37.142857142857146</c:v>
                </c:pt>
                <c:pt idx="230">
                  <c:v>29</c:v>
                </c:pt>
                <c:pt idx="231">
                  <c:v>22</c:v>
                </c:pt>
                <c:pt idx="232">
                  <c:v>26</c:v>
                </c:pt>
                <c:pt idx="233">
                  <c:v>25</c:v>
                </c:pt>
                <c:pt idx="234">
                  <c:v>36</c:v>
                </c:pt>
                <c:pt idx="235">
                  <c:v>42</c:v>
                </c:pt>
                <c:pt idx="236">
                  <c:v>17</c:v>
                </c:pt>
                <c:pt idx="237">
                  <c:v>27</c:v>
                </c:pt>
                <c:pt idx="238">
                  <c:v>52</c:v>
                </c:pt>
                <c:pt idx="239">
                  <c:v>50</c:v>
                </c:pt>
                <c:pt idx="240">
                  <c:v>110</c:v>
                </c:pt>
                <c:pt idx="241">
                  <c:v>47.142857142857146</c:v>
                </c:pt>
                <c:pt idx="242">
                  <c:v>41.428571428571431</c:v>
                </c:pt>
                <c:pt idx="243">
                  <c:v>50</c:v>
                </c:pt>
                <c:pt idx="244">
                  <c:v>51.25</c:v>
                </c:pt>
                <c:pt idx="245">
                  <c:v>86</c:v>
                </c:pt>
                <c:pt idx="246">
                  <c:v>74</c:v>
                </c:pt>
                <c:pt idx="247">
                  <c:v>107.5</c:v>
                </c:pt>
                <c:pt idx="248">
                  <c:v>60</c:v>
                </c:pt>
                <c:pt idx="249">
                  <c:v>34</c:v>
                </c:pt>
                <c:pt idx="250">
                  <c:v>32</c:v>
                </c:pt>
                <c:pt idx="251">
                  <c:v>70</c:v>
                </c:pt>
                <c:pt idx="252">
                  <c:v>41</c:v>
                </c:pt>
                <c:pt idx="253">
                  <c:v>45</c:v>
                </c:pt>
                <c:pt idx="254">
                  <c:v>70</c:v>
                </c:pt>
                <c:pt idx="255">
                  <c:v>58.75</c:v>
                </c:pt>
                <c:pt idx="256">
                  <c:v>122.5</c:v>
                </c:pt>
                <c:pt idx="257">
                  <c:v>64.285714285714292</c:v>
                </c:pt>
                <c:pt idx="258">
                  <c:v>120</c:v>
                </c:pt>
                <c:pt idx="259">
                  <c:v>66.666666666666671</c:v>
                </c:pt>
                <c:pt idx="260">
                  <c:v>83.333333333333329</c:v>
                </c:pt>
                <c:pt idx="261">
                  <c:v>46.25</c:v>
                </c:pt>
                <c:pt idx="262">
                  <c:v>54.285714285714285</c:v>
                </c:pt>
                <c:pt idx="263">
                  <c:v>115</c:v>
                </c:pt>
                <c:pt idx="264">
                  <c:v>61.666666666666664</c:v>
                </c:pt>
                <c:pt idx="265">
                  <c:v>153.33333333333334</c:v>
                </c:pt>
                <c:pt idx="266">
                  <c:v>44.444444444444443</c:v>
                </c:pt>
                <c:pt idx="267">
                  <c:v>60</c:v>
                </c:pt>
                <c:pt idx="268">
                  <c:v>83.333333333333329</c:v>
                </c:pt>
                <c:pt idx="269">
                  <c:v>42.000000000000007</c:v>
                </c:pt>
                <c:pt idx="270">
                  <c:v>83.333333333333329</c:v>
                </c:pt>
                <c:pt idx="271">
                  <c:v>146.66666666666666</c:v>
                </c:pt>
                <c:pt idx="272">
                  <c:v>160</c:v>
                </c:pt>
                <c:pt idx="273">
                  <c:v>50</c:v>
                </c:pt>
                <c:pt idx="274">
                  <c:v>166.66666666666666</c:v>
                </c:pt>
                <c:pt idx="275">
                  <c:v>125</c:v>
                </c:pt>
                <c:pt idx="276">
                  <c:v>250</c:v>
                </c:pt>
                <c:pt idx="277">
                  <c:v>125</c:v>
                </c:pt>
                <c:pt idx="278">
                  <c:v>102.5</c:v>
                </c:pt>
                <c:pt idx="279">
                  <c:v>100</c:v>
                </c:pt>
                <c:pt idx="280">
                  <c:v>163.33333333333334</c:v>
                </c:pt>
                <c:pt idx="281">
                  <c:v>205</c:v>
                </c:pt>
                <c:pt idx="282">
                  <c:v>230</c:v>
                </c:pt>
                <c:pt idx="283">
                  <c:v>156.66666666666666</c:v>
                </c:pt>
                <c:pt idx="284">
                  <c:v>215</c:v>
                </c:pt>
                <c:pt idx="285">
                  <c:v>480</c:v>
                </c:pt>
                <c:pt idx="286">
                  <c:v>235</c:v>
                </c:pt>
                <c:pt idx="287">
                  <c:v>156.66666666666666</c:v>
                </c:pt>
                <c:pt idx="288">
                  <c:v>75</c:v>
                </c:pt>
                <c:pt idx="289">
                  <c:v>106.66666666666667</c:v>
                </c:pt>
                <c:pt idx="290">
                  <c:v>146.66666666666669</c:v>
                </c:pt>
                <c:pt idx="291">
                  <c:v>96</c:v>
                </c:pt>
                <c:pt idx="292">
                  <c:v>71.428571428571431</c:v>
                </c:pt>
                <c:pt idx="293">
                  <c:v>68.333333333333329</c:v>
                </c:pt>
                <c:pt idx="294">
                  <c:v>122.5</c:v>
                </c:pt>
                <c:pt idx="295">
                  <c:v>146.66666666666666</c:v>
                </c:pt>
                <c:pt idx="296">
                  <c:v>500</c:v>
                </c:pt>
                <c:pt idx="297">
                  <c:v>156.66666666666666</c:v>
                </c:pt>
                <c:pt idx="298">
                  <c:v>60</c:v>
                </c:pt>
                <c:pt idx="299">
                  <c:v>133.33333333333334</c:v>
                </c:pt>
                <c:pt idx="300">
                  <c:v>86.000000000000014</c:v>
                </c:pt>
                <c:pt idx="301">
                  <c:v>62.5</c:v>
                </c:pt>
                <c:pt idx="302">
                  <c:v>68.571428571428569</c:v>
                </c:pt>
                <c:pt idx="303">
                  <c:v>140</c:v>
                </c:pt>
                <c:pt idx="304">
                  <c:v>65.714285714285708</c:v>
                </c:pt>
                <c:pt idx="305">
                  <c:v>37</c:v>
                </c:pt>
                <c:pt idx="306">
                  <c:v>153.33333333333334</c:v>
                </c:pt>
                <c:pt idx="307">
                  <c:v>107.5</c:v>
                </c:pt>
                <c:pt idx="308">
                  <c:v>115</c:v>
                </c:pt>
                <c:pt idx="309">
                  <c:v>235</c:v>
                </c:pt>
                <c:pt idx="310">
                  <c:v>76.666666666666671</c:v>
                </c:pt>
                <c:pt idx="311">
                  <c:v>62.5</c:v>
                </c:pt>
                <c:pt idx="312">
                  <c:v>150</c:v>
                </c:pt>
                <c:pt idx="313">
                  <c:v>156.66666666666666</c:v>
                </c:pt>
                <c:pt idx="314">
                  <c:v>110</c:v>
                </c:pt>
                <c:pt idx="315">
                  <c:v>57.5</c:v>
                </c:pt>
                <c:pt idx="316">
                  <c:v>61.428571428571431</c:v>
                </c:pt>
                <c:pt idx="317">
                  <c:v>41.428571428571431</c:v>
                </c:pt>
                <c:pt idx="318">
                  <c:v>55.714285714285715</c:v>
                </c:pt>
                <c:pt idx="319">
                  <c:v>70</c:v>
                </c:pt>
                <c:pt idx="320">
                  <c:v>36</c:v>
                </c:pt>
                <c:pt idx="321">
                  <c:v>50</c:v>
                </c:pt>
                <c:pt idx="322">
                  <c:v>32.857142857142854</c:v>
                </c:pt>
                <c:pt idx="323">
                  <c:v>14</c:v>
                </c:pt>
                <c:pt idx="324">
                  <c:v>20</c:v>
                </c:pt>
                <c:pt idx="325">
                  <c:v>20</c:v>
                </c:pt>
                <c:pt idx="326">
                  <c:v>25.714285714285715</c:v>
                </c:pt>
                <c:pt idx="327">
                  <c:v>28.75</c:v>
                </c:pt>
                <c:pt idx="328">
                  <c:v>14.285714285714286</c:v>
                </c:pt>
                <c:pt idx="329">
                  <c:v>50</c:v>
                </c:pt>
                <c:pt idx="330">
                  <c:v>10</c:v>
                </c:pt>
                <c:pt idx="331">
                  <c:v>12</c:v>
                </c:pt>
                <c:pt idx="332">
                  <c:v>6</c:v>
                </c:pt>
                <c:pt idx="333">
                  <c:v>29</c:v>
                </c:pt>
                <c:pt idx="334">
                  <c:v>22</c:v>
                </c:pt>
                <c:pt idx="335">
                  <c:v>21</c:v>
                </c:pt>
                <c:pt idx="336">
                  <c:v>8</c:v>
                </c:pt>
                <c:pt idx="337">
                  <c:v>5</c:v>
                </c:pt>
                <c:pt idx="338">
                  <c:v>7</c:v>
                </c:pt>
                <c:pt idx="339">
                  <c:v>7</c:v>
                </c:pt>
                <c:pt idx="340">
                  <c:v>50</c:v>
                </c:pt>
                <c:pt idx="341">
                  <c:v>50</c:v>
                </c:pt>
                <c:pt idx="342">
                  <c:v>7</c:v>
                </c:pt>
                <c:pt idx="343">
                  <c:v>50</c:v>
                </c:pt>
                <c:pt idx="344">
                  <c:v>11</c:v>
                </c:pt>
                <c:pt idx="345">
                  <c:v>50</c:v>
                </c:pt>
                <c:pt idx="346">
                  <c:v>10</c:v>
                </c:pt>
                <c:pt idx="347">
                  <c:v>7</c:v>
                </c:pt>
                <c:pt idx="348">
                  <c:v>50</c:v>
                </c:pt>
                <c:pt idx="349">
                  <c:v>50</c:v>
                </c:pt>
                <c:pt idx="350">
                  <c:v>40</c:v>
                </c:pt>
                <c:pt idx="351">
                  <c:v>36</c:v>
                </c:pt>
                <c:pt idx="352">
                  <c:v>27</c:v>
                </c:pt>
                <c:pt idx="353">
                  <c:v>183.33333333333334</c:v>
                </c:pt>
                <c:pt idx="354">
                  <c:v>120</c:v>
                </c:pt>
                <c:pt idx="355">
                  <c:v>82</c:v>
                </c:pt>
                <c:pt idx="356">
                  <c:v>70</c:v>
                </c:pt>
                <c:pt idx="357">
                  <c:v>38</c:v>
                </c:pt>
                <c:pt idx="358">
                  <c:v>42</c:v>
                </c:pt>
                <c:pt idx="359">
                  <c:v>28</c:v>
                </c:pt>
                <c:pt idx="360">
                  <c:v>62.5</c:v>
                </c:pt>
                <c:pt idx="361">
                  <c:v>65</c:v>
                </c:pt>
                <c:pt idx="362">
                  <c:v>62.5</c:v>
                </c:pt>
                <c:pt idx="363">
                  <c:v>83.333333333333329</c:v>
                </c:pt>
                <c:pt idx="364">
                  <c:v>56</c:v>
                </c:pt>
                <c:pt idx="365">
                  <c:v>38</c:v>
                </c:pt>
                <c:pt idx="366">
                  <c:v>46</c:v>
                </c:pt>
                <c:pt idx="367">
                  <c:v>70</c:v>
                </c:pt>
                <c:pt idx="368">
                  <c:v>53.333333333333336</c:v>
                </c:pt>
                <c:pt idx="369">
                  <c:v>36</c:v>
                </c:pt>
                <c:pt idx="370">
                  <c:v>63.333333333333336</c:v>
                </c:pt>
                <c:pt idx="371">
                  <c:v>63.333333333333336</c:v>
                </c:pt>
                <c:pt idx="372">
                  <c:v>37.5</c:v>
                </c:pt>
                <c:pt idx="373">
                  <c:v>90</c:v>
                </c:pt>
                <c:pt idx="374">
                  <c:v>46.666666666666664</c:v>
                </c:pt>
                <c:pt idx="375">
                  <c:v>95</c:v>
                </c:pt>
                <c:pt idx="376">
                  <c:v>56.666666666666664</c:v>
                </c:pt>
                <c:pt idx="377">
                  <c:v>30</c:v>
                </c:pt>
                <c:pt idx="378">
                  <c:v>52.5</c:v>
                </c:pt>
                <c:pt idx="379">
                  <c:v>53.333333333333336</c:v>
                </c:pt>
                <c:pt idx="380">
                  <c:v>56.666666666666664</c:v>
                </c:pt>
                <c:pt idx="381">
                  <c:v>30</c:v>
                </c:pt>
                <c:pt idx="382">
                  <c:v>37</c:v>
                </c:pt>
                <c:pt idx="383">
                  <c:v>24</c:v>
                </c:pt>
                <c:pt idx="384">
                  <c:v>27</c:v>
                </c:pt>
                <c:pt idx="385">
                  <c:v>22</c:v>
                </c:pt>
                <c:pt idx="386">
                  <c:v>26</c:v>
                </c:pt>
                <c:pt idx="387">
                  <c:v>58</c:v>
                </c:pt>
                <c:pt idx="388">
                  <c:v>20</c:v>
                </c:pt>
                <c:pt idx="389">
                  <c:v>16</c:v>
                </c:pt>
                <c:pt idx="390">
                  <c:v>28</c:v>
                </c:pt>
                <c:pt idx="391">
                  <c:v>80</c:v>
                </c:pt>
                <c:pt idx="392">
                  <c:v>50</c:v>
                </c:pt>
                <c:pt idx="393">
                  <c:v>100</c:v>
                </c:pt>
                <c:pt idx="394">
                  <c:v>50</c:v>
                </c:pt>
                <c:pt idx="395">
                  <c:v>100</c:v>
                </c:pt>
                <c:pt idx="396">
                  <c:v>41.666666666666664</c:v>
                </c:pt>
                <c:pt idx="397">
                  <c:v>100</c:v>
                </c:pt>
                <c:pt idx="398">
                  <c:v>100</c:v>
                </c:pt>
                <c:pt idx="399">
                  <c:v>50</c:v>
                </c:pt>
                <c:pt idx="400">
                  <c:v>100</c:v>
                </c:pt>
                <c:pt idx="401">
                  <c:v>100</c:v>
                </c:pt>
                <c:pt idx="402">
                  <c:v>50</c:v>
                </c:pt>
                <c:pt idx="403">
                  <c:v>100</c:v>
                </c:pt>
                <c:pt idx="404">
                  <c:v>50</c:v>
                </c:pt>
                <c:pt idx="405">
                  <c:v>50</c:v>
                </c:pt>
                <c:pt idx="406">
                  <c:v>100</c:v>
                </c:pt>
                <c:pt idx="407">
                  <c:v>50</c:v>
                </c:pt>
                <c:pt idx="408">
                  <c:v>50</c:v>
                </c:pt>
                <c:pt idx="411">
                  <c:v>125</c:v>
                </c:pt>
                <c:pt idx="412">
                  <c:v>125</c:v>
                </c:pt>
                <c:pt idx="413">
                  <c:v>100</c:v>
                </c:pt>
                <c:pt idx="414">
                  <c:v>83.333333333333329</c:v>
                </c:pt>
                <c:pt idx="415">
                  <c:v>50</c:v>
                </c:pt>
                <c:pt idx="416">
                  <c:v>100</c:v>
                </c:pt>
                <c:pt idx="417">
                  <c:v>100</c:v>
                </c:pt>
                <c:pt idx="418">
                  <c:v>50</c:v>
                </c:pt>
                <c:pt idx="419">
                  <c:v>166.66666666666666</c:v>
                </c:pt>
                <c:pt idx="420">
                  <c:v>125</c:v>
                </c:pt>
                <c:pt idx="421">
                  <c:v>125</c:v>
                </c:pt>
                <c:pt idx="422">
                  <c:v>100</c:v>
                </c:pt>
                <c:pt idx="423">
                  <c:v>125</c:v>
                </c:pt>
                <c:pt idx="424">
                  <c:v>125</c:v>
                </c:pt>
                <c:pt idx="425">
                  <c:v>100</c:v>
                </c:pt>
                <c:pt idx="426">
                  <c:v>166.66666666666666</c:v>
                </c:pt>
                <c:pt idx="427">
                  <c:v>125</c:v>
                </c:pt>
                <c:pt idx="428">
                  <c:v>125</c:v>
                </c:pt>
                <c:pt idx="429">
                  <c:v>100</c:v>
                </c:pt>
                <c:pt idx="430">
                  <c:v>125</c:v>
                </c:pt>
                <c:pt idx="431">
                  <c:v>125</c:v>
                </c:pt>
                <c:pt idx="432">
                  <c:v>125</c:v>
                </c:pt>
                <c:pt idx="433">
                  <c:v>100</c:v>
                </c:pt>
                <c:pt idx="434">
                  <c:v>125</c:v>
                </c:pt>
                <c:pt idx="435">
                  <c:v>83.333333333333329</c:v>
                </c:pt>
                <c:pt idx="436">
                  <c:v>125</c:v>
                </c:pt>
                <c:pt idx="437">
                  <c:v>125</c:v>
                </c:pt>
                <c:pt idx="438">
                  <c:v>125</c:v>
                </c:pt>
                <c:pt idx="439">
                  <c:v>125</c:v>
                </c:pt>
                <c:pt idx="440">
                  <c:v>125</c:v>
                </c:pt>
                <c:pt idx="441">
                  <c:v>100</c:v>
                </c:pt>
                <c:pt idx="442">
                  <c:v>125</c:v>
                </c:pt>
                <c:pt idx="443">
                  <c:v>100</c:v>
                </c:pt>
                <c:pt idx="444">
                  <c:v>125</c:v>
                </c:pt>
                <c:pt idx="445">
                  <c:v>125</c:v>
                </c:pt>
                <c:pt idx="446">
                  <c:v>71.428571428571431</c:v>
                </c:pt>
                <c:pt idx="447">
                  <c:v>71.428571428571431</c:v>
                </c:pt>
                <c:pt idx="448">
                  <c:v>71.428571428571431</c:v>
                </c:pt>
                <c:pt idx="449">
                  <c:v>71.428571428571431</c:v>
                </c:pt>
                <c:pt idx="450">
                  <c:v>125</c:v>
                </c:pt>
                <c:pt idx="451">
                  <c:v>125</c:v>
                </c:pt>
                <c:pt idx="452">
                  <c:v>125</c:v>
                </c:pt>
                <c:pt idx="453">
                  <c:v>125</c:v>
                </c:pt>
                <c:pt idx="454">
                  <c:v>62.5</c:v>
                </c:pt>
                <c:pt idx="455">
                  <c:v>62.5</c:v>
                </c:pt>
                <c:pt idx="456">
                  <c:v>125</c:v>
                </c:pt>
                <c:pt idx="457">
                  <c:v>100</c:v>
                </c:pt>
                <c:pt idx="458">
                  <c:v>93.75</c:v>
                </c:pt>
                <c:pt idx="459">
                  <c:v>125</c:v>
                </c:pt>
                <c:pt idx="460">
                  <c:v>83.333333333333329</c:v>
                </c:pt>
                <c:pt idx="461">
                  <c:v>125</c:v>
                </c:pt>
                <c:pt idx="462">
                  <c:v>83.333333333333329</c:v>
                </c:pt>
                <c:pt idx="463">
                  <c:v>71.428571428571431</c:v>
                </c:pt>
                <c:pt idx="464">
                  <c:v>125</c:v>
                </c:pt>
                <c:pt idx="465">
                  <c:v>125</c:v>
                </c:pt>
                <c:pt idx="466">
                  <c:v>166.66666666666666</c:v>
                </c:pt>
                <c:pt idx="467">
                  <c:v>100</c:v>
                </c:pt>
                <c:pt idx="468">
                  <c:v>125</c:v>
                </c:pt>
                <c:pt idx="469">
                  <c:v>125</c:v>
                </c:pt>
                <c:pt idx="470">
                  <c:v>60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125</c:v>
                </c:pt>
                <c:pt idx="506">
                  <c:v>71.428571428571431</c:v>
                </c:pt>
                <c:pt idx="507">
                  <c:v>100</c:v>
                </c:pt>
                <c:pt idx="508">
                  <c:v>100</c:v>
                </c:pt>
                <c:pt idx="509">
                  <c:v>50</c:v>
                </c:pt>
                <c:pt idx="510">
                  <c:v>125</c:v>
                </c:pt>
                <c:pt idx="511">
                  <c:v>50</c:v>
                </c:pt>
                <c:pt idx="512">
                  <c:v>50</c:v>
                </c:pt>
                <c:pt idx="513">
                  <c:v>125</c:v>
                </c:pt>
                <c:pt idx="514">
                  <c:v>100</c:v>
                </c:pt>
                <c:pt idx="515">
                  <c:v>50</c:v>
                </c:pt>
                <c:pt idx="516">
                  <c:v>50</c:v>
                </c:pt>
                <c:pt idx="517">
                  <c:v>125</c:v>
                </c:pt>
                <c:pt idx="518">
                  <c:v>100</c:v>
                </c:pt>
                <c:pt idx="519">
                  <c:v>125</c:v>
                </c:pt>
                <c:pt idx="520">
                  <c:v>166.66666666666666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125</c:v>
                </c:pt>
                <c:pt idx="529">
                  <c:v>125</c:v>
                </c:pt>
                <c:pt idx="530">
                  <c:v>100</c:v>
                </c:pt>
                <c:pt idx="531">
                  <c:v>166.66666666666666</c:v>
                </c:pt>
                <c:pt idx="532">
                  <c:v>100</c:v>
                </c:pt>
                <c:pt idx="533">
                  <c:v>125</c:v>
                </c:pt>
                <c:pt idx="534">
                  <c:v>125</c:v>
                </c:pt>
                <c:pt idx="535">
                  <c:v>50</c:v>
                </c:pt>
                <c:pt idx="536">
                  <c:v>166.66666666666666</c:v>
                </c:pt>
                <c:pt idx="537">
                  <c:v>100</c:v>
                </c:pt>
                <c:pt idx="538">
                  <c:v>62.5</c:v>
                </c:pt>
                <c:pt idx="539">
                  <c:v>125</c:v>
                </c:pt>
                <c:pt idx="540">
                  <c:v>125</c:v>
                </c:pt>
                <c:pt idx="541">
                  <c:v>125</c:v>
                </c:pt>
                <c:pt idx="542">
                  <c:v>125</c:v>
                </c:pt>
                <c:pt idx="543">
                  <c:v>125</c:v>
                </c:pt>
                <c:pt idx="544">
                  <c:v>125</c:v>
                </c:pt>
                <c:pt idx="545">
                  <c:v>125</c:v>
                </c:pt>
                <c:pt idx="546">
                  <c:v>125</c:v>
                </c:pt>
                <c:pt idx="547">
                  <c:v>100</c:v>
                </c:pt>
                <c:pt idx="548">
                  <c:v>125</c:v>
                </c:pt>
                <c:pt idx="549">
                  <c:v>125</c:v>
                </c:pt>
                <c:pt idx="550">
                  <c:v>125</c:v>
                </c:pt>
                <c:pt idx="551">
                  <c:v>125</c:v>
                </c:pt>
                <c:pt idx="552">
                  <c:v>125</c:v>
                </c:pt>
                <c:pt idx="553">
                  <c:v>100</c:v>
                </c:pt>
                <c:pt idx="554">
                  <c:v>125</c:v>
                </c:pt>
                <c:pt idx="555">
                  <c:v>125</c:v>
                </c:pt>
                <c:pt idx="556">
                  <c:v>83.333333333333329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50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125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125</c:v>
                </c:pt>
                <c:pt idx="570">
                  <c:v>166.66666666666666</c:v>
                </c:pt>
                <c:pt idx="571">
                  <c:v>100</c:v>
                </c:pt>
                <c:pt idx="572">
                  <c:v>50</c:v>
                </c:pt>
                <c:pt idx="573">
                  <c:v>100</c:v>
                </c:pt>
                <c:pt idx="574">
                  <c:v>125</c:v>
                </c:pt>
                <c:pt idx="575">
                  <c:v>62.5</c:v>
                </c:pt>
                <c:pt idx="576">
                  <c:v>100</c:v>
                </c:pt>
                <c:pt idx="577">
                  <c:v>50</c:v>
                </c:pt>
                <c:pt idx="578">
                  <c:v>50</c:v>
                </c:pt>
                <c:pt idx="579">
                  <c:v>100</c:v>
                </c:pt>
                <c:pt idx="580">
                  <c:v>166.66666666666666</c:v>
                </c:pt>
                <c:pt idx="581">
                  <c:v>125</c:v>
                </c:pt>
                <c:pt idx="582">
                  <c:v>125</c:v>
                </c:pt>
                <c:pt idx="583">
                  <c:v>33.333333333333336</c:v>
                </c:pt>
                <c:pt idx="584">
                  <c:v>65.536000000000001</c:v>
                </c:pt>
                <c:pt idx="585">
                  <c:v>25</c:v>
                </c:pt>
                <c:pt idx="586">
                  <c:v>20.000000000000004</c:v>
                </c:pt>
                <c:pt idx="587">
                  <c:v>19.999999999999996</c:v>
                </c:pt>
                <c:pt idx="588">
                  <c:v>14.999999999999998</c:v>
                </c:pt>
                <c:pt idx="589">
                  <c:v>21.666666666666664</c:v>
                </c:pt>
                <c:pt idx="590">
                  <c:v>16.666666666666668</c:v>
                </c:pt>
                <c:pt idx="591">
                  <c:v>20.000000000000004</c:v>
                </c:pt>
                <c:pt idx="592">
                  <c:v>20.000000000000004</c:v>
                </c:pt>
                <c:pt idx="593">
                  <c:v>55.000000000000014</c:v>
                </c:pt>
                <c:pt idx="594">
                  <c:v>29.999999999999982</c:v>
                </c:pt>
                <c:pt idx="595">
                  <c:v>100.0000000000001</c:v>
                </c:pt>
                <c:pt idx="596">
                  <c:v>162.50000000000009</c:v>
                </c:pt>
                <c:pt idx="597">
                  <c:v>19.999999999999929</c:v>
                </c:pt>
                <c:pt idx="598">
                  <c:v>10.000000000000053</c:v>
                </c:pt>
                <c:pt idx="599">
                  <c:v>22.499999999999964</c:v>
                </c:pt>
                <c:pt idx="600">
                  <c:v>112.50000000000027</c:v>
                </c:pt>
                <c:pt idx="601">
                  <c:v>128.57142857142838</c:v>
                </c:pt>
                <c:pt idx="602">
                  <c:v>80.000000000000071</c:v>
                </c:pt>
                <c:pt idx="603">
                  <c:v>83.333333333333329</c:v>
                </c:pt>
                <c:pt idx="604">
                  <c:v>22.500000000000053</c:v>
                </c:pt>
                <c:pt idx="605">
                  <c:v>100</c:v>
                </c:pt>
                <c:pt idx="606">
                  <c:v>29.999999999999982</c:v>
                </c:pt>
                <c:pt idx="607">
                  <c:v>14.999999999999947</c:v>
                </c:pt>
                <c:pt idx="608">
                  <c:v>12.5</c:v>
                </c:pt>
                <c:pt idx="609">
                  <c:v>15.000000000000034</c:v>
                </c:pt>
                <c:pt idx="610">
                  <c:v>50</c:v>
                </c:pt>
                <c:pt idx="611">
                  <c:v>32.500000000000014</c:v>
                </c:pt>
                <c:pt idx="612">
                  <c:v>39.99999999999995</c:v>
                </c:pt>
                <c:pt idx="613">
                  <c:v>129.16666666666671</c:v>
                </c:pt>
                <c:pt idx="614">
                  <c:v>266.66666666666691</c:v>
                </c:pt>
                <c:pt idx="615">
                  <c:v>199.9999999999998</c:v>
                </c:pt>
                <c:pt idx="616">
                  <c:v>320.00000000000028</c:v>
                </c:pt>
                <c:pt idx="617">
                  <c:v>150</c:v>
                </c:pt>
                <c:pt idx="618">
                  <c:v>191.66666666666643</c:v>
                </c:pt>
                <c:pt idx="619">
                  <c:v>200.00000000000017</c:v>
                </c:pt>
                <c:pt idx="620">
                  <c:v>125</c:v>
                </c:pt>
                <c:pt idx="621">
                  <c:v>145.83333333333334</c:v>
                </c:pt>
                <c:pt idx="622">
                  <c:v>138.88888888888889</c:v>
                </c:pt>
                <c:pt idx="623">
                  <c:v>316.66666666666646</c:v>
                </c:pt>
                <c:pt idx="624">
                  <c:v>100.00000000000009</c:v>
                </c:pt>
                <c:pt idx="625">
                  <c:v>79.166666666666302</c:v>
                </c:pt>
                <c:pt idx="626">
                  <c:v>136.36363636363637</c:v>
                </c:pt>
                <c:pt idx="627">
                  <c:v>95.454545454545851</c:v>
                </c:pt>
                <c:pt idx="628">
                  <c:v>121.42857142857112</c:v>
                </c:pt>
                <c:pt idx="629">
                  <c:v>144.44444444444491</c:v>
                </c:pt>
                <c:pt idx="630">
                  <c:v>92.857142857142662</c:v>
                </c:pt>
                <c:pt idx="631">
                  <c:v>99.999999999999844</c:v>
                </c:pt>
                <c:pt idx="632">
                  <c:v>157.14285714285734</c:v>
                </c:pt>
                <c:pt idx="633">
                  <c:v>143.74999999999983</c:v>
                </c:pt>
                <c:pt idx="634">
                  <c:v>134.61538461538461</c:v>
                </c:pt>
                <c:pt idx="635">
                  <c:v>35.000000000000142</c:v>
                </c:pt>
                <c:pt idx="636">
                  <c:v>32.499999999999929</c:v>
                </c:pt>
                <c:pt idx="637">
                  <c:v>12.5</c:v>
                </c:pt>
                <c:pt idx="638">
                  <c:v>66.66666666666643</c:v>
                </c:pt>
                <c:pt idx="639">
                  <c:v>116.66666666666714</c:v>
                </c:pt>
                <c:pt idx="640">
                  <c:v>34.999999999999787</c:v>
                </c:pt>
                <c:pt idx="641">
                  <c:v>128.57142857142838</c:v>
                </c:pt>
                <c:pt idx="642">
                  <c:v>30.000000000000068</c:v>
                </c:pt>
                <c:pt idx="643">
                  <c:v>116.66666666666714</c:v>
                </c:pt>
                <c:pt idx="644">
                  <c:v>139.99999999999915</c:v>
                </c:pt>
                <c:pt idx="645">
                  <c:v>120.00000000000027</c:v>
                </c:pt>
                <c:pt idx="646">
                  <c:v>91.666666666667382</c:v>
                </c:pt>
                <c:pt idx="647">
                  <c:v>32.499999999999929</c:v>
                </c:pt>
                <c:pt idx="648">
                  <c:v>116.66666666666595</c:v>
                </c:pt>
                <c:pt idx="649">
                  <c:v>30.000000000000068</c:v>
                </c:pt>
                <c:pt idx="650">
                  <c:v>140.00000000000057</c:v>
                </c:pt>
                <c:pt idx="651">
                  <c:v>60.000000000000135</c:v>
                </c:pt>
                <c:pt idx="652">
                  <c:v>56.666666666666288</c:v>
                </c:pt>
                <c:pt idx="653">
                  <c:v>118.75000000000036</c:v>
                </c:pt>
                <c:pt idx="654">
                  <c:v>91.666666666666785</c:v>
                </c:pt>
                <c:pt idx="655">
                  <c:v>149.99999999999977</c:v>
                </c:pt>
                <c:pt idx="656">
                  <c:v>129.99999999999972</c:v>
                </c:pt>
                <c:pt idx="657">
                  <c:v>83.333333333333329</c:v>
                </c:pt>
                <c:pt idx="658">
                  <c:v>55.000000000000071</c:v>
                </c:pt>
                <c:pt idx="659">
                  <c:v>50</c:v>
                </c:pt>
                <c:pt idx="660">
                  <c:v>67.000000000000171</c:v>
                </c:pt>
                <c:pt idx="661">
                  <c:v>250</c:v>
                </c:pt>
                <c:pt idx="662">
                  <c:v>87.500000000000355</c:v>
                </c:pt>
                <c:pt idx="663">
                  <c:v>14.999999999999858</c:v>
                </c:pt>
                <c:pt idx="664">
                  <c:v>118.74999999999946</c:v>
                </c:pt>
                <c:pt idx="665">
                  <c:v>55.000000000000433</c:v>
                </c:pt>
                <c:pt idx="666">
                  <c:v>119.99999999999886</c:v>
                </c:pt>
                <c:pt idx="667">
                  <c:v>77.272727272728048</c:v>
                </c:pt>
                <c:pt idx="668">
                  <c:v>29.999999999999716</c:v>
                </c:pt>
                <c:pt idx="669">
                  <c:v>187.5</c:v>
                </c:pt>
                <c:pt idx="670">
                  <c:v>190.00000000000057</c:v>
                </c:pt>
                <c:pt idx="671">
                  <c:v>221.42857142857105</c:v>
                </c:pt>
                <c:pt idx="672">
                  <c:v>307.50000000000102</c:v>
                </c:pt>
                <c:pt idx="673">
                  <c:v>472.50000000000011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50</c:v>
                </c:pt>
                <c:pt idx="678">
                  <c:v>109.99999999999996</c:v>
                </c:pt>
                <c:pt idx="679">
                  <c:v>66.666666666666728</c:v>
                </c:pt>
                <c:pt idx="680">
                  <c:v>88.888888888888857</c:v>
                </c:pt>
                <c:pt idx="681">
                  <c:v>100.00000000000004</c:v>
                </c:pt>
                <c:pt idx="682">
                  <c:v>157.49999999999997</c:v>
                </c:pt>
                <c:pt idx="683">
                  <c:v>189.99999999999994</c:v>
                </c:pt>
                <c:pt idx="684">
                  <c:v>90.000000000000028</c:v>
                </c:pt>
                <c:pt idx="685">
                  <c:v>100.00000000000004</c:v>
                </c:pt>
                <c:pt idx="686">
                  <c:v>79.999999999999716</c:v>
                </c:pt>
                <c:pt idx="687">
                  <c:v>100.00000000000023</c:v>
                </c:pt>
                <c:pt idx="688">
                  <c:v>128.57142857142838</c:v>
                </c:pt>
                <c:pt idx="689">
                  <c:v>170.00000000000011</c:v>
                </c:pt>
                <c:pt idx="690">
                  <c:v>69.999999999999929</c:v>
                </c:pt>
                <c:pt idx="691">
                  <c:v>83.999999999999986</c:v>
                </c:pt>
                <c:pt idx="692">
                  <c:v>83.333333333333329</c:v>
                </c:pt>
                <c:pt idx="693">
                  <c:v>61.000000000000036</c:v>
                </c:pt>
                <c:pt idx="694">
                  <c:v>127.99999999999987</c:v>
                </c:pt>
                <c:pt idx="695">
                  <c:v>78.666666666666885</c:v>
                </c:pt>
                <c:pt idx="696">
                  <c:v>75</c:v>
                </c:pt>
                <c:pt idx="697">
                  <c:v>163.6363636363634</c:v>
                </c:pt>
                <c:pt idx="698">
                  <c:v>50</c:v>
                </c:pt>
                <c:pt idx="699">
                  <c:v>160.83333333333331</c:v>
                </c:pt>
                <c:pt idx="700">
                  <c:v>15.000000000000034</c:v>
                </c:pt>
                <c:pt idx="701">
                  <c:v>34.999999999999964</c:v>
                </c:pt>
                <c:pt idx="702">
                  <c:v>59.999999999999964</c:v>
                </c:pt>
                <c:pt idx="703">
                  <c:v>60.526315789473792</c:v>
                </c:pt>
                <c:pt idx="704">
                  <c:v>142.85714285714286</c:v>
                </c:pt>
                <c:pt idx="705">
                  <c:v>144.44444444444431</c:v>
                </c:pt>
                <c:pt idx="706">
                  <c:v>51.999999999999957</c:v>
                </c:pt>
                <c:pt idx="707">
                  <c:v>80.000000000000327</c:v>
                </c:pt>
                <c:pt idx="708">
                  <c:v>30.000000000000068</c:v>
                </c:pt>
                <c:pt idx="709">
                  <c:v>17.500000000000071</c:v>
                </c:pt>
                <c:pt idx="710">
                  <c:v>68.181818181818187</c:v>
                </c:pt>
                <c:pt idx="711">
                  <c:v>59.999999999999908</c:v>
                </c:pt>
                <c:pt idx="712">
                  <c:v>44.999999999999929</c:v>
                </c:pt>
                <c:pt idx="713">
                  <c:v>39.999999999999858</c:v>
                </c:pt>
                <c:pt idx="714">
                  <c:v>32.500000000000284</c:v>
                </c:pt>
                <c:pt idx="715">
                  <c:v>99.999999999999389</c:v>
                </c:pt>
                <c:pt idx="716">
                  <c:v>39.999999999999858</c:v>
                </c:pt>
                <c:pt idx="717">
                  <c:v>40.000000000000213</c:v>
                </c:pt>
                <c:pt idx="718">
                  <c:v>100</c:v>
                </c:pt>
                <c:pt idx="719">
                  <c:v>75</c:v>
                </c:pt>
                <c:pt idx="720">
                  <c:v>44.999999999999929</c:v>
                </c:pt>
                <c:pt idx="721">
                  <c:v>30.000000000000068</c:v>
                </c:pt>
                <c:pt idx="722">
                  <c:v>100</c:v>
                </c:pt>
                <c:pt idx="723">
                  <c:v>53.333333333333144</c:v>
                </c:pt>
                <c:pt idx="724">
                  <c:v>56.666666666666757</c:v>
                </c:pt>
                <c:pt idx="725">
                  <c:v>36.66666666666648</c:v>
                </c:pt>
                <c:pt idx="726">
                  <c:v>46.666666666666856</c:v>
                </c:pt>
                <c:pt idx="727">
                  <c:v>143.74999999999983</c:v>
                </c:pt>
                <c:pt idx="728">
                  <c:v>135.99999999999994</c:v>
                </c:pt>
                <c:pt idx="729">
                  <c:v>131.25000000000054</c:v>
                </c:pt>
                <c:pt idx="730">
                  <c:v>89.999999999999858</c:v>
                </c:pt>
                <c:pt idx="731">
                  <c:v>125</c:v>
                </c:pt>
                <c:pt idx="732">
                  <c:v>19.999999999999929</c:v>
                </c:pt>
                <c:pt idx="733">
                  <c:v>25</c:v>
                </c:pt>
                <c:pt idx="734">
                  <c:v>116.66666666666636</c:v>
                </c:pt>
                <c:pt idx="735">
                  <c:v>5.0000000000000711</c:v>
                </c:pt>
                <c:pt idx="736">
                  <c:v>19.999999999999929</c:v>
                </c:pt>
                <c:pt idx="737">
                  <c:v>53.33333333333362</c:v>
                </c:pt>
                <c:pt idx="738">
                  <c:v>59.999999999999787</c:v>
                </c:pt>
                <c:pt idx="739">
                  <c:v>100</c:v>
                </c:pt>
                <c:pt idx="740">
                  <c:v>65.000000000000213</c:v>
                </c:pt>
                <c:pt idx="741">
                  <c:v>117.64705882352941</c:v>
                </c:pt>
                <c:pt idx="742">
                  <c:v>181.81818181818181</c:v>
                </c:pt>
                <c:pt idx="743">
                  <c:v>139.99999999999963</c:v>
                </c:pt>
                <c:pt idx="744">
                  <c:v>142.85714285714286</c:v>
                </c:pt>
                <c:pt idx="745">
                  <c:v>50</c:v>
                </c:pt>
                <c:pt idx="746">
                  <c:v>100</c:v>
                </c:pt>
                <c:pt idx="747">
                  <c:v>95.000000000000284</c:v>
                </c:pt>
                <c:pt idx="748">
                  <c:v>80.000000000000185</c:v>
                </c:pt>
                <c:pt idx="749">
                  <c:v>35.000000000000142</c:v>
                </c:pt>
                <c:pt idx="750">
                  <c:v>79.999999999999247</c:v>
                </c:pt>
                <c:pt idx="751">
                  <c:v>80.000000000000185</c:v>
                </c:pt>
                <c:pt idx="752">
                  <c:v>46.000000000000085</c:v>
                </c:pt>
                <c:pt idx="753">
                  <c:v>30</c:v>
                </c:pt>
              </c:numCache>
              <c:extLst xmlns:c15="http://schemas.microsoft.com/office/drawing/2012/chart"/>
            </c:numRef>
          </c:xVal>
          <c:yVal>
            <c:numRef>
              <c:f>'2. Logging Brejo Seco'!$V$3:$V$758</c:f>
              <c:numCache>
                <c:formatCode>0</c:formatCode>
                <c:ptCount val="7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100</c:v>
                </c:pt>
                <c:pt idx="8">
                  <c:v>0</c:v>
                </c:pt>
                <c:pt idx="9">
                  <c:v>60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22</c:v>
                </c:pt>
                <c:pt idx="14">
                  <c:v>42.000000000000007</c:v>
                </c:pt>
                <c:pt idx="15">
                  <c:v>56.000000000000007</c:v>
                </c:pt>
                <c:pt idx="16">
                  <c:v>62</c:v>
                </c:pt>
                <c:pt idx="17">
                  <c:v>32</c:v>
                </c:pt>
                <c:pt idx="18">
                  <c:v>42</c:v>
                </c:pt>
                <c:pt idx="19">
                  <c:v>50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32</c:v>
                </c:pt>
                <c:pt idx="24">
                  <c:v>38</c:v>
                </c:pt>
                <c:pt idx="25">
                  <c:v>22</c:v>
                </c:pt>
                <c:pt idx="26">
                  <c:v>24</c:v>
                </c:pt>
                <c:pt idx="27">
                  <c:v>28.000000000000004</c:v>
                </c:pt>
                <c:pt idx="28">
                  <c:v>44</c:v>
                </c:pt>
                <c:pt idx="29">
                  <c:v>40</c:v>
                </c:pt>
                <c:pt idx="30">
                  <c:v>0</c:v>
                </c:pt>
                <c:pt idx="31">
                  <c:v>54</c:v>
                </c:pt>
                <c:pt idx="32">
                  <c:v>24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</c:v>
                </c:pt>
                <c:pt idx="41">
                  <c:v>0</c:v>
                </c:pt>
                <c:pt idx="42">
                  <c:v>0</c:v>
                </c:pt>
                <c:pt idx="43">
                  <c:v>52</c:v>
                </c:pt>
                <c:pt idx="44">
                  <c:v>36</c:v>
                </c:pt>
                <c:pt idx="45">
                  <c:v>100</c:v>
                </c:pt>
                <c:pt idx="46">
                  <c:v>62</c:v>
                </c:pt>
                <c:pt idx="47">
                  <c:v>94.736842105263278</c:v>
                </c:pt>
                <c:pt idx="48">
                  <c:v>34</c:v>
                </c:pt>
                <c:pt idx="49">
                  <c:v>32</c:v>
                </c:pt>
                <c:pt idx="50">
                  <c:v>22</c:v>
                </c:pt>
                <c:pt idx="51">
                  <c:v>85.714285714285367</c:v>
                </c:pt>
                <c:pt idx="52">
                  <c:v>91.48936170212788</c:v>
                </c:pt>
                <c:pt idx="53">
                  <c:v>52.427184466019362</c:v>
                </c:pt>
                <c:pt idx="54">
                  <c:v>80</c:v>
                </c:pt>
                <c:pt idx="55">
                  <c:v>82.432432432432606</c:v>
                </c:pt>
                <c:pt idx="56">
                  <c:v>74.999999999999929</c:v>
                </c:pt>
                <c:pt idx="57">
                  <c:v>40</c:v>
                </c:pt>
                <c:pt idx="58">
                  <c:v>30</c:v>
                </c:pt>
                <c:pt idx="59">
                  <c:v>26.666666666666668</c:v>
                </c:pt>
                <c:pt idx="60">
                  <c:v>92.857142857142478</c:v>
                </c:pt>
                <c:pt idx="61">
                  <c:v>64</c:v>
                </c:pt>
                <c:pt idx="62">
                  <c:v>40</c:v>
                </c:pt>
                <c:pt idx="63">
                  <c:v>0</c:v>
                </c:pt>
                <c:pt idx="64">
                  <c:v>57.999999999999993</c:v>
                </c:pt>
                <c:pt idx="65">
                  <c:v>36</c:v>
                </c:pt>
                <c:pt idx="66">
                  <c:v>0</c:v>
                </c:pt>
                <c:pt idx="67">
                  <c:v>32.85714285714306</c:v>
                </c:pt>
                <c:pt idx="68">
                  <c:v>49.999999999999879</c:v>
                </c:pt>
                <c:pt idx="69">
                  <c:v>22</c:v>
                </c:pt>
                <c:pt idx="70">
                  <c:v>0</c:v>
                </c:pt>
                <c:pt idx="71">
                  <c:v>39.999999999999901</c:v>
                </c:pt>
                <c:pt idx="72">
                  <c:v>56.000000000000007</c:v>
                </c:pt>
                <c:pt idx="73">
                  <c:v>0</c:v>
                </c:pt>
                <c:pt idx="74">
                  <c:v>47.500000000000171</c:v>
                </c:pt>
                <c:pt idx="75">
                  <c:v>31.666666666666593</c:v>
                </c:pt>
                <c:pt idx="76">
                  <c:v>30</c:v>
                </c:pt>
                <c:pt idx="77">
                  <c:v>21.428571428571558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36</c:v>
                </c:pt>
                <c:pt idx="87">
                  <c:v>28.000000000000004</c:v>
                </c:pt>
                <c:pt idx="88">
                  <c:v>24</c:v>
                </c:pt>
                <c:pt idx="89">
                  <c:v>0</c:v>
                </c:pt>
                <c:pt idx="90">
                  <c:v>34.545454545454277</c:v>
                </c:pt>
                <c:pt idx="91">
                  <c:v>0</c:v>
                </c:pt>
                <c:pt idx="92">
                  <c:v>35.714285714285573</c:v>
                </c:pt>
                <c:pt idx="93">
                  <c:v>81</c:v>
                </c:pt>
                <c:pt idx="94">
                  <c:v>28.000000000000004</c:v>
                </c:pt>
                <c:pt idx="95">
                  <c:v>0</c:v>
                </c:pt>
                <c:pt idx="96">
                  <c:v>0</c:v>
                </c:pt>
                <c:pt idx="97">
                  <c:v>54</c:v>
                </c:pt>
                <c:pt idx="98">
                  <c:v>20</c:v>
                </c:pt>
                <c:pt idx="99">
                  <c:v>32</c:v>
                </c:pt>
                <c:pt idx="100">
                  <c:v>32</c:v>
                </c:pt>
                <c:pt idx="101">
                  <c:v>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80</c:v>
                </c:pt>
                <c:pt idx="107">
                  <c:v>54.545454545454831</c:v>
                </c:pt>
                <c:pt idx="108">
                  <c:v>69.999999999999829</c:v>
                </c:pt>
                <c:pt idx="109">
                  <c:v>32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38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24</c:v>
                </c:pt>
                <c:pt idx="125" formatCode="0.00">
                  <c:v>42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24</c:v>
                </c:pt>
                <c:pt idx="131" formatCode="0.00">
                  <c:v>54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46</c:v>
                </c:pt>
                <c:pt idx="135" formatCode="0.00">
                  <c:v>68</c:v>
                </c:pt>
                <c:pt idx="136" formatCode="0.00">
                  <c:v>24</c:v>
                </c:pt>
                <c:pt idx="137" formatCode="0.00">
                  <c:v>0</c:v>
                </c:pt>
                <c:pt idx="138" formatCode="0.00">
                  <c:v>20</c:v>
                </c:pt>
                <c:pt idx="139" formatCode="0.00">
                  <c:v>0</c:v>
                </c:pt>
                <c:pt idx="140" formatCode="0.00">
                  <c:v>20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22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">
                  <c:v>0</c:v>
                </c:pt>
                <c:pt idx="204" formatCode="0.0">
                  <c:v>0</c:v>
                </c:pt>
                <c:pt idx="205" formatCode="0.0">
                  <c:v>20</c:v>
                </c:pt>
                <c:pt idx="206" formatCode="0.0">
                  <c:v>20</c:v>
                </c:pt>
                <c:pt idx="207" formatCode="0.0">
                  <c:v>0</c:v>
                </c:pt>
                <c:pt idx="208" formatCode="0.0">
                  <c:v>0</c:v>
                </c:pt>
                <c:pt idx="209" formatCode="0.0">
                  <c:v>0</c:v>
                </c:pt>
                <c:pt idx="210" formatCode="0.0">
                  <c:v>0</c:v>
                </c:pt>
                <c:pt idx="211" formatCode="0.0">
                  <c:v>0</c:v>
                </c:pt>
                <c:pt idx="212" formatCode="0.0">
                  <c:v>0</c:v>
                </c:pt>
                <c:pt idx="213" formatCode="0.0">
                  <c:v>50</c:v>
                </c:pt>
                <c:pt idx="214" formatCode="0.0">
                  <c:v>0</c:v>
                </c:pt>
                <c:pt idx="215" formatCode="0.0">
                  <c:v>0</c:v>
                </c:pt>
                <c:pt idx="216" formatCode="0.0">
                  <c:v>44</c:v>
                </c:pt>
                <c:pt idx="217" formatCode="0.0">
                  <c:v>0</c:v>
                </c:pt>
                <c:pt idx="218" formatCode="0.0">
                  <c:v>26</c:v>
                </c:pt>
                <c:pt idx="219" formatCode="0.0">
                  <c:v>26</c:v>
                </c:pt>
                <c:pt idx="220" formatCode="0.0">
                  <c:v>36</c:v>
                </c:pt>
                <c:pt idx="221" formatCode="0.0">
                  <c:v>0</c:v>
                </c:pt>
                <c:pt idx="222" formatCode="0.0">
                  <c:v>0</c:v>
                </c:pt>
                <c:pt idx="223" formatCode="0.0">
                  <c:v>0</c:v>
                </c:pt>
                <c:pt idx="224" formatCode="0.0">
                  <c:v>0</c:v>
                </c:pt>
                <c:pt idx="225" formatCode="0.0">
                  <c:v>0</c:v>
                </c:pt>
                <c:pt idx="226" formatCode="0.0">
                  <c:v>0</c:v>
                </c:pt>
                <c:pt idx="227" formatCode="0.0">
                  <c:v>0</c:v>
                </c:pt>
                <c:pt idx="228" formatCode="0.0">
                  <c:v>0</c:v>
                </c:pt>
                <c:pt idx="229" formatCode="0.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22</c:v>
                </c:pt>
                <c:pt idx="239" formatCode="0.00">
                  <c:v>28.000000000000004</c:v>
                </c:pt>
                <c:pt idx="240" formatCode="0.00">
                  <c:v>30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20</c:v>
                </c:pt>
                <c:pt idx="244" formatCode="0.00">
                  <c:v>26</c:v>
                </c:pt>
                <c:pt idx="245" formatCode="0.00">
                  <c:v>30</c:v>
                </c:pt>
                <c:pt idx="246" formatCode="0.00">
                  <c:v>32</c:v>
                </c:pt>
                <c:pt idx="247" formatCode="0.00">
                  <c:v>56.000000000000007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20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28.000000000000004</c:v>
                </c:pt>
                <c:pt idx="257" formatCode="0.00">
                  <c:v>28.000000000000004</c:v>
                </c:pt>
                <c:pt idx="258" formatCode="0.00">
                  <c:v>0</c:v>
                </c:pt>
                <c:pt idx="259" formatCode="0.0">
                  <c:v>26</c:v>
                </c:pt>
                <c:pt idx="260" formatCode="0.0">
                  <c:v>20</c:v>
                </c:pt>
                <c:pt idx="261" formatCode="0.0">
                  <c:v>0</c:v>
                </c:pt>
                <c:pt idx="262" formatCode="0.0">
                  <c:v>0</c:v>
                </c:pt>
                <c:pt idx="263" formatCode="0.0">
                  <c:v>48</c:v>
                </c:pt>
                <c:pt idx="264" formatCode="0.0">
                  <c:v>0</c:v>
                </c:pt>
                <c:pt idx="265" formatCode="0.0">
                  <c:v>44</c:v>
                </c:pt>
                <c:pt idx="266" formatCode="0.0">
                  <c:v>0</c:v>
                </c:pt>
                <c:pt idx="267" formatCode="0.0">
                  <c:v>30</c:v>
                </c:pt>
                <c:pt idx="268" formatCode="0.0">
                  <c:v>26</c:v>
                </c:pt>
                <c:pt idx="269" formatCode="0.0">
                  <c:v>0</c:v>
                </c:pt>
                <c:pt idx="270" formatCode="0.0">
                  <c:v>0</c:v>
                </c:pt>
                <c:pt idx="271" formatCode="0.0">
                  <c:v>28.000000000000004</c:v>
                </c:pt>
                <c:pt idx="272" formatCode="0.0">
                  <c:v>50</c:v>
                </c:pt>
                <c:pt idx="273" formatCode="0.0">
                  <c:v>0</c:v>
                </c:pt>
                <c:pt idx="274" formatCode="0.00">
                  <c:v>88</c:v>
                </c:pt>
                <c:pt idx="275" formatCode="0.00">
                  <c:v>54</c:v>
                </c:pt>
                <c:pt idx="276" formatCode="0.00">
                  <c:v>92</c:v>
                </c:pt>
                <c:pt idx="277" formatCode="0.00">
                  <c:v>57.999999999999993</c:v>
                </c:pt>
                <c:pt idx="278" formatCode="0.00">
                  <c:v>56.000000000000007</c:v>
                </c:pt>
                <c:pt idx="279" formatCode="0.00">
                  <c:v>57.999999999999993</c:v>
                </c:pt>
                <c:pt idx="280" formatCode="0.00">
                  <c:v>57.999999999999993</c:v>
                </c:pt>
                <c:pt idx="281" formatCode="0.00">
                  <c:v>60</c:v>
                </c:pt>
                <c:pt idx="282" formatCode="0.00">
                  <c:v>84</c:v>
                </c:pt>
                <c:pt idx="283" formatCode="0.00">
                  <c:v>74</c:v>
                </c:pt>
                <c:pt idx="284" formatCode="0.00">
                  <c:v>84</c:v>
                </c:pt>
                <c:pt idx="285" formatCode="0.00">
                  <c:v>96</c:v>
                </c:pt>
                <c:pt idx="286" formatCode="0.00">
                  <c:v>92</c:v>
                </c:pt>
                <c:pt idx="287" formatCode="0.00">
                  <c:v>62</c:v>
                </c:pt>
                <c:pt idx="288" formatCode="0.0">
                  <c:v>48</c:v>
                </c:pt>
                <c:pt idx="289" formatCode="0.0">
                  <c:v>48</c:v>
                </c:pt>
                <c:pt idx="290" formatCode="0.0">
                  <c:v>84</c:v>
                </c:pt>
                <c:pt idx="291" formatCode="0.0">
                  <c:v>0</c:v>
                </c:pt>
                <c:pt idx="292" formatCode="0.0">
                  <c:v>28.000000000000004</c:v>
                </c:pt>
                <c:pt idx="293" formatCode="0.0">
                  <c:v>26</c:v>
                </c:pt>
                <c:pt idx="294" formatCode="0.00">
                  <c:v>20</c:v>
                </c:pt>
                <c:pt idx="295" formatCode="0.00">
                  <c:v>44</c:v>
                </c:pt>
                <c:pt idx="296" formatCode="0.00">
                  <c:v>100</c:v>
                </c:pt>
                <c:pt idx="297" formatCode="0.00">
                  <c:v>54</c:v>
                </c:pt>
                <c:pt idx="298" formatCode="0.00">
                  <c:v>0</c:v>
                </c:pt>
                <c:pt idx="299" formatCode="0.00">
                  <c:v>50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">
                  <c:v>0</c:v>
                </c:pt>
                <c:pt idx="303" formatCode="0.0">
                  <c:v>66</c:v>
                </c:pt>
                <c:pt idx="304" formatCode="0.0">
                  <c:v>20</c:v>
                </c:pt>
                <c:pt idx="305" formatCode="0.0">
                  <c:v>20</c:v>
                </c:pt>
                <c:pt idx="306" formatCode="0.00">
                  <c:v>54</c:v>
                </c:pt>
                <c:pt idx="307" formatCode="0.00">
                  <c:v>70</c:v>
                </c:pt>
                <c:pt idx="308" formatCode="0.00">
                  <c:v>36</c:v>
                </c:pt>
                <c:pt idx="309" formatCode="0.00">
                  <c:v>66</c:v>
                </c:pt>
                <c:pt idx="310" formatCode="0.00">
                  <c:v>28.000000000000004</c:v>
                </c:pt>
                <c:pt idx="311" formatCode="0.00">
                  <c:v>0</c:v>
                </c:pt>
                <c:pt idx="312" formatCode="0.00">
                  <c:v>74</c:v>
                </c:pt>
                <c:pt idx="313" formatCode="0.00">
                  <c:v>54</c:v>
                </c:pt>
                <c:pt idx="314" formatCode="0.00">
                  <c:v>42</c:v>
                </c:pt>
                <c:pt idx="315" formatCode="0.00">
                  <c:v>24</c:v>
                </c:pt>
                <c:pt idx="316" formatCode="0.00">
                  <c:v>22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64.51612903225805</c:v>
                </c:pt>
                <c:pt idx="354" formatCode="0.00">
                  <c:v>85.714285714285779</c:v>
                </c:pt>
                <c:pt idx="355" formatCode="0.00">
                  <c:v>27.500000000000007</c:v>
                </c:pt>
                <c:pt idx="356" formatCode="0.00">
                  <c:v>40.38461538461538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0</c:v>
                </c:pt>
                <c:pt idx="361" formatCode="0.00">
                  <c:v>0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26</c:v>
                </c:pt>
                <c:pt idx="368" formatCode="0.00">
                  <c:v>22</c:v>
                </c:pt>
                <c:pt idx="369" formatCode="0.00">
                  <c:v>0</c:v>
                </c:pt>
                <c:pt idx="370" formatCode="0.00">
                  <c:v>22</c:v>
                </c:pt>
                <c:pt idx="371" formatCode="0.00">
                  <c:v>22</c:v>
                </c:pt>
                <c:pt idx="372" formatCode="0.00">
                  <c:v>0</c:v>
                </c:pt>
                <c:pt idx="373" formatCode="0.00">
                  <c:v>26</c:v>
                </c:pt>
                <c:pt idx="374" formatCode="0.00">
                  <c:v>0</c:v>
                </c:pt>
                <c:pt idx="375" formatCode="0.00">
                  <c:v>42</c:v>
                </c:pt>
                <c:pt idx="376" formatCode="0.00">
                  <c:v>22</c:v>
                </c:pt>
                <c:pt idx="377" formatCode="0.00">
                  <c:v>0</c:v>
                </c:pt>
                <c:pt idx="378" formatCode="0.00">
                  <c:v>20</c:v>
                </c:pt>
                <c:pt idx="379" formatCode="0.00">
                  <c:v>0</c:v>
                </c:pt>
                <c:pt idx="380" formatCode="0.00">
                  <c:v>0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0</c:v>
                </c:pt>
                <c:pt idx="384" formatCode="0.00">
                  <c:v>0</c:v>
                </c:pt>
                <c:pt idx="385" formatCode="0.00">
                  <c:v>0</c:v>
                </c:pt>
                <c:pt idx="386" formatCode="0.00">
                  <c:v>0</c:v>
                </c:pt>
                <c:pt idx="387" formatCode="0.00">
                  <c:v>0</c:v>
                </c:pt>
                <c:pt idx="388" formatCode="0.00">
                  <c:v>0</c:v>
                </c:pt>
                <c:pt idx="389" formatCode="0.00">
                  <c:v>0</c:v>
                </c:pt>
                <c:pt idx="390" formatCode="0.00">
                  <c:v>0</c:v>
                </c:pt>
                <c:pt idx="391" formatCode="0.00">
                  <c:v>22</c:v>
                </c:pt>
                <c:pt idx="392" formatCode="0.00">
                  <c:v>0</c:v>
                </c:pt>
                <c:pt idx="393" formatCode="0.00">
                  <c:v>38</c:v>
                </c:pt>
                <c:pt idx="394" formatCode="0.00">
                  <c:v>28.000000000000004</c:v>
                </c:pt>
                <c:pt idx="395" formatCode="0.00">
                  <c:v>0</c:v>
                </c:pt>
                <c:pt idx="396" formatCode="0.00">
                  <c:v>22</c:v>
                </c:pt>
                <c:pt idx="397" formatCode="0.00">
                  <c:v>44</c:v>
                </c:pt>
                <c:pt idx="398" formatCode="0.00">
                  <c:v>0</c:v>
                </c:pt>
                <c:pt idx="399" formatCode="0.00">
                  <c:v>0</c:v>
                </c:pt>
                <c:pt idx="400" formatCode="0.00">
                  <c:v>0</c:v>
                </c:pt>
                <c:pt idx="401" formatCode="0.00">
                  <c:v>0</c:v>
                </c:pt>
                <c:pt idx="402" formatCode="0.00">
                  <c:v>0</c:v>
                </c:pt>
                <c:pt idx="403" formatCode="0.00">
                  <c:v>0</c:v>
                </c:pt>
                <c:pt idx="404" formatCode="0.00">
                  <c:v>0</c:v>
                </c:pt>
                <c:pt idx="405" formatCode="0.00">
                  <c:v>0</c:v>
                </c:pt>
                <c:pt idx="406" formatCode="0.00">
                  <c:v>0</c:v>
                </c:pt>
                <c:pt idx="407" formatCode="0.00">
                  <c:v>0</c:v>
                </c:pt>
                <c:pt idx="408" formatCode="0.00">
                  <c:v>0</c:v>
                </c:pt>
                <c:pt idx="409" formatCode="0.00">
                  <c:v>0</c:v>
                </c:pt>
                <c:pt idx="410" formatCode="0.00">
                  <c:v>0</c:v>
                </c:pt>
                <c:pt idx="411" formatCode="0.00">
                  <c:v>0</c:v>
                </c:pt>
                <c:pt idx="412" formatCode="0.00">
                  <c:v>0</c:v>
                </c:pt>
                <c:pt idx="413" formatCode="0.00">
                  <c:v>0</c:v>
                </c:pt>
                <c:pt idx="414" formatCode="0.00">
                  <c:v>32</c:v>
                </c:pt>
                <c:pt idx="415" formatCode="0.00">
                  <c:v>0</c:v>
                </c:pt>
                <c:pt idx="416" formatCode="0.00">
                  <c:v>0</c:v>
                </c:pt>
                <c:pt idx="417" formatCode="0.00">
                  <c:v>0</c:v>
                </c:pt>
                <c:pt idx="418" formatCode="0.00">
                  <c:v>0</c:v>
                </c:pt>
                <c:pt idx="419" formatCode="0.00">
                  <c:v>0</c:v>
                </c:pt>
                <c:pt idx="420" formatCode="0.00">
                  <c:v>64</c:v>
                </c:pt>
                <c:pt idx="421" formatCode="0.00">
                  <c:v>34</c:v>
                </c:pt>
                <c:pt idx="422" formatCode="0.00">
                  <c:v>0</c:v>
                </c:pt>
                <c:pt idx="423" formatCode="0.00">
                  <c:v>0</c:v>
                </c:pt>
                <c:pt idx="424" formatCode="0.00">
                  <c:v>24</c:v>
                </c:pt>
                <c:pt idx="425" formatCode="0.00">
                  <c:v>22</c:v>
                </c:pt>
                <c:pt idx="426" formatCode="0.00">
                  <c:v>0</c:v>
                </c:pt>
                <c:pt idx="427" formatCode="0.00">
                  <c:v>40</c:v>
                </c:pt>
                <c:pt idx="428" formatCode="0.00">
                  <c:v>20</c:v>
                </c:pt>
                <c:pt idx="429" formatCode="0.00">
                  <c:v>0</c:v>
                </c:pt>
                <c:pt idx="430" formatCode="0.00">
                  <c:v>22</c:v>
                </c:pt>
                <c:pt idx="431" formatCode="0.00">
                  <c:v>30</c:v>
                </c:pt>
                <c:pt idx="432" formatCode="0.00">
                  <c:v>30</c:v>
                </c:pt>
                <c:pt idx="433" formatCode="0.00">
                  <c:v>0</c:v>
                </c:pt>
                <c:pt idx="434" formatCode="0.00">
                  <c:v>22</c:v>
                </c:pt>
                <c:pt idx="435" formatCode="0.00">
                  <c:v>20</c:v>
                </c:pt>
                <c:pt idx="436" formatCode="0.00">
                  <c:v>24</c:v>
                </c:pt>
                <c:pt idx="437" formatCode="0.00">
                  <c:v>0</c:v>
                </c:pt>
                <c:pt idx="438" formatCode="0.00">
                  <c:v>20</c:v>
                </c:pt>
                <c:pt idx="439" formatCode="0.00">
                  <c:v>28.000000000000004</c:v>
                </c:pt>
                <c:pt idx="440" formatCode="0.00">
                  <c:v>24</c:v>
                </c:pt>
                <c:pt idx="441" formatCode="0.00">
                  <c:v>0</c:v>
                </c:pt>
                <c:pt idx="442" formatCode="0.00">
                  <c:v>0</c:v>
                </c:pt>
                <c:pt idx="443" formatCode="0.00">
                  <c:v>0</c:v>
                </c:pt>
                <c:pt idx="444" formatCode="0.00">
                  <c:v>28.000000000000004</c:v>
                </c:pt>
                <c:pt idx="445" formatCode="0.00">
                  <c:v>34</c:v>
                </c:pt>
                <c:pt idx="446" formatCode="0.00">
                  <c:v>0</c:v>
                </c:pt>
                <c:pt idx="447" formatCode="0.00">
                  <c:v>0</c:v>
                </c:pt>
                <c:pt idx="448" formatCode="0.00">
                  <c:v>0</c:v>
                </c:pt>
                <c:pt idx="449" formatCode="0.00">
                  <c:v>0</c:v>
                </c:pt>
                <c:pt idx="450" formatCode="0.00">
                  <c:v>0</c:v>
                </c:pt>
                <c:pt idx="451" formatCode="0.00">
                  <c:v>54</c:v>
                </c:pt>
                <c:pt idx="452" formatCode="0.00">
                  <c:v>52</c:v>
                </c:pt>
                <c:pt idx="453" formatCode="0.00">
                  <c:v>34</c:v>
                </c:pt>
                <c:pt idx="454" formatCode="0.00">
                  <c:v>28.000000000000004</c:v>
                </c:pt>
                <c:pt idx="455" formatCode="0.00">
                  <c:v>0</c:v>
                </c:pt>
                <c:pt idx="456" formatCode="0.00">
                  <c:v>50</c:v>
                </c:pt>
                <c:pt idx="457" formatCode="0.00">
                  <c:v>20</c:v>
                </c:pt>
                <c:pt idx="458" formatCode="0.00">
                  <c:v>0</c:v>
                </c:pt>
                <c:pt idx="459" formatCode="0.00">
                  <c:v>44</c:v>
                </c:pt>
                <c:pt idx="460" formatCode="0.00">
                  <c:v>22</c:v>
                </c:pt>
                <c:pt idx="461" formatCode="0.00">
                  <c:v>30</c:v>
                </c:pt>
                <c:pt idx="462" formatCode="0.00">
                  <c:v>26</c:v>
                </c:pt>
                <c:pt idx="463" formatCode="0.00">
                  <c:v>0</c:v>
                </c:pt>
                <c:pt idx="464" formatCode="0.00">
                  <c:v>66</c:v>
                </c:pt>
                <c:pt idx="465" formatCode="0.00">
                  <c:v>36</c:v>
                </c:pt>
                <c:pt idx="466" formatCode="0.00">
                  <c:v>50</c:v>
                </c:pt>
                <c:pt idx="467" formatCode="0.00">
                  <c:v>0</c:v>
                </c:pt>
                <c:pt idx="468" formatCode="0.00">
                  <c:v>0</c:v>
                </c:pt>
                <c:pt idx="469" formatCode="0.00">
                  <c:v>0</c:v>
                </c:pt>
                <c:pt idx="470" formatCode="0.00">
                  <c:v>0</c:v>
                </c:pt>
                <c:pt idx="471" formatCode="0.00">
                  <c:v>0</c:v>
                </c:pt>
                <c:pt idx="472" formatCode="0.00">
                  <c:v>0</c:v>
                </c:pt>
                <c:pt idx="473" formatCode="0.00">
                  <c:v>0</c:v>
                </c:pt>
                <c:pt idx="474" formatCode="0.00">
                  <c:v>0</c:v>
                </c:pt>
                <c:pt idx="475" formatCode="0.00">
                  <c:v>0</c:v>
                </c:pt>
                <c:pt idx="476" formatCode="0.00">
                  <c:v>0</c:v>
                </c:pt>
                <c:pt idx="477" formatCode="0.00">
                  <c:v>0</c:v>
                </c:pt>
                <c:pt idx="478" formatCode="0.00">
                  <c:v>0</c:v>
                </c:pt>
                <c:pt idx="479" formatCode="0.00">
                  <c:v>0</c:v>
                </c:pt>
                <c:pt idx="480" formatCode="0.00">
                  <c:v>0</c:v>
                </c:pt>
                <c:pt idx="481" formatCode="0.00">
                  <c:v>0</c:v>
                </c:pt>
                <c:pt idx="482" formatCode="0.00">
                  <c:v>0</c:v>
                </c:pt>
                <c:pt idx="483" formatCode="0.00">
                  <c:v>0</c:v>
                </c:pt>
                <c:pt idx="484" formatCode="0.00">
                  <c:v>0</c:v>
                </c:pt>
                <c:pt idx="485" formatCode="0.00">
                  <c:v>0</c:v>
                </c:pt>
                <c:pt idx="486" formatCode="0.00">
                  <c:v>0</c:v>
                </c:pt>
                <c:pt idx="487" formatCode="0.00">
                  <c:v>0</c:v>
                </c:pt>
                <c:pt idx="488" formatCode="0.00">
                  <c:v>0</c:v>
                </c:pt>
                <c:pt idx="489" formatCode="0.00">
                  <c:v>0</c:v>
                </c:pt>
                <c:pt idx="490" formatCode="0.00">
                  <c:v>0</c:v>
                </c:pt>
                <c:pt idx="491" formatCode="0.00">
                  <c:v>0</c:v>
                </c:pt>
                <c:pt idx="492" formatCode="0.00">
                  <c:v>0</c:v>
                </c:pt>
                <c:pt idx="493" formatCode="0.00">
                  <c:v>0</c:v>
                </c:pt>
                <c:pt idx="494" formatCode="0.00">
                  <c:v>0</c:v>
                </c:pt>
                <c:pt idx="495" formatCode="0.00">
                  <c:v>0</c:v>
                </c:pt>
                <c:pt idx="496" formatCode="0.00">
                  <c:v>0</c:v>
                </c:pt>
                <c:pt idx="497" formatCode="0.00">
                  <c:v>0</c:v>
                </c:pt>
                <c:pt idx="498" formatCode="0.00">
                  <c:v>0</c:v>
                </c:pt>
                <c:pt idx="499" formatCode="0.00">
                  <c:v>0</c:v>
                </c:pt>
                <c:pt idx="500" formatCode="0.00">
                  <c:v>0</c:v>
                </c:pt>
                <c:pt idx="501" formatCode="0.00">
                  <c:v>0</c:v>
                </c:pt>
                <c:pt idx="502" formatCode="0.00">
                  <c:v>0</c:v>
                </c:pt>
                <c:pt idx="503" formatCode="0.00">
                  <c:v>0</c:v>
                </c:pt>
                <c:pt idx="504" formatCode="0.00">
                  <c:v>0</c:v>
                </c:pt>
                <c:pt idx="505" formatCode="0.00">
                  <c:v>34</c:v>
                </c:pt>
                <c:pt idx="506" formatCode="0.00">
                  <c:v>0</c:v>
                </c:pt>
                <c:pt idx="507" formatCode="0.00">
                  <c:v>0</c:v>
                </c:pt>
                <c:pt idx="508" formatCode="0.00">
                  <c:v>0</c:v>
                </c:pt>
                <c:pt idx="509" formatCode="0.00">
                  <c:v>0</c:v>
                </c:pt>
                <c:pt idx="510" formatCode="0.00">
                  <c:v>0</c:v>
                </c:pt>
                <c:pt idx="511" formatCode="0.00">
                  <c:v>0</c:v>
                </c:pt>
                <c:pt idx="512" formatCode="0.00">
                  <c:v>0</c:v>
                </c:pt>
                <c:pt idx="513" formatCode="0.00">
                  <c:v>62</c:v>
                </c:pt>
                <c:pt idx="514" formatCode="0.00">
                  <c:v>0</c:v>
                </c:pt>
                <c:pt idx="515" formatCode="0.00">
                  <c:v>0</c:v>
                </c:pt>
                <c:pt idx="516" formatCode="0.00">
                  <c:v>0</c:v>
                </c:pt>
                <c:pt idx="517" formatCode="0.00">
                  <c:v>0</c:v>
                </c:pt>
                <c:pt idx="518" formatCode="0.00">
                  <c:v>40</c:v>
                </c:pt>
                <c:pt idx="519" formatCode="0.00">
                  <c:v>36</c:v>
                </c:pt>
                <c:pt idx="520" formatCode="0.00">
                  <c:v>46</c:v>
                </c:pt>
                <c:pt idx="521" formatCode="0.00">
                  <c:v>26</c:v>
                </c:pt>
                <c:pt idx="522" formatCode="0.00">
                  <c:v>0</c:v>
                </c:pt>
                <c:pt idx="523" formatCode="0.00">
                  <c:v>0</c:v>
                </c:pt>
                <c:pt idx="524" formatCode="0.00">
                  <c:v>0</c:v>
                </c:pt>
                <c:pt idx="525" formatCode="0.00">
                  <c:v>0</c:v>
                </c:pt>
                <c:pt idx="526" formatCode="0.00">
                  <c:v>0</c:v>
                </c:pt>
                <c:pt idx="527" formatCode="0.00">
                  <c:v>22</c:v>
                </c:pt>
                <c:pt idx="528" formatCode="0.00">
                  <c:v>0</c:v>
                </c:pt>
                <c:pt idx="529" formatCode="0.00">
                  <c:v>0</c:v>
                </c:pt>
                <c:pt idx="530" formatCode="0.00">
                  <c:v>0</c:v>
                </c:pt>
                <c:pt idx="531" formatCode="0.00">
                  <c:v>88</c:v>
                </c:pt>
                <c:pt idx="532" formatCode="0.00">
                  <c:v>20</c:v>
                </c:pt>
                <c:pt idx="533" formatCode="0.00">
                  <c:v>88</c:v>
                </c:pt>
                <c:pt idx="534" formatCode="0.00">
                  <c:v>20</c:v>
                </c:pt>
                <c:pt idx="535" formatCode="0.00">
                  <c:v>0</c:v>
                </c:pt>
                <c:pt idx="536" formatCode="0.00">
                  <c:v>72</c:v>
                </c:pt>
                <c:pt idx="537" formatCode="0.00">
                  <c:v>0</c:v>
                </c:pt>
                <c:pt idx="538" formatCode="0.00">
                  <c:v>0</c:v>
                </c:pt>
                <c:pt idx="539" formatCode="0.00">
                  <c:v>0</c:v>
                </c:pt>
                <c:pt idx="540" formatCode="0.00">
                  <c:v>36</c:v>
                </c:pt>
                <c:pt idx="541" formatCode="0.00">
                  <c:v>32</c:v>
                </c:pt>
                <c:pt idx="542" formatCode="0.00">
                  <c:v>30</c:v>
                </c:pt>
                <c:pt idx="543" formatCode="0.00">
                  <c:v>68</c:v>
                </c:pt>
                <c:pt idx="544" formatCode="0.00">
                  <c:v>0</c:v>
                </c:pt>
                <c:pt idx="545" formatCode="0.00">
                  <c:v>40</c:v>
                </c:pt>
                <c:pt idx="546" formatCode="0.00">
                  <c:v>46</c:v>
                </c:pt>
                <c:pt idx="547" formatCode="0.00">
                  <c:v>40</c:v>
                </c:pt>
                <c:pt idx="548" formatCode="0.00">
                  <c:v>52</c:v>
                </c:pt>
                <c:pt idx="549" formatCode="0.00">
                  <c:v>38</c:v>
                </c:pt>
                <c:pt idx="550" formatCode="0.00">
                  <c:v>52</c:v>
                </c:pt>
                <c:pt idx="551" formatCode="0.00">
                  <c:v>34</c:v>
                </c:pt>
                <c:pt idx="552" formatCode="0.00">
                  <c:v>22</c:v>
                </c:pt>
                <c:pt idx="553" formatCode="0.00">
                  <c:v>66</c:v>
                </c:pt>
                <c:pt idx="554" formatCode="0.00">
                  <c:v>20</c:v>
                </c:pt>
                <c:pt idx="555" formatCode="0.00">
                  <c:v>42</c:v>
                </c:pt>
                <c:pt idx="556" formatCode="0.00">
                  <c:v>24</c:v>
                </c:pt>
                <c:pt idx="557" formatCode="0.00">
                  <c:v>0</c:v>
                </c:pt>
                <c:pt idx="558" formatCode="0.00">
                  <c:v>20</c:v>
                </c:pt>
                <c:pt idx="559" formatCode="0.00">
                  <c:v>30</c:v>
                </c:pt>
                <c:pt idx="560" formatCode="0.00">
                  <c:v>0</c:v>
                </c:pt>
                <c:pt idx="561" formatCode="0.00">
                  <c:v>0</c:v>
                </c:pt>
                <c:pt idx="562" formatCode="0.00">
                  <c:v>0</c:v>
                </c:pt>
                <c:pt idx="563" formatCode="0.00">
                  <c:v>0</c:v>
                </c:pt>
                <c:pt idx="564" formatCode="0.00">
                  <c:v>0</c:v>
                </c:pt>
                <c:pt idx="565" formatCode="0.00">
                  <c:v>20</c:v>
                </c:pt>
                <c:pt idx="566" formatCode="0.00">
                  <c:v>24</c:v>
                </c:pt>
                <c:pt idx="567" formatCode="0.00">
                  <c:v>54</c:v>
                </c:pt>
                <c:pt idx="568" formatCode="0.00">
                  <c:v>52</c:v>
                </c:pt>
                <c:pt idx="569" formatCode="0.00">
                  <c:v>24</c:v>
                </c:pt>
                <c:pt idx="570" formatCode="0.00">
                  <c:v>64</c:v>
                </c:pt>
                <c:pt idx="571" formatCode="0.00">
                  <c:v>20</c:v>
                </c:pt>
                <c:pt idx="572" formatCode="0.00">
                  <c:v>0</c:v>
                </c:pt>
                <c:pt idx="573" formatCode="0.00">
                  <c:v>22</c:v>
                </c:pt>
                <c:pt idx="574" formatCode="0.00">
                  <c:v>0</c:v>
                </c:pt>
                <c:pt idx="575" formatCode="0.00">
                  <c:v>0</c:v>
                </c:pt>
                <c:pt idx="576" formatCode="0.00">
                  <c:v>0</c:v>
                </c:pt>
                <c:pt idx="577" formatCode="0.00">
                  <c:v>0</c:v>
                </c:pt>
                <c:pt idx="578" formatCode="0.00">
                  <c:v>0</c:v>
                </c:pt>
                <c:pt idx="579" formatCode="0.00">
                  <c:v>0</c:v>
                </c:pt>
                <c:pt idx="580" formatCode="0.00">
                  <c:v>48</c:v>
                </c:pt>
                <c:pt idx="581" formatCode="0.00">
                  <c:v>0</c:v>
                </c:pt>
                <c:pt idx="582" formatCode="0.00">
                  <c:v>36</c:v>
                </c:pt>
                <c:pt idx="583" formatCode="0.00">
                  <c:v>9.376786022400001</c:v>
                </c:pt>
                <c:pt idx="584" formatCode="0.00">
                  <c:v>12.5</c:v>
                </c:pt>
                <c:pt idx="585" formatCode="0.00">
                  <c:v>2.8149950088000009</c:v>
                </c:pt>
                <c:pt idx="586" formatCode="General">
                  <c:v>0</c:v>
                </c:pt>
                <c:pt idx="587" formatCode="General">
                  <c:v>0</c:v>
                </c:pt>
                <c:pt idx="588" formatCode="General">
                  <c:v>0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 formatCode="General">
                  <c:v>0</c:v>
                </c:pt>
                <c:pt idx="595" formatCode="0.0">
                  <c:v>23.333333333333314</c:v>
                </c:pt>
                <c:pt idx="596" formatCode="0.0">
                  <c:v>19.999999999999989</c:v>
                </c:pt>
                <c:pt idx="597" formatCode="0.0">
                  <c:v>0</c:v>
                </c:pt>
                <c:pt idx="598" formatCode="0.0">
                  <c:v>0</c:v>
                </c:pt>
                <c:pt idx="599" formatCode="0.0">
                  <c:v>0</c:v>
                </c:pt>
                <c:pt idx="600" formatCode="0.0">
                  <c:v>53.333333333333208</c:v>
                </c:pt>
                <c:pt idx="601" formatCode="0.0">
                  <c:v>16.666666666666693</c:v>
                </c:pt>
                <c:pt idx="602" formatCode="0.0">
                  <c:v>27.499999999999975</c:v>
                </c:pt>
                <c:pt idx="603" formatCode="0.0">
                  <c:v>40</c:v>
                </c:pt>
                <c:pt idx="604" formatCode="0.0">
                  <c:v>0</c:v>
                </c:pt>
                <c:pt idx="605" formatCode="0.0">
                  <c:v>30</c:v>
                </c:pt>
                <c:pt idx="606" formatCode="0.0">
                  <c:v>0</c:v>
                </c:pt>
                <c:pt idx="607" formatCode="0.0">
                  <c:v>0</c:v>
                </c:pt>
                <c:pt idx="608" formatCode="0.0">
                  <c:v>0</c:v>
                </c:pt>
                <c:pt idx="609" formatCode="0.0">
                  <c:v>0</c:v>
                </c:pt>
                <c:pt idx="610" formatCode="0.0">
                  <c:v>0</c:v>
                </c:pt>
                <c:pt idx="611" formatCode="0.0">
                  <c:v>0</c:v>
                </c:pt>
                <c:pt idx="612" formatCode="0.0">
                  <c:v>0</c:v>
                </c:pt>
                <c:pt idx="613" formatCode="0.0">
                  <c:v>27.096774193548374</c:v>
                </c:pt>
                <c:pt idx="614" formatCode="0.0">
                  <c:v>63.749999999999943</c:v>
                </c:pt>
                <c:pt idx="615" formatCode="0.0">
                  <c:v>64.285714285714363</c:v>
                </c:pt>
                <c:pt idx="616" formatCode="0.0">
                  <c:v>73.124999999999929</c:v>
                </c:pt>
                <c:pt idx="617" formatCode="0.0">
                  <c:v>43.333333333333336</c:v>
                </c:pt>
                <c:pt idx="618" formatCode="0.0">
                  <c:v>49.565217391304408</c:v>
                </c:pt>
                <c:pt idx="619" formatCode="0.0">
                  <c:v>46.874999999999957</c:v>
                </c:pt>
                <c:pt idx="620" formatCode="0.0">
                  <c:v>15.2</c:v>
                </c:pt>
                <c:pt idx="621" formatCode="0.0">
                  <c:v>22.857142857142858</c:v>
                </c:pt>
                <c:pt idx="622" formatCode="0.0">
                  <c:v>45.599999999999994</c:v>
                </c:pt>
                <c:pt idx="623" formatCode="0.0">
                  <c:v>65.263157894736892</c:v>
                </c:pt>
                <c:pt idx="624" formatCode="0.0">
                  <c:v>11.874999999999989</c:v>
                </c:pt>
                <c:pt idx="625" formatCode="0.0">
                  <c:v>13.684210526315852</c:v>
                </c:pt>
                <c:pt idx="626" formatCode="0.0">
                  <c:v>48.666666666666664</c:v>
                </c:pt>
                <c:pt idx="627" formatCode="0.0">
                  <c:v>13.333333333333281</c:v>
                </c:pt>
                <c:pt idx="628" formatCode="0.0">
                  <c:v>30.588235294117727</c:v>
                </c:pt>
                <c:pt idx="629" formatCode="0.0">
                  <c:v>52.307692307692143</c:v>
                </c:pt>
                <c:pt idx="630" formatCode="0.0">
                  <c:v>7.6923076923077094</c:v>
                </c:pt>
                <c:pt idx="631" formatCode="0.0">
                  <c:v>12.222222222222241</c:v>
                </c:pt>
                <c:pt idx="632" formatCode="0.0">
                  <c:v>39.999999999999943</c:v>
                </c:pt>
                <c:pt idx="633" formatCode="0.0">
                  <c:v>39.130434782608745</c:v>
                </c:pt>
                <c:pt idx="634" formatCode="0.0">
                  <c:v>30.857142857142861</c:v>
                </c:pt>
                <c:pt idx="635" formatCode="0.0">
                  <c:v>0</c:v>
                </c:pt>
                <c:pt idx="636" formatCode="0.0">
                  <c:v>0</c:v>
                </c:pt>
                <c:pt idx="637" formatCode="0.0">
                  <c:v>0</c:v>
                </c:pt>
                <c:pt idx="638" formatCode="0.0">
                  <c:v>25.000000000000089</c:v>
                </c:pt>
                <c:pt idx="639" formatCode="0.0">
                  <c:v>24.285714285714189</c:v>
                </c:pt>
                <c:pt idx="640" formatCode="0.0">
                  <c:v>0</c:v>
                </c:pt>
                <c:pt idx="641" formatCode="0.0">
                  <c:v>20.000000000000032</c:v>
                </c:pt>
                <c:pt idx="642" formatCode="0.0">
                  <c:v>0</c:v>
                </c:pt>
                <c:pt idx="643" formatCode="0.0">
                  <c:v>17.142857142857075</c:v>
                </c:pt>
                <c:pt idx="644" formatCode="0.0">
                  <c:v>47.14285714285743</c:v>
                </c:pt>
                <c:pt idx="645" formatCode="0.0">
                  <c:v>19.99999999999995</c:v>
                </c:pt>
                <c:pt idx="646" formatCode="0.0">
                  <c:v>18.181818181818041</c:v>
                </c:pt>
                <c:pt idx="647" formatCode="0.0">
                  <c:v>0</c:v>
                </c:pt>
                <c:pt idx="648" formatCode="0.0">
                  <c:v>14.285714285714374</c:v>
                </c:pt>
                <c:pt idx="649" formatCode="0.0">
                  <c:v>0</c:v>
                </c:pt>
                <c:pt idx="650" formatCode="0.0">
                  <c:v>41.42857142857126</c:v>
                </c:pt>
                <c:pt idx="651" formatCode="0.0">
                  <c:v>0</c:v>
                </c:pt>
                <c:pt idx="652" formatCode="0.0">
                  <c:v>0</c:v>
                </c:pt>
                <c:pt idx="653" formatCode="0.0">
                  <c:v>44.210526315789338</c:v>
                </c:pt>
                <c:pt idx="654" formatCode="0.0">
                  <c:v>9.9999999999999858</c:v>
                </c:pt>
                <c:pt idx="655" formatCode="0.0">
                  <c:v>22.222222222222261</c:v>
                </c:pt>
                <c:pt idx="656" formatCode="0.0">
                  <c:v>70.76923076923093</c:v>
                </c:pt>
                <c:pt idx="657" formatCode="0.0">
                  <c:v>54</c:v>
                </c:pt>
                <c:pt idx="658" formatCode="0.0">
                  <c:v>0</c:v>
                </c:pt>
                <c:pt idx="659" formatCode="0.0">
                  <c:v>0</c:v>
                </c:pt>
                <c:pt idx="660" formatCode="0.0">
                  <c:v>0</c:v>
                </c:pt>
                <c:pt idx="661" formatCode="0.0">
                  <c:v>70</c:v>
                </c:pt>
                <c:pt idx="662" formatCode="0.0">
                  <c:v>14.28571428571423</c:v>
                </c:pt>
                <c:pt idx="663" formatCode="0.0">
                  <c:v>0</c:v>
                </c:pt>
                <c:pt idx="664" formatCode="0.0">
                  <c:v>5.7894736842105523</c:v>
                </c:pt>
                <c:pt idx="665" formatCode="0.0">
                  <c:v>0</c:v>
                </c:pt>
                <c:pt idx="666" formatCode="0.0">
                  <c:v>20.000000000000188</c:v>
                </c:pt>
                <c:pt idx="667" formatCode="0.0">
                  <c:v>17.647058823529235</c:v>
                </c:pt>
                <c:pt idx="668" formatCode="0.0">
                  <c:v>0</c:v>
                </c:pt>
                <c:pt idx="669" formatCode="0.0">
                  <c:v>52.666666666666671</c:v>
                </c:pt>
                <c:pt idx="670" formatCode="0.0">
                  <c:v>42.105263157894612</c:v>
                </c:pt>
                <c:pt idx="671" formatCode="0.0">
                  <c:v>60.64516129032269</c:v>
                </c:pt>
                <c:pt idx="672" formatCode="0.0">
                  <c:v>81.300813008129808</c:v>
                </c:pt>
                <c:pt idx="673" formatCode="0.0">
                  <c:v>89.947089947089921</c:v>
                </c:pt>
                <c:pt idx="674" formatCode="0.0">
                  <c:v>0</c:v>
                </c:pt>
                <c:pt idx="675" formatCode="0.0">
                  <c:v>0</c:v>
                </c:pt>
                <c:pt idx="676" formatCode="0.0">
                  <c:v>0</c:v>
                </c:pt>
                <c:pt idx="677" formatCode="0.0">
                  <c:v>0</c:v>
                </c:pt>
                <c:pt idx="678" formatCode="0.0">
                  <c:v>30.000000000000011</c:v>
                </c:pt>
                <c:pt idx="679" formatCode="0.0">
                  <c:v>46.666666666666629</c:v>
                </c:pt>
                <c:pt idx="680" formatCode="0.0">
                  <c:v>26.250000000000007</c:v>
                </c:pt>
                <c:pt idx="681" formatCode="0.0">
                  <c:v>46.666666666666643</c:v>
                </c:pt>
                <c:pt idx="682" formatCode="0.0">
                  <c:v>63.492063492063508</c:v>
                </c:pt>
                <c:pt idx="683" formatCode="0.0">
                  <c:v>68.421052631578974</c:v>
                </c:pt>
                <c:pt idx="684" formatCode="0.0">
                  <c:v>16.666666666666661</c:v>
                </c:pt>
                <c:pt idx="685" formatCode="0.0">
                  <c:v>56.666666666666643</c:v>
                </c:pt>
                <c:pt idx="686" formatCode="0.0">
                  <c:v>27.500000000000096</c:v>
                </c:pt>
                <c:pt idx="687" formatCode="0.0">
                  <c:v>0</c:v>
                </c:pt>
                <c:pt idx="688" formatCode="0.0">
                  <c:v>57.777777777777871</c:v>
                </c:pt>
                <c:pt idx="689" formatCode="0.0">
                  <c:v>43.529411764705856</c:v>
                </c:pt>
                <c:pt idx="690" formatCode="0.0">
                  <c:v>17.14285714285716</c:v>
                </c:pt>
                <c:pt idx="691" formatCode="0.0">
                  <c:v>22.61904761904762</c:v>
                </c:pt>
                <c:pt idx="692" formatCode="0.0">
                  <c:v>0</c:v>
                </c:pt>
                <c:pt idx="693" formatCode="0.0">
                  <c:v>0</c:v>
                </c:pt>
                <c:pt idx="694" formatCode="0.0">
                  <c:v>26.041666666666689</c:v>
                </c:pt>
                <c:pt idx="695" formatCode="0.0">
                  <c:v>23.728813559321971</c:v>
                </c:pt>
                <c:pt idx="696" formatCode="0.0">
                  <c:v>0</c:v>
                </c:pt>
                <c:pt idx="697" formatCode="0.0">
                  <c:v>27.222222222222264</c:v>
                </c:pt>
                <c:pt idx="698" formatCode="0.0">
                  <c:v>0</c:v>
                </c:pt>
                <c:pt idx="699" formatCode="0.0">
                  <c:v>47.150259067357517</c:v>
                </c:pt>
                <c:pt idx="700" formatCode="0.0">
                  <c:v>0</c:v>
                </c:pt>
                <c:pt idx="701" formatCode="0.0">
                  <c:v>0</c:v>
                </c:pt>
                <c:pt idx="702" formatCode="0.0">
                  <c:v>0</c:v>
                </c:pt>
                <c:pt idx="703" formatCode="0.0">
                  <c:v>18.260869565217359</c:v>
                </c:pt>
                <c:pt idx="704" formatCode="0.0">
                  <c:v>36</c:v>
                </c:pt>
                <c:pt idx="705" formatCode="0.0">
                  <c:v>10.769230769230779</c:v>
                </c:pt>
                <c:pt idx="706" formatCode="0.0">
                  <c:v>34.615384615384642</c:v>
                </c:pt>
                <c:pt idx="707" formatCode="0.0">
                  <c:v>23.214285714285619</c:v>
                </c:pt>
                <c:pt idx="708" formatCode="0.0">
                  <c:v>0</c:v>
                </c:pt>
                <c:pt idx="709" formatCode="0.0">
                  <c:v>0</c:v>
                </c:pt>
                <c:pt idx="710" formatCode="0.0">
                  <c:v>33.333333333333329</c:v>
                </c:pt>
                <c:pt idx="711" formatCode="0.0">
                  <c:v>0</c:v>
                </c:pt>
                <c:pt idx="712" formatCode="0.0">
                  <c:v>0</c:v>
                </c:pt>
                <c:pt idx="713" formatCode="0.0">
                  <c:v>0</c:v>
                </c:pt>
                <c:pt idx="714" formatCode="0.0">
                  <c:v>0</c:v>
                </c:pt>
                <c:pt idx="715" formatCode="0.0">
                  <c:v>17.142857142857245</c:v>
                </c:pt>
                <c:pt idx="716" formatCode="0.0">
                  <c:v>0</c:v>
                </c:pt>
                <c:pt idx="717" formatCode="0.0">
                  <c:v>0</c:v>
                </c:pt>
                <c:pt idx="718" formatCode="0.0">
                  <c:v>0</c:v>
                </c:pt>
                <c:pt idx="719" formatCode="0.0">
                  <c:v>0</c:v>
                </c:pt>
                <c:pt idx="720" formatCode="0.0">
                  <c:v>0</c:v>
                </c:pt>
                <c:pt idx="721" formatCode="0.0">
                  <c:v>0</c:v>
                </c:pt>
                <c:pt idx="722" formatCode="0.0">
                  <c:v>24</c:v>
                </c:pt>
                <c:pt idx="723" formatCode="0.0">
                  <c:v>0</c:v>
                </c:pt>
                <c:pt idx="724" formatCode="0.0">
                  <c:v>0</c:v>
                </c:pt>
                <c:pt idx="725" formatCode="0.0">
                  <c:v>0</c:v>
                </c:pt>
                <c:pt idx="726" formatCode="0.0">
                  <c:v>0</c:v>
                </c:pt>
                <c:pt idx="727" formatCode="0.0">
                  <c:v>29.565217391304387</c:v>
                </c:pt>
                <c:pt idx="728" formatCode="0.0">
                  <c:v>44.117647058823543</c:v>
                </c:pt>
                <c:pt idx="729" formatCode="0.0">
                  <c:v>35.238095238095099</c:v>
                </c:pt>
                <c:pt idx="730" formatCode="0.0">
                  <c:v>13.333333333333353</c:v>
                </c:pt>
                <c:pt idx="731" formatCode="0.0">
                  <c:v>13</c:v>
                </c:pt>
                <c:pt idx="732" formatCode="0.0">
                  <c:v>0</c:v>
                </c:pt>
                <c:pt idx="733" formatCode="0.0">
                  <c:v>0</c:v>
                </c:pt>
                <c:pt idx="734" formatCode="0.0">
                  <c:v>10.476190476190505</c:v>
                </c:pt>
                <c:pt idx="735" formatCode="0.0">
                  <c:v>0</c:v>
                </c:pt>
                <c:pt idx="736" formatCode="0.0">
                  <c:v>0</c:v>
                </c:pt>
                <c:pt idx="737" formatCode="0.0">
                  <c:v>22.499999999999879</c:v>
                </c:pt>
                <c:pt idx="738" formatCode="0.0">
                  <c:v>0</c:v>
                </c:pt>
                <c:pt idx="739" formatCode="0.0">
                  <c:v>16.666666666666664</c:v>
                </c:pt>
                <c:pt idx="740" formatCode="0.0">
                  <c:v>0</c:v>
                </c:pt>
                <c:pt idx="741" formatCode="0.0">
                  <c:v>6</c:v>
                </c:pt>
                <c:pt idx="742" formatCode="0.0">
                  <c:v>45.5</c:v>
                </c:pt>
                <c:pt idx="743" formatCode="0.0">
                  <c:v>42.857142857142975</c:v>
                </c:pt>
                <c:pt idx="744" formatCode="0.0">
                  <c:v>17.5</c:v>
                </c:pt>
                <c:pt idx="745" formatCode="0.0">
                  <c:v>0</c:v>
                </c:pt>
                <c:pt idx="746" formatCode="0.0">
                  <c:v>11.333333333333334</c:v>
                </c:pt>
                <c:pt idx="747" formatCode="0.0">
                  <c:v>0</c:v>
                </c:pt>
                <c:pt idx="748" formatCode="0.0">
                  <c:v>12.49999999999997</c:v>
                </c:pt>
                <c:pt idx="749" formatCode="0.0">
                  <c:v>0</c:v>
                </c:pt>
                <c:pt idx="750" formatCode="0.0">
                  <c:v>9.1666666666667531</c:v>
                </c:pt>
                <c:pt idx="751" formatCode="0.0">
                  <c:v>10.833333333333309</c:v>
                </c:pt>
                <c:pt idx="752" formatCode="0.0">
                  <c:v>0</c:v>
                </c:pt>
                <c:pt idx="753" formatCode="0.0">
                  <c:v>0</c:v>
                </c:pt>
                <c:pt idx="754" formatCode="0.0">
                  <c:v>0</c:v>
                </c:pt>
                <c:pt idx="755" formatCode="0.0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04E-414B-B68A-0C3172A2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D04E-414B-B68A-0C3172A2D962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04E-414B-B68A-0C3172A2D962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04E-414B-B68A-0C3172A2D962}"/>
            </c:ext>
          </c:extLst>
        </c:ser>
        <c:ser>
          <c:idx val="4"/>
          <c:order val="4"/>
          <c:tx>
            <c:v>Drillholes</c:v>
          </c:tx>
          <c:marker>
            <c:symbol val="none"/>
          </c:marker>
          <c:xVal>
            <c:numRef>
              <c:f>'2. Logging Brejo Seco'!$Z$3:$Z$588</c:f>
              <c:numCache>
                <c:formatCode>0.00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126.66666666666667</c:v>
                </c:pt>
                <c:pt idx="7">
                  <c:v>420</c:v>
                </c:pt>
                <c:pt idx="8">
                  <c:v>19</c:v>
                </c:pt>
                <c:pt idx="9">
                  <c:v>180</c:v>
                </c:pt>
                <c:pt idx="10">
                  <c:v>78</c:v>
                </c:pt>
                <c:pt idx="11">
                  <c:v>87.5</c:v>
                </c:pt>
                <c:pt idx="12">
                  <c:v>15.333333333333334</c:v>
                </c:pt>
                <c:pt idx="13">
                  <c:v>76.666666666666671</c:v>
                </c:pt>
                <c:pt idx="14">
                  <c:v>86</c:v>
                </c:pt>
                <c:pt idx="15">
                  <c:v>112.5</c:v>
                </c:pt>
                <c:pt idx="16">
                  <c:v>235</c:v>
                </c:pt>
                <c:pt idx="17">
                  <c:v>70</c:v>
                </c:pt>
                <c:pt idx="18">
                  <c:v>102.5</c:v>
                </c:pt>
                <c:pt idx="19">
                  <c:v>107.5</c:v>
                </c:pt>
                <c:pt idx="20">
                  <c:v>96.666666666666671</c:v>
                </c:pt>
                <c:pt idx="21">
                  <c:v>20.76923076923077</c:v>
                </c:pt>
                <c:pt idx="22">
                  <c:v>29</c:v>
                </c:pt>
                <c:pt idx="23">
                  <c:v>32</c:v>
                </c:pt>
                <c:pt idx="24">
                  <c:v>44</c:v>
                </c:pt>
                <c:pt idx="25">
                  <c:v>46</c:v>
                </c:pt>
                <c:pt idx="26">
                  <c:v>73.333333333333329</c:v>
                </c:pt>
                <c:pt idx="27">
                  <c:v>140</c:v>
                </c:pt>
                <c:pt idx="28">
                  <c:v>70</c:v>
                </c:pt>
                <c:pt idx="29">
                  <c:v>92.5</c:v>
                </c:pt>
                <c:pt idx="30">
                  <c:v>48.571428571428569</c:v>
                </c:pt>
                <c:pt idx="31">
                  <c:v>81.666666666666671</c:v>
                </c:pt>
                <c:pt idx="32">
                  <c:v>93.333333333333329</c:v>
                </c:pt>
                <c:pt idx="33">
                  <c:v>55</c:v>
                </c:pt>
                <c:pt idx="34">
                  <c:v>19</c:v>
                </c:pt>
                <c:pt idx="35">
                  <c:v>51.666666666666664</c:v>
                </c:pt>
                <c:pt idx="36">
                  <c:v>13</c:v>
                </c:pt>
                <c:pt idx="37">
                  <c:v>11</c:v>
                </c:pt>
                <c:pt idx="38">
                  <c:v>14</c:v>
                </c:pt>
                <c:pt idx="39">
                  <c:v>23</c:v>
                </c:pt>
                <c:pt idx="40">
                  <c:v>34</c:v>
                </c:pt>
                <c:pt idx="41">
                  <c:v>13</c:v>
                </c:pt>
                <c:pt idx="42">
                  <c:v>51.666666666666664</c:v>
                </c:pt>
                <c:pt idx="43">
                  <c:v>54</c:v>
                </c:pt>
                <c:pt idx="44">
                  <c:v>110</c:v>
                </c:pt>
                <c:pt idx="45">
                  <c:v>500</c:v>
                </c:pt>
                <c:pt idx="46">
                  <c:v>166.66666666666666</c:v>
                </c:pt>
                <c:pt idx="47">
                  <c:v>665</c:v>
                </c:pt>
                <c:pt idx="48">
                  <c:v>87.5</c:v>
                </c:pt>
                <c:pt idx="49">
                  <c:v>47.5</c:v>
                </c:pt>
                <c:pt idx="50">
                  <c:v>103.33333333333333</c:v>
                </c:pt>
                <c:pt idx="51">
                  <c:v>305</c:v>
                </c:pt>
                <c:pt idx="52">
                  <c:v>286.66666666666669</c:v>
                </c:pt>
                <c:pt idx="53">
                  <c:v>164</c:v>
                </c:pt>
                <c:pt idx="54">
                  <c:v>240</c:v>
                </c:pt>
                <c:pt idx="55">
                  <c:v>233.33333333333334</c:v>
                </c:pt>
                <c:pt idx="56">
                  <c:v>236.66666666666666</c:v>
                </c:pt>
                <c:pt idx="57">
                  <c:v>150</c:v>
                </c:pt>
                <c:pt idx="58">
                  <c:v>72</c:v>
                </c:pt>
                <c:pt idx="59">
                  <c:v>105.71428571428571</c:v>
                </c:pt>
                <c:pt idx="60">
                  <c:v>520</c:v>
                </c:pt>
                <c:pt idx="61">
                  <c:v>123.33333333333333</c:v>
                </c:pt>
                <c:pt idx="62">
                  <c:v>73.333333333333329</c:v>
                </c:pt>
                <c:pt idx="63">
                  <c:v>49</c:v>
                </c:pt>
                <c:pt idx="64">
                  <c:v>125</c:v>
                </c:pt>
                <c:pt idx="65">
                  <c:v>146.66666666666666</c:v>
                </c:pt>
                <c:pt idx="66">
                  <c:v>32.666666666666664</c:v>
                </c:pt>
                <c:pt idx="67">
                  <c:v>124</c:v>
                </c:pt>
                <c:pt idx="68">
                  <c:v>98</c:v>
                </c:pt>
                <c:pt idx="69">
                  <c:v>120</c:v>
                </c:pt>
                <c:pt idx="70">
                  <c:v>32.666666666666664</c:v>
                </c:pt>
                <c:pt idx="71">
                  <c:v>150</c:v>
                </c:pt>
                <c:pt idx="72">
                  <c:v>126.66666666666667</c:v>
                </c:pt>
                <c:pt idx="73">
                  <c:v>46</c:v>
                </c:pt>
                <c:pt idx="74">
                  <c:v>126.66666666666667</c:v>
                </c:pt>
                <c:pt idx="75">
                  <c:v>156.66666666666666</c:v>
                </c:pt>
                <c:pt idx="76">
                  <c:v>86</c:v>
                </c:pt>
                <c:pt idx="77">
                  <c:v>125</c:v>
                </c:pt>
                <c:pt idx="78">
                  <c:v>41.666666666666664</c:v>
                </c:pt>
                <c:pt idx="79">
                  <c:v>55</c:v>
                </c:pt>
                <c:pt idx="80">
                  <c:v>43.333333333333336</c:v>
                </c:pt>
                <c:pt idx="81">
                  <c:v>24</c:v>
                </c:pt>
                <c:pt idx="82">
                  <c:v>28</c:v>
                </c:pt>
                <c:pt idx="83">
                  <c:v>33.75</c:v>
                </c:pt>
                <c:pt idx="84">
                  <c:v>74</c:v>
                </c:pt>
                <c:pt idx="85">
                  <c:v>47.142857142857146</c:v>
                </c:pt>
                <c:pt idx="86">
                  <c:v>150</c:v>
                </c:pt>
                <c:pt idx="87">
                  <c:v>65</c:v>
                </c:pt>
                <c:pt idx="88">
                  <c:v>70</c:v>
                </c:pt>
                <c:pt idx="89">
                  <c:v>28.571428571428573</c:v>
                </c:pt>
                <c:pt idx="90">
                  <c:v>71.666666666666671</c:v>
                </c:pt>
                <c:pt idx="91">
                  <c:v>53</c:v>
                </c:pt>
                <c:pt idx="92">
                  <c:v>100</c:v>
                </c:pt>
                <c:pt idx="93">
                  <c:v>485</c:v>
                </c:pt>
                <c:pt idx="94">
                  <c:v>71.428571428571431</c:v>
                </c:pt>
                <c:pt idx="95">
                  <c:v>27</c:v>
                </c:pt>
                <c:pt idx="96">
                  <c:v>25</c:v>
                </c:pt>
                <c:pt idx="97">
                  <c:v>100</c:v>
                </c:pt>
                <c:pt idx="98">
                  <c:v>146.66666666666666</c:v>
                </c:pt>
                <c:pt idx="99">
                  <c:v>100</c:v>
                </c:pt>
                <c:pt idx="100">
                  <c:v>83.333333333333329</c:v>
                </c:pt>
                <c:pt idx="101">
                  <c:v>90</c:v>
                </c:pt>
                <c:pt idx="102">
                  <c:v>60</c:v>
                </c:pt>
                <c:pt idx="103">
                  <c:v>86</c:v>
                </c:pt>
                <c:pt idx="104">
                  <c:v>29</c:v>
                </c:pt>
                <c:pt idx="105">
                  <c:v>16.666666666666668</c:v>
                </c:pt>
                <c:pt idx="106">
                  <c:v>235</c:v>
                </c:pt>
                <c:pt idx="107">
                  <c:v>170</c:v>
                </c:pt>
                <c:pt idx="108">
                  <c:v>170</c:v>
                </c:pt>
                <c:pt idx="109">
                  <c:v>100</c:v>
                </c:pt>
                <c:pt idx="110">
                  <c:v>25</c:v>
                </c:pt>
                <c:pt idx="111">
                  <c:v>37</c:v>
                </c:pt>
                <c:pt idx="112">
                  <c:v>37</c:v>
                </c:pt>
                <c:pt idx="113">
                  <c:v>26</c:v>
                </c:pt>
                <c:pt idx="114">
                  <c:v>26</c:v>
                </c:pt>
                <c:pt idx="115">
                  <c:v>24</c:v>
                </c:pt>
                <c:pt idx="116">
                  <c:v>23</c:v>
                </c:pt>
                <c:pt idx="117">
                  <c:v>22</c:v>
                </c:pt>
                <c:pt idx="118">
                  <c:v>20</c:v>
                </c:pt>
                <c:pt idx="119">
                  <c:v>24</c:v>
                </c:pt>
                <c:pt idx="120">
                  <c:v>15</c:v>
                </c:pt>
                <c:pt idx="121">
                  <c:v>38</c:v>
                </c:pt>
                <c:pt idx="122">
                  <c:v>20</c:v>
                </c:pt>
                <c:pt idx="123">
                  <c:v>24</c:v>
                </c:pt>
                <c:pt idx="124">
                  <c:v>56.666666666666664</c:v>
                </c:pt>
                <c:pt idx="125">
                  <c:v>70</c:v>
                </c:pt>
                <c:pt idx="126">
                  <c:v>76.666666666666671</c:v>
                </c:pt>
                <c:pt idx="127">
                  <c:v>26</c:v>
                </c:pt>
                <c:pt idx="128">
                  <c:v>40</c:v>
                </c:pt>
                <c:pt idx="129">
                  <c:v>50</c:v>
                </c:pt>
                <c:pt idx="130">
                  <c:v>60</c:v>
                </c:pt>
                <c:pt idx="131">
                  <c:v>135</c:v>
                </c:pt>
                <c:pt idx="132">
                  <c:v>60</c:v>
                </c:pt>
                <c:pt idx="133">
                  <c:v>43.333333333333336</c:v>
                </c:pt>
                <c:pt idx="134">
                  <c:v>102.5</c:v>
                </c:pt>
                <c:pt idx="135">
                  <c:v>215</c:v>
                </c:pt>
                <c:pt idx="136">
                  <c:v>70</c:v>
                </c:pt>
                <c:pt idx="137">
                  <c:v>73.333333333333329</c:v>
                </c:pt>
                <c:pt idx="138">
                  <c:v>100</c:v>
                </c:pt>
                <c:pt idx="139">
                  <c:v>70</c:v>
                </c:pt>
                <c:pt idx="140">
                  <c:v>53.333333333333336</c:v>
                </c:pt>
                <c:pt idx="141">
                  <c:v>32</c:v>
                </c:pt>
                <c:pt idx="142">
                  <c:v>35</c:v>
                </c:pt>
                <c:pt idx="143">
                  <c:v>28</c:v>
                </c:pt>
                <c:pt idx="144">
                  <c:v>36.666666666666664</c:v>
                </c:pt>
                <c:pt idx="145">
                  <c:v>22</c:v>
                </c:pt>
                <c:pt idx="146">
                  <c:v>10</c:v>
                </c:pt>
                <c:pt idx="147">
                  <c:v>10</c:v>
                </c:pt>
                <c:pt idx="148">
                  <c:v>36</c:v>
                </c:pt>
                <c:pt idx="149">
                  <c:v>51.666666666666664</c:v>
                </c:pt>
                <c:pt idx="150">
                  <c:v>60</c:v>
                </c:pt>
                <c:pt idx="151">
                  <c:v>36.666666666666664</c:v>
                </c:pt>
                <c:pt idx="152">
                  <c:v>46</c:v>
                </c:pt>
                <c:pt idx="153">
                  <c:v>34</c:v>
                </c:pt>
                <c:pt idx="154">
                  <c:v>30</c:v>
                </c:pt>
                <c:pt idx="155">
                  <c:v>19</c:v>
                </c:pt>
                <c:pt idx="156">
                  <c:v>24</c:v>
                </c:pt>
                <c:pt idx="157">
                  <c:v>19</c:v>
                </c:pt>
                <c:pt idx="159">
                  <c:v>20</c:v>
                </c:pt>
                <c:pt idx="160">
                  <c:v>23</c:v>
                </c:pt>
                <c:pt idx="161">
                  <c:v>25</c:v>
                </c:pt>
                <c:pt idx="162">
                  <c:v>28</c:v>
                </c:pt>
                <c:pt idx="163">
                  <c:v>24</c:v>
                </c:pt>
                <c:pt idx="164">
                  <c:v>42</c:v>
                </c:pt>
                <c:pt idx="165">
                  <c:v>20</c:v>
                </c:pt>
                <c:pt idx="167">
                  <c:v>13</c:v>
                </c:pt>
                <c:pt idx="168">
                  <c:v>17</c:v>
                </c:pt>
                <c:pt idx="169">
                  <c:v>16</c:v>
                </c:pt>
                <c:pt idx="170">
                  <c:v>14</c:v>
                </c:pt>
                <c:pt idx="171">
                  <c:v>17</c:v>
                </c:pt>
                <c:pt idx="172">
                  <c:v>23</c:v>
                </c:pt>
                <c:pt idx="173">
                  <c:v>20</c:v>
                </c:pt>
                <c:pt idx="174">
                  <c:v>17</c:v>
                </c:pt>
                <c:pt idx="175">
                  <c:v>18</c:v>
                </c:pt>
                <c:pt idx="176">
                  <c:v>19</c:v>
                </c:pt>
                <c:pt idx="177">
                  <c:v>16.363636363636363</c:v>
                </c:pt>
                <c:pt idx="178">
                  <c:v>10.909090909090908</c:v>
                </c:pt>
                <c:pt idx="180">
                  <c:v>24</c:v>
                </c:pt>
                <c:pt idx="182">
                  <c:v>24</c:v>
                </c:pt>
                <c:pt idx="183">
                  <c:v>11</c:v>
                </c:pt>
                <c:pt idx="184">
                  <c:v>12</c:v>
                </c:pt>
                <c:pt idx="185">
                  <c:v>86.666666666666671</c:v>
                </c:pt>
                <c:pt idx="186">
                  <c:v>26</c:v>
                </c:pt>
                <c:pt idx="187">
                  <c:v>10.666666666666666</c:v>
                </c:pt>
                <c:pt idx="188">
                  <c:v>12</c:v>
                </c:pt>
                <c:pt idx="189">
                  <c:v>45.714285714285715</c:v>
                </c:pt>
                <c:pt idx="190">
                  <c:v>20</c:v>
                </c:pt>
                <c:pt idx="191">
                  <c:v>32</c:v>
                </c:pt>
                <c:pt idx="192">
                  <c:v>44</c:v>
                </c:pt>
                <c:pt idx="193">
                  <c:v>12</c:v>
                </c:pt>
                <c:pt idx="194">
                  <c:v>15</c:v>
                </c:pt>
                <c:pt idx="195">
                  <c:v>18.571428571428573</c:v>
                </c:pt>
                <c:pt idx="196">
                  <c:v>33.333333333333336</c:v>
                </c:pt>
                <c:pt idx="197">
                  <c:v>21.428571428571427</c:v>
                </c:pt>
                <c:pt idx="198">
                  <c:v>40</c:v>
                </c:pt>
                <c:pt idx="199">
                  <c:v>30</c:v>
                </c:pt>
                <c:pt idx="200">
                  <c:v>34</c:v>
                </c:pt>
                <c:pt idx="201">
                  <c:v>28</c:v>
                </c:pt>
                <c:pt idx="202">
                  <c:v>22</c:v>
                </c:pt>
                <c:pt idx="203">
                  <c:v>20</c:v>
                </c:pt>
                <c:pt idx="204">
                  <c:v>22</c:v>
                </c:pt>
                <c:pt idx="205">
                  <c:v>46.666666666666664</c:v>
                </c:pt>
                <c:pt idx="206">
                  <c:v>63.333333333333336</c:v>
                </c:pt>
                <c:pt idx="207">
                  <c:v>24</c:v>
                </c:pt>
                <c:pt idx="208">
                  <c:v>20</c:v>
                </c:pt>
                <c:pt idx="209">
                  <c:v>32</c:v>
                </c:pt>
                <c:pt idx="210">
                  <c:v>24</c:v>
                </c:pt>
                <c:pt idx="211">
                  <c:v>51.666666666666664</c:v>
                </c:pt>
                <c:pt idx="212">
                  <c:v>33</c:v>
                </c:pt>
                <c:pt idx="213">
                  <c:v>94</c:v>
                </c:pt>
                <c:pt idx="214">
                  <c:v>46.25</c:v>
                </c:pt>
                <c:pt idx="215">
                  <c:v>44</c:v>
                </c:pt>
                <c:pt idx="216">
                  <c:v>43.333333333333336</c:v>
                </c:pt>
                <c:pt idx="217">
                  <c:v>67.5</c:v>
                </c:pt>
                <c:pt idx="218">
                  <c:v>100</c:v>
                </c:pt>
                <c:pt idx="219">
                  <c:v>71.428571428571431</c:v>
                </c:pt>
                <c:pt idx="220">
                  <c:v>84</c:v>
                </c:pt>
                <c:pt idx="221">
                  <c:v>35.714285714285715</c:v>
                </c:pt>
                <c:pt idx="222">
                  <c:v>42</c:v>
                </c:pt>
                <c:pt idx="223">
                  <c:v>36</c:v>
                </c:pt>
                <c:pt idx="224">
                  <c:v>34</c:v>
                </c:pt>
                <c:pt idx="225">
                  <c:v>40</c:v>
                </c:pt>
                <c:pt idx="226">
                  <c:v>66.666666666666671</c:v>
                </c:pt>
                <c:pt idx="227">
                  <c:v>50</c:v>
                </c:pt>
                <c:pt idx="228">
                  <c:v>44</c:v>
                </c:pt>
                <c:pt idx="229">
                  <c:v>37.142857142857146</c:v>
                </c:pt>
                <c:pt idx="230">
                  <c:v>29</c:v>
                </c:pt>
                <c:pt idx="231">
                  <c:v>22</c:v>
                </c:pt>
                <c:pt idx="232">
                  <c:v>26</c:v>
                </c:pt>
                <c:pt idx="233">
                  <c:v>25</c:v>
                </c:pt>
                <c:pt idx="234">
                  <c:v>36</c:v>
                </c:pt>
                <c:pt idx="235">
                  <c:v>42</c:v>
                </c:pt>
                <c:pt idx="236">
                  <c:v>17</c:v>
                </c:pt>
                <c:pt idx="237">
                  <c:v>27</c:v>
                </c:pt>
                <c:pt idx="238">
                  <c:v>52</c:v>
                </c:pt>
                <c:pt idx="239">
                  <c:v>50</c:v>
                </c:pt>
                <c:pt idx="240">
                  <c:v>110</c:v>
                </c:pt>
                <c:pt idx="241">
                  <c:v>47.142857142857146</c:v>
                </c:pt>
                <c:pt idx="242">
                  <c:v>41.428571428571431</c:v>
                </c:pt>
                <c:pt idx="243">
                  <c:v>50</c:v>
                </c:pt>
                <c:pt idx="244">
                  <c:v>51.25</c:v>
                </c:pt>
                <c:pt idx="245">
                  <c:v>86</c:v>
                </c:pt>
                <c:pt idx="246">
                  <c:v>74</c:v>
                </c:pt>
                <c:pt idx="247">
                  <c:v>107.5</c:v>
                </c:pt>
                <c:pt idx="248">
                  <c:v>60</c:v>
                </c:pt>
                <c:pt idx="249">
                  <c:v>34</c:v>
                </c:pt>
                <c:pt idx="250">
                  <c:v>32</c:v>
                </c:pt>
                <c:pt idx="251">
                  <c:v>70</c:v>
                </c:pt>
                <c:pt idx="252">
                  <c:v>41</c:v>
                </c:pt>
                <c:pt idx="253">
                  <c:v>45</c:v>
                </c:pt>
                <c:pt idx="254">
                  <c:v>70</c:v>
                </c:pt>
                <c:pt idx="255">
                  <c:v>58.75</c:v>
                </c:pt>
                <c:pt idx="256">
                  <c:v>122.5</c:v>
                </c:pt>
                <c:pt idx="257">
                  <c:v>64.285714285714292</c:v>
                </c:pt>
                <c:pt idx="258">
                  <c:v>120</c:v>
                </c:pt>
                <c:pt idx="259">
                  <c:v>66.666666666666671</c:v>
                </c:pt>
                <c:pt idx="260">
                  <c:v>83.333333333333329</c:v>
                </c:pt>
                <c:pt idx="261">
                  <c:v>46.25</c:v>
                </c:pt>
                <c:pt idx="262">
                  <c:v>54.285714285714285</c:v>
                </c:pt>
                <c:pt idx="263">
                  <c:v>115</c:v>
                </c:pt>
                <c:pt idx="264">
                  <c:v>61.666666666666664</c:v>
                </c:pt>
                <c:pt idx="265">
                  <c:v>153.33333333333334</c:v>
                </c:pt>
                <c:pt idx="266">
                  <c:v>44.444444444444443</c:v>
                </c:pt>
                <c:pt idx="267">
                  <c:v>60</c:v>
                </c:pt>
                <c:pt idx="268">
                  <c:v>83.333333333333329</c:v>
                </c:pt>
                <c:pt idx="269">
                  <c:v>42.000000000000007</c:v>
                </c:pt>
                <c:pt idx="270">
                  <c:v>83.333333333333329</c:v>
                </c:pt>
                <c:pt idx="271">
                  <c:v>146.66666666666666</c:v>
                </c:pt>
                <c:pt idx="272">
                  <c:v>160</c:v>
                </c:pt>
                <c:pt idx="273">
                  <c:v>50</c:v>
                </c:pt>
                <c:pt idx="274">
                  <c:v>166.66666666666666</c:v>
                </c:pt>
                <c:pt idx="275">
                  <c:v>125</c:v>
                </c:pt>
                <c:pt idx="276">
                  <c:v>250</c:v>
                </c:pt>
                <c:pt idx="277">
                  <c:v>125</c:v>
                </c:pt>
                <c:pt idx="278">
                  <c:v>102.5</c:v>
                </c:pt>
                <c:pt idx="279">
                  <c:v>100</c:v>
                </c:pt>
                <c:pt idx="280">
                  <c:v>163.33333333333334</c:v>
                </c:pt>
                <c:pt idx="281">
                  <c:v>205</c:v>
                </c:pt>
                <c:pt idx="282">
                  <c:v>230</c:v>
                </c:pt>
                <c:pt idx="283">
                  <c:v>156.66666666666666</c:v>
                </c:pt>
                <c:pt idx="284">
                  <c:v>215</c:v>
                </c:pt>
                <c:pt idx="285">
                  <c:v>480</c:v>
                </c:pt>
                <c:pt idx="286">
                  <c:v>235</c:v>
                </c:pt>
                <c:pt idx="287">
                  <c:v>156.66666666666666</c:v>
                </c:pt>
                <c:pt idx="288">
                  <c:v>75</c:v>
                </c:pt>
                <c:pt idx="289">
                  <c:v>106.66666666666667</c:v>
                </c:pt>
                <c:pt idx="290">
                  <c:v>146.66666666666669</c:v>
                </c:pt>
                <c:pt idx="291">
                  <c:v>96</c:v>
                </c:pt>
                <c:pt idx="292">
                  <c:v>71.428571428571431</c:v>
                </c:pt>
                <c:pt idx="293">
                  <c:v>68.333333333333329</c:v>
                </c:pt>
                <c:pt idx="294">
                  <c:v>122.5</c:v>
                </c:pt>
                <c:pt idx="295">
                  <c:v>146.66666666666666</c:v>
                </c:pt>
                <c:pt idx="296">
                  <c:v>500</c:v>
                </c:pt>
                <c:pt idx="297">
                  <c:v>156.66666666666666</c:v>
                </c:pt>
                <c:pt idx="298">
                  <c:v>60</c:v>
                </c:pt>
                <c:pt idx="299">
                  <c:v>133.33333333333334</c:v>
                </c:pt>
                <c:pt idx="300">
                  <c:v>86.000000000000014</c:v>
                </c:pt>
                <c:pt idx="301">
                  <c:v>62.5</c:v>
                </c:pt>
                <c:pt idx="302">
                  <c:v>68.571428571428569</c:v>
                </c:pt>
                <c:pt idx="303">
                  <c:v>140</c:v>
                </c:pt>
                <c:pt idx="304">
                  <c:v>65.714285714285708</c:v>
                </c:pt>
                <c:pt idx="305">
                  <c:v>37</c:v>
                </c:pt>
                <c:pt idx="306">
                  <c:v>153.33333333333334</c:v>
                </c:pt>
                <c:pt idx="307">
                  <c:v>107.5</c:v>
                </c:pt>
                <c:pt idx="308">
                  <c:v>115</c:v>
                </c:pt>
                <c:pt idx="309">
                  <c:v>235</c:v>
                </c:pt>
                <c:pt idx="310">
                  <c:v>76.666666666666671</c:v>
                </c:pt>
                <c:pt idx="311">
                  <c:v>62.5</c:v>
                </c:pt>
                <c:pt idx="312">
                  <c:v>150</c:v>
                </c:pt>
                <c:pt idx="313">
                  <c:v>156.66666666666666</c:v>
                </c:pt>
                <c:pt idx="314">
                  <c:v>110</c:v>
                </c:pt>
                <c:pt idx="315">
                  <c:v>57.5</c:v>
                </c:pt>
                <c:pt idx="316">
                  <c:v>61.428571428571431</c:v>
                </c:pt>
                <c:pt idx="317">
                  <c:v>41.428571428571431</c:v>
                </c:pt>
                <c:pt idx="318">
                  <c:v>55.714285714285715</c:v>
                </c:pt>
                <c:pt idx="319">
                  <c:v>70</c:v>
                </c:pt>
                <c:pt idx="320">
                  <c:v>36</c:v>
                </c:pt>
                <c:pt idx="321">
                  <c:v>50</c:v>
                </c:pt>
                <c:pt idx="322">
                  <c:v>32.857142857142854</c:v>
                </c:pt>
                <c:pt idx="323">
                  <c:v>14</c:v>
                </c:pt>
                <c:pt idx="324">
                  <c:v>20</c:v>
                </c:pt>
                <c:pt idx="325">
                  <c:v>20</c:v>
                </c:pt>
                <c:pt idx="326">
                  <c:v>25.714285714285715</c:v>
                </c:pt>
                <c:pt idx="327">
                  <c:v>28.75</c:v>
                </c:pt>
                <c:pt idx="328">
                  <c:v>14.285714285714286</c:v>
                </c:pt>
                <c:pt idx="329">
                  <c:v>50</c:v>
                </c:pt>
                <c:pt idx="330">
                  <c:v>10</c:v>
                </c:pt>
                <c:pt idx="331">
                  <c:v>12</c:v>
                </c:pt>
                <c:pt idx="332">
                  <c:v>6</c:v>
                </c:pt>
                <c:pt idx="333">
                  <c:v>29</c:v>
                </c:pt>
                <c:pt idx="334">
                  <c:v>22</c:v>
                </c:pt>
                <c:pt idx="335">
                  <c:v>21</c:v>
                </c:pt>
                <c:pt idx="336">
                  <c:v>8</c:v>
                </c:pt>
                <c:pt idx="337">
                  <c:v>5</c:v>
                </c:pt>
                <c:pt idx="338">
                  <c:v>7</c:v>
                </c:pt>
                <c:pt idx="339">
                  <c:v>7</c:v>
                </c:pt>
                <c:pt idx="340">
                  <c:v>50</c:v>
                </c:pt>
                <c:pt idx="341">
                  <c:v>50</c:v>
                </c:pt>
                <c:pt idx="342">
                  <c:v>7</c:v>
                </c:pt>
                <c:pt idx="343">
                  <c:v>50</c:v>
                </c:pt>
                <c:pt idx="344">
                  <c:v>11</c:v>
                </c:pt>
                <c:pt idx="345">
                  <c:v>50</c:v>
                </c:pt>
                <c:pt idx="346">
                  <c:v>10</c:v>
                </c:pt>
                <c:pt idx="347">
                  <c:v>7</c:v>
                </c:pt>
                <c:pt idx="348">
                  <c:v>50</c:v>
                </c:pt>
                <c:pt idx="349">
                  <c:v>50</c:v>
                </c:pt>
                <c:pt idx="350">
                  <c:v>40</c:v>
                </c:pt>
                <c:pt idx="351">
                  <c:v>36</c:v>
                </c:pt>
                <c:pt idx="352">
                  <c:v>27</c:v>
                </c:pt>
                <c:pt idx="353">
                  <c:v>183.33333333333334</c:v>
                </c:pt>
                <c:pt idx="354">
                  <c:v>120</c:v>
                </c:pt>
                <c:pt idx="355">
                  <c:v>82</c:v>
                </c:pt>
                <c:pt idx="356">
                  <c:v>70</c:v>
                </c:pt>
                <c:pt idx="357">
                  <c:v>38</c:v>
                </c:pt>
                <c:pt idx="358">
                  <c:v>42</c:v>
                </c:pt>
                <c:pt idx="359">
                  <c:v>28</c:v>
                </c:pt>
                <c:pt idx="360">
                  <c:v>62.5</c:v>
                </c:pt>
                <c:pt idx="361">
                  <c:v>65</c:v>
                </c:pt>
                <c:pt idx="362">
                  <c:v>62.5</c:v>
                </c:pt>
                <c:pt idx="363">
                  <c:v>83.333333333333329</c:v>
                </c:pt>
                <c:pt idx="364">
                  <c:v>56</c:v>
                </c:pt>
                <c:pt idx="365">
                  <c:v>38</c:v>
                </c:pt>
                <c:pt idx="366">
                  <c:v>46</c:v>
                </c:pt>
                <c:pt idx="367">
                  <c:v>70</c:v>
                </c:pt>
                <c:pt idx="368">
                  <c:v>53.333333333333336</c:v>
                </c:pt>
                <c:pt idx="369">
                  <c:v>36</c:v>
                </c:pt>
                <c:pt idx="370">
                  <c:v>63.333333333333336</c:v>
                </c:pt>
                <c:pt idx="371">
                  <c:v>63.333333333333336</c:v>
                </c:pt>
                <c:pt idx="372">
                  <c:v>37.5</c:v>
                </c:pt>
                <c:pt idx="373">
                  <c:v>90</c:v>
                </c:pt>
                <c:pt idx="374">
                  <c:v>46.666666666666664</c:v>
                </c:pt>
                <c:pt idx="375">
                  <c:v>95</c:v>
                </c:pt>
                <c:pt idx="376">
                  <c:v>56.666666666666664</c:v>
                </c:pt>
                <c:pt idx="377">
                  <c:v>30</c:v>
                </c:pt>
                <c:pt idx="378">
                  <c:v>52.5</c:v>
                </c:pt>
                <c:pt idx="379">
                  <c:v>53.333333333333336</c:v>
                </c:pt>
                <c:pt idx="380">
                  <c:v>56.666666666666664</c:v>
                </c:pt>
                <c:pt idx="381">
                  <c:v>30</c:v>
                </c:pt>
                <c:pt idx="382">
                  <c:v>37</c:v>
                </c:pt>
                <c:pt idx="383">
                  <c:v>24</c:v>
                </c:pt>
                <c:pt idx="384">
                  <c:v>27</c:v>
                </c:pt>
                <c:pt idx="385">
                  <c:v>22</c:v>
                </c:pt>
                <c:pt idx="386">
                  <c:v>26</c:v>
                </c:pt>
                <c:pt idx="387">
                  <c:v>58</c:v>
                </c:pt>
                <c:pt idx="388">
                  <c:v>20</c:v>
                </c:pt>
                <c:pt idx="389">
                  <c:v>16</c:v>
                </c:pt>
                <c:pt idx="390">
                  <c:v>28</c:v>
                </c:pt>
                <c:pt idx="391">
                  <c:v>80</c:v>
                </c:pt>
                <c:pt idx="392">
                  <c:v>50</c:v>
                </c:pt>
                <c:pt idx="393">
                  <c:v>100</c:v>
                </c:pt>
                <c:pt idx="394">
                  <c:v>50</c:v>
                </c:pt>
                <c:pt idx="395">
                  <c:v>100</c:v>
                </c:pt>
                <c:pt idx="396">
                  <c:v>41.666666666666664</c:v>
                </c:pt>
                <c:pt idx="397">
                  <c:v>100</c:v>
                </c:pt>
                <c:pt idx="398">
                  <c:v>100</c:v>
                </c:pt>
                <c:pt idx="399">
                  <c:v>50</c:v>
                </c:pt>
                <c:pt idx="400">
                  <c:v>100</c:v>
                </c:pt>
                <c:pt idx="401">
                  <c:v>100</c:v>
                </c:pt>
                <c:pt idx="402">
                  <c:v>50</c:v>
                </c:pt>
                <c:pt idx="403">
                  <c:v>100</c:v>
                </c:pt>
                <c:pt idx="404">
                  <c:v>50</c:v>
                </c:pt>
                <c:pt idx="405">
                  <c:v>50</c:v>
                </c:pt>
                <c:pt idx="406">
                  <c:v>100</c:v>
                </c:pt>
                <c:pt idx="407">
                  <c:v>50</c:v>
                </c:pt>
                <c:pt idx="408">
                  <c:v>50</c:v>
                </c:pt>
                <c:pt idx="411">
                  <c:v>125</c:v>
                </c:pt>
                <c:pt idx="412">
                  <c:v>125</c:v>
                </c:pt>
                <c:pt idx="413">
                  <c:v>100</c:v>
                </c:pt>
                <c:pt idx="414">
                  <c:v>83.333333333333329</c:v>
                </c:pt>
                <c:pt idx="415">
                  <c:v>50</c:v>
                </c:pt>
                <c:pt idx="416">
                  <c:v>100</c:v>
                </c:pt>
                <c:pt idx="417">
                  <c:v>100</c:v>
                </c:pt>
                <c:pt idx="418">
                  <c:v>50</c:v>
                </c:pt>
                <c:pt idx="419">
                  <c:v>166.66666666666666</c:v>
                </c:pt>
                <c:pt idx="420">
                  <c:v>125</c:v>
                </c:pt>
                <c:pt idx="421">
                  <c:v>125</c:v>
                </c:pt>
                <c:pt idx="422">
                  <c:v>100</c:v>
                </c:pt>
                <c:pt idx="423">
                  <c:v>125</c:v>
                </c:pt>
                <c:pt idx="424">
                  <c:v>125</c:v>
                </c:pt>
                <c:pt idx="425">
                  <c:v>100</c:v>
                </c:pt>
                <c:pt idx="426">
                  <c:v>166.66666666666666</c:v>
                </c:pt>
                <c:pt idx="427">
                  <c:v>125</c:v>
                </c:pt>
                <c:pt idx="428">
                  <c:v>125</c:v>
                </c:pt>
                <c:pt idx="429">
                  <c:v>100</c:v>
                </c:pt>
                <c:pt idx="430">
                  <c:v>125</c:v>
                </c:pt>
                <c:pt idx="431">
                  <c:v>125</c:v>
                </c:pt>
                <c:pt idx="432">
                  <c:v>125</c:v>
                </c:pt>
                <c:pt idx="433">
                  <c:v>100</c:v>
                </c:pt>
                <c:pt idx="434">
                  <c:v>125</c:v>
                </c:pt>
                <c:pt idx="435">
                  <c:v>83.333333333333329</c:v>
                </c:pt>
                <c:pt idx="436">
                  <c:v>125</c:v>
                </c:pt>
                <c:pt idx="437">
                  <c:v>125</c:v>
                </c:pt>
                <c:pt idx="438">
                  <c:v>125</c:v>
                </c:pt>
                <c:pt idx="439">
                  <c:v>125</c:v>
                </c:pt>
                <c:pt idx="440">
                  <c:v>125</c:v>
                </c:pt>
                <c:pt idx="441">
                  <c:v>100</c:v>
                </c:pt>
                <c:pt idx="442">
                  <c:v>125</c:v>
                </c:pt>
                <c:pt idx="443">
                  <c:v>100</c:v>
                </c:pt>
                <c:pt idx="444">
                  <c:v>125</c:v>
                </c:pt>
                <c:pt idx="445">
                  <c:v>125</c:v>
                </c:pt>
                <c:pt idx="446">
                  <c:v>71.428571428571431</c:v>
                </c:pt>
                <c:pt idx="447">
                  <c:v>71.428571428571431</c:v>
                </c:pt>
                <c:pt idx="448">
                  <c:v>71.428571428571431</c:v>
                </c:pt>
                <c:pt idx="449">
                  <c:v>71.428571428571431</c:v>
                </c:pt>
                <c:pt idx="450">
                  <c:v>125</c:v>
                </c:pt>
                <c:pt idx="451">
                  <c:v>125</c:v>
                </c:pt>
                <c:pt idx="452">
                  <c:v>125</c:v>
                </c:pt>
                <c:pt idx="453">
                  <c:v>125</c:v>
                </c:pt>
                <c:pt idx="454">
                  <c:v>62.5</c:v>
                </c:pt>
                <c:pt idx="455">
                  <c:v>62.5</c:v>
                </c:pt>
                <c:pt idx="456">
                  <c:v>125</c:v>
                </c:pt>
                <c:pt idx="457">
                  <c:v>100</c:v>
                </c:pt>
                <c:pt idx="458">
                  <c:v>93.75</c:v>
                </c:pt>
                <c:pt idx="459">
                  <c:v>125</c:v>
                </c:pt>
                <c:pt idx="460">
                  <c:v>83.333333333333329</c:v>
                </c:pt>
                <c:pt idx="461">
                  <c:v>125</c:v>
                </c:pt>
                <c:pt idx="462">
                  <c:v>83.333333333333329</c:v>
                </c:pt>
                <c:pt idx="463">
                  <c:v>71.428571428571431</c:v>
                </c:pt>
                <c:pt idx="464">
                  <c:v>125</c:v>
                </c:pt>
                <c:pt idx="465">
                  <c:v>125</c:v>
                </c:pt>
                <c:pt idx="466">
                  <c:v>166.66666666666666</c:v>
                </c:pt>
                <c:pt idx="467">
                  <c:v>100</c:v>
                </c:pt>
                <c:pt idx="468">
                  <c:v>125</c:v>
                </c:pt>
                <c:pt idx="469">
                  <c:v>125</c:v>
                </c:pt>
                <c:pt idx="470">
                  <c:v>60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125</c:v>
                </c:pt>
                <c:pt idx="506">
                  <c:v>71.428571428571431</c:v>
                </c:pt>
                <c:pt idx="507">
                  <c:v>100</c:v>
                </c:pt>
                <c:pt idx="508">
                  <c:v>100</c:v>
                </c:pt>
                <c:pt idx="509">
                  <c:v>50</c:v>
                </c:pt>
                <c:pt idx="510">
                  <c:v>125</c:v>
                </c:pt>
                <c:pt idx="511">
                  <c:v>50</c:v>
                </c:pt>
                <c:pt idx="512">
                  <c:v>50</c:v>
                </c:pt>
                <c:pt idx="513">
                  <c:v>125</c:v>
                </c:pt>
                <c:pt idx="514">
                  <c:v>100</c:v>
                </c:pt>
                <c:pt idx="515">
                  <c:v>50</c:v>
                </c:pt>
                <c:pt idx="516">
                  <c:v>50</c:v>
                </c:pt>
                <c:pt idx="517">
                  <c:v>125</c:v>
                </c:pt>
                <c:pt idx="518">
                  <c:v>100</c:v>
                </c:pt>
                <c:pt idx="519">
                  <c:v>125</c:v>
                </c:pt>
                <c:pt idx="520">
                  <c:v>166.66666666666666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125</c:v>
                </c:pt>
                <c:pt idx="529">
                  <c:v>125</c:v>
                </c:pt>
                <c:pt idx="530">
                  <c:v>100</c:v>
                </c:pt>
                <c:pt idx="531">
                  <c:v>166.66666666666666</c:v>
                </c:pt>
                <c:pt idx="532">
                  <c:v>100</c:v>
                </c:pt>
                <c:pt idx="533">
                  <c:v>125</c:v>
                </c:pt>
                <c:pt idx="534">
                  <c:v>125</c:v>
                </c:pt>
                <c:pt idx="535">
                  <c:v>50</c:v>
                </c:pt>
                <c:pt idx="536">
                  <c:v>166.66666666666666</c:v>
                </c:pt>
                <c:pt idx="537">
                  <c:v>100</c:v>
                </c:pt>
                <c:pt idx="538">
                  <c:v>62.5</c:v>
                </c:pt>
                <c:pt idx="539">
                  <c:v>125</c:v>
                </c:pt>
                <c:pt idx="540">
                  <c:v>125</c:v>
                </c:pt>
                <c:pt idx="541">
                  <c:v>125</c:v>
                </c:pt>
                <c:pt idx="542">
                  <c:v>125</c:v>
                </c:pt>
                <c:pt idx="543">
                  <c:v>125</c:v>
                </c:pt>
                <c:pt idx="544">
                  <c:v>125</c:v>
                </c:pt>
                <c:pt idx="545">
                  <c:v>125</c:v>
                </c:pt>
                <c:pt idx="546">
                  <c:v>125</c:v>
                </c:pt>
                <c:pt idx="547">
                  <c:v>100</c:v>
                </c:pt>
                <c:pt idx="548">
                  <c:v>125</c:v>
                </c:pt>
                <c:pt idx="549">
                  <c:v>125</c:v>
                </c:pt>
                <c:pt idx="550">
                  <c:v>125</c:v>
                </c:pt>
                <c:pt idx="551">
                  <c:v>125</c:v>
                </c:pt>
                <c:pt idx="552">
                  <c:v>125</c:v>
                </c:pt>
                <c:pt idx="553">
                  <c:v>100</c:v>
                </c:pt>
                <c:pt idx="554">
                  <c:v>125</c:v>
                </c:pt>
                <c:pt idx="555">
                  <c:v>125</c:v>
                </c:pt>
                <c:pt idx="556">
                  <c:v>83.333333333333329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50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125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125</c:v>
                </c:pt>
                <c:pt idx="570">
                  <c:v>166.66666666666666</c:v>
                </c:pt>
                <c:pt idx="571">
                  <c:v>100</c:v>
                </c:pt>
                <c:pt idx="572">
                  <c:v>50</c:v>
                </c:pt>
                <c:pt idx="573">
                  <c:v>100</c:v>
                </c:pt>
                <c:pt idx="574">
                  <c:v>125</c:v>
                </c:pt>
                <c:pt idx="575">
                  <c:v>62.5</c:v>
                </c:pt>
                <c:pt idx="576">
                  <c:v>100</c:v>
                </c:pt>
                <c:pt idx="577">
                  <c:v>50</c:v>
                </c:pt>
                <c:pt idx="578">
                  <c:v>50</c:v>
                </c:pt>
                <c:pt idx="579">
                  <c:v>100</c:v>
                </c:pt>
                <c:pt idx="580">
                  <c:v>166.66666666666666</c:v>
                </c:pt>
                <c:pt idx="581">
                  <c:v>125</c:v>
                </c:pt>
                <c:pt idx="582">
                  <c:v>125</c:v>
                </c:pt>
                <c:pt idx="583">
                  <c:v>33.333333333333336</c:v>
                </c:pt>
                <c:pt idx="584">
                  <c:v>65.536000000000001</c:v>
                </c:pt>
                <c:pt idx="585">
                  <c:v>25</c:v>
                </c:pt>
              </c:numCache>
            </c:numRef>
          </c:xVal>
          <c:yVal>
            <c:numRef>
              <c:f>'2. Logging Brejo Seco'!$V$3:$V$588</c:f>
              <c:numCache>
                <c:formatCode>0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100</c:v>
                </c:pt>
                <c:pt idx="8">
                  <c:v>0</c:v>
                </c:pt>
                <c:pt idx="9">
                  <c:v>60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22</c:v>
                </c:pt>
                <c:pt idx="14">
                  <c:v>42.000000000000007</c:v>
                </c:pt>
                <c:pt idx="15">
                  <c:v>56.000000000000007</c:v>
                </c:pt>
                <c:pt idx="16">
                  <c:v>62</c:v>
                </c:pt>
                <c:pt idx="17">
                  <c:v>32</c:v>
                </c:pt>
                <c:pt idx="18">
                  <c:v>42</c:v>
                </c:pt>
                <c:pt idx="19">
                  <c:v>50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32</c:v>
                </c:pt>
                <c:pt idx="24">
                  <c:v>38</c:v>
                </c:pt>
                <c:pt idx="25">
                  <c:v>22</c:v>
                </c:pt>
                <c:pt idx="26">
                  <c:v>24</c:v>
                </c:pt>
                <c:pt idx="27">
                  <c:v>28.000000000000004</c:v>
                </c:pt>
                <c:pt idx="28">
                  <c:v>44</c:v>
                </c:pt>
                <c:pt idx="29">
                  <c:v>40</c:v>
                </c:pt>
                <c:pt idx="30">
                  <c:v>0</c:v>
                </c:pt>
                <c:pt idx="31">
                  <c:v>54</c:v>
                </c:pt>
                <c:pt idx="32">
                  <c:v>24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</c:v>
                </c:pt>
                <c:pt idx="41">
                  <c:v>0</c:v>
                </c:pt>
                <c:pt idx="42">
                  <c:v>0</c:v>
                </c:pt>
                <c:pt idx="43">
                  <c:v>52</c:v>
                </c:pt>
                <c:pt idx="44">
                  <c:v>36</c:v>
                </c:pt>
                <c:pt idx="45">
                  <c:v>100</c:v>
                </c:pt>
                <c:pt idx="46">
                  <c:v>62</c:v>
                </c:pt>
                <c:pt idx="47">
                  <c:v>94.736842105263278</c:v>
                </c:pt>
                <c:pt idx="48">
                  <c:v>34</c:v>
                </c:pt>
                <c:pt idx="49">
                  <c:v>32</c:v>
                </c:pt>
                <c:pt idx="50">
                  <c:v>22</c:v>
                </c:pt>
                <c:pt idx="51">
                  <c:v>85.714285714285367</c:v>
                </c:pt>
                <c:pt idx="52">
                  <c:v>91.48936170212788</c:v>
                </c:pt>
                <c:pt idx="53">
                  <c:v>52.427184466019362</c:v>
                </c:pt>
                <c:pt idx="54">
                  <c:v>80</c:v>
                </c:pt>
                <c:pt idx="55">
                  <c:v>82.432432432432606</c:v>
                </c:pt>
                <c:pt idx="56">
                  <c:v>74.999999999999929</c:v>
                </c:pt>
                <c:pt idx="57">
                  <c:v>40</c:v>
                </c:pt>
                <c:pt idx="58">
                  <c:v>30</c:v>
                </c:pt>
                <c:pt idx="59">
                  <c:v>26.666666666666668</c:v>
                </c:pt>
                <c:pt idx="60">
                  <c:v>92.857142857142478</c:v>
                </c:pt>
                <c:pt idx="61">
                  <c:v>64</c:v>
                </c:pt>
                <c:pt idx="62">
                  <c:v>40</c:v>
                </c:pt>
                <c:pt idx="63">
                  <c:v>0</c:v>
                </c:pt>
                <c:pt idx="64">
                  <c:v>57.999999999999993</c:v>
                </c:pt>
                <c:pt idx="65">
                  <c:v>36</c:v>
                </c:pt>
                <c:pt idx="66">
                  <c:v>0</c:v>
                </c:pt>
                <c:pt idx="67">
                  <c:v>32.85714285714306</c:v>
                </c:pt>
                <c:pt idx="68">
                  <c:v>49.999999999999879</c:v>
                </c:pt>
                <c:pt idx="69">
                  <c:v>22</c:v>
                </c:pt>
                <c:pt idx="70">
                  <c:v>0</c:v>
                </c:pt>
                <c:pt idx="71">
                  <c:v>39.999999999999901</c:v>
                </c:pt>
                <c:pt idx="72">
                  <c:v>56.000000000000007</c:v>
                </c:pt>
                <c:pt idx="73">
                  <c:v>0</c:v>
                </c:pt>
                <c:pt idx="74">
                  <c:v>47.500000000000171</c:v>
                </c:pt>
                <c:pt idx="75">
                  <c:v>31.666666666666593</c:v>
                </c:pt>
                <c:pt idx="76">
                  <c:v>30</c:v>
                </c:pt>
                <c:pt idx="77">
                  <c:v>21.428571428571558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36</c:v>
                </c:pt>
                <c:pt idx="87">
                  <c:v>28.000000000000004</c:v>
                </c:pt>
                <c:pt idx="88">
                  <c:v>24</c:v>
                </c:pt>
                <c:pt idx="89">
                  <c:v>0</c:v>
                </c:pt>
                <c:pt idx="90">
                  <c:v>34.545454545454277</c:v>
                </c:pt>
                <c:pt idx="91">
                  <c:v>0</c:v>
                </c:pt>
                <c:pt idx="92">
                  <c:v>35.714285714285573</c:v>
                </c:pt>
                <c:pt idx="93">
                  <c:v>81</c:v>
                </c:pt>
                <c:pt idx="94">
                  <c:v>28.000000000000004</c:v>
                </c:pt>
                <c:pt idx="95">
                  <c:v>0</c:v>
                </c:pt>
                <c:pt idx="96">
                  <c:v>0</c:v>
                </c:pt>
                <c:pt idx="97">
                  <c:v>54</c:v>
                </c:pt>
                <c:pt idx="98">
                  <c:v>20</c:v>
                </c:pt>
                <c:pt idx="99">
                  <c:v>32</c:v>
                </c:pt>
                <c:pt idx="100">
                  <c:v>32</c:v>
                </c:pt>
                <c:pt idx="101">
                  <c:v>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80</c:v>
                </c:pt>
                <c:pt idx="107">
                  <c:v>54.545454545454831</c:v>
                </c:pt>
                <c:pt idx="108">
                  <c:v>69.999999999999829</c:v>
                </c:pt>
                <c:pt idx="109">
                  <c:v>32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38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24</c:v>
                </c:pt>
                <c:pt idx="125" formatCode="0.00">
                  <c:v>42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24</c:v>
                </c:pt>
                <c:pt idx="131" formatCode="0.00">
                  <c:v>54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46</c:v>
                </c:pt>
                <c:pt idx="135" formatCode="0.00">
                  <c:v>68</c:v>
                </c:pt>
                <c:pt idx="136" formatCode="0.00">
                  <c:v>24</c:v>
                </c:pt>
                <c:pt idx="137" formatCode="0.00">
                  <c:v>0</c:v>
                </c:pt>
                <c:pt idx="138" formatCode="0.00">
                  <c:v>20</c:v>
                </c:pt>
                <c:pt idx="139" formatCode="0.00">
                  <c:v>0</c:v>
                </c:pt>
                <c:pt idx="140" formatCode="0.00">
                  <c:v>20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22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">
                  <c:v>0</c:v>
                </c:pt>
                <c:pt idx="204" formatCode="0.0">
                  <c:v>0</c:v>
                </c:pt>
                <c:pt idx="205" formatCode="0.0">
                  <c:v>20</c:v>
                </c:pt>
                <c:pt idx="206" formatCode="0.0">
                  <c:v>20</c:v>
                </c:pt>
                <c:pt idx="207" formatCode="0.0">
                  <c:v>0</c:v>
                </c:pt>
                <c:pt idx="208" formatCode="0.0">
                  <c:v>0</c:v>
                </c:pt>
                <c:pt idx="209" formatCode="0.0">
                  <c:v>0</c:v>
                </c:pt>
                <c:pt idx="210" formatCode="0.0">
                  <c:v>0</c:v>
                </c:pt>
                <c:pt idx="211" formatCode="0.0">
                  <c:v>0</c:v>
                </c:pt>
                <c:pt idx="212" formatCode="0.0">
                  <c:v>0</c:v>
                </c:pt>
                <c:pt idx="213" formatCode="0.0">
                  <c:v>50</c:v>
                </c:pt>
                <c:pt idx="214" formatCode="0.0">
                  <c:v>0</c:v>
                </c:pt>
                <c:pt idx="215" formatCode="0.0">
                  <c:v>0</c:v>
                </c:pt>
                <c:pt idx="216" formatCode="0.0">
                  <c:v>44</c:v>
                </c:pt>
                <c:pt idx="217" formatCode="0.0">
                  <c:v>0</c:v>
                </c:pt>
                <c:pt idx="218" formatCode="0.0">
                  <c:v>26</c:v>
                </c:pt>
                <c:pt idx="219" formatCode="0.0">
                  <c:v>26</c:v>
                </c:pt>
                <c:pt idx="220" formatCode="0.0">
                  <c:v>36</c:v>
                </c:pt>
                <c:pt idx="221" formatCode="0.0">
                  <c:v>0</c:v>
                </c:pt>
                <c:pt idx="222" formatCode="0.0">
                  <c:v>0</c:v>
                </c:pt>
                <c:pt idx="223" formatCode="0.0">
                  <c:v>0</c:v>
                </c:pt>
                <c:pt idx="224" formatCode="0.0">
                  <c:v>0</c:v>
                </c:pt>
                <c:pt idx="225" formatCode="0.0">
                  <c:v>0</c:v>
                </c:pt>
                <c:pt idx="226" formatCode="0.0">
                  <c:v>0</c:v>
                </c:pt>
                <c:pt idx="227" formatCode="0.0">
                  <c:v>0</c:v>
                </c:pt>
                <c:pt idx="228" formatCode="0.0">
                  <c:v>0</c:v>
                </c:pt>
                <c:pt idx="229" formatCode="0.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22</c:v>
                </c:pt>
                <c:pt idx="239" formatCode="0.00">
                  <c:v>28.000000000000004</c:v>
                </c:pt>
                <c:pt idx="240" formatCode="0.00">
                  <c:v>30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20</c:v>
                </c:pt>
                <c:pt idx="244" formatCode="0.00">
                  <c:v>26</c:v>
                </c:pt>
                <c:pt idx="245" formatCode="0.00">
                  <c:v>30</c:v>
                </c:pt>
                <c:pt idx="246" formatCode="0.00">
                  <c:v>32</c:v>
                </c:pt>
                <c:pt idx="247" formatCode="0.00">
                  <c:v>56.000000000000007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20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28.000000000000004</c:v>
                </c:pt>
                <c:pt idx="257" formatCode="0.00">
                  <c:v>28.000000000000004</c:v>
                </c:pt>
                <c:pt idx="258" formatCode="0.00">
                  <c:v>0</c:v>
                </c:pt>
                <c:pt idx="259" formatCode="0.0">
                  <c:v>26</c:v>
                </c:pt>
                <c:pt idx="260" formatCode="0.0">
                  <c:v>20</c:v>
                </c:pt>
                <c:pt idx="261" formatCode="0.0">
                  <c:v>0</c:v>
                </c:pt>
                <c:pt idx="262" formatCode="0.0">
                  <c:v>0</c:v>
                </c:pt>
                <c:pt idx="263" formatCode="0.0">
                  <c:v>48</c:v>
                </c:pt>
                <c:pt idx="264" formatCode="0.0">
                  <c:v>0</c:v>
                </c:pt>
                <c:pt idx="265" formatCode="0.0">
                  <c:v>44</c:v>
                </c:pt>
                <c:pt idx="266" formatCode="0.0">
                  <c:v>0</c:v>
                </c:pt>
                <c:pt idx="267" formatCode="0.0">
                  <c:v>30</c:v>
                </c:pt>
                <c:pt idx="268" formatCode="0.0">
                  <c:v>26</c:v>
                </c:pt>
                <c:pt idx="269" formatCode="0.0">
                  <c:v>0</c:v>
                </c:pt>
                <c:pt idx="270" formatCode="0.0">
                  <c:v>0</c:v>
                </c:pt>
                <c:pt idx="271" formatCode="0.0">
                  <c:v>28.000000000000004</c:v>
                </c:pt>
                <c:pt idx="272" formatCode="0.0">
                  <c:v>50</c:v>
                </c:pt>
                <c:pt idx="273" formatCode="0.0">
                  <c:v>0</c:v>
                </c:pt>
                <c:pt idx="274" formatCode="0.00">
                  <c:v>88</c:v>
                </c:pt>
                <c:pt idx="275" formatCode="0.00">
                  <c:v>54</c:v>
                </c:pt>
                <c:pt idx="276" formatCode="0.00">
                  <c:v>92</c:v>
                </c:pt>
                <c:pt idx="277" formatCode="0.00">
                  <c:v>57.999999999999993</c:v>
                </c:pt>
                <c:pt idx="278" formatCode="0.00">
                  <c:v>56.000000000000007</c:v>
                </c:pt>
                <c:pt idx="279" formatCode="0.00">
                  <c:v>57.999999999999993</c:v>
                </c:pt>
                <c:pt idx="280" formatCode="0.00">
                  <c:v>57.999999999999993</c:v>
                </c:pt>
                <c:pt idx="281" formatCode="0.00">
                  <c:v>60</c:v>
                </c:pt>
                <c:pt idx="282" formatCode="0.00">
                  <c:v>84</c:v>
                </c:pt>
                <c:pt idx="283" formatCode="0.00">
                  <c:v>74</c:v>
                </c:pt>
                <c:pt idx="284" formatCode="0.00">
                  <c:v>84</c:v>
                </c:pt>
                <c:pt idx="285" formatCode="0.00">
                  <c:v>96</c:v>
                </c:pt>
                <c:pt idx="286" formatCode="0.00">
                  <c:v>92</c:v>
                </c:pt>
                <c:pt idx="287" formatCode="0.00">
                  <c:v>62</c:v>
                </c:pt>
                <c:pt idx="288" formatCode="0.0">
                  <c:v>48</c:v>
                </c:pt>
                <c:pt idx="289" formatCode="0.0">
                  <c:v>48</c:v>
                </c:pt>
                <c:pt idx="290" formatCode="0.0">
                  <c:v>84</c:v>
                </c:pt>
                <c:pt idx="291" formatCode="0.0">
                  <c:v>0</c:v>
                </c:pt>
                <c:pt idx="292" formatCode="0.0">
                  <c:v>28.000000000000004</c:v>
                </c:pt>
                <c:pt idx="293" formatCode="0.0">
                  <c:v>26</c:v>
                </c:pt>
                <c:pt idx="294" formatCode="0.00">
                  <c:v>20</c:v>
                </c:pt>
                <c:pt idx="295" formatCode="0.00">
                  <c:v>44</c:v>
                </c:pt>
                <c:pt idx="296" formatCode="0.00">
                  <c:v>100</c:v>
                </c:pt>
                <c:pt idx="297" formatCode="0.00">
                  <c:v>54</c:v>
                </c:pt>
                <c:pt idx="298" formatCode="0.00">
                  <c:v>0</c:v>
                </c:pt>
                <c:pt idx="299" formatCode="0.00">
                  <c:v>50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">
                  <c:v>0</c:v>
                </c:pt>
                <c:pt idx="303" formatCode="0.0">
                  <c:v>66</c:v>
                </c:pt>
                <c:pt idx="304" formatCode="0.0">
                  <c:v>20</c:v>
                </c:pt>
                <c:pt idx="305" formatCode="0.0">
                  <c:v>20</c:v>
                </c:pt>
                <c:pt idx="306" formatCode="0.00">
                  <c:v>54</c:v>
                </c:pt>
                <c:pt idx="307" formatCode="0.00">
                  <c:v>70</c:v>
                </c:pt>
                <c:pt idx="308" formatCode="0.00">
                  <c:v>36</c:v>
                </c:pt>
                <c:pt idx="309" formatCode="0.00">
                  <c:v>66</c:v>
                </c:pt>
                <c:pt idx="310" formatCode="0.00">
                  <c:v>28.000000000000004</c:v>
                </c:pt>
                <c:pt idx="311" formatCode="0.00">
                  <c:v>0</c:v>
                </c:pt>
                <c:pt idx="312" formatCode="0.00">
                  <c:v>74</c:v>
                </c:pt>
                <c:pt idx="313" formatCode="0.00">
                  <c:v>54</c:v>
                </c:pt>
                <c:pt idx="314" formatCode="0.00">
                  <c:v>42</c:v>
                </c:pt>
                <c:pt idx="315" formatCode="0.00">
                  <c:v>24</c:v>
                </c:pt>
                <c:pt idx="316" formatCode="0.00">
                  <c:v>22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64.51612903225805</c:v>
                </c:pt>
                <c:pt idx="354" formatCode="0.00">
                  <c:v>85.714285714285779</c:v>
                </c:pt>
                <c:pt idx="355" formatCode="0.00">
                  <c:v>27.500000000000007</c:v>
                </c:pt>
                <c:pt idx="356" formatCode="0.00">
                  <c:v>40.38461538461538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0</c:v>
                </c:pt>
                <c:pt idx="361" formatCode="0.00">
                  <c:v>0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26</c:v>
                </c:pt>
                <c:pt idx="368" formatCode="0.00">
                  <c:v>22</c:v>
                </c:pt>
                <c:pt idx="369" formatCode="0.00">
                  <c:v>0</c:v>
                </c:pt>
                <c:pt idx="370" formatCode="0.00">
                  <c:v>22</c:v>
                </c:pt>
                <c:pt idx="371" formatCode="0.00">
                  <c:v>22</c:v>
                </c:pt>
                <c:pt idx="372" formatCode="0.00">
                  <c:v>0</c:v>
                </c:pt>
                <c:pt idx="373" formatCode="0.00">
                  <c:v>26</c:v>
                </c:pt>
                <c:pt idx="374" formatCode="0.00">
                  <c:v>0</c:v>
                </c:pt>
                <c:pt idx="375" formatCode="0.00">
                  <c:v>42</c:v>
                </c:pt>
                <c:pt idx="376" formatCode="0.00">
                  <c:v>22</c:v>
                </c:pt>
                <c:pt idx="377" formatCode="0.00">
                  <c:v>0</c:v>
                </c:pt>
                <c:pt idx="378" formatCode="0.00">
                  <c:v>20</c:v>
                </c:pt>
                <c:pt idx="379" formatCode="0.00">
                  <c:v>0</c:v>
                </c:pt>
                <c:pt idx="380" formatCode="0.00">
                  <c:v>0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0</c:v>
                </c:pt>
                <c:pt idx="384" formatCode="0.00">
                  <c:v>0</c:v>
                </c:pt>
                <c:pt idx="385" formatCode="0.00">
                  <c:v>0</c:v>
                </c:pt>
                <c:pt idx="386" formatCode="0.00">
                  <c:v>0</c:v>
                </c:pt>
                <c:pt idx="387" formatCode="0.00">
                  <c:v>0</c:v>
                </c:pt>
                <c:pt idx="388" formatCode="0.00">
                  <c:v>0</c:v>
                </c:pt>
                <c:pt idx="389" formatCode="0.00">
                  <c:v>0</c:v>
                </c:pt>
                <c:pt idx="390" formatCode="0.00">
                  <c:v>0</c:v>
                </c:pt>
                <c:pt idx="391" formatCode="0.00">
                  <c:v>22</c:v>
                </c:pt>
                <c:pt idx="392" formatCode="0.00">
                  <c:v>0</c:v>
                </c:pt>
                <c:pt idx="393" formatCode="0.00">
                  <c:v>38</c:v>
                </c:pt>
                <c:pt idx="394" formatCode="0.00">
                  <c:v>28.000000000000004</c:v>
                </c:pt>
                <c:pt idx="395" formatCode="0.00">
                  <c:v>0</c:v>
                </c:pt>
                <c:pt idx="396" formatCode="0.00">
                  <c:v>22</c:v>
                </c:pt>
                <c:pt idx="397" formatCode="0.00">
                  <c:v>44</c:v>
                </c:pt>
                <c:pt idx="398" formatCode="0.00">
                  <c:v>0</c:v>
                </c:pt>
                <c:pt idx="399" formatCode="0.00">
                  <c:v>0</c:v>
                </c:pt>
                <c:pt idx="400" formatCode="0.00">
                  <c:v>0</c:v>
                </c:pt>
                <c:pt idx="401" formatCode="0.00">
                  <c:v>0</c:v>
                </c:pt>
                <c:pt idx="402" formatCode="0.00">
                  <c:v>0</c:v>
                </c:pt>
                <c:pt idx="403" formatCode="0.00">
                  <c:v>0</c:v>
                </c:pt>
                <c:pt idx="404" formatCode="0.00">
                  <c:v>0</c:v>
                </c:pt>
                <c:pt idx="405" formatCode="0.00">
                  <c:v>0</c:v>
                </c:pt>
                <c:pt idx="406" formatCode="0.00">
                  <c:v>0</c:v>
                </c:pt>
                <c:pt idx="407" formatCode="0.00">
                  <c:v>0</c:v>
                </c:pt>
                <c:pt idx="408" formatCode="0.00">
                  <c:v>0</c:v>
                </c:pt>
                <c:pt idx="409" formatCode="0.00">
                  <c:v>0</c:v>
                </c:pt>
                <c:pt idx="410" formatCode="0.00">
                  <c:v>0</c:v>
                </c:pt>
                <c:pt idx="411" formatCode="0.00">
                  <c:v>0</c:v>
                </c:pt>
                <c:pt idx="412" formatCode="0.00">
                  <c:v>0</c:v>
                </c:pt>
                <c:pt idx="413" formatCode="0.00">
                  <c:v>0</c:v>
                </c:pt>
                <c:pt idx="414" formatCode="0.00">
                  <c:v>32</c:v>
                </c:pt>
                <c:pt idx="415" formatCode="0.00">
                  <c:v>0</c:v>
                </c:pt>
                <c:pt idx="416" formatCode="0.00">
                  <c:v>0</c:v>
                </c:pt>
                <c:pt idx="417" formatCode="0.00">
                  <c:v>0</c:v>
                </c:pt>
                <c:pt idx="418" formatCode="0.00">
                  <c:v>0</c:v>
                </c:pt>
                <c:pt idx="419" formatCode="0.00">
                  <c:v>0</c:v>
                </c:pt>
                <c:pt idx="420" formatCode="0.00">
                  <c:v>64</c:v>
                </c:pt>
                <c:pt idx="421" formatCode="0.00">
                  <c:v>34</c:v>
                </c:pt>
                <c:pt idx="422" formatCode="0.00">
                  <c:v>0</c:v>
                </c:pt>
                <c:pt idx="423" formatCode="0.00">
                  <c:v>0</c:v>
                </c:pt>
                <c:pt idx="424" formatCode="0.00">
                  <c:v>24</c:v>
                </c:pt>
                <c:pt idx="425" formatCode="0.00">
                  <c:v>22</c:v>
                </c:pt>
                <c:pt idx="426" formatCode="0.00">
                  <c:v>0</c:v>
                </c:pt>
                <c:pt idx="427" formatCode="0.00">
                  <c:v>40</c:v>
                </c:pt>
                <c:pt idx="428" formatCode="0.00">
                  <c:v>20</c:v>
                </c:pt>
                <c:pt idx="429" formatCode="0.00">
                  <c:v>0</c:v>
                </c:pt>
                <c:pt idx="430" formatCode="0.00">
                  <c:v>22</c:v>
                </c:pt>
                <c:pt idx="431" formatCode="0.00">
                  <c:v>30</c:v>
                </c:pt>
                <c:pt idx="432" formatCode="0.00">
                  <c:v>30</c:v>
                </c:pt>
                <c:pt idx="433" formatCode="0.00">
                  <c:v>0</c:v>
                </c:pt>
                <c:pt idx="434" formatCode="0.00">
                  <c:v>22</c:v>
                </c:pt>
                <c:pt idx="435" formatCode="0.00">
                  <c:v>20</c:v>
                </c:pt>
                <c:pt idx="436" formatCode="0.00">
                  <c:v>24</c:v>
                </c:pt>
                <c:pt idx="437" formatCode="0.00">
                  <c:v>0</c:v>
                </c:pt>
                <c:pt idx="438" formatCode="0.00">
                  <c:v>20</c:v>
                </c:pt>
                <c:pt idx="439" formatCode="0.00">
                  <c:v>28.000000000000004</c:v>
                </c:pt>
                <c:pt idx="440" formatCode="0.00">
                  <c:v>24</c:v>
                </c:pt>
                <c:pt idx="441" formatCode="0.00">
                  <c:v>0</c:v>
                </c:pt>
                <c:pt idx="442" formatCode="0.00">
                  <c:v>0</c:v>
                </c:pt>
                <c:pt idx="443" formatCode="0.00">
                  <c:v>0</c:v>
                </c:pt>
                <c:pt idx="444" formatCode="0.00">
                  <c:v>28.000000000000004</c:v>
                </c:pt>
                <c:pt idx="445" formatCode="0.00">
                  <c:v>34</c:v>
                </c:pt>
                <c:pt idx="446" formatCode="0.00">
                  <c:v>0</c:v>
                </c:pt>
                <c:pt idx="447" formatCode="0.00">
                  <c:v>0</c:v>
                </c:pt>
                <c:pt idx="448" formatCode="0.00">
                  <c:v>0</c:v>
                </c:pt>
                <c:pt idx="449" formatCode="0.00">
                  <c:v>0</c:v>
                </c:pt>
                <c:pt idx="450" formatCode="0.00">
                  <c:v>0</c:v>
                </c:pt>
                <c:pt idx="451" formatCode="0.00">
                  <c:v>54</c:v>
                </c:pt>
                <c:pt idx="452" formatCode="0.00">
                  <c:v>52</c:v>
                </c:pt>
                <c:pt idx="453" formatCode="0.00">
                  <c:v>34</c:v>
                </c:pt>
                <c:pt idx="454" formatCode="0.00">
                  <c:v>28.000000000000004</c:v>
                </c:pt>
                <c:pt idx="455" formatCode="0.00">
                  <c:v>0</c:v>
                </c:pt>
                <c:pt idx="456" formatCode="0.00">
                  <c:v>50</c:v>
                </c:pt>
                <c:pt idx="457" formatCode="0.00">
                  <c:v>20</c:v>
                </c:pt>
                <c:pt idx="458" formatCode="0.00">
                  <c:v>0</c:v>
                </c:pt>
                <c:pt idx="459" formatCode="0.00">
                  <c:v>44</c:v>
                </c:pt>
                <c:pt idx="460" formatCode="0.00">
                  <c:v>22</c:v>
                </c:pt>
                <c:pt idx="461" formatCode="0.00">
                  <c:v>30</c:v>
                </c:pt>
                <c:pt idx="462" formatCode="0.00">
                  <c:v>26</c:v>
                </c:pt>
                <c:pt idx="463" formatCode="0.00">
                  <c:v>0</c:v>
                </c:pt>
                <c:pt idx="464" formatCode="0.00">
                  <c:v>66</c:v>
                </c:pt>
                <c:pt idx="465" formatCode="0.00">
                  <c:v>36</c:v>
                </c:pt>
                <c:pt idx="466" formatCode="0.00">
                  <c:v>50</c:v>
                </c:pt>
                <c:pt idx="467" formatCode="0.00">
                  <c:v>0</c:v>
                </c:pt>
                <c:pt idx="468" formatCode="0.00">
                  <c:v>0</c:v>
                </c:pt>
                <c:pt idx="469" formatCode="0.00">
                  <c:v>0</c:v>
                </c:pt>
                <c:pt idx="470" formatCode="0.00">
                  <c:v>0</c:v>
                </c:pt>
                <c:pt idx="471" formatCode="0.00">
                  <c:v>0</c:v>
                </c:pt>
                <c:pt idx="472" formatCode="0.00">
                  <c:v>0</c:v>
                </c:pt>
                <c:pt idx="473" formatCode="0.00">
                  <c:v>0</c:v>
                </c:pt>
                <c:pt idx="474" formatCode="0.00">
                  <c:v>0</c:v>
                </c:pt>
                <c:pt idx="475" formatCode="0.00">
                  <c:v>0</c:v>
                </c:pt>
                <c:pt idx="476" formatCode="0.00">
                  <c:v>0</c:v>
                </c:pt>
                <c:pt idx="477" formatCode="0.00">
                  <c:v>0</c:v>
                </c:pt>
                <c:pt idx="478" formatCode="0.00">
                  <c:v>0</c:v>
                </c:pt>
                <c:pt idx="479" formatCode="0.00">
                  <c:v>0</c:v>
                </c:pt>
                <c:pt idx="480" formatCode="0.00">
                  <c:v>0</c:v>
                </c:pt>
                <c:pt idx="481" formatCode="0.00">
                  <c:v>0</c:v>
                </c:pt>
                <c:pt idx="482" formatCode="0.00">
                  <c:v>0</c:v>
                </c:pt>
                <c:pt idx="483" formatCode="0.00">
                  <c:v>0</c:v>
                </c:pt>
                <c:pt idx="484" formatCode="0.00">
                  <c:v>0</c:v>
                </c:pt>
                <c:pt idx="485" formatCode="0.00">
                  <c:v>0</c:v>
                </c:pt>
                <c:pt idx="486" formatCode="0.00">
                  <c:v>0</c:v>
                </c:pt>
                <c:pt idx="487" formatCode="0.00">
                  <c:v>0</c:v>
                </c:pt>
                <c:pt idx="488" formatCode="0.00">
                  <c:v>0</c:v>
                </c:pt>
                <c:pt idx="489" formatCode="0.00">
                  <c:v>0</c:v>
                </c:pt>
                <c:pt idx="490" formatCode="0.00">
                  <c:v>0</c:v>
                </c:pt>
                <c:pt idx="491" formatCode="0.00">
                  <c:v>0</c:v>
                </c:pt>
                <c:pt idx="492" formatCode="0.00">
                  <c:v>0</c:v>
                </c:pt>
                <c:pt idx="493" formatCode="0.00">
                  <c:v>0</c:v>
                </c:pt>
                <c:pt idx="494" formatCode="0.00">
                  <c:v>0</c:v>
                </c:pt>
                <c:pt idx="495" formatCode="0.00">
                  <c:v>0</c:v>
                </c:pt>
                <c:pt idx="496" formatCode="0.00">
                  <c:v>0</c:v>
                </c:pt>
                <c:pt idx="497" formatCode="0.00">
                  <c:v>0</c:v>
                </c:pt>
                <c:pt idx="498" formatCode="0.00">
                  <c:v>0</c:v>
                </c:pt>
                <c:pt idx="499" formatCode="0.00">
                  <c:v>0</c:v>
                </c:pt>
                <c:pt idx="500" formatCode="0.00">
                  <c:v>0</c:v>
                </c:pt>
                <c:pt idx="501" formatCode="0.00">
                  <c:v>0</c:v>
                </c:pt>
                <c:pt idx="502" formatCode="0.00">
                  <c:v>0</c:v>
                </c:pt>
                <c:pt idx="503" formatCode="0.00">
                  <c:v>0</c:v>
                </c:pt>
                <c:pt idx="504" formatCode="0.00">
                  <c:v>0</c:v>
                </c:pt>
                <c:pt idx="505" formatCode="0.00">
                  <c:v>34</c:v>
                </c:pt>
                <c:pt idx="506" formatCode="0.00">
                  <c:v>0</c:v>
                </c:pt>
                <c:pt idx="507" formatCode="0.00">
                  <c:v>0</c:v>
                </c:pt>
                <c:pt idx="508" formatCode="0.00">
                  <c:v>0</c:v>
                </c:pt>
                <c:pt idx="509" formatCode="0.00">
                  <c:v>0</c:v>
                </c:pt>
                <c:pt idx="510" formatCode="0.00">
                  <c:v>0</c:v>
                </c:pt>
                <c:pt idx="511" formatCode="0.00">
                  <c:v>0</c:v>
                </c:pt>
                <c:pt idx="512" formatCode="0.00">
                  <c:v>0</c:v>
                </c:pt>
                <c:pt idx="513" formatCode="0.00">
                  <c:v>62</c:v>
                </c:pt>
                <c:pt idx="514" formatCode="0.00">
                  <c:v>0</c:v>
                </c:pt>
                <c:pt idx="515" formatCode="0.00">
                  <c:v>0</c:v>
                </c:pt>
                <c:pt idx="516" formatCode="0.00">
                  <c:v>0</c:v>
                </c:pt>
                <c:pt idx="517" formatCode="0.00">
                  <c:v>0</c:v>
                </c:pt>
                <c:pt idx="518" formatCode="0.00">
                  <c:v>40</c:v>
                </c:pt>
                <c:pt idx="519" formatCode="0.00">
                  <c:v>36</c:v>
                </c:pt>
                <c:pt idx="520" formatCode="0.00">
                  <c:v>46</c:v>
                </c:pt>
                <c:pt idx="521" formatCode="0.00">
                  <c:v>26</c:v>
                </c:pt>
                <c:pt idx="522" formatCode="0.00">
                  <c:v>0</c:v>
                </c:pt>
                <c:pt idx="523" formatCode="0.00">
                  <c:v>0</c:v>
                </c:pt>
                <c:pt idx="524" formatCode="0.00">
                  <c:v>0</c:v>
                </c:pt>
                <c:pt idx="525" formatCode="0.00">
                  <c:v>0</c:v>
                </c:pt>
                <c:pt idx="526" formatCode="0.00">
                  <c:v>0</c:v>
                </c:pt>
                <c:pt idx="527" formatCode="0.00">
                  <c:v>22</c:v>
                </c:pt>
                <c:pt idx="528" formatCode="0.00">
                  <c:v>0</c:v>
                </c:pt>
                <c:pt idx="529" formatCode="0.00">
                  <c:v>0</c:v>
                </c:pt>
                <c:pt idx="530" formatCode="0.00">
                  <c:v>0</c:v>
                </c:pt>
                <c:pt idx="531" formatCode="0.00">
                  <c:v>88</c:v>
                </c:pt>
                <c:pt idx="532" formatCode="0.00">
                  <c:v>20</c:v>
                </c:pt>
                <c:pt idx="533" formatCode="0.00">
                  <c:v>88</c:v>
                </c:pt>
                <c:pt idx="534" formatCode="0.00">
                  <c:v>20</c:v>
                </c:pt>
                <c:pt idx="535" formatCode="0.00">
                  <c:v>0</c:v>
                </c:pt>
                <c:pt idx="536" formatCode="0.00">
                  <c:v>72</c:v>
                </c:pt>
                <c:pt idx="537" formatCode="0.00">
                  <c:v>0</c:v>
                </c:pt>
                <c:pt idx="538" formatCode="0.00">
                  <c:v>0</c:v>
                </c:pt>
                <c:pt idx="539" formatCode="0.00">
                  <c:v>0</c:v>
                </c:pt>
                <c:pt idx="540" formatCode="0.00">
                  <c:v>36</c:v>
                </c:pt>
                <c:pt idx="541" formatCode="0.00">
                  <c:v>32</c:v>
                </c:pt>
                <c:pt idx="542" formatCode="0.00">
                  <c:v>30</c:v>
                </c:pt>
                <c:pt idx="543" formatCode="0.00">
                  <c:v>68</c:v>
                </c:pt>
                <c:pt idx="544" formatCode="0.00">
                  <c:v>0</c:v>
                </c:pt>
                <c:pt idx="545" formatCode="0.00">
                  <c:v>40</c:v>
                </c:pt>
                <c:pt idx="546" formatCode="0.00">
                  <c:v>46</c:v>
                </c:pt>
                <c:pt idx="547" formatCode="0.00">
                  <c:v>40</c:v>
                </c:pt>
                <c:pt idx="548" formatCode="0.00">
                  <c:v>52</c:v>
                </c:pt>
                <c:pt idx="549" formatCode="0.00">
                  <c:v>38</c:v>
                </c:pt>
                <c:pt idx="550" formatCode="0.00">
                  <c:v>52</c:v>
                </c:pt>
                <c:pt idx="551" formatCode="0.00">
                  <c:v>34</c:v>
                </c:pt>
                <c:pt idx="552" formatCode="0.00">
                  <c:v>22</c:v>
                </c:pt>
                <c:pt idx="553" formatCode="0.00">
                  <c:v>66</c:v>
                </c:pt>
                <c:pt idx="554" formatCode="0.00">
                  <c:v>20</c:v>
                </c:pt>
                <c:pt idx="555" formatCode="0.00">
                  <c:v>42</c:v>
                </c:pt>
                <c:pt idx="556" formatCode="0.00">
                  <c:v>24</c:v>
                </c:pt>
                <c:pt idx="557" formatCode="0.00">
                  <c:v>0</c:v>
                </c:pt>
                <c:pt idx="558" formatCode="0.00">
                  <c:v>20</c:v>
                </c:pt>
                <c:pt idx="559" formatCode="0.00">
                  <c:v>30</c:v>
                </c:pt>
                <c:pt idx="560" formatCode="0.00">
                  <c:v>0</c:v>
                </c:pt>
                <c:pt idx="561" formatCode="0.00">
                  <c:v>0</c:v>
                </c:pt>
                <c:pt idx="562" formatCode="0.00">
                  <c:v>0</c:v>
                </c:pt>
                <c:pt idx="563" formatCode="0.00">
                  <c:v>0</c:v>
                </c:pt>
                <c:pt idx="564" formatCode="0.00">
                  <c:v>0</c:v>
                </c:pt>
                <c:pt idx="565" formatCode="0.00">
                  <c:v>20</c:v>
                </c:pt>
                <c:pt idx="566" formatCode="0.00">
                  <c:v>24</c:v>
                </c:pt>
                <c:pt idx="567" formatCode="0.00">
                  <c:v>54</c:v>
                </c:pt>
                <c:pt idx="568" formatCode="0.00">
                  <c:v>52</c:v>
                </c:pt>
                <c:pt idx="569" formatCode="0.00">
                  <c:v>24</c:v>
                </c:pt>
                <c:pt idx="570" formatCode="0.00">
                  <c:v>64</c:v>
                </c:pt>
                <c:pt idx="571" formatCode="0.00">
                  <c:v>20</c:v>
                </c:pt>
                <c:pt idx="572" formatCode="0.00">
                  <c:v>0</c:v>
                </c:pt>
                <c:pt idx="573" formatCode="0.00">
                  <c:v>22</c:v>
                </c:pt>
                <c:pt idx="574" formatCode="0.00">
                  <c:v>0</c:v>
                </c:pt>
                <c:pt idx="575" formatCode="0.00">
                  <c:v>0</c:v>
                </c:pt>
                <c:pt idx="576" formatCode="0.00">
                  <c:v>0</c:v>
                </c:pt>
                <c:pt idx="577" formatCode="0.00">
                  <c:v>0</c:v>
                </c:pt>
                <c:pt idx="578" formatCode="0.00">
                  <c:v>0</c:v>
                </c:pt>
                <c:pt idx="579" formatCode="0.00">
                  <c:v>0</c:v>
                </c:pt>
                <c:pt idx="580" formatCode="0.00">
                  <c:v>48</c:v>
                </c:pt>
                <c:pt idx="581" formatCode="0.00">
                  <c:v>0</c:v>
                </c:pt>
                <c:pt idx="582" formatCode="0.00">
                  <c:v>36</c:v>
                </c:pt>
                <c:pt idx="583" formatCode="0.00">
                  <c:v>9.376786022400001</c:v>
                </c:pt>
                <c:pt idx="584" formatCode="0.00">
                  <c:v>12.5</c:v>
                </c:pt>
                <c:pt idx="585" formatCode="0.00">
                  <c:v>2.8149950088000009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D04E-414B-B68A-0C3172A2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Spacing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6.2209024352503681E-2"/>
          <c:y val="0.90888571563285125"/>
          <c:w val="0.86691109695837365"/>
          <c:h val="8.2774559721791985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10033001048944"/>
          <c:y val="0.16444199187010364"/>
          <c:w val="0.83034819279940808"/>
          <c:h val="0.8110291023345344"/>
        </c:manualLayout>
      </c:layout>
      <c:scatterChart>
        <c:scatterStyle val="lineMarker"/>
        <c:varyColors val="0"/>
        <c:ser>
          <c:idx val="3"/>
          <c:order val="4"/>
          <c:tx>
            <c:v>Drillholes - Brejo Seco</c:v>
          </c:tx>
          <c:marker>
            <c:symbol val="x"/>
            <c:size val="10"/>
          </c:marker>
          <c:xVal>
            <c:numRef>
              <c:f>'2. Logging Brejo Seco'!$BQ$3:$BQ$1019</c:f>
              <c:numCache>
                <c:formatCode>0</c:formatCode>
                <c:ptCount val="101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48</c:v>
                </c:pt>
                <c:pt idx="7">
                  <c:v>64</c:v>
                </c:pt>
                <c:pt idx="8">
                  <c:v>22</c:v>
                </c:pt>
                <c:pt idx="9">
                  <c:v>43</c:v>
                </c:pt>
                <c:pt idx="10">
                  <c:v>30</c:v>
                </c:pt>
                <c:pt idx="11">
                  <c:v>33</c:v>
                </c:pt>
                <c:pt idx="12">
                  <c:v>20</c:v>
                </c:pt>
                <c:pt idx="13">
                  <c:v>31</c:v>
                </c:pt>
                <c:pt idx="14">
                  <c:v>37</c:v>
                </c:pt>
                <c:pt idx="15">
                  <c:v>47</c:v>
                </c:pt>
                <c:pt idx="16">
                  <c:v>52</c:v>
                </c:pt>
                <c:pt idx="17">
                  <c:v>32</c:v>
                </c:pt>
                <c:pt idx="18">
                  <c:v>42</c:v>
                </c:pt>
                <c:pt idx="19">
                  <c:v>49</c:v>
                </c:pt>
                <c:pt idx="20">
                  <c:v>31</c:v>
                </c:pt>
                <c:pt idx="21">
                  <c:v>23</c:v>
                </c:pt>
                <c:pt idx="22">
                  <c:v>34</c:v>
                </c:pt>
                <c:pt idx="23">
                  <c:v>44</c:v>
                </c:pt>
                <c:pt idx="24">
                  <c:v>43</c:v>
                </c:pt>
                <c:pt idx="25">
                  <c:v>37</c:v>
                </c:pt>
                <c:pt idx="26">
                  <c:v>27</c:v>
                </c:pt>
                <c:pt idx="27">
                  <c:v>31</c:v>
                </c:pt>
                <c:pt idx="28">
                  <c:v>41</c:v>
                </c:pt>
                <c:pt idx="29">
                  <c:v>42</c:v>
                </c:pt>
                <c:pt idx="30">
                  <c:v>30</c:v>
                </c:pt>
                <c:pt idx="31">
                  <c:v>41</c:v>
                </c:pt>
                <c:pt idx="32">
                  <c:v>35</c:v>
                </c:pt>
                <c:pt idx="33">
                  <c:v>23</c:v>
                </c:pt>
                <c:pt idx="34">
                  <c:v>22</c:v>
                </c:pt>
                <c:pt idx="35">
                  <c:v>21</c:v>
                </c:pt>
                <c:pt idx="36">
                  <c:v>22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34</c:v>
                </c:pt>
                <c:pt idx="41">
                  <c:v>27</c:v>
                </c:pt>
                <c:pt idx="42">
                  <c:v>28</c:v>
                </c:pt>
                <c:pt idx="43">
                  <c:v>47</c:v>
                </c:pt>
                <c:pt idx="44">
                  <c:v>52</c:v>
                </c:pt>
                <c:pt idx="45">
                  <c:v>74</c:v>
                </c:pt>
                <c:pt idx="46">
                  <c:v>57</c:v>
                </c:pt>
                <c:pt idx="47">
                  <c:v>72</c:v>
                </c:pt>
                <c:pt idx="48">
                  <c:v>47</c:v>
                </c:pt>
                <c:pt idx="49">
                  <c:v>45</c:v>
                </c:pt>
                <c:pt idx="50">
                  <c:v>46</c:v>
                </c:pt>
                <c:pt idx="51">
                  <c:v>65</c:v>
                </c:pt>
                <c:pt idx="52">
                  <c:v>66</c:v>
                </c:pt>
                <c:pt idx="53">
                  <c:v>58</c:v>
                </c:pt>
                <c:pt idx="54">
                  <c:v>65</c:v>
                </c:pt>
                <c:pt idx="55">
                  <c:v>66</c:v>
                </c:pt>
                <c:pt idx="56">
                  <c:v>64</c:v>
                </c:pt>
                <c:pt idx="57">
                  <c:v>55</c:v>
                </c:pt>
                <c:pt idx="58">
                  <c:v>48</c:v>
                </c:pt>
                <c:pt idx="59">
                  <c:v>51</c:v>
                </c:pt>
                <c:pt idx="60">
                  <c:v>73</c:v>
                </c:pt>
                <c:pt idx="61">
                  <c:v>58</c:v>
                </c:pt>
                <c:pt idx="62">
                  <c:v>50</c:v>
                </c:pt>
                <c:pt idx="63">
                  <c:v>33</c:v>
                </c:pt>
                <c:pt idx="64">
                  <c:v>50</c:v>
                </c:pt>
                <c:pt idx="65">
                  <c:v>46</c:v>
                </c:pt>
                <c:pt idx="66">
                  <c:v>33</c:v>
                </c:pt>
                <c:pt idx="67">
                  <c:v>44</c:v>
                </c:pt>
                <c:pt idx="68">
                  <c:v>46</c:v>
                </c:pt>
                <c:pt idx="69">
                  <c:v>42</c:v>
                </c:pt>
                <c:pt idx="70">
                  <c:v>19</c:v>
                </c:pt>
                <c:pt idx="71">
                  <c:v>43</c:v>
                </c:pt>
                <c:pt idx="72">
                  <c:v>50</c:v>
                </c:pt>
                <c:pt idx="73">
                  <c:v>35</c:v>
                </c:pt>
                <c:pt idx="74">
                  <c:v>44</c:v>
                </c:pt>
                <c:pt idx="75">
                  <c:v>44</c:v>
                </c:pt>
                <c:pt idx="76">
                  <c:v>35</c:v>
                </c:pt>
                <c:pt idx="77">
                  <c:v>41</c:v>
                </c:pt>
                <c:pt idx="78">
                  <c:v>29</c:v>
                </c:pt>
                <c:pt idx="79">
                  <c:v>29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32</c:v>
                </c:pt>
                <c:pt idx="85">
                  <c:v>27</c:v>
                </c:pt>
                <c:pt idx="86">
                  <c:v>47</c:v>
                </c:pt>
                <c:pt idx="87">
                  <c:v>33</c:v>
                </c:pt>
                <c:pt idx="88">
                  <c:v>32</c:v>
                </c:pt>
                <c:pt idx="89">
                  <c:v>25</c:v>
                </c:pt>
                <c:pt idx="90">
                  <c:v>31</c:v>
                </c:pt>
                <c:pt idx="91">
                  <c:v>25</c:v>
                </c:pt>
                <c:pt idx="92">
                  <c:v>38</c:v>
                </c:pt>
                <c:pt idx="93">
                  <c:v>63</c:v>
                </c:pt>
                <c:pt idx="94">
                  <c:v>34</c:v>
                </c:pt>
                <c:pt idx="95">
                  <c:v>26</c:v>
                </c:pt>
                <c:pt idx="96">
                  <c:v>26</c:v>
                </c:pt>
                <c:pt idx="97">
                  <c:v>45</c:v>
                </c:pt>
                <c:pt idx="98">
                  <c:v>36</c:v>
                </c:pt>
                <c:pt idx="99">
                  <c:v>36</c:v>
                </c:pt>
                <c:pt idx="100">
                  <c:v>35</c:v>
                </c:pt>
                <c:pt idx="101">
                  <c:v>31</c:v>
                </c:pt>
                <c:pt idx="102">
                  <c:v>23</c:v>
                </c:pt>
                <c:pt idx="103">
                  <c:v>29</c:v>
                </c:pt>
                <c:pt idx="104">
                  <c:v>18</c:v>
                </c:pt>
                <c:pt idx="105">
                  <c:v>18</c:v>
                </c:pt>
                <c:pt idx="106">
                  <c:v>57</c:v>
                </c:pt>
                <c:pt idx="107">
                  <c:v>48</c:v>
                </c:pt>
                <c:pt idx="108">
                  <c:v>53</c:v>
                </c:pt>
                <c:pt idx="109">
                  <c:v>41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32</c:v>
                </c:pt>
                <c:pt idx="122">
                  <c:v>22</c:v>
                </c:pt>
                <c:pt idx="123">
                  <c:v>22</c:v>
                </c:pt>
                <c:pt idx="124">
                  <c:v>24</c:v>
                </c:pt>
                <c:pt idx="125">
                  <c:v>32</c:v>
                </c:pt>
                <c:pt idx="126">
                  <c:v>23</c:v>
                </c:pt>
                <c:pt idx="127">
                  <c:v>19</c:v>
                </c:pt>
                <c:pt idx="128">
                  <c:v>29</c:v>
                </c:pt>
                <c:pt idx="129">
                  <c:v>23</c:v>
                </c:pt>
                <c:pt idx="130">
                  <c:v>36</c:v>
                </c:pt>
                <c:pt idx="131">
                  <c:v>47</c:v>
                </c:pt>
                <c:pt idx="132">
                  <c:v>28</c:v>
                </c:pt>
                <c:pt idx="133">
                  <c:v>28</c:v>
                </c:pt>
                <c:pt idx="134">
                  <c:v>39</c:v>
                </c:pt>
                <c:pt idx="135">
                  <c:v>54</c:v>
                </c:pt>
                <c:pt idx="136">
                  <c:v>35</c:v>
                </c:pt>
                <c:pt idx="137">
                  <c:v>24</c:v>
                </c:pt>
                <c:pt idx="138">
                  <c:v>30</c:v>
                </c:pt>
                <c:pt idx="139">
                  <c:v>24</c:v>
                </c:pt>
                <c:pt idx="140">
                  <c:v>24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19</c:v>
                </c:pt>
                <c:pt idx="147">
                  <c:v>17</c:v>
                </c:pt>
                <c:pt idx="148">
                  <c:v>17</c:v>
                </c:pt>
                <c:pt idx="149">
                  <c:v>16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17</c:v>
                </c:pt>
                <c:pt idx="161">
                  <c:v>17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17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23</c:v>
                </c:pt>
                <c:pt idx="180">
                  <c:v>24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27</c:v>
                </c:pt>
                <c:pt idx="186">
                  <c:v>17</c:v>
                </c:pt>
                <c:pt idx="187">
                  <c:v>19</c:v>
                </c:pt>
                <c:pt idx="188">
                  <c:v>19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30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28</c:v>
                </c:pt>
                <c:pt idx="206">
                  <c:v>28</c:v>
                </c:pt>
                <c:pt idx="207">
                  <c:v>24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23</c:v>
                </c:pt>
                <c:pt idx="212">
                  <c:v>21</c:v>
                </c:pt>
                <c:pt idx="213">
                  <c:v>34</c:v>
                </c:pt>
                <c:pt idx="214">
                  <c:v>24</c:v>
                </c:pt>
                <c:pt idx="215">
                  <c:v>21</c:v>
                </c:pt>
                <c:pt idx="216">
                  <c:v>30</c:v>
                </c:pt>
                <c:pt idx="217">
                  <c:v>22</c:v>
                </c:pt>
                <c:pt idx="218">
                  <c:v>30</c:v>
                </c:pt>
                <c:pt idx="219">
                  <c:v>30</c:v>
                </c:pt>
                <c:pt idx="220">
                  <c:v>33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24</c:v>
                </c:pt>
                <c:pt idx="227">
                  <c:v>23</c:v>
                </c:pt>
                <c:pt idx="228">
                  <c:v>23</c:v>
                </c:pt>
                <c:pt idx="229">
                  <c:v>30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23</c:v>
                </c:pt>
                <c:pt idx="239">
                  <c:v>24</c:v>
                </c:pt>
                <c:pt idx="240">
                  <c:v>29</c:v>
                </c:pt>
                <c:pt idx="241">
                  <c:v>19</c:v>
                </c:pt>
                <c:pt idx="242">
                  <c:v>19</c:v>
                </c:pt>
                <c:pt idx="243">
                  <c:v>22</c:v>
                </c:pt>
                <c:pt idx="244">
                  <c:v>24</c:v>
                </c:pt>
                <c:pt idx="245">
                  <c:v>27</c:v>
                </c:pt>
                <c:pt idx="246">
                  <c:v>26</c:v>
                </c:pt>
                <c:pt idx="247">
                  <c:v>35</c:v>
                </c:pt>
                <c:pt idx="248">
                  <c:v>18</c:v>
                </c:pt>
                <c:pt idx="249">
                  <c:v>17</c:v>
                </c:pt>
                <c:pt idx="250">
                  <c:v>17</c:v>
                </c:pt>
                <c:pt idx="251">
                  <c:v>22</c:v>
                </c:pt>
                <c:pt idx="252">
                  <c:v>17</c:v>
                </c:pt>
                <c:pt idx="253">
                  <c:v>15</c:v>
                </c:pt>
                <c:pt idx="254">
                  <c:v>17</c:v>
                </c:pt>
                <c:pt idx="255">
                  <c:v>15</c:v>
                </c:pt>
                <c:pt idx="256">
                  <c:v>32</c:v>
                </c:pt>
                <c:pt idx="257">
                  <c:v>29</c:v>
                </c:pt>
                <c:pt idx="258">
                  <c:v>26</c:v>
                </c:pt>
                <c:pt idx="259">
                  <c:v>28</c:v>
                </c:pt>
                <c:pt idx="260">
                  <c:v>27</c:v>
                </c:pt>
                <c:pt idx="261">
                  <c:v>23</c:v>
                </c:pt>
                <c:pt idx="262">
                  <c:v>22</c:v>
                </c:pt>
                <c:pt idx="263">
                  <c:v>35</c:v>
                </c:pt>
                <c:pt idx="264">
                  <c:v>21</c:v>
                </c:pt>
                <c:pt idx="265">
                  <c:v>36</c:v>
                </c:pt>
                <c:pt idx="266">
                  <c:v>20</c:v>
                </c:pt>
                <c:pt idx="267">
                  <c:v>29</c:v>
                </c:pt>
                <c:pt idx="268">
                  <c:v>29</c:v>
                </c:pt>
                <c:pt idx="269">
                  <c:v>20</c:v>
                </c:pt>
                <c:pt idx="270">
                  <c:v>23</c:v>
                </c:pt>
                <c:pt idx="271">
                  <c:v>32</c:v>
                </c:pt>
                <c:pt idx="272">
                  <c:v>36</c:v>
                </c:pt>
                <c:pt idx="273">
                  <c:v>20</c:v>
                </c:pt>
                <c:pt idx="274">
                  <c:v>44</c:v>
                </c:pt>
                <c:pt idx="275">
                  <c:v>44</c:v>
                </c:pt>
                <c:pt idx="276">
                  <c:v>59</c:v>
                </c:pt>
                <c:pt idx="277">
                  <c:v>48</c:v>
                </c:pt>
                <c:pt idx="278">
                  <c:v>46</c:v>
                </c:pt>
                <c:pt idx="279">
                  <c:v>46</c:v>
                </c:pt>
                <c:pt idx="280">
                  <c:v>47</c:v>
                </c:pt>
                <c:pt idx="281">
                  <c:v>49</c:v>
                </c:pt>
                <c:pt idx="282">
                  <c:v>56</c:v>
                </c:pt>
                <c:pt idx="283">
                  <c:v>52</c:v>
                </c:pt>
                <c:pt idx="284">
                  <c:v>56</c:v>
                </c:pt>
                <c:pt idx="285">
                  <c:v>61</c:v>
                </c:pt>
                <c:pt idx="286">
                  <c:v>56</c:v>
                </c:pt>
                <c:pt idx="287">
                  <c:v>48</c:v>
                </c:pt>
                <c:pt idx="288">
                  <c:v>33</c:v>
                </c:pt>
                <c:pt idx="289">
                  <c:v>38</c:v>
                </c:pt>
                <c:pt idx="290">
                  <c:v>40</c:v>
                </c:pt>
                <c:pt idx="291">
                  <c:v>28</c:v>
                </c:pt>
                <c:pt idx="292">
                  <c:v>29</c:v>
                </c:pt>
                <c:pt idx="293">
                  <c:v>27</c:v>
                </c:pt>
                <c:pt idx="294">
                  <c:v>32</c:v>
                </c:pt>
                <c:pt idx="295">
                  <c:v>37</c:v>
                </c:pt>
                <c:pt idx="296">
                  <c:v>56</c:v>
                </c:pt>
                <c:pt idx="297">
                  <c:v>42</c:v>
                </c:pt>
                <c:pt idx="298">
                  <c:v>22</c:v>
                </c:pt>
                <c:pt idx="299">
                  <c:v>38</c:v>
                </c:pt>
                <c:pt idx="300">
                  <c:v>27</c:v>
                </c:pt>
                <c:pt idx="301">
                  <c:v>21</c:v>
                </c:pt>
                <c:pt idx="302">
                  <c:v>21</c:v>
                </c:pt>
                <c:pt idx="303">
                  <c:v>44</c:v>
                </c:pt>
                <c:pt idx="304">
                  <c:v>26</c:v>
                </c:pt>
                <c:pt idx="305">
                  <c:v>25</c:v>
                </c:pt>
                <c:pt idx="306">
                  <c:v>47</c:v>
                </c:pt>
                <c:pt idx="307">
                  <c:v>43</c:v>
                </c:pt>
                <c:pt idx="308">
                  <c:v>43</c:v>
                </c:pt>
                <c:pt idx="309">
                  <c:v>51</c:v>
                </c:pt>
                <c:pt idx="310">
                  <c:v>39</c:v>
                </c:pt>
                <c:pt idx="311">
                  <c:v>31</c:v>
                </c:pt>
                <c:pt idx="312">
                  <c:v>52</c:v>
                </c:pt>
                <c:pt idx="313">
                  <c:v>48</c:v>
                </c:pt>
                <c:pt idx="314">
                  <c:v>42</c:v>
                </c:pt>
                <c:pt idx="315">
                  <c:v>24</c:v>
                </c:pt>
                <c:pt idx="316">
                  <c:v>23</c:v>
                </c:pt>
                <c:pt idx="317">
                  <c:v>18</c:v>
                </c:pt>
                <c:pt idx="318">
                  <c:v>18</c:v>
                </c:pt>
                <c:pt idx="319">
                  <c:v>19</c:v>
                </c:pt>
                <c:pt idx="320">
                  <c:v>21</c:v>
                </c:pt>
                <c:pt idx="321">
                  <c:v>21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23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23</c:v>
                </c:pt>
                <c:pt idx="349">
                  <c:v>23</c:v>
                </c:pt>
                <c:pt idx="350" formatCode="0.0">
                  <c:v>15</c:v>
                </c:pt>
                <c:pt idx="351" formatCode="0.0">
                  <c:v>15</c:v>
                </c:pt>
                <c:pt idx="352" formatCode="0.0">
                  <c:v>15</c:v>
                </c:pt>
                <c:pt idx="353" formatCode="0.0">
                  <c:v>33</c:v>
                </c:pt>
                <c:pt idx="354" formatCode="0.0">
                  <c:v>41</c:v>
                </c:pt>
                <c:pt idx="356" formatCode="0.0">
                  <c:v>30</c:v>
                </c:pt>
                <c:pt idx="357" formatCode="0.0">
                  <c:v>13</c:v>
                </c:pt>
                <c:pt idx="358" formatCode="0.0">
                  <c:v>17</c:v>
                </c:pt>
                <c:pt idx="359" formatCode="0.0">
                  <c:v>18</c:v>
                </c:pt>
                <c:pt idx="360" formatCode="0.0">
                  <c:v>17</c:v>
                </c:pt>
                <c:pt idx="361" formatCode="0.0">
                  <c:v>20</c:v>
                </c:pt>
                <c:pt idx="362" formatCode="0.0">
                  <c:v>19</c:v>
                </c:pt>
                <c:pt idx="363" formatCode="0.0">
                  <c:v>21</c:v>
                </c:pt>
                <c:pt idx="364" formatCode="0.0">
                  <c:v>17</c:v>
                </c:pt>
                <c:pt idx="365" formatCode="0.0">
                  <c:v>17</c:v>
                </c:pt>
                <c:pt idx="366" formatCode="0.0">
                  <c:v>17</c:v>
                </c:pt>
                <c:pt idx="367" formatCode="0.0">
                  <c:v>26</c:v>
                </c:pt>
                <c:pt idx="368" formatCode="0.0">
                  <c:v>23</c:v>
                </c:pt>
                <c:pt idx="369" formatCode="0.0">
                  <c:v>19</c:v>
                </c:pt>
                <c:pt idx="370" formatCode="0.0">
                  <c:v>24</c:v>
                </c:pt>
                <c:pt idx="371" formatCode="0.0">
                  <c:v>24</c:v>
                </c:pt>
                <c:pt idx="372" formatCode="0.0">
                  <c:v>19</c:v>
                </c:pt>
                <c:pt idx="373" formatCode="0.0">
                  <c:v>28</c:v>
                </c:pt>
                <c:pt idx="374" formatCode="0.0">
                  <c:v>18</c:v>
                </c:pt>
                <c:pt idx="375" formatCode="0.0">
                  <c:v>30</c:v>
                </c:pt>
                <c:pt idx="376" formatCode="0.0">
                  <c:v>23</c:v>
                </c:pt>
                <c:pt idx="377" formatCode="0.0">
                  <c:v>18</c:v>
                </c:pt>
                <c:pt idx="378" formatCode="0.0">
                  <c:v>21</c:v>
                </c:pt>
                <c:pt idx="379" formatCode="0.0">
                  <c:v>17</c:v>
                </c:pt>
                <c:pt idx="380" formatCode="0.0">
                  <c:v>18</c:v>
                </c:pt>
                <c:pt idx="381" formatCode="0.0">
                  <c:v>18</c:v>
                </c:pt>
                <c:pt idx="382" formatCode="0.0">
                  <c:v>16</c:v>
                </c:pt>
                <c:pt idx="383" formatCode="0.0">
                  <c:v>16</c:v>
                </c:pt>
                <c:pt idx="384" formatCode="0.0">
                  <c:v>16</c:v>
                </c:pt>
                <c:pt idx="385" formatCode="0.0">
                  <c:v>16</c:v>
                </c:pt>
                <c:pt idx="386" formatCode="0.0">
                  <c:v>17</c:v>
                </c:pt>
                <c:pt idx="387" formatCode="0.0">
                  <c:v>17</c:v>
                </c:pt>
                <c:pt idx="388" formatCode="0.0">
                  <c:v>17</c:v>
                </c:pt>
                <c:pt idx="389" formatCode="0.0">
                  <c:v>18</c:v>
                </c:pt>
                <c:pt idx="390" formatCode="0.0">
                  <c:v>19</c:v>
                </c:pt>
                <c:pt idx="391" formatCode="0.0">
                  <c:v>25</c:v>
                </c:pt>
                <c:pt idx="392" formatCode="0.0">
                  <c:v>18</c:v>
                </c:pt>
                <c:pt idx="393" formatCode="0.0">
                  <c:v>29</c:v>
                </c:pt>
                <c:pt idx="394" formatCode="0.0">
                  <c:v>24</c:v>
                </c:pt>
                <c:pt idx="395" formatCode="0.0">
                  <c:v>21</c:v>
                </c:pt>
                <c:pt idx="396" formatCode="0.0">
                  <c:v>23</c:v>
                </c:pt>
                <c:pt idx="397" formatCode="0.0">
                  <c:v>30</c:v>
                </c:pt>
                <c:pt idx="398" formatCode="0.0">
                  <c:v>28</c:v>
                </c:pt>
                <c:pt idx="399" formatCode="0.0">
                  <c:v>25</c:v>
                </c:pt>
                <c:pt idx="400" formatCode="0.0">
                  <c:v>28</c:v>
                </c:pt>
                <c:pt idx="401" formatCode="0.0">
                  <c:v>28</c:v>
                </c:pt>
                <c:pt idx="402" formatCode="0.0">
                  <c:v>27</c:v>
                </c:pt>
                <c:pt idx="403" formatCode="0.0">
                  <c:v>30</c:v>
                </c:pt>
                <c:pt idx="404" formatCode="0.0">
                  <c:v>27</c:v>
                </c:pt>
                <c:pt idx="405" formatCode="0.0">
                  <c:v>27</c:v>
                </c:pt>
                <c:pt idx="406" formatCode="0.0">
                  <c:v>29</c:v>
                </c:pt>
                <c:pt idx="407" formatCode="0.0">
                  <c:v>26</c:v>
                </c:pt>
                <c:pt idx="408" formatCode="0.0">
                  <c:v>26</c:v>
                </c:pt>
                <c:pt idx="409" formatCode="0.0">
                  <c:v>26</c:v>
                </c:pt>
                <c:pt idx="410" formatCode="0.0">
                  <c:v>26</c:v>
                </c:pt>
                <c:pt idx="411" formatCode="0.0">
                  <c:v>19</c:v>
                </c:pt>
                <c:pt idx="412" formatCode="0.0">
                  <c:v>20</c:v>
                </c:pt>
                <c:pt idx="413" formatCode="0.0">
                  <c:v>17</c:v>
                </c:pt>
                <c:pt idx="414" formatCode="0.0">
                  <c:v>24</c:v>
                </c:pt>
                <c:pt idx="415" formatCode="0.0">
                  <c:v>14</c:v>
                </c:pt>
                <c:pt idx="416" formatCode="0.0">
                  <c:v>20</c:v>
                </c:pt>
                <c:pt idx="417" formatCode="0.0">
                  <c:v>27</c:v>
                </c:pt>
                <c:pt idx="418" formatCode="0.0">
                  <c:v>24</c:v>
                </c:pt>
                <c:pt idx="419" formatCode="0.0">
                  <c:v>30</c:v>
                </c:pt>
                <c:pt idx="420" formatCode="0.0">
                  <c:v>36</c:v>
                </c:pt>
                <c:pt idx="421" formatCode="0.0">
                  <c:v>30</c:v>
                </c:pt>
                <c:pt idx="422" formatCode="0.0">
                  <c:v>21</c:v>
                </c:pt>
                <c:pt idx="423" formatCode="0.0">
                  <c:v>23</c:v>
                </c:pt>
                <c:pt idx="424" formatCode="0.0">
                  <c:v>28</c:v>
                </c:pt>
                <c:pt idx="425" formatCode="0.0">
                  <c:v>26</c:v>
                </c:pt>
                <c:pt idx="426" formatCode="0.0">
                  <c:v>24</c:v>
                </c:pt>
                <c:pt idx="427" formatCode="0.0">
                  <c:v>33</c:v>
                </c:pt>
                <c:pt idx="428" formatCode="0.0">
                  <c:v>27</c:v>
                </c:pt>
                <c:pt idx="429" formatCode="0.0">
                  <c:v>23</c:v>
                </c:pt>
                <c:pt idx="430" formatCode="0.0">
                  <c:v>30</c:v>
                </c:pt>
                <c:pt idx="431" formatCode="0.0">
                  <c:v>32</c:v>
                </c:pt>
                <c:pt idx="432" formatCode="0.0">
                  <c:v>32</c:v>
                </c:pt>
                <c:pt idx="433" formatCode="0.0">
                  <c:v>24</c:v>
                </c:pt>
                <c:pt idx="434" formatCode="0.0">
                  <c:v>29</c:v>
                </c:pt>
                <c:pt idx="435" formatCode="0.0">
                  <c:v>24</c:v>
                </c:pt>
                <c:pt idx="436" formatCode="0.0">
                  <c:v>29</c:v>
                </c:pt>
                <c:pt idx="437" formatCode="0.0">
                  <c:v>23</c:v>
                </c:pt>
                <c:pt idx="438" formatCode="0.0">
                  <c:v>26</c:v>
                </c:pt>
                <c:pt idx="439" formatCode="0.0">
                  <c:v>29</c:v>
                </c:pt>
                <c:pt idx="440" formatCode="0.0">
                  <c:v>30</c:v>
                </c:pt>
                <c:pt idx="441" formatCode="0.0">
                  <c:v>20</c:v>
                </c:pt>
                <c:pt idx="442" formatCode="0.0">
                  <c:v>22</c:v>
                </c:pt>
                <c:pt idx="443" formatCode="0.0">
                  <c:v>20</c:v>
                </c:pt>
                <c:pt idx="444" formatCode="0.0">
                  <c:v>28</c:v>
                </c:pt>
                <c:pt idx="445" formatCode="0.0">
                  <c:v>29</c:v>
                </c:pt>
                <c:pt idx="446" formatCode="0.0">
                  <c:v>17</c:v>
                </c:pt>
                <c:pt idx="447" formatCode="0.0">
                  <c:v>17</c:v>
                </c:pt>
                <c:pt idx="448" formatCode="0.0">
                  <c:v>17</c:v>
                </c:pt>
                <c:pt idx="449" formatCode="0.0">
                  <c:v>17</c:v>
                </c:pt>
                <c:pt idx="450" formatCode="0.0">
                  <c:v>23</c:v>
                </c:pt>
                <c:pt idx="451" formatCode="0.0">
                  <c:v>34</c:v>
                </c:pt>
                <c:pt idx="452" formatCode="0.0">
                  <c:v>35</c:v>
                </c:pt>
                <c:pt idx="453" formatCode="0.0">
                  <c:v>31</c:v>
                </c:pt>
                <c:pt idx="454" formatCode="0.0">
                  <c:v>25</c:v>
                </c:pt>
                <c:pt idx="455" formatCode="0.0">
                  <c:v>19</c:v>
                </c:pt>
                <c:pt idx="456" formatCode="0.0">
                  <c:v>34</c:v>
                </c:pt>
                <c:pt idx="458" formatCode="0.0">
                  <c:v>22</c:v>
                </c:pt>
                <c:pt idx="459" formatCode="0.0">
                  <c:v>33</c:v>
                </c:pt>
                <c:pt idx="460" formatCode="0.0">
                  <c:v>26</c:v>
                </c:pt>
                <c:pt idx="461" formatCode="0.0">
                  <c:v>30</c:v>
                </c:pt>
                <c:pt idx="462" formatCode="0.0">
                  <c:v>27</c:v>
                </c:pt>
                <c:pt idx="463" formatCode="0.0">
                  <c:v>20</c:v>
                </c:pt>
                <c:pt idx="464" formatCode="0.0">
                  <c:v>34</c:v>
                </c:pt>
                <c:pt idx="465" formatCode="0.0">
                  <c:v>32</c:v>
                </c:pt>
                <c:pt idx="466" formatCode="0.0">
                  <c:v>35</c:v>
                </c:pt>
                <c:pt idx="467" formatCode="0.0">
                  <c:v>21</c:v>
                </c:pt>
                <c:pt idx="468" formatCode="0.0">
                  <c:v>23</c:v>
                </c:pt>
                <c:pt idx="469" formatCode="0.0">
                  <c:v>24</c:v>
                </c:pt>
                <c:pt idx="470" formatCode="0.0">
                  <c:v>#N/A</c:v>
                </c:pt>
                <c:pt idx="471" formatCode="0.0">
                  <c:v>0</c:v>
                </c:pt>
                <c:pt idx="472" formatCode="0.0">
                  <c:v>0</c:v>
                </c:pt>
                <c:pt idx="473" formatCode="0.0">
                  <c:v>0</c:v>
                </c:pt>
                <c:pt idx="474" formatCode="0.0">
                  <c:v>0</c:v>
                </c:pt>
                <c:pt idx="475" formatCode="0.0">
                  <c:v>0</c:v>
                </c:pt>
                <c:pt idx="476" formatCode="0.0">
                  <c:v>0</c:v>
                </c:pt>
                <c:pt idx="477" formatCode="0.0">
                  <c:v>0</c:v>
                </c:pt>
                <c:pt idx="478" formatCode="0.0">
                  <c:v>0</c:v>
                </c:pt>
                <c:pt idx="479" formatCode="0.0">
                  <c:v>0</c:v>
                </c:pt>
                <c:pt idx="480" formatCode="0.0">
                  <c:v>0</c:v>
                </c:pt>
                <c:pt idx="481" formatCode="0.0">
                  <c:v>0</c:v>
                </c:pt>
                <c:pt idx="482" formatCode="0.0">
                  <c:v>0</c:v>
                </c:pt>
                <c:pt idx="483" formatCode="0.0">
                  <c:v>0</c:v>
                </c:pt>
                <c:pt idx="484" formatCode="0.0">
                  <c:v>0</c:v>
                </c:pt>
                <c:pt idx="485" formatCode="0.0">
                  <c:v>#N/A</c:v>
                </c:pt>
                <c:pt idx="486" formatCode="0.0">
                  <c:v>#N/A</c:v>
                </c:pt>
                <c:pt idx="487" formatCode="0.0">
                  <c:v>0</c:v>
                </c:pt>
                <c:pt idx="488" formatCode="0.0">
                  <c:v>0</c:v>
                </c:pt>
                <c:pt idx="489" formatCode="0.0">
                  <c:v>0</c:v>
                </c:pt>
                <c:pt idx="490" formatCode="0.0">
                  <c:v>0</c:v>
                </c:pt>
                <c:pt idx="491" formatCode="0.0">
                  <c:v>#N/A</c:v>
                </c:pt>
                <c:pt idx="492" formatCode="0.0">
                  <c:v>#N/A</c:v>
                </c:pt>
                <c:pt idx="493" formatCode="0.0">
                  <c:v>#N/A</c:v>
                </c:pt>
                <c:pt idx="494" formatCode="0.0">
                  <c:v>#N/A</c:v>
                </c:pt>
                <c:pt idx="495" formatCode="0.0">
                  <c:v>#N/A</c:v>
                </c:pt>
                <c:pt idx="496" formatCode="0.0">
                  <c:v>#N/A</c:v>
                </c:pt>
                <c:pt idx="497" formatCode="0.0">
                  <c:v>#N/A</c:v>
                </c:pt>
                <c:pt idx="498" formatCode="0.0">
                  <c:v>#N/A</c:v>
                </c:pt>
                <c:pt idx="499" formatCode="0.0">
                  <c:v>#N/A</c:v>
                </c:pt>
                <c:pt idx="500" formatCode="0.0">
                  <c:v>#N/A</c:v>
                </c:pt>
                <c:pt idx="501" formatCode="0.0">
                  <c:v>#N/A</c:v>
                </c:pt>
                <c:pt idx="502" formatCode="0.0">
                  <c:v>#N/A</c:v>
                </c:pt>
                <c:pt idx="503" formatCode="0.0">
                  <c:v>#N/A</c:v>
                </c:pt>
                <c:pt idx="504" formatCode="0.0">
                  <c:v>#N/A</c:v>
                </c:pt>
                <c:pt idx="505">
                  <c:v>30</c:v>
                </c:pt>
                <c:pt idx="506">
                  <c:v>19</c:v>
                </c:pt>
                <c:pt idx="507">
                  <c:v>21</c:v>
                </c:pt>
                <c:pt idx="508">
                  <c:v>19</c:v>
                </c:pt>
                <c:pt idx="509">
                  <c:v>26</c:v>
                </c:pt>
                <c:pt idx="510">
                  <c:v>31</c:v>
                </c:pt>
                <c:pt idx="511">
                  <c:v>26</c:v>
                </c:pt>
                <c:pt idx="512">
                  <c:v>32</c:v>
                </c:pt>
                <c:pt idx="513">
                  <c:v>51</c:v>
                </c:pt>
                <c:pt idx="514">
                  <c:v>24</c:v>
                </c:pt>
                <c:pt idx="515">
                  <c:v>20</c:v>
                </c:pt>
                <c:pt idx="516">
                  <c:v>19</c:v>
                </c:pt>
                <c:pt idx="517">
                  <c:v>30</c:v>
                </c:pt>
                <c:pt idx="518">
                  <c:v>43</c:v>
                </c:pt>
                <c:pt idx="519">
                  <c:v>42</c:v>
                </c:pt>
                <c:pt idx="520">
                  <c:v>51</c:v>
                </c:pt>
                <c:pt idx="521">
                  <c:v>42</c:v>
                </c:pt>
                <c:pt idx="522">
                  <c:v>28</c:v>
                </c:pt>
                <c:pt idx="523">
                  <c:v>26</c:v>
                </c:pt>
                <c:pt idx="524">
                  <c:v>27</c:v>
                </c:pt>
                <c:pt idx="525">
                  <c:v>27</c:v>
                </c:pt>
                <c:pt idx="526">
                  <c:v>21</c:v>
                </c:pt>
                <c:pt idx="527">
                  <c:v>30</c:v>
                </c:pt>
                <c:pt idx="528">
                  <c:v>27</c:v>
                </c:pt>
                <c:pt idx="529">
                  <c:v>24</c:v>
                </c:pt>
                <c:pt idx="530">
                  <c:v>30</c:v>
                </c:pt>
                <c:pt idx="531">
                  <c:v>56</c:v>
                </c:pt>
                <c:pt idx="532">
                  <c:v>38</c:v>
                </c:pt>
                <c:pt idx="533">
                  <c:v>50</c:v>
                </c:pt>
                <c:pt idx="534">
                  <c:v>27</c:v>
                </c:pt>
                <c:pt idx="535">
                  <c:v>18</c:v>
                </c:pt>
                <c:pt idx="536">
                  <c:v>37</c:v>
                </c:pt>
                <c:pt idx="537">
                  <c:v>17</c:v>
                </c:pt>
                <c:pt idx="538">
                  <c:v>14</c:v>
                </c:pt>
                <c:pt idx="539">
                  <c:v>21</c:v>
                </c:pt>
                <c:pt idx="540">
                  <c:v>29</c:v>
                </c:pt>
                <c:pt idx="541">
                  <c:v>28</c:v>
                </c:pt>
                <c:pt idx="542">
                  <c:v>25</c:v>
                </c:pt>
                <c:pt idx="543">
                  <c:v>33</c:v>
                </c:pt>
                <c:pt idx="544">
                  <c:v>19</c:v>
                </c:pt>
                <c:pt idx="545">
                  <c:v>27</c:v>
                </c:pt>
                <c:pt idx="546">
                  <c:v>38</c:v>
                </c:pt>
                <c:pt idx="547">
                  <c:v>34</c:v>
                </c:pt>
                <c:pt idx="548">
                  <c:v>39</c:v>
                </c:pt>
                <c:pt idx="549">
                  <c:v>34</c:v>
                </c:pt>
                <c:pt idx="550">
                  <c:v>37</c:v>
                </c:pt>
                <c:pt idx="551">
                  <c:v>32</c:v>
                </c:pt>
                <c:pt idx="552">
                  <c:v>35</c:v>
                </c:pt>
                <c:pt idx="553">
                  <c:v>39</c:v>
                </c:pt>
                <c:pt idx="554">
                  <c:v>30</c:v>
                </c:pt>
                <c:pt idx="555">
                  <c:v>35</c:v>
                </c:pt>
                <c:pt idx="556">
                  <c:v>24</c:v>
                </c:pt>
                <c:pt idx="557">
                  <c:v>22</c:v>
                </c:pt>
                <c:pt idx="558">
                  <c:v>27</c:v>
                </c:pt>
                <c:pt idx="559">
                  <c:v>29</c:v>
                </c:pt>
                <c:pt idx="560">
                  <c:v>17</c:v>
                </c:pt>
                <c:pt idx="561">
                  <c:v>20</c:v>
                </c:pt>
                <c:pt idx="562">
                  <c:v>20</c:v>
                </c:pt>
                <c:pt idx="563">
                  <c:v>27</c:v>
                </c:pt>
                <c:pt idx="564">
                  <c:v>28</c:v>
                </c:pt>
                <c:pt idx="565">
                  <c:v>30</c:v>
                </c:pt>
                <c:pt idx="566">
                  <c:v>31</c:v>
                </c:pt>
                <c:pt idx="567">
                  <c:v>41</c:v>
                </c:pt>
                <c:pt idx="568">
                  <c:v>41</c:v>
                </c:pt>
                <c:pt idx="569">
                  <c:v>39</c:v>
                </c:pt>
                <c:pt idx="570">
                  <c:v>48</c:v>
                </c:pt>
                <c:pt idx="571">
                  <c:v>34</c:v>
                </c:pt>
                <c:pt idx="572">
                  <c:v>22</c:v>
                </c:pt>
                <c:pt idx="573">
                  <c:v>23</c:v>
                </c:pt>
                <c:pt idx="574">
                  <c:v>20</c:v>
                </c:pt>
                <c:pt idx="575">
                  <c:v>24</c:v>
                </c:pt>
                <c:pt idx="576">
                  <c:v>27</c:v>
                </c:pt>
                <c:pt idx="577">
                  <c:v>15</c:v>
                </c:pt>
                <c:pt idx="578">
                  <c:v>15</c:v>
                </c:pt>
                <c:pt idx="579">
                  <c:v>30</c:v>
                </c:pt>
                <c:pt idx="580">
                  <c:v>42</c:v>
                </c:pt>
                <c:pt idx="581">
                  <c:v>20</c:v>
                </c:pt>
                <c:pt idx="582">
                  <c:v>36</c:v>
                </c:pt>
                <c:pt idx="583">
                  <c:v>25</c:v>
                </c:pt>
                <c:pt idx="584">
                  <c:v>27</c:v>
                </c:pt>
                <c:pt idx="585" formatCode="0.0">
                  <c:v>18</c:v>
                </c:pt>
                <c:pt idx="586" formatCode="0.0">
                  <c:v>17</c:v>
                </c:pt>
                <c:pt idx="587" formatCode="0.0">
                  <c:v>17</c:v>
                </c:pt>
                <c:pt idx="588" formatCode="0.0">
                  <c:v>17</c:v>
                </c:pt>
                <c:pt idx="589" formatCode="0.0">
                  <c:v>17</c:v>
                </c:pt>
                <c:pt idx="590" formatCode="0.0">
                  <c:v>17</c:v>
                </c:pt>
                <c:pt idx="591" formatCode="0.0">
                  <c:v>17</c:v>
                </c:pt>
                <c:pt idx="592" formatCode="0.0">
                  <c:v>17</c:v>
                </c:pt>
                <c:pt idx="593" formatCode="0.0">
                  <c:v>17</c:v>
                </c:pt>
                <c:pt idx="594" formatCode="0.0">
                  <c:v>21</c:v>
                </c:pt>
                <c:pt idx="595" formatCode="0.0">
                  <c:v>38</c:v>
                </c:pt>
                <c:pt idx="596" formatCode="0.0">
                  <c:v>40</c:v>
                </c:pt>
                <c:pt idx="597" formatCode="0.0">
                  <c:v>24</c:v>
                </c:pt>
                <c:pt idx="598" formatCode="0.0">
                  <c:v>24</c:v>
                </c:pt>
                <c:pt idx="599" formatCode="0.0">
                  <c:v>23</c:v>
                </c:pt>
                <c:pt idx="600" formatCode="0.0">
                  <c:v>44</c:v>
                </c:pt>
                <c:pt idx="601" formatCode="0.0">
                  <c:v>40</c:v>
                </c:pt>
                <c:pt idx="602" formatCode="0.0">
                  <c:v>39</c:v>
                </c:pt>
                <c:pt idx="603" formatCode="0.0">
                  <c:v>41</c:v>
                </c:pt>
                <c:pt idx="604" formatCode="0.0">
                  <c:v>24</c:v>
                </c:pt>
                <c:pt idx="605" formatCode="0.0">
                  <c:v>45</c:v>
                </c:pt>
                <c:pt idx="606" formatCode="0.0">
                  <c:v>29</c:v>
                </c:pt>
                <c:pt idx="607" formatCode="0.0">
                  <c:v>23</c:v>
                </c:pt>
                <c:pt idx="608" formatCode="0.0">
                  <c:v>23</c:v>
                </c:pt>
                <c:pt idx="609" formatCode="0.0">
                  <c:v>23</c:v>
                </c:pt>
                <c:pt idx="610" formatCode="0.0">
                  <c:v>18</c:v>
                </c:pt>
                <c:pt idx="611" formatCode="0.0">
                  <c:v>18</c:v>
                </c:pt>
                <c:pt idx="612" formatCode="0.0">
                  <c:v>18</c:v>
                </c:pt>
                <c:pt idx="613" formatCode="0.0">
                  <c:v>33</c:v>
                </c:pt>
                <c:pt idx="614" formatCode="0.0">
                  <c:v>46</c:v>
                </c:pt>
                <c:pt idx="615" formatCode="0.0">
                  <c:v>45</c:v>
                </c:pt>
                <c:pt idx="616" formatCode="0.0">
                  <c:v>48</c:v>
                </c:pt>
                <c:pt idx="617" formatCode="0.0">
                  <c:v>40</c:v>
                </c:pt>
                <c:pt idx="618" formatCode="0.0">
                  <c:v>46</c:v>
                </c:pt>
                <c:pt idx="619" formatCode="0.0">
                  <c:v>40</c:v>
                </c:pt>
                <c:pt idx="620" formatCode="0.0">
                  <c:v>31</c:v>
                </c:pt>
                <c:pt idx="621" formatCode="0.0">
                  <c:v>37</c:v>
                </c:pt>
                <c:pt idx="622" formatCode="0.0">
                  <c:v>42</c:v>
                </c:pt>
                <c:pt idx="623" formatCode="0.0">
                  <c:v>50</c:v>
                </c:pt>
                <c:pt idx="624" formatCode="0.0">
                  <c:v>24</c:v>
                </c:pt>
                <c:pt idx="625" formatCode="0.0">
                  <c:v>26</c:v>
                </c:pt>
                <c:pt idx="626" formatCode="0.0">
                  <c:v>44</c:v>
                </c:pt>
                <c:pt idx="627" formatCode="0.0">
                  <c:v>33</c:v>
                </c:pt>
                <c:pt idx="628" formatCode="0.0">
                  <c:v>40</c:v>
                </c:pt>
                <c:pt idx="629" formatCode="0.0">
                  <c:v>45</c:v>
                </c:pt>
                <c:pt idx="630" formatCode="0.0">
                  <c:v>29</c:v>
                </c:pt>
                <c:pt idx="631" formatCode="0.0">
                  <c:v>29</c:v>
                </c:pt>
                <c:pt idx="632">
                  <c:v>43</c:v>
                </c:pt>
                <c:pt idx="633">
                  <c:v>44</c:v>
                </c:pt>
                <c:pt idx="634" formatCode="0.0">
                  <c:v>35</c:v>
                </c:pt>
                <c:pt idx="635" formatCode="0.0">
                  <c:v>20</c:v>
                </c:pt>
                <c:pt idx="636" formatCode="0.0">
                  <c:v>23</c:v>
                </c:pt>
                <c:pt idx="637" formatCode="0.0">
                  <c:v>21</c:v>
                </c:pt>
                <c:pt idx="638" formatCode="0.0">
                  <c:v>30</c:v>
                </c:pt>
                <c:pt idx="639" formatCode="0.0">
                  <c:v>38</c:v>
                </c:pt>
                <c:pt idx="640" formatCode="0.0">
                  <c:v>29</c:v>
                </c:pt>
                <c:pt idx="641" formatCode="0.0">
                  <c:v>36</c:v>
                </c:pt>
                <c:pt idx="642" formatCode="0.0">
                  <c:v>29</c:v>
                </c:pt>
                <c:pt idx="643" formatCode="0.0">
                  <c:v>38</c:v>
                </c:pt>
                <c:pt idx="644" formatCode="0.0">
                  <c:v>45</c:v>
                </c:pt>
                <c:pt idx="645" formatCode="0.0">
                  <c:v>38</c:v>
                </c:pt>
                <c:pt idx="646" formatCode="0.0">
                  <c:v>37</c:v>
                </c:pt>
                <c:pt idx="647" formatCode="0.0">
                  <c:v>28</c:v>
                </c:pt>
                <c:pt idx="648" formatCode="0.0">
                  <c:v>35</c:v>
                </c:pt>
                <c:pt idx="649" formatCode="0.0">
                  <c:v>25</c:v>
                </c:pt>
                <c:pt idx="650" formatCode="0.0">
                  <c:v>42</c:v>
                </c:pt>
                <c:pt idx="651" formatCode="0.0">
                  <c:v>25</c:v>
                </c:pt>
                <c:pt idx="652" formatCode="0.0">
                  <c:v>17</c:v>
                </c:pt>
                <c:pt idx="653">
                  <c:v>46</c:v>
                </c:pt>
                <c:pt idx="654">
                  <c:v>36</c:v>
                </c:pt>
                <c:pt idx="655">
                  <c:v>42</c:v>
                </c:pt>
                <c:pt idx="656" formatCode="0.0">
                  <c:v>50</c:v>
                </c:pt>
                <c:pt idx="657" formatCode="0.0">
                  <c:v>43</c:v>
                </c:pt>
                <c:pt idx="658" formatCode="0.0">
                  <c:v>21</c:v>
                </c:pt>
                <c:pt idx="659" formatCode="0.0">
                  <c:v>21</c:v>
                </c:pt>
                <c:pt idx="660" formatCode="0.0">
                  <c:v>22</c:v>
                </c:pt>
                <c:pt idx="661" formatCode="0.0">
                  <c:v>44</c:v>
                </c:pt>
                <c:pt idx="662" formatCode="0.0">
                  <c:v>26</c:v>
                </c:pt>
                <c:pt idx="663" formatCode="0.0">
                  <c:v>21</c:v>
                </c:pt>
                <c:pt idx="664" formatCode="0.0">
                  <c:v>32</c:v>
                </c:pt>
                <c:pt idx="665" formatCode="0.0">
                  <c:v>27</c:v>
                </c:pt>
                <c:pt idx="666" formatCode="0.0">
                  <c:v>35</c:v>
                </c:pt>
                <c:pt idx="667" formatCode="0.0">
                  <c:v>34</c:v>
                </c:pt>
                <c:pt idx="668" formatCode="0.0">
                  <c:v>17</c:v>
                </c:pt>
                <c:pt idx="669" formatCode="0.0">
                  <c:v>55</c:v>
                </c:pt>
                <c:pt idx="670" formatCode="0.0">
                  <c:v>53</c:v>
                </c:pt>
                <c:pt idx="671" formatCode="0.0">
                  <c:v>58</c:v>
                </c:pt>
                <c:pt idx="672" formatCode="0.0">
                  <c:v>64</c:v>
                </c:pt>
                <c:pt idx="673" formatCode="0.0">
                  <c:v>68</c:v>
                </c:pt>
                <c:pt idx="674" formatCode="0.0">
                  <c:v>17</c:v>
                </c:pt>
                <c:pt idx="675" formatCode="0.0">
                  <c:v>17</c:v>
                </c:pt>
                <c:pt idx="676" formatCode="0.0">
                  <c:v>17</c:v>
                </c:pt>
                <c:pt idx="677" formatCode="0.0">
                  <c:v>17</c:v>
                </c:pt>
                <c:pt idx="678" formatCode="0.0">
                  <c:v>44</c:v>
                </c:pt>
                <c:pt idx="679">
                  <c:v>45</c:v>
                </c:pt>
                <c:pt idx="680">
                  <c:v>42</c:v>
                </c:pt>
                <c:pt idx="681">
                  <c:v>47</c:v>
                </c:pt>
                <c:pt idx="682">
                  <c:v>53</c:v>
                </c:pt>
                <c:pt idx="683">
                  <c:v>55</c:v>
                </c:pt>
                <c:pt idx="684">
                  <c:v>41</c:v>
                </c:pt>
                <c:pt idx="685">
                  <c:v>49</c:v>
                </c:pt>
                <c:pt idx="686">
                  <c:v>42</c:v>
                </c:pt>
                <c:pt idx="687">
                  <c:v>37</c:v>
                </c:pt>
                <c:pt idx="688">
                  <c:v>51</c:v>
                </c:pt>
                <c:pt idx="689">
                  <c:v>49</c:v>
                </c:pt>
                <c:pt idx="690">
                  <c:v>39</c:v>
                </c:pt>
                <c:pt idx="691" formatCode="0.0">
                  <c:v>30</c:v>
                </c:pt>
                <c:pt idx="692" formatCode="0.0">
                  <c:v>25</c:v>
                </c:pt>
                <c:pt idx="693" formatCode="0.0">
                  <c:v>21</c:v>
                </c:pt>
                <c:pt idx="694" formatCode="0.0">
                  <c:v>33</c:v>
                </c:pt>
                <c:pt idx="695" formatCode="0.0">
                  <c:v>29</c:v>
                </c:pt>
                <c:pt idx="696" formatCode="0.0">
                  <c:v>21</c:v>
                </c:pt>
                <c:pt idx="697" formatCode="0.0">
                  <c:v>34</c:v>
                </c:pt>
                <c:pt idx="698" formatCode="0.0">
                  <c:v>20</c:v>
                </c:pt>
                <c:pt idx="699" formatCode="0.0">
                  <c:v>37</c:v>
                </c:pt>
                <c:pt idx="700" formatCode="0.0">
                  <c:v>18</c:v>
                </c:pt>
                <c:pt idx="701" formatCode="0.0">
                  <c:v>18</c:v>
                </c:pt>
                <c:pt idx="702" formatCode="0.0">
                  <c:v>23</c:v>
                </c:pt>
                <c:pt idx="703" formatCode="0.0">
                  <c:v>26</c:v>
                </c:pt>
                <c:pt idx="704" formatCode="0.0">
                  <c:v>35</c:v>
                </c:pt>
                <c:pt idx="705" formatCode="0.0">
                  <c:v>29</c:v>
                </c:pt>
                <c:pt idx="706" formatCode="0.0">
                  <c:v>27</c:v>
                </c:pt>
                <c:pt idx="707" formatCode="0.0">
                  <c:v>28</c:v>
                </c:pt>
                <c:pt idx="708" formatCode="0.0">
                  <c:v>21</c:v>
                </c:pt>
                <c:pt idx="709" formatCode="0.0">
                  <c:v>22</c:v>
                </c:pt>
                <c:pt idx="710" formatCode="0.0">
                  <c:v>35</c:v>
                </c:pt>
                <c:pt idx="711" formatCode="0.0">
                  <c:v>22</c:v>
                </c:pt>
                <c:pt idx="712" formatCode="0.0">
                  <c:v>22</c:v>
                </c:pt>
                <c:pt idx="713" formatCode="0.0">
                  <c:v>22</c:v>
                </c:pt>
                <c:pt idx="714" formatCode="0.0">
                  <c:v>27</c:v>
                </c:pt>
                <c:pt idx="715" formatCode="0.0">
                  <c:v>29</c:v>
                </c:pt>
                <c:pt idx="716" formatCode="0.0">
                  <c:v>22</c:v>
                </c:pt>
                <c:pt idx="717" formatCode="0.0">
                  <c:v>22</c:v>
                </c:pt>
                <c:pt idx="718" formatCode="0.0">
                  <c:v>25</c:v>
                </c:pt>
                <c:pt idx="719" formatCode="0.0">
                  <c:v>23</c:v>
                </c:pt>
                <c:pt idx="720" formatCode="0.0">
                  <c:v>18</c:v>
                </c:pt>
                <c:pt idx="721" formatCode="0.0">
                  <c:v>24</c:v>
                </c:pt>
                <c:pt idx="722" formatCode="0.0">
                  <c:v>32</c:v>
                </c:pt>
                <c:pt idx="723" formatCode="0.0">
                  <c:v>24</c:v>
                </c:pt>
                <c:pt idx="724" formatCode="0.0">
                  <c:v>24</c:v>
                </c:pt>
                <c:pt idx="725" formatCode="0.0">
                  <c:v>24</c:v>
                </c:pt>
                <c:pt idx="726" formatCode="0.0">
                  <c:v>24</c:v>
                </c:pt>
                <c:pt idx="727">
                  <c:v>43</c:v>
                </c:pt>
                <c:pt idx="728">
                  <c:v>46</c:v>
                </c:pt>
                <c:pt idx="729">
                  <c:v>44</c:v>
                </c:pt>
                <c:pt idx="730" formatCode="0.0">
                  <c:v>35</c:v>
                </c:pt>
                <c:pt idx="731" formatCode="0.0">
                  <c:v>34</c:v>
                </c:pt>
                <c:pt idx="732" formatCode="0.0">
                  <c:v>24</c:v>
                </c:pt>
                <c:pt idx="733" formatCode="0.0">
                  <c:v>24</c:v>
                </c:pt>
                <c:pt idx="734" formatCode="0.0">
                  <c:v>24</c:v>
                </c:pt>
                <c:pt idx="735" formatCode="0.0">
                  <c:v>24</c:v>
                </c:pt>
                <c:pt idx="736" formatCode="0.0">
                  <c:v>17</c:v>
                </c:pt>
                <c:pt idx="737" formatCode="0.0">
                  <c:v>28</c:v>
                </c:pt>
                <c:pt idx="738" formatCode="0.0">
                  <c:v>17</c:v>
                </c:pt>
                <c:pt idx="739" formatCode="0.0">
                  <c:v>31</c:v>
                </c:pt>
                <c:pt idx="740" formatCode="0.0">
                  <c:v>25</c:v>
                </c:pt>
                <c:pt idx="741" formatCode="0.0">
                  <c:v>23</c:v>
                </c:pt>
                <c:pt idx="742" formatCode="0.0">
                  <c:v>41</c:v>
                </c:pt>
                <c:pt idx="743" formatCode="0.0">
                  <c:v>41</c:v>
                </c:pt>
                <c:pt idx="744" formatCode="0.0">
                  <c:v>36</c:v>
                </c:pt>
                <c:pt idx="745" formatCode="0.0">
                  <c:v>25</c:v>
                </c:pt>
                <c:pt idx="746" formatCode="0.0">
                  <c:v>30</c:v>
                </c:pt>
                <c:pt idx="747" formatCode="0.0">
                  <c:v>28</c:v>
                </c:pt>
                <c:pt idx="748" formatCode="0.0">
                  <c:v>30</c:v>
                </c:pt>
                <c:pt idx="749" formatCode="0.0">
                  <c:v>25</c:v>
                </c:pt>
                <c:pt idx="750" formatCode="0.0">
                  <c:v>27</c:v>
                </c:pt>
                <c:pt idx="751" formatCode="0.0">
                  <c:v>27</c:v>
                </c:pt>
                <c:pt idx="752" formatCode="0.0">
                  <c:v>23</c:v>
                </c:pt>
                <c:pt idx="753" formatCode="0.0">
                  <c:v>17</c:v>
                </c:pt>
                <c:pt idx="754" formatCode="0.0">
                  <c:v>17</c:v>
                </c:pt>
                <c:pt idx="755" formatCode="0.0">
                  <c:v>17</c:v>
                </c:pt>
                <c:pt idx="756" formatCode="0.0">
                  <c:v>17</c:v>
                </c:pt>
                <c:pt idx="757" formatCode="0.0">
                  <c:v>17</c:v>
                </c:pt>
                <c:pt idx="758" formatCode="0.0">
                  <c:v>17</c:v>
                </c:pt>
                <c:pt idx="759" formatCode="0.0">
                  <c:v>18</c:v>
                </c:pt>
                <c:pt idx="760" formatCode="0.0">
                  <c:v>17</c:v>
                </c:pt>
                <c:pt idx="761" formatCode="0.0">
                  <c:v>35</c:v>
                </c:pt>
                <c:pt idx="762" formatCode="0.0">
                  <c:v>23</c:v>
                </c:pt>
                <c:pt idx="763" formatCode="0.0">
                  <c:v>36</c:v>
                </c:pt>
                <c:pt idx="764" formatCode="0.0">
                  <c:v>35</c:v>
                </c:pt>
                <c:pt idx="765" formatCode="0.0">
                  <c:v>20</c:v>
                </c:pt>
                <c:pt idx="766" formatCode="0.0">
                  <c:v>33</c:v>
                </c:pt>
                <c:pt idx="767" formatCode="0.0">
                  <c:v>31</c:v>
                </c:pt>
                <c:pt idx="768" formatCode="0.0">
                  <c:v>27</c:v>
                </c:pt>
                <c:pt idx="769" formatCode="0.0">
                  <c:v>26</c:v>
                </c:pt>
                <c:pt idx="770" formatCode="0.0">
                  <c:v>32</c:v>
                </c:pt>
                <c:pt idx="771" formatCode="0.0">
                  <c:v>24</c:v>
                </c:pt>
                <c:pt idx="772" formatCode="0.0">
                  <c:v>23</c:v>
                </c:pt>
                <c:pt idx="773" formatCode="0.0">
                  <c:v>23</c:v>
                </c:pt>
                <c:pt idx="774">
                  <c:v>51</c:v>
                </c:pt>
                <c:pt idx="775">
                  <c:v>51</c:v>
                </c:pt>
                <c:pt idx="776">
                  <c:v>36</c:v>
                </c:pt>
                <c:pt idx="777">
                  <c:v>47</c:v>
                </c:pt>
                <c:pt idx="778" formatCode="0.0">
                  <c:v>25</c:v>
                </c:pt>
                <c:pt idx="779" formatCode="0.0">
                  <c:v>23</c:v>
                </c:pt>
                <c:pt idx="780" formatCode="0.0">
                  <c:v>21</c:v>
                </c:pt>
                <c:pt idx="782" formatCode="0.0">
                  <c:v>26</c:v>
                </c:pt>
                <c:pt idx="783" formatCode="0.0">
                  <c:v>24</c:v>
                </c:pt>
                <c:pt idx="784" formatCode="0.0">
                  <c:v>24</c:v>
                </c:pt>
                <c:pt idx="785" formatCode="0.0">
                  <c:v>24</c:v>
                </c:pt>
                <c:pt idx="786" formatCode="0.0">
                  <c:v>24</c:v>
                </c:pt>
                <c:pt idx="787" formatCode="0.0">
                  <c:v>27</c:v>
                </c:pt>
                <c:pt idx="788" formatCode="0.0">
                  <c:v>27</c:v>
                </c:pt>
                <c:pt idx="789" formatCode="0.0">
                  <c:v>30</c:v>
                </c:pt>
                <c:pt idx="790" formatCode="0.0">
                  <c:v>25</c:v>
                </c:pt>
                <c:pt idx="791" formatCode="0.0">
                  <c:v>28</c:v>
                </c:pt>
                <c:pt idx="792" formatCode="0.0">
                  <c:v>32</c:v>
                </c:pt>
                <c:pt idx="793" formatCode="0.0">
                  <c:v>44</c:v>
                </c:pt>
                <c:pt idx="794" formatCode="0.0">
                  <c:v>37</c:v>
                </c:pt>
                <c:pt idx="795" formatCode="0.0">
                  <c:v>30</c:v>
                </c:pt>
                <c:pt idx="796" formatCode="0.0">
                  <c:v>29</c:v>
                </c:pt>
                <c:pt idx="797" formatCode="0.0">
                  <c:v>28</c:v>
                </c:pt>
                <c:pt idx="798" formatCode="0.0">
                  <c:v>30</c:v>
                </c:pt>
                <c:pt idx="799" formatCode="0.0">
                  <c:v>27</c:v>
                </c:pt>
                <c:pt idx="800" formatCode="0.0">
                  <c:v>36</c:v>
                </c:pt>
                <c:pt idx="801" formatCode="0.0">
                  <c:v>39</c:v>
                </c:pt>
                <c:pt idx="802" formatCode="0.0">
                  <c:v>25</c:v>
                </c:pt>
                <c:pt idx="803" formatCode="0.0">
                  <c:v>28</c:v>
                </c:pt>
                <c:pt idx="804" formatCode="0.0">
                  <c:v>26</c:v>
                </c:pt>
                <c:pt idx="805" formatCode="0.0">
                  <c:v>31</c:v>
                </c:pt>
                <c:pt idx="806" formatCode="0.0">
                  <c:v>29</c:v>
                </c:pt>
                <c:pt idx="807" formatCode="0.0">
                  <c:v>21</c:v>
                </c:pt>
                <c:pt idx="808" formatCode="0.0">
                  <c:v>22</c:v>
                </c:pt>
                <c:pt idx="809" formatCode="0.0">
                  <c:v>23</c:v>
                </c:pt>
                <c:pt idx="810" formatCode="0.0">
                  <c:v>21</c:v>
                </c:pt>
                <c:pt idx="811" formatCode="0.0">
                  <c:v>23</c:v>
                </c:pt>
                <c:pt idx="812" formatCode="0.0">
                  <c:v>25</c:v>
                </c:pt>
                <c:pt idx="813" formatCode="0.0">
                  <c:v>28</c:v>
                </c:pt>
                <c:pt idx="814" formatCode="0.0">
                  <c:v>27</c:v>
                </c:pt>
                <c:pt idx="815" formatCode="0.0">
                  <c:v>21</c:v>
                </c:pt>
                <c:pt idx="816" formatCode="0.0">
                  <c:v>27</c:v>
                </c:pt>
                <c:pt idx="817" formatCode="0.0">
                  <c:v>36</c:v>
                </c:pt>
                <c:pt idx="818" formatCode="0.0">
                  <c:v>40</c:v>
                </c:pt>
                <c:pt idx="819" formatCode="0.0">
                  <c:v>38</c:v>
                </c:pt>
                <c:pt idx="820" formatCode="0.0">
                  <c:v>27</c:v>
                </c:pt>
                <c:pt idx="821" formatCode="0.0">
                  <c:v>33</c:v>
                </c:pt>
                <c:pt idx="822" formatCode="0.0">
                  <c:v>33</c:v>
                </c:pt>
                <c:pt idx="823" formatCode="0.0">
                  <c:v>31</c:v>
                </c:pt>
                <c:pt idx="824" formatCode="0.0">
                  <c:v>47</c:v>
                </c:pt>
                <c:pt idx="825" formatCode="0.0">
                  <c:v>33</c:v>
                </c:pt>
                <c:pt idx="826" formatCode="0.0">
                  <c:v>33</c:v>
                </c:pt>
                <c:pt idx="827" formatCode="0.0">
                  <c:v>32</c:v>
                </c:pt>
                <c:pt idx="828" formatCode="0.0">
                  <c:v>24</c:v>
                </c:pt>
                <c:pt idx="829" formatCode="0.0">
                  <c:v>35</c:v>
                </c:pt>
                <c:pt idx="830" formatCode="0.0">
                  <c:v>30</c:v>
                </c:pt>
                <c:pt idx="831" formatCode="0.0">
                  <c:v>27</c:v>
                </c:pt>
                <c:pt idx="832" formatCode="0.0">
                  <c:v>34</c:v>
                </c:pt>
                <c:pt idx="833" formatCode="0.0">
                  <c:v>33</c:v>
                </c:pt>
                <c:pt idx="834" formatCode="0.0">
                  <c:v>51</c:v>
                </c:pt>
                <c:pt idx="835" formatCode="0.0">
                  <c:v>59</c:v>
                </c:pt>
                <c:pt idx="836" formatCode="0.0">
                  <c:v>46</c:v>
                </c:pt>
                <c:pt idx="837" formatCode="0.0">
                  <c:v>46</c:v>
                </c:pt>
                <c:pt idx="838" formatCode="0.0">
                  <c:v>57</c:v>
                </c:pt>
                <c:pt idx="839" formatCode="0.0">
                  <c:v>57</c:v>
                </c:pt>
                <c:pt idx="840" formatCode="0.0">
                  <c:v>52</c:v>
                </c:pt>
                <c:pt idx="841" formatCode="0.0">
                  <c:v>51</c:v>
                </c:pt>
                <c:pt idx="842" formatCode="0.0">
                  <c:v>55</c:v>
                </c:pt>
                <c:pt idx="843" formatCode="0.0">
                  <c:v>17</c:v>
                </c:pt>
                <c:pt idx="844" formatCode="0.0">
                  <c:v>17</c:v>
                </c:pt>
                <c:pt idx="845" formatCode="0.0">
                  <c:v>17</c:v>
                </c:pt>
                <c:pt idx="846" formatCode="0.0">
                  <c:v>17</c:v>
                </c:pt>
                <c:pt idx="847" formatCode="0.0">
                  <c:v>27</c:v>
                </c:pt>
                <c:pt idx="848" formatCode="0.0">
                  <c:v>27</c:v>
                </c:pt>
                <c:pt idx="849" formatCode="0.0">
                  <c:v>33</c:v>
                </c:pt>
                <c:pt idx="850" formatCode="0.0">
                  <c:v>38</c:v>
                </c:pt>
                <c:pt idx="851">
                  <c:v>30</c:v>
                </c:pt>
                <c:pt idx="852" formatCode="0.0">
                  <c:v>27</c:v>
                </c:pt>
                <c:pt idx="853" formatCode="0.0">
                  <c:v>30</c:v>
                </c:pt>
                <c:pt idx="854" formatCode="0.0">
                  <c:v>37</c:v>
                </c:pt>
                <c:pt idx="855" formatCode="0.0">
                  <c:v>33</c:v>
                </c:pt>
                <c:pt idx="856">
                  <c:v>45</c:v>
                </c:pt>
                <c:pt idx="857" formatCode="0.0">
                  <c:v>31</c:v>
                </c:pt>
                <c:pt idx="858">
                  <c:v>41</c:v>
                </c:pt>
                <c:pt idx="859" formatCode="0.0">
                  <c:v>35</c:v>
                </c:pt>
                <c:pt idx="860" formatCode="0.0">
                  <c:v>27</c:v>
                </c:pt>
                <c:pt idx="861" formatCode="0.0">
                  <c:v>29</c:v>
                </c:pt>
                <c:pt idx="862" formatCode="0.0">
                  <c:v>27</c:v>
                </c:pt>
                <c:pt idx="863" formatCode="0.0">
                  <c:v>31</c:v>
                </c:pt>
                <c:pt idx="864" formatCode="0.0">
                  <c:v>27</c:v>
                </c:pt>
                <c:pt idx="865" formatCode="0.0">
                  <c:v>26</c:v>
                </c:pt>
                <c:pt idx="866">
                  <c:v>39</c:v>
                </c:pt>
                <c:pt idx="867" formatCode="0.0">
                  <c:v>28</c:v>
                </c:pt>
                <c:pt idx="868" formatCode="0.0">
                  <c:v>28</c:v>
                </c:pt>
                <c:pt idx="869" formatCode="0.0">
                  <c:v>30</c:v>
                </c:pt>
                <c:pt idx="870" formatCode="0.0">
                  <c:v>44</c:v>
                </c:pt>
                <c:pt idx="871" formatCode="0.0">
                  <c:v>34</c:v>
                </c:pt>
                <c:pt idx="872" formatCode="0.0">
                  <c:v>37</c:v>
                </c:pt>
                <c:pt idx="873" formatCode="0.0">
                  <c:v>38</c:v>
                </c:pt>
                <c:pt idx="874" formatCode="0.0">
                  <c:v>54</c:v>
                </c:pt>
                <c:pt idx="875" formatCode="0.0">
                  <c:v>54</c:v>
                </c:pt>
                <c:pt idx="876" formatCode="0.0">
                  <c:v>41</c:v>
                </c:pt>
                <c:pt idx="877" formatCode="0.0">
                  <c:v>37</c:v>
                </c:pt>
                <c:pt idx="878" formatCode="0.0">
                  <c:v>55</c:v>
                </c:pt>
                <c:pt idx="879" formatCode="0.0">
                  <c:v>40</c:v>
                </c:pt>
                <c:pt idx="880" formatCode="0.0">
                  <c:v>43</c:v>
                </c:pt>
                <c:pt idx="881" formatCode="0.0">
                  <c:v>45</c:v>
                </c:pt>
                <c:pt idx="882" formatCode="0.0">
                  <c:v>22</c:v>
                </c:pt>
                <c:pt idx="883" formatCode="0.0">
                  <c:v>17</c:v>
                </c:pt>
                <c:pt idx="884" formatCode="0.0">
                  <c:v>18</c:v>
                </c:pt>
                <c:pt idx="885" formatCode="0.0">
                  <c:v>29</c:v>
                </c:pt>
                <c:pt idx="886" formatCode="0.0">
                  <c:v>26</c:v>
                </c:pt>
                <c:pt idx="887" formatCode="0.0">
                  <c:v>34</c:v>
                </c:pt>
                <c:pt idx="888" formatCode="0.0">
                  <c:v>32</c:v>
                </c:pt>
                <c:pt idx="889" formatCode="0.0">
                  <c:v>35</c:v>
                </c:pt>
                <c:pt idx="890" formatCode="0.0">
                  <c:v>30</c:v>
                </c:pt>
                <c:pt idx="891" formatCode="0.0">
                  <c:v>24</c:v>
                </c:pt>
                <c:pt idx="892" formatCode="0.0">
                  <c:v>33</c:v>
                </c:pt>
                <c:pt idx="893" formatCode="0.0">
                  <c:v>37</c:v>
                </c:pt>
                <c:pt idx="894" formatCode="0.0">
                  <c:v>30</c:v>
                </c:pt>
                <c:pt idx="895" formatCode="0.0">
                  <c:v>24</c:v>
                </c:pt>
                <c:pt idx="896" formatCode="0.0">
                  <c:v>28</c:v>
                </c:pt>
                <c:pt idx="897" formatCode="0.0">
                  <c:v>28</c:v>
                </c:pt>
                <c:pt idx="898" formatCode="0.0">
                  <c:v>60</c:v>
                </c:pt>
                <c:pt idx="899" formatCode="0.0">
                  <c:v>45</c:v>
                </c:pt>
                <c:pt idx="900" formatCode="0.0">
                  <c:v>29</c:v>
                </c:pt>
                <c:pt idx="901" formatCode="0.0">
                  <c:v>23</c:v>
                </c:pt>
                <c:pt idx="902" formatCode="0.0">
                  <c:v>23</c:v>
                </c:pt>
                <c:pt idx="903" formatCode="0.0">
                  <c:v>25</c:v>
                </c:pt>
                <c:pt idx="904" formatCode="0.0">
                  <c:v>52</c:v>
                </c:pt>
                <c:pt idx="905" formatCode="0.0">
                  <c:v>51</c:v>
                </c:pt>
                <c:pt idx="906" formatCode="0.0">
                  <c:v>52</c:v>
                </c:pt>
                <c:pt idx="907" formatCode="0.0">
                  <c:v>61</c:v>
                </c:pt>
                <c:pt idx="908" formatCode="0.0">
                  <c:v>54</c:v>
                </c:pt>
                <c:pt idx="909" formatCode="0.0">
                  <c:v>17</c:v>
                </c:pt>
                <c:pt idx="910" formatCode="0.0">
                  <c:v>17</c:v>
                </c:pt>
                <c:pt idx="911" formatCode="0.0">
                  <c:v>17</c:v>
                </c:pt>
                <c:pt idx="912" formatCode="0.0">
                  <c:v>26</c:v>
                </c:pt>
                <c:pt idx="913" formatCode="0.0">
                  <c:v>26</c:v>
                </c:pt>
                <c:pt idx="914" formatCode="0.0">
                  <c:v>26</c:v>
                </c:pt>
                <c:pt idx="915" formatCode="0.0">
                  <c:v>18</c:v>
                </c:pt>
                <c:pt idx="916" formatCode="0.0">
                  <c:v>31</c:v>
                </c:pt>
                <c:pt idx="917" formatCode="0.0">
                  <c:v>27</c:v>
                </c:pt>
                <c:pt idx="918" formatCode="0.0">
                  <c:v>33</c:v>
                </c:pt>
                <c:pt idx="919" formatCode="0.0">
                  <c:v>33</c:v>
                </c:pt>
                <c:pt idx="920" formatCode="0.0">
                  <c:v>33</c:v>
                </c:pt>
                <c:pt idx="921" formatCode="0.0">
                  <c:v>35</c:v>
                </c:pt>
                <c:pt idx="922" formatCode="0.0">
                  <c:v>26</c:v>
                </c:pt>
                <c:pt idx="923" formatCode="0.0">
                  <c:v>21</c:v>
                </c:pt>
                <c:pt idx="924" formatCode="0.0">
                  <c:v>37</c:v>
                </c:pt>
                <c:pt idx="925" formatCode="0.0">
                  <c:v>33</c:v>
                </c:pt>
                <c:pt idx="926" formatCode="0.0">
                  <c:v>27</c:v>
                </c:pt>
                <c:pt idx="927" formatCode="0.0">
                  <c:v>22</c:v>
                </c:pt>
                <c:pt idx="928" formatCode="0.0">
                  <c:v>39</c:v>
                </c:pt>
                <c:pt idx="929" formatCode="0.0">
                  <c:v>19</c:v>
                </c:pt>
                <c:pt idx="930" formatCode="0.0">
                  <c:v>20</c:v>
                </c:pt>
                <c:pt idx="931" formatCode="0.0">
                  <c:v>22</c:v>
                </c:pt>
                <c:pt idx="932" formatCode="0.0">
                  <c:v>21</c:v>
                </c:pt>
                <c:pt idx="933" formatCode="0.0">
                  <c:v>31</c:v>
                </c:pt>
                <c:pt idx="934" formatCode="0.0">
                  <c:v>18</c:v>
                </c:pt>
                <c:pt idx="935" formatCode="0.0">
                  <c:v>20</c:v>
                </c:pt>
                <c:pt idx="936" formatCode="0.0">
                  <c:v>19</c:v>
                </c:pt>
                <c:pt idx="937" formatCode="0.0">
                  <c:v>28</c:v>
                </c:pt>
                <c:pt idx="938" formatCode="0.0">
                  <c:v>27</c:v>
                </c:pt>
                <c:pt idx="939" formatCode="0.0">
                  <c:v>29</c:v>
                </c:pt>
                <c:pt idx="940" formatCode="0.0">
                  <c:v>20</c:v>
                </c:pt>
                <c:pt idx="941" formatCode="0.0">
                  <c:v>48</c:v>
                </c:pt>
                <c:pt idx="942" formatCode="0.0">
                  <c:v>47</c:v>
                </c:pt>
                <c:pt idx="943" formatCode="0.0">
                  <c:v>51</c:v>
                </c:pt>
                <c:pt idx="944" formatCode="0.0">
                  <c:v>51</c:v>
                </c:pt>
                <c:pt idx="945" formatCode="0.0">
                  <c:v>55</c:v>
                </c:pt>
                <c:pt idx="946" formatCode="0.0">
                  <c:v>46</c:v>
                </c:pt>
                <c:pt idx="947" formatCode="0.0">
                  <c:v>40</c:v>
                </c:pt>
                <c:pt idx="948" formatCode="0.0">
                  <c:v>28</c:v>
                </c:pt>
                <c:pt idx="949" formatCode="0.0">
                  <c:v>37</c:v>
                </c:pt>
                <c:pt idx="950" formatCode="0.0">
                  <c:v>41</c:v>
                </c:pt>
                <c:pt idx="951" formatCode="0.0">
                  <c:v>37</c:v>
                </c:pt>
                <c:pt idx="952" formatCode="0.0">
                  <c:v>34</c:v>
                </c:pt>
                <c:pt idx="953" formatCode="0.0">
                  <c:v>30</c:v>
                </c:pt>
                <c:pt idx="954" formatCode="0.0">
                  <c:v>50</c:v>
                </c:pt>
                <c:pt idx="955" formatCode="0.0">
                  <c:v>37</c:v>
                </c:pt>
                <c:pt idx="956" formatCode="0.0">
                  <c:v>40</c:v>
                </c:pt>
                <c:pt idx="957" formatCode="0.0">
                  <c:v>41</c:v>
                </c:pt>
                <c:pt idx="958" formatCode="0.0">
                  <c:v>42</c:v>
                </c:pt>
                <c:pt idx="959" formatCode="0.0">
                  <c:v>42</c:v>
                </c:pt>
                <c:pt idx="960" formatCode="0.0">
                  <c:v>43</c:v>
                </c:pt>
                <c:pt idx="961" formatCode="0.0">
                  <c:v>41</c:v>
                </c:pt>
                <c:pt idx="962" formatCode="0.0">
                  <c:v>38</c:v>
                </c:pt>
                <c:pt idx="963" formatCode="0.0">
                  <c:v>43</c:v>
                </c:pt>
                <c:pt idx="964" formatCode="0.0">
                  <c:v>46</c:v>
                </c:pt>
                <c:pt idx="965" formatCode="0.0">
                  <c:v>49</c:v>
                </c:pt>
                <c:pt idx="966" formatCode="0.0">
                  <c:v>28</c:v>
                </c:pt>
                <c:pt idx="967" formatCode="0.0">
                  <c:v>25</c:v>
                </c:pt>
                <c:pt idx="968" formatCode="0.0">
                  <c:v>25</c:v>
                </c:pt>
                <c:pt idx="969" formatCode="0.0">
                  <c:v>25</c:v>
                </c:pt>
                <c:pt idx="970" formatCode="0.0">
                  <c:v>23</c:v>
                </c:pt>
                <c:pt idx="971" formatCode="0.0">
                  <c:v>29</c:v>
                </c:pt>
                <c:pt idx="972" formatCode="0.0">
                  <c:v>38</c:v>
                </c:pt>
                <c:pt idx="973" formatCode="0.0">
                  <c:v>35</c:v>
                </c:pt>
                <c:pt idx="974" formatCode="0.0">
                  <c:v>41</c:v>
                </c:pt>
                <c:pt idx="975" formatCode="0.0">
                  <c:v>33</c:v>
                </c:pt>
                <c:pt idx="976" formatCode="0.0">
                  <c:v>26</c:v>
                </c:pt>
                <c:pt idx="977" formatCode="0.0">
                  <c:v>17</c:v>
                </c:pt>
                <c:pt idx="978" formatCode="0.0">
                  <c:v>17</c:v>
                </c:pt>
                <c:pt idx="979" formatCode="0.0">
                  <c:v>17</c:v>
                </c:pt>
                <c:pt idx="980" formatCode="0.0">
                  <c:v>17</c:v>
                </c:pt>
                <c:pt idx="981" formatCode="0.0">
                  <c:v>25</c:v>
                </c:pt>
                <c:pt idx="982" formatCode="0.0">
                  <c:v>29</c:v>
                </c:pt>
                <c:pt idx="983" formatCode="0.0">
                  <c:v>29</c:v>
                </c:pt>
                <c:pt idx="984" formatCode="0.0">
                  <c:v>37</c:v>
                </c:pt>
                <c:pt idx="985" formatCode="0.0">
                  <c:v>37</c:v>
                </c:pt>
                <c:pt idx="986" formatCode="0.0">
                  <c:v>42</c:v>
                </c:pt>
                <c:pt idx="987" formatCode="0.0">
                  <c:v>44</c:v>
                </c:pt>
                <c:pt idx="988" formatCode="0.0">
                  <c:v>40</c:v>
                </c:pt>
                <c:pt idx="989" formatCode="0.0">
                  <c:v>37</c:v>
                </c:pt>
                <c:pt idx="990" formatCode="0.0">
                  <c:v>31</c:v>
                </c:pt>
                <c:pt idx="991" formatCode="0.0">
                  <c:v>22</c:v>
                </c:pt>
                <c:pt idx="992" formatCode="0.0">
                  <c:v>22</c:v>
                </c:pt>
                <c:pt idx="993" formatCode="0.0">
                  <c:v>30</c:v>
                </c:pt>
                <c:pt idx="994" formatCode="0.0">
                  <c:v>34</c:v>
                </c:pt>
                <c:pt idx="995" formatCode="0.0">
                  <c:v>23</c:v>
                </c:pt>
                <c:pt idx="996" formatCode="0.0">
                  <c:v>28</c:v>
                </c:pt>
                <c:pt idx="997" formatCode="0.0">
                  <c:v>25</c:v>
                </c:pt>
                <c:pt idx="998" formatCode="0.0">
                  <c:v>23</c:v>
                </c:pt>
                <c:pt idx="999" formatCode="0.0">
                  <c:v>31</c:v>
                </c:pt>
                <c:pt idx="1000" formatCode="0.0">
                  <c:v>41</c:v>
                </c:pt>
                <c:pt idx="1001" formatCode="0.0">
                  <c:v>21</c:v>
                </c:pt>
                <c:pt idx="1002" formatCode="0.0">
                  <c:v>27</c:v>
                </c:pt>
                <c:pt idx="1003" formatCode="0.0">
                  <c:v>43</c:v>
                </c:pt>
                <c:pt idx="1004" formatCode="0.0">
                  <c:v>26</c:v>
                </c:pt>
                <c:pt idx="1005" formatCode="0.0">
                  <c:v>42</c:v>
                </c:pt>
                <c:pt idx="1006" formatCode="0.0">
                  <c:v>43</c:v>
                </c:pt>
                <c:pt idx="1007" formatCode="0.0">
                  <c:v>41</c:v>
                </c:pt>
                <c:pt idx="1008" formatCode="0.0">
                  <c:v>21</c:v>
                </c:pt>
                <c:pt idx="1009" formatCode="0.0">
                  <c:v>44</c:v>
                </c:pt>
                <c:pt idx="1010" formatCode="0.0">
                  <c:v>25</c:v>
                </c:pt>
                <c:pt idx="1011" formatCode="0.0">
                  <c:v>44</c:v>
                </c:pt>
                <c:pt idx="1012" formatCode="0.0">
                  <c:v>48</c:v>
                </c:pt>
                <c:pt idx="1013" formatCode="0.0">
                  <c:v>33</c:v>
                </c:pt>
                <c:pt idx="1014" formatCode="0.0">
                  <c:v>42</c:v>
                </c:pt>
                <c:pt idx="1015" formatCode="0.0">
                  <c:v>46</c:v>
                </c:pt>
                <c:pt idx="1016" formatCode="0.0">
                  <c:v>37</c:v>
                </c:pt>
              </c:numCache>
            </c:numRef>
          </c:xVal>
          <c:yVal>
            <c:numRef>
              <c:f>'2. Logging Brejo Seco'!$Z$3:$Z$1019</c:f>
              <c:numCache>
                <c:formatCode>0.00</c:formatCode>
                <c:ptCount val="1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126.66666666666667</c:v>
                </c:pt>
                <c:pt idx="7">
                  <c:v>420</c:v>
                </c:pt>
                <c:pt idx="8">
                  <c:v>19</c:v>
                </c:pt>
                <c:pt idx="9">
                  <c:v>180</c:v>
                </c:pt>
                <c:pt idx="10">
                  <c:v>78</c:v>
                </c:pt>
                <c:pt idx="11">
                  <c:v>87.5</c:v>
                </c:pt>
                <c:pt idx="12">
                  <c:v>15.333333333333334</c:v>
                </c:pt>
                <c:pt idx="13">
                  <c:v>76.666666666666671</c:v>
                </c:pt>
                <c:pt idx="14">
                  <c:v>86</c:v>
                </c:pt>
                <c:pt idx="15">
                  <c:v>112.5</c:v>
                </c:pt>
                <c:pt idx="16">
                  <c:v>235</c:v>
                </c:pt>
                <c:pt idx="17">
                  <c:v>70</c:v>
                </c:pt>
                <c:pt idx="18">
                  <c:v>102.5</c:v>
                </c:pt>
                <c:pt idx="19">
                  <c:v>107.5</c:v>
                </c:pt>
                <c:pt idx="20">
                  <c:v>96.666666666666671</c:v>
                </c:pt>
                <c:pt idx="21">
                  <c:v>20.76923076923077</c:v>
                </c:pt>
                <c:pt idx="22">
                  <c:v>29</c:v>
                </c:pt>
                <c:pt idx="23">
                  <c:v>32</c:v>
                </c:pt>
                <c:pt idx="24">
                  <c:v>44</c:v>
                </c:pt>
                <c:pt idx="25">
                  <c:v>46</c:v>
                </c:pt>
                <c:pt idx="26">
                  <c:v>73.333333333333329</c:v>
                </c:pt>
                <c:pt idx="27">
                  <c:v>140</c:v>
                </c:pt>
                <c:pt idx="28">
                  <c:v>70</c:v>
                </c:pt>
                <c:pt idx="29">
                  <c:v>92.5</c:v>
                </c:pt>
                <c:pt idx="30">
                  <c:v>48.571428571428569</c:v>
                </c:pt>
                <c:pt idx="31">
                  <c:v>81.666666666666671</c:v>
                </c:pt>
                <c:pt idx="32">
                  <c:v>93.333333333333329</c:v>
                </c:pt>
                <c:pt idx="33">
                  <c:v>55</c:v>
                </c:pt>
                <c:pt idx="34">
                  <c:v>19</c:v>
                </c:pt>
                <c:pt idx="35">
                  <c:v>51.666666666666664</c:v>
                </c:pt>
                <c:pt idx="36">
                  <c:v>13</c:v>
                </c:pt>
                <c:pt idx="37">
                  <c:v>11</c:v>
                </c:pt>
                <c:pt idx="38">
                  <c:v>14</c:v>
                </c:pt>
                <c:pt idx="39">
                  <c:v>23</c:v>
                </c:pt>
                <c:pt idx="40">
                  <c:v>34</c:v>
                </c:pt>
                <c:pt idx="41">
                  <c:v>13</c:v>
                </c:pt>
                <c:pt idx="42">
                  <c:v>51.666666666666664</c:v>
                </c:pt>
                <c:pt idx="43">
                  <c:v>54</c:v>
                </c:pt>
                <c:pt idx="44">
                  <c:v>110</c:v>
                </c:pt>
                <c:pt idx="45">
                  <c:v>500</c:v>
                </c:pt>
                <c:pt idx="46">
                  <c:v>166.66666666666666</c:v>
                </c:pt>
                <c:pt idx="47">
                  <c:v>665</c:v>
                </c:pt>
                <c:pt idx="48">
                  <c:v>87.5</c:v>
                </c:pt>
                <c:pt idx="49">
                  <c:v>47.5</c:v>
                </c:pt>
                <c:pt idx="50">
                  <c:v>103.33333333333333</c:v>
                </c:pt>
                <c:pt idx="51">
                  <c:v>305</c:v>
                </c:pt>
                <c:pt idx="52">
                  <c:v>286.66666666666669</c:v>
                </c:pt>
                <c:pt idx="53">
                  <c:v>164</c:v>
                </c:pt>
                <c:pt idx="54">
                  <c:v>240</c:v>
                </c:pt>
                <c:pt idx="55">
                  <c:v>233.33333333333334</c:v>
                </c:pt>
                <c:pt idx="56">
                  <c:v>236.66666666666666</c:v>
                </c:pt>
                <c:pt idx="57">
                  <c:v>150</c:v>
                </c:pt>
                <c:pt idx="58">
                  <c:v>72</c:v>
                </c:pt>
                <c:pt idx="59">
                  <c:v>105.71428571428571</c:v>
                </c:pt>
                <c:pt idx="60">
                  <c:v>520</c:v>
                </c:pt>
                <c:pt idx="61">
                  <c:v>123.33333333333333</c:v>
                </c:pt>
                <c:pt idx="62">
                  <c:v>73.333333333333329</c:v>
                </c:pt>
                <c:pt idx="63">
                  <c:v>49</c:v>
                </c:pt>
                <c:pt idx="64">
                  <c:v>125</c:v>
                </c:pt>
                <c:pt idx="65">
                  <c:v>146.66666666666666</c:v>
                </c:pt>
                <c:pt idx="66">
                  <c:v>32.666666666666664</c:v>
                </c:pt>
                <c:pt idx="67">
                  <c:v>124</c:v>
                </c:pt>
                <c:pt idx="68">
                  <c:v>98</c:v>
                </c:pt>
                <c:pt idx="69">
                  <c:v>120</c:v>
                </c:pt>
                <c:pt idx="70">
                  <c:v>32.666666666666664</c:v>
                </c:pt>
                <c:pt idx="71">
                  <c:v>150</c:v>
                </c:pt>
                <c:pt idx="72">
                  <c:v>126.66666666666667</c:v>
                </c:pt>
                <c:pt idx="73">
                  <c:v>46</c:v>
                </c:pt>
                <c:pt idx="74">
                  <c:v>126.66666666666667</c:v>
                </c:pt>
                <c:pt idx="75">
                  <c:v>156.66666666666666</c:v>
                </c:pt>
                <c:pt idx="76">
                  <c:v>86</c:v>
                </c:pt>
                <c:pt idx="77">
                  <c:v>125</c:v>
                </c:pt>
                <c:pt idx="78">
                  <c:v>41.666666666666664</c:v>
                </c:pt>
                <c:pt idx="79">
                  <c:v>55</c:v>
                </c:pt>
                <c:pt idx="80">
                  <c:v>43.333333333333336</c:v>
                </c:pt>
                <c:pt idx="81">
                  <c:v>24</c:v>
                </c:pt>
                <c:pt idx="82">
                  <c:v>28</c:v>
                </c:pt>
                <c:pt idx="83">
                  <c:v>33.75</c:v>
                </c:pt>
                <c:pt idx="84">
                  <c:v>74</c:v>
                </c:pt>
                <c:pt idx="85">
                  <c:v>47.142857142857146</c:v>
                </c:pt>
                <c:pt idx="86">
                  <c:v>150</c:v>
                </c:pt>
                <c:pt idx="87">
                  <c:v>65</c:v>
                </c:pt>
                <c:pt idx="88">
                  <c:v>70</c:v>
                </c:pt>
                <c:pt idx="89">
                  <c:v>28.571428571428573</c:v>
                </c:pt>
                <c:pt idx="90">
                  <c:v>71.666666666666671</c:v>
                </c:pt>
                <c:pt idx="91">
                  <c:v>53</c:v>
                </c:pt>
                <c:pt idx="92">
                  <c:v>100</c:v>
                </c:pt>
                <c:pt idx="93">
                  <c:v>485</c:v>
                </c:pt>
                <c:pt idx="94">
                  <c:v>71.428571428571431</c:v>
                </c:pt>
                <c:pt idx="95">
                  <c:v>27</c:v>
                </c:pt>
                <c:pt idx="96">
                  <c:v>25</c:v>
                </c:pt>
                <c:pt idx="97">
                  <c:v>100</c:v>
                </c:pt>
                <c:pt idx="98">
                  <c:v>146.66666666666666</c:v>
                </c:pt>
                <c:pt idx="99">
                  <c:v>100</c:v>
                </c:pt>
                <c:pt idx="100">
                  <c:v>83.333333333333329</c:v>
                </c:pt>
                <c:pt idx="101">
                  <c:v>90</c:v>
                </c:pt>
                <c:pt idx="102">
                  <c:v>60</c:v>
                </c:pt>
                <c:pt idx="103">
                  <c:v>86</c:v>
                </c:pt>
                <c:pt idx="104">
                  <c:v>29</c:v>
                </c:pt>
                <c:pt idx="105">
                  <c:v>16.666666666666668</c:v>
                </c:pt>
                <c:pt idx="106">
                  <c:v>235</c:v>
                </c:pt>
                <c:pt idx="107">
                  <c:v>170</c:v>
                </c:pt>
                <c:pt idx="108">
                  <c:v>170</c:v>
                </c:pt>
                <c:pt idx="109">
                  <c:v>100</c:v>
                </c:pt>
                <c:pt idx="110">
                  <c:v>25</c:v>
                </c:pt>
                <c:pt idx="111">
                  <c:v>37</c:v>
                </c:pt>
                <c:pt idx="112">
                  <c:v>37</c:v>
                </c:pt>
                <c:pt idx="113">
                  <c:v>26</c:v>
                </c:pt>
                <c:pt idx="114">
                  <c:v>26</c:v>
                </c:pt>
                <c:pt idx="115">
                  <c:v>24</c:v>
                </c:pt>
                <c:pt idx="116">
                  <c:v>23</c:v>
                </c:pt>
                <c:pt idx="117">
                  <c:v>22</c:v>
                </c:pt>
                <c:pt idx="118">
                  <c:v>20</c:v>
                </c:pt>
                <c:pt idx="119">
                  <c:v>24</c:v>
                </c:pt>
                <c:pt idx="120">
                  <c:v>15</c:v>
                </c:pt>
                <c:pt idx="121">
                  <c:v>38</c:v>
                </c:pt>
                <c:pt idx="122">
                  <c:v>20</c:v>
                </c:pt>
                <c:pt idx="123">
                  <c:v>24</c:v>
                </c:pt>
                <c:pt idx="124">
                  <c:v>56.666666666666664</c:v>
                </c:pt>
                <c:pt idx="125">
                  <c:v>70</c:v>
                </c:pt>
                <c:pt idx="126">
                  <c:v>76.666666666666671</c:v>
                </c:pt>
                <c:pt idx="127">
                  <c:v>26</c:v>
                </c:pt>
                <c:pt idx="128">
                  <c:v>40</c:v>
                </c:pt>
                <c:pt idx="129">
                  <c:v>50</c:v>
                </c:pt>
                <c:pt idx="130">
                  <c:v>60</c:v>
                </c:pt>
                <c:pt idx="131">
                  <c:v>135</c:v>
                </c:pt>
                <c:pt idx="132">
                  <c:v>60</c:v>
                </c:pt>
                <c:pt idx="133">
                  <c:v>43.333333333333336</c:v>
                </c:pt>
                <c:pt idx="134">
                  <c:v>102.5</c:v>
                </c:pt>
                <c:pt idx="135">
                  <c:v>215</c:v>
                </c:pt>
                <c:pt idx="136">
                  <c:v>70</c:v>
                </c:pt>
                <c:pt idx="137">
                  <c:v>73.333333333333329</c:v>
                </c:pt>
                <c:pt idx="138">
                  <c:v>100</c:v>
                </c:pt>
                <c:pt idx="139">
                  <c:v>70</c:v>
                </c:pt>
                <c:pt idx="140">
                  <c:v>53.333333333333336</c:v>
                </c:pt>
                <c:pt idx="141">
                  <c:v>32</c:v>
                </c:pt>
                <c:pt idx="142">
                  <c:v>35</c:v>
                </c:pt>
                <c:pt idx="143">
                  <c:v>28</c:v>
                </c:pt>
                <c:pt idx="144">
                  <c:v>36.666666666666664</c:v>
                </c:pt>
                <c:pt idx="145">
                  <c:v>22</c:v>
                </c:pt>
                <c:pt idx="146">
                  <c:v>10</c:v>
                </c:pt>
                <c:pt idx="147">
                  <c:v>10</c:v>
                </c:pt>
                <c:pt idx="148">
                  <c:v>36</c:v>
                </c:pt>
                <c:pt idx="149">
                  <c:v>51.666666666666664</c:v>
                </c:pt>
                <c:pt idx="150">
                  <c:v>60</c:v>
                </c:pt>
                <c:pt idx="151">
                  <c:v>36.666666666666664</c:v>
                </c:pt>
                <c:pt idx="152">
                  <c:v>46</c:v>
                </c:pt>
                <c:pt idx="153">
                  <c:v>34</c:v>
                </c:pt>
                <c:pt idx="154">
                  <c:v>30</c:v>
                </c:pt>
                <c:pt idx="155">
                  <c:v>19</c:v>
                </c:pt>
                <c:pt idx="156">
                  <c:v>24</c:v>
                </c:pt>
                <c:pt idx="157">
                  <c:v>19</c:v>
                </c:pt>
                <c:pt idx="159">
                  <c:v>20</c:v>
                </c:pt>
                <c:pt idx="160">
                  <c:v>23</c:v>
                </c:pt>
                <c:pt idx="161">
                  <c:v>25</c:v>
                </c:pt>
                <c:pt idx="162">
                  <c:v>28</c:v>
                </c:pt>
                <c:pt idx="163">
                  <c:v>24</c:v>
                </c:pt>
                <c:pt idx="164">
                  <c:v>42</c:v>
                </c:pt>
                <c:pt idx="165">
                  <c:v>20</c:v>
                </c:pt>
                <c:pt idx="167">
                  <c:v>13</c:v>
                </c:pt>
                <c:pt idx="168">
                  <c:v>17</c:v>
                </c:pt>
                <c:pt idx="169">
                  <c:v>16</c:v>
                </c:pt>
                <c:pt idx="170">
                  <c:v>14</c:v>
                </c:pt>
                <c:pt idx="171">
                  <c:v>17</c:v>
                </c:pt>
                <c:pt idx="172">
                  <c:v>23</c:v>
                </c:pt>
                <c:pt idx="173">
                  <c:v>20</c:v>
                </c:pt>
                <c:pt idx="174">
                  <c:v>17</c:v>
                </c:pt>
                <c:pt idx="175">
                  <c:v>18</c:v>
                </c:pt>
                <c:pt idx="176">
                  <c:v>19</c:v>
                </c:pt>
                <c:pt idx="177">
                  <c:v>16.363636363636363</c:v>
                </c:pt>
                <c:pt idx="178">
                  <c:v>10.909090909090908</c:v>
                </c:pt>
                <c:pt idx="180">
                  <c:v>24</c:v>
                </c:pt>
                <c:pt idx="182">
                  <c:v>24</c:v>
                </c:pt>
                <c:pt idx="183">
                  <c:v>11</c:v>
                </c:pt>
                <c:pt idx="184">
                  <c:v>12</c:v>
                </c:pt>
                <c:pt idx="185">
                  <c:v>86.666666666666671</c:v>
                </c:pt>
                <c:pt idx="186">
                  <c:v>26</c:v>
                </c:pt>
                <c:pt idx="187">
                  <c:v>10.666666666666666</c:v>
                </c:pt>
                <c:pt idx="188">
                  <c:v>12</c:v>
                </c:pt>
                <c:pt idx="189">
                  <c:v>45.714285714285715</c:v>
                </c:pt>
                <c:pt idx="190">
                  <c:v>20</c:v>
                </c:pt>
                <c:pt idx="191">
                  <c:v>32</c:v>
                </c:pt>
                <c:pt idx="192">
                  <c:v>44</c:v>
                </c:pt>
                <c:pt idx="193">
                  <c:v>12</c:v>
                </c:pt>
                <c:pt idx="194">
                  <c:v>15</c:v>
                </c:pt>
                <c:pt idx="195">
                  <c:v>18.571428571428573</c:v>
                </c:pt>
                <c:pt idx="196">
                  <c:v>33.333333333333336</c:v>
                </c:pt>
                <c:pt idx="197">
                  <c:v>21.428571428571427</c:v>
                </c:pt>
                <c:pt idx="198">
                  <c:v>40</c:v>
                </c:pt>
                <c:pt idx="199">
                  <c:v>30</c:v>
                </c:pt>
                <c:pt idx="200">
                  <c:v>34</c:v>
                </c:pt>
                <c:pt idx="201">
                  <c:v>28</c:v>
                </c:pt>
                <c:pt idx="202">
                  <c:v>22</c:v>
                </c:pt>
                <c:pt idx="203">
                  <c:v>20</c:v>
                </c:pt>
                <c:pt idx="204">
                  <c:v>22</c:v>
                </c:pt>
                <c:pt idx="205">
                  <c:v>46.666666666666664</c:v>
                </c:pt>
                <c:pt idx="206">
                  <c:v>63.333333333333336</c:v>
                </c:pt>
                <c:pt idx="207">
                  <c:v>24</c:v>
                </c:pt>
                <c:pt idx="208">
                  <c:v>20</c:v>
                </c:pt>
                <c:pt idx="209">
                  <c:v>32</c:v>
                </c:pt>
                <c:pt idx="210">
                  <c:v>24</c:v>
                </c:pt>
                <c:pt idx="211">
                  <c:v>51.666666666666664</c:v>
                </c:pt>
                <c:pt idx="212">
                  <c:v>33</c:v>
                </c:pt>
                <c:pt idx="213">
                  <c:v>94</c:v>
                </c:pt>
                <c:pt idx="214">
                  <c:v>46.25</c:v>
                </c:pt>
                <c:pt idx="215">
                  <c:v>44</c:v>
                </c:pt>
                <c:pt idx="216">
                  <c:v>43.333333333333336</c:v>
                </c:pt>
                <c:pt idx="217">
                  <c:v>67.5</c:v>
                </c:pt>
                <c:pt idx="218">
                  <c:v>100</c:v>
                </c:pt>
                <c:pt idx="219">
                  <c:v>71.428571428571431</c:v>
                </c:pt>
                <c:pt idx="220">
                  <c:v>84</c:v>
                </c:pt>
                <c:pt idx="221">
                  <c:v>35.714285714285715</c:v>
                </c:pt>
                <c:pt idx="222">
                  <c:v>42</c:v>
                </c:pt>
                <c:pt idx="223">
                  <c:v>36</c:v>
                </c:pt>
                <c:pt idx="224">
                  <c:v>34</c:v>
                </c:pt>
                <c:pt idx="225">
                  <c:v>40</c:v>
                </c:pt>
                <c:pt idx="226">
                  <c:v>66.666666666666671</c:v>
                </c:pt>
                <c:pt idx="227">
                  <c:v>50</c:v>
                </c:pt>
                <c:pt idx="228">
                  <c:v>44</c:v>
                </c:pt>
                <c:pt idx="229">
                  <c:v>37.142857142857146</c:v>
                </c:pt>
                <c:pt idx="230">
                  <c:v>29</c:v>
                </c:pt>
                <c:pt idx="231">
                  <c:v>22</c:v>
                </c:pt>
                <c:pt idx="232">
                  <c:v>26</c:v>
                </c:pt>
                <c:pt idx="233">
                  <c:v>25</c:v>
                </c:pt>
                <c:pt idx="234">
                  <c:v>36</c:v>
                </c:pt>
                <c:pt idx="235">
                  <c:v>42</c:v>
                </c:pt>
                <c:pt idx="236">
                  <c:v>17</c:v>
                </c:pt>
                <c:pt idx="237">
                  <c:v>27</c:v>
                </c:pt>
                <c:pt idx="238">
                  <c:v>52</c:v>
                </c:pt>
                <c:pt idx="239">
                  <c:v>50</c:v>
                </c:pt>
                <c:pt idx="240">
                  <c:v>110</c:v>
                </c:pt>
                <c:pt idx="241">
                  <c:v>47.142857142857146</c:v>
                </c:pt>
                <c:pt idx="242">
                  <c:v>41.428571428571431</c:v>
                </c:pt>
                <c:pt idx="243">
                  <c:v>50</c:v>
                </c:pt>
                <c:pt idx="244">
                  <c:v>51.25</c:v>
                </c:pt>
                <c:pt idx="245">
                  <c:v>86</c:v>
                </c:pt>
                <c:pt idx="246">
                  <c:v>74</c:v>
                </c:pt>
                <c:pt idx="247">
                  <c:v>107.5</c:v>
                </c:pt>
                <c:pt idx="248">
                  <c:v>60</c:v>
                </c:pt>
                <c:pt idx="249">
                  <c:v>34</c:v>
                </c:pt>
                <c:pt idx="250">
                  <c:v>32</c:v>
                </c:pt>
                <c:pt idx="251">
                  <c:v>70</c:v>
                </c:pt>
                <c:pt idx="252">
                  <c:v>41</c:v>
                </c:pt>
                <c:pt idx="253">
                  <c:v>45</c:v>
                </c:pt>
                <c:pt idx="254">
                  <c:v>70</c:v>
                </c:pt>
                <c:pt idx="255">
                  <c:v>58.75</c:v>
                </c:pt>
                <c:pt idx="256">
                  <c:v>122.5</c:v>
                </c:pt>
                <c:pt idx="257">
                  <c:v>64.285714285714292</c:v>
                </c:pt>
                <c:pt idx="258">
                  <c:v>120</c:v>
                </c:pt>
                <c:pt idx="259">
                  <c:v>66.666666666666671</c:v>
                </c:pt>
                <c:pt idx="260">
                  <c:v>83.333333333333329</c:v>
                </c:pt>
                <c:pt idx="261">
                  <c:v>46.25</c:v>
                </c:pt>
                <c:pt idx="262">
                  <c:v>54.285714285714285</c:v>
                </c:pt>
                <c:pt idx="263">
                  <c:v>115</c:v>
                </c:pt>
                <c:pt idx="264">
                  <c:v>61.666666666666664</c:v>
                </c:pt>
                <c:pt idx="265">
                  <c:v>153.33333333333334</c:v>
                </c:pt>
                <c:pt idx="266">
                  <c:v>44.444444444444443</c:v>
                </c:pt>
                <c:pt idx="267">
                  <c:v>60</c:v>
                </c:pt>
                <c:pt idx="268">
                  <c:v>83.333333333333329</c:v>
                </c:pt>
                <c:pt idx="269">
                  <c:v>42.000000000000007</c:v>
                </c:pt>
                <c:pt idx="270">
                  <c:v>83.333333333333329</c:v>
                </c:pt>
                <c:pt idx="271">
                  <c:v>146.66666666666666</c:v>
                </c:pt>
                <c:pt idx="272">
                  <c:v>160</c:v>
                </c:pt>
                <c:pt idx="273">
                  <c:v>50</c:v>
                </c:pt>
                <c:pt idx="274">
                  <c:v>166.66666666666666</c:v>
                </c:pt>
                <c:pt idx="275">
                  <c:v>125</c:v>
                </c:pt>
                <c:pt idx="276">
                  <c:v>250</c:v>
                </c:pt>
                <c:pt idx="277">
                  <c:v>125</c:v>
                </c:pt>
                <c:pt idx="278">
                  <c:v>102.5</c:v>
                </c:pt>
                <c:pt idx="279">
                  <c:v>100</c:v>
                </c:pt>
                <c:pt idx="280">
                  <c:v>163.33333333333334</c:v>
                </c:pt>
                <c:pt idx="281">
                  <c:v>205</c:v>
                </c:pt>
                <c:pt idx="282">
                  <c:v>230</c:v>
                </c:pt>
                <c:pt idx="283">
                  <c:v>156.66666666666666</c:v>
                </c:pt>
                <c:pt idx="284">
                  <c:v>215</c:v>
                </c:pt>
                <c:pt idx="285">
                  <c:v>480</c:v>
                </c:pt>
                <c:pt idx="286">
                  <c:v>235</c:v>
                </c:pt>
                <c:pt idx="287">
                  <c:v>156.66666666666666</c:v>
                </c:pt>
                <c:pt idx="288">
                  <c:v>75</c:v>
                </c:pt>
                <c:pt idx="289">
                  <c:v>106.66666666666667</c:v>
                </c:pt>
                <c:pt idx="290">
                  <c:v>146.66666666666669</c:v>
                </c:pt>
                <c:pt idx="291">
                  <c:v>96</c:v>
                </c:pt>
                <c:pt idx="292">
                  <c:v>71.428571428571431</c:v>
                </c:pt>
                <c:pt idx="293">
                  <c:v>68.333333333333329</c:v>
                </c:pt>
                <c:pt idx="294">
                  <c:v>122.5</c:v>
                </c:pt>
                <c:pt idx="295">
                  <c:v>146.66666666666666</c:v>
                </c:pt>
                <c:pt idx="296">
                  <c:v>500</c:v>
                </c:pt>
                <c:pt idx="297">
                  <c:v>156.66666666666666</c:v>
                </c:pt>
                <c:pt idx="298">
                  <c:v>60</c:v>
                </c:pt>
                <c:pt idx="299">
                  <c:v>133.33333333333334</c:v>
                </c:pt>
                <c:pt idx="300">
                  <c:v>86.000000000000014</c:v>
                </c:pt>
                <c:pt idx="301">
                  <c:v>62.5</c:v>
                </c:pt>
                <c:pt idx="302">
                  <c:v>68.571428571428569</c:v>
                </c:pt>
                <c:pt idx="303">
                  <c:v>140</c:v>
                </c:pt>
                <c:pt idx="304">
                  <c:v>65.714285714285708</c:v>
                </c:pt>
                <c:pt idx="305">
                  <c:v>37</c:v>
                </c:pt>
                <c:pt idx="306">
                  <c:v>153.33333333333334</c:v>
                </c:pt>
                <c:pt idx="307">
                  <c:v>107.5</c:v>
                </c:pt>
                <c:pt idx="308">
                  <c:v>115</c:v>
                </c:pt>
                <c:pt idx="309">
                  <c:v>235</c:v>
                </c:pt>
                <c:pt idx="310">
                  <c:v>76.666666666666671</c:v>
                </c:pt>
                <c:pt idx="311">
                  <c:v>62.5</c:v>
                </c:pt>
                <c:pt idx="312">
                  <c:v>150</c:v>
                </c:pt>
                <c:pt idx="313">
                  <c:v>156.66666666666666</c:v>
                </c:pt>
                <c:pt idx="314">
                  <c:v>110</c:v>
                </c:pt>
                <c:pt idx="315">
                  <c:v>57.5</c:v>
                </c:pt>
                <c:pt idx="316">
                  <c:v>61.428571428571431</c:v>
                </c:pt>
                <c:pt idx="317">
                  <c:v>41.428571428571431</c:v>
                </c:pt>
                <c:pt idx="318">
                  <c:v>55.714285714285715</c:v>
                </c:pt>
                <c:pt idx="319">
                  <c:v>70</c:v>
                </c:pt>
                <c:pt idx="320">
                  <c:v>36</c:v>
                </c:pt>
                <c:pt idx="321">
                  <c:v>50</c:v>
                </c:pt>
                <c:pt idx="322">
                  <c:v>32.857142857142854</c:v>
                </c:pt>
                <c:pt idx="323">
                  <c:v>14</c:v>
                </c:pt>
                <c:pt idx="324">
                  <c:v>20</c:v>
                </c:pt>
                <c:pt idx="325">
                  <c:v>20</c:v>
                </c:pt>
                <c:pt idx="326">
                  <c:v>25.714285714285715</c:v>
                </c:pt>
                <c:pt idx="327">
                  <c:v>28.75</c:v>
                </c:pt>
                <c:pt idx="328">
                  <c:v>14.285714285714286</c:v>
                </c:pt>
                <c:pt idx="329">
                  <c:v>50</c:v>
                </c:pt>
                <c:pt idx="330">
                  <c:v>10</c:v>
                </c:pt>
                <c:pt idx="331">
                  <c:v>12</c:v>
                </c:pt>
                <c:pt idx="332">
                  <c:v>6</c:v>
                </c:pt>
                <c:pt idx="333">
                  <c:v>29</c:v>
                </c:pt>
                <c:pt idx="334">
                  <c:v>22</c:v>
                </c:pt>
                <c:pt idx="335">
                  <c:v>21</c:v>
                </c:pt>
                <c:pt idx="336">
                  <c:v>8</c:v>
                </c:pt>
                <c:pt idx="337">
                  <c:v>5</c:v>
                </c:pt>
                <c:pt idx="338">
                  <c:v>7</c:v>
                </c:pt>
                <c:pt idx="339">
                  <c:v>7</c:v>
                </c:pt>
                <c:pt idx="340">
                  <c:v>50</c:v>
                </c:pt>
                <c:pt idx="341">
                  <c:v>50</c:v>
                </c:pt>
                <c:pt idx="342">
                  <c:v>7</c:v>
                </c:pt>
                <c:pt idx="343">
                  <c:v>50</c:v>
                </c:pt>
                <c:pt idx="344">
                  <c:v>11</c:v>
                </c:pt>
                <c:pt idx="345">
                  <c:v>50</c:v>
                </c:pt>
                <c:pt idx="346">
                  <c:v>10</c:v>
                </c:pt>
                <c:pt idx="347">
                  <c:v>7</c:v>
                </c:pt>
                <c:pt idx="348">
                  <c:v>50</c:v>
                </c:pt>
                <c:pt idx="349">
                  <c:v>50</c:v>
                </c:pt>
                <c:pt idx="350">
                  <c:v>40</c:v>
                </c:pt>
                <c:pt idx="351">
                  <c:v>36</c:v>
                </c:pt>
                <c:pt idx="352">
                  <c:v>27</c:v>
                </c:pt>
                <c:pt idx="353">
                  <c:v>183.33333333333334</c:v>
                </c:pt>
                <c:pt idx="354">
                  <c:v>120</c:v>
                </c:pt>
                <c:pt idx="355">
                  <c:v>82</c:v>
                </c:pt>
                <c:pt idx="356">
                  <c:v>70</c:v>
                </c:pt>
                <c:pt idx="357">
                  <c:v>38</c:v>
                </c:pt>
                <c:pt idx="358">
                  <c:v>42</c:v>
                </c:pt>
                <c:pt idx="359">
                  <c:v>28</c:v>
                </c:pt>
                <c:pt idx="360">
                  <c:v>62.5</c:v>
                </c:pt>
                <c:pt idx="361">
                  <c:v>65</c:v>
                </c:pt>
                <c:pt idx="362">
                  <c:v>62.5</c:v>
                </c:pt>
                <c:pt idx="363">
                  <c:v>83.333333333333329</c:v>
                </c:pt>
                <c:pt idx="364">
                  <c:v>56</c:v>
                </c:pt>
                <c:pt idx="365">
                  <c:v>38</c:v>
                </c:pt>
                <c:pt idx="366">
                  <c:v>46</c:v>
                </c:pt>
                <c:pt idx="367">
                  <c:v>70</c:v>
                </c:pt>
                <c:pt idx="368">
                  <c:v>53.333333333333336</c:v>
                </c:pt>
                <c:pt idx="369">
                  <c:v>36</c:v>
                </c:pt>
                <c:pt idx="370">
                  <c:v>63.333333333333336</c:v>
                </c:pt>
                <c:pt idx="371">
                  <c:v>63.333333333333336</c:v>
                </c:pt>
                <c:pt idx="372">
                  <c:v>37.5</c:v>
                </c:pt>
                <c:pt idx="373">
                  <c:v>90</c:v>
                </c:pt>
                <c:pt idx="374">
                  <c:v>46.666666666666664</c:v>
                </c:pt>
                <c:pt idx="375">
                  <c:v>95</c:v>
                </c:pt>
                <c:pt idx="376">
                  <c:v>56.666666666666664</c:v>
                </c:pt>
                <c:pt idx="377">
                  <c:v>30</c:v>
                </c:pt>
                <c:pt idx="378">
                  <c:v>52.5</c:v>
                </c:pt>
                <c:pt idx="379">
                  <c:v>53.333333333333336</c:v>
                </c:pt>
                <c:pt idx="380">
                  <c:v>56.666666666666664</c:v>
                </c:pt>
                <c:pt idx="381">
                  <c:v>30</c:v>
                </c:pt>
                <c:pt idx="382">
                  <c:v>37</c:v>
                </c:pt>
                <c:pt idx="383">
                  <c:v>24</c:v>
                </c:pt>
                <c:pt idx="384">
                  <c:v>27</c:v>
                </c:pt>
                <c:pt idx="385">
                  <c:v>22</c:v>
                </c:pt>
                <c:pt idx="386">
                  <c:v>26</c:v>
                </c:pt>
                <c:pt idx="387">
                  <c:v>58</c:v>
                </c:pt>
                <c:pt idx="388">
                  <c:v>20</c:v>
                </c:pt>
                <c:pt idx="389">
                  <c:v>16</c:v>
                </c:pt>
                <c:pt idx="390">
                  <c:v>28</c:v>
                </c:pt>
                <c:pt idx="391">
                  <c:v>80</c:v>
                </c:pt>
                <c:pt idx="392">
                  <c:v>50</c:v>
                </c:pt>
                <c:pt idx="393">
                  <c:v>100</c:v>
                </c:pt>
                <c:pt idx="394">
                  <c:v>50</c:v>
                </c:pt>
                <c:pt idx="395">
                  <c:v>100</c:v>
                </c:pt>
                <c:pt idx="396">
                  <c:v>41.666666666666664</c:v>
                </c:pt>
                <c:pt idx="397">
                  <c:v>100</c:v>
                </c:pt>
                <c:pt idx="398">
                  <c:v>100</c:v>
                </c:pt>
                <c:pt idx="399">
                  <c:v>50</c:v>
                </c:pt>
                <c:pt idx="400">
                  <c:v>100</c:v>
                </c:pt>
                <c:pt idx="401">
                  <c:v>100</c:v>
                </c:pt>
                <c:pt idx="402">
                  <c:v>50</c:v>
                </c:pt>
                <c:pt idx="403">
                  <c:v>100</c:v>
                </c:pt>
                <c:pt idx="404">
                  <c:v>50</c:v>
                </c:pt>
                <c:pt idx="405">
                  <c:v>50</c:v>
                </c:pt>
                <c:pt idx="406">
                  <c:v>100</c:v>
                </c:pt>
                <c:pt idx="407">
                  <c:v>50</c:v>
                </c:pt>
                <c:pt idx="408">
                  <c:v>50</c:v>
                </c:pt>
                <c:pt idx="411">
                  <c:v>125</c:v>
                </c:pt>
                <c:pt idx="412">
                  <c:v>125</c:v>
                </c:pt>
                <c:pt idx="413">
                  <c:v>100</c:v>
                </c:pt>
                <c:pt idx="414">
                  <c:v>83.333333333333329</c:v>
                </c:pt>
                <c:pt idx="415">
                  <c:v>50</c:v>
                </c:pt>
                <c:pt idx="416">
                  <c:v>100</c:v>
                </c:pt>
                <c:pt idx="417">
                  <c:v>100</c:v>
                </c:pt>
                <c:pt idx="418">
                  <c:v>50</c:v>
                </c:pt>
                <c:pt idx="419">
                  <c:v>166.66666666666666</c:v>
                </c:pt>
                <c:pt idx="420">
                  <c:v>125</c:v>
                </c:pt>
                <c:pt idx="421">
                  <c:v>125</c:v>
                </c:pt>
                <c:pt idx="422">
                  <c:v>100</c:v>
                </c:pt>
                <c:pt idx="423">
                  <c:v>125</c:v>
                </c:pt>
                <c:pt idx="424">
                  <c:v>125</c:v>
                </c:pt>
                <c:pt idx="425">
                  <c:v>100</c:v>
                </c:pt>
                <c:pt idx="426">
                  <c:v>166.66666666666666</c:v>
                </c:pt>
                <c:pt idx="427">
                  <c:v>125</c:v>
                </c:pt>
                <c:pt idx="428">
                  <c:v>125</c:v>
                </c:pt>
                <c:pt idx="429">
                  <c:v>100</c:v>
                </c:pt>
                <c:pt idx="430">
                  <c:v>125</c:v>
                </c:pt>
                <c:pt idx="431">
                  <c:v>125</c:v>
                </c:pt>
                <c:pt idx="432">
                  <c:v>125</c:v>
                </c:pt>
                <c:pt idx="433">
                  <c:v>100</c:v>
                </c:pt>
                <c:pt idx="434">
                  <c:v>125</c:v>
                </c:pt>
                <c:pt idx="435">
                  <c:v>83.333333333333329</c:v>
                </c:pt>
                <c:pt idx="436">
                  <c:v>125</c:v>
                </c:pt>
                <c:pt idx="437">
                  <c:v>125</c:v>
                </c:pt>
                <c:pt idx="438">
                  <c:v>125</c:v>
                </c:pt>
                <c:pt idx="439">
                  <c:v>125</c:v>
                </c:pt>
                <c:pt idx="440">
                  <c:v>125</c:v>
                </c:pt>
                <c:pt idx="441">
                  <c:v>100</c:v>
                </c:pt>
                <c:pt idx="442">
                  <c:v>125</c:v>
                </c:pt>
                <c:pt idx="443">
                  <c:v>100</c:v>
                </c:pt>
                <c:pt idx="444">
                  <c:v>125</c:v>
                </c:pt>
                <c:pt idx="445">
                  <c:v>125</c:v>
                </c:pt>
                <c:pt idx="446">
                  <c:v>71.428571428571431</c:v>
                </c:pt>
                <c:pt idx="447">
                  <c:v>71.428571428571431</c:v>
                </c:pt>
                <c:pt idx="448">
                  <c:v>71.428571428571431</c:v>
                </c:pt>
                <c:pt idx="449">
                  <c:v>71.428571428571431</c:v>
                </c:pt>
                <c:pt idx="450">
                  <c:v>125</c:v>
                </c:pt>
                <c:pt idx="451">
                  <c:v>125</c:v>
                </c:pt>
                <c:pt idx="452">
                  <c:v>125</c:v>
                </c:pt>
                <c:pt idx="453">
                  <c:v>125</c:v>
                </c:pt>
                <c:pt idx="454">
                  <c:v>62.5</c:v>
                </c:pt>
                <c:pt idx="455">
                  <c:v>62.5</c:v>
                </c:pt>
                <c:pt idx="456">
                  <c:v>125</c:v>
                </c:pt>
                <c:pt idx="457">
                  <c:v>100</c:v>
                </c:pt>
                <c:pt idx="458">
                  <c:v>93.75</c:v>
                </c:pt>
                <c:pt idx="459">
                  <c:v>125</c:v>
                </c:pt>
                <c:pt idx="460">
                  <c:v>83.333333333333329</c:v>
                </c:pt>
                <c:pt idx="461">
                  <c:v>125</c:v>
                </c:pt>
                <c:pt idx="462">
                  <c:v>83.333333333333329</c:v>
                </c:pt>
                <c:pt idx="463">
                  <c:v>71.428571428571431</c:v>
                </c:pt>
                <c:pt idx="464">
                  <c:v>125</c:v>
                </c:pt>
                <c:pt idx="465">
                  <c:v>125</c:v>
                </c:pt>
                <c:pt idx="466">
                  <c:v>166.66666666666666</c:v>
                </c:pt>
                <c:pt idx="467">
                  <c:v>100</c:v>
                </c:pt>
                <c:pt idx="468">
                  <c:v>125</c:v>
                </c:pt>
                <c:pt idx="469">
                  <c:v>125</c:v>
                </c:pt>
                <c:pt idx="470">
                  <c:v>60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125</c:v>
                </c:pt>
                <c:pt idx="506">
                  <c:v>71.428571428571431</c:v>
                </c:pt>
                <c:pt idx="507">
                  <c:v>100</c:v>
                </c:pt>
                <c:pt idx="508">
                  <c:v>100</c:v>
                </c:pt>
                <c:pt idx="509">
                  <c:v>50</c:v>
                </c:pt>
                <c:pt idx="510">
                  <c:v>125</c:v>
                </c:pt>
                <c:pt idx="511">
                  <c:v>50</c:v>
                </c:pt>
                <c:pt idx="512">
                  <c:v>50</c:v>
                </c:pt>
                <c:pt idx="513">
                  <c:v>125</c:v>
                </c:pt>
                <c:pt idx="514">
                  <c:v>100</c:v>
                </c:pt>
                <c:pt idx="515">
                  <c:v>50</c:v>
                </c:pt>
                <c:pt idx="516">
                  <c:v>50</c:v>
                </c:pt>
                <c:pt idx="517">
                  <c:v>125</c:v>
                </c:pt>
                <c:pt idx="518">
                  <c:v>100</c:v>
                </c:pt>
                <c:pt idx="519">
                  <c:v>125</c:v>
                </c:pt>
                <c:pt idx="520">
                  <c:v>166.66666666666666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125</c:v>
                </c:pt>
                <c:pt idx="529">
                  <c:v>125</c:v>
                </c:pt>
                <c:pt idx="530">
                  <c:v>100</c:v>
                </c:pt>
                <c:pt idx="531">
                  <c:v>166.66666666666666</c:v>
                </c:pt>
                <c:pt idx="532">
                  <c:v>100</c:v>
                </c:pt>
                <c:pt idx="533">
                  <c:v>125</c:v>
                </c:pt>
                <c:pt idx="534">
                  <c:v>125</c:v>
                </c:pt>
                <c:pt idx="535">
                  <c:v>50</c:v>
                </c:pt>
                <c:pt idx="536">
                  <c:v>166.66666666666666</c:v>
                </c:pt>
                <c:pt idx="537">
                  <c:v>100</c:v>
                </c:pt>
                <c:pt idx="538">
                  <c:v>62.5</c:v>
                </c:pt>
                <c:pt idx="539">
                  <c:v>125</c:v>
                </c:pt>
                <c:pt idx="540">
                  <c:v>125</c:v>
                </c:pt>
                <c:pt idx="541">
                  <c:v>125</c:v>
                </c:pt>
                <c:pt idx="542">
                  <c:v>125</c:v>
                </c:pt>
                <c:pt idx="543">
                  <c:v>125</c:v>
                </c:pt>
                <c:pt idx="544">
                  <c:v>125</c:v>
                </c:pt>
                <c:pt idx="545">
                  <c:v>125</c:v>
                </c:pt>
                <c:pt idx="546">
                  <c:v>125</c:v>
                </c:pt>
                <c:pt idx="547">
                  <c:v>100</c:v>
                </c:pt>
                <c:pt idx="548">
                  <c:v>125</c:v>
                </c:pt>
                <c:pt idx="549">
                  <c:v>125</c:v>
                </c:pt>
                <c:pt idx="550">
                  <c:v>125</c:v>
                </c:pt>
                <c:pt idx="551">
                  <c:v>125</c:v>
                </c:pt>
                <c:pt idx="552">
                  <c:v>125</c:v>
                </c:pt>
                <c:pt idx="553">
                  <c:v>100</c:v>
                </c:pt>
                <c:pt idx="554">
                  <c:v>125</c:v>
                </c:pt>
                <c:pt idx="555">
                  <c:v>125</c:v>
                </c:pt>
                <c:pt idx="556">
                  <c:v>83.333333333333329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50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125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125</c:v>
                </c:pt>
                <c:pt idx="570">
                  <c:v>166.66666666666666</c:v>
                </c:pt>
                <c:pt idx="571">
                  <c:v>100</c:v>
                </c:pt>
                <c:pt idx="572">
                  <c:v>50</c:v>
                </c:pt>
                <c:pt idx="573">
                  <c:v>100</c:v>
                </c:pt>
                <c:pt idx="574">
                  <c:v>125</c:v>
                </c:pt>
                <c:pt idx="575">
                  <c:v>62.5</c:v>
                </c:pt>
                <c:pt idx="576">
                  <c:v>100</c:v>
                </c:pt>
                <c:pt idx="577">
                  <c:v>50</c:v>
                </c:pt>
                <c:pt idx="578">
                  <c:v>50</c:v>
                </c:pt>
                <c:pt idx="579">
                  <c:v>100</c:v>
                </c:pt>
                <c:pt idx="580">
                  <c:v>166.66666666666666</c:v>
                </c:pt>
                <c:pt idx="581">
                  <c:v>125</c:v>
                </c:pt>
                <c:pt idx="582">
                  <c:v>125</c:v>
                </c:pt>
                <c:pt idx="583">
                  <c:v>33.333333333333336</c:v>
                </c:pt>
                <c:pt idx="584">
                  <c:v>65.536000000000001</c:v>
                </c:pt>
                <c:pt idx="585">
                  <c:v>25</c:v>
                </c:pt>
                <c:pt idx="586">
                  <c:v>20.000000000000004</c:v>
                </c:pt>
                <c:pt idx="587">
                  <c:v>19.999999999999996</c:v>
                </c:pt>
                <c:pt idx="588">
                  <c:v>14.999999999999998</c:v>
                </c:pt>
                <c:pt idx="589">
                  <c:v>21.666666666666664</c:v>
                </c:pt>
                <c:pt idx="590">
                  <c:v>16.666666666666668</c:v>
                </c:pt>
                <c:pt idx="591">
                  <c:v>20.000000000000004</c:v>
                </c:pt>
                <c:pt idx="592">
                  <c:v>20.000000000000004</c:v>
                </c:pt>
                <c:pt idx="593">
                  <c:v>55.000000000000014</c:v>
                </c:pt>
                <c:pt idx="594">
                  <c:v>29.999999999999982</c:v>
                </c:pt>
                <c:pt idx="595">
                  <c:v>100.0000000000001</c:v>
                </c:pt>
                <c:pt idx="596">
                  <c:v>162.50000000000009</c:v>
                </c:pt>
                <c:pt idx="597">
                  <c:v>19.999999999999929</c:v>
                </c:pt>
                <c:pt idx="598">
                  <c:v>10.000000000000053</c:v>
                </c:pt>
                <c:pt idx="599">
                  <c:v>22.499999999999964</c:v>
                </c:pt>
                <c:pt idx="600">
                  <c:v>112.50000000000027</c:v>
                </c:pt>
                <c:pt idx="601">
                  <c:v>128.57142857142838</c:v>
                </c:pt>
                <c:pt idx="602">
                  <c:v>80.000000000000071</c:v>
                </c:pt>
                <c:pt idx="603">
                  <c:v>83.333333333333329</c:v>
                </c:pt>
                <c:pt idx="604">
                  <c:v>22.500000000000053</c:v>
                </c:pt>
                <c:pt idx="605">
                  <c:v>100</c:v>
                </c:pt>
                <c:pt idx="606">
                  <c:v>29.999999999999982</c:v>
                </c:pt>
                <c:pt idx="607">
                  <c:v>14.999999999999947</c:v>
                </c:pt>
                <c:pt idx="608">
                  <c:v>12.5</c:v>
                </c:pt>
                <c:pt idx="609">
                  <c:v>15.000000000000034</c:v>
                </c:pt>
                <c:pt idx="610">
                  <c:v>50</c:v>
                </c:pt>
                <c:pt idx="611">
                  <c:v>32.500000000000014</c:v>
                </c:pt>
                <c:pt idx="612">
                  <c:v>39.99999999999995</c:v>
                </c:pt>
                <c:pt idx="613">
                  <c:v>129.16666666666671</c:v>
                </c:pt>
                <c:pt idx="614">
                  <c:v>266.66666666666691</c:v>
                </c:pt>
                <c:pt idx="615">
                  <c:v>199.9999999999998</c:v>
                </c:pt>
                <c:pt idx="616">
                  <c:v>320.00000000000028</c:v>
                </c:pt>
                <c:pt idx="617">
                  <c:v>150</c:v>
                </c:pt>
                <c:pt idx="618">
                  <c:v>191.66666666666643</c:v>
                </c:pt>
                <c:pt idx="619">
                  <c:v>200.00000000000017</c:v>
                </c:pt>
                <c:pt idx="620">
                  <c:v>125</c:v>
                </c:pt>
                <c:pt idx="621">
                  <c:v>145.83333333333334</c:v>
                </c:pt>
                <c:pt idx="622">
                  <c:v>138.88888888888889</c:v>
                </c:pt>
                <c:pt idx="623">
                  <c:v>316.66666666666646</c:v>
                </c:pt>
                <c:pt idx="624">
                  <c:v>100.00000000000009</c:v>
                </c:pt>
                <c:pt idx="625">
                  <c:v>79.166666666666302</c:v>
                </c:pt>
                <c:pt idx="626">
                  <c:v>136.36363636363637</c:v>
                </c:pt>
                <c:pt idx="627">
                  <c:v>95.454545454545851</c:v>
                </c:pt>
                <c:pt idx="628">
                  <c:v>121.42857142857112</c:v>
                </c:pt>
                <c:pt idx="629">
                  <c:v>144.44444444444491</c:v>
                </c:pt>
                <c:pt idx="630">
                  <c:v>92.857142857142662</c:v>
                </c:pt>
                <c:pt idx="631">
                  <c:v>99.999999999999844</c:v>
                </c:pt>
                <c:pt idx="632">
                  <c:v>157.14285714285734</c:v>
                </c:pt>
                <c:pt idx="633">
                  <c:v>143.74999999999983</c:v>
                </c:pt>
                <c:pt idx="634">
                  <c:v>134.61538461538461</c:v>
                </c:pt>
                <c:pt idx="635">
                  <c:v>35.000000000000142</c:v>
                </c:pt>
                <c:pt idx="636">
                  <c:v>32.499999999999929</c:v>
                </c:pt>
                <c:pt idx="637">
                  <c:v>12.5</c:v>
                </c:pt>
                <c:pt idx="638">
                  <c:v>66.66666666666643</c:v>
                </c:pt>
                <c:pt idx="639">
                  <c:v>116.66666666666714</c:v>
                </c:pt>
                <c:pt idx="640">
                  <c:v>34.999999999999787</c:v>
                </c:pt>
                <c:pt idx="641">
                  <c:v>128.57142857142838</c:v>
                </c:pt>
                <c:pt idx="642">
                  <c:v>30.000000000000068</c:v>
                </c:pt>
                <c:pt idx="643">
                  <c:v>116.66666666666714</c:v>
                </c:pt>
                <c:pt idx="644">
                  <c:v>139.99999999999915</c:v>
                </c:pt>
                <c:pt idx="645">
                  <c:v>120.00000000000027</c:v>
                </c:pt>
                <c:pt idx="646">
                  <c:v>91.666666666667382</c:v>
                </c:pt>
                <c:pt idx="647">
                  <c:v>32.499999999999929</c:v>
                </c:pt>
                <c:pt idx="648">
                  <c:v>116.66666666666595</c:v>
                </c:pt>
                <c:pt idx="649">
                  <c:v>30.000000000000068</c:v>
                </c:pt>
                <c:pt idx="650">
                  <c:v>140.00000000000057</c:v>
                </c:pt>
                <c:pt idx="651">
                  <c:v>60.000000000000135</c:v>
                </c:pt>
                <c:pt idx="652">
                  <c:v>56.666666666666288</c:v>
                </c:pt>
                <c:pt idx="653">
                  <c:v>118.75000000000036</c:v>
                </c:pt>
                <c:pt idx="654">
                  <c:v>91.666666666666785</c:v>
                </c:pt>
                <c:pt idx="655">
                  <c:v>149.99999999999977</c:v>
                </c:pt>
                <c:pt idx="656">
                  <c:v>129.99999999999972</c:v>
                </c:pt>
                <c:pt idx="657">
                  <c:v>83.333333333333329</c:v>
                </c:pt>
                <c:pt idx="658">
                  <c:v>55.000000000000071</c:v>
                </c:pt>
                <c:pt idx="659">
                  <c:v>50</c:v>
                </c:pt>
                <c:pt idx="660">
                  <c:v>67.000000000000171</c:v>
                </c:pt>
                <c:pt idx="661">
                  <c:v>250</c:v>
                </c:pt>
                <c:pt idx="662">
                  <c:v>87.500000000000355</c:v>
                </c:pt>
                <c:pt idx="663">
                  <c:v>14.999999999999858</c:v>
                </c:pt>
                <c:pt idx="664">
                  <c:v>118.74999999999946</c:v>
                </c:pt>
                <c:pt idx="665">
                  <c:v>55.000000000000433</c:v>
                </c:pt>
                <c:pt idx="666">
                  <c:v>119.99999999999886</c:v>
                </c:pt>
                <c:pt idx="667">
                  <c:v>77.272727272728048</c:v>
                </c:pt>
                <c:pt idx="668">
                  <c:v>29.999999999999716</c:v>
                </c:pt>
                <c:pt idx="669">
                  <c:v>187.5</c:v>
                </c:pt>
                <c:pt idx="670">
                  <c:v>190.00000000000057</c:v>
                </c:pt>
                <c:pt idx="671">
                  <c:v>221.42857142857105</c:v>
                </c:pt>
                <c:pt idx="672">
                  <c:v>307.50000000000102</c:v>
                </c:pt>
                <c:pt idx="673">
                  <c:v>472.50000000000011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50</c:v>
                </c:pt>
                <c:pt idx="678">
                  <c:v>109.99999999999996</c:v>
                </c:pt>
                <c:pt idx="679">
                  <c:v>66.666666666666728</c:v>
                </c:pt>
                <c:pt idx="680">
                  <c:v>88.888888888888857</c:v>
                </c:pt>
                <c:pt idx="681">
                  <c:v>100.00000000000004</c:v>
                </c:pt>
                <c:pt idx="682">
                  <c:v>157.49999999999997</c:v>
                </c:pt>
                <c:pt idx="683">
                  <c:v>189.99999999999994</c:v>
                </c:pt>
                <c:pt idx="684">
                  <c:v>90.000000000000028</c:v>
                </c:pt>
                <c:pt idx="685">
                  <c:v>100.00000000000004</c:v>
                </c:pt>
                <c:pt idx="686">
                  <c:v>79.999999999999716</c:v>
                </c:pt>
                <c:pt idx="687">
                  <c:v>100.00000000000023</c:v>
                </c:pt>
                <c:pt idx="688">
                  <c:v>128.57142857142838</c:v>
                </c:pt>
                <c:pt idx="689">
                  <c:v>170.00000000000011</c:v>
                </c:pt>
                <c:pt idx="690">
                  <c:v>69.999999999999929</c:v>
                </c:pt>
                <c:pt idx="691">
                  <c:v>83.999999999999986</c:v>
                </c:pt>
                <c:pt idx="692">
                  <c:v>83.333333333333329</c:v>
                </c:pt>
                <c:pt idx="693">
                  <c:v>61.000000000000036</c:v>
                </c:pt>
                <c:pt idx="694">
                  <c:v>127.99999999999987</c:v>
                </c:pt>
                <c:pt idx="695">
                  <c:v>78.666666666666885</c:v>
                </c:pt>
                <c:pt idx="696">
                  <c:v>75</c:v>
                </c:pt>
                <c:pt idx="697">
                  <c:v>163.6363636363634</c:v>
                </c:pt>
                <c:pt idx="698">
                  <c:v>50</c:v>
                </c:pt>
                <c:pt idx="699">
                  <c:v>160.83333333333331</c:v>
                </c:pt>
                <c:pt idx="700">
                  <c:v>15.000000000000034</c:v>
                </c:pt>
                <c:pt idx="701">
                  <c:v>34.999999999999964</c:v>
                </c:pt>
                <c:pt idx="702">
                  <c:v>59.999999999999964</c:v>
                </c:pt>
                <c:pt idx="703">
                  <c:v>60.526315789473792</c:v>
                </c:pt>
                <c:pt idx="704">
                  <c:v>142.85714285714286</c:v>
                </c:pt>
                <c:pt idx="705">
                  <c:v>144.44444444444431</c:v>
                </c:pt>
                <c:pt idx="706">
                  <c:v>51.999999999999957</c:v>
                </c:pt>
                <c:pt idx="707">
                  <c:v>80.000000000000327</c:v>
                </c:pt>
                <c:pt idx="708">
                  <c:v>30.000000000000068</c:v>
                </c:pt>
                <c:pt idx="709">
                  <c:v>17.500000000000071</c:v>
                </c:pt>
                <c:pt idx="710">
                  <c:v>68.181818181818187</c:v>
                </c:pt>
                <c:pt idx="711">
                  <c:v>59.999999999999908</c:v>
                </c:pt>
                <c:pt idx="712">
                  <c:v>44.999999999999929</c:v>
                </c:pt>
                <c:pt idx="713">
                  <c:v>39.999999999999858</c:v>
                </c:pt>
                <c:pt idx="714">
                  <c:v>32.500000000000284</c:v>
                </c:pt>
                <c:pt idx="715">
                  <c:v>99.999999999999389</c:v>
                </c:pt>
                <c:pt idx="716">
                  <c:v>39.999999999999858</c:v>
                </c:pt>
                <c:pt idx="717">
                  <c:v>40.000000000000213</c:v>
                </c:pt>
                <c:pt idx="718">
                  <c:v>100</c:v>
                </c:pt>
                <c:pt idx="719">
                  <c:v>75</c:v>
                </c:pt>
                <c:pt idx="720">
                  <c:v>44.999999999999929</c:v>
                </c:pt>
                <c:pt idx="721">
                  <c:v>30.000000000000068</c:v>
                </c:pt>
                <c:pt idx="722">
                  <c:v>100</c:v>
                </c:pt>
                <c:pt idx="723">
                  <c:v>53.333333333333144</c:v>
                </c:pt>
                <c:pt idx="724">
                  <c:v>56.666666666666757</c:v>
                </c:pt>
                <c:pt idx="725">
                  <c:v>36.66666666666648</c:v>
                </c:pt>
                <c:pt idx="726">
                  <c:v>46.666666666666856</c:v>
                </c:pt>
                <c:pt idx="727">
                  <c:v>143.74999999999983</c:v>
                </c:pt>
                <c:pt idx="728">
                  <c:v>135.99999999999994</c:v>
                </c:pt>
                <c:pt idx="729">
                  <c:v>131.25000000000054</c:v>
                </c:pt>
                <c:pt idx="730">
                  <c:v>89.999999999999858</c:v>
                </c:pt>
                <c:pt idx="731">
                  <c:v>125</c:v>
                </c:pt>
                <c:pt idx="732">
                  <c:v>19.999999999999929</c:v>
                </c:pt>
                <c:pt idx="733">
                  <c:v>25</c:v>
                </c:pt>
                <c:pt idx="734">
                  <c:v>116.66666666666636</c:v>
                </c:pt>
                <c:pt idx="735">
                  <c:v>5.0000000000000711</c:v>
                </c:pt>
                <c:pt idx="736">
                  <c:v>19.999999999999929</c:v>
                </c:pt>
                <c:pt idx="737">
                  <c:v>53.33333333333362</c:v>
                </c:pt>
                <c:pt idx="738">
                  <c:v>59.999999999999787</c:v>
                </c:pt>
                <c:pt idx="739">
                  <c:v>100</c:v>
                </c:pt>
                <c:pt idx="740">
                  <c:v>65.000000000000213</c:v>
                </c:pt>
                <c:pt idx="741">
                  <c:v>117.64705882352941</c:v>
                </c:pt>
                <c:pt idx="742">
                  <c:v>181.81818181818181</c:v>
                </c:pt>
                <c:pt idx="743">
                  <c:v>139.99999999999963</c:v>
                </c:pt>
                <c:pt idx="744">
                  <c:v>142.85714285714286</c:v>
                </c:pt>
                <c:pt idx="745">
                  <c:v>50</c:v>
                </c:pt>
                <c:pt idx="746">
                  <c:v>100</c:v>
                </c:pt>
                <c:pt idx="747">
                  <c:v>95.000000000000284</c:v>
                </c:pt>
                <c:pt idx="748">
                  <c:v>80.000000000000185</c:v>
                </c:pt>
                <c:pt idx="749">
                  <c:v>35.000000000000142</c:v>
                </c:pt>
                <c:pt idx="750">
                  <c:v>79.999999999999247</c:v>
                </c:pt>
                <c:pt idx="751">
                  <c:v>80.000000000000185</c:v>
                </c:pt>
                <c:pt idx="752">
                  <c:v>46.000000000000085</c:v>
                </c:pt>
                <c:pt idx="753">
                  <c:v>30</c:v>
                </c:pt>
                <c:pt idx="754">
                  <c:v>30</c:v>
                </c:pt>
                <c:pt idx="755">
                  <c:v>30.000000000000007</c:v>
                </c:pt>
                <c:pt idx="756">
                  <c:v>35</c:v>
                </c:pt>
                <c:pt idx="757">
                  <c:v>32.499999999999993</c:v>
                </c:pt>
                <c:pt idx="758">
                  <c:v>44.999999999999993</c:v>
                </c:pt>
                <c:pt idx="759">
                  <c:v>64.999999999999986</c:v>
                </c:pt>
                <c:pt idx="760">
                  <c:v>45.000000000000014</c:v>
                </c:pt>
                <c:pt idx="761">
                  <c:v>140.00000000000006</c:v>
                </c:pt>
                <c:pt idx="762">
                  <c:v>50</c:v>
                </c:pt>
                <c:pt idx="763">
                  <c:v>187.5</c:v>
                </c:pt>
                <c:pt idx="764">
                  <c:v>150.00000000000003</c:v>
                </c:pt>
                <c:pt idx="765">
                  <c:v>25</c:v>
                </c:pt>
                <c:pt idx="766">
                  <c:v>169.99999999999994</c:v>
                </c:pt>
                <c:pt idx="767">
                  <c:v>100</c:v>
                </c:pt>
                <c:pt idx="768">
                  <c:v>120.00000000000004</c:v>
                </c:pt>
                <c:pt idx="769">
                  <c:v>112.49999999999983</c:v>
                </c:pt>
                <c:pt idx="770">
                  <c:v>114.28571428571438</c:v>
                </c:pt>
                <c:pt idx="771">
                  <c:v>37.500000000000085</c:v>
                </c:pt>
                <c:pt idx="772">
                  <c:v>49.999999999999822</c:v>
                </c:pt>
                <c:pt idx="773">
                  <c:v>35.000000000000142</c:v>
                </c:pt>
                <c:pt idx="774">
                  <c:v>112.49999999999983</c:v>
                </c:pt>
                <c:pt idx="775">
                  <c:v>166.66666666666666</c:v>
                </c:pt>
                <c:pt idx="776">
                  <c:v>66.66666666666643</c:v>
                </c:pt>
                <c:pt idx="777">
                  <c:v>137.50000000000017</c:v>
                </c:pt>
                <c:pt idx="778">
                  <c:v>85.000000000000142</c:v>
                </c:pt>
                <c:pt idx="779">
                  <c:v>34.999999999999787</c:v>
                </c:pt>
                <c:pt idx="780">
                  <c:v>40.000000000000213</c:v>
                </c:pt>
                <c:pt idx="781">
                  <c:v>52.500000000000036</c:v>
                </c:pt>
                <c:pt idx="782">
                  <c:v>77.7777777777777</c:v>
                </c:pt>
                <c:pt idx="783">
                  <c:v>33.333333333333336</c:v>
                </c:pt>
                <c:pt idx="784">
                  <c:v>36.666666666666714</c:v>
                </c:pt>
                <c:pt idx="785">
                  <c:v>20.000000000000046</c:v>
                </c:pt>
                <c:pt idx="786">
                  <c:v>30.000000000000068</c:v>
                </c:pt>
                <c:pt idx="787">
                  <c:v>43.74999999999973</c:v>
                </c:pt>
                <c:pt idx="788">
                  <c:v>42.857142857142954</c:v>
                </c:pt>
                <c:pt idx="789">
                  <c:v>133.33333333333286</c:v>
                </c:pt>
                <c:pt idx="790">
                  <c:v>57.142857142857451</c:v>
                </c:pt>
                <c:pt idx="791">
                  <c:v>72.222222222222072</c:v>
                </c:pt>
                <c:pt idx="792">
                  <c:v>137.50000000000017</c:v>
                </c:pt>
                <c:pt idx="793">
                  <c:v>120.00000000000027</c:v>
                </c:pt>
                <c:pt idx="794">
                  <c:v>159.99999999999943</c:v>
                </c:pt>
                <c:pt idx="795">
                  <c:v>92.85714285714316</c:v>
                </c:pt>
                <c:pt idx="796">
                  <c:v>77.7777777777777</c:v>
                </c:pt>
                <c:pt idx="797">
                  <c:v>66.666666666666814</c:v>
                </c:pt>
                <c:pt idx="798">
                  <c:v>100</c:v>
                </c:pt>
                <c:pt idx="799">
                  <c:v>59.999999999999432</c:v>
                </c:pt>
                <c:pt idx="800">
                  <c:v>105.55555555555587</c:v>
                </c:pt>
                <c:pt idx="801">
                  <c:v>120.00000000000027</c:v>
                </c:pt>
                <c:pt idx="802">
                  <c:v>62.5</c:v>
                </c:pt>
                <c:pt idx="803">
                  <c:v>94.444444444443818</c:v>
                </c:pt>
                <c:pt idx="804">
                  <c:v>66.666666666667027</c:v>
                </c:pt>
                <c:pt idx="805">
                  <c:v>162.49999999999966</c:v>
                </c:pt>
                <c:pt idx="806">
                  <c:v>107.69230769230759</c:v>
                </c:pt>
                <c:pt idx="807">
                  <c:v>64.999999999999858</c:v>
                </c:pt>
                <c:pt idx="808">
                  <c:v>80.000000000000426</c:v>
                </c:pt>
                <c:pt idx="809">
                  <c:v>94.999999999999929</c:v>
                </c:pt>
                <c:pt idx="810">
                  <c:v>66.666666666666671</c:v>
                </c:pt>
                <c:pt idx="811">
                  <c:v>89.999999999999858</c:v>
                </c:pt>
                <c:pt idx="812">
                  <c:v>125</c:v>
                </c:pt>
                <c:pt idx="813">
                  <c:v>100.00000000000041</c:v>
                </c:pt>
                <c:pt idx="814">
                  <c:v>100.00000000000023</c:v>
                </c:pt>
                <c:pt idx="815">
                  <c:v>79.999999999999716</c:v>
                </c:pt>
                <c:pt idx="816">
                  <c:v>40.000000000000213</c:v>
                </c:pt>
                <c:pt idx="817">
                  <c:v>135.71428571428561</c:v>
                </c:pt>
                <c:pt idx="818">
                  <c:v>187.5</c:v>
                </c:pt>
                <c:pt idx="819">
                  <c:v>119.99999999999957</c:v>
                </c:pt>
                <c:pt idx="820">
                  <c:v>55.555555555555557</c:v>
                </c:pt>
                <c:pt idx="821">
                  <c:v>171.42857142857181</c:v>
                </c:pt>
                <c:pt idx="822">
                  <c:v>120.00000000000027</c:v>
                </c:pt>
                <c:pt idx="823">
                  <c:v>77.777777777777303</c:v>
                </c:pt>
                <c:pt idx="824">
                  <c:v>125</c:v>
                </c:pt>
                <c:pt idx="825">
                  <c:v>112.50000000000071</c:v>
                </c:pt>
                <c:pt idx="826">
                  <c:v>109.99999999999943</c:v>
                </c:pt>
                <c:pt idx="827">
                  <c:v>62.5</c:v>
                </c:pt>
                <c:pt idx="828">
                  <c:v>63.636363636363896</c:v>
                </c:pt>
                <c:pt idx="829">
                  <c:v>116.66666666666595</c:v>
                </c:pt>
                <c:pt idx="830">
                  <c:v>150</c:v>
                </c:pt>
                <c:pt idx="831">
                  <c:v>92.857142857143671</c:v>
                </c:pt>
                <c:pt idx="832">
                  <c:v>108.3333333333331</c:v>
                </c:pt>
                <c:pt idx="833">
                  <c:v>86.363636363636616</c:v>
                </c:pt>
                <c:pt idx="834">
                  <c:v>142.85714285714286</c:v>
                </c:pt>
                <c:pt idx="835">
                  <c:v>199.99999999999574</c:v>
                </c:pt>
                <c:pt idx="836">
                  <c:v>157.14285714285839</c:v>
                </c:pt>
                <c:pt idx="837">
                  <c:v>75.000000000000171</c:v>
                </c:pt>
                <c:pt idx="838">
                  <c:v>200</c:v>
                </c:pt>
                <c:pt idx="839">
                  <c:v>285.71428571428572</c:v>
                </c:pt>
                <c:pt idx="840">
                  <c:v>181.81818181818181</c:v>
                </c:pt>
                <c:pt idx="841">
                  <c:v>139.99999999999963</c:v>
                </c:pt>
                <c:pt idx="842">
                  <c:v>158.3333333333338</c:v>
                </c:pt>
                <c:pt idx="843">
                  <c:v>40</c:v>
                </c:pt>
                <c:pt idx="844">
                  <c:v>54.999999999999986</c:v>
                </c:pt>
                <c:pt idx="845">
                  <c:v>35.000000000000014</c:v>
                </c:pt>
                <c:pt idx="846">
                  <c:v>50</c:v>
                </c:pt>
                <c:pt idx="847">
                  <c:v>49.999999999999979</c:v>
                </c:pt>
                <c:pt idx="848">
                  <c:v>40.000000000000036</c:v>
                </c:pt>
                <c:pt idx="849">
                  <c:v>159.99999999999994</c:v>
                </c:pt>
                <c:pt idx="850">
                  <c:v>109.99999999999996</c:v>
                </c:pt>
                <c:pt idx="851">
                  <c:v>61.111111111111086</c:v>
                </c:pt>
                <c:pt idx="852">
                  <c:v>62.5</c:v>
                </c:pt>
                <c:pt idx="853">
                  <c:v>99.999999999999943</c:v>
                </c:pt>
                <c:pt idx="854">
                  <c:v>116.66666666666656</c:v>
                </c:pt>
                <c:pt idx="855">
                  <c:v>150</c:v>
                </c:pt>
                <c:pt idx="856">
                  <c:v>144.44444444444451</c:v>
                </c:pt>
                <c:pt idx="857">
                  <c:v>88.888888888888971</c:v>
                </c:pt>
                <c:pt idx="858">
                  <c:v>120.5882352941176</c:v>
                </c:pt>
                <c:pt idx="859">
                  <c:v>50.000000000000114</c:v>
                </c:pt>
                <c:pt idx="860">
                  <c:v>59.999999999999787</c:v>
                </c:pt>
                <c:pt idx="861">
                  <c:v>85.000000000000142</c:v>
                </c:pt>
                <c:pt idx="862">
                  <c:v>29.999999999999893</c:v>
                </c:pt>
                <c:pt idx="863">
                  <c:v>119.99999999999993</c:v>
                </c:pt>
                <c:pt idx="864">
                  <c:v>41.666666666666664</c:v>
                </c:pt>
                <c:pt idx="865">
                  <c:v>50.000000000000114</c:v>
                </c:pt>
                <c:pt idx="866">
                  <c:v>70.000000000000284</c:v>
                </c:pt>
                <c:pt idx="867">
                  <c:v>75</c:v>
                </c:pt>
                <c:pt idx="868">
                  <c:v>75</c:v>
                </c:pt>
                <c:pt idx="869">
                  <c:v>89.999999999999858</c:v>
                </c:pt>
                <c:pt idx="870">
                  <c:v>160.00000000000014</c:v>
                </c:pt>
                <c:pt idx="871">
                  <c:v>139.99999999999986</c:v>
                </c:pt>
                <c:pt idx="872">
                  <c:v>109.09090909090902</c:v>
                </c:pt>
                <c:pt idx="873">
                  <c:v>125</c:v>
                </c:pt>
                <c:pt idx="874">
                  <c:v>250</c:v>
                </c:pt>
                <c:pt idx="875">
                  <c:v>233.33333333333348</c:v>
                </c:pt>
                <c:pt idx="876">
                  <c:v>181.81818181818181</c:v>
                </c:pt>
                <c:pt idx="877">
                  <c:v>161.53846153846138</c:v>
                </c:pt>
                <c:pt idx="878">
                  <c:v>222.22222222222223</c:v>
                </c:pt>
                <c:pt idx="879">
                  <c:v>161.53846153846163</c:v>
                </c:pt>
                <c:pt idx="880">
                  <c:v>179.16666666666654</c:v>
                </c:pt>
                <c:pt idx="881">
                  <c:v>154.16666666666677</c:v>
                </c:pt>
                <c:pt idx="882">
                  <c:v>130</c:v>
                </c:pt>
                <c:pt idx="883">
                  <c:v>36.666666666666664</c:v>
                </c:pt>
                <c:pt idx="884">
                  <c:v>75.000000000000028</c:v>
                </c:pt>
                <c:pt idx="885">
                  <c:v>87.499999999999986</c:v>
                </c:pt>
                <c:pt idx="886">
                  <c:v>83.999999999999986</c:v>
                </c:pt>
                <c:pt idx="887">
                  <c:v>126.6666666666667</c:v>
                </c:pt>
                <c:pt idx="888">
                  <c:v>142.85714285714286</c:v>
                </c:pt>
                <c:pt idx="889">
                  <c:v>119.99999999999993</c:v>
                </c:pt>
                <c:pt idx="890">
                  <c:v>110.00000000000014</c:v>
                </c:pt>
                <c:pt idx="891">
                  <c:v>69.999999999999929</c:v>
                </c:pt>
                <c:pt idx="892">
                  <c:v>130.00000000000006</c:v>
                </c:pt>
                <c:pt idx="893">
                  <c:v>190.90909090909071</c:v>
                </c:pt>
                <c:pt idx="894">
                  <c:v>133.33333333333334</c:v>
                </c:pt>
                <c:pt idx="895">
                  <c:v>79.166666666666757</c:v>
                </c:pt>
                <c:pt idx="896">
                  <c:v>87.499999999999915</c:v>
                </c:pt>
                <c:pt idx="897">
                  <c:v>86.666666666666714</c:v>
                </c:pt>
                <c:pt idx="898">
                  <c:v>333.33333333333331</c:v>
                </c:pt>
                <c:pt idx="899">
                  <c:v>213.33333333333314</c:v>
                </c:pt>
                <c:pt idx="900">
                  <c:v>73.333333333333428</c:v>
                </c:pt>
                <c:pt idx="901">
                  <c:v>65.000000000000028</c:v>
                </c:pt>
                <c:pt idx="902">
                  <c:v>70.588235294117609</c:v>
                </c:pt>
                <c:pt idx="903">
                  <c:v>107.22222222222221</c:v>
                </c:pt>
                <c:pt idx="904">
                  <c:v>619.9999999999992</c:v>
                </c:pt>
                <c:pt idx="905">
                  <c:v>197.85714285714283</c:v>
                </c:pt>
                <c:pt idx="906">
                  <c:v>200</c:v>
                </c:pt>
                <c:pt idx="907">
                  <c:v>406.66666666666629</c:v>
                </c:pt>
                <c:pt idx="908">
                  <c:v>224.4444444444448</c:v>
                </c:pt>
                <c:pt idx="909">
                  <c:v>35</c:v>
                </c:pt>
                <c:pt idx="910">
                  <c:v>35</c:v>
                </c:pt>
                <c:pt idx="911">
                  <c:v>35.000000000000014</c:v>
                </c:pt>
                <c:pt idx="912">
                  <c:v>46.66666666666665</c:v>
                </c:pt>
                <c:pt idx="913">
                  <c:v>25.000000000000021</c:v>
                </c:pt>
                <c:pt idx="914">
                  <c:v>59.999999999999964</c:v>
                </c:pt>
                <c:pt idx="915">
                  <c:v>53.333333333333321</c:v>
                </c:pt>
                <c:pt idx="916">
                  <c:v>100.00000000000004</c:v>
                </c:pt>
                <c:pt idx="917">
                  <c:v>87.500000000000028</c:v>
                </c:pt>
                <c:pt idx="918">
                  <c:v>162.49999999999986</c:v>
                </c:pt>
                <c:pt idx="919">
                  <c:v>133.33333333333334</c:v>
                </c:pt>
                <c:pt idx="920">
                  <c:v>116.6666666666667</c:v>
                </c:pt>
                <c:pt idx="921">
                  <c:v>128.57142857142861</c:v>
                </c:pt>
                <c:pt idx="922">
                  <c:v>100</c:v>
                </c:pt>
                <c:pt idx="923">
                  <c:v>69.444444444444343</c:v>
                </c:pt>
                <c:pt idx="924">
                  <c:v>140.90909090909096</c:v>
                </c:pt>
                <c:pt idx="925">
                  <c:v>99.999999999999943</c:v>
                </c:pt>
                <c:pt idx="926">
                  <c:v>71.428571428571431</c:v>
                </c:pt>
                <c:pt idx="927">
                  <c:v>82.352941176470708</c:v>
                </c:pt>
                <c:pt idx="928">
                  <c:v>92.857142857142662</c:v>
                </c:pt>
                <c:pt idx="929">
                  <c:v>71.428571428571431</c:v>
                </c:pt>
                <c:pt idx="930">
                  <c:v>59.999999999999964</c:v>
                </c:pt>
                <c:pt idx="931">
                  <c:v>121.42857142857163</c:v>
                </c:pt>
                <c:pt idx="932">
                  <c:v>90.909090909090907</c:v>
                </c:pt>
                <c:pt idx="933">
                  <c:v>111.11111111111111</c:v>
                </c:pt>
                <c:pt idx="934">
                  <c:v>60.000000000000135</c:v>
                </c:pt>
                <c:pt idx="935">
                  <c:v>88.888888888888573</c:v>
                </c:pt>
                <c:pt idx="936">
                  <c:v>73.333333333333428</c:v>
                </c:pt>
                <c:pt idx="937">
                  <c:v>111.11111111111111</c:v>
                </c:pt>
                <c:pt idx="938">
                  <c:v>78.571428571428669</c:v>
                </c:pt>
                <c:pt idx="939">
                  <c:v>106.24999999999973</c:v>
                </c:pt>
                <c:pt idx="940">
                  <c:v>85.714285714285907</c:v>
                </c:pt>
                <c:pt idx="941">
                  <c:v>133.33333333333363</c:v>
                </c:pt>
                <c:pt idx="942">
                  <c:v>185.71428571428532</c:v>
                </c:pt>
                <c:pt idx="943">
                  <c:v>222.22222222222223</c:v>
                </c:pt>
                <c:pt idx="944">
                  <c:v>206.24999999999983</c:v>
                </c:pt>
                <c:pt idx="945">
                  <c:v>275</c:v>
                </c:pt>
                <c:pt idx="946">
                  <c:v>200</c:v>
                </c:pt>
                <c:pt idx="947">
                  <c:v>155.55555555555554</c:v>
                </c:pt>
                <c:pt idx="948">
                  <c:v>71.428571428571431</c:v>
                </c:pt>
                <c:pt idx="949">
                  <c:v>100.00000000000003</c:v>
                </c:pt>
                <c:pt idx="950">
                  <c:v>149.99999999999991</c:v>
                </c:pt>
                <c:pt idx="951">
                  <c:v>166.66666666666666</c:v>
                </c:pt>
                <c:pt idx="952">
                  <c:v>133.33333333333329</c:v>
                </c:pt>
                <c:pt idx="953">
                  <c:v>96.15384615384616</c:v>
                </c:pt>
                <c:pt idx="954">
                  <c:v>316.66666666666674</c:v>
                </c:pt>
                <c:pt idx="955">
                  <c:v>155.5555555555556</c:v>
                </c:pt>
                <c:pt idx="956">
                  <c:v>150.00000000000006</c:v>
                </c:pt>
                <c:pt idx="957">
                  <c:v>175.00000000000006</c:v>
                </c:pt>
                <c:pt idx="958">
                  <c:v>193.75000000000009</c:v>
                </c:pt>
                <c:pt idx="959">
                  <c:v>155.5555555555554</c:v>
                </c:pt>
                <c:pt idx="960">
                  <c:v>189.99999999999986</c:v>
                </c:pt>
                <c:pt idx="961">
                  <c:v>170.00000000000028</c:v>
                </c:pt>
                <c:pt idx="962">
                  <c:v>139.99999999999986</c:v>
                </c:pt>
                <c:pt idx="963">
                  <c:v>169.99999999999994</c:v>
                </c:pt>
                <c:pt idx="964">
                  <c:v>300.00000000000011</c:v>
                </c:pt>
                <c:pt idx="965">
                  <c:v>260.00000000000011</c:v>
                </c:pt>
                <c:pt idx="966">
                  <c:v>99.999999999999872</c:v>
                </c:pt>
                <c:pt idx="967">
                  <c:v>88.461538461538623</c:v>
                </c:pt>
                <c:pt idx="968">
                  <c:v>52.631578947368418</c:v>
                </c:pt>
                <c:pt idx="969">
                  <c:v>80.769230769230816</c:v>
                </c:pt>
                <c:pt idx="970">
                  <c:v>66.66666666666643</c:v>
                </c:pt>
                <c:pt idx="971">
                  <c:v>91.666666666666785</c:v>
                </c:pt>
                <c:pt idx="972">
                  <c:v>118.74999999999991</c:v>
                </c:pt>
                <c:pt idx="973">
                  <c:v>112.50000000000011</c:v>
                </c:pt>
                <c:pt idx="974">
                  <c:v>300.00000000000017</c:v>
                </c:pt>
                <c:pt idx="975">
                  <c:v>146.15384615384605</c:v>
                </c:pt>
                <c:pt idx="976">
                  <c:v>139.99999999999915</c:v>
                </c:pt>
                <c:pt idx="977">
                  <c:v>46.666666666666664</c:v>
                </c:pt>
                <c:pt idx="978">
                  <c:v>46.666666666666664</c:v>
                </c:pt>
                <c:pt idx="979">
                  <c:v>46.666666666666679</c:v>
                </c:pt>
                <c:pt idx="980">
                  <c:v>46.66666666666665</c:v>
                </c:pt>
                <c:pt idx="981">
                  <c:v>107.69230769230772</c:v>
                </c:pt>
                <c:pt idx="982">
                  <c:v>46.666666666666679</c:v>
                </c:pt>
                <c:pt idx="983">
                  <c:v>63.636363636363576</c:v>
                </c:pt>
                <c:pt idx="984">
                  <c:v>128.57142857142861</c:v>
                </c:pt>
                <c:pt idx="985">
                  <c:v>120.00000000000003</c:v>
                </c:pt>
                <c:pt idx="986">
                  <c:v>166.66666666666657</c:v>
                </c:pt>
                <c:pt idx="987">
                  <c:v>200</c:v>
                </c:pt>
                <c:pt idx="988">
                  <c:v>138.88888888888889</c:v>
                </c:pt>
                <c:pt idx="989">
                  <c:v>214.28571428571428</c:v>
                </c:pt>
                <c:pt idx="990">
                  <c:v>123.07692307692318</c:v>
                </c:pt>
                <c:pt idx="991">
                  <c:v>57.499999999999929</c:v>
                </c:pt>
                <c:pt idx="992">
                  <c:v>28.571428571428637</c:v>
                </c:pt>
                <c:pt idx="993">
                  <c:v>71.428571428571431</c:v>
                </c:pt>
                <c:pt idx="994">
                  <c:v>99.999999999999815</c:v>
                </c:pt>
                <c:pt idx="995">
                  <c:v>26.470588235294287</c:v>
                </c:pt>
                <c:pt idx="996">
                  <c:v>77.7777777777777</c:v>
                </c:pt>
                <c:pt idx="997">
                  <c:v>76.92307692307692</c:v>
                </c:pt>
                <c:pt idx="998">
                  <c:v>61.53846153846159</c:v>
                </c:pt>
                <c:pt idx="999">
                  <c:v>49.999999999999524</c:v>
                </c:pt>
                <c:pt idx="1000">
                  <c:v>100.00000000000023</c:v>
                </c:pt>
                <c:pt idx="1001">
                  <c:v>59.999999999999964</c:v>
                </c:pt>
                <c:pt idx="1002">
                  <c:v>133.33333333333346</c:v>
                </c:pt>
                <c:pt idx="1003">
                  <c:v>170.00000000000028</c:v>
                </c:pt>
                <c:pt idx="1004">
                  <c:v>81.249999999999829</c:v>
                </c:pt>
                <c:pt idx="1005">
                  <c:v>128.57142857142887</c:v>
                </c:pt>
                <c:pt idx="1006">
                  <c:v>149.99999999999977</c:v>
                </c:pt>
                <c:pt idx="1007">
                  <c:v>108.33333333333339</c:v>
                </c:pt>
                <c:pt idx="1008">
                  <c:v>78.571428571428427</c:v>
                </c:pt>
                <c:pt idx="1009">
                  <c:v>188.8888888888892</c:v>
                </c:pt>
                <c:pt idx="1010">
                  <c:v>79.999999999999716</c:v>
                </c:pt>
                <c:pt idx="1011">
                  <c:v>108.33333333333428</c:v>
                </c:pt>
                <c:pt idx="1012">
                  <c:v>200</c:v>
                </c:pt>
                <c:pt idx="1013">
                  <c:v>181.81818181818181</c:v>
                </c:pt>
                <c:pt idx="1014">
                  <c:v>100</c:v>
                </c:pt>
                <c:pt idx="1015">
                  <c:v>250</c:v>
                </c:pt>
                <c:pt idx="1016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A7-4B3D-A457-54930CD01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v>Lithology 30</c:v>
                </c:tx>
                <c:spPr>
                  <a:ln w="19050">
                    <a:noFill/>
                  </a:ln>
                </c:spPr>
                <c:marker>
                  <c:symbol val="star"/>
                  <c:size val="18"/>
                  <c:spPr>
                    <a:ln>
                      <a:solidFill>
                        <a:srgbClr val="FF000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'6. Litologia 30 Geotec'!$BM$3:$BM$86</c15:sqref>
                        </c15:formulaRef>
                      </c:ext>
                    </c:extLst>
                    <c:numCache>
                      <c:formatCode>0</c:formatCode>
                      <c:ptCount val="84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25</c:v>
                      </c:pt>
                      <c:pt idx="3">
                        <c:v>25</c:v>
                      </c:pt>
                      <c:pt idx="4">
                        <c:v>24</c:v>
                      </c:pt>
                      <c:pt idx="5">
                        <c:v>33</c:v>
                      </c:pt>
                      <c:pt idx="6">
                        <c:v>28</c:v>
                      </c:pt>
                      <c:pt idx="7">
                        <c:v>27</c:v>
                      </c:pt>
                      <c:pt idx="8">
                        <c:v>32</c:v>
                      </c:pt>
                      <c:pt idx="9">
                        <c:v>30</c:v>
                      </c:pt>
                      <c:pt idx="10">
                        <c:v>27</c:v>
                      </c:pt>
                      <c:pt idx="11">
                        <c:v>40</c:v>
                      </c:pt>
                      <c:pt idx="12">
                        <c:v>36</c:v>
                      </c:pt>
                      <c:pt idx="13">
                        <c:v>28</c:v>
                      </c:pt>
                      <c:pt idx="14">
                        <c:v>39</c:v>
                      </c:pt>
                      <c:pt idx="15">
                        <c:v>25</c:v>
                      </c:pt>
                      <c:pt idx="16">
                        <c:v>24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22</c:v>
                      </c:pt>
                      <c:pt idx="21">
                        <c:v>22</c:v>
                      </c:pt>
                      <c:pt idx="22">
                        <c:v>24</c:v>
                      </c:pt>
                      <c:pt idx="23">
                        <c:v>24</c:v>
                      </c:pt>
                      <c:pt idx="24">
                        <c:v>24</c:v>
                      </c:pt>
                      <c:pt idx="25">
                        <c:v>24</c:v>
                      </c:pt>
                      <c:pt idx="26">
                        <c:v>24</c:v>
                      </c:pt>
                      <c:pt idx="27">
                        <c:v>24</c:v>
                      </c:pt>
                      <c:pt idx="28">
                        <c:v>24</c:v>
                      </c:pt>
                      <c:pt idx="29">
                        <c:v>24</c:v>
                      </c:pt>
                      <c:pt idx="30">
                        <c:v>24</c:v>
                      </c:pt>
                      <c:pt idx="31">
                        <c:v>24</c:v>
                      </c:pt>
                      <c:pt idx="32">
                        <c:v>24</c:v>
                      </c:pt>
                      <c:pt idx="33">
                        <c:v>24</c:v>
                      </c:pt>
                      <c:pt idx="34">
                        <c:v>24</c:v>
                      </c:pt>
                      <c:pt idx="35">
                        <c:v>24</c:v>
                      </c:pt>
                      <c:pt idx="36">
                        <c:v>24</c:v>
                      </c:pt>
                      <c:pt idx="37">
                        <c:v>24</c:v>
                      </c:pt>
                      <c:pt idx="38">
                        <c:v>24</c:v>
                      </c:pt>
                      <c:pt idx="39">
                        <c:v>24</c:v>
                      </c:pt>
                      <c:pt idx="40">
                        <c:v>24</c:v>
                      </c:pt>
                      <c:pt idx="41">
                        <c:v>24</c:v>
                      </c:pt>
                      <c:pt idx="42">
                        <c:v>24</c:v>
                      </c:pt>
                      <c:pt idx="43">
                        <c:v>24</c:v>
                      </c:pt>
                      <c:pt idx="44">
                        <c:v>24</c:v>
                      </c:pt>
                      <c:pt idx="45">
                        <c:v>24</c:v>
                      </c:pt>
                      <c:pt idx="46">
                        <c:v>24</c:v>
                      </c:pt>
                      <c:pt idx="47">
                        <c:v>24</c:v>
                      </c:pt>
                      <c:pt idx="48">
                        <c:v>24</c:v>
                      </c:pt>
                      <c:pt idx="49">
                        <c:v>24</c:v>
                      </c:pt>
                      <c:pt idx="50">
                        <c:v>18</c:v>
                      </c:pt>
                      <c:pt idx="51">
                        <c:v>25</c:v>
                      </c:pt>
                      <c:pt idx="52">
                        <c:v>21</c:v>
                      </c:pt>
                      <c:pt idx="53">
                        <c:v>30</c:v>
                      </c:pt>
                      <c:pt idx="54">
                        <c:v>24</c:v>
                      </c:pt>
                      <c:pt idx="55">
                        <c:v>18</c:v>
                      </c:pt>
                      <c:pt idx="56">
                        <c:v>26</c:v>
                      </c:pt>
                      <c:pt idx="57">
                        <c:v>28</c:v>
                      </c:pt>
                      <c:pt idx="58">
                        <c:v>25</c:v>
                      </c:pt>
                      <c:pt idx="59">
                        <c:v>28</c:v>
                      </c:pt>
                      <c:pt idx="60">
                        <c:v>26</c:v>
                      </c:pt>
                      <c:pt idx="61">
                        <c:v>25</c:v>
                      </c:pt>
                      <c:pt idx="62">
                        <c:v>26</c:v>
                      </c:pt>
                      <c:pt idx="63">
                        <c:v>26</c:v>
                      </c:pt>
                      <c:pt idx="64">
                        <c:v>28</c:v>
                      </c:pt>
                      <c:pt idx="65">
                        <c:v>27</c:v>
                      </c:pt>
                      <c:pt idx="66">
                        <c:v>26</c:v>
                      </c:pt>
                      <c:pt idx="67">
                        <c:v>26</c:v>
                      </c:pt>
                      <c:pt idx="68">
                        <c:v>25</c:v>
                      </c:pt>
                      <c:pt idx="69">
                        <c:v>26</c:v>
                      </c:pt>
                      <c:pt idx="70">
                        <c:v>26</c:v>
                      </c:pt>
                      <c:pt idx="72">
                        <c:v>19</c:v>
                      </c:pt>
                      <c:pt idx="73">
                        <c:v>29</c:v>
                      </c:pt>
                      <c:pt idx="74">
                        <c:v>23</c:v>
                      </c:pt>
                      <c:pt idx="75">
                        <c:v>28</c:v>
                      </c:pt>
                      <c:pt idx="76">
                        <c:v>24</c:v>
                      </c:pt>
                      <c:pt idx="77">
                        <c:v>18</c:v>
                      </c:pt>
                      <c:pt idx="78">
                        <c:v>36</c:v>
                      </c:pt>
                      <c:pt idx="79">
                        <c:v>30</c:v>
                      </c:pt>
                      <c:pt idx="80">
                        <c:v>32</c:v>
                      </c:pt>
                      <c:pt idx="81">
                        <c:v>17</c:v>
                      </c:pt>
                      <c:pt idx="82">
                        <c:v>17</c:v>
                      </c:pt>
                      <c:pt idx="83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'6. Litologia 30 Geotec'!$X$3:$X$86</c15:sqref>
                        </c15:formulaRef>
                      </c:ext>
                    </c:extLst>
                    <c:numCache>
                      <c:formatCode>0</c:formatCode>
                      <c:ptCount val="84"/>
                      <c:pt idx="0">
                        <c:v>51.666666666666664</c:v>
                      </c:pt>
                      <c:pt idx="1">
                        <c:v>13</c:v>
                      </c:pt>
                      <c:pt idx="2">
                        <c:v>11</c:v>
                      </c:pt>
                      <c:pt idx="3">
                        <c:v>14</c:v>
                      </c:pt>
                      <c:pt idx="4">
                        <c:v>23</c:v>
                      </c:pt>
                      <c:pt idx="5">
                        <c:v>34</c:v>
                      </c:pt>
                      <c:pt idx="6">
                        <c:v>13</c:v>
                      </c:pt>
                      <c:pt idx="7">
                        <c:v>51.666666666666664</c:v>
                      </c:pt>
                      <c:pt idx="8">
                        <c:v>122.5</c:v>
                      </c:pt>
                      <c:pt idx="9">
                        <c:v>64.285714285714292</c:v>
                      </c:pt>
                      <c:pt idx="10">
                        <c:v>120</c:v>
                      </c:pt>
                      <c:pt idx="11">
                        <c:v>115</c:v>
                      </c:pt>
                      <c:pt idx="12">
                        <c:v>76.666666666666671</c:v>
                      </c:pt>
                      <c:pt idx="13">
                        <c:v>62.5</c:v>
                      </c:pt>
                      <c:pt idx="14">
                        <c:v>110</c:v>
                      </c:pt>
                      <c:pt idx="15">
                        <c:v>57.5</c:v>
                      </c:pt>
                      <c:pt idx="16">
                        <c:v>61.428571428571431</c:v>
                      </c:pt>
                      <c:pt idx="17">
                        <c:v>41.428571428571431</c:v>
                      </c:pt>
                      <c:pt idx="18">
                        <c:v>55.714285714285715</c:v>
                      </c:pt>
                      <c:pt idx="19">
                        <c:v>70</c:v>
                      </c:pt>
                      <c:pt idx="20">
                        <c:v>36</c:v>
                      </c:pt>
                      <c:pt idx="21">
                        <c:v>50</c:v>
                      </c:pt>
                      <c:pt idx="22">
                        <c:v>32.857142857142854</c:v>
                      </c:pt>
                      <c:pt idx="23">
                        <c:v>14</c:v>
                      </c:pt>
                      <c:pt idx="24">
                        <c:v>20</c:v>
                      </c:pt>
                      <c:pt idx="25">
                        <c:v>20</c:v>
                      </c:pt>
                      <c:pt idx="26">
                        <c:v>25.714285714285715</c:v>
                      </c:pt>
                      <c:pt idx="27">
                        <c:v>28.75</c:v>
                      </c:pt>
                      <c:pt idx="28">
                        <c:v>14.285714285714286</c:v>
                      </c:pt>
                      <c:pt idx="29">
                        <c:v>50</c:v>
                      </c:pt>
                      <c:pt idx="30">
                        <c:v>10</c:v>
                      </c:pt>
                      <c:pt idx="31">
                        <c:v>12</c:v>
                      </c:pt>
                      <c:pt idx="32">
                        <c:v>6</c:v>
                      </c:pt>
                      <c:pt idx="33">
                        <c:v>29</c:v>
                      </c:pt>
                      <c:pt idx="34">
                        <c:v>22</c:v>
                      </c:pt>
                      <c:pt idx="35">
                        <c:v>21</c:v>
                      </c:pt>
                      <c:pt idx="36">
                        <c:v>8</c:v>
                      </c:pt>
                      <c:pt idx="37">
                        <c:v>5</c:v>
                      </c:pt>
                      <c:pt idx="38">
                        <c:v>7</c:v>
                      </c:pt>
                      <c:pt idx="39">
                        <c:v>7</c:v>
                      </c:pt>
                      <c:pt idx="40">
                        <c:v>50</c:v>
                      </c:pt>
                      <c:pt idx="41">
                        <c:v>50</c:v>
                      </c:pt>
                      <c:pt idx="42">
                        <c:v>7</c:v>
                      </c:pt>
                      <c:pt idx="43">
                        <c:v>50</c:v>
                      </c:pt>
                      <c:pt idx="44">
                        <c:v>11</c:v>
                      </c:pt>
                      <c:pt idx="45">
                        <c:v>50</c:v>
                      </c:pt>
                      <c:pt idx="46">
                        <c:v>10</c:v>
                      </c:pt>
                      <c:pt idx="47">
                        <c:v>7</c:v>
                      </c:pt>
                      <c:pt idx="48">
                        <c:v>50</c:v>
                      </c:pt>
                      <c:pt idx="49">
                        <c:v>50</c:v>
                      </c:pt>
                      <c:pt idx="50">
                        <c:v>28</c:v>
                      </c:pt>
                      <c:pt idx="51">
                        <c:v>80</c:v>
                      </c:pt>
                      <c:pt idx="52">
                        <c:v>96.666666666666671</c:v>
                      </c:pt>
                      <c:pt idx="53">
                        <c:v>123.33333333333333</c:v>
                      </c:pt>
                      <c:pt idx="54">
                        <c:v>36</c:v>
                      </c:pt>
                      <c:pt idx="55">
                        <c:v>56</c:v>
                      </c:pt>
                      <c:pt idx="56">
                        <c:v>105</c:v>
                      </c:pt>
                      <c:pt idx="57">
                        <c:v>73.333333333333329</c:v>
                      </c:pt>
                      <c:pt idx="58">
                        <c:v>52</c:v>
                      </c:pt>
                      <c:pt idx="59">
                        <c:v>86.666666666666671</c:v>
                      </c:pt>
                      <c:pt idx="60">
                        <c:v>60</c:v>
                      </c:pt>
                      <c:pt idx="61">
                        <c:v>52</c:v>
                      </c:pt>
                      <c:pt idx="62">
                        <c:v>56.666666666666664</c:v>
                      </c:pt>
                      <c:pt idx="63">
                        <c:v>36</c:v>
                      </c:pt>
                      <c:pt idx="64">
                        <c:v>80</c:v>
                      </c:pt>
                      <c:pt idx="65">
                        <c:v>70</c:v>
                      </c:pt>
                      <c:pt idx="66">
                        <c:v>56</c:v>
                      </c:pt>
                      <c:pt idx="67">
                        <c:v>44</c:v>
                      </c:pt>
                      <c:pt idx="68">
                        <c:v>53.333333333333336</c:v>
                      </c:pt>
                      <c:pt idx="71">
                        <c:v>113.33333333333331</c:v>
                      </c:pt>
                      <c:pt idx="72">
                        <c:v>80</c:v>
                      </c:pt>
                      <c:pt idx="73">
                        <c:v>105</c:v>
                      </c:pt>
                      <c:pt idx="74">
                        <c:v>71.666666666666671</c:v>
                      </c:pt>
                      <c:pt idx="75">
                        <c:v>130</c:v>
                      </c:pt>
                      <c:pt idx="76">
                        <c:v>73.333333333333329</c:v>
                      </c:pt>
                      <c:pt idx="77">
                        <c:v>64.285714285714292</c:v>
                      </c:pt>
                      <c:pt idx="78">
                        <c:v>130</c:v>
                      </c:pt>
                      <c:pt idx="79">
                        <c:v>136.66666666666666</c:v>
                      </c:pt>
                      <c:pt idx="80">
                        <c:v>136.66666666666666</c:v>
                      </c:pt>
                      <c:pt idx="81">
                        <c:v>40</c:v>
                      </c:pt>
                      <c:pt idx="82">
                        <c:v>57.5</c:v>
                      </c:pt>
                      <c:pt idx="83">
                        <c:v>55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2A7-4B3D-A457-54930CD01B08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Lithology 40</c:v>
                </c:tx>
                <c:spPr>
                  <a:ln w="19050">
                    <a:noFill/>
                  </a:ln>
                </c:spPr>
                <c:marker>
                  <c:symbol val="diamond"/>
                  <c:size val="11"/>
                  <c:spPr>
                    <a:solidFill>
                      <a:srgbClr val="EEDFAA"/>
                    </a:solidFill>
                    <a:ln>
                      <a:solidFill>
                        <a:srgbClr val="EEDFAA">
                          <a:alpha val="97000"/>
                        </a:srgbClr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Litologia 40 Geotec'!$BM$3:$BM$152</c15:sqref>
                        </c15:formulaRef>
                      </c:ext>
                    </c:extLst>
                    <c:numCache>
                      <c:formatCode>0.0</c:formatCode>
                      <c:ptCount val="150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19</c:v>
                      </c:pt>
                      <c:pt idx="3">
                        <c:v>32</c:v>
                      </c:pt>
                      <c:pt idx="4">
                        <c:v>36</c:v>
                      </c:pt>
                      <c:pt idx="5">
                        <c:v>44</c:v>
                      </c:pt>
                      <c:pt idx="6">
                        <c:v>49</c:v>
                      </c:pt>
                      <c:pt idx="7">
                        <c:v>31</c:v>
                      </c:pt>
                      <c:pt idx="8">
                        <c:v>39</c:v>
                      </c:pt>
                      <c:pt idx="9">
                        <c:v>49</c:v>
                      </c:pt>
                      <c:pt idx="10">
                        <c:v>43</c:v>
                      </c:pt>
                      <c:pt idx="11">
                        <c:v>38</c:v>
                      </c:pt>
                      <c:pt idx="12">
                        <c:v>25</c:v>
                      </c:pt>
                      <c:pt idx="13">
                        <c:v>30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30</c:v>
                      </c:pt>
                      <c:pt idx="17">
                        <c:v>41</c:v>
                      </c:pt>
                      <c:pt idx="18">
                        <c:v>33</c:v>
                      </c:pt>
                      <c:pt idx="19">
                        <c:v>24</c:v>
                      </c:pt>
                      <c:pt idx="20">
                        <c:v>23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15</c:v>
                      </c:pt>
                      <c:pt idx="26">
                        <c:v>16</c:v>
                      </c:pt>
                      <c:pt idx="27">
                        <c:v>20</c:v>
                      </c:pt>
                      <c:pt idx="28">
                        <c:v>20</c:v>
                      </c:pt>
                      <c:pt idx="29">
                        <c:v>20</c:v>
                      </c:pt>
                      <c:pt idx="30">
                        <c:v>20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20</c:v>
                      </c:pt>
                      <c:pt idx="35">
                        <c:v>18</c:v>
                      </c:pt>
                      <c:pt idx="36">
                        <c:v>18</c:v>
                      </c:pt>
                      <c:pt idx="37">
                        <c:v>18</c:v>
                      </c:pt>
                      <c:pt idx="38">
                        <c:v>18</c:v>
                      </c:pt>
                      <c:pt idx="39">
                        <c:v>25</c:v>
                      </c:pt>
                      <c:pt idx="40">
                        <c:v>25</c:v>
                      </c:pt>
                      <c:pt idx="41">
                        <c:v>25</c:v>
                      </c:pt>
                      <c:pt idx="42">
                        <c:v>25</c:v>
                      </c:pt>
                      <c:pt idx="43">
                        <c:v>25</c:v>
                      </c:pt>
                      <c:pt idx="44">
                        <c:v>25</c:v>
                      </c:pt>
                      <c:pt idx="45">
                        <c:v>25</c:v>
                      </c:pt>
                      <c:pt idx="46">
                        <c:v>25</c:v>
                      </c:pt>
                      <c:pt idx="47">
                        <c:v>25</c:v>
                      </c:pt>
                      <c:pt idx="48">
                        <c:v>25</c:v>
                      </c:pt>
                      <c:pt idx="49">
                        <c:v>25</c:v>
                      </c:pt>
                      <c:pt idx="50">
                        <c:v>27</c:v>
                      </c:pt>
                      <c:pt idx="51">
                        <c:v>19</c:v>
                      </c:pt>
                      <c:pt idx="52">
                        <c:v>21</c:v>
                      </c:pt>
                      <c:pt idx="53">
                        <c:v>21</c:v>
                      </c:pt>
                      <c:pt idx="54">
                        <c:v>27</c:v>
                      </c:pt>
                      <c:pt idx="55">
                        <c:v>27</c:v>
                      </c:pt>
                      <c:pt idx="56">
                        <c:v>27</c:v>
                      </c:pt>
                      <c:pt idx="57">
                        <c:v>32</c:v>
                      </c:pt>
                      <c:pt idx="58">
                        <c:v>27</c:v>
                      </c:pt>
                      <c:pt idx="59">
                        <c:v>27</c:v>
                      </c:pt>
                      <c:pt idx="60">
                        <c:v>23</c:v>
                      </c:pt>
                      <c:pt idx="61">
                        <c:v>23</c:v>
                      </c:pt>
                      <c:pt idx="62">
                        <c:v>24</c:v>
                      </c:pt>
                      <c:pt idx="63">
                        <c:v>29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22</c:v>
                      </c:pt>
                      <c:pt idx="67">
                        <c:v>24</c:v>
                      </c:pt>
                      <c:pt idx="68">
                        <c:v>27</c:v>
                      </c:pt>
                      <c:pt idx="69">
                        <c:v>26</c:v>
                      </c:pt>
                      <c:pt idx="70">
                        <c:v>35</c:v>
                      </c:pt>
                      <c:pt idx="71">
                        <c:v>19</c:v>
                      </c:pt>
                      <c:pt idx="72">
                        <c:v>18</c:v>
                      </c:pt>
                      <c:pt idx="73">
                        <c:v>18</c:v>
                      </c:pt>
                      <c:pt idx="74">
                        <c:v>23</c:v>
                      </c:pt>
                      <c:pt idx="75">
                        <c:v>18</c:v>
                      </c:pt>
                      <c:pt idx="76">
                        <c:v>16</c:v>
                      </c:pt>
                      <c:pt idx="77">
                        <c:v>17</c:v>
                      </c:pt>
                      <c:pt idx="78">
                        <c:v>15</c:v>
                      </c:pt>
                      <c:pt idx="79">
                        <c:v>47</c:v>
                      </c:pt>
                      <c:pt idx="80">
                        <c:v>53</c:v>
                      </c:pt>
                      <c:pt idx="81">
                        <c:v>52</c:v>
                      </c:pt>
                      <c:pt idx="82">
                        <c:v>48</c:v>
                      </c:pt>
                      <c:pt idx="83">
                        <c:v>38</c:v>
                      </c:pt>
                      <c:pt idx="85">
                        <c:v>27</c:v>
                      </c:pt>
                      <c:pt idx="86">
                        <c:v>13</c:v>
                      </c:pt>
                      <c:pt idx="87">
                        <c:v>17</c:v>
                      </c:pt>
                      <c:pt idx="88">
                        <c:v>18</c:v>
                      </c:pt>
                      <c:pt idx="89">
                        <c:v>17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19</c:v>
                      </c:pt>
                      <c:pt idx="93">
                        <c:v>21</c:v>
                      </c:pt>
                      <c:pt idx="94">
                        <c:v>33</c:v>
                      </c:pt>
                      <c:pt idx="95">
                        <c:v>29</c:v>
                      </c:pt>
                      <c:pt idx="96">
                        <c:v>18</c:v>
                      </c:pt>
                      <c:pt idx="97">
                        <c:v>20</c:v>
                      </c:pt>
                      <c:pt idx="98">
                        <c:v>27</c:v>
                      </c:pt>
                      <c:pt idx="99">
                        <c:v>26</c:v>
                      </c:pt>
                      <c:pt idx="100">
                        <c:v>20</c:v>
                      </c:pt>
                      <c:pt idx="101">
                        <c:v>31</c:v>
                      </c:pt>
                      <c:pt idx="102">
                        <c:v>19</c:v>
                      </c:pt>
                      <c:pt idx="103">
                        <c:v>22</c:v>
                      </c:pt>
                      <c:pt idx="104">
                        <c:v>22</c:v>
                      </c:pt>
                      <c:pt idx="105">
                        <c:v>25</c:v>
                      </c:pt>
                      <c:pt idx="106">
                        <c:v>38</c:v>
                      </c:pt>
                      <c:pt idx="107">
                        <c:v>19</c:v>
                      </c:pt>
                      <c:pt idx="108">
                        <c:v>19</c:v>
                      </c:pt>
                      <c:pt idx="109">
                        <c:v>19</c:v>
                      </c:pt>
                      <c:pt idx="110">
                        <c:v>23</c:v>
                      </c:pt>
                      <c:pt idx="111">
                        <c:v>40</c:v>
                      </c:pt>
                      <c:pt idx="112">
                        <c:v>38</c:v>
                      </c:pt>
                      <c:pt idx="113">
                        <c:v>43</c:v>
                      </c:pt>
                      <c:pt idx="114">
                        <c:v>35</c:v>
                      </c:pt>
                      <c:pt idx="115">
                        <c:v>21</c:v>
                      </c:pt>
                      <c:pt idx="116">
                        <c:v>21</c:v>
                      </c:pt>
                      <c:pt idx="117">
                        <c:v>22</c:v>
                      </c:pt>
                      <c:pt idx="118">
                        <c:v>22</c:v>
                      </c:pt>
                      <c:pt idx="119">
                        <c:v>18</c:v>
                      </c:pt>
                      <c:pt idx="120">
                        <c:v>26</c:v>
                      </c:pt>
                      <c:pt idx="121">
                        <c:v>24</c:v>
                      </c:pt>
                      <c:pt idx="122">
                        <c:v>19</c:v>
                      </c:pt>
                      <c:pt idx="123">
                        <c:v>23</c:v>
                      </c:pt>
                      <c:pt idx="124">
                        <c:v>27</c:v>
                      </c:pt>
                      <c:pt idx="125">
                        <c:v>16</c:v>
                      </c:pt>
                      <c:pt idx="126">
                        <c:v>17</c:v>
                      </c:pt>
                      <c:pt idx="127">
                        <c:v>20</c:v>
                      </c:pt>
                      <c:pt idx="128">
                        <c:v>27</c:v>
                      </c:pt>
                      <c:pt idx="129">
                        <c:v>26</c:v>
                      </c:pt>
                      <c:pt idx="130">
                        <c:v>33</c:v>
                      </c:pt>
                      <c:pt idx="131">
                        <c:v>34</c:v>
                      </c:pt>
                      <c:pt idx="132">
                        <c:v>47</c:v>
                      </c:pt>
                      <c:pt idx="133">
                        <c:v>45</c:v>
                      </c:pt>
                      <c:pt idx="134">
                        <c:v>40</c:v>
                      </c:pt>
                      <c:pt idx="135">
                        <c:v>48</c:v>
                      </c:pt>
                      <c:pt idx="136">
                        <c:v>34</c:v>
                      </c:pt>
                      <c:pt idx="137">
                        <c:v>24</c:v>
                      </c:pt>
                      <c:pt idx="138">
                        <c:v>23</c:v>
                      </c:pt>
                      <c:pt idx="139">
                        <c:v>18</c:v>
                      </c:pt>
                      <c:pt idx="140">
                        <c:v>26</c:v>
                      </c:pt>
                      <c:pt idx="141">
                        <c:v>26</c:v>
                      </c:pt>
                      <c:pt idx="142">
                        <c:v>17</c:v>
                      </c:pt>
                      <c:pt idx="143">
                        <c:v>17</c:v>
                      </c:pt>
                      <c:pt idx="144">
                        <c:v>30</c:v>
                      </c:pt>
                      <c:pt idx="145">
                        <c:v>38</c:v>
                      </c:pt>
                      <c:pt idx="146">
                        <c:v>21</c:v>
                      </c:pt>
                      <c:pt idx="147">
                        <c:v>37</c:v>
                      </c:pt>
                      <c:pt idx="148">
                        <c:v>32</c:v>
                      </c:pt>
                      <c:pt idx="149">
                        <c:v>36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Litologia 40 Geotec'!$X$3:$X$152</c15:sqref>
                        </c15:formulaRef>
                      </c:ext>
                    </c:extLst>
                    <c:numCache>
                      <c:formatCode>0.0</c:formatCode>
                      <c:ptCount val="150"/>
                      <c:pt idx="0">
                        <c:v>126.66666666666667</c:v>
                      </c:pt>
                      <c:pt idx="1">
                        <c:v>140</c:v>
                      </c:pt>
                      <c:pt idx="2">
                        <c:v>19</c:v>
                      </c:pt>
                      <c:pt idx="3">
                        <c:v>76.666666666666671</c:v>
                      </c:pt>
                      <c:pt idx="4">
                        <c:v>86</c:v>
                      </c:pt>
                      <c:pt idx="5">
                        <c:v>112.5</c:v>
                      </c:pt>
                      <c:pt idx="6">
                        <c:v>235</c:v>
                      </c:pt>
                      <c:pt idx="7">
                        <c:v>70</c:v>
                      </c:pt>
                      <c:pt idx="8">
                        <c:v>102.5</c:v>
                      </c:pt>
                      <c:pt idx="9">
                        <c:v>107.5</c:v>
                      </c:pt>
                      <c:pt idx="10">
                        <c:v>44</c:v>
                      </c:pt>
                      <c:pt idx="11">
                        <c:v>46</c:v>
                      </c:pt>
                      <c:pt idx="12">
                        <c:v>73.333333333333329</c:v>
                      </c:pt>
                      <c:pt idx="13">
                        <c:v>140</c:v>
                      </c:pt>
                      <c:pt idx="14">
                        <c:v>70</c:v>
                      </c:pt>
                      <c:pt idx="15">
                        <c:v>92.5</c:v>
                      </c:pt>
                      <c:pt idx="16">
                        <c:v>48.571428571428569</c:v>
                      </c:pt>
                      <c:pt idx="17">
                        <c:v>81.666666666666671</c:v>
                      </c:pt>
                      <c:pt idx="18">
                        <c:v>93.333333333333329</c:v>
                      </c:pt>
                      <c:pt idx="19">
                        <c:v>55</c:v>
                      </c:pt>
                      <c:pt idx="20">
                        <c:v>19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23</c:v>
                      </c:pt>
                      <c:pt idx="25">
                        <c:v>22</c:v>
                      </c:pt>
                      <c:pt idx="26">
                        <c:v>20</c:v>
                      </c:pt>
                      <c:pt idx="27">
                        <c:v>28</c:v>
                      </c:pt>
                      <c:pt idx="28">
                        <c:v>24</c:v>
                      </c:pt>
                      <c:pt idx="29">
                        <c:v>42</c:v>
                      </c:pt>
                      <c:pt idx="30">
                        <c:v>20</c:v>
                      </c:pt>
                      <c:pt idx="32">
                        <c:v>13</c:v>
                      </c:pt>
                      <c:pt idx="33">
                        <c:v>17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17</c:v>
                      </c:pt>
                      <c:pt idx="37">
                        <c:v>23</c:v>
                      </c:pt>
                      <c:pt idx="38">
                        <c:v>20</c:v>
                      </c:pt>
                      <c:pt idx="39">
                        <c:v>17</c:v>
                      </c:pt>
                      <c:pt idx="40">
                        <c:v>18</c:v>
                      </c:pt>
                      <c:pt idx="41">
                        <c:v>19</c:v>
                      </c:pt>
                      <c:pt idx="42">
                        <c:v>16.363636363636363</c:v>
                      </c:pt>
                      <c:pt idx="43">
                        <c:v>10.909090909090908</c:v>
                      </c:pt>
                      <c:pt idx="45">
                        <c:v>24</c:v>
                      </c:pt>
                      <c:pt idx="47">
                        <c:v>24</c:v>
                      </c:pt>
                      <c:pt idx="48">
                        <c:v>11</c:v>
                      </c:pt>
                      <c:pt idx="49">
                        <c:v>12</c:v>
                      </c:pt>
                      <c:pt idx="50">
                        <c:v>86.666666666666671</c:v>
                      </c:pt>
                      <c:pt idx="51">
                        <c:v>26</c:v>
                      </c:pt>
                      <c:pt idx="52">
                        <c:v>10.666666666666666</c:v>
                      </c:pt>
                      <c:pt idx="53">
                        <c:v>12</c:v>
                      </c:pt>
                      <c:pt idx="54">
                        <c:v>45.714285714285715</c:v>
                      </c:pt>
                      <c:pt idx="55">
                        <c:v>20</c:v>
                      </c:pt>
                      <c:pt idx="56">
                        <c:v>32</c:v>
                      </c:pt>
                      <c:pt idx="57">
                        <c:v>44</c:v>
                      </c:pt>
                      <c:pt idx="58">
                        <c:v>12</c:v>
                      </c:pt>
                      <c:pt idx="59">
                        <c:v>15</c:v>
                      </c:pt>
                      <c:pt idx="60">
                        <c:v>18.571428571428573</c:v>
                      </c:pt>
                      <c:pt idx="61">
                        <c:v>52</c:v>
                      </c:pt>
                      <c:pt idx="62">
                        <c:v>50</c:v>
                      </c:pt>
                      <c:pt idx="63">
                        <c:v>110</c:v>
                      </c:pt>
                      <c:pt idx="64">
                        <c:v>47.142857142857146</c:v>
                      </c:pt>
                      <c:pt idx="65">
                        <c:v>41.428571428571431</c:v>
                      </c:pt>
                      <c:pt idx="66">
                        <c:v>50</c:v>
                      </c:pt>
                      <c:pt idx="67">
                        <c:v>51.25</c:v>
                      </c:pt>
                      <c:pt idx="68">
                        <c:v>86</c:v>
                      </c:pt>
                      <c:pt idx="69">
                        <c:v>74</c:v>
                      </c:pt>
                      <c:pt idx="70">
                        <c:v>107.5</c:v>
                      </c:pt>
                      <c:pt idx="71">
                        <c:v>60</c:v>
                      </c:pt>
                      <c:pt idx="72">
                        <c:v>34</c:v>
                      </c:pt>
                      <c:pt idx="73">
                        <c:v>32</c:v>
                      </c:pt>
                      <c:pt idx="74">
                        <c:v>70</c:v>
                      </c:pt>
                      <c:pt idx="75">
                        <c:v>41</c:v>
                      </c:pt>
                      <c:pt idx="76">
                        <c:v>45</c:v>
                      </c:pt>
                      <c:pt idx="77">
                        <c:v>70</c:v>
                      </c:pt>
                      <c:pt idx="78">
                        <c:v>58.75</c:v>
                      </c:pt>
                      <c:pt idx="79">
                        <c:v>107.5</c:v>
                      </c:pt>
                      <c:pt idx="80">
                        <c:v>235</c:v>
                      </c:pt>
                      <c:pt idx="81">
                        <c:v>150</c:v>
                      </c:pt>
                      <c:pt idx="82">
                        <c:v>156.66666666666666</c:v>
                      </c:pt>
                      <c:pt idx="83">
                        <c:v>120</c:v>
                      </c:pt>
                      <c:pt idx="84">
                        <c:v>82</c:v>
                      </c:pt>
                      <c:pt idx="85">
                        <c:v>70</c:v>
                      </c:pt>
                      <c:pt idx="86">
                        <c:v>38</c:v>
                      </c:pt>
                      <c:pt idx="87">
                        <c:v>42</c:v>
                      </c:pt>
                      <c:pt idx="88">
                        <c:v>28</c:v>
                      </c:pt>
                      <c:pt idx="89">
                        <c:v>62.5</c:v>
                      </c:pt>
                      <c:pt idx="90">
                        <c:v>66</c:v>
                      </c:pt>
                      <c:pt idx="91">
                        <c:v>30</c:v>
                      </c:pt>
                      <c:pt idx="92">
                        <c:v>16</c:v>
                      </c:pt>
                      <c:pt idx="93">
                        <c:v>60</c:v>
                      </c:pt>
                      <c:pt idx="94">
                        <c:v>80</c:v>
                      </c:pt>
                      <c:pt idx="95">
                        <c:v>85</c:v>
                      </c:pt>
                      <c:pt idx="96">
                        <c:v>42</c:v>
                      </c:pt>
                      <c:pt idx="97">
                        <c:v>77.5</c:v>
                      </c:pt>
                      <c:pt idx="98">
                        <c:v>120</c:v>
                      </c:pt>
                      <c:pt idx="99">
                        <c:v>66.666666666666671</c:v>
                      </c:pt>
                      <c:pt idx="100">
                        <c:v>43.333333333333336</c:v>
                      </c:pt>
                      <c:pt idx="101">
                        <c:v>93.333333333333329</c:v>
                      </c:pt>
                      <c:pt idx="102">
                        <c:v>60</c:v>
                      </c:pt>
                      <c:pt idx="103">
                        <c:v>32.5</c:v>
                      </c:pt>
                      <c:pt idx="104">
                        <c:v>36.666666666666664</c:v>
                      </c:pt>
                      <c:pt idx="105">
                        <c:v>36.666666666666664</c:v>
                      </c:pt>
                      <c:pt idx="106">
                        <c:v>165</c:v>
                      </c:pt>
                      <c:pt idx="107">
                        <c:v>20</c:v>
                      </c:pt>
                      <c:pt idx="108">
                        <c:v>50</c:v>
                      </c:pt>
                      <c:pt idx="109">
                        <c:v>33.333333333333336</c:v>
                      </c:pt>
                      <c:pt idx="110">
                        <c:v>25</c:v>
                      </c:pt>
                      <c:pt idx="111">
                        <c:v>120</c:v>
                      </c:pt>
                      <c:pt idx="112">
                        <c:v>130</c:v>
                      </c:pt>
                      <c:pt idx="113">
                        <c:v>130</c:v>
                      </c:pt>
                      <c:pt idx="114">
                        <c:v>103.33333333333333</c:v>
                      </c:pt>
                      <c:pt idx="115">
                        <c:v>44</c:v>
                      </c:pt>
                      <c:pt idx="116">
                        <c:v>24</c:v>
                      </c:pt>
                      <c:pt idx="117">
                        <c:v>32</c:v>
                      </c:pt>
                      <c:pt idx="118">
                        <c:v>46</c:v>
                      </c:pt>
                      <c:pt idx="119">
                        <c:v>32</c:v>
                      </c:pt>
                      <c:pt idx="120">
                        <c:v>40</c:v>
                      </c:pt>
                      <c:pt idx="121">
                        <c:v>105</c:v>
                      </c:pt>
                      <c:pt idx="122">
                        <c:v>38</c:v>
                      </c:pt>
                      <c:pt idx="123">
                        <c:v>53.333333333333336</c:v>
                      </c:pt>
                      <c:pt idx="124">
                        <c:v>75</c:v>
                      </c:pt>
                      <c:pt idx="125">
                        <c:v>53.333333333333336</c:v>
                      </c:pt>
                      <c:pt idx="126">
                        <c:v>36</c:v>
                      </c:pt>
                      <c:pt idx="127">
                        <c:v>38</c:v>
                      </c:pt>
                      <c:pt idx="128">
                        <c:v>36</c:v>
                      </c:pt>
                      <c:pt idx="129">
                        <c:v>62.5</c:v>
                      </c:pt>
                      <c:pt idx="130">
                        <c:v>90</c:v>
                      </c:pt>
                      <c:pt idx="131">
                        <c:v>90</c:v>
                      </c:pt>
                      <c:pt idx="132">
                        <c:v>175</c:v>
                      </c:pt>
                      <c:pt idx="133">
                        <c:v>140</c:v>
                      </c:pt>
                      <c:pt idx="134">
                        <c:v>106.66666666666667</c:v>
                      </c:pt>
                      <c:pt idx="135">
                        <c:v>106.66666666666667</c:v>
                      </c:pt>
                      <c:pt idx="136">
                        <c:v>75</c:v>
                      </c:pt>
                      <c:pt idx="137">
                        <c:v>63.333333333333336</c:v>
                      </c:pt>
                      <c:pt idx="138">
                        <c:v>70</c:v>
                      </c:pt>
                      <c:pt idx="139">
                        <c:v>67.5</c:v>
                      </c:pt>
                      <c:pt idx="140">
                        <c:v>40</c:v>
                      </c:pt>
                      <c:pt idx="141">
                        <c:v>34</c:v>
                      </c:pt>
                      <c:pt idx="142">
                        <c:v>33.333333333333336</c:v>
                      </c:pt>
                      <c:pt idx="143">
                        <c:v>40</c:v>
                      </c:pt>
                      <c:pt idx="144">
                        <c:v>72</c:v>
                      </c:pt>
                      <c:pt idx="145">
                        <c:v>133.33333333333334</c:v>
                      </c:pt>
                      <c:pt idx="146">
                        <c:v>115</c:v>
                      </c:pt>
                      <c:pt idx="147">
                        <c:v>107.5</c:v>
                      </c:pt>
                      <c:pt idx="148">
                        <c:v>90</c:v>
                      </c:pt>
                      <c:pt idx="149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2A7-4B3D-A457-54930CD01B08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Lithology 10</c:v>
                </c:tx>
                <c:spPr>
                  <a:ln w="19050">
                    <a:noFill/>
                  </a:ln>
                </c:spPr>
                <c:marker>
                  <c:symbol val="diamond"/>
                  <c:size val="12"/>
                  <c:spPr>
                    <a:solidFill>
                      <a:srgbClr val="0000FF"/>
                    </a:solidFill>
                    <a:ln>
                      <a:solidFill>
                        <a:srgbClr val="0000FF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 Lithology 10 Geotec'!$BM$2:$BM$83</c15:sqref>
                        </c15:formulaRef>
                      </c:ext>
                    </c:extLst>
                    <c:numCache>
                      <c:formatCode>0.0</c:formatCode>
                      <c:ptCount val="82"/>
                      <c:pt idx="0">
                        <c:v>47</c:v>
                      </c:pt>
                      <c:pt idx="1">
                        <c:v>49</c:v>
                      </c:pt>
                      <c:pt idx="2">
                        <c:v>71</c:v>
                      </c:pt>
                      <c:pt idx="3">
                        <c:v>57</c:v>
                      </c:pt>
                      <c:pt idx="4">
                        <c:v>76</c:v>
                      </c:pt>
                      <c:pt idx="5">
                        <c:v>47</c:v>
                      </c:pt>
                      <c:pt idx="6">
                        <c:v>45</c:v>
                      </c:pt>
                      <c:pt idx="7">
                        <c:v>46</c:v>
                      </c:pt>
                      <c:pt idx="8">
                        <c:v>65</c:v>
                      </c:pt>
                      <c:pt idx="9">
                        <c:v>60</c:v>
                      </c:pt>
                      <c:pt idx="10">
                        <c:v>55</c:v>
                      </c:pt>
                      <c:pt idx="11">
                        <c:v>62</c:v>
                      </c:pt>
                      <c:pt idx="12">
                        <c:v>63</c:v>
                      </c:pt>
                      <c:pt idx="13">
                        <c:v>61</c:v>
                      </c:pt>
                      <c:pt idx="14">
                        <c:v>52</c:v>
                      </c:pt>
                      <c:pt idx="15">
                        <c:v>45</c:v>
                      </c:pt>
                      <c:pt idx="16">
                        <c:v>48</c:v>
                      </c:pt>
                      <c:pt idx="17">
                        <c:v>70</c:v>
                      </c:pt>
                      <c:pt idx="18">
                        <c:v>55</c:v>
                      </c:pt>
                      <c:pt idx="19">
                        <c:v>47</c:v>
                      </c:pt>
                      <c:pt idx="20">
                        <c:v>33</c:v>
                      </c:pt>
                      <c:pt idx="21">
                        <c:v>50</c:v>
                      </c:pt>
                      <c:pt idx="22">
                        <c:v>46</c:v>
                      </c:pt>
                      <c:pt idx="23">
                        <c:v>33</c:v>
                      </c:pt>
                      <c:pt idx="24">
                        <c:v>44</c:v>
                      </c:pt>
                      <c:pt idx="25">
                        <c:v>46</c:v>
                      </c:pt>
                      <c:pt idx="26">
                        <c:v>42</c:v>
                      </c:pt>
                      <c:pt idx="27">
                        <c:v>21</c:v>
                      </c:pt>
                      <c:pt idx="28">
                        <c:v>43</c:v>
                      </c:pt>
                      <c:pt idx="29">
                        <c:v>50</c:v>
                      </c:pt>
                      <c:pt idx="30">
                        <c:v>35</c:v>
                      </c:pt>
                      <c:pt idx="31">
                        <c:v>44</c:v>
                      </c:pt>
                      <c:pt idx="32">
                        <c:v>46</c:v>
                      </c:pt>
                      <c:pt idx="33">
                        <c:v>37</c:v>
                      </c:pt>
                      <c:pt idx="34">
                        <c:v>43</c:v>
                      </c:pt>
                      <c:pt idx="35">
                        <c:v>31</c:v>
                      </c:pt>
                      <c:pt idx="36">
                        <c:v>31</c:v>
                      </c:pt>
                      <c:pt idx="37">
                        <c:v>27</c:v>
                      </c:pt>
                      <c:pt idx="38">
                        <c:v>28</c:v>
                      </c:pt>
                      <c:pt idx="39">
                        <c:v>28</c:v>
                      </c:pt>
                      <c:pt idx="40">
                        <c:v>29</c:v>
                      </c:pt>
                      <c:pt idx="41">
                        <c:v>34</c:v>
                      </c:pt>
                      <c:pt idx="42">
                        <c:v>29</c:v>
                      </c:pt>
                      <c:pt idx="43">
                        <c:v>49</c:v>
                      </c:pt>
                      <c:pt idx="44">
                        <c:v>36</c:v>
                      </c:pt>
                      <c:pt idx="45">
                        <c:v>35</c:v>
                      </c:pt>
                      <c:pt idx="46">
                        <c:v>28</c:v>
                      </c:pt>
                      <c:pt idx="47">
                        <c:v>34</c:v>
                      </c:pt>
                      <c:pt idx="48">
                        <c:v>28</c:v>
                      </c:pt>
                      <c:pt idx="49">
                        <c:v>40</c:v>
                      </c:pt>
                      <c:pt idx="50">
                        <c:v>60</c:v>
                      </c:pt>
                      <c:pt idx="51">
                        <c:v>36</c:v>
                      </c:pt>
                      <c:pt idx="52">
                        <c:v>29</c:v>
                      </c:pt>
                      <c:pt idx="53">
                        <c:v>29</c:v>
                      </c:pt>
                      <c:pt idx="54">
                        <c:v>45</c:v>
                      </c:pt>
                      <c:pt idx="55">
                        <c:v>38</c:v>
                      </c:pt>
                      <c:pt idx="56">
                        <c:v>38</c:v>
                      </c:pt>
                      <c:pt idx="57">
                        <c:v>37</c:v>
                      </c:pt>
                      <c:pt idx="58">
                        <c:v>34</c:v>
                      </c:pt>
                      <c:pt idx="59">
                        <c:v>27</c:v>
                      </c:pt>
                      <c:pt idx="60">
                        <c:v>31</c:v>
                      </c:pt>
                      <c:pt idx="61">
                        <c:v>21</c:v>
                      </c:pt>
                      <c:pt idx="62">
                        <c:v>21</c:v>
                      </c:pt>
                      <c:pt idx="63">
                        <c:v>57</c:v>
                      </c:pt>
                      <c:pt idx="64">
                        <c:v>48</c:v>
                      </c:pt>
                      <c:pt idx="65">
                        <c:v>53</c:v>
                      </c:pt>
                      <c:pt idx="66">
                        <c:v>43</c:v>
                      </c:pt>
                      <c:pt idx="67">
                        <c:v>48</c:v>
                      </c:pt>
                      <c:pt idx="68">
                        <c:v>44</c:v>
                      </c:pt>
                      <c:pt idx="69">
                        <c:v>59</c:v>
                      </c:pt>
                      <c:pt idx="70">
                        <c:v>48</c:v>
                      </c:pt>
                      <c:pt idx="71">
                        <c:v>46</c:v>
                      </c:pt>
                      <c:pt idx="72">
                        <c:v>46</c:v>
                      </c:pt>
                      <c:pt idx="73">
                        <c:v>47</c:v>
                      </c:pt>
                      <c:pt idx="74">
                        <c:v>49</c:v>
                      </c:pt>
                      <c:pt idx="75">
                        <c:v>56</c:v>
                      </c:pt>
                      <c:pt idx="76">
                        <c:v>52</c:v>
                      </c:pt>
                      <c:pt idx="77">
                        <c:v>56</c:v>
                      </c:pt>
                      <c:pt idx="78">
                        <c:v>61</c:v>
                      </c:pt>
                      <c:pt idx="79">
                        <c:v>56</c:v>
                      </c:pt>
                      <c:pt idx="80">
                        <c:v>48</c:v>
                      </c:pt>
                      <c:pt idx="81">
                        <c:v>49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 Lithology 10 Geotec'!$X$2:$X$83</c15:sqref>
                        </c15:formulaRef>
                      </c:ext>
                    </c:extLst>
                    <c:numCache>
                      <c:formatCode>0.00</c:formatCode>
                      <c:ptCount val="82"/>
                      <c:pt idx="0">
                        <c:v>54</c:v>
                      </c:pt>
                      <c:pt idx="1">
                        <c:v>110</c:v>
                      </c:pt>
                      <c:pt idx="2">
                        <c:v>500</c:v>
                      </c:pt>
                      <c:pt idx="3">
                        <c:v>166.66666666666666</c:v>
                      </c:pt>
                      <c:pt idx="4">
                        <c:v>1330</c:v>
                      </c:pt>
                      <c:pt idx="5">
                        <c:v>87.5</c:v>
                      </c:pt>
                      <c:pt idx="6">
                        <c:v>47.5</c:v>
                      </c:pt>
                      <c:pt idx="7">
                        <c:v>103.33333333333333</c:v>
                      </c:pt>
                      <c:pt idx="8">
                        <c:v>305</c:v>
                      </c:pt>
                      <c:pt idx="9">
                        <c:v>286.66666666666669</c:v>
                      </c:pt>
                      <c:pt idx="10">
                        <c:v>164</c:v>
                      </c:pt>
                      <c:pt idx="11">
                        <c:v>240</c:v>
                      </c:pt>
                      <c:pt idx="12">
                        <c:v>233.33333333333334</c:v>
                      </c:pt>
                      <c:pt idx="13">
                        <c:v>236.66666666666666</c:v>
                      </c:pt>
                      <c:pt idx="14">
                        <c:v>150</c:v>
                      </c:pt>
                      <c:pt idx="15">
                        <c:v>72</c:v>
                      </c:pt>
                      <c:pt idx="16">
                        <c:v>105.71428571428571</c:v>
                      </c:pt>
                      <c:pt idx="17">
                        <c:v>520</c:v>
                      </c:pt>
                      <c:pt idx="18">
                        <c:v>123.33333333333333</c:v>
                      </c:pt>
                      <c:pt idx="19">
                        <c:v>73.333333333333329</c:v>
                      </c:pt>
                      <c:pt idx="20">
                        <c:v>49</c:v>
                      </c:pt>
                      <c:pt idx="21">
                        <c:v>125</c:v>
                      </c:pt>
                      <c:pt idx="22">
                        <c:v>146.66666666666666</c:v>
                      </c:pt>
                      <c:pt idx="23">
                        <c:v>32.666666666666664</c:v>
                      </c:pt>
                      <c:pt idx="24">
                        <c:v>124</c:v>
                      </c:pt>
                      <c:pt idx="25">
                        <c:v>98</c:v>
                      </c:pt>
                      <c:pt idx="26">
                        <c:v>120</c:v>
                      </c:pt>
                      <c:pt idx="27">
                        <c:v>32.666666666666664</c:v>
                      </c:pt>
                      <c:pt idx="28">
                        <c:v>150</c:v>
                      </c:pt>
                      <c:pt idx="29">
                        <c:v>126.66666666666667</c:v>
                      </c:pt>
                      <c:pt idx="30">
                        <c:v>46</c:v>
                      </c:pt>
                      <c:pt idx="31">
                        <c:v>126.66666666666667</c:v>
                      </c:pt>
                      <c:pt idx="32">
                        <c:v>156.66666666666666</c:v>
                      </c:pt>
                      <c:pt idx="33">
                        <c:v>86</c:v>
                      </c:pt>
                      <c:pt idx="34">
                        <c:v>125</c:v>
                      </c:pt>
                      <c:pt idx="35">
                        <c:v>41.666666666666664</c:v>
                      </c:pt>
                      <c:pt idx="36">
                        <c:v>55</c:v>
                      </c:pt>
                      <c:pt idx="37">
                        <c:v>43.333333333333336</c:v>
                      </c:pt>
                      <c:pt idx="38">
                        <c:v>24</c:v>
                      </c:pt>
                      <c:pt idx="39">
                        <c:v>28</c:v>
                      </c:pt>
                      <c:pt idx="40">
                        <c:v>33.75</c:v>
                      </c:pt>
                      <c:pt idx="41">
                        <c:v>74</c:v>
                      </c:pt>
                      <c:pt idx="42">
                        <c:v>47.142857142857146</c:v>
                      </c:pt>
                      <c:pt idx="43">
                        <c:v>150</c:v>
                      </c:pt>
                      <c:pt idx="44">
                        <c:v>65</c:v>
                      </c:pt>
                      <c:pt idx="45">
                        <c:v>70</c:v>
                      </c:pt>
                      <c:pt idx="46">
                        <c:v>28.571428571428573</c:v>
                      </c:pt>
                      <c:pt idx="47">
                        <c:v>71.666666666666671</c:v>
                      </c:pt>
                      <c:pt idx="48">
                        <c:v>53</c:v>
                      </c:pt>
                      <c:pt idx="49">
                        <c:v>100</c:v>
                      </c:pt>
                      <c:pt idx="50">
                        <c:v>485</c:v>
                      </c:pt>
                      <c:pt idx="51">
                        <c:v>71.428571428571431</c:v>
                      </c:pt>
                      <c:pt idx="52">
                        <c:v>27</c:v>
                      </c:pt>
                      <c:pt idx="53">
                        <c:v>25</c:v>
                      </c:pt>
                      <c:pt idx="54">
                        <c:v>100</c:v>
                      </c:pt>
                      <c:pt idx="55">
                        <c:v>146.66666666666666</c:v>
                      </c:pt>
                      <c:pt idx="56">
                        <c:v>100</c:v>
                      </c:pt>
                      <c:pt idx="57">
                        <c:v>83.333333333333329</c:v>
                      </c:pt>
                      <c:pt idx="58">
                        <c:v>90</c:v>
                      </c:pt>
                      <c:pt idx="59">
                        <c:v>60</c:v>
                      </c:pt>
                      <c:pt idx="60">
                        <c:v>86</c:v>
                      </c:pt>
                      <c:pt idx="61">
                        <c:v>29</c:v>
                      </c:pt>
                      <c:pt idx="62">
                        <c:v>16.666666666666668</c:v>
                      </c:pt>
                      <c:pt idx="63">
                        <c:v>235</c:v>
                      </c:pt>
                      <c:pt idx="64">
                        <c:v>170</c:v>
                      </c:pt>
                      <c:pt idx="65">
                        <c:v>170</c:v>
                      </c:pt>
                      <c:pt idx="66">
                        <c:v>100</c:v>
                      </c:pt>
                      <c:pt idx="67">
                        <c:v>166.66666666666666</c:v>
                      </c:pt>
                      <c:pt idx="68">
                        <c:v>125</c:v>
                      </c:pt>
                      <c:pt idx="69">
                        <c:v>250</c:v>
                      </c:pt>
                      <c:pt idx="70">
                        <c:v>125</c:v>
                      </c:pt>
                      <c:pt idx="71">
                        <c:v>102.5</c:v>
                      </c:pt>
                      <c:pt idx="72">
                        <c:v>100</c:v>
                      </c:pt>
                      <c:pt idx="73">
                        <c:v>163.33333333333334</c:v>
                      </c:pt>
                      <c:pt idx="74">
                        <c:v>205</c:v>
                      </c:pt>
                      <c:pt idx="75">
                        <c:v>230</c:v>
                      </c:pt>
                      <c:pt idx="76">
                        <c:v>156.66666666666666</c:v>
                      </c:pt>
                      <c:pt idx="77">
                        <c:v>215</c:v>
                      </c:pt>
                      <c:pt idx="78">
                        <c:v>480</c:v>
                      </c:pt>
                      <c:pt idx="79">
                        <c:v>235</c:v>
                      </c:pt>
                      <c:pt idx="80">
                        <c:v>156.66666666666666</c:v>
                      </c:pt>
                      <c:pt idx="81">
                        <c:v>153.33333333333334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2A7-4B3D-A457-54930CD01B08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Lithology 50</c:v>
                </c:tx>
                <c:spPr>
                  <a:ln w="19050">
                    <a:noFill/>
                  </a:ln>
                </c:spPr>
                <c:marker>
                  <c:symbol val="triangle"/>
                  <c:size val="6"/>
                  <c:spPr>
                    <a:solidFill>
                      <a:srgbClr val="FF99CC"/>
                    </a:solidFill>
                    <a:ln>
                      <a:solidFill>
                        <a:srgbClr val="FF99CC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'7. Lithology 50 Geotec'!$BK$3:$BK$139</c15:sqref>
                        </c15:formulaRef>
                      </c:ext>
                    </c:extLst>
                    <c:numCache>
                      <c:formatCode>0.0</c:formatCode>
                      <c:ptCount val="137"/>
                      <c:pt idx="0">
                        <c:v>44</c:v>
                      </c:pt>
                      <c:pt idx="1">
                        <c:v>31</c:v>
                      </c:pt>
                      <c:pt idx="2">
                        <c:v>34</c:v>
                      </c:pt>
                      <c:pt idx="3">
                        <c:v>21</c:v>
                      </c:pt>
                      <c:pt idx="4">
                        <c:v>34</c:v>
                      </c:pt>
                      <c:pt idx="5">
                        <c:v>24</c:v>
                      </c:pt>
                      <c:pt idx="6">
                        <c:v>35</c:v>
                      </c:pt>
                      <c:pt idx="7">
                        <c:v>42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29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21</c:v>
                      </c:pt>
                      <c:pt idx="14">
                        <c:v>26</c:v>
                      </c:pt>
                      <c:pt idx="15">
                        <c:v>20</c:v>
                      </c:pt>
                      <c:pt idx="16">
                        <c:v>16</c:v>
                      </c:pt>
                      <c:pt idx="17">
                        <c:v>28</c:v>
                      </c:pt>
                      <c:pt idx="18">
                        <c:v>22</c:v>
                      </c:pt>
                      <c:pt idx="19">
                        <c:v>33</c:v>
                      </c:pt>
                      <c:pt idx="20">
                        <c:v>44</c:v>
                      </c:pt>
                      <c:pt idx="21">
                        <c:v>25</c:v>
                      </c:pt>
                      <c:pt idx="22">
                        <c:v>22</c:v>
                      </c:pt>
                      <c:pt idx="23">
                        <c:v>33</c:v>
                      </c:pt>
                      <c:pt idx="24">
                        <c:v>48</c:v>
                      </c:pt>
                      <c:pt idx="25">
                        <c:v>32</c:v>
                      </c:pt>
                      <c:pt idx="26">
                        <c:v>22</c:v>
                      </c:pt>
                      <c:pt idx="27">
                        <c:v>28</c:v>
                      </c:pt>
                      <c:pt idx="28">
                        <c:v>22</c:v>
                      </c:pt>
                      <c:pt idx="29">
                        <c:v>24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21</c:v>
                      </c:pt>
                      <c:pt idx="33">
                        <c:v>21</c:v>
                      </c:pt>
                      <c:pt idx="34">
                        <c:v>21</c:v>
                      </c:pt>
                      <c:pt idx="35">
                        <c:v>21</c:v>
                      </c:pt>
                      <c:pt idx="36">
                        <c:v>18</c:v>
                      </c:pt>
                      <c:pt idx="37">
                        <c:v>18</c:v>
                      </c:pt>
                      <c:pt idx="38">
                        <c:v>17</c:v>
                      </c:pt>
                      <c:pt idx="39">
                        <c:v>18</c:v>
                      </c:pt>
                      <c:pt idx="40">
                        <c:v>18</c:v>
                      </c:pt>
                      <c:pt idx="41">
                        <c:v>18</c:v>
                      </c:pt>
                      <c:pt idx="42">
                        <c:v>18</c:v>
                      </c:pt>
                      <c:pt idx="43">
                        <c:v>20</c:v>
                      </c:pt>
                      <c:pt idx="44">
                        <c:v>20</c:v>
                      </c:pt>
                      <c:pt idx="45">
                        <c:v>20</c:v>
                      </c:pt>
                      <c:pt idx="46">
                        <c:v>20</c:v>
                      </c:pt>
                      <c:pt idx="47">
                        <c:v>20</c:v>
                      </c:pt>
                      <c:pt idx="48">
                        <c:v>20</c:v>
                      </c:pt>
                      <c:pt idx="49">
                        <c:v>20</c:v>
                      </c:pt>
                      <c:pt idx="50">
                        <c:v>20</c:v>
                      </c:pt>
                      <c:pt idx="51">
                        <c:v>18</c:v>
                      </c:pt>
                      <c:pt idx="52">
                        <c:v>17</c:v>
                      </c:pt>
                      <c:pt idx="53">
                        <c:v>19</c:v>
                      </c:pt>
                      <c:pt idx="54">
                        <c:v>17</c:v>
                      </c:pt>
                      <c:pt idx="55">
                        <c:v>17</c:v>
                      </c:pt>
                      <c:pt idx="56">
                        <c:v>17</c:v>
                      </c:pt>
                      <c:pt idx="57">
                        <c:v>26</c:v>
                      </c:pt>
                      <c:pt idx="58">
                        <c:v>23</c:v>
                      </c:pt>
                      <c:pt idx="59">
                        <c:v>18</c:v>
                      </c:pt>
                      <c:pt idx="60">
                        <c:v>24</c:v>
                      </c:pt>
                      <c:pt idx="61">
                        <c:v>23</c:v>
                      </c:pt>
                      <c:pt idx="62">
                        <c:v>18</c:v>
                      </c:pt>
                      <c:pt idx="63">
                        <c:v>28</c:v>
                      </c:pt>
                      <c:pt idx="64">
                        <c:v>16</c:v>
                      </c:pt>
                      <c:pt idx="65">
                        <c:v>28</c:v>
                      </c:pt>
                      <c:pt idx="66">
                        <c:v>23</c:v>
                      </c:pt>
                      <c:pt idx="67">
                        <c:v>17</c:v>
                      </c:pt>
                      <c:pt idx="68">
                        <c:v>19</c:v>
                      </c:pt>
                      <c:pt idx="69">
                        <c:v>15</c:v>
                      </c:pt>
                      <c:pt idx="70">
                        <c:v>16</c:v>
                      </c:pt>
                      <c:pt idx="71">
                        <c:v>16</c:v>
                      </c:pt>
                      <c:pt idx="72">
                        <c:v>16</c:v>
                      </c:pt>
                      <c:pt idx="73">
                        <c:v>17</c:v>
                      </c:pt>
                      <c:pt idx="74">
                        <c:v>16</c:v>
                      </c:pt>
                      <c:pt idx="75">
                        <c:v>16</c:v>
                      </c:pt>
                      <c:pt idx="76">
                        <c:v>17</c:v>
                      </c:pt>
                      <c:pt idx="77">
                        <c:v>17</c:v>
                      </c:pt>
                      <c:pt idx="78">
                        <c:v>18</c:v>
                      </c:pt>
                      <c:pt idx="79">
                        <c:v>18</c:v>
                      </c:pt>
                      <c:pt idx="80">
                        <c:v>22</c:v>
                      </c:pt>
                      <c:pt idx="81">
                        <c:v>20</c:v>
                      </c:pt>
                      <c:pt idx="82">
                        <c:v>27</c:v>
                      </c:pt>
                      <c:pt idx="83">
                        <c:v>30</c:v>
                      </c:pt>
                      <c:pt idx="84">
                        <c:v>31</c:v>
                      </c:pt>
                      <c:pt idx="85">
                        <c:v>21</c:v>
                      </c:pt>
                      <c:pt idx="86">
                        <c:v>26</c:v>
                      </c:pt>
                      <c:pt idx="87">
                        <c:v>22</c:v>
                      </c:pt>
                      <c:pt idx="88">
                        <c:v>27</c:v>
                      </c:pt>
                      <c:pt idx="89">
                        <c:v>17</c:v>
                      </c:pt>
                      <c:pt idx="90">
                        <c:v>22</c:v>
                      </c:pt>
                      <c:pt idx="91">
                        <c:v>26</c:v>
                      </c:pt>
                      <c:pt idx="92">
                        <c:v>25</c:v>
                      </c:pt>
                      <c:pt idx="93">
                        <c:v>16</c:v>
                      </c:pt>
                      <c:pt idx="94">
                        <c:v>19</c:v>
                      </c:pt>
                      <c:pt idx="95">
                        <c:v>17</c:v>
                      </c:pt>
                      <c:pt idx="96">
                        <c:v>25</c:v>
                      </c:pt>
                      <c:pt idx="97">
                        <c:v>26</c:v>
                      </c:pt>
                      <c:pt idx="98">
                        <c:v>16</c:v>
                      </c:pt>
                      <c:pt idx="99">
                        <c:v>17</c:v>
                      </c:pt>
                      <c:pt idx="100">
                        <c:v>15</c:v>
                      </c:pt>
                      <c:pt idx="101">
                        <c:v>16</c:v>
                      </c:pt>
                      <c:pt idx="102">
                        <c:v>19</c:v>
                      </c:pt>
                      <c:pt idx="103">
                        <c:v>32</c:v>
                      </c:pt>
                      <c:pt idx="104">
                        <c:v>31</c:v>
                      </c:pt>
                      <c:pt idx="105">
                        <c:v>27</c:v>
                      </c:pt>
                      <c:pt idx="106">
                        <c:v>23</c:v>
                      </c:pt>
                      <c:pt idx="107">
                        <c:v>17</c:v>
                      </c:pt>
                      <c:pt idx="108">
                        <c:v>30</c:v>
                      </c:pt>
                      <c:pt idx="109">
                        <c:v>22</c:v>
                      </c:pt>
                      <c:pt idx="110">
                        <c:v>28</c:v>
                      </c:pt>
                      <c:pt idx="111">
                        <c:v>49</c:v>
                      </c:pt>
                      <c:pt idx="112">
                        <c:v>29</c:v>
                      </c:pt>
                      <c:pt idx="113">
                        <c:v>47</c:v>
                      </c:pt>
                      <c:pt idx="114">
                        <c:v>20</c:v>
                      </c:pt>
                      <c:pt idx="115">
                        <c:v>17</c:v>
                      </c:pt>
                      <c:pt idx="116">
                        <c:v>35</c:v>
                      </c:pt>
                      <c:pt idx="117">
                        <c:v>17</c:v>
                      </c:pt>
                      <c:pt idx="118">
                        <c:v>14</c:v>
                      </c:pt>
                      <c:pt idx="119">
                        <c:v>17</c:v>
                      </c:pt>
                      <c:pt idx="120">
                        <c:v>24</c:v>
                      </c:pt>
                      <c:pt idx="121">
                        <c:v>26</c:v>
                      </c:pt>
                      <c:pt idx="122">
                        <c:v>20</c:v>
                      </c:pt>
                      <c:pt idx="123">
                        <c:v>34</c:v>
                      </c:pt>
                      <c:pt idx="124">
                        <c:v>14</c:v>
                      </c:pt>
                      <c:pt idx="125">
                        <c:v>24</c:v>
                      </c:pt>
                      <c:pt idx="126">
                        <c:v>38</c:v>
                      </c:pt>
                      <c:pt idx="127">
                        <c:v>35</c:v>
                      </c:pt>
                      <c:pt idx="128">
                        <c:v>36</c:v>
                      </c:pt>
                      <c:pt idx="129">
                        <c:v>31</c:v>
                      </c:pt>
                      <c:pt idx="130">
                        <c:v>33</c:v>
                      </c:pt>
                      <c:pt idx="131">
                        <c:v>28</c:v>
                      </c:pt>
                      <c:pt idx="132">
                        <c:v>31</c:v>
                      </c:pt>
                      <c:pt idx="133">
                        <c:v>43</c:v>
                      </c:pt>
                      <c:pt idx="134">
                        <c:v>29</c:v>
                      </c:pt>
                      <c:pt idx="135">
                        <c:v>33</c:v>
                      </c:pt>
                      <c:pt idx="136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'7. Lithology 50 Geotec'!$X$3:$X$139</c15:sqref>
                        </c15:formulaRef>
                      </c:ext>
                    </c:extLst>
                    <c:numCache>
                      <c:formatCode>0.00</c:formatCode>
                      <c:ptCount val="137"/>
                      <c:pt idx="0">
                        <c:v>180</c:v>
                      </c:pt>
                      <c:pt idx="1">
                        <c:v>78</c:v>
                      </c:pt>
                      <c:pt idx="2">
                        <c:v>87.5</c:v>
                      </c:pt>
                      <c:pt idx="3">
                        <c:v>15.333333333333334</c:v>
                      </c:pt>
                      <c:pt idx="4">
                        <c:v>96.666666666666671</c:v>
                      </c:pt>
                      <c:pt idx="5">
                        <c:v>20.76923076923077</c:v>
                      </c:pt>
                      <c:pt idx="6">
                        <c:v>29</c:v>
                      </c:pt>
                      <c:pt idx="7">
                        <c:v>32</c:v>
                      </c:pt>
                      <c:pt idx="8">
                        <c:v>24</c:v>
                      </c:pt>
                      <c:pt idx="9">
                        <c:v>15</c:v>
                      </c:pt>
                      <c:pt idx="10">
                        <c:v>38</c:v>
                      </c:pt>
                      <c:pt idx="11">
                        <c:v>20</c:v>
                      </c:pt>
                      <c:pt idx="12">
                        <c:v>24</c:v>
                      </c:pt>
                      <c:pt idx="13">
                        <c:v>56.666666666666664</c:v>
                      </c:pt>
                      <c:pt idx="14">
                        <c:v>70</c:v>
                      </c:pt>
                      <c:pt idx="15">
                        <c:v>76.666666666666671</c:v>
                      </c:pt>
                      <c:pt idx="16">
                        <c:v>26</c:v>
                      </c:pt>
                      <c:pt idx="17">
                        <c:v>40</c:v>
                      </c:pt>
                      <c:pt idx="18">
                        <c:v>50</c:v>
                      </c:pt>
                      <c:pt idx="19">
                        <c:v>60</c:v>
                      </c:pt>
                      <c:pt idx="20">
                        <c:v>135</c:v>
                      </c:pt>
                      <c:pt idx="21">
                        <c:v>60</c:v>
                      </c:pt>
                      <c:pt idx="22">
                        <c:v>43.333333333333336</c:v>
                      </c:pt>
                      <c:pt idx="23">
                        <c:v>102.5</c:v>
                      </c:pt>
                      <c:pt idx="24">
                        <c:v>215</c:v>
                      </c:pt>
                      <c:pt idx="25">
                        <c:v>70</c:v>
                      </c:pt>
                      <c:pt idx="26">
                        <c:v>73.333333333333329</c:v>
                      </c:pt>
                      <c:pt idx="27">
                        <c:v>100</c:v>
                      </c:pt>
                      <c:pt idx="28">
                        <c:v>70</c:v>
                      </c:pt>
                      <c:pt idx="29">
                        <c:v>53.333333333333336</c:v>
                      </c:pt>
                      <c:pt idx="30">
                        <c:v>32</c:v>
                      </c:pt>
                      <c:pt idx="31">
                        <c:v>35</c:v>
                      </c:pt>
                      <c:pt idx="32">
                        <c:v>28</c:v>
                      </c:pt>
                      <c:pt idx="33">
                        <c:v>36.666666666666664</c:v>
                      </c:pt>
                      <c:pt idx="34">
                        <c:v>22</c:v>
                      </c:pt>
                      <c:pt idx="35">
                        <c:v>10</c:v>
                      </c:pt>
                      <c:pt idx="36">
                        <c:v>10</c:v>
                      </c:pt>
                      <c:pt idx="37">
                        <c:v>36</c:v>
                      </c:pt>
                      <c:pt idx="38">
                        <c:v>51.666666666666664</c:v>
                      </c:pt>
                      <c:pt idx="39">
                        <c:v>60</c:v>
                      </c:pt>
                      <c:pt idx="40">
                        <c:v>36.666666666666664</c:v>
                      </c:pt>
                      <c:pt idx="41">
                        <c:v>46</c:v>
                      </c:pt>
                      <c:pt idx="42">
                        <c:v>34</c:v>
                      </c:pt>
                      <c:pt idx="43">
                        <c:v>30</c:v>
                      </c:pt>
                      <c:pt idx="44">
                        <c:v>19</c:v>
                      </c:pt>
                      <c:pt idx="45">
                        <c:v>24</c:v>
                      </c:pt>
                      <c:pt idx="46">
                        <c:v>19</c:v>
                      </c:pt>
                      <c:pt idx="48">
                        <c:v>20</c:v>
                      </c:pt>
                      <c:pt idx="49">
                        <c:v>23</c:v>
                      </c:pt>
                      <c:pt idx="50">
                        <c:v>25</c:v>
                      </c:pt>
                      <c:pt idx="51">
                        <c:v>65</c:v>
                      </c:pt>
                      <c:pt idx="52">
                        <c:v>62.5</c:v>
                      </c:pt>
                      <c:pt idx="53">
                        <c:v>83.333333333333329</c:v>
                      </c:pt>
                      <c:pt idx="54">
                        <c:v>56</c:v>
                      </c:pt>
                      <c:pt idx="55">
                        <c:v>38</c:v>
                      </c:pt>
                      <c:pt idx="56">
                        <c:v>46</c:v>
                      </c:pt>
                      <c:pt idx="57">
                        <c:v>70</c:v>
                      </c:pt>
                      <c:pt idx="58">
                        <c:v>53.333333333333336</c:v>
                      </c:pt>
                      <c:pt idx="59">
                        <c:v>36</c:v>
                      </c:pt>
                      <c:pt idx="60">
                        <c:v>63.333333333333336</c:v>
                      </c:pt>
                      <c:pt idx="61">
                        <c:v>63.333333333333336</c:v>
                      </c:pt>
                      <c:pt idx="62">
                        <c:v>37.5</c:v>
                      </c:pt>
                      <c:pt idx="63">
                        <c:v>90</c:v>
                      </c:pt>
                      <c:pt idx="64">
                        <c:v>46.666666666666664</c:v>
                      </c:pt>
                      <c:pt idx="65">
                        <c:v>95</c:v>
                      </c:pt>
                      <c:pt idx="66">
                        <c:v>56.666666666666664</c:v>
                      </c:pt>
                      <c:pt idx="67">
                        <c:v>30</c:v>
                      </c:pt>
                      <c:pt idx="68">
                        <c:v>52.5</c:v>
                      </c:pt>
                      <c:pt idx="69">
                        <c:v>53.333333333333336</c:v>
                      </c:pt>
                      <c:pt idx="70">
                        <c:v>56.666666666666664</c:v>
                      </c:pt>
                      <c:pt idx="71">
                        <c:v>30</c:v>
                      </c:pt>
                      <c:pt idx="72">
                        <c:v>37</c:v>
                      </c:pt>
                      <c:pt idx="73">
                        <c:v>24</c:v>
                      </c:pt>
                      <c:pt idx="74">
                        <c:v>27</c:v>
                      </c:pt>
                      <c:pt idx="75">
                        <c:v>22</c:v>
                      </c:pt>
                      <c:pt idx="76">
                        <c:v>26</c:v>
                      </c:pt>
                      <c:pt idx="77">
                        <c:v>58</c:v>
                      </c:pt>
                      <c:pt idx="78">
                        <c:v>20</c:v>
                      </c:pt>
                      <c:pt idx="79">
                        <c:v>16</c:v>
                      </c:pt>
                      <c:pt idx="80" formatCode="General">
                        <c:v>50</c:v>
                      </c:pt>
                      <c:pt idx="81" formatCode="General">
                        <c:v>58.000000000000014</c:v>
                      </c:pt>
                      <c:pt idx="82" formatCode="General">
                        <c:v>80</c:v>
                      </c:pt>
                      <c:pt idx="83" formatCode="General">
                        <c:v>92.5</c:v>
                      </c:pt>
                      <c:pt idx="84" formatCode="General">
                        <c:v>112.5</c:v>
                      </c:pt>
                      <c:pt idx="85" formatCode="General">
                        <c:v>63.333333333333336</c:v>
                      </c:pt>
                      <c:pt idx="86" formatCode="General">
                        <c:v>80</c:v>
                      </c:pt>
                      <c:pt idx="87" formatCode="General">
                        <c:v>50</c:v>
                      </c:pt>
                      <c:pt idx="88" formatCode="General">
                        <c:v>90</c:v>
                      </c:pt>
                      <c:pt idx="89" formatCode="General">
                        <c:v>52.5</c:v>
                      </c:pt>
                      <c:pt idx="90" formatCode="General">
                        <c:v>73.333333333333329</c:v>
                      </c:pt>
                      <c:pt idx="91" formatCode="General">
                        <c:v>77.5</c:v>
                      </c:pt>
                      <c:pt idx="92" formatCode="General">
                        <c:v>86.666666666666671</c:v>
                      </c:pt>
                      <c:pt idx="93" formatCode="General">
                        <c:v>54</c:v>
                      </c:pt>
                      <c:pt idx="94" formatCode="General">
                        <c:v>82.5</c:v>
                      </c:pt>
                      <c:pt idx="95" formatCode="General">
                        <c:v>56</c:v>
                      </c:pt>
                      <c:pt idx="96" formatCode="General">
                        <c:v>83.333333333333329</c:v>
                      </c:pt>
                      <c:pt idx="97" formatCode="General">
                        <c:v>85</c:v>
                      </c:pt>
                      <c:pt idx="98" formatCode="General">
                        <c:v>58.571428571428569</c:v>
                      </c:pt>
                      <c:pt idx="99" formatCode="General">
                        <c:v>65.714285714285708</c:v>
                      </c:pt>
                      <c:pt idx="100" formatCode="General">
                        <c:v>51.428571428571431</c:v>
                      </c:pt>
                      <c:pt idx="101" formatCode="General">
                        <c:v>42.857142857142854</c:v>
                      </c:pt>
                      <c:pt idx="102" formatCode="General">
                        <c:v>82.5</c:v>
                      </c:pt>
                      <c:pt idx="103" formatCode="General">
                        <c:v>115</c:v>
                      </c:pt>
                      <c:pt idx="104" formatCode="General">
                        <c:v>90</c:v>
                      </c:pt>
                      <c:pt idx="105" formatCode="General">
                        <c:v>97.5</c:v>
                      </c:pt>
                      <c:pt idx="106" formatCode="General">
                        <c:v>60</c:v>
                      </c:pt>
                      <c:pt idx="107" formatCode="General">
                        <c:v>48.75</c:v>
                      </c:pt>
                      <c:pt idx="108" formatCode="General">
                        <c:v>95</c:v>
                      </c:pt>
                      <c:pt idx="109" formatCode="General">
                        <c:v>116.66666666666667</c:v>
                      </c:pt>
                      <c:pt idx="110" formatCode="General">
                        <c:v>72</c:v>
                      </c:pt>
                      <c:pt idx="111" formatCode="General">
                        <c:v>153.33333333333334</c:v>
                      </c:pt>
                      <c:pt idx="112" formatCode="General">
                        <c:v>70</c:v>
                      </c:pt>
                      <c:pt idx="113" formatCode="General">
                        <c:v>245</c:v>
                      </c:pt>
                      <c:pt idx="114" formatCode="General">
                        <c:v>25</c:v>
                      </c:pt>
                      <c:pt idx="115" formatCode="General">
                        <c:v>32</c:v>
                      </c:pt>
                      <c:pt idx="116" formatCode="General">
                        <c:v>166.66666666666666</c:v>
                      </c:pt>
                      <c:pt idx="117" formatCode="General">
                        <c:v>92</c:v>
                      </c:pt>
                      <c:pt idx="118" formatCode="General">
                        <c:v>61.25</c:v>
                      </c:pt>
                      <c:pt idx="119" formatCode="General">
                        <c:v>103.33333333333333</c:v>
                      </c:pt>
                      <c:pt idx="120" formatCode="General">
                        <c:v>77.5</c:v>
                      </c:pt>
                      <c:pt idx="121" formatCode="General">
                        <c:v>130</c:v>
                      </c:pt>
                      <c:pt idx="122" formatCode="General">
                        <c:v>87.5</c:v>
                      </c:pt>
                      <c:pt idx="123" formatCode="General">
                        <c:v>205</c:v>
                      </c:pt>
                      <c:pt idx="124" formatCode="General">
                        <c:v>77.5</c:v>
                      </c:pt>
                      <c:pt idx="125" formatCode="General">
                        <c:v>110</c:v>
                      </c:pt>
                      <c:pt idx="126" formatCode="General">
                        <c:v>175</c:v>
                      </c:pt>
                      <c:pt idx="127" formatCode="General">
                        <c:v>150</c:v>
                      </c:pt>
                      <c:pt idx="128" formatCode="General">
                        <c:v>120</c:v>
                      </c:pt>
                      <c:pt idx="129" formatCode="General">
                        <c:v>110</c:v>
                      </c:pt>
                      <c:pt idx="130" formatCode="General">
                        <c:v>93.333333333333329</c:v>
                      </c:pt>
                      <c:pt idx="131" formatCode="General">
                        <c:v>100</c:v>
                      </c:pt>
                      <c:pt idx="132" formatCode="General">
                        <c:v>86.666666666666671</c:v>
                      </c:pt>
                      <c:pt idx="133" formatCode="General">
                        <c:v>180</c:v>
                      </c:pt>
                      <c:pt idx="134" formatCode="General">
                        <c:v>123.33333333333333</c:v>
                      </c:pt>
                      <c:pt idx="135" formatCode="General">
                        <c:v>97.5</c:v>
                      </c:pt>
                      <c:pt idx="136" formatCode="General">
                        <c:v>63.333333333333336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2A7-4B3D-A457-54930CD01B08}"/>
                  </c:ext>
                </c:extLst>
              </c15:ser>
            </c15:filteredScatterSeries>
          </c:ext>
        </c:extLst>
      </c:scatterChart>
      <c:valAx>
        <c:axId val="119313249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 b="1"/>
                  <a:t>RMR 76</a:t>
                </a:r>
              </a:p>
            </c:rich>
          </c:tx>
          <c:layout>
            <c:manualLayout>
              <c:xMode val="edge"/>
              <c:yMode val="edge"/>
              <c:x val="0.45911417747722189"/>
              <c:y val="2.6540946362306611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  <c:majorUnit val="10"/>
      </c:valAx>
      <c:valAx>
        <c:axId val="1193133936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3600" b="1"/>
                  <a:t>Spacing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7251711269191041"/>
          <c:y val="0.22357750063303755"/>
          <c:w val="0.2856916155849929"/>
          <c:h val="4.1138845431102022E-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1600" b="1" baseline="0">
                <a:solidFill>
                  <a:srgbClr val="002060"/>
                </a:solidFill>
              </a:rPr>
              <a:t>Brejo Seco Open Pit - </a:t>
            </a:r>
          </a:p>
          <a:p>
            <a:pPr>
              <a:defRPr b="1"/>
            </a:pPr>
            <a:r>
              <a:rPr lang="es-PE" sz="1600" b="1" baseline="0">
                <a:solidFill>
                  <a:srgbClr val="002060"/>
                </a:solidFill>
              </a:rPr>
              <a:t>Geotechnical &amp; Geological drillhole</a:t>
            </a:r>
            <a:endParaRPr lang="es-PE" sz="16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34607809999359834"/>
          <c:y val="6.48299265622100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23801293131042"/>
          <c:y val="7.7572045918502613E-2"/>
          <c:w val="0.79060751552397401"/>
          <c:h val="0.80386033563986314"/>
        </c:manualLayout>
      </c:layout>
      <c:scatterChart>
        <c:scatterStyle val="lineMarker"/>
        <c:varyColors val="0"/>
        <c:ser>
          <c:idx val="8"/>
          <c:order val="3"/>
          <c:tx>
            <c:v>Drillholes</c:v>
          </c:tx>
          <c:marker>
            <c:symbol val="triangle"/>
            <c:size val="13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'2. Logging Brejo Seco'!$Z$3:$Z$1019</c:f>
              <c:numCache>
                <c:formatCode>0.00</c:formatCode>
                <c:ptCount val="1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126.66666666666667</c:v>
                </c:pt>
                <c:pt idx="7">
                  <c:v>420</c:v>
                </c:pt>
                <c:pt idx="8">
                  <c:v>19</c:v>
                </c:pt>
                <c:pt idx="9">
                  <c:v>180</c:v>
                </c:pt>
                <c:pt idx="10">
                  <c:v>78</c:v>
                </c:pt>
                <c:pt idx="11">
                  <c:v>87.5</c:v>
                </c:pt>
                <c:pt idx="12">
                  <c:v>15.333333333333334</c:v>
                </c:pt>
                <c:pt idx="13">
                  <c:v>76.666666666666671</c:v>
                </c:pt>
                <c:pt idx="14">
                  <c:v>86</c:v>
                </c:pt>
                <c:pt idx="15">
                  <c:v>112.5</c:v>
                </c:pt>
                <c:pt idx="16">
                  <c:v>235</c:v>
                </c:pt>
                <c:pt idx="17">
                  <c:v>70</c:v>
                </c:pt>
                <c:pt idx="18">
                  <c:v>102.5</c:v>
                </c:pt>
                <c:pt idx="19">
                  <c:v>107.5</c:v>
                </c:pt>
                <c:pt idx="20">
                  <c:v>96.666666666666671</c:v>
                </c:pt>
                <c:pt idx="21">
                  <c:v>20.76923076923077</c:v>
                </c:pt>
                <c:pt idx="22">
                  <c:v>29</c:v>
                </c:pt>
                <c:pt idx="23">
                  <c:v>32</c:v>
                </c:pt>
                <c:pt idx="24">
                  <c:v>44</c:v>
                </c:pt>
                <c:pt idx="25">
                  <c:v>46</c:v>
                </c:pt>
                <c:pt idx="26">
                  <c:v>73.333333333333329</c:v>
                </c:pt>
                <c:pt idx="27">
                  <c:v>140</c:v>
                </c:pt>
                <c:pt idx="28">
                  <c:v>70</c:v>
                </c:pt>
                <c:pt idx="29">
                  <c:v>92.5</c:v>
                </c:pt>
                <c:pt idx="30">
                  <c:v>48.571428571428569</c:v>
                </c:pt>
                <c:pt idx="31">
                  <c:v>81.666666666666671</c:v>
                </c:pt>
                <c:pt idx="32">
                  <c:v>93.333333333333329</c:v>
                </c:pt>
                <c:pt idx="33">
                  <c:v>55</c:v>
                </c:pt>
                <c:pt idx="34">
                  <c:v>19</c:v>
                </c:pt>
                <c:pt idx="35">
                  <c:v>51.666666666666664</c:v>
                </c:pt>
                <c:pt idx="36">
                  <c:v>13</c:v>
                </c:pt>
                <c:pt idx="37">
                  <c:v>11</c:v>
                </c:pt>
                <c:pt idx="38">
                  <c:v>14</c:v>
                </c:pt>
                <c:pt idx="39">
                  <c:v>23</c:v>
                </c:pt>
                <c:pt idx="40">
                  <c:v>34</c:v>
                </c:pt>
                <c:pt idx="41">
                  <c:v>13</c:v>
                </c:pt>
                <c:pt idx="42">
                  <c:v>51.666666666666664</c:v>
                </c:pt>
                <c:pt idx="43">
                  <c:v>54</c:v>
                </c:pt>
                <c:pt idx="44">
                  <c:v>110</c:v>
                </c:pt>
                <c:pt idx="45">
                  <c:v>500</c:v>
                </c:pt>
                <c:pt idx="46">
                  <c:v>166.66666666666666</c:v>
                </c:pt>
                <c:pt idx="47">
                  <c:v>665</c:v>
                </c:pt>
                <c:pt idx="48">
                  <c:v>87.5</c:v>
                </c:pt>
                <c:pt idx="49">
                  <c:v>47.5</c:v>
                </c:pt>
                <c:pt idx="50">
                  <c:v>103.33333333333333</c:v>
                </c:pt>
                <c:pt idx="51">
                  <c:v>305</c:v>
                </c:pt>
                <c:pt idx="52">
                  <c:v>286.66666666666669</c:v>
                </c:pt>
                <c:pt idx="53">
                  <c:v>164</c:v>
                </c:pt>
                <c:pt idx="54">
                  <c:v>240</c:v>
                </c:pt>
                <c:pt idx="55">
                  <c:v>233.33333333333334</c:v>
                </c:pt>
                <c:pt idx="56">
                  <c:v>236.66666666666666</c:v>
                </c:pt>
                <c:pt idx="57">
                  <c:v>150</c:v>
                </c:pt>
                <c:pt idx="58">
                  <c:v>72</c:v>
                </c:pt>
                <c:pt idx="59">
                  <c:v>105.71428571428571</c:v>
                </c:pt>
                <c:pt idx="60">
                  <c:v>520</c:v>
                </c:pt>
                <c:pt idx="61">
                  <c:v>123.33333333333333</c:v>
                </c:pt>
                <c:pt idx="62">
                  <c:v>73.333333333333329</c:v>
                </c:pt>
                <c:pt idx="63">
                  <c:v>49</c:v>
                </c:pt>
                <c:pt idx="64">
                  <c:v>125</c:v>
                </c:pt>
                <c:pt idx="65">
                  <c:v>146.66666666666666</c:v>
                </c:pt>
                <c:pt idx="66">
                  <c:v>32.666666666666664</c:v>
                </c:pt>
                <c:pt idx="67">
                  <c:v>124</c:v>
                </c:pt>
                <c:pt idx="68">
                  <c:v>98</c:v>
                </c:pt>
                <c:pt idx="69">
                  <c:v>120</c:v>
                </c:pt>
                <c:pt idx="70">
                  <c:v>32.666666666666664</c:v>
                </c:pt>
                <c:pt idx="71">
                  <c:v>150</c:v>
                </c:pt>
                <c:pt idx="72">
                  <c:v>126.66666666666667</c:v>
                </c:pt>
                <c:pt idx="73">
                  <c:v>46</c:v>
                </c:pt>
                <c:pt idx="74">
                  <c:v>126.66666666666667</c:v>
                </c:pt>
                <c:pt idx="75">
                  <c:v>156.66666666666666</c:v>
                </c:pt>
                <c:pt idx="76">
                  <c:v>86</c:v>
                </c:pt>
                <c:pt idx="77">
                  <c:v>125</c:v>
                </c:pt>
                <c:pt idx="78">
                  <c:v>41.666666666666664</c:v>
                </c:pt>
                <c:pt idx="79">
                  <c:v>55</c:v>
                </c:pt>
                <c:pt idx="80">
                  <c:v>43.333333333333336</c:v>
                </c:pt>
                <c:pt idx="81">
                  <c:v>24</c:v>
                </c:pt>
                <c:pt idx="82">
                  <c:v>28</c:v>
                </c:pt>
                <c:pt idx="83">
                  <c:v>33.75</c:v>
                </c:pt>
                <c:pt idx="84">
                  <c:v>74</c:v>
                </c:pt>
                <c:pt idx="85">
                  <c:v>47.142857142857146</c:v>
                </c:pt>
                <c:pt idx="86">
                  <c:v>150</c:v>
                </c:pt>
                <c:pt idx="87">
                  <c:v>65</c:v>
                </c:pt>
                <c:pt idx="88">
                  <c:v>70</c:v>
                </c:pt>
                <c:pt idx="89">
                  <c:v>28.571428571428573</c:v>
                </c:pt>
                <c:pt idx="90">
                  <c:v>71.666666666666671</c:v>
                </c:pt>
                <c:pt idx="91">
                  <c:v>53</c:v>
                </c:pt>
                <c:pt idx="92">
                  <c:v>100</c:v>
                </c:pt>
                <c:pt idx="93">
                  <c:v>485</c:v>
                </c:pt>
                <c:pt idx="94">
                  <c:v>71.428571428571431</c:v>
                </c:pt>
                <c:pt idx="95">
                  <c:v>27</c:v>
                </c:pt>
                <c:pt idx="96">
                  <c:v>25</c:v>
                </c:pt>
                <c:pt idx="97">
                  <c:v>100</c:v>
                </c:pt>
                <c:pt idx="98">
                  <c:v>146.66666666666666</c:v>
                </c:pt>
                <c:pt idx="99">
                  <c:v>100</c:v>
                </c:pt>
                <c:pt idx="100">
                  <c:v>83.333333333333329</c:v>
                </c:pt>
                <c:pt idx="101">
                  <c:v>90</c:v>
                </c:pt>
                <c:pt idx="102">
                  <c:v>60</c:v>
                </c:pt>
                <c:pt idx="103">
                  <c:v>86</c:v>
                </c:pt>
                <c:pt idx="104">
                  <c:v>29</c:v>
                </c:pt>
                <c:pt idx="105">
                  <c:v>16.666666666666668</c:v>
                </c:pt>
                <c:pt idx="106">
                  <c:v>235</c:v>
                </c:pt>
                <c:pt idx="107">
                  <c:v>170</c:v>
                </c:pt>
                <c:pt idx="108">
                  <c:v>170</c:v>
                </c:pt>
                <c:pt idx="109">
                  <c:v>100</c:v>
                </c:pt>
                <c:pt idx="110">
                  <c:v>25</c:v>
                </c:pt>
                <c:pt idx="111">
                  <c:v>37</c:v>
                </c:pt>
                <c:pt idx="112">
                  <c:v>37</c:v>
                </c:pt>
                <c:pt idx="113">
                  <c:v>26</c:v>
                </c:pt>
                <c:pt idx="114">
                  <c:v>26</c:v>
                </c:pt>
                <c:pt idx="115">
                  <c:v>24</c:v>
                </c:pt>
                <c:pt idx="116">
                  <c:v>23</c:v>
                </c:pt>
                <c:pt idx="117">
                  <c:v>22</c:v>
                </c:pt>
                <c:pt idx="118">
                  <c:v>20</c:v>
                </c:pt>
                <c:pt idx="119">
                  <c:v>24</c:v>
                </c:pt>
                <c:pt idx="120">
                  <c:v>15</c:v>
                </c:pt>
                <c:pt idx="121">
                  <c:v>38</c:v>
                </c:pt>
                <c:pt idx="122">
                  <c:v>20</c:v>
                </c:pt>
                <c:pt idx="123">
                  <c:v>24</c:v>
                </c:pt>
                <c:pt idx="124">
                  <c:v>56.666666666666664</c:v>
                </c:pt>
                <c:pt idx="125">
                  <c:v>70</c:v>
                </c:pt>
                <c:pt idx="126">
                  <c:v>76.666666666666671</c:v>
                </c:pt>
                <c:pt idx="127">
                  <c:v>26</c:v>
                </c:pt>
                <c:pt idx="128">
                  <c:v>40</c:v>
                </c:pt>
                <c:pt idx="129">
                  <c:v>50</c:v>
                </c:pt>
                <c:pt idx="130">
                  <c:v>60</c:v>
                </c:pt>
                <c:pt idx="131">
                  <c:v>135</c:v>
                </c:pt>
                <c:pt idx="132">
                  <c:v>60</c:v>
                </c:pt>
                <c:pt idx="133">
                  <c:v>43.333333333333336</c:v>
                </c:pt>
                <c:pt idx="134">
                  <c:v>102.5</c:v>
                </c:pt>
                <c:pt idx="135">
                  <c:v>215</c:v>
                </c:pt>
                <c:pt idx="136">
                  <c:v>70</c:v>
                </c:pt>
                <c:pt idx="137">
                  <c:v>73.333333333333329</c:v>
                </c:pt>
                <c:pt idx="138">
                  <c:v>100</c:v>
                </c:pt>
                <c:pt idx="139">
                  <c:v>70</c:v>
                </c:pt>
                <c:pt idx="140">
                  <c:v>53.333333333333336</c:v>
                </c:pt>
                <c:pt idx="141">
                  <c:v>32</c:v>
                </c:pt>
                <c:pt idx="142">
                  <c:v>35</c:v>
                </c:pt>
                <c:pt idx="143">
                  <c:v>28</c:v>
                </c:pt>
                <c:pt idx="144">
                  <c:v>36.666666666666664</c:v>
                </c:pt>
                <c:pt idx="145">
                  <c:v>22</c:v>
                </c:pt>
                <c:pt idx="146">
                  <c:v>10</c:v>
                </c:pt>
                <c:pt idx="147">
                  <c:v>10</c:v>
                </c:pt>
                <c:pt idx="148">
                  <c:v>36</c:v>
                </c:pt>
                <c:pt idx="149">
                  <c:v>51.666666666666664</c:v>
                </c:pt>
                <c:pt idx="150">
                  <c:v>60</c:v>
                </c:pt>
                <c:pt idx="151">
                  <c:v>36.666666666666664</c:v>
                </c:pt>
                <c:pt idx="152">
                  <c:v>46</c:v>
                </c:pt>
                <c:pt idx="153">
                  <c:v>34</c:v>
                </c:pt>
                <c:pt idx="154">
                  <c:v>30</c:v>
                </c:pt>
                <c:pt idx="155">
                  <c:v>19</c:v>
                </c:pt>
                <c:pt idx="156">
                  <c:v>24</c:v>
                </c:pt>
                <c:pt idx="157">
                  <c:v>19</c:v>
                </c:pt>
                <c:pt idx="159">
                  <c:v>20</c:v>
                </c:pt>
                <c:pt idx="160">
                  <c:v>23</c:v>
                </c:pt>
                <c:pt idx="161">
                  <c:v>25</c:v>
                </c:pt>
                <c:pt idx="162">
                  <c:v>28</c:v>
                </c:pt>
                <c:pt idx="163">
                  <c:v>24</c:v>
                </c:pt>
                <c:pt idx="164">
                  <c:v>42</c:v>
                </c:pt>
                <c:pt idx="165">
                  <c:v>20</c:v>
                </c:pt>
                <c:pt idx="167">
                  <c:v>13</c:v>
                </c:pt>
                <c:pt idx="168">
                  <c:v>17</c:v>
                </c:pt>
                <c:pt idx="169">
                  <c:v>16</c:v>
                </c:pt>
                <c:pt idx="170">
                  <c:v>14</c:v>
                </c:pt>
                <c:pt idx="171">
                  <c:v>17</c:v>
                </c:pt>
                <c:pt idx="172">
                  <c:v>23</c:v>
                </c:pt>
                <c:pt idx="173">
                  <c:v>20</c:v>
                </c:pt>
                <c:pt idx="174">
                  <c:v>17</c:v>
                </c:pt>
                <c:pt idx="175">
                  <c:v>18</c:v>
                </c:pt>
                <c:pt idx="176">
                  <c:v>19</c:v>
                </c:pt>
                <c:pt idx="177">
                  <c:v>16.363636363636363</c:v>
                </c:pt>
                <c:pt idx="178">
                  <c:v>10.909090909090908</c:v>
                </c:pt>
                <c:pt idx="180">
                  <c:v>24</c:v>
                </c:pt>
                <c:pt idx="182">
                  <c:v>24</c:v>
                </c:pt>
                <c:pt idx="183">
                  <c:v>11</c:v>
                </c:pt>
                <c:pt idx="184">
                  <c:v>12</c:v>
                </c:pt>
                <c:pt idx="185">
                  <c:v>86.666666666666671</c:v>
                </c:pt>
                <c:pt idx="186">
                  <c:v>26</c:v>
                </c:pt>
                <c:pt idx="187">
                  <c:v>10.666666666666666</c:v>
                </c:pt>
                <c:pt idx="188">
                  <c:v>12</c:v>
                </c:pt>
                <c:pt idx="189">
                  <c:v>45.714285714285715</c:v>
                </c:pt>
                <c:pt idx="190">
                  <c:v>20</c:v>
                </c:pt>
                <c:pt idx="191">
                  <c:v>32</c:v>
                </c:pt>
                <c:pt idx="192">
                  <c:v>44</c:v>
                </c:pt>
                <c:pt idx="193">
                  <c:v>12</c:v>
                </c:pt>
                <c:pt idx="194">
                  <c:v>15</c:v>
                </c:pt>
                <c:pt idx="195">
                  <c:v>18.571428571428573</c:v>
                </c:pt>
                <c:pt idx="196">
                  <c:v>33.333333333333336</c:v>
                </c:pt>
                <c:pt idx="197">
                  <c:v>21.428571428571427</c:v>
                </c:pt>
                <c:pt idx="198">
                  <c:v>40</c:v>
                </c:pt>
                <c:pt idx="199">
                  <c:v>30</c:v>
                </c:pt>
                <c:pt idx="200">
                  <c:v>34</c:v>
                </c:pt>
                <c:pt idx="201">
                  <c:v>28</c:v>
                </c:pt>
                <c:pt idx="202">
                  <c:v>22</c:v>
                </c:pt>
                <c:pt idx="203">
                  <c:v>20</c:v>
                </c:pt>
                <c:pt idx="204">
                  <c:v>22</c:v>
                </c:pt>
                <c:pt idx="205">
                  <c:v>46.666666666666664</c:v>
                </c:pt>
                <c:pt idx="206">
                  <c:v>63.333333333333336</c:v>
                </c:pt>
                <c:pt idx="207">
                  <c:v>24</c:v>
                </c:pt>
                <c:pt idx="208">
                  <c:v>20</c:v>
                </c:pt>
                <c:pt idx="209">
                  <c:v>32</c:v>
                </c:pt>
                <c:pt idx="210">
                  <c:v>24</c:v>
                </c:pt>
                <c:pt idx="211">
                  <c:v>51.666666666666664</c:v>
                </c:pt>
                <c:pt idx="212">
                  <c:v>33</c:v>
                </c:pt>
                <c:pt idx="213">
                  <c:v>94</c:v>
                </c:pt>
                <c:pt idx="214">
                  <c:v>46.25</c:v>
                </c:pt>
                <c:pt idx="215">
                  <c:v>44</c:v>
                </c:pt>
                <c:pt idx="216">
                  <c:v>43.333333333333336</c:v>
                </c:pt>
                <c:pt idx="217">
                  <c:v>67.5</c:v>
                </c:pt>
                <c:pt idx="218">
                  <c:v>100</c:v>
                </c:pt>
                <c:pt idx="219">
                  <c:v>71.428571428571431</c:v>
                </c:pt>
                <c:pt idx="220">
                  <c:v>84</c:v>
                </c:pt>
                <c:pt idx="221">
                  <c:v>35.714285714285715</c:v>
                </c:pt>
                <c:pt idx="222">
                  <c:v>42</c:v>
                </c:pt>
                <c:pt idx="223">
                  <c:v>36</c:v>
                </c:pt>
                <c:pt idx="224">
                  <c:v>34</c:v>
                </c:pt>
                <c:pt idx="225">
                  <c:v>40</c:v>
                </c:pt>
                <c:pt idx="226">
                  <c:v>66.666666666666671</c:v>
                </c:pt>
                <c:pt idx="227">
                  <c:v>50</c:v>
                </c:pt>
                <c:pt idx="228">
                  <c:v>44</c:v>
                </c:pt>
                <c:pt idx="229">
                  <c:v>37.142857142857146</c:v>
                </c:pt>
                <c:pt idx="230">
                  <c:v>29</c:v>
                </c:pt>
                <c:pt idx="231">
                  <c:v>22</c:v>
                </c:pt>
                <c:pt idx="232">
                  <c:v>26</c:v>
                </c:pt>
                <c:pt idx="233">
                  <c:v>25</c:v>
                </c:pt>
                <c:pt idx="234">
                  <c:v>36</c:v>
                </c:pt>
                <c:pt idx="235">
                  <c:v>42</c:v>
                </c:pt>
                <c:pt idx="236">
                  <c:v>17</c:v>
                </c:pt>
                <c:pt idx="237">
                  <c:v>27</c:v>
                </c:pt>
                <c:pt idx="238">
                  <c:v>52</c:v>
                </c:pt>
                <c:pt idx="239">
                  <c:v>50</c:v>
                </c:pt>
                <c:pt idx="240">
                  <c:v>110</c:v>
                </c:pt>
                <c:pt idx="241">
                  <c:v>47.142857142857146</c:v>
                </c:pt>
                <c:pt idx="242">
                  <c:v>41.428571428571431</c:v>
                </c:pt>
                <c:pt idx="243">
                  <c:v>50</c:v>
                </c:pt>
                <c:pt idx="244">
                  <c:v>51.25</c:v>
                </c:pt>
                <c:pt idx="245">
                  <c:v>86</c:v>
                </c:pt>
                <c:pt idx="246">
                  <c:v>74</c:v>
                </c:pt>
                <c:pt idx="247">
                  <c:v>107.5</c:v>
                </c:pt>
                <c:pt idx="248">
                  <c:v>60</c:v>
                </c:pt>
                <c:pt idx="249">
                  <c:v>34</c:v>
                </c:pt>
                <c:pt idx="250">
                  <c:v>32</c:v>
                </c:pt>
                <c:pt idx="251">
                  <c:v>70</c:v>
                </c:pt>
                <c:pt idx="252">
                  <c:v>41</c:v>
                </c:pt>
                <c:pt idx="253">
                  <c:v>45</c:v>
                </c:pt>
                <c:pt idx="254">
                  <c:v>70</c:v>
                </c:pt>
                <c:pt idx="255">
                  <c:v>58.75</c:v>
                </c:pt>
                <c:pt idx="256">
                  <c:v>122.5</c:v>
                </c:pt>
                <c:pt idx="257">
                  <c:v>64.285714285714292</c:v>
                </c:pt>
                <c:pt idx="258">
                  <c:v>120</c:v>
                </c:pt>
                <c:pt idx="259">
                  <c:v>66.666666666666671</c:v>
                </c:pt>
                <c:pt idx="260">
                  <c:v>83.333333333333329</c:v>
                </c:pt>
                <c:pt idx="261">
                  <c:v>46.25</c:v>
                </c:pt>
                <c:pt idx="262">
                  <c:v>54.285714285714285</c:v>
                </c:pt>
                <c:pt idx="263">
                  <c:v>115</c:v>
                </c:pt>
                <c:pt idx="264">
                  <c:v>61.666666666666664</c:v>
                </c:pt>
                <c:pt idx="265">
                  <c:v>153.33333333333334</c:v>
                </c:pt>
                <c:pt idx="266">
                  <c:v>44.444444444444443</c:v>
                </c:pt>
                <c:pt idx="267">
                  <c:v>60</c:v>
                </c:pt>
                <c:pt idx="268">
                  <c:v>83.333333333333329</c:v>
                </c:pt>
                <c:pt idx="269">
                  <c:v>42.000000000000007</c:v>
                </c:pt>
                <c:pt idx="270">
                  <c:v>83.333333333333329</c:v>
                </c:pt>
                <c:pt idx="271">
                  <c:v>146.66666666666666</c:v>
                </c:pt>
                <c:pt idx="272">
                  <c:v>160</c:v>
                </c:pt>
                <c:pt idx="273">
                  <c:v>50</c:v>
                </c:pt>
                <c:pt idx="274">
                  <c:v>166.66666666666666</c:v>
                </c:pt>
                <c:pt idx="275">
                  <c:v>125</c:v>
                </c:pt>
                <c:pt idx="276">
                  <c:v>250</c:v>
                </c:pt>
                <c:pt idx="277">
                  <c:v>125</c:v>
                </c:pt>
                <c:pt idx="278">
                  <c:v>102.5</c:v>
                </c:pt>
                <c:pt idx="279">
                  <c:v>100</c:v>
                </c:pt>
                <c:pt idx="280">
                  <c:v>163.33333333333334</c:v>
                </c:pt>
                <c:pt idx="281">
                  <c:v>205</c:v>
                </c:pt>
                <c:pt idx="282">
                  <c:v>230</c:v>
                </c:pt>
                <c:pt idx="283">
                  <c:v>156.66666666666666</c:v>
                </c:pt>
                <c:pt idx="284">
                  <c:v>215</c:v>
                </c:pt>
                <c:pt idx="285">
                  <c:v>480</c:v>
                </c:pt>
                <c:pt idx="286">
                  <c:v>235</c:v>
                </c:pt>
                <c:pt idx="287">
                  <c:v>156.66666666666666</c:v>
                </c:pt>
                <c:pt idx="288">
                  <c:v>75</c:v>
                </c:pt>
                <c:pt idx="289">
                  <c:v>106.66666666666667</c:v>
                </c:pt>
                <c:pt idx="290">
                  <c:v>146.66666666666669</c:v>
                </c:pt>
                <c:pt idx="291">
                  <c:v>96</c:v>
                </c:pt>
                <c:pt idx="292">
                  <c:v>71.428571428571431</c:v>
                </c:pt>
                <c:pt idx="293">
                  <c:v>68.333333333333329</c:v>
                </c:pt>
                <c:pt idx="294">
                  <c:v>122.5</c:v>
                </c:pt>
                <c:pt idx="295">
                  <c:v>146.66666666666666</c:v>
                </c:pt>
                <c:pt idx="296">
                  <c:v>500</c:v>
                </c:pt>
                <c:pt idx="297">
                  <c:v>156.66666666666666</c:v>
                </c:pt>
                <c:pt idx="298">
                  <c:v>60</c:v>
                </c:pt>
                <c:pt idx="299">
                  <c:v>133.33333333333334</c:v>
                </c:pt>
                <c:pt idx="300">
                  <c:v>86.000000000000014</c:v>
                </c:pt>
                <c:pt idx="301">
                  <c:v>62.5</c:v>
                </c:pt>
                <c:pt idx="302">
                  <c:v>68.571428571428569</c:v>
                </c:pt>
                <c:pt idx="303">
                  <c:v>140</c:v>
                </c:pt>
                <c:pt idx="304">
                  <c:v>65.714285714285708</c:v>
                </c:pt>
                <c:pt idx="305">
                  <c:v>37</c:v>
                </c:pt>
                <c:pt idx="306">
                  <c:v>153.33333333333334</c:v>
                </c:pt>
                <c:pt idx="307">
                  <c:v>107.5</c:v>
                </c:pt>
                <c:pt idx="308">
                  <c:v>115</c:v>
                </c:pt>
                <c:pt idx="309">
                  <c:v>235</c:v>
                </c:pt>
                <c:pt idx="310">
                  <c:v>76.666666666666671</c:v>
                </c:pt>
                <c:pt idx="311">
                  <c:v>62.5</c:v>
                </c:pt>
                <c:pt idx="312">
                  <c:v>150</c:v>
                </c:pt>
                <c:pt idx="313">
                  <c:v>156.66666666666666</c:v>
                </c:pt>
                <c:pt idx="314">
                  <c:v>110</c:v>
                </c:pt>
                <c:pt idx="315">
                  <c:v>57.5</c:v>
                </c:pt>
                <c:pt idx="316">
                  <c:v>61.428571428571431</c:v>
                </c:pt>
                <c:pt idx="317">
                  <c:v>41.428571428571431</c:v>
                </c:pt>
                <c:pt idx="318">
                  <c:v>55.714285714285715</c:v>
                </c:pt>
                <c:pt idx="319">
                  <c:v>70</c:v>
                </c:pt>
                <c:pt idx="320">
                  <c:v>36</c:v>
                </c:pt>
                <c:pt idx="321">
                  <c:v>50</c:v>
                </c:pt>
                <c:pt idx="322">
                  <c:v>32.857142857142854</c:v>
                </c:pt>
                <c:pt idx="323">
                  <c:v>14</c:v>
                </c:pt>
                <c:pt idx="324">
                  <c:v>20</c:v>
                </c:pt>
                <c:pt idx="325">
                  <c:v>20</c:v>
                </c:pt>
                <c:pt idx="326">
                  <c:v>25.714285714285715</c:v>
                </c:pt>
                <c:pt idx="327">
                  <c:v>28.75</c:v>
                </c:pt>
                <c:pt idx="328">
                  <c:v>14.285714285714286</c:v>
                </c:pt>
                <c:pt idx="329">
                  <c:v>50</c:v>
                </c:pt>
                <c:pt idx="330">
                  <c:v>10</c:v>
                </c:pt>
                <c:pt idx="331">
                  <c:v>12</c:v>
                </c:pt>
                <c:pt idx="332">
                  <c:v>6</c:v>
                </c:pt>
                <c:pt idx="333">
                  <c:v>29</c:v>
                </c:pt>
                <c:pt idx="334">
                  <c:v>22</c:v>
                </c:pt>
                <c:pt idx="335">
                  <c:v>21</c:v>
                </c:pt>
                <c:pt idx="336">
                  <c:v>8</c:v>
                </c:pt>
                <c:pt idx="337">
                  <c:v>5</c:v>
                </c:pt>
                <c:pt idx="338">
                  <c:v>7</c:v>
                </c:pt>
                <c:pt idx="339">
                  <c:v>7</c:v>
                </c:pt>
                <c:pt idx="340">
                  <c:v>50</c:v>
                </c:pt>
                <c:pt idx="341">
                  <c:v>50</c:v>
                </c:pt>
                <c:pt idx="342">
                  <c:v>7</c:v>
                </c:pt>
                <c:pt idx="343">
                  <c:v>50</c:v>
                </c:pt>
                <c:pt idx="344">
                  <c:v>11</c:v>
                </c:pt>
                <c:pt idx="345">
                  <c:v>50</c:v>
                </c:pt>
                <c:pt idx="346">
                  <c:v>10</c:v>
                </c:pt>
                <c:pt idx="347">
                  <c:v>7</c:v>
                </c:pt>
                <c:pt idx="348">
                  <c:v>50</c:v>
                </c:pt>
                <c:pt idx="349">
                  <c:v>50</c:v>
                </c:pt>
                <c:pt idx="350">
                  <c:v>40</c:v>
                </c:pt>
                <c:pt idx="351">
                  <c:v>36</c:v>
                </c:pt>
                <c:pt idx="352">
                  <c:v>27</c:v>
                </c:pt>
                <c:pt idx="353">
                  <c:v>183.33333333333334</c:v>
                </c:pt>
                <c:pt idx="354">
                  <c:v>120</c:v>
                </c:pt>
                <c:pt idx="355">
                  <c:v>82</c:v>
                </c:pt>
                <c:pt idx="356">
                  <c:v>70</c:v>
                </c:pt>
                <c:pt idx="357">
                  <c:v>38</c:v>
                </c:pt>
                <c:pt idx="358">
                  <c:v>42</c:v>
                </c:pt>
                <c:pt idx="359">
                  <c:v>28</c:v>
                </c:pt>
                <c:pt idx="360">
                  <c:v>62.5</c:v>
                </c:pt>
                <c:pt idx="361">
                  <c:v>65</c:v>
                </c:pt>
                <c:pt idx="362">
                  <c:v>62.5</c:v>
                </c:pt>
                <c:pt idx="363">
                  <c:v>83.333333333333329</c:v>
                </c:pt>
                <c:pt idx="364">
                  <c:v>56</c:v>
                </c:pt>
                <c:pt idx="365">
                  <c:v>38</c:v>
                </c:pt>
                <c:pt idx="366">
                  <c:v>46</c:v>
                </c:pt>
                <c:pt idx="367">
                  <c:v>70</c:v>
                </c:pt>
                <c:pt idx="368">
                  <c:v>53.333333333333336</c:v>
                </c:pt>
                <c:pt idx="369">
                  <c:v>36</c:v>
                </c:pt>
                <c:pt idx="370">
                  <c:v>63.333333333333336</c:v>
                </c:pt>
                <c:pt idx="371">
                  <c:v>63.333333333333336</c:v>
                </c:pt>
                <c:pt idx="372">
                  <c:v>37.5</c:v>
                </c:pt>
                <c:pt idx="373">
                  <c:v>90</c:v>
                </c:pt>
                <c:pt idx="374">
                  <c:v>46.666666666666664</c:v>
                </c:pt>
                <c:pt idx="375">
                  <c:v>95</c:v>
                </c:pt>
                <c:pt idx="376">
                  <c:v>56.666666666666664</c:v>
                </c:pt>
                <c:pt idx="377">
                  <c:v>30</c:v>
                </c:pt>
                <c:pt idx="378">
                  <c:v>52.5</c:v>
                </c:pt>
                <c:pt idx="379">
                  <c:v>53.333333333333336</c:v>
                </c:pt>
                <c:pt idx="380">
                  <c:v>56.666666666666664</c:v>
                </c:pt>
                <c:pt idx="381">
                  <c:v>30</c:v>
                </c:pt>
                <c:pt idx="382">
                  <c:v>37</c:v>
                </c:pt>
                <c:pt idx="383">
                  <c:v>24</c:v>
                </c:pt>
                <c:pt idx="384">
                  <c:v>27</c:v>
                </c:pt>
                <c:pt idx="385">
                  <c:v>22</c:v>
                </c:pt>
                <c:pt idx="386">
                  <c:v>26</c:v>
                </c:pt>
                <c:pt idx="387">
                  <c:v>58</c:v>
                </c:pt>
                <c:pt idx="388">
                  <c:v>20</c:v>
                </c:pt>
                <c:pt idx="389">
                  <c:v>16</c:v>
                </c:pt>
                <c:pt idx="390">
                  <c:v>28</c:v>
                </c:pt>
                <c:pt idx="391">
                  <c:v>80</c:v>
                </c:pt>
                <c:pt idx="392">
                  <c:v>50</c:v>
                </c:pt>
                <c:pt idx="393">
                  <c:v>100</c:v>
                </c:pt>
                <c:pt idx="394">
                  <c:v>50</c:v>
                </c:pt>
                <c:pt idx="395">
                  <c:v>100</c:v>
                </c:pt>
                <c:pt idx="396">
                  <c:v>41.666666666666664</c:v>
                </c:pt>
                <c:pt idx="397">
                  <c:v>100</c:v>
                </c:pt>
                <c:pt idx="398">
                  <c:v>100</c:v>
                </c:pt>
                <c:pt idx="399">
                  <c:v>50</c:v>
                </c:pt>
                <c:pt idx="400">
                  <c:v>100</c:v>
                </c:pt>
                <c:pt idx="401">
                  <c:v>100</c:v>
                </c:pt>
                <c:pt idx="402">
                  <c:v>50</c:v>
                </c:pt>
                <c:pt idx="403">
                  <c:v>100</c:v>
                </c:pt>
                <c:pt idx="404">
                  <c:v>50</c:v>
                </c:pt>
                <c:pt idx="405">
                  <c:v>50</c:v>
                </c:pt>
                <c:pt idx="406">
                  <c:v>100</c:v>
                </c:pt>
                <c:pt idx="407">
                  <c:v>50</c:v>
                </c:pt>
                <c:pt idx="408">
                  <c:v>50</c:v>
                </c:pt>
                <c:pt idx="411">
                  <c:v>125</c:v>
                </c:pt>
                <c:pt idx="412">
                  <c:v>125</c:v>
                </c:pt>
                <c:pt idx="413">
                  <c:v>100</c:v>
                </c:pt>
                <c:pt idx="414">
                  <c:v>83.333333333333329</c:v>
                </c:pt>
                <c:pt idx="415">
                  <c:v>50</c:v>
                </c:pt>
                <c:pt idx="416">
                  <c:v>100</c:v>
                </c:pt>
                <c:pt idx="417">
                  <c:v>100</c:v>
                </c:pt>
                <c:pt idx="418">
                  <c:v>50</c:v>
                </c:pt>
                <c:pt idx="419">
                  <c:v>166.66666666666666</c:v>
                </c:pt>
                <c:pt idx="420">
                  <c:v>125</c:v>
                </c:pt>
                <c:pt idx="421">
                  <c:v>125</c:v>
                </c:pt>
                <c:pt idx="422">
                  <c:v>100</c:v>
                </c:pt>
                <c:pt idx="423">
                  <c:v>125</c:v>
                </c:pt>
                <c:pt idx="424">
                  <c:v>125</c:v>
                </c:pt>
                <c:pt idx="425">
                  <c:v>100</c:v>
                </c:pt>
                <c:pt idx="426">
                  <c:v>166.66666666666666</c:v>
                </c:pt>
                <c:pt idx="427">
                  <c:v>125</c:v>
                </c:pt>
                <c:pt idx="428">
                  <c:v>125</c:v>
                </c:pt>
                <c:pt idx="429">
                  <c:v>100</c:v>
                </c:pt>
                <c:pt idx="430">
                  <c:v>125</c:v>
                </c:pt>
                <c:pt idx="431">
                  <c:v>125</c:v>
                </c:pt>
                <c:pt idx="432">
                  <c:v>125</c:v>
                </c:pt>
                <c:pt idx="433">
                  <c:v>100</c:v>
                </c:pt>
                <c:pt idx="434">
                  <c:v>125</c:v>
                </c:pt>
                <c:pt idx="435">
                  <c:v>83.333333333333329</c:v>
                </c:pt>
                <c:pt idx="436">
                  <c:v>125</c:v>
                </c:pt>
                <c:pt idx="437">
                  <c:v>125</c:v>
                </c:pt>
                <c:pt idx="438">
                  <c:v>125</c:v>
                </c:pt>
                <c:pt idx="439">
                  <c:v>125</c:v>
                </c:pt>
                <c:pt idx="440">
                  <c:v>125</c:v>
                </c:pt>
                <c:pt idx="441">
                  <c:v>100</c:v>
                </c:pt>
                <c:pt idx="442">
                  <c:v>125</c:v>
                </c:pt>
                <c:pt idx="443">
                  <c:v>100</c:v>
                </c:pt>
                <c:pt idx="444">
                  <c:v>125</c:v>
                </c:pt>
                <c:pt idx="445">
                  <c:v>125</c:v>
                </c:pt>
                <c:pt idx="446">
                  <c:v>71.428571428571431</c:v>
                </c:pt>
                <c:pt idx="447">
                  <c:v>71.428571428571431</c:v>
                </c:pt>
                <c:pt idx="448">
                  <c:v>71.428571428571431</c:v>
                </c:pt>
                <c:pt idx="449">
                  <c:v>71.428571428571431</c:v>
                </c:pt>
                <c:pt idx="450">
                  <c:v>125</c:v>
                </c:pt>
                <c:pt idx="451">
                  <c:v>125</c:v>
                </c:pt>
                <c:pt idx="452">
                  <c:v>125</c:v>
                </c:pt>
                <c:pt idx="453">
                  <c:v>125</c:v>
                </c:pt>
                <c:pt idx="454">
                  <c:v>62.5</c:v>
                </c:pt>
                <c:pt idx="455">
                  <c:v>62.5</c:v>
                </c:pt>
                <c:pt idx="456">
                  <c:v>125</c:v>
                </c:pt>
                <c:pt idx="457">
                  <c:v>100</c:v>
                </c:pt>
                <c:pt idx="458">
                  <c:v>93.75</c:v>
                </c:pt>
                <c:pt idx="459">
                  <c:v>125</c:v>
                </c:pt>
                <c:pt idx="460">
                  <c:v>83.333333333333329</c:v>
                </c:pt>
                <c:pt idx="461">
                  <c:v>125</c:v>
                </c:pt>
                <c:pt idx="462">
                  <c:v>83.333333333333329</c:v>
                </c:pt>
                <c:pt idx="463">
                  <c:v>71.428571428571431</c:v>
                </c:pt>
                <c:pt idx="464">
                  <c:v>125</c:v>
                </c:pt>
                <c:pt idx="465">
                  <c:v>125</c:v>
                </c:pt>
                <c:pt idx="466">
                  <c:v>166.66666666666666</c:v>
                </c:pt>
                <c:pt idx="467">
                  <c:v>100</c:v>
                </c:pt>
                <c:pt idx="468">
                  <c:v>125</c:v>
                </c:pt>
                <c:pt idx="469">
                  <c:v>125</c:v>
                </c:pt>
                <c:pt idx="470">
                  <c:v>60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125</c:v>
                </c:pt>
                <c:pt idx="506">
                  <c:v>71.428571428571431</c:v>
                </c:pt>
                <c:pt idx="507">
                  <c:v>100</c:v>
                </c:pt>
                <c:pt idx="508">
                  <c:v>100</c:v>
                </c:pt>
                <c:pt idx="509">
                  <c:v>50</c:v>
                </c:pt>
                <c:pt idx="510">
                  <c:v>125</c:v>
                </c:pt>
                <c:pt idx="511">
                  <c:v>50</c:v>
                </c:pt>
                <c:pt idx="512">
                  <c:v>50</c:v>
                </c:pt>
                <c:pt idx="513">
                  <c:v>125</c:v>
                </c:pt>
                <c:pt idx="514">
                  <c:v>100</c:v>
                </c:pt>
                <c:pt idx="515">
                  <c:v>50</c:v>
                </c:pt>
                <c:pt idx="516">
                  <c:v>50</c:v>
                </c:pt>
                <c:pt idx="517">
                  <c:v>125</c:v>
                </c:pt>
                <c:pt idx="518">
                  <c:v>100</c:v>
                </c:pt>
                <c:pt idx="519">
                  <c:v>125</c:v>
                </c:pt>
                <c:pt idx="520">
                  <c:v>166.66666666666666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125</c:v>
                </c:pt>
                <c:pt idx="529">
                  <c:v>125</c:v>
                </c:pt>
                <c:pt idx="530">
                  <c:v>100</c:v>
                </c:pt>
                <c:pt idx="531">
                  <c:v>166.66666666666666</c:v>
                </c:pt>
                <c:pt idx="532">
                  <c:v>100</c:v>
                </c:pt>
                <c:pt idx="533">
                  <c:v>125</c:v>
                </c:pt>
                <c:pt idx="534">
                  <c:v>125</c:v>
                </c:pt>
                <c:pt idx="535">
                  <c:v>50</c:v>
                </c:pt>
                <c:pt idx="536">
                  <c:v>166.66666666666666</c:v>
                </c:pt>
                <c:pt idx="537">
                  <c:v>100</c:v>
                </c:pt>
                <c:pt idx="538">
                  <c:v>62.5</c:v>
                </c:pt>
                <c:pt idx="539">
                  <c:v>125</c:v>
                </c:pt>
                <c:pt idx="540">
                  <c:v>125</c:v>
                </c:pt>
                <c:pt idx="541">
                  <c:v>125</c:v>
                </c:pt>
                <c:pt idx="542">
                  <c:v>125</c:v>
                </c:pt>
                <c:pt idx="543">
                  <c:v>125</c:v>
                </c:pt>
                <c:pt idx="544">
                  <c:v>125</c:v>
                </c:pt>
                <c:pt idx="545">
                  <c:v>125</c:v>
                </c:pt>
                <c:pt idx="546">
                  <c:v>125</c:v>
                </c:pt>
                <c:pt idx="547">
                  <c:v>100</c:v>
                </c:pt>
                <c:pt idx="548">
                  <c:v>125</c:v>
                </c:pt>
                <c:pt idx="549">
                  <c:v>125</c:v>
                </c:pt>
                <c:pt idx="550">
                  <c:v>125</c:v>
                </c:pt>
                <c:pt idx="551">
                  <c:v>125</c:v>
                </c:pt>
                <c:pt idx="552">
                  <c:v>125</c:v>
                </c:pt>
                <c:pt idx="553">
                  <c:v>100</c:v>
                </c:pt>
                <c:pt idx="554">
                  <c:v>125</c:v>
                </c:pt>
                <c:pt idx="555">
                  <c:v>125</c:v>
                </c:pt>
                <c:pt idx="556">
                  <c:v>83.333333333333329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50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125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125</c:v>
                </c:pt>
                <c:pt idx="570">
                  <c:v>166.66666666666666</c:v>
                </c:pt>
                <c:pt idx="571">
                  <c:v>100</c:v>
                </c:pt>
                <c:pt idx="572">
                  <c:v>50</c:v>
                </c:pt>
                <c:pt idx="573">
                  <c:v>100</c:v>
                </c:pt>
                <c:pt idx="574">
                  <c:v>125</c:v>
                </c:pt>
                <c:pt idx="575">
                  <c:v>62.5</c:v>
                </c:pt>
                <c:pt idx="576">
                  <c:v>100</c:v>
                </c:pt>
                <c:pt idx="577">
                  <c:v>50</c:v>
                </c:pt>
                <c:pt idx="578">
                  <c:v>50</c:v>
                </c:pt>
                <c:pt idx="579">
                  <c:v>100</c:v>
                </c:pt>
                <c:pt idx="580">
                  <c:v>166.66666666666666</c:v>
                </c:pt>
                <c:pt idx="581">
                  <c:v>125</c:v>
                </c:pt>
                <c:pt idx="582">
                  <c:v>125</c:v>
                </c:pt>
                <c:pt idx="583">
                  <c:v>33.333333333333336</c:v>
                </c:pt>
                <c:pt idx="584">
                  <c:v>65.536000000000001</c:v>
                </c:pt>
                <c:pt idx="585">
                  <c:v>25</c:v>
                </c:pt>
                <c:pt idx="586">
                  <c:v>20.000000000000004</c:v>
                </c:pt>
                <c:pt idx="587">
                  <c:v>19.999999999999996</c:v>
                </c:pt>
                <c:pt idx="588">
                  <c:v>14.999999999999998</c:v>
                </c:pt>
                <c:pt idx="589">
                  <c:v>21.666666666666664</c:v>
                </c:pt>
                <c:pt idx="590">
                  <c:v>16.666666666666668</c:v>
                </c:pt>
                <c:pt idx="591">
                  <c:v>20.000000000000004</c:v>
                </c:pt>
                <c:pt idx="592">
                  <c:v>20.000000000000004</c:v>
                </c:pt>
                <c:pt idx="593">
                  <c:v>55.000000000000014</c:v>
                </c:pt>
                <c:pt idx="594">
                  <c:v>29.999999999999982</c:v>
                </c:pt>
                <c:pt idx="595">
                  <c:v>100.0000000000001</c:v>
                </c:pt>
                <c:pt idx="596">
                  <c:v>162.50000000000009</c:v>
                </c:pt>
                <c:pt idx="597">
                  <c:v>19.999999999999929</c:v>
                </c:pt>
                <c:pt idx="598">
                  <c:v>10.000000000000053</c:v>
                </c:pt>
                <c:pt idx="599">
                  <c:v>22.499999999999964</c:v>
                </c:pt>
                <c:pt idx="600">
                  <c:v>112.50000000000027</c:v>
                </c:pt>
                <c:pt idx="601">
                  <c:v>128.57142857142838</c:v>
                </c:pt>
                <c:pt idx="602">
                  <c:v>80.000000000000071</c:v>
                </c:pt>
                <c:pt idx="603">
                  <c:v>83.333333333333329</c:v>
                </c:pt>
                <c:pt idx="604">
                  <c:v>22.500000000000053</c:v>
                </c:pt>
                <c:pt idx="605">
                  <c:v>100</c:v>
                </c:pt>
                <c:pt idx="606">
                  <c:v>29.999999999999982</c:v>
                </c:pt>
                <c:pt idx="607">
                  <c:v>14.999999999999947</c:v>
                </c:pt>
                <c:pt idx="608">
                  <c:v>12.5</c:v>
                </c:pt>
                <c:pt idx="609">
                  <c:v>15.000000000000034</c:v>
                </c:pt>
                <c:pt idx="610">
                  <c:v>50</c:v>
                </c:pt>
                <c:pt idx="611">
                  <c:v>32.500000000000014</c:v>
                </c:pt>
                <c:pt idx="612">
                  <c:v>39.99999999999995</c:v>
                </c:pt>
                <c:pt idx="613">
                  <c:v>129.16666666666671</c:v>
                </c:pt>
                <c:pt idx="614">
                  <c:v>266.66666666666691</c:v>
                </c:pt>
                <c:pt idx="615">
                  <c:v>199.9999999999998</c:v>
                </c:pt>
                <c:pt idx="616">
                  <c:v>320.00000000000028</c:v>
                </c:pt>
                <c:pt idx="617">
                  <c:v>150</c:v>
                </c:pt>
                <c:pt idx="618">
                  <c:v>191.66666666666643</c:v>
                </c:pt>
                <c:pt idx="619">
                  <c:v>200.00000000000017</c:v>
                </c:pt>
                <c:pt idx="620">
                  <c:v>125</c:v>
                </c:pt>
                <c:pt idx="621">
                  <c:v>145.83333333333334</c:v>
                </c:pt>
                <c:pt idx="622">
                  <c:v>138.88888888888889</c:v>
                </c:pt>
                <c:pt idx="623">
                  <c:v>316.66666666666646</c:v>
                </c:pt>
                <c:pt idx="624">
                  <c:v>100.00000000000009</c:v>
                </c:pt>
                <c:pt idx="625">
                  <c:v>79.166666666666302</c:v>
                </c:pt>
                <c:pt idx="626">
                  <c:v>136.36363636363637</c:v>
                </c:pt>
                <c:pt idx="627">
                  <c:v>95.454545454545851</c:v>
                </c:pt>
                <c:pt idx="628">
                  <c:v>121.42857142857112</c:v>
                </c:pt>
                <c:pt idx="629">
                  <c:v>144.44444444444491</c:v>
                </c:pt>
                <c:pt idx="630">
                  <c:v>92.857142857142662</c:v>
                </c:pt>
                <c:pt idx="631">
                  <c:v>99.999999999999844</c:v>
                </c:pt>
                <c:pt idx="632">
                  <c:v>157.14285714285734</c:v>
                </c:pt>
                <c:pt idx="633">
                  <c:v>143.74999999999983</c:v>
                </c:pt>
                <c:pt idx="634">
                  <c:v>134.61538461538461</c:v>
                </c:pt>
                <c:pt idx="635">
                  <c:v>35.000000000000142</c:v>
                </c:pt>
                <c:pt idx="636">
                  <c:v>32.499999999999929</c:v>
                </c:pt>
                <c:pt idx="637">
                  <c:v>12.5</c:v>
                </c:pt>
                <c:pt idx="638">
                  <c:v>66.66666666666643</c:v>
                </c:pt>
                <c:pt idx="639">
                  <c:v>116.66666666666714</c:v>
                </c:pt>
                <c:pt idx="640">
                  <c:v>34.999999999999787</c:v>
                </c:pt>
                <c:pt idx="641">
                  <c:v>128.57142857142838</c:v>
                </c:pt>
                <c:pt idx="642">
                  <c:v>30.000000000000068</c:v>
                </c:pt>
                <c:pt idx="643">
                  <c:v>116.66666666666714</c:v>
                </c:pt>
                <c:pt idx="644">
                  <c:v>139.99999999999915</c:v>
                </c:pt>
                <c:pt idx="645">
                  <c:v>120.00000000000027</c:v>
                </c:pt>
                <c:pt idx="646">
                  <c:v>91.666666666667382</c:v>
                </c:pt>
                <c:pt idx="647">
                  <c:v>32.499999999999929</c:v>
                </c:pt>
                <c:pt idx="648">
                  <c:v>116.66666666666595</c:v>
                </c:pt>
                <c:pt idx="649">
                  <c:v>30.000000000000068</c:v>
                </c:pt>
                <c:pt idx="650">
                  <c:v>140.00000000000057</c:v>
                </c:pt>
                <c:pt idx="651">
                  <c:v>60.000000000000135</c:v>
                </c:pt>
                <c:pt idx="652">
                  <c:v>56.666666666666288</c:v>
                </c:pt>
                <c:pt idx="653">
                  <c:v>118.75000000000036</c:v>
                </c:pt>
                <c:pt idx="654">
                  <c:v>91.666666666666785</c:v>
                </c:pt>
                <c:pt idx="655">
                  <c:v>149.99999999999977</c:v>
                </c:pt>
                <c:pt idx="656">
                  <c:v>129.99999999999972</c:v>
                </c:pt>
                <c:pt idx="657">
                  <c:v>83.333333333333329</c:v>
                </c:pt>
                <c:pt idx="658">
                  <c:v>55.000000000000071</c:v>
                </c:pt>
                <c:pt idx="659">
                  <c:v>50</c:v>
                </c:pt>
                <c:pt idx="660">
                  <c:v>67.000000000000171</c:v>
                </c:pt>
                <c:pt idx="661">
                  <c:v>250</c:v>
                </c:pt>
                <c:pt idx="662">
                  <c:v>87.500000000000355</c:v>
                </c:pt>
                <c:pt idx="663">
                  <c:v>14.999999999999858</c:v>
                </c:pt>
                <c:pt idx="664">
                  <c:v>118.74999999999946</c:v>
                </c:pt>
                <c:pt idx="665">
                  <c:v>55.000000000000433</c:v>
                </c:pt>
                <c:pt idx="666">
                  <c:v>119.99999999999886</c:v>
                </c:pt>
                <c:pt idx="667">
                  <c:v>77.272727272728048</c:v>
                </c:pt>
                <c:pt idx="668">
                  <c:v>29.999999999999716</c:v>
                </c:pt>
                <c:pt idx="669">
                  <c:v>187.5</c:v>
                </c:pt>
                <c:pt idx="670">
                  <c:v>190.00000000000057</c:v>
                </c:pt>
                <c:pt idx="671">
                  <c:v>221.42857142857105</c:v>
                </c:pt>
                <c:pt idx="672">
                  <c:v>307.50000000000102</c:v>
                </c:pt>
                <c:pt idx="673">
                  <c:v>472.50000000000011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50</c:v>
                </c:pt>
                <c:pt idx="678">
                  <c:v>109.99999999999996</c:v>
                </c:pt>
                <c:pt idx="679">
                  <c:v>66.666666666666728</c:v>
                </c:pt>
                <c:pt idx="680">
                  <c:v>88.888888888888857</c:v>
                </c:pt>
                <c:pt idx="681">
                  <c:v>100.00000000000004</c:v>
                </c:pt>
                <c:pt idx="682">
                  <c:v>157.49999999999997</c:v>
                </c:pt>
                <c:pt idx="683">
                  <c:v>189.99999999999994</c:v>
                </c:pt>
                <c:pt idx="684">
                  <c:v>90.000000000000028</c:v>
                </c:pt>
                <c:pt idx="685">
                  <c:v>100.00000000000004</c:v>
                </c:pt>
                <c:pt idx="686">
                  <c:v>79.999999999999716</c:v>
                </c:pt>
                <c:pt idx="687">
                  <c:v>100.00000000000023</c:v>
                </c:pt>
                <c:pt idx="688">
                  <c:v>128.57142857142838</c:v>
                </c:pt>
                <c:pt idx="689">
                  <c:v>170.00000000000011</c:v>
                </c:pt>
                <c:pt idx="690">
                  <c:v>69.999999999999929</c:v>
                </c:pt>
                <c:pt idx="691">
                  <c:v>83.999999999999986</c:v>
                </c:pt>
                <c:pt idx="692">
                  <c:v>83.333333333333329</c:v>
                </c:pt>
                <c:pt idx="693">
                  <c:v>61.000000000000036</c:v>
                </c:pt>
                <c:pt idx="694">
                  <c:v>127.99999999999987</c:v>
                </c:pt>
                <c:pt idx="695">
                  <c:v>78.666666666666885</c:v>
                </c:pt>
                <c:pt idx="696">
                  <c:v>75</c:v>
                </c:pt>
                <c:pt idx="697">
                  <c:v>163.6363636363634</c:v>
                </c:pt>
                <c:pt idx="698">
                  <c:v>50</c:v>
                </c:pt>
                <c:pt idx="699">
                  <c:v>160.83333333333331</c:v>
                </c:pt>
                <c:pt idx="700">
                  <c:v>15.000000000000034</c:v>
                </c:pt>
                <c:pt idx="701">
                  <c:v>34.999999999999964</c:v>
                </c:pt>
                <c:pt idx="702">
                  <c:v>59.999999999999964</c:v>
                </c:pt>
                <c:pt idx="703">
                  <c:v>60.526315789473792</c:v>
                </c:pt>
                <c:pt idx="704">
                  <c:v>142.85714285714286</c:v>
                </c:pt>
                <c:pt idx="705">
                  <c:v>144.44444444444431</c:v>
                </c:pt>
                <c:pt idx="706">
                  <c:v>51.999999999999957</c:v>
                </c:pt>
                <c:pt idx="707">
                  <c:v>80.000000000000327</c:v>
                </c:pt>
                <c:pt idx="708">
                  <c:v>30.000000000000068</c:v>
                </c:pt>
                <c:pt idx="709">
                  <c:v>17.500000000000071</c:v>
                </c:pt>
                <c:pt idx="710">
                  <c:v>68.181818181818187</c:v>
                </c:pt>
                <c:pt idx="711">
                  <c:v>59.999999999999908</c:v>
                </c:pt>
                <c:pt idx="712">
                  <c:v>44.999999999999929</c:v>
                </c:pt>
                <c:pt idx="713">
                  <c:v>39.999999999999858</c:v>
                </c:pt>
                <c:pt idx="714">
                  <c:v>32.500000000000284</c:v>
                </c:pt>
                <c:pt idx="715">
                  <c:v>99.999999999999389</c:v>
                </c:pt>
                <c:pt idx="716">
                  <c:v>39.999999999999858</c:v>
                </c:pt>
                <c:pt idx="717">
                  <c:v>40.000000000000213</c:v>
                </c:pt>
                <c:pt idx="718">
                  <c:v>100</c:v>
                </c:pt>
                <c:pt idx="719">
                  <c:v>75</c:v>
                </c:pt>
                <c:pt idx="720">
                  <c:v>44.999999999999929</c:v>
                </c:pt>
                <c:pt idx="721">
                  <c:v>30.000000000000068</c:v>
                </c:pt>
                <c:pt idx="722">
                  <c:v>100</c:v>
                </c:pt>
                <c:pt idx="723">
                  <c:v>53.333333333333144</c:v>
                </c:pt>
                <c:pt idx="724">
                  <c:v>56.666666666666757</c:v>
                </c:pt>
                <c:pt idx="725">
                  <c:v>36.66666666666648</c:v>
                </c:pt>
                <c:pt idx="726">
                  <c:v>46.666666666666856</c:v>
                </c:pt>
                <c:pt idx="727">
                  <c:v>143.74999999999983</c:v>
                </c:pt>
                <c:pt idx="728">
                  <c:v>135.99999999999994</c:v>
                </c:pt>
                <c:pt idx="729">
                  <c:v>131.25000000000054</c:v>
                </c:pt>
                <c:pt idx="730">
                  <c:v>89.999999999999858</c:v>
                </c:pt>
                <c:pt idx="731">
                  <c:v>125</c:v>
                </c:pt>
                <c:pt idx="732">
                  <c:v>19.999999999999929</c:v>
                </c:pt>
                <c:pt idx="733">
                  <c:v>25</c:v>
                </c:pt>
                <c:pt idx="734">
                  <c:v>116.66666666666636</c:v>
                </c:pt>
                <c:pt idx="735">
                  <c:v>5.0000000000000711</c:v>
                </c:pt>
                <c:pt idx="736">
                  <c:v>19.999999999999929</c:v>
                </c:pt>
                <c:pt idx="737">
                  <c:v>53.33333333333362</c:v>
                </c:pt>
                <c:pt idx="738">
                  <c:v>59.999999999999787</c:v>
                </c:pt>
                <c:pt idx="739">
                  <c:v>100</c:v>
                </c:pt>
                <c:pt idx="740">
                  <c:v>65.000000000000213</c:v>
                </c:pt>
                <c:pt idx="741">
                  <c:v>117.64705882352941</c:v>
                </c:pt>
                <c:pt idx="742">
                  <c:v>181.81818181818181</c:v>
                </c:pt>
                <c:pt idx="743">
                  <c:v>139.99999999999963</c:v>
                </c:pt>
                <c:pt idx="744">
                  <c:v>142.85714285714286</c:v>
                </c:pt>
                <c:pt idx="745">
                  <c:v>50</c:v>
                </c:pt>
                <c:pt idx="746">
                  <c:v>100</c:v>
                </c:pt>
                <c:pt idx="747">
                  <c:v>95.000000000000284</c:v>
                </c:pt>
                <c:pt idx="748">
                  <c:v>80.000000000000185</c:v>
                </c:pt>
                <c:pt idx="749">
                  <c:v>35.000000000000142</c:v>
                </c:pt>
                <c:pt idx="750">
                  <c:v>79.999999999999247</c:v>
                </c:pt>
                <c:pt idx="751">
                  <c:v>80.000000000000185</c:v>
                </c:pt>
                <c:pt idx="752">
                  <c:v>46.000000000000085</c:v>
                </c:pt>
                <c:pt idx="753">
                  <c:v>30</c:v>
                </c:pt>
                <c:pt idx="754">
                  <c:v>30</c:v>
                </c:pt>
                <c:pt idx="755">
                  <c:v>30.000000000000007</c:v>
                </c:pt>
                <c:pt idx="756">
                  <c:v>35</c:v>
                </c:pt>
                <c:pt idx="757">
                  <c:v>32.499999999999993</c:v>
                </c:pt>
                <c:pt idx="758">
                  <c:v>44.999999999999993</c:v>
                </c:pt>
                <c:pt idx="759">
                  <c:v>64.999999999999986</c:v>
                </c:pt>
                <c:pt idx="760">
                  <c:v>45.000000000000014</c:v>
                </c:pt>
                <c:pt idx="761">
                  <c:v>140.00000000000006</c:v>
                </c:pt>
                <c:pt idx="762">
                  <c:v>50</c:v>
                </c:pt>
                <c:pt idx="763">
                  <c:v>187.5</c:v>
                </c:pt>
                <c:pt idx="764">
                  <c:v>150.00000000000003</c:v>
                </c:pt>
                <c:pt idx="765">
                  <c:v>25</c:v>
                </c:pt>
                <c:pt idx="766">
                  <c:v>169.99999999999994</c:v>
                </c:pt>
                <c:pt idx="767">
                  <c:v>100</c:v>
                </c:pt>
                <c:pt idx="768">
                  <c:v>120.00000000000004</c:v>
                </c:pt>
                <c:pt idx="769">
                  <c:v>112.49999999999983</c:v>
                </c:pt>
                <c:pt idx="770">
                  <c:v>114.28571428571438</c:v>
                </c:pt>
                <c:pt idx="771">
                  <c:v>37.500000000000085</c:v>
                </c:pt>
                <c:pt idx="772">
                  <c:v>49.999999999999822</c:v>
                </c:pt>
                <c:pt idx="773">
                  <c:v>35.000000000000142</c:v>
                </c:pt>
                <c:pt idx="774">
                  <c:v>112.49999999999983</c:v>
                </c:pt>
                <c:pt idx="775">
                  <c:v>166.66666666666666</c:v>
                </c:pt>
                <c:pt idx="776">
                  <c:v>66.66666666666643</c:v>
                </c:pt>
                <c:pt idx="777">
                  <c:v>137.50000000000017</c:v>
                </c:pt>
                <c:pt idx="778">
                  <c:v>85.000000000000142</c:v>
                </c:pt>
                <c:pt idx="779">
                  <c:v>34.999999999999787</c:v>
                </c:pt>
                <c:pt idx="780">
                  <c:v>40.000000000000213</c:v>
                </c:pt>
                <c:pt idx="781">
                  <c:v>52.500000000000036</c:v>
                </c:pt>
                <c:pt idx="782">
                  <c:v>77.7777777777777</c:v>
                </c:pt>
                <c:pt idx="783">
                  <c:v>33.333333333333336</c:v>
                </c:pt>
                <c:pt idx="784">
                  <c:v>36.666666666666714</c:v>
                </c:pt>
                <c:pt idx="785">
                  <c:v>20.000000000000046</c:v>
                </c:pt>
                <c:pt idx="786">
                  <c:v>30.000000000000068</c:v>
                </c:pt>
                <c:pt idx="787">
                  <c:v>43.74999999999973</c:v>
                </c:pt>
                <c:pt idx="788">
                  <c:v>42.857142857142954</c:v>
                </c:pt>
                <c:pt idx="789">
                  <c:v>133.33333333333286</c:v>
                </c:pt>
                <c:pt idx="790">
                  <c:v>57.142857142857451</c:v>
                </c:pt>
                <c:pt idx="791">
                  <c:v>72.222222222222072</c:v>
                </c:pt>
                <c:pt idx="792">
                  <c:v>137.50000000000017</c:v>
                </c:pt>
                <c:pt idx="793">
                  <c:v>120.00000000000027</c:v>
                </c:pt>
                <c:pt idx="794">
                  <c:v>159.99999999999943</c:v>
                </c:pt>
                <c:pt idx="795">
                  <c:v>92.85714285714316</c:v>
                </c:pt>
                <c:pt idx="796">
                  <c:v>77.7777777777777</c:v>
                </c:pt>
                <c:pt idx="797">
                  <c:v>66.666666666666814</c:v>
                </c:pt>
                <c:pt idx="798">
                  <c:v>100</c:v>
                </c:pt>
                <c:pt idx="799">
                  <c:v>59.999999999999432</c:v>
                </c:pt>
                <c:pt idx="800">
                  <c:v>105.55555555555587</c:v>
                </c:pt>
                <c:pt idx="801">
                  <c:v>120.00000000000027</c:v>
                </c:pt>
                <c:pt idx="802">
                  <c:v>62.5</c:v>
                </c:pt>
                <c:pt idx="803">
                  <c:v>94.444444444443818</c:v>
                </c:pt>
                <c:pt idx="804">
                  <c:v>66.666666666667027</c:v>
                </c:pt>
                <c:pt idx="805">
                  <c:v>162.49999999999966</c:v>
                </c:pt>
                <c:pt idx="806">
                  <c:v>107.69230769230759</c:v>
                </c:pt>
                <c:pt idx="807">
                  <c:v>64.999999999999858</c:v>
                </c:pt>
                <c:pt idx="808">
                  <c:v>80.000000000000426</c:v>
                </c:pt>
                <c:pt idx="809">
                  <c:v>94.999999999999929</c:v>
                </c:pt>
                <c:pt idx="810">
                  <c:v>66.666666666666671</c:v>
                </c:pt>
                <c:pt idx="811">
                  <c:v>89.999999999999858</c:v>
                </c:pt>
                <c:pt idx="812">
                  <c:v>125</c:v>
                </c:pt>
                <c:pt idx="813">
                  <c:v>100.00000000000041</c:v>
                </c:pt>
                <c:pt idx="814">
                  <c:v>100.00000000000023</c:v>
                </c:pt>
                <c:pt idx="815">
                  <c:v>79.999999999999716</c:v>
                </c:pt>
                <c:pt idx="816">
                  <c:v>40.000000000000213</c:v>
                </c:pt>
                <c:pt idx="817">
                  <c:v>135.71428571428561</c:v>
                </c:pt>
                <c:pt idx="818">
                  <c:v>187.5</c:v>
                </c:pt>
                <c:pt idx="819">
                  <c:v>119.99999999999957</c:v>
                </c:pt>
                <c:pt idx="820">
                  <c:v>55.555555555555557</c:v>
                </c:pt>
                <c:pt idx="821">
                  <c:v>171.42857142857181</c:v>
                </c:pt>
                <c:pt idx="822">
                  <c:v>120.00000000000027</c:v>
                </c:pt>
                <c:pt idx="823">
                  <c:v>77.777777777777303</c:v>
                </c:pt>
                <c:pt idx="824">
                  <c:v>125</c:v>
                </c:pt>
                <c:pt idx="825">
                  <c:v>112.50000000000071</c:v>
                </c:pt>
                <c:pt idx="826">
                  <c:v>109.99999999999943</c:v>
                </c:pt>
                <c:pt idx="827">
                  <c:v>62.5</c:v>
                </c:pt>
                <c:pt idx="828">
                  <c:v>63.636363636363896</c:v>
                </c:pt>
                <c:pt idx="829">
                  <c:v>116.66666666666595</c:v>
                </c:pt>
                <c:pt idx="830">
                  <c:v>150</c:v>
                </c:pt>
                <c:pt idx="831">
                  <c:v>92.857142857143671</c:v>
                </c:pt>
                <c:pt idx="832">
                  <c:v>108.3333333333331</c:v>
                </c:pt>
                <c:pt idx="833">
                  <c:v>86.363636363636616</c:v>
                </c:pt>
                <c:pt idx="834">
                  <c:v>142.85714285714286</c:v>
                </c:pt>
                <c:pt idx="835">
                  <c:v>199.99999999999574</c:v>
                </c:pt>
                <c:pt idx="836">
                  <c:v>157.14285714285839</c:v>
                </c:pt>
                <c:pt idx="837">
                  <c:v>75.000000000000171</c:v>
                </c:pt>
                <c:pt idx="838">
                  <c:v>200</c:v>
                </c:pt>
                <c:pt idx="839">
                  <c:v>285.71428571428572</c:v>
                </c:pt>
                <c:pt idx="840">
                  <c:v>181.81818181818181</c:v>
                </c:pt>
                <c:pt idx="841">
                  <c:v>139.99999999999963</c:v>
                </c:pt>
                <c:pt idx="842">
                  <c:v>158.3333333333338</c:v>
                </c:pt>
                <c:pt idx="843">
                  <c:v>40</c:v>
                </c:pt>
                <c:pt idx="844">
                  <c:v>54.999999999999986</c:v>
                </c:pt>
                <c:pt idx="845">
                  <c:v>35.000000000000014</c:v>
                </c:pt>
                <c:pt idx="846">
                  <c:v>50</c:v>
                </c:pt>
                <c:pt idx="847">
                  <c:v>49.999999999999979</c:v>
                </c:pt>
                <c:pt idx="848">
                  <c:v>40.000000000000036</c:v>
                </c:pt>
                <c:pt idx="849">
                  <c:v>159.99999999999994</c:v>
                </c:pt>
                <c:pt idx="850">
                  <c:v>109.99999999999996</c:v>
                </c:pt>
                <c:pt idx="851">
                  <c:v>61.111111111111086</c:v>
                </c:pt>
                <c:pt idx="852">
                  <c:v>62.5</c:v>
                </c:pt>
                <c:pt idx="853">
                  <c:v>99.999999999999943</c:v>
                </c:pt>
                <c:pt idx="854">
                  <c:v>116.66666666666656</c:v>
                </c:pt>
                <c:pt idx="855">
                  <c:v>150</c:v>
                </c:pt>
                <c:pt idx="856">
                  <c:v>144.44444444444451</c:v>
                </c:pt>
                <c:pt idx="857">
                  <c:v>88.888888888888971</c:v>
                </c:pt>
                <c:pt idx="858">
                  <c:v>120.5882352941176</c:v>
                </c:pt>
                <c:pt idx="859">
                  <c:v>50.000000000000114</c:v>
                </c:pt>
                <c:pt idx="860">
                  <c:v>59.999999999999787</c:v>
                </c:pt>
                <c:pt idx="861">
                  <c:v>85.000000000000142</c:v>
                </c:pt>
                <c:pt idx="862">
                  <c:v>29.999999999999893</c:v>
                </c:pt>
                <c:pt idx="863">
                  <c:v>119.99999999999993</c:v>
                </c:pt>
                <c:pt idx="864">
                  <c:v>41.666666666666664</c:v>
                </c:pt>
                <c:pt idx="865">
                  <c:v>50.000000000000114</c:v>
                </c:pt>
                <c:pt idx="866">
                  <c:v>70.000000000000284</c:v>
                </c:pt>
                <c:pt idx="867">
                  <c:v>75</c:v>
                </c:pt>
                <c:pt idx="868">
                  <c:v>75</c:v>
                </c:pt>
                <c:pt idx="869">
                  <c:v>89.999999999999858</c:v>
                </c:pt>
                <c:pt idx="870">
                  <c:v>160.00000000000014</c:v>
                </c:pt>
                <c:pt idx="871">
                  <c:v>139.99999999999986</c:v>
                </c:pt>
                <c:pt idx="872">
                  <c:v>109.09090909090902</c:v>
                </c:pt>
                <c:pt idx="873">
                  <c:v>125</c:v>
                </c:pt>
                <c:pt idx="874">
                  <c:v>250</c:v>
                </c:pt>
                <c:pt idx="875">
                  <c:v>233.33333333333348</c:v>
                </c:pt>
                <c:pt idx="876">
                  <c:v>181.81818181818181</c:v>
                </c:pt>
                <c:pt idx="877">
                  <c:v>161.53846153846138</c:v>
                </c:pt>
                <c:pt idx="878">
                  <c:v>222.22222222222223</c:v>
                </c:pt>
                <c:pt idx="879">
                  <c:v>161.53846153846163</c:v>
                </c:pt>
                <c:pt idx="880">
                  <c:v>179.16666666666654</c:v>
                </c:pt>
                <c:pt idx="881">
                  <c:v>154.16666666666677</c:v>
                </c:pt>
                <c:pt idx="882">
                  <c:v>130</c:v>
                </c:pt>
                <c:pt idx="883">
                  <c:v>36.666666666666664</c:v>
                </c:pt>
                <c:pt idx="884">
                  <c:v>75.000000000000028</c:v>
                </c:pt>
                <c:pt idx="885">
                  <c:v>87.499999999999986</c:v>
                </c:pt>
                <c:pt idx="886">
                  <c:v>83.999999999999986</c:v>
                </c:pt>
                <c:pt idx="887">
                  <c:v>126.6666666666667</c:v>
                </c:pt>
                <c:pt idx="888">
                  <c:v>142.85714285714286</c:v>
                </c:pt>
                <c:pt idx="889">
                  <c:v>119.99999999999993</c:v>
                </c:pt>
                <c:pt idx="890">
                  <c:v>110.00000000000014</c:v>
                </c:pt>
                <c:pt idx="891">
                  <c:v>69.999999999999929</c:v>
                </c:pt>
                <c:pt idx="892">
                  <c:v>130.00000000000006</c:v>
                </c:pt>
                <c:pt idx="893">
                  <c:v>190.90909090909071</c:v>
                </c:pt>
                <c:pt idx="894">
                  <c:v>133.33333333333334</c:v>
                </c:pt>
                <c:pt idx="895">
                  <c:v>79.166666666666757</c:v>
                </c:pt>
                <c:pt idx="896">
                  <c:v>87.499999999999915</c:v>
                </c:pt>
                <c:pt idx="897">
                  <c:v>86.666666666666714</c:v>
                </c:pt>
                <c:pt idx="898">
                  <c:v>333.33333333333331</c:v>
                </c:pt>
                <c:pt idx="899">
                  <c:v>213.33333333333314</c:v>
                </c:pt>
                <c:pt idx="900">
                  <c:v>73.333333333333428</c:v>
                </c:pt>
                <c:pt idx="901">
                  <c:v>65.000000000000028</c:v>
                </c:pt>
                <c:pt idx="902">
                  <c:v>70.588235294117609</c:v>
                </c:pt>
                <c:pt idx="903">
                  <c:v>107.22222222222221</c:v>
                </c:pt>
                <c:pt idx="904">
                  <c:v>619.9999999999992</c:v>
                </c:pt>
                <c:pt idx="905">
                  <c:v>197.85714285714283</c:v>
                </c:pt>
                <c:pt idx="906">
                  <c:v>200</c:v>
                </c:pt>
                <c:pt idx="907">
                  <c:v>406.66666666666629</c:v>
                </c:pt>
                <c:pt idx="908">
                  <c:v>224.4444444444448</c:v>
                </c:pt>
                <c:pt idx="909">
                  <c:v>35</c:v>
                </c:pt>
                <c:pt idx="910">
                  <c:v>35</c:v>
                </c:pt>
                <c:pt idx="911">
                  <c:v>35.000000000000014</c:v>
                </c:pt>
                <c:pt idx="912">
                  <c:v>46.66666666666665</c:v>
                </c:pt>
                <c:pt idx="913">
                  <c:v>25.000000000000021</c:v>
                </c:pt>
                <c:pt idx="914">
                  <c:v>59.999999999999964</c:v>
                </c:pt>
                <c:pt idx="915">
                  <c:v>53.333333333333321</c:v>
                </c:pt>
                <c:pt idx="916">
                  <c:v>100.00000000000004</c:v>
                </c:pt>
                <c:pt idx="917">
                  <c:v>87.500000000000028</c:v>
                </c:pt>
                <c:pt idx="918">
                  <c:v>162.49999999999986</c:v>
                </c:pt>
                <c:pt idx="919">
                  <c:v>133.33333333333334</c:v>
                </c:pt>
                <c:pt idx="920">
                  <c:v>116.6666666666667</c:v>
                </c:pt>
                <c:pt idx="921">
                  <c:v>128.57142857142861</c:v>
                </c:pt>
                <c:pt idx="922">
                  <c:v>100</c:v>
                </c:pt>
                <c:pt idx="923">
                  <c:v>69.444444444444343</c:v>
                </c:pt>
                <c:pt idx="924">
                  <c:v>140.90909090909096</c:v>
                </c:pt>
                <c:pt idx="925">
                  <c:v>99.999999999999943</c:v>
                </c:pt>
                <c:pt idx="926">
                  <c:v>71.428571428571431</c:v>
                </c:pt>
                <c:pt idx="927">
                  <c:v>82.352941176470708</c:v>
                </c:pt>
                <c:pt idx="928">
                  <c:v>92.857142857142662</c:v>
                </c:pt>
                <c:pt idx="929">
                  <c:v>71.428571428571431</c:v>
                </c:pt>
                <c:pt idx="930">
                  <c:v>59.999999999999964</c:v>
                </c:pt>
                <c:pt idx="931">
                  <c:v>121.42857142857163</c:v>
                </c:pt>
                <c:pt idx="932">
                  <c:v>90.909090909090907</c:v>
                </c:pt>
                <c:pt idx="933">
                  <c:v>111.11111111111111</c:v>
                </c:pt>
                <c:pt idx="934">
                  <c:v>60.000000000000135</c:v>
                </c:pt>
                <c:pt idx="935">
                  <c:v>88.888888888888573</c:v>
                </c:pt>
                <c:pt idx="936">
                  <c:v>73.333333333333428</c:v>
                </c:pt>
                <c:pt idx="937">
                  <c:v>111.11111111111111</c:v>
                </c:pt>
                <c:pt idx="938">
                  <c:v>78.571428571428669</c:v>
                </c:pt>
                <c:pt idx="939">
                  <c:v>106.24999999999973</c:v>
                </c:pt>
                <c:pt idx="940">
                  <c:v>85.714285714285907</c:v>
                </c:pt>
                <c:pt idx="941">
                  <c:v>133.33333333333363</c:v>
                </c:pt>
                <c:pt idx="942">
                  <c:v>185.71428571428532</c:v>
                </c:pt>
                <c:pt idx="943">
                  <c:v>222.22222222222223</c:v>
                </c:pt>
                <c:pt idx="944">
                  <c:v>206.24999999999983</c:v>
                </c:pt>
                <c:pt idx="945">
                  <c:v>275</c:v>
                </c:pt>
                <c:pt idx="946">
                  <c:v>200</c:v>
                </c:pt>
                <c:pt idx="947">
                  <c:v>155.55555555555554</c:v>
                </c:pt>
                <c:pt idx="948">
                  <c:v>71.428571428571431</c:v>
                </c:pt>
                <c:pt idx="949">
                  <c:v>100.00000000000003</c:v>
                </c:pt>
                <c:pt idx="950">
                  <c:v>149.99999999999991</c:v>
                </c:pt>
                <c:pt idx="951">
                  <c:v>166.66666666666666</c:v>
                </c:pt>
                <c:pt idx="952">
                  <c:v>133.33333333333329</c:v>
                </c:pt>
                <c:pt idx="953">
                  <c:v>96.15384615384616</c:v>
                </c:pt>
                <c:pt idx="954">
                  <c:v>316.66666666666674</c:v>
                </c:pt>
                <c:pt idx="955">
                  <c:v>155.5555555555556</c:v>
                </c:pt>
                <c:pt idx="956">
                  <c:v>150.00000000000006</c:v>
                </c:pt>
                <c:pt idx="957">
                  <c:v>175.00000000000006</c:v>
                </c:pt>
                <c:pt idx="958">
                  <c:v>193.75000000000009</c:v>
                </c:pt>
                <c:pt idx="959">
                  <c:v>155.5555555555554</c:v>
                </c:pt>
                <c:pt idx="960">
                  <c:v>189.99999999999986</c:v>
                </c:pt>
                <c:pt idx="961">
                  <c:v>170.00000000000028</c:v>
                </c:pt>
                <c:pt idx="962">
                  <c:v>139.99999999999986</c:v>
                </c:pt>
                <c:pt idx="963">
                  <c:v>169.99999999999994</c:v>
                </c:pt>
                <c:pt idx="964">
                  <c:v>300.00000000000011</c:v>
                </c:pt>
                <c:pt idx="965">
                  <c:v>260.00000000000011</c:v>
                </c:pt>
                <c:pt idx="966">
                  <c:v>99.999999999999872</c:v>
                </c:pt>
                <c:pt idx="967">
                  <c:v>88.461538461538623</c:v>
                </c:pt>
                <c:pt idx="968">
                  <c:v>52.631578947368418</c:v>
                </c:pt>
                <c:pt idx="969">
                  <c:v>80.769230769230816</c:v>
                </c:pt>
                <c:pt idx="970">
                  <c:v>66.66666666666643</c:v>
                </c:pt>
                <c:pt idx="971">
                  <c:v>91.666666666666785</c:v>
                </c:pt>
                <c:pt idx="972">
                  <c:v>118.74999999999991</c:v>
                </c:pt>
                <c:pt idx="973">
                  <c:v>112.50000000000011</c:v>
                </c:pt>
                <c:pt idx="974">
                  <c:v>300.00000000000017</c:v>
                </c:pt>
                <c:pt idx="975">
                  <c:v>146.15384615384605</c:v>
                </c:pt>
                <c:pt idx="976">
                  <c:v>139.99999999999915</c:v>
                </c:pt>
                <c:pt idx="977">
                  <c:v>46.666666666666664</c:v>
                </c:pt>
                <c:pt idx="978">
                  <c:v>46.666666666666664</c:v>
                </c:pt>
                <c:pt idx="979">
                  <c:v>46.666666666666679</c:v>
                </c:pt>
                <c:pt idx="980">
                  <c:v>46.66666666666665</c:v>
                </c:pt>
                <c:pt idx="981">
                  <c:v>107.69230769230772</c:v>
                </c:pt>
                <c:pt idx="982">
                  <c:v>46.666666666666679</c:v>
                </c:pt>
                <c:pt idx="983">
                  <c:v>63.636363636363576</c:v>
                </c:pt>
                <c:pt idx="984">
                  <c:v>128.57142857142861</c:v>
                </c:pt>
                <c:pt idx="985">
                  <c:v>120.00000000000003</c:v>
                </c:pt>
                <c:pt idx="986">
                  <c:v>166.66666666666657</c:v>
                </c:pt>
                <c:pt idx="987">
                  <c:v>200</c:v>
                </c:pt>
                <c:pt idx="988">
                  <c:v>138.88888888888889</c:v>
                </c:pt>
                <c:pt idx="989">
                  <c:v>214.28571428571428</c:v>
                </c:pt>
                <c:pt idx="990">
                  <c:v>123.07692307692318</c:v>
                </c:pt>
                <c:pt idx="991">
                  <c:v>57.499999999999929</c:v>
                </c:pt>
                <c:pt idx="992">
                  <c:v>28.571428571428637</c:v>
                </c:pt>
                <c:pt idx="993">
                  <c:v>71.428571428571431</c:v>
                </c:pt>
                <c:pt idx="994">
                  <c:v>99.999999999999815</c:v>
                </c:pt>
                <c:pt idx="995">
                  <c:v>26.470588235294287</c:v>
                </c:pt>
                <c:pt idx="996">
                  <c:v>77.7777777777777</c:v>
                </c:pt>
                <c:pt idx="997">
                  <c:v>76.92307692307692</c:v>
                </c:pt>
                <c:pt idx="998">
                  <c:v>61.53846153846159</c:v>
                </c:pt>
                <c:pt idx="999">
                  <c:v>49.999999999999524</c:v>
                </c:pt>
                <c:pt idx="1000">
                  <c:v>100.00000000000023</c:v>
                </c:pt>
                <c:pt idx="1001">
                  <c:v>59.999999999999964</c:v>
                </c:pt>
                <c:pt idx="1002">
                  <c:v>133.33333333333346</c:v>
                </c:pt>
                <c:pt idx="1003">
                  <c:v>170.00000000000028</c:v>
                </c:pt>
                <c:pt idx="1004">
                  <c:v>81.249999999999829</c:v>
                </c:pt>
                <c:pt idx="1005">
                  <c:v>128.57142857142887</c:v>
                </c:pt>
                <c:pt idx="1006">
                  <c:v>149.99999999999977</c:v>
                </c:pt>
                <c:pt idx="1007">
                  <c:v>108.33333333333339</c:v>
                </c:pt>
                <c:pt idx="1008">
                  <c:v>78.571428571428427</c:v>
                </c:pt>
                <c:pt idx="1009">
                  <c:v>188.8888888888892</c:v>
                </c:pt>
                <c:pt idx="1010">
                  <c:v>79.999999999999716</c:v>
                </c:pt>
                <c:pt idx="1011">
                  <c:v>108.33333333333428</c:v>
                </c:pt>
                <c:pt idx="1012">
                  <c:v>200</c:v>
                </c:pt>
                <c:pt idx="1013">
                  <c:v>181.81818181818181</c:v>
                </c:pt>
                <c:pt idx="1014">
                  <c:v>100</c:v>
                </c:pt>
                <c:pt idx="1015">
                  <c:v>250</c:v>
                </c:pt>
                <c:pt idx="1016">
                  <c:v>125</c:v>
                </c:pt>
              </c:numCache>
            </c:numRef>
          </c:xVal>
          <c:yVal>
            <c:numRef>
              <c:f>'2. Logging Brejo Seco'!$V$3:$V$1019</c:f>
              <c:numCache>
                <c:formatCode>0</c:formatCode>
                <c:ptCount val="1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100</c:v>
                </c:pt>
                <c:pt idx="8">
                  <c:v>0</c:v>
                </c:pt>
                <c:pt idx="9">
                  <c:v>60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22</c:v>
                </c:pt>
                <c:pt idx="14">
                  <c:v>42.000000000000007</c:v>
                </c:pt>
                <c:pt idx="15">
                  <c:v>56.000000000000007</c:v>
                </c:pt>
                <c:pt idx="16">
                  <c:v>62</c:v>
                </c:pt>
                <c:pt idx="17">
                  <c:v>32</c:v>
                </c:pt>
                <c:pt idx="18">
                  <c:v>42</c:v>
                </c:pt>
                <c:pt idx="19">
                  <c:v>50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32</c:v>
                </c:pt>
                <c:pt idx="24">
                  <c:v>38</c:v>
                </c:pt>
                <c:pt idx="25">
                  <c:v>22</c:v>
                </c:pt>
                <c:pt idx="26">
                  <c:v>24</c:v>
                </c:pt>
                <c:pt idx="27">
                  <c:v>28.000000000000004</c:v>
                </c:pt>
                <c:pt idx="28">
                  <c:v>44</c:v>
                </c:pt>
                <c:pt idx="29">
                  <c:v>40</c:v>
                </c:pt>
                <c:pt idx="30">
                  <c:v>0</c:v>
                </c:pt>
                <c:pt idx="31">
                  <c:v>54</c:v>
                </c:pt>
                <c:pt idx="32">
                  <c:v>24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</c:v>
                </c:pt>
                <c:pt idx="41">
                  <c:v>0</c:v>
                </c:pt>
                <c:pt idx="42">
                  <c:v>0</c:v>
                </c:pt>
                <c:pt idx="43">
                  <c:v>52</c:v>
                </c:pt>
                <c:pt idx="44">
                  <c:v>36</c:v>
                </c:pt>
                <c:pt idx="45">
                  <c:v>100</c:v>
                </c:pt>
                <c:pt idx="46">
                  <c:v>62</c:v>
                </c:pt>
                <c:pt idx="47">
                  <c:v>94.736842105263278</c:v>
                </c:pt>
                <c:pt idx="48">
                  <c:v>34</c:v>
                </c:pt>
                <c:pt idx="49">
                  <c:v>32</c:v>
                </c:pt>
                <c:pt idx="50">
                  <c:v>22</c:v>
                </c:pt>
                <c:pt idx="51">
                  <c:v>85.714285714285367</c:v>
                </c:pt>
                <c:pt idx="52">
                  <c:v>91.48936170212788</c:v>
                </c:pt>
                <c:pt idx="53">
                  <c:v>52.427184466019362</c:v>
                </c:pt>
                <c:pt idx="54">
                  <c:v>80</c:v>
                </c:pt>
                <c:pt idx="55">
                  <c:v>82.432432432432606</c:v>
                </c:pt>
                <c:pt idx="56">
                  <c:v>74.999999999999929</c:v>
                </c:pt>
                <c:pt idx="57">
                  <c:v>40</c:v>
                </c:pt>
                <c:pt idx="58">
                  <c:v>30</c:v>
                </c:pt>
                <c:pt idx="59">
                  <c:v>26.666666666666668</c:v>
                </c:pt>
                <c:pt idx="60">
                  <c:v>92.857142857142478</c:v>
                </c:pt>
                <c:pt idx="61">
                  <c:v>64</c:v>
                </c:pt>
                <c:pt idx="62">
                  <c:v>40</c:v>
                </c:pt>
                <c:pt idx="63">
                  <c:v>0</c:v>
                </c:pt>
                <c:pt idx="64">
                  <c:v>57.999999999999993</c:v>
                </c:pt>
                <c:pt idx="65">
                  <c:v>36</c:v>
                </c:pt>
                <c:pt idx="66">
                  <c:v>0</c:v>
                </c:pt>
                <c:pt idx="67">
                  <c:v>32.85714285714306</c:v>
                </c:pt>
                <c:pt idx="68">
                  <c:v>49.999999999999879</c:v>
                </c:pt>
                <c:pt idx="69">
                  <c:v>22</c:v>
                </c:pt>
                <c:pt idx="70">
                  <c:v>0</c:v>
                </c:pt>
                <c:pt idx="71">
                  <c:v>39.999999999999901</c:v>
                </c:pt>
                <c:pt idx="72">
                  <c:v>56.000000000000007</c:v>
                </c:pt>
                <c:pt idx="73">
                  <c:v>0</c:v>
                </c:pt>
                <c:pt idx="74">
                  <c:v>47.500000000000171</c:v>
                </c:pt>
                <c:pt idx="75">
                  <c:v>31.666666666666593</c:v>
                </c:pt>
                <c:pt idx="76">
                  <c:v>30</c:v>
                </c:pt>
                <c:pt idx="77">
                  <c:v>21.428571428571558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36</c:v>
                </c:pt>
                <c:pt idx="87">
                  <c:v>28.000000000000004</c:v>
                </c:pt>
                <c:pt idx="88">
                  <c:v>24</c:v>
                </c:pt>
                <c:pt idx="89">
                  <c:v>0</c:v>
                </c:pt>
                <c:pt idx="90">
                  <c:v>34.545454545454277</c:v>
                </c:pt>
                <c:pt idx="91">
                  <c:v>0</c:v>
                </c:pt>
                <c:pt idx="92">
                  <c:v>35.714285714285573</c:v>
                </c:pt>
                <c:pt idx="93">
                  <c:v>81</c:v>
                </c:pt>
                <c:pt idx="94">
                  <c:v>28.000000000000004</c:v>
                </c:pt>
                <c:pt idx="95">
                  <c:v>0</c:v>
                </c:pt>
                <c:pt idx="96">
                  <c:v>0</c:v>
                </c:pt>
                <c:pt idx="97">
                  <c:v>54</c:v>
                </c:pt>
                <c:pt idx="98">
                  <c:v>20</c:v>
                </c:pt>
                <c:pt idx="99">
                  <c:v>32</c:v>
                </c:pt>
                <c:pt idx="100">
                  <c:v>32</c:v>
                </c:pt>
                <c:pt idx="101">
                  <c:v>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80</c:v>
                </c:pt>
                <c:pt idx="107">
                  <c:v>54.545454545454831</c:v>
                </c:pt>
                <c:pt idx="108">
                  <c:v>69.999999999999829</c:v>
                </c:pt>
                <c:pt idx="109">
                  <c:v>32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38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24</c:v>
                </c:pt>
                <c:pt idx="125" formatCode="0.00">
                  <c:v>42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24</c:v>
                </c:pt>
                <c:pt idx="131" formatCode="0.00">
                  <c:v>54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46</c:v>
                </c:pt>
                <c:pt idx="135" formatCode="0.00">
                  <c:v>68</c:v>
                </c:pt>
                <c:pt idx="136" formatCode="0.00">
                  <c:v>24</c:v>
                </c:pt>
                <c:pt idx="137" formatCode="0.00">
                  <c:v>0</c:v>
                </c:pt>
                <c:pt idx="138" formatCode="0.00">
                  <c:v>20</c:v>
                </c:pt>
                <c:pt idx="139" formatCode="0.00">
                  <c:v>0</c:v>
                </c:pt>
                <c:pt idx="140" formatCode="0.00">
                  <c:v>20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22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">
                  <c:v>0</c:v>
                </c:pt>
                <c:pt idx="204" formatCode="0.0">
                  <c:v>0</c:v>
                </c:pt>
                <c:pt idx="205" formatCode="0.0">
                  <c:v>20</c:v>
                </c:pt>
                <c:pt idx="206" formatCode="0.0">
                  <c:v>20</c:v>
                </c:pt>
                <c:pt idx="207" formatCode="0.0">
                  <c:v>0</c:v>
                </c:pt>
                <c:pt idx="208" formatCode="0.0">
                  <c:v>0</c:v>
                </c:pt>
                <c:pt idx="209" formatCode="0.0">
                  <c:v>0</c:v>
                </c:pt>
                <c:pt idx="210" formatCode="0.0">
                  <c:v>0</c:v>
                </c:pt>
                <c:pt idx="211" formatCode="0.0">
                  <c:v>0</c:v>
                </c:pt>
                <c:pt idx="212" formatCode="0.0">
                  <c:v>0</c:v>
                </c:pt>
                <c:pt idx="213" formatCode="0.0">
                  <c:v>50</c:v>
                </c:pt>
                <c:pt idx="214" formatCode="0.0">
                  <c:v>0</c:v>
                </c:pt>
                <c:pt idx="215" formatCode="0.0">
                  <c:v>0</c:v>
                </c:pt>
                <c:pt idx="216" formatCode="0.0">
                  <c:v>44</c:v>
                </c:pt>
                <c:pt idx="217" formatCode="0.0">
                  <c:v>0</c:v>
                </c:pt>
                <c:pt idx="218" formatCode="0.0">
                  <c:v>26</c:v>
                </c:pt>
                <c:pt idx="219" formatCode="0.0">
                  <c:v>26</c:v>
                </c:pt>
                <c:pt idx="220" formatCode="0.0">
                  <c:v>36</c:v>
                </c:pt>
                <c:pt idx="221" formatCode="0.0">
                  <c:v>0</c:v>
                </c:pt>
                <c:pt idx="222" formatCode="0.0">
                  <c:v>0</c:v>
                </c:pt>
                <c:pt idx="223" formatCode="0.0">
                  <c:v>0</c:v>
                </c:pt>
                <c:pt idx="224" formatCode="0.0">
                  <c:v>0</c:v>
                </c:pt>
                <c:pt idx="225" formatCode="0.0">
                  <c:v>0</c:v>
                </c:pt>
                <c:pt idx="226" formatCode="0.0">
                  <c:v>0</c:v>
                </c:pt>
                <c:pt idx="227" formatCode="0.0">
                  <c:v>0</c:v>
                </c:pt>
                <c:pt idx="228" formatCode="0.0">
                  <c:v>0</c:v>
                </c:pt>
                <c:pt idx="229" formatCode="0.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22</c:v>
                </c:pt>
                <c:pt idx="239" formatCode="0.00">
                  <c:v>28.000000000000004</c:v>
                </c:pt>
                <c:pt idx="240" formatCode="0.00">
                  <c:v>30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20</c:v>
                </c:pt>
                <c:pt idx="244" formatCode="0.00">
                  <c:v>26</c:v>
                </c:pt>
                <c:pt idx="245" formatCode="0.00">
                  <c:v>30</c:v>
                </c:pt>
                <c:pt idx="246" formatCode="0.00">
                  <c:v>32</c:v>
                </c:pt>
                <c:pt idx="247" formatCode="0.00">
                  <c:v>56.000000000000007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20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28.000000000000004</c:v>
                </c:pt>
                <c:pt idx="257" formatCode="0.00">
                  <c:v>28.000000000000004</c:v>
                </c:pt>
                <c:pt idx="258" formatCode="0.00">
                  <c:v>0</c:v>
                </c:pt>
                <c:pt idx="259" formatCode="0.0">
                  <c:v>26</c:v>
                </c:pt>
                <c:pt idx="260" formatCode="0.0">
                  <c:v>20</c:v>
                </c:pt>
                <c:pt idx="261" formatCode="0.0">
                  <c:v>0</c:v>
                </c:pt>
                <c:pt idx="262" formatCode="0.0">
                  <c:v>0</c:v>
                </c:pt>
                <c:pt idx="263" formatCode="0.0">
                  <c:v>48</c:v>
                </c:pt>
                <c:pt idx="264" formatCode="0.0">
                  <c:v>0</c:v>
                </c:pt>
                <c:pt idx="265" formatCode="0.0">
                  <c:v>44</c:v>
                </c:pt>
                <c:pt idx="266" formatCode="0.0">
                  <c:v>0</c:v>
                </c:pt>
                <c:pt idx="267" formatCode="0.0">
                  <c:v>30</c:v>
                </c:pt>
                <c:pt idx="268" formatCode="0.0">
                  <c:v>26</c:v>
                </c:pt>
                <c:pt idx="269" formatCode="0.0">
                  <c:v>0</c:v>
                </c:pt>
                <c:pt idx="270" formatCode="0.0">
                  <c:v>0</c:v>
                </c:pt>
                <c:pt idx="271" formatCode="0.0">
                  <c:v>28.000000000000004</c:v>
                </c:pt>
                <c:pt idx="272" formatCode="0.0">
                  <c:v>50</c:v>
                </c:pt>
                <c:pt idx="273" formatCode="0.0">
                  <c:v>0</c:v>
                </c:pt>
                <c:pt idx="274" formatCode="0.00">
                  <c:v>88</c:v>
                </c:pt>
                <c:pt idx="275" formatCode="0.00">
                  <c:v>54</c:v>
                </c:pt>
                <c:pt idx="276" formatCode="0.00">
                  <c:v>92</c:v>
                </c:pt>
                <c:pt idx="277" formatCode="0.00">
                  <c:v>57.999999999999993</c:v>
                </c:pt>
                <c:pt idx="278" formatCode="0.00">
                  <c:v>56.000000000000007</c:v>
                </c:pt>
                <c:pt idx="279" formatCode="0.00">
                  <c:v>57.999999999999993</c:v>
                </c:pt>
                <c:pt idx="280" formatCode="0.00">
                  <c:v>57.999999999999993</c:v>
                </c:pt>
                <c:pt idx="281" formatCode="0.00">
                  <c:v>60</c:v>
                </c:pt>
                <c:pt idx="282" formatCode="0.00">
                  <c:v>84</c:v>
                </c:pt>
                <c:pt idx="283" formatCode="0.00">
                  <c:v>74</c:v>
                </c:pt>
                <c:pt idx="284" formatCode="0.00">
                  <c:v>84</c:v>
                </c:pt>
                <c:pt idx="285" formatCode="0.00">
                  <c:v>96</c:v>
                </c:pt>
                <c:pt idx="286" formatCode="0.00">
                  <c:v>92</c:v>
                </c:pt>
                <c:pt idx="287" formatCode="0.00">
                  <c:v>62</c:v>
                </c:pt>
                <c:pt idx="288" formatCode="0.0">
                  <c:v>48</c:v>
                </c:pt>
                <c:pt idx="289" formatCode="0.0">
                  <c:v>48</c:v>
                </c:pt>
                <c:pt idx="290" formatCode="0.0">
                  <c:v>84</c:v>
                </c:pt>
                <c:pt idx="291" formatCode="0.0">
                  <c:v>0</c:v>
                </c:pt>
                <c:pt idx="292" formatCode="0.0">
                  <c:v>28.000000000000004</c:v>
                </c:pt>
                <c:pt idx="293" formatCode="0.0">
                  <c:v>26</c:v>
                </c:pt>
                <c:pt idx="294" formatCode="0.00">
                  <c:v>20</c:v>
                </c:pt>
                <c:pt idx="295" formatCode="0.00">
                  <c:v>44</c:v>
                </c:pt>
                <c:pt idx="296" formatCode="0.00">
                  <c:v>100</c:v>
                </c:pt>
                <c:pt idx="297" formatCode="0.00">
                  <c:v>54</c:v>
                </c:pt>
                <c:pt idx="298" formatCode="0.00">
                  <c:v>0</c:v>
                </c:pt>
                <c:pt idx="299" formatCode="0.00">
                  <c:v>50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">
                  <c:v>0</c:v>
                </c:pt>
                <c:pt idx="303" formatCode="0.0">
                  <c:v>66</c:v>
                </c:pt>
                <c:pt idx="304" formatCode="0.0">
                  <c:v>20</c:v>
                </c:pt>
                <c:pt idx="305" formatCode="0.0">
                  <c:v>20</c:v>
                </c:pt>
                <c:pt idx="306" formatCode="0.00">
                  <c:v>54</c:v>
                </c:pt>
                <c:pt idx="307" formatCode="0.00">
                  <c:v>70</c:v>
                </c:pt>
                <c:pt idx="308" formatCode="0.00">
                  <c:v>36</c:v>
                </c:pt>
                <c:pt idx="309" formatCode="0.00">
                  <c:v>66</c:v>
                </c:pt>
                <c:pt idx="310" formatCode="0.00">
                  <c:v>28.000000000000004</c:v>
                </c:pt>
                <c:pt idx="311" formatCode="0.00">
                  <c:v>0</c:v>
                </c:pt>
                <c:pt idx="312" formatCode="0.00">
                  <c:v>74</c:v>
                </c:pt>
                <c:pt idx="313" formatCode="0.00">
                  <c:v>54</c:v>
                </c:pt>
                <c:pt idx="314" formatCode="0.00">
                  <c:v>42</c:v>
                </c:pt>
                <c:pt idx="315" formatCode="0.00">
                  <c:v>24</c:v>
                </c:pt>
                <c:pt idx="316" formatCode="0.00">
                  <c:v>22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64.51612903225805</c:v>
                </c:pt>
                <c:pt idx="354" formatCode="0.00">
                  <c:v>85.714285714285779</c:v>
                </c:pt>
                <c:pt idx="355" formatCode="0.00">
                  <c:v>27.500000000000007</c:v>
                </c:pt>
                <c:pt idx="356" formatCode="0.00">
                  <c:v>40.38461538461538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0</c:v>
                </c:pt>
                <c:pt idx="361" formatCode="0.00">
                  <c:v>0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26</c:v>
                </c:pt>
                <c:pt idx="368" formatCode="0.00">
                  <c:v>22</c:v>
                </c:pt>
                <c:pt idx="369" formatCode="0.00">
                  <c:v>0</c:v>
                </c:pt>
                <c:pt idx="370" formatCode="0.00">
                  <c:v>22</c:v>
                </c:pt>
                <c:pt idx="371" formatCode="0.00">
                  <c:v>22</c:v>
                </c:pt>
                <c:pt idx="372" formatCode="0.00">
                  <c:v>0</c:v>
                </c:pt>
                <c:pt idx="373" formatCode="0.00">
                  <c:v>26</c:v>
                </c:pt>
                <c:pt idx="374" formatCode="0.00">
                  <c:v>0</c:v>
                </c:pt>
                <c:pt idx="375" formatCode="0.00">
                  <c:v>42</c:v>
                </c:pt>
                <c:pt idx="376" formatCode="0.00">
                  <c:v>22</c:v>
                </c:pt>
                <c:pt idx="377" formatCode="0.00">
                  <c:v>0</c:v>
                </c:pt>
                <c:pt idx="378" formatCode="0.00">
                  <c:v>20</c:v>
                </c:pt>
                <c:pt idx="379" formatCode="0.00">
                  <c:v>0</c:v>
                </c:pt>
                <c:pt idx="380" formatCode="0.00">
                  <c:v>0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0</c:v>
                </c:pt>
                <c:pt idx="384" formatCode="0.00">
                  <c:v>0</c:v>
                </c:pt>
                <c:pt idx="385" formatCode="0.00">
                  <c:v>0</c:v>
                </c:pt>
                <c:pt idx="386" formatCode="0.00">
                  <c:v>0</c:v>
                </c:pt>
                <c:pt idx="387" formatCode="0.00">
                  <c:v>0</c:v>
                </c:pt>
                <c:pt idx="388" formatCode="0.00">
                  <c:v>0</c:v>
                </c:pt>
                <c:pt idx="389" formatCode="0.00">
                  <c:v>0</c:v>
                </c:pt>
                <c:pt idx="390" formatCode="0.00">
                  <c:v>0</c:v>
                </c:pt>
                <c:pt idx="391" formatCode="0.00">
                  <c:v>22</c:v>
                </c:pt>
                <c:pt idx="392" formatCode="0.00">
                  <c:v>0</c:v>
                </c:pt>
                <c:pt idx="393" formatCode="0.00">
                  <c:v>38</c:v>
                </c:pt>
                <c:pt idx="394" formatCode="0.00">
                  <c:v>28.000000000000004</c:v>
                </c:pt>
                <c:pt idx="395" formatCode="0.00">
                  <c:v>0</c:v>
                </c:pt>
                <c:pt idx="396" formatCode="0.00">
                  <c:v>22</c:v>
                </c:pt>
                <c:pt idx="397" formatCode="0.00">
                  <c:v>44</c:v>
                </c:pt>
                <c:pt idx="398" formatCode="0.00">
                  <c:v>0</c:v>
                </c:pt>
                <c:pt idx="399" formatCode="0.00">
                  <c:v>0</c:v>
                </c:pt>
                <c:pt idx="400" formatCode="0.00">
                  <c:v>0</c:v>
                </c:pt>
                <c:pt idx="401" formatCode="0.00">
                  <c:v>0</c:v>
                </c:pt>
                <c:pt idx="402" formatCode="0.00">
                  <c:v>0</c:v>
                </c:pt>
                <c:pt idx="403" formatCode="0.00">
                  <c:v>0</c:v>
                </c:pt>
                <c:pt idx="404" formatCode="0.00">
                  <c:v>0</c:v>
                </c:pt>
                <c:pt idx="405" formatCode="0.00">
                  <c:v>0</c:v>
                </c:pt>
                <c:pt idx="406" formatCode="0.00">
                  <c:v>0</c:v>
                </c:pt>
                <c:pt idx="407" formatCode="0.00">
                  <c:v>0</c:v>
                </c:pt>
                <c:pt idx="408" formatCode="0.00">
                  <c:v>0</c:v>
                </c:pt>
                <c:pt idx="409" formatCode="0.00">
                  <c:v>0</c:v>
                </c:pt>
                <c:pt idx="410" formatCode="0.00">
                  <c:v>0</c:v>
                </c:pt>
                <c:pt idx="411" formatCode="0.00">
                  <c:v>0</c:v>
                </c:pt>
                <c:pt idx="412" formatCode="0.00">
                  <c:v>0</c:v>
                </c:pt>
                <c:pt idx="413" formatCode="0.00">
                  <c:v>0</c:v>
                </c:pt>
                <c:pt idx="414" formatCode="0.00">
                  <c:v>32</c:v>
                </c:pt>
                <c:pt idx="415" formatCode="0.00">
                  <c:v>0</c:v>
                </c:pt>
                <c:pt idx="416" formatCode="0.00">
                  <c:v>0</c:v>
                </c:pt>
                <c:pt idx="417" formatCode="0.00">
                  <c:v>0</c:v>
                </c:pt>
                <c:pt idx="418" formatCode="0.00">
                  <c:v>0</c:v>
                </c:pt>
                <c:pt idx="419" formatCode="0.00">
                  <c:v>0</c:v>
                </c:pt>
                <c:pt idx="420" formatCode="0.00">
                  <c:v>64</c:v>
                </c:pt>
                <c:pt idx="421" formatCode="0.00">
                  <c:v>34</c:v>
                </c:pt>
                <c:pt idx="422" formatCode="0.00">
                  <c:v>0</c:v>
                </c:pt>
                <c:pt idx="423" formatCode="0.00">
                  <c:v>0</c:v>
                </c:pt>
                <c:pt idx="424" formatCode="0.00">
                  <c:v>24</c:v>
                </c:pt>
                <c:pt idx="425" formatCode="0.00">
                  <c:v>22</c:v>
                </c:pt>
                <c:pt idx="426" formatCode="0.00">
                  <c:v>0</c:v>
                </c:pt>
                <c:pt idx="427" formatCode="0.00">
                  <c:v>40</c:v>
                </c:pt>
                <c:pt idx="428" formatCode="0.00">
                  <c:v>20</c:v>
                </c:pt>
                <c:pt idx="429" formatCode="0.00">
                  <c:v>0</c:v>
                </c:pt>
                <c:pt idx="430" formatCode="0.00">
                  <c:v>22</c:v>
                </c:pt>
                <c:pt idx="431" formatCode="0.00">
                  <c:v>30</c:v>
                </c:pt>
                <c:pt idx="432" formatCode="0.00">
                  <c:v>30</c:v>
                </c:pt>
                <c:pt idx="433" formatCode="0.00">
                  <c:v>0</c:v>
                </c:pt>
                <c:pt idx="434" formatCode="0.00">
                  <c:v>22</c:v>
                </c:pt>
                <c:pt idx="435" formatCode="0.00">
                  <c:v>20</c:v>
                </c:pt>
                <c:pt idx="436" formatCode="0.00">
                  <c:v>24</c:v>
                </c:pt>
                <c:pt idx="437" formatCode="0.00">
                  <c:v>0</c:v>
                </c:pt>
                <c:pt idx="438" formatCode="0.00">
                  <c:v>20</c:v>
                </c:pt>
                <c:pt idx="439" formatCode="0.00">
                  <c:v>28.000000000000004</c:v>
                </c:pt>
                <c:pt idx="440" formatCode="0.00">
                  <c:v>24</c:v>
                </c:pt>
                <c:pt idx="441" formatCode="0.00">
                  <c:v>0</c:v>
                </c:pt>
                <c:pt idx="442" formatCode="0.00">
                  <c:v>0</c:v>
                </c:pt>
                <c:pt idx="443" formatCode="0.00">
                  <c:v>0</c:v>
                </c:pt>
                <c:pt idx="444" formatCode="0.00">
                  <c:v>28.000000000000004</c:v>
                </c:pt>
                <c:pt idx="445" formatCode="0.00">
                  <c:v>34</c:v>
                </c:pt>
                <c:pt idx="446" formatCode="0.00">
                  <c:v>0</c:v>
                </c:pt>
                <c:pt idx="447" formatCode="0.00">
                  <c:v>0</c:v>
                </c:pt>
                <c:pt idx="448" formatCode="0.00">
                  <c:v>0</c:v>
                </c:pt>
                <c:pt idx="449" formatCode="0.00">
                  <c:v>0</c:v>
                </c:pt>
                <c:pt idx="450" formatCode="0.00">
                  <c:v>0</c:v>
                </c:pt>
                <c:pt idx="451" formatCode="0.00">
                  <c:v>54</c:v>
                </c:pt>
                <c:pt idx="452" formatCode="0.00">
                  <c:v>52</c:v>
                </c:pt>
                <c:pt idx="453" formatCode="0.00">
                  <c:v>34</c:v>
                </c:pt>
                <c:pt idx="454" formatCode="0.00">
                  <c:v>28.000000000000004</c:v>
                </c:pt>
                <c:pt idx="455" formatCode="0.00">
                  <c:v>0</c:v>
                </c:pt>
                <c:pt idx="456" formatCode="0.00">
                  <c:v>50</c:v>
                </c:pt>
                <c:pt idx="457" formatCode="0.00">
                  <c:v>20</c:v>
                </c:pt>
                <c:pt idx="458" formatCode="0.00">
                  <c:v>0</c:v>
                </c:pt>
                <c:pt idx="459" formatCode="0.00">
                  <c:v>44</c:v>
                </c:pt>
                <c:pt idx="460" formatCode="0.00">
                  <c:v>22</c:v>
                </c:pt>
                <c:pt idx="461" formatCode="0.00">
                  <c:v>30</c:v>
                </c:pt>
                <c:pt idx="462" formatCode="0.00">
                  <c:v>26</c:v>
                </c:pt>
                <c:pt idx="463" formatCode="0.00">
                  <c:v>0</c:v>
                </c:pt>
                <c:pt idx="464" formatCode="0.00">
                  <c:v>66</c:v>
                </c:pt>
                <c:pt idx="465" formatCode="0.00">
                  <c:v>36</c:v>
                </c:pt>
                <c:pt idx="466" formatCode="0.00">
                  <c:v>50</c:v>
                </c:pt>
                <c:pt idx="467" formatCode="0.00">
                  <c:v>0</c:v>
                </c:pt>
                <c:pt idx="468" formatCode="0.00">
                  <c:v>0</c:v>
                </c:pt>
                <c:pt idx="469" formatCode="0.00">
                  <c:v>0</c:v>
                </c:pt>
                <c:pt idx="470" formatCode="0.00">
                  <c:v>0</c:v>
                </c:pt>
                <c:pt idx="471" formatCode="0.00">
                  <c:v>0</c:v>
                </c:pt>
                <c:pt idx="472" formatCode="0.00">
                  <c:v>0</c:v>
                </c:pt>
                <c:pt idx="473" formatCode="0.00">
                  <c:v>0</c:v>
                </c:pt>
                <c:pt idx="474" formatCode="0.00">
                  <c:v>0</c:v>
                </c:pt>
                <c:pt idx="475" formatCode="0.00">
                  <c:v>0</c:v>
                </c:pt>
                <c:pt idx="476" formatCode="0.00">
                  <c:v>0</c:v>
                </c:pt>
                <c:pt idx="477" formatCode="0.00">
                  <c:v>0</c:v>
                </c:pt>
                <c:pt idx="478" formatCode="0.00">
                  <c:v>0</c:v>
                </c:pt>
                <c:pt idx="479" formatCode="0.00">
                  <c:v>0</c:v>
                </c:pt>
                <c:pt idx="480" formatCode="0.00">
                  <c:v>0</c:v>
                </c:pt>
                <c:pt idx="481" formatCode="0.00">
                  <c:v>0</c:v>
                </c:pt>
                <c:pt idx="482" formatCode="0.00">
                  <c:v>0</c:v>
                </c:pt>
                <c:pt idx="483" formatCode="0.00">
                  <c:v>0</c:v>
                </c:pt>
                <c:pt idx="484" formatCode="0.00">
                  <c:v>0</c:v>
                </c:pt>
                <c:pt idx="485" formatCode="0.00">
                  <c:v>0</c:v>
                </c:pt>
                <c:pt idx="486" formatCode="0.00">
                  <c:v>0</c:v>
                </c:pt>
                <c:pt idx="487" formatCode="0.00">
                  <c:v>0</c:v>
                </c:pt>
                <c:pt idx="488" formatCode="0.00">
                  <c:v>0</c:v>
                </c:pt>
                <c:pt idx="489" formatCode="0.00">
                  <c:v>0</c:v>
                </c:pt>
                <c:pt idx="490" formatCode="0.00">
                  <c:v>0</c:v>
                </c:pt>
                <c:pt idx="491" formatCode="0.00">
                  <c:v>0</c:v>
                </c:pt>
                <c:pt idx="492" formatCode="0.00">
                  <c:v>0</c:v>
                </c:pt>
                <c:pt idx="493" formatCode="0.00">
                  <c:v>0</c:v>
                </c:pt>
                <c:pt idx="494" formatCode="0.00">
                  <c:v>0</c:v>
                </c:pt>
                <c:pt idx="495" formatCode="0.00">
                  <c:v>0</c:v>
                </c:pt>
                <c:pt idx="496" formatCode="0.00">
                  <c:v>0</c:v>
                </c:pt>
                <c:pt idx="497" formatCode="0.00">
                  <c:v>0</c:v>
                </c:pt>
                <c:pt idx="498" formatCode="0.00">
                  <c:v>0</c:v>
                </c:pt>
                <c:pt idx="499" formatCode="0.00">
                  <c:v>0</c:v>
                </c:pt>
                <c:pt idx="500" formatCode="0.00">
                  <c:v>0</c:v>
                </c:pt>
                <c:pt idx="501" formatCode="0.00">
                  <c:v>0</c:v>
                </c:pt>
                <c:pt idx="502" formatCode="0.00">
                  <c:v>0</c:v>
                </c:pt>
                <c:pt idx="503" formatCode="0.00">
                  <c:v>0</c:v>
                </c:pt>
                <c:pt idx="504" formatCode="0.00">
                  <c:v>0</c:v>
                </c:pt>
                <c:pt idx="505" formatCode="0.00">
                  <c:v>34</c:v>
                </c:pt>
                <c:pt idx="506" formatCode="0.00">
                  <c:v>0</c:v>
                </c:pt>
                <c:pt idx="507" formatCode="0.00">
                  <c:v>0</c:v>
                </c:pt>
                <c:pt idx="508" formatCode="0.00">
                  <c:v>0</c:v>
                </c:pt>
                <c:pt idx="509" formatCode="0.00">
                  <c:v>0</c:v>
                </c:pt>
                <c:pt idx="510" formatCode="0.00">
                  <c:v>0</c:v>
                </c:pt>
                <c:pt idx="511" formatCode="0.00">
                  <c:v>0</c:v>
                </c:pt>
                <c:pt idx="512" formatCode="0.00">
                  <c:v>0</c:v>
                </c:pt>
                <c:pt idx="513" formatCode="0.00">
                  <c:v>62</c:v>
                </c:pt>
                <c:pt idx="514" formatCode="0.00">
                  <c:v>0</c:v>
                </c:pt>
                <c:pt idx="515" formatCode="0.00">
                  <c:v>0</c:v>
                </c:pt>
                <c:pt idx="516" formatCode="0.00">
                  <c:v>0</c:v>
                </c:pt>
                <c:pt idx="517" formatCode="0.00">
                  <c:v>0</c:v>
                </c:pt>
                <c:pt idx="518" formatCode="0.00">
                  <c:v>40</c:v>
                </c:pt>
                <c:pt idx="519" formatCode="0.00">
                  <c:v>36</c:v>
                </c:pt>
                <c:pt idx="520" formatCode="0.00">
                  <c:v>46</c:v>
                </c:pt>
                <c:pt idx="521" formatCode="0.00">
                  <c:v>26</c:v>
                </c:pt>
                <c:pt idx="522" formatCode="0.00">
                  <c:v>0</c:v>
                </c:pt>
                <c:pt idx="523" formatCode="0.00">
                  <c:v>0</c:v>
                </c:pt>
                <c:pt idx="524" formatCode="0.00">
                  <c:v>0</c:v>
                </c:pt>
                <c:pt idx="525" formatCode="0.00">
                  <c:v>0</c:v>
                </c:pt>
                <c:pt idx="526" formatCode="0.00">
                  <c:v>0</c:v>
                </c:pt>
                <c:pt idx="527" formatCode="0.00">
                  <c:v>22</c:v>
                </c:pt>
                <c:pt idx="528" formatCode="0.00">
                  <c:v>0</c:v>
                </c:pt>
                <c:pt idx="529" formatCode="0.00">
                  <c:v>0</c:v>
                </c:pt>
                <c:pt idx="530" formatCode="0.00">
                  <c:v>0</c:v>
                </c:pt>
                <c:pt idx="531" formatCode="0.00">
                  <c:v>88</c:v>
                </c:pt>
                <c:pt idx="532" formatCode="0.00">
                  <c:v>20</c:v>
                </c:pt>
                <c:pt idx="533" formatCode="0.00">
                  <c:v>88</c:v>
                </c:pt>
                <c:pt idx="534" formatCode="0.00">
                  <c:v>20</c:v>
                </c:pt>
                <c:pt idx="535" formatCode="0.00">
                  <c:v>0</c:v>
                </c:pt>
                <c:pt idx="536" formatCode="0.00">
                  <c:v>72</c:v>
                </c:pt>
                <c:pt idx="537" formatCode="0.00">
                  <c:v>0</c:v>
                </c:pt>
                <c:pt idx="538" formatCode="0.00">
                  <c:v>0</c:v>
                </c:pt>
                <c:pt idx="539" formatCode="0.00">
                  <c:v>0</c:v>
                </c:pt>
                <c:pt idx="540" formatCode="0.00">
                  <c:v>36</c:v>
                </c:pt>
                <c:pt idx="541" formatCode="0.00">
                  <c:v>32</c:v>
                </c:pt>
                <c:pt idx="542" formatCode="0.00">
                  <c:v>30</c:v>
                </c:pt>
                <c:pt idx="543" formatCode="0.00">
                  <c:v>68</c:v>
                </c:pt>
                <c:pt idx="544" formatCode="0.00">
                  <c:v>0</c:v>
                </c:pt>
                <c:pt idx="545" formatCode="0.00">
                  <c:v>40</c:v>
                </c:pt>
                <c:pt idx="546" formatCode="0.00">
                  <c:v>46</c:v>
                </c:pt>
                <c:pt idx="547" formatCode="0.00">
                  <c:v>40</c:v>
                </c:pt>
                <c:pt idx="548" formatCode="0.00">
                  <c:v>52</c:v>
                </c:pt>
                <c:pt idx="549" formatCode="0.00">
                  <c:v>38</c:v>
                </c:pt>
                <c:pt idx="550" formatCode="0.00">
                  <c:v>52</c:v>
                </c:pt>
                <c:pt idx="551" formatCode="0.00">
                  <c:v>34</c:v>
                </c:pt>
                <c:pt idx="552" formatCode="0.00">
                  <c:v>22</c:v>
                </c:pt>
                <c:pt idx="553" formatCode="0.00">
                  <c:v>66</c:v>
                </c:pt>
                <c:pt idx="554" formatCode="0.00">
                  <c:v>20</c:v>
                </c:pt>
                <c:pt idx="555" formatCode="0.00">
                  <c:v>42</c:v>
                </c:pt>
                <c:pt idx="556" formatCode="0.00">
                  <c:v>24</c:v>
                </c:pt>
                <c:pt idx="557" formatCode="0.00">
                  <c:v>0</c:v>
                </c:pt>
                <c:pt idx="558" formatCode="0.00">
                  <c:v>20</c:v>
                </c:pt>
                <c:pt idx="559" formatCode="0.00">
                  <c:v>30</c:v>
                </c:pt>
                <c:pt idx="560" formatCode="0.00">
                  <c:v>0</c:v>
                </c:pt>
                <c:pt idx="561" formatCode="0.00">
                  <c:v>0</c:v>
                </c:pt>
                <c:pt idx="562" formatCode="0.00">
                  <c:v>0</c:v>
                </c:pt>
                <c:pt idx="563" formatCode="0.00">
                  <c:v>0</c:v>
                </c:pt>
                <c:pt idx="564" formatCode="0.00">
                  <c:v>0</c:v>
                </c:pt>
                <c:pt idx="565" formatCode="0.00">
                  <c:v>20</c:v>
                </c:pt>
                <c:pt idx="566" formatCode="0.00">
                  <c:v>24</c:v>
                </c:pt>
                <c:pt idx="567" formatCode="0.00">
                  <c:v>54</c:v>
                </c:pt>
                <c:pt idx="568" formatCode="0.00">
                  <c:v>52</c:v>
                </c:pt>
                <c:pt idx="569" formatCode="0.00">
                  <c:v>24</c:v>
                </c:pt>
                <c:pt idx="570" formatCode="0.00">
                  <c:v>64</c:v>
                </c:pt>
                <c:pt idx="571" formatCode="0.00">
                  <c:v>20</c:v>
                </c:pt>
                <c:pt idx="572" formatCode="0.00">
                  <c:v>0</c:v>
                </c:pt>
                <c:pt idx="573" formatCode="0.00">
                  <c:v>22</c:v>
                </c:pt>
                <c:pt idx="574" formatCode="0.00">
                  <c:v>0</c:v>
                </c:pt>
                <c:pt idx="575" formatCode="0.00">
                  <c:v>0</c:v>
                </c:pt>
                <c:pt idx="576" formatCode="0.00">
                  <c:v>0</c:v>
                </c:pt>
                <c:pt idx="577" formatCode="0.00">
                  <c:v>0</c:v>
                </c:pt>
                <c:pt idx="578" formatCode="0.00">
                  <c:v>0</c:v>
                </c:pt>
                <c:pt idx="579" formatCode="0.00">
                  <c:v>0</c:v>
                </c:pt>
                <c:pt idx="580" formatCode="0.00">
                  <c:v>48</c:v>
                </c:pt>
                <c:pt idx="581" formatCode="0.00">
                  <c:v>0</c:v>
                </c:pt>
                <c:pt idx="582" formatCode="0.00">
                  <c:v>36</c:v>
                </c:pt>
                <c:pt idx="583" formatCode="0.00">
                  <c:v>9.376786022400001</c:v>
                </c:pt>
                <c:pt idx="584" formatCode="0.00">
                  <c:v>12.5</c:v>
                </c:pt>
                <c:pt idx="585" formatCode="0.00">
                  <c:v>2.8149950088000009</c:v>
                </c:pt>
                <c:pt idx="586" formatCode="General">
                  <c:v>0</c:v>
                </c:pt>
                <c:pt idx="587" formatCode="General">
                  <c:v>0</c:v>
                </c:pt>
                <c:pt idx="588" formatCode="General">
                  <c:v>0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 formatCode="General">
                  <c:v>0</c:v>
                </c:pt>
                <c:pt idx="595" formatCode="0.0">
                  <c:v>23.333333333333314</c:v>
                </c:pt>
                <c:pt idx="596" formatCode="0.0">
                  <c:v>19.999999999999989</c:v>
                </c:pt>
                <c:pt idx="597" formatCode="0.0">
                  <c:v>0</c:v>
                </c:pt>
                <c:pt idx="598" formatCode="0.0">
                  <c:v>0</c:v>
                </c:pt>
                <c:pt idx="599" formatCode="0.0">
                  <c:v>0</c:v>
                </c:pt>
                <c:pt idx="600" formatCode="0.0">
                  <c:v>53.333333333333208</c:v>
                </c:pt>
                <c:pt idx="601" formatCode="0.0">
                  <c:v>16.666666666666693</c:v>
                </c:pt>
                <c:pt idx="602" formatCode="0.0">
                  <c:v>27.499999999999975</c:v>
                </c:pt>
                <c:pt idx="603" formatCode="0.0">
                  <c:v>40</c:v>
                </c:pt>
                <c:pt idx="604" formatCode="0.0">
                  <c:v>0</c:v>
                </c:pt>
                <c:pt idx="605" formatCode="0.0">
                  <c:v>30</c:v>
                </c:pt>
                <c:pt idx="606" formatCode="0.0">
                  <c:v>0</c:v>
                </c:pt>
                <c:pt idx="607" formatCode="0.0">
                  <c:v>0</c:v>
                </c:pt>
                <c:pt idx="608" formatCode="0.0">
                  <c:v>0</c:v>
                </c:pt>
                <c:pt idx="609" formatCode="0.0">
                  <c:v>0</c:v>
                </c:pt>
                <c:pt idx="610" formatCode="0.0">
                  <c:v>0</c:v>
                </c:pt>
                <c:pt idx="611" formatCode="0.0">
                  <c:v>0</c:v>
                </c:pt>
                <c:pt idx="612" formatCode="0.0">
                  <c:v>0</c:v>
                </c:pt>
                <c:pt idx="613" formatCode="0.0">
                  <c:v>27.096774193548374</c:v>
                </c:pt>
                <c:pt idx="614" formatCode="0.0">
                  <c:v>63.749999999999943</c:v>
                </c:pt>
                <c:pt idx="615" formatCode="0.0">
                  <c:v>64.285714285714363</c:v>
                </c:pt>
                <c:pt idx="616" formatCode="0.0">
                  <c:v>73.124999999999929</c:v>
                </c:pt>
                <c:pt idx="617" formatCode="0.0">
                  <c:v>43.333333333333336</c:v>
                </c:pt>
                <c:pt idx="618" formatCode="0.0">
                  <c:v>49.565217391304408</c:v>
                </c:pt>
                <c:pt idx="619" formatCode="0.0">
                  <c:v>46.874999999999957</c:v>
                </c:pt>
                <c:pt idx="620" formatCode="0.0">
                  <c:v>15.2</c:v>
                </c:pt>
                <c:pt idx="621" formatCode="0.0">
                  <c:v>22.857142857142858</c:v>
                </c:pt>
                <c:pt idx="622" formatCode="0.0">
                  <c:v>45.599999999999994</c:v>
                </c:pt>
                <c:pt idx="623" formatCode="0.0">
                  <c:v>65.263157894736892</c:v>
                </c:pt>
                <c:pt idx="624" formatCode="0.0">
                  <c:v>11.874999999999989</c:v>
                </c:pt>
                <c:pt idx="625" formatCode="0.0">
                  <c:v>13.684210526315852</c:v>
                </c:pt>
                <c:pt idx="626" formatCode="0.0">
                  <c:v>48.666666666666664</c:v>
                </c:pt>
                <c:pt idx="627" formatCode="0.0">
                  <c:v>13.333333333333281</c:v>
                </c:pt>
                <c:pt idx="628" formatCode="0.0">
                  <c:v>30.588235294117727</c:v>
                </c:pt>
                <c:pt idx="629" formatCode="0.0">
                  <c:v>52.307692307692143</c:v>
                </c:pt>
                <c:pt idx="630" formatCode="0.0">
                  <c:v>7.6923076923077094</c:v>
                </c:pt>
                <c:pt idx="631" formatCode="0.0">
                  <c:v>12.222222222222241</c:v>
                </c:pt>
                <c:pt idx="632" formatCode="0.0">
                  <c:v>39.999999999999943</c:v>
                </c:pt>
                <c:pt idx="633" formatCode="0.0">
                  <c:v>39.130434782608745</c:v>
                </c:pt>
                <c:pt idx="634" formatCode="0.0">
                  <c:v>30.857142857142861</c:v>
                </c:pt>
                <c:pt idx="635" formatCode="0.0">
                  <c:v>0</c:v>
                </c:pt>
                <c:pt idx="636" formatCode="0.0">
                  <c:v>0</c:v>
                </c:pt>
                <c:pt idx="637" formatCode="0.0">
                  <c:v>0</c:v>
                </c:pt>
                <c:pt idx="638" formatCode="0.0">
                  <c:v>25.000000000000089</c:v>
                </c:pt>
                <c:pt idx="639" formatCode="0.0">
                  <c:v>24.285714285714189</c:v>
                </c:pt>
                <c:pt idx="640" formatCode="0.0">
                  <c:v>0</c:v>
                </c:pt>
                <c:pt idx="641" formatCode="0.0">
                  <c:v>20.000000000000032</c:v>
                </c:pt>
                <c:pt idx="642" formatCode="0.0">
                  <c:v>0</c:v>
                </c:pt>
                <c:pt idx="643" formatCode="0.0">
                  <c:v>17.142857142857075</c:v>
                </c:pt>
                <c:pt idx="644" formatCode="0.0">
                  <c:v>47.14285714285743</c:v>
                </c:pt>
                <c:pt idx="645" formatCode="0.0">
                  <c:v>19.99999999999995</c:v>
                </c:pt>
                <c:pt idx="646" formatCode="0.0">
                  <c:v>18.181818181818041</c:v>
                </c:pt>
                <c:pt idx="647" formatCode="0.0">
                  <c:v>0</c:v>
                </c:pt>
                <c:pt idx="648" formatCode="0.0">
                  <c:v>14.285714285714374</c:v>
                </c:pt>
                <c:pt idx="649" formatCode="0.0">
                  <c:v>0</c:v>
                </c:pt>
                <c:pt idx="650" formatCode="0.0">
                  <c:v>41.42857142857126</c:v>
                </c:pt>
                <c:pt idx="651" formatCode="0.0">
                  <c:v>0</c:v>
                </c:pt>
                <c:pt idx="652" formatCode="0.0">
                  <c:v>0</c:v>
                </c:pt>
                <c:pt idx="653" formatCode="0.0">
                  <c:v>44.210526315789338</c:v>
                </c:pt>
                <c:pt idx="654" formatCode="0.0">
                  <c:v>9.9999999999999858</c:v>
                </c:pt>
                <c:pt idx="655" formatCode="0.0">
                  <c:v>22.222222222222261</c:v>
                </c:pt>
                <c:pt idx="656" formatCode="0.0">
                  <c:v>70.76923076923093</c:v>
                </c:pt>
                <c:pt idx="657" formatCode="0.0">
                  <c:v>54</c:v>
                </c:pt>
                <c:pt idx="658" formatCode="0.0">
                  <c:v>0</c:v>
                </c:pt>
                <c:pt idx="659" formatCode="0.0">
                  <c:v>0</c:v>
                </c:pt>
                <c:pt idx="660" formatCode="0.0">
                  <c:v>0</c:v>
                </c:pt>
                <c:pt idx="661" formatCode="0.0">
                  <c:v>70</c:v>
                </c:pt>
                <c:pt idx="662" formatCode="0.0">
                  <c:v>14.28571428571423</c:v>
                </c:pt>
                <c:pt idx="663" formatCode="0.0">
                  <c:v>0</c:v>
                </c:pt>
                <c:pt idx="664" formatCode="0.0">
                  <c:v>5.7894736842105523</c:v>
                </c:pt>
                <c:pt idx="665" formatCode="0.0">
                  <c:v>0</c:v>
                </c:pt>
                <c:pt idx="666" formatCode="0.0">
                  <c:v>20.000000000000188</c:v>
                </c:pt>
                <c:pt idx="667" formatCode="0.0">
                  <c:v>17.647058823529235</c:v>
                </c:pt>
                <c:pt idx="668" formatCode="0.0">
                  <c:v>0</c:v>
                </c:pt>
                <c:pt idx="669" formatCode="0.0">
                  <c:v>52.666666666666671</c:v>
                </c:pt>
                <c:pt idx="670" formatCode="0.0">
                  <c:v>42.105263157894612</c:v>
                </c:pt>
                <c:pt idx="671" formatCode="0.0">
                  <c:v>60.64516129032269</c:v>
                </c:pt>
                <c:pt idx="672" formatCode="0.0">
                  <c:v>81.300813008129808</c:v>
                </c:pt>
                <c:pt idx="673" formatCode="0.0">
                  <c:v>89.947089947089921</c:v>
                </c:pt>
                <c:pt idx="674" formatCode="0.0">
                  <c:v>0</c:v>
                </c:pt>
                <c:pt idx="675" formatCode="0.0">
                  <c:v>0</c:v>
                </c:pt>
                <c:pt idx="676" formatCode="0.0">
                  <c:v>0</c:v>
                </c:pt>
                <c:pt idx="677" formatCode="0.0">
                  <c:v>0</c:v>
                </c:pt>
                <c:pt idx="678" formatCode="0.0">
                  <c:v>30.000000000000011</c:v>
                </c:pt>
                <c:pt idx="679" formatCode="0.0">
                  <c:v>46.666666666666629</c:v>
                </c:pt>
                <c:pt idx="680" formatCode="0.0">
                  <c:v>26.250000000000007</c:v>
                </c:pt>
                <c:pt idx="681" formatCode="0.0">
                  <c:v>46.666666666666643</c:v>
                </c:pt>
                <c:pt idx="682" formatCode="0.0">
                  <c:v>63.492063492063508</c:v>
                </c:pt>
                <c:pt idx="683" formatCode="0.0">
                  <c:v>68.421052631578974</c:v>
                </c:pt>
                <c:pt idx="684" formatCode="0.0">
                  <c:v>16.666666666666661</c:v>
                </c:pt>
                <c:pt idx="685" formatCode="0.0">
                  <c:v>56.666666666666643</c:v>
                </c:pt>
                <c:pt idx="686" formatCode="0.0">
                  <c:v>27.500000000000096</c:v>
                </c:pt>
                <c:pt idx="687" formatCode="0.0">
                  <c:v>0</c:v>
                </c:pt>
                <c:pt idx="688" formatCode="0.0">
                  <c:v>57.777777777777871</c:v>
                </c:pt>
                <c:pt idx="689" formatCode="0.0">
                  <c:v>43.529411764705856</c:v>
                </c:pt>
                <c:pt idx="690" formatCode="0.0">
                  <c:v>17.14285714285716</c:v>
                </c:pt>
                <c:pt idx="691" formatCode="0.0">
                  <c:v>22.61904761904762</c:v>
                </c:pt>
                <c:pt idx="692" formatCode="0.0">
                  <c:v>0</c:v>
                </c:pt>
                <c:pt idx="693" formatCode="0.0">
                  <c:v>0</c:v>
                </c:pt>
                <c:pt idx="694" formatCode="0.0">
                  <c:v>26.041666666666689</c:v>
                </c:pt>
                <c:pt idx="695" formatCode="0.0">
                  <c:v>23.728813559321971</c:v>
                </c:pt>
                <c:pt idx="696" formatCode="0.0">
                  <c:v>0</c:v>
                </c:pt>
                <c:pt idx="697" formatCode="0.0">
                  <c:v>27.222222222222264</c:v>
                </c:pt>
                <c:pt idx="698" formatCode="0.0">
                  <c:v>0</c:v>
                </c:pt>
                <c:pt idx="699" formatCode="0.0">
                  <c:v>47.150259067357517</c:v>
                </c:pt>
                <c:pt idx="700" formatCode="0.0">
                  <c:v>0</c:v>
                </c:pt>
                <c:pt idx="701" formatCode="0.0">
                  <c:v>0</c:v>
                </c:pt>
                <c:pt idx="702" formatCode="0.0">
                  <c:v>0</c:v>
                </c:pt>
                <c:pt idx="703" formatCode="0.0">
                  <c:v>18.260869565217359</c:v>
                </c:pt>
                <c:pt idx="704" formatCode="0.0">
                  <c:v>36</c:v>
                </c:pt>
                <c:pt idx="705" formatCode="0.0">
                  <c:v>10.769230769230779</c:v>
                </c:pt>
                <c:pt idx="706" formatCode="0.0">
                  <c:v>34.615384615384642</c:v>
                </c:pt>
                <c:pt idx="707" formatCode="0.0">
                  <c:v>23.214285714285619</c:v>
                </c:pt>
                <c:pt idx="708" formatCode="0.0">
                  <c:v>0</c:v>
                </c:pt>
                <c:pt idx="709" formatCode="0.0">
                  <c:v>0</c:v>
                </c:pt>
                <c:pt idx="710" formatCode="0.0">
                  <c:v>33.333333333333329</c:v>
                </c:pt>
                <c:pt idx="711" formatCode="0.0">
                  <c:v>0</c:v>
                </c:pt>
                <c:pt idx="712" formatCode="0.0">
                  <c:v>0</c:v>
                </c:pt>
                <c:pt idx="713" formatCode="0.0">
                  <c:v>0</c:v>
                </c:pt>
                <c:pt idx="714" formatCode="0.0">
                  <c:v>0</c:v>
                </c:pt>
                <c:pt idx="715" formatCode="0.0">
                  <c:v>17.142857142857245</c:v>
                </c:pt>
                <c:pt idx="716" formatCode="0.0">
                  <c:v>0</c:v>
                </c:pt>
                <c:pt idx="717" formatCode="0.0">
                  <c:v>0</c:v>
                </c:pt>
                <c:pt idx="718" formatCode="0.0">
                  <c:v>0</c:v>
                </c:pt>
                <c:pt idx="719" formatCode="0.0">
                  <c:v>0</c:v>
                </c:pt>
                <c:pt idx="720" formatCode="0.0">
                  <c:v>0</c:v>
                </c:pt>
                <c:pt idx="721" formatCode="0.0">
                  <c:v>0</c:v>
                </c:pt>
                <c:pt idx="722" formatCode="0.0">
                  <c:v>24</c:v>
                </c:pt>
                <c:pt idx="723" formatCode="0.0">
                  <c:v>0</c:v>
                </c:pt>
                <c:pt idx="724" formatCode="0.0">
                  <c:v>0</c:v>
                </c:pt>
                <c:pt idx="725" formatCode="0.0">
                  <c:v>0</c:v>
                </c:pt>
                <c:pt idx="726" formatCode="0.0">
                  <c:v>0</c:v>
                </c:pt>
                <c:pt idx="727" formatCode="0.0">
                  <c:v>29.565217391304387</c:v>
                </c:pt>
                <c:pt idx="728" formatCode="0.0">
                  <c:v>44.117647058823543</c:v>
                </c:pt>
                <c:pt idx="729" formatCode="0.0">
                  <c:v>35.238095238095099</c:v>
                </c:pt>
                <c:pt idx="730" formatCode="0.0">
                  <c:v>13.333333333333353</c:v>
                </c:pt>
                <c:pt idx="731" formatCode="0.0">
                  <c:v>13</c:v>
                </c:pt>
                <c:pt idx="732" formatCode="0.0">
                  <c:v>0</c:v>
                </c:pt>
                <c:pt idx="733" formatCode="0.0">
                  <c:v>0</c:v>
                </c:pt>
                <c:pt idx="734" formatCode="0.0">
                  <c:v>10.476190476190505</c:v>
                </c:pt>
                <c:pt idx="735" formatCode="0.0">
                  <c:v>0</c:v>
                </c:pt>
                <c:pt idx="736" formatCode="0.0">
                  <c:v>0</c:v>
                </c:pt>
                <c:pt idx="737" formatCode="0.0">
                  <c:v>22.499999999999879</c:v>
                </c:pt>
                <c:pt idx="738" formatCode="0.0">
                  <c:v>0</c:v>
                </c:pt>
                <c:pt idx="739" formatCode="0.0">
                  <c:v>16.666666666666664</c:v>
                </c:pt>
                <c:pt idx="740" formatCode="0.0">
                  <c:v>0</c:v>
                </c:pt>
                <c:pt idx="741" formatCode="0.0">
                  <c:v>6</c:v>
                </c:pt>
                <c:pt idx="742" formatCode="0.0">
                  <c:v>45.5</c:v>
                </c:pt>
                <c:pt idx="743" formatCode="0.0">
                  <c:v>42.857142857142975</c:v>
                </c:pt>
                <c:pt idx="744" formatCode="0.0">
                  <c:v>17.5</c:v>
                </c:pt>
                <c:pt idx="745" formatCode="0.0">
                  <c:v>0</c:v>
                </c:pt>
                <c:pt idx="746" formatCode="0.0">
                  <c:v>11.333333333333334</c:v>
                </c:pt>
                <c:pt idx="747" formatCode="0.0">
                  <c:v>0</c:v>
                </c:pt>
                <c:pt idx="748" formatCode="0.0">
                  <c:v>12.49999999999997</c:v>
                </c:pt>
                <c:pt idx="749" formatCode="0.0">
                  <c:v>0</c:v>
                </c:pt>
                <c:pt idx="750" formatCode="0.0">
                  <c:v>9.1666666666667531</c:v>
                </c:pt>
                <c:pt idx="751" formatCode="0.0">
                  <c:v>10.833333333333309</c:v>
                </c:pt>
                <c:pt idx="752" formatCode="0.0">
                  <c:v>0</c:v>
                </c:pt>
                <c:pt idx="753" formatCode="0.0">
                  <c:v>0</c:v>
                </c:pt>
                <c:pt idx="754" formatCode="0.0">
                  <c:v>0</c:v>
                </c:pt>
                <c:pt idx="755" formatCode="0.0">
                  <c:v>0</c:v>
                </c:pt>
                <c:pt idx="756" formatCode="0.0">
                  <c:v>0</c:v>
                </c:pt>
                <c:pt idx="757" formatCode="0.0">
                  <c:v>0</c:v>
                </c:pt>
                <c:pt idx="758" formatCode="0.0">
                  <c:v>0</c:v>
                </c:pt>
                <c:pt idx="759" formatCode="0.0">
                  <c:v>0</c:v>
                </c:pt>
                <c:pt idx="760" formatCode="0.0">
                  <c:v>0</c:v>
                </c:pt>
                <c:pt idx="761" formatCode="0.0">
                  <c:v>17.857142857142851</c:v>
                </c:pt>
                <c:pt idx="762" formatCode="0.0">
                  <c:v>0</c:v>
                </c:pt>
                <c:pt idx="763" formatCode="0.0">
                  <c:v>24</c:v>
                </c:pt>
                <c:pt idx="764" formatCode="0.0">
                  <c:v>23.636363636363633</c:v>
                </c:pt>
                <c:pt idx="765" formatCode="0.0">
                  <c:v>0</c:v>
                </c:pt>
                <c:pt idx="766" formatCode="0.0">
                  <c:v>23.529411764705895</c:v>
                </c:pt>
                <c:pt idx="767" formatCode="0.0">
                  <c:v>26</c:v>
                </c:pt>
                <c:pt idx="768" formatCode="0.0">
                  <c:v>6.6666666666666634</c:v>
                </c:pt>
                <c:pt idx="769" formatCode="0.0">
                  <c:v>0</c:v>
                </c:pt>
                <c:pt idx="770" formatCode="0.0">
                  <c:v>17.499999999999986</c:v>
                </c:pt>
                <c:pt idx="771" formatCode="0.0">
                  <c:v>0</c:v>
                </c:pt>
                <c:pt idx="772" formatCode="0.0">
                  <c:v>0</c:v>
                </c:pt>
                <c:pt idx="773" formatCode="0.0">
                  <c:v>0</c:v>
                </c:pt>
                <c:pt idx="774" formatCode="0.0">
                  <c:v>60.000000000000099</c:v>
                </c:pt>
                <c:pt idx="775" formatCode="0.0">
                  <c:v>46</c:v>
                </c:pt>
                <c:pt idx="776" formatCode="0.0">
                  <c:v>0</c:v>
                </c:pt>
                <c:pt idx="777" formatCode="0.0">
                  <c:v>32.727272727272684</c:v>
                </c:pt>
                <c:pt idx="778" formatCode="0.0">
                  <c:v>0</c:v>
                </c:pt>
                <c:pt idx="779" formatCode="0.0">
                  <c:v>0</c:v>
                </c:pt>
                <c:pt idx="780" formatCode="0.0">
                  <c:v>0</c:v>
                </c:pt>
                <c:pt idx="781" formatCode="0.0">
                  <c:v>0</c:v>
                </c:pt>
                <c:pt idx="782" formatCode="0.0">
                  <c:v>0</c:v>
                </c:pt>
                <c:pt idx="783" formatCode="0.0">
                  <c:v>0</c:v>
                </c:pt>
                <c:pt idx="784" formatCode="0.0">
                  <c:v>0</c:v>
                </c:pt>
                <c:pt idx="785" formatCode="0.0">
                  <c:v>0</c:v>
                </c:pt>
                <c:pt idx="786" formatCode="0.0">
                  <c:v>0</c:v>
                </c:pt>
                <c:pt idx="787" formatCode="0.0">
                  <c:v>0</c:v>
                </c:pt>
                <c:pt idx="788" formatCode="0.0">
                  <c:v>0</c:v>
                </c:pt>
                <c:pt idx="789" formatCode="0.0">
                  <c:v>0</c:v>
                </c:pt>
                <c:pt idx="790" formatCode="0.0">
                  <c:v>0</c:v>
                </c:pt>
                <c:pt idx="791" formatCode="General">
                  <c:v>0</c:v>
                </c:pt>
                <c:pt idx="792" formatCode="General">
                  <c:v>0</c:v>
                </c:pt>
                <c:pt idx="793" formatCode="General">
                  <c:v>43.333333333333236</c:v>
                </c:pt>
                <c:pt idx="794" formatCode="General">
                  <c:v>16.25000000000006</c:v>
                </c:pt>
                <c:pt idx="795" formatCode="General">
                  <c:v>0</c:v>
                </c:pt>
                <c:pt idx="796" formatCode="General">
                  <c:v>0</c:v>
                </c:pt>
                <c:pt idx="797" formatCode="General">
                  <c:v>0</c:v>
                </c:pt>
                <c:pt idx="798" formatCode="General">
                  <c:v>0</c:v>
                </c:pt>
                <c:pt idx="799" formatCode="0.0">
                  <c:v>0</c:v>
                </c:pt>
                <c:pt idx="800" formatCode="0.0">
                  <c:v>12.631578947368382</c:v>
                </c:pt>
                <c:pt idx="801" formatCode="0.0">
                  <c:v>29.999999999999925</c:v>
                </c:pt>
                <c:pt idx="802" formatCode="0.0">
                  <c:v>0</c:v>
                </c:pt>
                <c:pt idx="803" formatCode="0.0">
                  <c:v>0</c:v>
                </c:pt>
                <c:pt idx="804" formatCode="0.0">
                  <c:v>0</c:v>
                </c:pt>
                <c:pt idx="805" formatCode="General">
                  <c:v>0</c:v>
                </c:pt>
                <c:pt idx="806" formatCode="General">
                  <c:v>15.714285714285731</c:v>
                </c:pt>
                <c:pt idx="807" formatCode="0.0">
                  <c:v>0</c:v>
                </c:pt>
                <c:pt idx="808" formatCode="0.0">
                  <c:v>0</c:v>
                </c:pt>
                <c:pt idx="809" formatCode="0.0">
                  <c:v>0</c:v>
                </c:pt>
                <c:pt idx="810" formatCode="0.0">
                  <c:v>0</c:v>
                </c:pt>
                <c:pt idx="811" formatCode="0.0">
                  <c:v>0</c:v>
                </c:pt>
                <c:pt idx="812" formatCode="0.0">
                  <c:v>0</c:v>
                </c:pt>
                <c:pt idx="813" formatCode="General">
                  <c:v>0</c:v>
                </c:pt>
                <c:pt idx="814" formatCode="0.0">
                  <c:v>0</c:v>
                </c:pt>
                <c:pt idx="815" formatCode="0.0">
                  <c:v>0</c:v>
                </c:pt>
                <c:pt idx="816" formatCode="0.0">
                  <c:v>0</c:v>
                </c:pt>
                <c:pt idx="817" formatCode="0.0">
                  <c:v>16.842105263157908</c:v>
                </c:pt>
                <c:pt idx="818" formatCode="0.0">
                  <c:v>28.666666666666668</c:v>
                </c:pt>
                <c:pt idx="819" formatCode="0.0">
                  <c:v>31.666666666666782</c:v>
                </c:pt>
                <c:pt idx="820" formatCode="0.0">
                  <c:v>0</c:v>
                </c:pt>
                <c:pt idx="821" formatCode="0.0">
                  <c:v>0</c:v>
                </c:pt>
                <c:pt idx="822" formatCode="0.0">
                  <c:v>9.1666666666666448</c:v>
                </c:pt>
                <c:pt idx="823" formatCode="0.0">
                  <c:v>0</c:v>
                </c:pt>
                <c:pt idx="824" formatCode="0.0">
                  <c:v>64</c:v>
                </c:pt>
                <c:pt idx="825" formatCode="0.0">
                  <c:v>0</c:v>
                </c:pt>
                <c:pt idx="826" formatCode="0.0">
                  <c:v>0</c:v>
                </c:pt>
                <c:pt idx="827" formatCode="0.0">
                  <c:v>0</c:v>
                </c:pt>
                <c:pt idx="828" formatCode="0.0">
                  <c:v>0</c:v>
                </c:pt>
                <c:pt idx="829" formatCode="0.0">
                  <c:v>34.285714285714491</c:v>
                </c:pt>
                <c:pt idx="830" formatCode="0.0">
                  <c:v>0</c:v>
                </c:pt>
                <c:pt idx="831" formatCode="0.0">
                  <c:v>0</c:v>
                </c:pt>
                <c:pt idx="832" formatCode="General">
                  <c:v>9.2307692307692513</c:v>
                </c:pt>
                <c:pt idx="833" formatCode="General">
                  <c:v>14.736842105263115</c:v>
                </c:pt>
                <c:pt idx="834" formatCode="General">
                  <c:v>42</c:v>
                </c:pt>
                <c:pt idx="835" formatCode="General">
                  <c:v>75.000000000001592</c:v>
                </c:pt>
                <c:pt idx="836" formatCode="General">
                  <c:v>13.63636363636353</c:v>
                </c:pt>
                <c:pt idx="837" formatCode="General">
                  <c:v>35.83333333333325</c:v>
                </c:pt>
                <c:pt idx="838" formatCode="General">
                  <c:v>63</c:v>
                </c:pt>
                <c:pt idx="839" formatCode="General">
                  <c:v>46</c:v>
                </c:pt>
                <c:pt idx="840" formatCode="General">
                  <c:v>35.5</c:v>
                </c:pt>
                <c:pt idx="841" formatCode="General">
                  <c:v>41.428571428571544</c:v>
                </c:pt>
                <c:pt idx="842" formatCode="General">
                  <c:v>57.894736842105097</c:v>
                </c:pt>
                <c:pt idx="843" formatCode="General">
                  <c:v>0</c:v>
                </c:pt>
                <c:pt idx="844" formatCode="General">
                  <c:v>0</c:v>
                </c:pt>
                <c:pt idx="845" formatCode="General">
                  <c:v>0</c:v>
                </c:pt>
                <c:pt idx="846" formatCode="General">
                  <c:v>0</c:v>
                </c:pt>
                <c:pt idx="847" formatCode="General">
                  <c:v>0</c:v>
                </c:pt>
                <c:pt idx="848" formatCode="General">
                  <c:v>0</c:v>
                </c:pt>
                <c:pt idx="849" formatCode="General">
                  <c:v>0</c:v>
                </c:pt>
                <c:pt idx="850" formatCode="General">
                  <c:v>30.909090909090921</c:v>
                </c:pt>
                <c:pt idx="851" formatCode="General">
                  <c:v>0</c:v>
                </c:pt>
                <c:pt idx="852" formatCode="General">
                  <c:v>0</c:v>
                </c:pt>
                <c:pt idx="853" formatCode="General">
                  <c:v>0</c:v>
                </c:pt>
                <c:pt idx="854" formatCode="General">
                  <c:v>28.571428571428605</c:v>
                </c:pt>
                <c:pt idx="855" formatCode="General">
                  <c:v>0</c:v>
                </c:pt>
                <c:pt idx="856" formatCode="General">
                  <c:v>29.230769230769216</c:v>
                </c:pt>
                <c:pt idx="857" formatCode="General">
                  <c:v>0</c:v>
                </c:pt>
                <c:pt idx="858" formatCode="General">
                  <c:v>16.097560975609763</c:v>
                </c:pt>
                <c:pt idx="859" formatCode="General">
                  <c:v>33.33333333333325</c:v>
                </c:pt>
                <c:pt idx="860" formatCode="General">
                  <c:v>0</c:v>
                </c:pt>
                <c:pt idx="861" formatCode="General">
                  <c:v>0</c:v>
                </c:pt>
                <c:pt idx="862" formatCode="General">
                  <c:v>0</c:v>
                </c:pt>
                <c:pt idx="863" formatCode="General">
                  <c:v>0</c:v>
                </c:pt>
                <c:pt idx="864" formatCode="General">
                  <c:v>0</c:v>
                </c:pt>
                <c:pt idx="865" formatCode="General">
                  <c:v>0</c:v>
                </c:pt>
                <c:pt idx="866" formatCode="General">
                  <c:v>37.142857142856997</c:v>
                </c:pt>
                <c:pt idx="867" formatCode="General">
                  <c:v>0</c:v>
                </c:pt>
                <c:pt idx="868" formatCode="General">
                  <c:v>0</c:v>
                </c:pt>
                <c:pt idx="869" formatCode="General">
                  <c:v>0</c:v>
                </c:pt>
                <c:pt idx="870" formatCode="General">
                  <c:v>52.499999999999943</c:v>
                </c:pt>
                <c:pt idx="871" formatCode="General">
                  <c:v>0</c:v>
                </c:pt>
                <c:pt idx="872" formatCode="General">
                  <c:v>17.500000000000011</c:v>
                </c:pt>
                <c:pt idx="873" formatCode="0.0">
                  <c:v>18.5</c:v>
                </c:pt>
                <c:pt idx="874" formatCode="0.0">
                  <c:v>53.714285714285715</c:v>
                </c:pt>
                <c:pt idx="875" formatCode="0.0">
                  <c:v>55.238095238095198</c:v>
                </c:pt>
                <c:pt idx="876" formatCode="0.0">
                  <c:v>34.5</c:v>
                </c:pt>
                <c:pt idx="877" formatCode="0.0">
                  <c:v>34.761904761904795</c:v>
                </c:pt>
                <c:pt idx="878" formatCode="0.0">
                  <c:v>45.5</c:v>
                </c:pt>
                <c:pt idx="879" formatCode="0.0">
                  <c:v>22.85714285714284</c:v>
                </c:pt>
                <c:pt idx="880" formatCode="0.0">
                  <c:v>31.162790697674442</c:v>
                </c:pt>
                <c:pt idx="881" formatCode="0.0">
                  <c:v>36.756756756756729</c:v>
                </c:pt>
                <c:pt idx="882" formatCode="General">
                  <c:v>0</c:v>
                </c:pt>
                <c:pt idx="883" formatCode="General">
                  <c:v>0</c:v>
                </c:pt>
                <c:pt idx="884" formatCode="General">
                  <c:v>0</c:v>
                </c:pt>
                <c:pt idx="885" formatCode="General">
                  <c:v>45.714285714285715</c:v>
                </c:pt>
                <c:pt idx="886" formatCode="General">
                  <c:v>10.476190476190478</c:v>
                </c:pt>
                <c:pt idx="887" formatCode="General">
                  <c:v>28.947368421052627</c:v>
                </c:pt>
                <c:pt idx="888" formatCode="0.0">
                  <c:v>23.5</c:v>
                </c:pt>
                <c:pt idx="889" formatCode="0.0">
                  <c:v>37.500000000000021</c:v>
                </c:pt>
                <c:pt idx="890" formatCode="0.0">
                  <c:v>17.272727272727252</c:v>
                </c:pt>
                <c:pt idx="891" formatCode="0.0">
                  <c:v>0</c:v>
                </c:pt>
                <c:pt idx="892" formatCode="0.0">
                  <c:v>21.538461538461529</c:v>
                </c:pt>
                <c:pt idx="893" formatCode="0.0">
                  <c:v>31.904761904761941</c:v>
                </c:pt>
                <c:pt idx="894" formatCode="0.0">
                  <c:v>10.5</c:v>
                </c:pt>
                <c:pt idx="895" formatCode="0.0">
                  <c:v>0</c:v>
                </c:pt>
                <c:pt idx="896" formatCode="0.0">
                  <c:v>15.714285714285731</c:v>
                </c:pt>
                <c:pt idx="897" formatCode="0.0">
                  <c:v>11.538461538461533</c:v>
                </c:pt>
                <c:pt idx="898" formatCode="0.0">
                  <c:v>79</c:v>
                </c:pt>
                <c:pt idx="899" formatCode="0.0">
                  <c:v>50.000000000000043</c:v>
                </c:pt>
                <c:pt idx="900" formatCode="0.0">
                  <c:v>22.727272727272698</c:v>
                </c:pt>
                <c:pt idx="901" formatCode="0.0">
                  <c:v>0</c:v>
                </c:pt>
                <c:pt idx="902" formatCode="0.0">
                  <c:v>0</c:v>
                </c:pt>
                <c:pt idx="903" formatCode="0.0">
                  <c:v>0</c:v>
                </c:pt>
                <c:pt idx="904" formatCode="General">
                  <c:v>85.48387096774205</c:v>
                </c:pt>
                <c:pt idx="905" formatCode="General">
                  <c:v>58.844765342960294</c:v>
                </c:pt>
                <c:pt idx="906" formatCode="General">
                  <c:v>62</c:v>
                </c:pt>
                <c:pt idx="907" formatCode="General">
                  <c:v>85.245901639344339</c:v>
                </c:pt>
                <c:pt idx="908" formatCode="General">
                  <c:v>70.297029702970192</c:v>
                </c:pt>
                <c:pt idx="909" formatCode="General">
                  <c:v>0</c:v>
                </c:pt>
                <c:pt idx="910" formatCode="General">
                  <c:v>0</c:v>
                </c:pt>
                <c:pt idx="911" formatCode="General">
                  <c:v>0</c:v>
                </c:pt>
                <c:pt idx="912" formatCode="General">
                  <c:v>0</c:v>
                </c:pt>
                <c:pt idx="913" formatCode="General">
                  <c:v>0</c:v>
                </c:pt>
                <c:pt idx="914" formatCode="General">
                  <c:v>0</c:v>
                </c:pt>
                <c:pt idx="915" formatCode="General">
                  <c:v>0</c:v>
                </c:pt>
                <c:pt idx="916" formatCode="General">
                  <c:v>28.888888888888882</c:v>
                </c:pt>
                <c:pt idx="917" formatCode="General">
                  <c:v>8.5714285714285694</c:v>
                </c:pt>
                <c:pt idx="918" formatCode="0.0">
                  <c:v>18.461538461538478</c:v>
                </c:pt>
                <c:pt idx="919" formatCode="0.0">
                  <c:v>25</c:v>
                </c:pt>
                <c:pt idx="920" formatCode="0.0">
                  <c:v>27.142857142857135</c:v>
                </c:pt>
                <c:pt idx="921" formatCode="0.0">
                  <c:v>30.555555555555546</c:v>
                </c:pt>
                <c:pt idx="922" formatCode="0.0">
                  <c:v>0</c:v>
                </c:pt>
                <c:pt idx="923" formatCode="0.0">
                  <c:v>9.6000000000000121</c:v>
                </c:pt>
                <c:pt idx="924" formatCode="0.0">
                  <c:v>30.322580645161274</c:v>
                </c:pt>
                <c:pt idx="925" formatCode="0.0">
                  <c:v>18.333333333333343</c:v>
                </c:pt>
                <c:pt idx="926" formatCode="0.0">
                  <c:v>0</c:v>
                </c:pt>
                <c:pt idx="927" formatCode="0.0">
                  <c:v>7.1428571428571326</c:v>
                </c:pt>
                <c:pt idx="928" formatCode="0.0">
                  <c:v>35.384615384615465</c:v>
                </c:pt>
                <c:pt idx="929" formatCode="0.0">
                  <c:v>0</c:v>
                </c:pt>
                <c:pt idx="930" formatCode="0.0">
                  <c:v>9.1666666666666714</c:v>
                </c:pt>
                <c:pt idx="931" formatCode="0.0">
                  <c:v>0</c:v>
                </c:pt>
                <c:pt idx="932" formatCode="0.0">
                  <c:v>0</c:v>
                </c:pt>
                <c:pt idx="933" formatCode="0.0">
                  <c:v>21</c:v>
                </c:pt>
                <c:pt idx="934" formatCode="0.0">
                  <c:v>0</c:v>
                </c:pt>
                <c:pt idx="935" formatCode="0.0">
                  <c:v>0</c:v>
                </c:pt>
                <c:pt idx="936" formatCode="0.0">
                  <c:v>0</c:v>
                </c:pt>
                <c:pt idx="937" formatCode="0.0">
                  <c:v>10</c:v>
                </c:pt>
                <c:pt idx="938" formatCode="0.0">
                  <c:v>12.727272727272712</c:v>
                </c:pt>
                <c:pt idx="939" formatCode="0.0">
                  <c:v>12.352941176470621</c:v>
                </c:pt>
                <c:pt idx="940" formatCode="0.0">
                  <c:v>0</c:v>
                </c:pt>
                <c:pt idx="941" formatCode="0.0">
                  <c:v>51.666666666666536</c:v>
                </c:pt>
                <c:pt idx="942" formatCode="0.0">
                  <c:v>40.000000000000092</c:v>
                </c:pt>
                <c:pt idx="943" formatCode="0.0">
                  <c:v>54.500000000000007</c:v>
                </c:pt>
                <c:pt idx="944" formatCode="General">
                  <c:v>51.515151515151572</c:v>
                </c:pt>
                <c:pt idx="945" formatCode="General">
                  <c:v>93.636363636363626</c:v>
                </c:pt>
                <c:pt idx="946" formatCode="General">
                  <c:v>56.000000000000007</c:v>
                </c:pt>
                <c:pt idx="947" formatCode="General">
                  <c:v>33.571428571428577</c:v>
                </c:pt>
                <c:pt idx="948" formatCode="General">
                  <c:v>0</c:v>
                </c:pt>
                <c:pt idx="949" formatCode="General">
                  <c:v>32.857142857142854</c:v>
                </c:pt>
                <c:pt idx="950" formatCode="General">
                  <c:v>47.777777777777807</c:v>
                </c:pt>
                <c:pt idx="951" formatCode="General">
                  <c:v>29.333333333333332</c:v>
                </c:pt>
                <c:pt idx="952" formatCode="General">
                  <c:v>20.000000000000004</c:v>
                </c:pt>
                <c:pt idx="953" formatCode="General">
                  <c:v>8.7999999999999989</c:v>
                </c:pt>
                <c:pt idx="954" formatCode="General">
                  <c:v>73.157894736842081</c:v>
                </c:pt>
                <c:pt idx="955" formatCode="General">
                  <c:v>26.428571428571423</c:v>
                </c:pt>
                <c:pt idx="956" formatCode="General">
                  <c:v>42.222222222222207</c:v>
                </c:pt>
                <c:pt idx="957" formatCode="General">
                  <c:v>44.999999999999993</c:v>
                </c:pt>
                <c:pt idx="958" formatCode="General">
                  <c:v>49.032258064516107</c:v>
                </c:pt>
                <c:pt idx="959" formatCode="General">
                  <c:v>54.285714285714334</c:v>
                </c:pt>
                <c:pt idx="960" formatCode="General">
                  <c:v>52.63157894736846</c:v>
                </c:pt>
                <c:pt idx="961" formatCode="General">
                  <c:v>45.882352941176393</c:v>
                </c:pt>
                <c:pt idx="962" formatCode="General">
                  <c:v>38.571428571428612</c:v>
                </c:pt>
                <c:pt idx="963" formatCode="General">
                  <c:v>56.470588235294137</c:v>
                </c:pt>
                <c:pt idx="964" formatCode="0.0">
                  <c:v>52.777777777777757</c:v>
                </c:pt>
                <c:pt idx="965" formatCode="0.0">
                  <c:v>63.846153846153811</c:v>
                </c:pt>
                <c:pt idx="966" formatCode="0.0">
                  <c:v>20.625000000000028</c:v>
                </c:pt>
                <c:pt idx="967" formatCode="0.0">
                  <c:v>8.6956521739130288</c:v>
                </c:pt>
                <c:pt idx="968" formatCode="0.0">
                  <c:v>22</c:v>
                </c:pt>
                <c:pt idx="969" formatCode="0.0">
                  <c:v>9.5238095238095184</c:v>
                </c:pt>
                <c:pt idx="970" formatCode="0.0">
                  <c:v>0</c:v>
                </c:pt>
                <c:pt idx="971" formatCode="0.0">
                  <c:v>16.363636363636342</c:v>
                </c:pt>
                <c:pt idx="972" formatCode="0.0">
                  <c:v>41.57894736842109</c:v>
                </c:pt>
                <c:pt idx="973" formatCode="0.0">
                  <c:v>28.148148148148117</c:v>
                </c:pt>
                <c:pt idx="974" formatCode="0.0">
                  <c:v>47.14285714285711</c:v>
                </c:pt>
                <c:pt idx="975" formatCode="0.0">
                  <c:v>31.052631578947388</c:v>
                </c:pt>
                <c:pt idx="976" formatCode="0.0">
                  <c:v>0</c:v>
                </c:pt>
                <c:pt idx="977" formatCode="General">
                  <c:v>0</c:v>
                </c:pt>
                <c:pt idx="978" formatCode="General">
                  <c:v>0</c:v>
                </c:pt>
                <c:pt idx="979" formatCode="General">
                  <c:v>0</c:v>
                </c:pt>
                <c:pt idx="980" formatCode="General">
                  <c:v>0</c:v>
                </c:pt>
                <c:pt idx="981" formatCode="General">
                  <c:v>16.428571428571427</c:v>
                </c:pt>
                <c:pt idx="982" formatCode="General">
                  <c:v>0</c:v>
                </c:pt>
                <c:pt idx="983" formatCode="General">
                  <c:v>0</c:v>
                </c:pt>
                <c:pt idx="984" formatCode="General">
                  <c:v>14.444444444444441</c:v>
                </c:pt>
                <c:pt idx="985" formatCode="General">
                  <c:v>8.3333333333333321</c:v>
                </c:pt>
                <c:pt idx="986" formatCode="General">
                  <c:v>33.333333333333357</c:v>
                </c:pt>
                <c:pt idx="987" formatCode="General">
                  <c:v>38</c:v>
                </c:pt>
                <c:pt idx="988" formatCode="General">
                  <c:v>27.200000000000003</c:v>
                </c:pt>
                <c:pt idx="989" formatCode="General">
                  <c:v>31.333333333333329</c:v>
                </c:pt>
                <c:pt idx="990" formatCode="General">
                  <c:v>21.249999999999982</c:v>
                </c:pt>
                <c:pt idx="991" formatCode="General">
                  <c:v>0</c:v>
                </c:pt>
                <c:pt idx="992" formatCode="0.0">
                  <c:v>0</c:v>
                </c:pt>
                <c:pt idx="993" formatCode="0.0">
                  <c:v>28.000000000000004</c:v>
                </c:pt>
                <c:pt idx="994" formatCode="0.0">
                  <c:v>26.363636363636417</c:v>
                </c:pt>
                <c:pt idx="995" formatCode="0.0">
                  <c:v>0</c:v>
                </c:pt>
                <c:pt idx="996" formatCode="0.0">
                  <c:v>14.285714285714302</c:v>
                </c:pt>
                <c:pt idx="997" formatCode="0.0">
                  <c:v>0</c:v>
                </c:pt>
                <c:pt idx="998" formatCode="0.0">
                  <c:v>0</c:v>
                </c:pt>
                <c:pt idx="999" formatCode="General">
                  <c:v>36.666666666667012</c:v>
                </c:pt>
                <c:pt idx="1000" formatCode="0.0">
                  <c:v>73.333333333333158</c:v>
                </c:pt>
                <c:pt idx="1001" formatCode="0.0">
                  <c:v>8.3333333333333393</c:v>
                </c:pt>
                <c:pt idx="1002" formatCode="General">
                  <c:v>14.999999999999986</c:v>
                </c:pt>
                <c:pt idx="1003" formatCode="General">
                  <c:v>36.470588235294052</c:v>
                </c:pt>
                <c:pt idx="1004" formatCode="General">
                  <c:v>23.076923076923126</c:v>
                </c:pt>
                <c:pt idx="1005" formatCode="General">
                  <c:v>36.666666666666579</c:v>
                </c:pt>
                <c:pt idx="1006" formatCode="General">
                  <c:v>35.555555555555614</c:v>
                </c:pt>
                <c:pt idx="1007" formatCode="General">
                  <c:v>39.999999999999979</c:v>
                </c:pt>
                <c:pt idx="1008" formatCode="General">
                  <c:v>0</c:v>
                </c:pt>
                <c:pt idx="1009" formatCode="General">
                  <c:v>38.823529411764639</c:v>
                </c:pt>
                <c:pt idx="1010" formatCode="General">
                  <c:v>0</c:v>
                </c:pt>
                <c:pt idx="1011" formatCode="General">
                  <c:v>53.846153846153378</c:v>
                </c:pt>
                <c:pt idx="1012" formatCode="General">
                  <c:v>60</c:v>
                </c:pt>
                <c:pt idx="1013" formatCode="General">
                  <c:v>33</c:v>
                </c:pt>
                <c:pt idx="1014" formatCode="General">
                  <c:v>50</c:v>
                </c:pt>
                <c:pt idx="1015" formatCode="General">
                  <c:v>38</c:v>
                </c:pt>
                <c:pt idx="1016" formatCode="General">
                  <c:v>16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B26-4D0F-AB5C-349100C36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B26-4D0F-AB5C-349100C36C1B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B26-4D0F-AB5C-349100C36C1B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6B26-4D0F-AB5C-349100C36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Spacing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1.6445554061839833E-2"/>
              <c:y val="0.39477144144860676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9.6355418987260744E-2"/>
          <c:y val="0.94255574113841811"/>
          <c:w val="0.840894821074195"/>
          <c:h val="5.0451284498528592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RMR76 vs GSI </a:t>
            </a:r>
          </a:p>
        </c:rich>
      </c:tx>
      <c:layout>
        <c:manualLayout>
          <c:xMode val="edge"/>
          <c:yMode val="edge"/>
          <c:x val="0.38458329072502301"/>
          <c:y val="1.0825114265095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695861880901252"/>
          <c:y val="5.4602141535291006E-2"/>
          <c:w val="0.86718137505539084"/>
          <c:h val="0.85305745550148782"/>
        </c:manualLayout>
      </c:layout>
      <c:scatterChart>
        <c:scatterStyle val="lineMarker"/>
        <c:varyColors val="0"/>
        <c:ser>
          <c:idx val="0"/>
          <c:order val="0"/>
          <c:tx>
            <c:v>Correlation RMR76 vs GSI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4048075976602179E-2"/>
                  <c:y val="-4.6391936068710421E-2"/>
                </c:manualLayout>
              </c:layout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'2. Logging Brejo Seco'!$BQ$3:$BQ$1019</c:f>
              <c:numCache>
                <c:formatCode>0</c:formatCode>
                <c:ptCount val="101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48</c:v>
                </c:pt>
                <c:pt idx="7">
                  <c:v>64</c:v>
                </c:pt>
                <c:pt idx="8">
                  <c:v>22</c:v>
                </c:pt>
                <c:pt idx="9">
                  <c:v>43</c:v>
                </c:pt>
                <c:pt idx="10">
                  <c:v>30</c:v>
                </c:pt>
                <c:pt idx="11">
                  <c:v>33</c:v>
                </c:pt>
                <c:pt idx="12">
                  <c:v>20</c:v>
                </c:pt>
                <c:pt idx="13">
                  <c:v>31</c:v>
                </c:pt>
                <c:pt idx="14">
                  <c:v>37</c:v>
                </c:pt>
                <c:pt idx="15">
                  <c:v>47</c:v>
                </c:pt>
                <c:pt idx="16">
                  <c:v>52</c:v>
                </c:pt>
                <c:pt idx="17">
                  <c:v>32</c:v>
                </c:pt>
                <c:pt idx="18">
                  <c:v>42</c:v>
                </c:pt>
                <c:pt idx="19">
                  <c:v>49</c:v>
                </c:pt>
                <c:pt idx="20">
                  <c:v>31</c:v>
                </c:pt>
                <c:pt idx="21">
                  <c:v>23</c:v>
                </c:pt>
                <c:pt idx="22">
                  <c:v>34</c:v>
                </c:pt>
                <c:pt idx="23">
                  <c:v>44</c:v>
                </c:pt>
                <c:pt idx="24">
                  <c:v>43</c:v>
                </c:pt>
                <c:pt idx="25">
                  <c:v>37</c:v>
                </c:pt>
                <c:pt idx="26">
                  <c:v>27</c:v>
                </c:pt>
                <c:pt idx="27">
                  <c:v>31</c:v>
                </c:pt>
                <c:pt idx="28">
                  <c:v>41</c:v>
                </c:pt>
                <c:pt idx="29">
                  <c:v>42</c:v>
                </c:pt>
                <c:pt idx="30">
                  <c:v>30</c:v>
                </c:pt>
                <c:pt idx="31">
                  <c:v>41</c:v>
                </c:pt>
                <c:pt idx="32">
                  <c:v>35</c:v>
                </c:pt>
                <c:pt idx="33">
                  <c:v>23</c:v>
                </c:pt>
                <c:pt idx="34">
                  <c:v>22</c:v>
                </c:pt>
                <c:pt idx="35">
                  <c:v>21</c:v>
                </c:pt>
                <c:pt idx="36">
                  <c:v>22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34</c:v>
                </c:pt>
                <c:pt idx="41">
                  <c:v>27</c:v>
                </c:pt>
                <c:pt idx="42">
                  <c:v>28</c:v>
                </c:pt>
                <c:pt idx="43">
                  <c:v>47</c:v>
                </c:pt>
                <c:pt idx="44">
                  <c:v>52</c:v>
                </c:pt>
                <c:pt idx="45">
                  <c:v>74</c:v>
                </c:pt>
                <c:pt idx="46">
                  <c:v>57</c:v>
                </c:pt>
                <c:pt idx="47">
                  <c:v>72</c:v>
                </c:pt>
                <c:pt idx="48">
                  <c:v>47</c:v>
                </c:pt>
                <c:pt idx="49">
                  <c:v>45</c:v>
                </c:pt>
                <c:pt idx="50">
                  <c:v>46</c:v>
                </c:pt>
                <c:pt idx="51">
                  <c:v>65</c:v>
                </c:pt>
                <c:pt idx="52">
                  <c:v>66</c:v>
                </c:pt>
                <c:pt idx="53">
                  <c:v>58</c:v>
                </c:pt>
                <c:pt idx="54">
                  <c:v>65</c:v>
                </c:pt>
                <c:pt idx="55">
                  <c:v>66</c:v>
                </c:pt>
                <c:pt idx="56">
                  <c:v>64</c:v>
                </c:pt>
                <c:pt idx="57">
                  <c:v>55</c:v>
                </c:pt>
                <c:pt idx="58">
                  <c:v>48</c:v>
                </c:pt>
                <c:pt idx="59">
                  <c:v>51</c:v>
                </c:pt>
                <c:pt idx="60">
                  <c:v>73</c:v>
                </c:pt>
                <c:pt idx="61">
                  <c:v>58</c:v>
                </c:pt>
                <c:pt idx="62">
                  <c:v>50</c:v>
                </c:pt>
                <c:pt idx="63">
                  <c:v>33</c:v>
                </c:pt>
                <c:pt idx="64">
                  <c:v>50</c:v>
                </c:pt>
                <c:pt idx="65">
                  <c:v>46</c:v>
                </c:pt>
                <c:pt idx="66">
                  <c:v>33</c:v>
                </c:pt>
                <c:pt idx="67">
                  <c:v>44</c:v>
                </c:pt>
                <c:pt idx="68">
                  <c:v>46</c:v>
                </c:pt>
                <c:pt idx="69">
                  <c:v>42</c:v>
                </c:pt>
                <c:pt idx="70">
                  <c:v>19</c:v>
                </c:pt>
                <c:pt idx="71">
                  <c:v>43</c:v>
                </c:pt>
                <c:pt idx="72">
                  <c:v>50</c:v>
                </c:pt>
                <c:pt idx="73">
                  <c:v>35</c:v>
                </c:pt>
                <c:pt idx="74">
                  <c:v>44</c:v>
                </c:pt>
                <c:pt idx="75">
                  <c:v>44</c:v>
                </c:pt>
                <c:pt idx="76">
                  <c:v>35</c:v>
                </c:pt>
                <c:pt idx="77">
                  <c:v>41</c:v>
                </c:pt>
                <c:pt idx="78">
                  <c:v>29</c:v>
                </c:pt>
                <c:pt idx="79">
                  <c:v>29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32</c:v>
                </c:pt>
                <c:pt idx="85">
                  <c:v>27</c:v>
                </c:pt>
                <c:pt idx="86">
                  <c:v>47</c:v>
                </c:pt>
                <c:pt idx="87">
                  <c:v>33</c:v>
                </c:pt>
                <c:pt idx="88">
                  <c:v>32</c:v>
                </c:pt>
                <c:pt idx="89">
                  <c:v>25</c:v>
                </c:pt>
                <c:pt idx="90">
                  <c:v>31</c:v>
                </c:pt>
                <c:pt idx="91">
                  <c:v>25</c:v>
                </c:pt>
                <c:pt idx="92">
                  <c:v>38</c:v>
                </c:pt>
                <c:pt idx="93">
                  <c:v>63</c:v>
                </c:pt>
                <c:pt idx="94">
                  <c:v>34</c:v>
                </c:pt>
                <c:pt idx="95">
                  <c:v>26</c:v>
                </c:pt>
                <c:pt idx="96">
                  <c:v>26</c:v>
                </c:pt>
                <c:pt idx="97">
                  <c:v>45</c:v>
                </c:pt>
                <c:pt idx="98">
                  <c:v>36</c:v>
                </c:pt>
                <c:pt idx="99">
                  <c:v>36</c:v>
                </c:pt>
                <c:pt idx="100">
                  <c:v>35</c:v>
                </c:pt>
                <c:pt idx="101">
                  <c:v>31</c:v>
                </c:pt>
                <c:pt idx="102">
                  <c:v>23</c:v>
                </c:pt>
                <c:pt idx="103">
                  <c:v>29</c:v>
                </c:pt>
                <c:pt idx="104">
                  <c:v>18</c:v>
                </c:pt>
                <c:pt idx="105">
                  <c:v>18</c:v>
                </c:pt>
                <c:pt idx="106">
                  <c:v>57</c:v>
                </c:pt>
                <c:pt idx="107">
                  <c:v>48</c:v>
                </c:pt>
                <c:pt idx="108">
                  <c:v>53</c:v>
                </c:pt>
                <c:pt idx="109">
                  <c:v>41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32</c:v>
                </c:pt>
                <c:pt idx="122">
                  <c:v>22</c:v>
                </c:pt>
                <c:pt idx="123">
                  <c:v>22</c:v>
                </c:pt>
                <c:pt idx="124">
                  <c:v>24</c:v>
                </c:pt>
                <c:pt idx="125">
                  <c:v>32</c:v>
                </c:pt>
                <c:pt idx="126">
                  <c:v>23</c:v>
                </c:pt>
                <c:pt idx="127">
                  <c:v>19</c:v>
                </c:pt>
                <c:pt idx="128">
                  <c:v>29</c:v>
                </c:pt>
                <c:pt idx="129">
                  <c:v>23</c:v>
                </c:pt>
                <c:pt idx="130">
                  <c:v>36</c:v>
                </c:pt>
                <c:pt idx="131">
                  <c:v>47</c:v>
                </c:pt>
                <c:pt idx="132">
                  <c:v>28</c:v>
                </c:pt>
                <c:pt idx="133">
                  <c:v>28</c:v>
                </c:pt>
                <c:pt idx="134">
                  <c:v>39</c:v>
                </c:pt>
                <c:pt idx="135">
                  <c:v>54</c:v>
                </c:pt>
                <c:pt idx="136">
                  <c:v>35</c:v>
                </c:pt>
                <c:pt idx="137">
                  <c:v>24</c:v>
                </c:pt>
                <c:pt idx="138">
                  <c:v>30</c:v>
                </c:pt>
                <c:pt idx="139">
                  <c:v>24</c:v>
                </c:pt>
                <c:pt idx="140">
                  <c:v>24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19</c:v>
                </c:pt>
                <c:pt idx="147">
                  <c:v>17</c:v>
                </c:pt>
                <c:pt idx="148">
                  <c:v>17</c:v>
                </c:pt>
                <c:pt idx="149">
                  <c:v>16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17</c:v>
                </c:pt>
                <c:pt idx="161">
                  <c:v>17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17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23</c:v>
                </c:pt>
                <c:pt idx="180">
                  <c:v>24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27</c:v>
                </c:pt>
                <c:pt idx="186">
                  <c:v>17</c:v>
                </c:pt>
                <c:pt idx="187">
                  <c:v>19</c:v>
                </c:pt>
                <c:pt idx="188">
                  <c:v>19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30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28</c:v>
                </c:pt>
                <c:pt idx="206">
                  <c:v>28</c:v>
                </c:pt>
                <c:pt idx="207">
                  <c:v>24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23</c:v>
                </c:pt>
                <c:pt idx="212">
                  <c:v>21</c:v>
                </c:pt>
                <c:pt idx="213">
                  <c:v>34</c:v>
                </c:pt>
                <c:pt idx="214">
                  <c:v>24</c:v>
                </c:pt>
                <c:pt idx="215">
                  <c:v>21</c:v>
                </c:pt>
                <c:pt idx="216">
                  <c:v>30</c:v>
                </c:pt>
                <c:pt idx="217">
                  <c:v>22</c:v>
                </c:pt>
                <c:pt idx="218">
                  <c:v>30</c:v>
                </c:pt>
                <c:pt idx="219">
                  <c:v>30</c:v>
                </c:pt>
                <c:pt idx="220">
                  <c:v>33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24</c:v>
                </c:pt>
                <c:pt idx="227">
                  <c:v>23</c:v>
                </c:pt>
                <c:pt idx="228">
                  <c:v>23</c:v>
                </c:pt>
                <c:pt idx="229">
                  <c:v>30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23</c:v>
                </c:pt>
                <c:pt idx="239">
                  <c:v>24</c:v>
                </c:pt>
                <c:pt idx="240">
                  <c:v>29</c:v>
                </c:pt>
                <c:pt idx="241">
                  <c:v>19</c:v>
                </c:pt>
                <c:pt idx="242">
                  <c:v>19</c:v>
                </c:pt>
                <c:pt idx="243">
                  <c:v>22</c:v>
                </c:pt>
                <c:pt idx="244">
                  <c:v>24</c:v>
                </c:pt>
                <c:pt idx="245">
                  <c:v>27</c:v>
                </c:pt>
                <c:pt idx="246">
                  <c:v>26</c:v>
                </c:pt>
                <c:pt idx="247">
                  <c:v>35</c:v>
                </c:pt>
                <c:pt idx="248">
                  <c:v>18</c:v>
                </c:pt>
                <c:pt idx="249">
                  <c:v>17</c:v>
                </c:pt>
                <c:pt idx="250">
                  <c:v>17</c:v>
                </c:pt>
                <c:pt idx="251">
                  <c:v>22</c:v>
                </c:pt>
                <c:pt idx="252">
                  <c:v>17</c:v>
                </c:pt>
                <c:pt idx="253">
                  <c:v>15</c:v>
                </c:pt>
                <c:pt idx="254">
                  <c:v>17</c:v>
                </c:pt>
                <c:pt idx="255">
                  <c:v>15</c:v>
                </c:pt>
                <c:pt idx="256">
                  <c:v>32</c:v>
                </c:pt>
                <c:pt idx="257">
                  <c:v>29</c:v>
                </c:pt>
                <c:pt idx="258">
                  <c:v>26</c:v>
                </c:pt>
                <c:pt idx="259">
                  <c:v>28</c:v>
                </c:pt>
                <c:pt idx="260">
                  <c:v>27</c:v>
                </c:pt>
                <c:pt idx="261">
                  <c:v>23</c:v>
                </c:pt>
                <c:pt idx="262">
                  <c:v>22</c:v>
                </c:pt>
                <c:pt idx="263">
                  <c:v>35</c:v>
                </c:pt>
                <c:pt idx="264">
                  <c:v>21</c:v>
                </c:pt>
                <c:pt idx="265">
                  <c:v>36</c:v>
                </c:pt>
                <c:pt idx="266">
                  <c:v>20</c:v>
                </c:pt>
                <c:pt idx="267">
                  <c:v>29</c:v>
                </c:pt>
                <c:pt idx="268">
                  <c:v>29</c:v>
                </c:pt>
                <c:pt idx="269">
                  <c:v>20</c:v>
                </c:pt>
                <c:pt idx="270">
                  <c:v>23</c:v>
                </c:pt>
                <c:pt idx="271">
                  <c:v>32</c:v>
                </c:pt>
                <c:pt idx="272">
                  <c:v>36</c:v>
                </c:pt>
                <c:pt idx="273">
                  <c:v>20</c:v>
                </c:pt>
                <c:pt idx="274">
                  <c:v>44</c:v>
                </c:pt>
                <c:pt idx="275">
                  <c:v>44</c:v>
                </c:pt>
                <c:pt idx="276">
                  <c:v>59</c:v>
                </c:pt>
                <c:pt idx="277">
                  <c:v>48</c:v>
                </c:pt>
                <c:pt idx="278">
                  <c:v>46</c:v>
                </c:pt>
                <c:pt idx="279">
                  <c:v>46</c:v>
                </c:pt>
                <c:pt idx="280">
                  <c:v>47</c:v>
                </c:pt>
                <c:pt idx="281">
                  <c:v>49</c:v>
                </c:pt>
                <c:pt idx="282">
                  <c:v>56</c:v>
                </c:pt>
                <c:pt idx="283">
                  <c:v>52</c:v>
                </c:pt>
                <c:pt idx="284">
                  <c:v>56</c:v>
                </c:pt>
                <c:pt idx="285">
                  <c:v>61</c:v>
                </c:pt>
                <c:pt idx="286">
                  <c:v>56</c:v>
                </c:pt>
                <c:pt idx="287">
                  <c:v>48</c:v>
                </c:pt>
                <c:pt idx="288">
                  <c:v>33</c:v>
                </c:pt>
                <c:pt idx="289">
                  <c:v>38</c:v>
                </c:pt>
                <c:pt idx="290">
                  <c:v>40</c:v>
                </c:pt>
                <c:pt idx="291">
                  <c:v>28</c:v>
                </c:pt>
                <c:pt idx="292">
                  <c:v>29</c:v>
                </c:pt>
                <c:pt idx="293">
                  <c:v>27</c:v>
                </c:pt>
                <c:pt idx="294">
                  <c:v>32</c:v>
                </c:pt>
                <c:pt idx="295">
                  <c:v>37</c:v>
                </c:pt>
                <c:pt idx="296">
                  <c:v>56</c:v>
                </c:pt>
                <c:pt idx="297">
                  <c:v>42</c:v>
                </c:pt>
                <c:pt idx="298">
                  <c:v>22</c:v>
                </c:pt>
                <c:pt idx="299">
                  <c:v>38</c:v>
                </c:pt>
                <c:pt idx="300">
                  <c:v>27</c:v>
                </c:pt>
                <c:pt idx="301">
                  <c:v>21</c:v>
                </c:pt>
                <c:pt idx="302">
                  <c:v>21</c:v>
                </c:pt>
                <c:pt idx="303">
                  <c:v>44</c:v>
                </c:pt>
                <c:pt idx="304">
                  <c:v>26</c:v>
                </c:pt>
                <c:pt idx="305">
                  <c:v>25</c:v>
                </c:pt>
                <c:pt idx="306">
                  <c:v>47</c:v>
                </c:pt>
                <c:pt idx="307">
                  <c:v>43</c:v>
                </c:pt>
                <c:pt idx="308">
                  <c:v>43</c:v>
                </c:pt>
                <c:pt idx="309">
                  <c:v>51</c:v>
                </c:pt>
                <c:pt idx="310">
                  <c:v>39</c:v>
                </c:pt>
                <c:pt idx="311">
                  <c:v>31</c:v>
                </c:pt>
                <c:pt idx="312">
                  <c:v>52</c:v>
                </c:pt>
                <c:pt idx="313">
                  <c:v>48</c:v>
                </c:pt>
                <c:pt idx="314">
                  <c:v>42</c:v>
                </c:pt>
                <c:pt idx="315">
                  <c:v>24</c:v>
                </c:pt>
                <c:pt idx="316">
                  <c:v>23</c:v>
                </c:pt>
                <c:pt idx="317">
                  <c:v>18</c:v>
                </c:pt>
                <c:pt idx="318">
                  <c:v>18</c:v>
                </c:pt>
                <c:pt idx="319">
                  <c:v>19</c:v>
                </c:pt>
                <c:pt idx="320">
                  <c:v>21</c:v>
                </c:pt>
                <c:pt idx="321">
                  <c:v>21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23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23</c:v>
                </c:pt>
                <c:pt idx="349">
                  <c:v>23</c:v>
                </c:pt>
                <c:pt idx="350" formatCode="0.0">
                  <c:v>15</c:v>
                </c:pt>
                <c:pt idx="351" formatCode="0.0">
                  <c:v>15</c:v>
                </c:pt>
                <c:pt idx="352" formatCode="0.0">
                  <c:v>15</c:v>
                </c:pt>
                <c:pt idx="353" formatCode="0.0">
                  <c:v>33</c:v>
                </c:pt>
                <c:pt idx="354" formatCode="0.0">
                  <c:v>41</c:v>
                </c:pt>
                <c:pt idx="356" formatCode="0.0">
                  <c:v>30</c:v>
                </c:pt>
                <c:pt idx="357" formatCode="0.0">
                  <c:v>13</c:v>
                </c:pt>
                <c:pt idx="358" formatCode="0.0">
                  <c:v>17</c:v>
                </c:pt>
                <c:pt idx="359" formatCode="0.0">
                  <c:v>18</c:v>
                </c:pt>
                <c:pt idx="360" formatCode="0.0">
                  <c:v>17</c:v>
                </c:pt>
                <c:pt idx="361" formatCode="0.0">
                  <c:v>20</c:v>
                </c:pt>
                <c:pt idx="362" formatCode="0.0">
                  <c:v>19</c:v>
                </c:pt>
                <c:pt idx="363" formatCode="0.0">
                  <c:v>21</c:v>
                </c:pt>
                <c:pt idx="364" formatCode="0.0">
                  <c:v>17</c:v>
                </c:pt>
                <c:pt idx="365" formatCode="0.0">
                  <c:v>17</c:v>
                </c:pt>
                <c:pt idx="366" formatCode="0.0">
                  <c:v>17</c:v>
                </c:pt>
                <c:pt idx="367" formatCode="0.0">
                  <c:v>26</c:v>
                </c:pt>
                <c:pt idx="368" formatCode="0.0">
                  <c:v>23</c:v>
                </c:pt>
                <c:pt idx="369" formatCode="0.0">
                  <c:v>19</c:v>
                </c:pt>
                <c:pt idx="370" formatCode="0.0">
                  <c:v>24</c:v>
                </c:pt>
                <c:pt idx="371" formatCode="0.0">
                  <c:v>24</c:v>
                </c:pt>
                <c:pt idx="372" formatCode="0.0">
                  <c:v>19</c:v>
                </c:pt>
                <c:pt idx="373" formatCode="0.0">
                  <c:v>28</c:v>
                </c:pt>
                <c:pt idx="374" formatCode="0.0">
                  <c:v>18</c:v>
                </c:pt>
                <c:pt idx="375" formatCode="0.0">
                  <c:v>30</c:v>
                </c:pt>
                <c:pt idx="376" formatCode="0.0">
                  <c:v>23</c:v>
                </c:pt>
                <c:pt idx="377" formatCode="0.0">
                  <c:v>18</c:v>
                </c:pt>
                <c:pt idx="378" formatCode="0.0">
                  <c:v>21</c:v>
                </c:pt>
                <c:pt idx="379" formatCode="0.0">
                  <c:v>17</c:v>
                </c:pt>
                <c:pt idx="380" formatCode="0.0">
                  <c:v>18</c:v>
                </c:pt>
                <c:pt idx="381" formatCode="0.0">
                  <c:v>18</c:v>
                </c:pt>
                <c:pt idx="382" formatCode="0.0">
                  <c:v>16</c:v>
                </c:pt>
                <c:pt idx="383" formatCode="0.0">
                  <c:v>16</c:v>
                </c:pt>
                <c:pt idx="384" formatCode="0.0">
                  <c:v>16</c:v>
                </c:pt>
                <c:pt idx="385" formatCode="0.0">
                  <c:v>16</c:v>
                </c:pt>
                <c:pt idx="386" formatCode="0.0">
                  <c:v>17</c:v>
                </c:pt>
                <c:pt idx="387" formatCode="0.0">
                  <c:v>17</c:v>
                </c:pt>
                <c:pt idx="388" formatCode="0.0">
                  <c:v>17</c:v>
                </c:pt>
                <c:pt idx="389" formatCode="0.0">
                  <c:v>18</c:v>
                </c:pt>
                <c:pt idx="390" formatCode="0.0">
                  <c:v>19</c:v>
                </c:pt>
                <c:pt idx="391" formatCode="0.0">
                  <c:v>25</c:v>
                </c:pt>
                <c:pt idx="392" formatCode="0.0">
                  <c:v>18</c:v>
                </c:pt>
                <c:pt idx="393" formatCode="0.0">
                  <c:v>29</c:v>
                </c:pt>
                <c:pt idx="394" formatCode="0.0">
                  <c:v>24</c:v>
                </c:pt>
                <c:pt idx="395" formatCode="0.0">
                  <c:v>21</c:v>
                </c:pt>
                <c:pt idx="396" formatCode="0.0">
                  <c:v>23</c:v>
                </c:pt>
                <c:pt idx="397" formatCode="0.0">
                  <c:v>30</c:v>
                </c:pt>
                <c:pt idx="398" formatCode="0.0">
                  <c:v>28</c:v>
                </c:pt>
                <c:pt idx="399" formatCode="0.0">
                  <c:v>25</c:v>
                </c:pt>
                <c:pt idx="400" formatCode="0.0">
                  <c:v>28</c:v>
                </c:pt>
                <c:pt idx="401" formatCode="0.0">
                  <c:v>28</c:v>
                </c:pt>
                <c:pt idx="402" formatCode="0.0">
                  <c:v>27</c:v>
                </c:pt>
                <c:pt idx="403" formatCode="0.0">
                  <c:v>30</c:v>
                </c:pt>
                <c:pt idx="404" formatCode="0.0">
                  <c:v>27</c:v>
                </c:pt>
                <c:pt idx="405" formatCode="0.0">
                  <c:v>27</c:v>
                </c:pt>
                <c:pt idx="406" formatCode="0.0">
                  <c:v>29</c:v>
                </c:pt>
                <c:pt idx="407" formatCode="0.0">
                  <c:v>26</c:v>
                </c:pt>
                <c:pt idx="408" formatCode="0.0">
                  <c:v>26</c:v>
                </c:pt>
                <c:pt idx="409" formatCode="0.0">
                  <c:v>26</c:v>
                </c:pt>
                <c:pt idx="410" formatCode="0.0">
                  <c:v>26</c:v>
                </c:pt>
                <c:pt idx="411" formatCode="0.0">
                  <c:v>19</c:v>
                </c:pt>
                <c:pt idx="412" formatCode="0.0">
                  <c:v>20</c:v>
                </c:pt>
                <c:pt idx="413" formatCode="0.0">
                  <c:v>17</c:v>
                </c:pt>
                <c:pt idx="414" formatCode="0.0">
                  <c:v>24</c:v>
                </c:pt>
                <c:pt idx="415" formatCode="0.0">
                  <c:v>14</c:v>
                </c:pt>
                <c:pt idx="416" formatCode="0.0">
                  <c:v>20</c:v>
                </c:pt>
                <c:pt idx="417" formatCode="0.0">
                  <c:v>27</c:v>
                </c:pt>
                <c:pt idx="418" formatCode="0.0">
                  <c:v>24</c:v>
                </c:pt>
                <c:pt idx="419" formatCode="0.0">
                  <c:v>30</c:v>
                </c:pt>
                <c:pt idx="420" formatCode="0.0">
                  <c:v>36</c:v>
                </c:pt>
                <c:pt idx="421" formatCode="0.0">
                  <c:v>30</c:v>
                </c:pt>
                <c:pt idx="422" formatCode="0.0">
                  <c:v>21</c:v>
                </c:pt>
                <c:pt idx="423" formatCode="0.0">
                  <c:v>23</c:v>
                </c:pt>
                <c:pt idx="424" formatCode="0.0">
                  <c:v>28</c:v>
                </c:pt>
                <c:pt idx="425" formatCode="0.0">
                  <c:v>26</c:v>
                </c:pt>
                <c:pt idx="426" formatCode="0.0">
                  <c:v>24</c:v>
                </c:pt>
                <c:pt idx="427" formatCode="0.0">
                  <c:v>33</c:v>
                </c:pt>
                <c:pt idx="428" formatCode="0.0">
                  <c:v>27</c:v>
                </c:pt>
                <c:pt idx="429" formatCode="0.0">
                  <c:v>23</c:v>
                </c:pt>
                <c:pt idx="430" formatCode="0.0">
                  <c:v>30</c:v>
                </c:pt>
                <c:pt idx="431" formatCode="0.0">
                  <c:v>32</c:v>
                </c:pt>
                <c:pt idx="432" formatCode="0.0">
                  <c:v>32</c:v>
                </c:pt>
                <c:pt idx="433" formatCode="0.0">
                  <c:v>24</c:v>
                </c:pt>
                <c:pt idx="434" formatCode="0.0">
                  <c:v>29</c:v>
                </c:pt>
                <c:pt idx="435" formatCode="0.0">
                  <c:v>24</c:v>
                </c:pt>
                <c:pt idx="436" formatCode="0.0">
                  <c:v>29</c:v>
                </c:pt>
                <c:pt idx="437" formatCode="0.0">
                  <c:v>23</c:v>
                </c:pt>
                <c:pt idx="438" formatCode="0.0">
                  <c:v>26</c:v>
                </c:pt>
                <c:pt idx="439" formatCode="0.0">
                  <c:v>29</c:v>
                </c:pt>
                <c:pt idx="440" formatCode="0.0">
                  <c:v>30</c:v>
                </c:pt>
                <c:pt idx="441" formatCode="0.0">
                  <c:v>20</c:v>
                </c:pt>
                <c:pt idx="442" formatCode="0.0">
                  <c:v>22</c:v>
                </c:pt>
                <c:pt idx="443" formatCode="0.0">
                  <c:v>20</c:v>
                </c:pt>
                <c:pt idx="444" formatCode="0.0">
                  <c:v>28</c:v>
                </c:pt>
                <c:pt idx="445" formatCode="0.0">
                  <c:v>29</c:v>
                </c:pt>
                <c:pt idx="446" formatCode="0.0">
                  <c:v>17</c:v>
                </c:pt>
                <c:pt idx="447" formatCode="0.0">
                  <c:v>17</c:v>
                </c:pt>
                <c:pt idx="448" formatCode="0.0">
                  <c:v>17</c:v>
                </c:pt>
                <c:pt idx="449" formatCode="0.0">
                  <c:v>17</c:v>
                </c:pt>
                <c:pt idx="450" formatCode="0.0">
                  <c:v>23</c:v>
                </c:pt>
                <c:pt idx="451" formatCode="0.0">
                  <c:v>34</c:v>
                </c:pt>
                <c:pt idx="452" formatCode="0.0">
                  <c:v>35</c:v>
                </c:pt>
                <c:pt idx="453" formatCode="0.0">
                  <c:v>31</c:v>
                </c:pt>
                <c:pt idx="454" formatCode="0.0">
                  <c:v>25</c:v>
                </c:pt>
                <c:pt idx="455" formatCode="0.0">
                  <c:v>19</c:v>
                </c:pt>
                <c:pt idx="456" formatCode="0.0">
                  <c:v>34</c:v>
                </c:pt>
                <c:pt idx="458" formatCode="0.0">
                  <c:v>22</c:v>
                </c:pt>
                <c:pt idx="459" formatCode="0.0">
                  <c:v>33</c:v>
                </c:pt>
                <c:pt idx="460" formatCode="0.0">
                  <c:v>26</c:v>
                </c:pt>
                <c:pt idx="461" formatCode="0.0">
                  <c:v>30</c:v>
                </c:pt>
                <c:pt idx="462" formatCode="0.0">
                  <c:v>27</c:v>
                </c:pt>
                <c:pt idx="463" formatCode="0.0">
                  <c:v>20</c:v>
                </c:pt>
                <c:pt idx="464" formatCode="0.0">
                  <c:v>34</c:v>
                </c:pt>
                <c:pt idx="465" formatCode="0.0">
                  <c:v>32</c:v>
                </c:pt>
                <c:pt idx="466" formatCode="0.0">
                  <c:v>35</c:v>
                </c:pt>
                <c:pt idx="467" formatCode="0.0">
                  <c:v>21</c:v>
                </c:pt>
                <c:pt idx="468" formatCode="0.0">
                  <c:v>23</c:v>
                </c:pt>
                <c:pt idx="469" formatCode="0.0">
                  <c:v>24</c:v>
                </c:pt>
                <c:pt idx="470" formatCode="0.0">
                  <c:v>#N/A</c:v>
                </c:pt>
                <c:pt idx="471" formatCode="0.0">
                  <c:v>0</c:v>
                </c:pt>
                <c:pt idx="472" formatCode="0.0">
                  <c:v>0</c:v>
                </c:pt>
                <c:pt idx="473" formatCode="0.0">
                  <c:v>0</c:v>
                </c:pt>
                <c:pt idx="474" formatCode="0.0">
                  <c:v>0</c:v>
                </c:pt>
                <c:pt idx="475" formatCode="0.0">
                  <c:v>0</c:v>
                </c:pt>
                <c:pt idx="476" formatCode="0.0">
                  <c:v>0</c:v>
                </c:pt>
                <c:pt idx="477" formatCode="0.0">
                  <c:v>0</c:v>
                </c:pt>
                <c:pt idx="478" formatCode="0.0">
                  <c:v>0</c:v>
                </c:pt>
                <c:pt idx="479" formatCode="0.0">
                  <c:v>0</c:v>
                </c:pt>
                <c:pt idx="480" formatCode="0.0">
                  <c:v>0</c:v>
                </c:pt>
                <c:pt idx="481" formatCode="0.0">
                  <c:v>0</c:v>
                </c:pt>
                <c:pt idx="482" formatCode="0.0">
                  <c:v>0</c:v>
                </c:pt>
                <c:pt idx="483" formatCode="0.0">
                  <c:v>0</c:v>
                </c:pt>
                <c:pt idx="484" formatCode="0.0">
                  <c:v>0</c:v>
                </c:pt>
                <c:pt idx="485" formatCode="0.0">
                  <c:v>#N/A</c:v>
                </c:pt>
                <c:pt idx="486" formatCode="0.0">
                  <c:v>#N/A</c:v>
                </c:pt>
                <c:pt idx="487" formatCode="0.0">
                  <c:v>0</c:v>
                </c:pt>
                <c:pt idx="488" formatCode="0.0">
                  <c:v>0</c:v>
                </c:pt>
                <c:pt idx="489" formatCode="0.0">
                  <c:v>0</c:v>
                </c:pt>
                <c:pt idx="490" formatCode="0.0">
                  <c:v>0</c:v>
                </c:pt>
                <c:pt idx="491" formatCode="0.0">
                  <c:v>#N/A</c:v>
                </c:pt>
                <c:pt idx="492" formatCode="0.0">
                  <c:v>#N/A</c:v>
                </c:pt>
                <c:pt idx="493" formatCode="0.0">
                  <c:v>#N/A</c:v>
                </c:pt>
                <c:pt idx="494" formatCode="0.0">
                  <c:v>#N/A</c:v>
                </c:pt>
                <c:pt idx="495" formatCode="0.0">
                  <c:v>#N/A</c:v>
                </c:pt>
                <c:pt idx="496" formatCode="0.0">
                  <c:v>#N/A</c:v>
                </c:pt>
                <c:pt idx="497" formatCode="0.0">
                  <c:v>#N/A</c:v>
                </c:pt>
                <c:pt idx="498" formatCode="0.0">
                  <c:v>#N/A</c:v>
                </c:pt>
                <c:pt idx="499" formatCode="0.0">
                  <c:v>#N/A</c:v>
                </c:pt>
                <c:pt idx="500" formatCode="0.0">
                  <c:v>#N/A</c:v>
                </c:pt>
                <c:pt idx="501" formatCode="0.0">
                  <c:v>#N/A</c:v>
                </c:pt>
                <c:pt idx="502" formatCode="0.0">
                  <c:v>#N/A</c:v>
                </c:pt>
                <c:pt idx="503" formatCode="0.0">
                  <c:v>#N/A</c:v>
                </c:pt>
                <c:pt idx="504" formatCode="0.0">
                  <c:v>#N/A</c:v>
                </c:pt>
                <c:pt idx="505">
                  <c:v>30</c:v>
                </c:pt>
                <c:pt idx="506">
                  <c:v>19</c:v>
                </c:pt>
                <c:pt idx="507">
                  <c:v>21</c:v>
                </c:pt>
                <c:pt idx="508">
                  <c:v>19</c:v>
                </c:pt>
                <c:pt idx="509">
                  <c:v>26</c:v>
                </c:pt>
                <c:pt idx="510">
                  <c:v>31</c:v>
                </c:pt>
                <c:pt idx="511">
                  <c:v>26</c:v>
                </c:pt>
                <c:pt idx="512">
                  <c:v>32</c:v>
                </c:pt>
                <c:pt idx="513">
                  <c:v>51</c:v>
                </c:pt>
                <c:pt idx="514">
                  <c:v>24</c:v>
                </c:pt>
                <c:pt idx="515">
                  <c:v>20</c:v>
                </c:pt>
                <c:pt idx="516">
                  <c:v>19</c:v>
                </c:pt>
                <c:pt idx="517">
                  <c:v>30</c:v>
                </c:pt>
                <c:pt idx="518">
                  <c:v>43</c:v>
                </c:pt>
                <c:pt idx="519">
                  <c:v>42</c:v>
                </c:pt>
                <c:pt idx="520">
                  <c:v>51</c:v>
                </c:pt>
                <c:pt idx="521">
                  <c:v>42</c:v>
                </c:pt>
                <c:pt idx="522">
                  <c:v>28</c:v>
                </c:pt>
                <c:pt idx="523">
                  <c:v>26</c:v>
                </c:pt>
                <c:pt idx="524">
                  <c:v>27</c:v>
                </c:pt>
                <c:pt idx="525">
                  <c:v>27</c:v>
                </c:pt>
                <c:pt idx="526">
                  <c:v>21</c:v>
                </c:pt>
                <c:pt idx="527">
                  <c:v>30</c:v>
                </c:pt>
                <c:pt idx="528">
                  <c:v>27</c:v>
                </c:pt>
                <c:pt idx="529">
                  <c:v>24</c:v>
                </c:pt>
                <c:pt idx="530">
                  <c:v>30</c:v>
                </c:pt>
                <c:pt idx="531">
                  <c:v>56</c:v>
                </c:pt>
                <c:pt idx="532">
                  <c:v>38</c:v>
                </c:pt>
                <c:pt idx="533">
                  <c:v>50</c:v>
                </c:pt>
                <c:pt idx="534">
                  <c:v>27</c:v>
                </c:pt>
                <c:pt idx="535">
                  <c:v>18</c:v>
                </c:pt>
                <c:pt idx="536">
                  <c:v>37</c:v>
                </c:pt>
                <c:pt idx="537">
                  <c:v>17</c:v>
                </c:pt>
                <c:pt idx="538">
                  <c:v>14</c:v>
                </c:pt>
                <c:pt idx="539">
                  <c:v>21</c:v>
                </c:pt>
                <c:pt idx="540">
                  <c:v>29</c:v>
                </c:pt>
                <c:pt idx="541">
                  <c:v>28</c:v>
                </c:pt>
                <c:pt idx="542">
                  <c:v>25</c:v>
                </c:pt>
                <c:pt idx="543">
                  <c:v>33</c:v>
                </c:pt>
                <c:pt idx="544">
                  <c:v>19</c:v>
                </c:pt>
                <c:pt idx="545">
                  <c:v>27</c:v>
                </c:pt>
                <c:pt idx="546">
                  <c:v>38</c:v>
                </c:pt>
                <c:pt idx="547">
                  <c:v>34</c:v>
                </c:pt>
                <c:pt idx="548">
                  <c:v>39</c:v>
                </c:pt>
                <c:pt idx="549">
                  <c:v>34</c:v>
                </c:pt>
                <c:pt idx="550">
                  <c:v>37</c:v>
                </c:pt>
                <c:pt idx="551">
                  <c:v>32</c:v>
                </c:pt>
                <c:pt idx="552">
                  <c:v>35</c:v>
                </c:pt>
                <c:pt idx="553">
                  <c:v>39</c:v>
                </c:pt>
                <c:pt idx="554">
                  <c:v>30</c:v>
                </c:pt>
                <c:pt idx="555">
                  <c:v>35</c:v>
                </c:pt>
                <c:pt idx="556">
                  <c:v>24</c:v>
                </c:pt>
                <c:pt idx="557">
                  <c:v>22</c:v>
                </c:pt>
                <c:pt idx="558">
                  <c:v>27</c:v>
                </c:pt>
                <c:pt idx="559">
                  <c:v>29</c:v>
                </c:pt>
                <c:pt idx="560">
                  <c:v>17</c:v>
                </c:pt>
                <c:pt idx="561">
                  <c:v>20</c:v>
                </c:pt>
                <c:pt idx="562">
                  <c:v>20</c:v>
                </c:pt>
                <c:pt idx="563">
                  <c:v>27</c:v>
                </c:pt>
                <c:pt idx="564">
                  <c:v>28</c:v>
                </c:pt>
                <c:pt idx="565">
                  <c:v>30</c:v>
                </c:pt>
                <c:pt idx="566">
                  <c:v>31</c:v>
                </c:pt>
                <c:pt idx="567">
                  <c:v>41</c:v>
                </c:pt>
                <c:pt idx="568">
                  <c:v>41</c:v>
                </c:pt>
                <c:pt idx="569">
                  <c:v>39</c:v>
                </c:pt>
                <c:pt idx="570">
                  <c:v>48</c:v>
                </c:pt>
                <c:pt idx="571">
                  <c:v>34</c:v>
                </c:pt>
                <c:pt idx="572">
                  <c:v>22</c:v>
                </c:pt>
                <c:pt idx="573">
                  <c:v>23</c:v>
                </c:pt>
                <c:pt idx="574">
                  <c:v>20</c:v>
                </c:pt>
                <c:pt idx="575">
                  <c:v>24</c:v>
                </c:pt>
                <c:pt idx="576">
                  <c:v>27</c:v>
                </c:pt>
                <c:pt idx="577">
                  <c:v>15</c:v>
                </c:pt>
                <c:pt idx="578">
                  <c:v>15</c:v>
                </c:pt>
                <c:pt idx="579">
                  <c:v>30</c:v>
                </c:pt>
                <c:pt idx="580">
                  <c:v>42</c:v>
                </c:pt>
                <c:pt idx="581">
                  <c:v>20</c:v>
                </c:pt>
                <c:pt idx="582">
                  <c:v>36</c:v>
                </c:pt>
                <c:pt idx="583">
                  <c:v>25</c:v>
                </c:pt>
                <c:pt idx="584">
                  <c:v>27</c:v>
                </c:pt>
                <c:pt idx="585" formatCode="0.0">
                  <c:v>18</c:v>
                </c:pt>
                <c:pt idx="586" formatCode="0.0">
                  <c:v>17</c:v>
                </c:pt>
                <c:pt idx="587" formatCode="0.0">
                  <c:v>17</c:v>
                </c:pt>
                <c:pt idx="588" formatCode="0.0">
                  <c:v>17</c:v>
                </c:pt>
                <c:pt idx="589" formatCode="0.0">
                  <c:v>17</c:v>
                </c:pt>
                <c:pt idx="590" formatCode="0.0">
                  <c:v>17</c:v>
                </c:pt>
                <c:pt idx="591" formatCode="0.0">
                  <c:v>17</c:v>
                </c:pt>
                <c:pt idx="592" formatCode="0.0">
                  <c:v>17</c:v>
                </c:pt>
                <c:pt idx="593" formatCode="0.0">
                  <c:v>17</c:v>
                </c:pt>
                <c:pt idx="594" formatCode="0.0">
                  <c:v>21</c:v>
                </c:pt>
                <c:pt idx="595" formatCode="0.0">
                  <c:v>38</c:v>
                </c:pt>
                <c:pt idx="596" formatCode="0.0">
                  <c:v>40</c:v>
                </c:pt>
                <c:pt idx="597" formatCode="0.0">
                  <c:v>24</c:v>
                </c:pt>
                <c:pt idx="598" formatCode="0.0">
                  <c:v>24</c:v>
                </c:pt>
                <c:pt idx="599" formatCode="0.0">
                  <c:v>23</c:v>
                </c:pt>
                <c:pt idx="600" formatCode="0.0">
                  <c:v>44</c:v>
                </c:pt>
                <c:pt idx="601" formatCode="0.0">
                  <c:v>40</c:v>
                </c:pt>
                <c:pt idx="602" formatCode="0.0">
                  <c:v>39</c:v>
                </c:pt>
                <c:pt idx="603" formatCode="0.0">
                  <c:v>41</c:v>
                </c:pt>
                <c:pt idx="604" formatCode="0.0">
                  <c:v>24</c:v>
                </c:pt>
                <c:pt idx="605" formatCode="0.0">
                  <c:v>45</c:v>
                </c:pt>
                <c:pt idx="606" formatCode="0.0">
                  <c:v>29</c:v>
                </c:pt>
                <c:pt idx="607" formatCode="0.0">
                  <c:v>23</c:v>
                </c:pt>
                <c:pt idx="608" formatCode="0.0">
                  <c:v>23</c:v>
                </c:pt>
                <c:pt idx="609" formatCode="0.0">
                  <c:v>23</c:v>
                </c:pt>
                <c:pt idx="610" formatCode="0.0">
                  <c:v>18</c:v>
                </c:pt>
                <c:pt idx="611" formatCode="0.0">
                  <c:v>18</c:v>
                </c:pt>
                <c:pt idx="612" formatCode="0.0">
                  <c:v>18</c:v>
                </c:pt>
                <c:pt idx="613" formatCode="0.0">
                  <c:v>33</c:v>
                </c:pt>
                <c:pt idx="614" formatCode="0.0">
                  <c:v>46</c:v>
                </c:pt>
                <c:pt idx="615" formatCode="0.0">
                  <c:v>45</c:v>
                </c:pt>
                <c:pt idx="616" formatCode="0.0">
                  <c:v>48</c:v>
                </c:pt>
                <c:pt idx="617" formatCode="0.0">
                  <c:v>40</c:v>
                </c:pt>
                <c:pt idx="618" formatCode="0.0">
                  <c:v>46</c:v>
                </c:pt>
                <c:pt idx="619" formatCode="0.0">
                  <c:v>40</c:v>
                </c:pt>
                <c:pt idx="620" formatCode="0.0">
                  <c:v>31</c:v>
                </c:pt>
                <c:pt idx="621" formatCode="0.0">
                  <c:v>37</c:v>
                </c:pt>
                <c:pt idx="622" formatCode="0.0">
                  <c:v>42</c:v>
                </c:pt>
                <c:pt idx="623" formatCode="0.0">
                  <c:v>50</c:v>
                </c:pt>
                <c:pt idx="624" formatCode="0.0">
                  <c:v>24</c:v>
                </c:pt>
                <c:pt idx="625" formatCode="0.0">
                  <c:v>26</c:v>
                </c:pt>
                <c:pt idx="626" formatCode="0.0">
                  <c:v>44</c:v>
                </c:pt>
                <c:pt idx="627" formatCode="0.0">
                  <c:v>33</c:v>
                </c:pt>
                <c:pt idx="628" formatCode="0.0">
                  <c:v>40</c:v>
                </c:pt>
                <c:pt idx="629" formatCode="0.0">
                  <c:v>45</c:v>
                </c:pt>
                <c:pt idx="630" formatCode="0.0">
                  <c:v>29</c:v>
                </c:pt>
                <c:pt idx="631" formatCode="0.0">
                  <c:v>29</c:v>
                </c:pt>
                <c:pt idx="632">
                  <c:v>43</c:v>
                </c:pt>
                <c:pt idx="633">
                  <c:v>44</c:v>
                </c:pt>
                <c:pt idx="634" formatCode="0.0">
                  <c:v>35</c:v>
                </c:pt>
                <c:pt idx="635" formatCode="0.0">
                  <c:v>20</c:v>
                </c:pt>
                <c:pt idx="636" formatCode="0.0">
                  <c:v>23</c:v>
                </c:pt>
                <c:pt idx="637" formatCode="0.0">
                  <c:v>21</c:v>
                </c:pt>
                <c:pt idx="638" formatCode="0.0">
                  <c:v>30</c:v>
                </c:pt>
                <c:pt idx="639" formatCode="0.0">
                  <c:v>38</c:v>
                </c:pt>
                <c:pt idx="640" formatCode="0.0">
                  <c:v>29</c:v>
                </c:pt>
                <c:pt idx="641" formatCode="0.0">
                  <c:v>36</c:v>
                </c:pt>
                <c:pt idx="642" formatCode="0.0">
                  <c:v>29</c:v>
                </c:pt>
                <c:pt idx="643" formatCode="0.0">
                  <c:v>38</c:v>
                </c:pt>
                <c:pt idx="644" formatCode="0.0">
                  <c:v>45</c:v>
                </c:pt>
                <c:pt idx="645" formatCode="0.0">
                  <c:v>38</c:v>
                </c:pt>
                <c:pt idx="646" formatCode="0.0">
                  <c:v>37</c:v>
                </c:pt>
                <c:pt idx="647" formatCode="0.0">
                  <c:v>28</c:v>
                </c:pt>
                <c:pt idx="648" formatCode="0.0">
                  <c:v>35</c:v>
                </c:pt>
                <c:pt idx="649" formatCode="0.0">
                  <c:v>25</c:v>
                </c:pt>
                <c:pt idx="650" formatCode="0.0">
                  <c:v>42</c:v>
                </c:pt>
                <c:pt idx="651" formatCode="0.0">
                  <c:v>25</c:v>
                </c:pt>
                <c:pt idx="652" formatCode="0.0">
                  <c:v>17</c:v>
                </c:pt>
                <c:pt idx="653">
                  <c:v>46</c:v>
                </c:pt>
                <c:pt idx="654">
                  <c:v>36</c:v>
                </c:pt>
                <c:pt idx="655">
                  <c:v>42</c:v>
                </c:pt>
                <c:pt idx="656" formatCode="0.0">
                  <c:v>50</c:v>
                </c:pt>
                <c:pt idx="657" formatCode="0.0">
                  <c:v>43</c:v>
                </c:pt>
                <c:pt idx="658" formatCode="0.0">
                  <c:v>21</c:v>
                </c:pt>
                <c:pt idx="659" formatCode="0.0">
                  <c:v>21</c:v>
                </c:pt>
                <c:pt idx="660" formatCode="0.0">
                  <c:v>22</c:v>
                </c:pt>
                <c:pt idx="661" formatCode="0.0">
                  <c:v>44</c:v>
                </c:pt>
                <c:pt idx="662" formatCode="0.0">
                  <c:v>26</c:v>
                </c:pt>
                <c:pt idx="663" formatCode="0.0">
                  <c:v>21</c:v>
                </c:pt>
                <c:pt idx="664" formatCode="0.0">
                  <c:v>32</c:v>
                </c:pt>
                <c:pt idx="665" formatCode="0.0">
                  <c:v>27</c:v>
                </c:pt>
                <c:pt idx="666" formatCode="0.0">
                  <c:v>35</c:v>
                </c:pt>
                <c:pt idx="667" formatCode="0.0">
                  <c:v>34</c:v>
                </c:pt>
                <c:pt idx="668" formatCode="0.0">
                  <c:v>17</c:v>
                </c:pt>
                <c:pt idx="669" formatCode="0.0">
                  <c:v>55</c:v>
                </c:pt>
                <c:pt idx="670" formatCode="0.0">
                  <c:v>53</c:v>
                </c:pt>
                <c:pt idx="671" formatCode="0.0">
                  <c:v>58</c:v>
                </c:pt>
                <c:pt idx="672" formatCode="0.0">
                  <c:v>64</c:v>
                </c:pt>
                <c:pt idx="673" formatCode="0.0">
                  <c:v>68</c:v>
                </c:pt>
                <c:pt idx="674" formatCode="0.0">
                  <c:v>17</c:v>
                </c:pt>
                <c:pt idx="675" formatCode="0.0">
                  <c:v>17</c:v>
                </c:pt>
                <c:pt idx="676" formatCode="0.0">
                  <c:v>17</c:v>
                </c:pt>
                <c:pt idx="677" formatCode="0.0">
                  <c:v>17</c:v>
                </c:pt>
                <c:pt idx="678" formatCode="0.0">
                  <c:v>44</c:v>
                </c:pt>
                <c:pt idx="679">
                  <c:v>45</c:v>
                </c:pt>
                <c:pt idx="680">
                  <c:v>42</c:v>
                </c:pt>
                <c:pt idx="681">
                  <c:v>47</c:v>
                </c:pt>
                <c:pt idx="682">
                  <c:v>53</c:v>
                </c:pt>
                <c:pt idx="683">
                  <c:v>55</c:v>
                </c:pt>
                <c:pt idx="684">
                  <c:v>41</c:v>
                </c:pt>
                <c:pt idx="685">
                  <c:v>49</c:v>
                </c:pt>
                <c:pt idx="686">
                  <c:v>42</c:v>
                </c:pt>
                <c:pt idx="687">
                  <c:v>37</c:v>
                </c:pt>
                <c:pt idx="688">
                  <c:v>51</c:v>
                </c:pt>
                <c:pt idx="689">
                  <c:v>49</c:v>
                </c:pt>
                <c:pt idx="690">
                  <c:v>39</c:v>
                </c:pt>
                <c:pt idx="691" formatCode="0.0">
                  <c:v>30</c:v>
                </c:pt>
                <c:pt idx="692" formatCode="0.0">
                  <c:v>25</c:v>
                </c:pt>
                <c:pt idx="693" formatCode="0.0">
                  <c:v>21</c:v>
                </c:pt>
                <c:pt idx="694" formatCode="0.0">
                  <c:v>33</c:v>
                </c:pt>
                <c:pt idx="695" formatCode="0.0">
                  <c:v>29</c:v>
                </c:pt>
                <c:pt idx="696" formatCode="0.0">
                  <c:v>21</c:v>
                </c:pt>
                <c:pt idx="697" formatCode="0.0">
                  <c:v>34</c:v>
                </c:pt>
                <c:pt idx="698" formatCode="0.0">
                  <c:v>20</c:v>
                </c:pt>
                <c:pt idx="699" formatCode="0.0">
                  <c:v>37</c:v>
                </c:pt>
                <c:pt idx="700" formatCode="0.0">
                  <c:v>18</c:v>
                </c:pt>
                <c:pt idx="701" formatCode="0.0">
                  <c:v>18</c:v>
                </c:pt>
                <c:pt idx="702" formatCode="0.0">
                  <c:v>23</c:v>
                </c:pt>
                <c:pt idx="703" formatCode="0.0">
                  <c:v>26</c:v>
                </c:pt>
                <c:pt idx="704" formatCode="0.0">
                  <c:v>35</c:v>
                </c:pt>
                <c:pt idx="705" formatCode="0.0">
                  <c:v>29</c:v>
                </c:pt>
                <c:pt idx="706" formatCode="0.0">
                  <c:v>27</c:v>
                </c:pt>
                <c:pt idx="707" formatCode="0.0">
                  <c:v>28</c:v>
                </c:pt>
                <c:pt idx="708" formatCode="0.0">
                  <c:v>21</c:v>
                </c:pt>
                <c:pt idx="709" formatCode="0.0">
                  <c:v>22</c:v>
                </c:pt>
                <c:pt idx="710" formatCode="0.0">
                  <c:v>35</c:v>
                </c:pt>
                <c:pt idx="711" formatCode="0.0">
                  <c:v>22</c:v>
                </c:pt>
                <c:pt idx="712" formatCode="0.0">
                  <c:v>22</c:v>
                </c:pt>
                <c:pt idx="713" formatCode="0.0">
                  <c:v>22</c:v>
                </c:pt>
                <c:pt idx="714" formatCode="0.0">
                  <c:v>27</c:v>
                </c:pt>
                <c:pt idx="715" formatCode="0.0">
                  <c:v>29</c:v>
                </c:pt>
                <c:pt idx="716" formatCode="0.0">
                  <c:v>22</c:v>
                </c:pt>
                <c:pt idx="717" formatCode="0.0">
                  <c:v>22</c:v>
                </c:pt>
                <c:pt idx="718" formatCode="0.0">
                  <c:v>25</c:v>
                </c:pt>
                <c:pt idx="719" formatCode="0.0">
                  <c:v>23</c:v>
                </c:pt>
                <c:pt idx="720" formatCode="0.0">
                  <c:v>18</c:v>
                </c:pt>
                <c:pt idx="721" formatCode="0.0">
                  <c:v>24</c:v>
                </c:pt>
                <c:pt idx="722" formatCode="0.0">
                  <c:v>32</c:v>
                </c:pt>
                <c:pt idx="723" formatCode="0.0">
                  <c:v>24</c:v>
                </c:pt>
                <c:pt idx="724" formatCode="0.0">
                  <c:v>24</c:v>
                </c:pt>
                <c:pt idx="725" formatCode="0.0">
                  <c:v>24</c:v>
                </c:pt>
                <c:pt idx="726" formatCode="0.0">
                  <c:v>24</c:v>
                </c:pt>
                <c:pt idx="727">
                  <c:v>43</c:v>
                </c:pt>
                <c:pt idx="728">
                  <c:v>46</c:v>
                </c:pt>
                <c:pt idx="729">
                  <c:v>44</c:v>
                </c:pt>
                <c:pt idx="730" formatCode="0.0">
                  <c:v>35</c:v>
                </c:pt>
                <c:pt idx="731" formatCode="0.0">
                  <c:v>34</c:v>
                </c:pt>
                <c:pt idx="732" formatCode="0.0">
                  <c:v>24</c:v>
                </c:pt>
                <c:pt idx="733" formatCode="0.0">
                  <c:v>24</c:v>
                </c:pt>
                <c:pt idx="734" formatCode="0.0">
                  <c:v>24</c:v>
                </c:pt>
                <c:pt idx="735" formatCode="0.0">
                  <c:v>24</c:v>
                </c:pt>
                <c:pt idx="736" formatCode="0.0">
                  <c:v>17</c:v>
                </c:pt>
                <c:pt idx="737" formatCode="0.0">
                  <c:v>28</c:v>
                </c:pt>
                <c:pt idx="738" formatCode="0.0">
                  <c:v>17</c:v>
                </c:pt>
                <c:pt idx="739" formatCode="0.0">
                  <c:v>31</c:v>
                </c:pt>
                <c:pt idx="740" formatCode="0.0">
                  <c:v>25</c:v>
                </c:pt>
                <c:pt idx="741" formatCode="0.0">
                  <c:v>23</c:v>
                </c:pt>
                <c:pt idx="742" formatCode="0.0">
                  <c:v>41</c:v>
                </c:pt>
                <c:pt idx="743" formatCode="0.0">
                  <c:v>41</c:v>
                </c:pt>
                <c:pt idx="744" formatCode="0.0">
                  <c:v>36</c:v>
                </c:pt>
                <c:pt idx="745" formatCode="0.0">
                  <c:v>25</c:v>
                </c:pt>
                <c:pt idx="746" formatCode="0.0">
                  <c:v>30</c:v>
                </c:pt>
                <c:pt idx="747" formatCode="0.0">
                  <c:v>28</c:v>
                </c:pt>
                <c:pt idx="748" formatCode="0.0">
                  <c:v>30</c:v>
                </c:pt>
                <c:pt idx="749" formatCode="0.0">
                  <c:v>25</c:v>
                </c:pt>
                <c:pt idx="750" formatCode="0.0">
                  <c:v>27</c:v>
                </c:pt>
                <c:pt idx="751" formatCode="0.0">
                  <c:v>27</c:v>
                </c:pt>
                <c:pt idx="752" formatCode="0.0">
                  <c:v>23</c:v>
                </c:pt>
                <c:pt idx="753" formatCode="0.0">
                  <c:v>17</c:v>
                </c:pt>
                <c:pt idx="754" formatCode="0.0">
                  <c:v>17</c:v>
                </c:pt>
                <c:pt idx="755" formatCode="0.0">
                  <c:v>17</c:v>
                </c:pt>
                <c:pt idx="756" formatCode="0.0">
                  <c:v>17</c:v>
                </c:pt>
                <c:pt idx="757" formatCode="0.0">
                  <c:v>17</c:v>
                </c:pt>
                <c:pt idx="758" formatCode="0.0">
                  <c:v>17</c:v>
                </c:pt>
                <c:pt idx="759" formatCode="0.0">
                  <c:v>18</c:v>
                </c:pt>
                <c:pt idx="760" formatCode="0.0">
                  <c:v>17</c:v>
                </c:pt>
                <c:pt idx="761" formatCode="0.0">
                  <c:v>35</c:v>
                </c:pt>
                <c:pt idx="762" formatCode="0.0">
                  <c:v>23</c:v>
                </c:pt>
                <c:pt idx="763" formatCode="0.0">
                  <c:v>36</c:v>
                </c:pt>
                <c:pt idx="764" formatCode="0.0">
                  <c:v>35</c:v>
                </c:pt>
                <c:pt idx="765" formatCode="0.0">
                  <c:v>20</c:v>
                </c:pt>
                <c:pt idx="766" formatCode="0.0">
                  <c:v>33</c:v>
                </c:pt>
                <c:pt idx="767" formatCode="0.0">
                  <c:v>31</c:v>
                </c:pt>
                <c:pt idx="768" formatCode="0.0">
                  <c:v>27</c:v>
                </c:pt>
                <c:pt idx="769" formatCode="0.0">
                  <c:v>26</c:v>
                </c:pt>
                <c:pt idx="770" formatCode="0.0">
                  <c:v>32</c:v>
                </c:pt>
                <c:pt idx="771" formatCode="0.0">
                  <c:v>24</c:v>
                </c:pt>
                <c:pt idx="772" formatCode="0.0">
                  <c:v>23</c:v>
                </c:pt>
                <c:pt idx="773" formatCode="0.0">
                  <c:v>23</c:v>
                </c:pt>
                <c:pt idx="774">
                  <c:v>51</c:v>
                </c:pt>
                <c:pt idx="775">
                  <c:v>51</c:v>
                </c:pt>
                <c:pt idx="776">
                  <c:v>36</c:v>
                </c:pt>
                <c:pt idx="777">
                  <c:v>47</c:v>
                </c:pt>
                <c:pt idx="778" formatCode="0.0">
                  <c:v>25</c:v>
                </c:pt>
                <c:pt idx="779" formatCode="0.0">
                  <c:v>23</c:v>
                </c:pt>
                <c:pt idx="780" formatCode="0.0">
                  <c:v>21</c:v>
                </c:pt>
                <c:pt idx="782" formatCode="0.0">
                  <c:v>26</c:v>
                </c:pt>
                <c:pt idx="783" formatCode="0.0">
                  <c:v>24</c:v>
                </c:pt>
                <c:pt idx="784" formatCode="0.0">
                  <c:v>24</c:v>
                </c:pt>
                <c:pt idx="785" formatCode="0.0">
                  <c:v>24</c:v>
                </c:pt>
                <c:pt idx="786" formatCode="0.0">
                  <c:v>24</c:v>
                </c:pt>
                <c:pt idx="787" formatCode="0.0">
                  <c:v>27</c:v>
                </c:pt>
                <c:pt idx="788" formatCode="0.0">
                  <c:v>27</c:v>
                </c:pt>
                <c:pt idx="789" formatCode="0.0">
                  <c:v>30</c:v>
                </c:pt>
                <c:pt idx="790" formatCode="0.0">
                  <c:v>25</c:v>
                </c:pt>
                <c:pt idx="791" formatCode="0.0">
                  <c:v>28</c:v>
                </c:pt>
                <c:pt idx="792" formatCode="0.0">
                  <c:v>32</c:v>
                </c:pt>
                <c:pt idx="793" formatCode="0.0">
                  <c:v>44</c:v>
                </c:pt>
                <c:pt idx="794" formatCode="0.0">
                  <c:v>37</c:v>
                </c:pt>
                <c:pt idx="795" formatCode="0.0">
                  <c:v>30</c:v>
                </c:pt>
                <c:pt idx="796" formatCode="0.0">
                  <c:v>29</c:v>
                </c:pt>
                <c:pt idx="797" formatCode="0.0">
                  <c:v>28</c:v>
                </c:pt>
                <c:pt idx="798" formatCode="0.0">
                  <c:v>30</c:v>
                </c:pt>
                <c:pt idx="799" formatCode="0.0">
                  <c:v>27</c:v>
                </c:pt>
                <c:pt idx="800" formatCode="0.0">
                  <c:v>36</c:v>
                </c:pt>
                <c:pt idx="801" formatCode="0.0">
                  <c:v>39</c:v>
                </c:pt>
                <c:pt idx="802" formatCode="0.0">
                  <c:v>25</c:v>
                </c:pt>
                <c:pt idx="803" formatCode="0.0">
                  <c:v>28</c:v>
                </c:pt>
                <c:pt idx="804" formatCode="0.0">
                  <c:v>26</c:v>
                </c:pt>
                <c:pt idx="805" formatCode="0.0">
                  <c:v>31</c:v>
                </c:pt>
                <c:pt idx="806" formatCode="0.0">
                  <c:v>29</c:v>
                </c:pt>
                <c:pt idx="807" formatCode="0.0">
                  <c:v>21</c:v>
                </c:pt>
                <c:pt idx="808" formatCode="0.0">
                  <c:v>22</c:v>
                </c:pt>
                <c:pt idx="809" formatCode="0.0">
                  <c:v>23</c:v>
                </c:pt>
                <c:pt idx="810" formatCode="0.0">
                  <c:v>21</c:v>
                </c:pt>
                <c:pt idx="811" formatCode="0.0">
                  <c:v>23</c:v>
                </c:pt>
                <c:pt idx="812" formatCode="0.0">
                  <c:v>25</c:v>
                </c:pt>
                <c:pt idx="813" formatCode="0.0">
                  <c:v>28</c:v>
                </c:pt>
                <c:pt idx="814" formatCode="0.0">
                  <c:v>27</c:v>
                </c:pt>
                <c:pt idx="815" formatCode="0.0">
                  <c:v>21</c:v>
                </c:pt>
                <c:pt idx="816" formatCode="0.0">
                  <c:v>27</c:v>
                </c:pt>
                <c:pt idx="817" formatCode="0.0">
                  <c:v>36</c:v>
                </c:pt>
                <c:pt idx="818" formatCode="0.0">
                  <c:v>40</c:v>
                </c:pt>
                <c:pt idx="819" formatCode="0.0">
                  <c:v>38</c:v>
                </c:pt>
                <c:pt idx="820" formatCode="0.0">
                  <c:v>27</c:v>
                </c:pt>
                <c:pt idx="821" formatCode="0.0">
                  <c:v>33</c:v>
                </c:pt>
                <c:pt idx="822" formatCode="0.0">
                  <c:v>33</c:v>
                </c:pt>
                <c:pt idx="823" formatCode="0.0">
                  <c:v>31</c:v>
                </c:pt>
                <c:pt idx="824" formatCode="0.0">
                  <c:v>47</c:v>
                </c:pt>
                <c:pt idx="825" formatCode="0.0">
                  <c:v>33</c:v>
                </c:pt>
                <c:pt idx="826" formatCode="0.0">
                  <c:v>33</c:v>
                </c:pt>
                <c:pt idx="827" formatCode="0.0">
                  <c:v>32</c:v>
                </c:pt>
                <c:pt idx="828" formatCode="0.0">
                  <c:v>24</c:v>
                </c:pt>
                <c:pt idx="829" formatCode="0.0">
                  <c:v>35</c:v>
                </c:pt>
                <c:pt idx="830" formatCode="0.0">
                  <c:v>30</c:v>
                </c:pt>
                <c:pt idx="831" formatCode="0.0">
                  <c:v>27</c:v>
                </c:pt>
                <c:pt idx="832" formatCode="0.0">
                  <c:v>34</c:v>
                </c:pt>
                <c:pt idx="833" formatCode="0.0">
                  <c:v>33</c:v>
                </c:pt>
                <c:pt idx="834" formatCode="0.0">
                  <c:v>51</c:v>
                </c:pt>
                <c:pt idx="835" formatCode="0.0">
                  <c:v>59</c:v>
                </c:pt>
                <c:pt idx="836" formatCode="0.0">
                  <c:v>46</c:v>
                </c:pt>
                <c:pt idx="837" formatCode="0.0">
                  <c:v>46</c:v>
                </c:pt>
                <c:pt idx="838" formatCode="0.0">
                  <c:v>57</c:v>
                </c:pt>
                <c:pt idx="839" formatCode="0.0">
                  <c:v>57</c:v>
                </c:pt>
                <c:pt idx="840" formatCode="0.0">
                  <c:v>52</c:v>
                </c:pt>
                <c:pt idx="841" formatCode="0.0">
                  <c:v>51</c:v>
                </c:pt>
                <c:pt idx="842" formatCode="0.0">
                  <c:v>55</c:v>
                </c:pt>
                <c:pt idx="843" formatCode="0.0">
                  <c:v>17</c:v>
                </c:pt>
                <c:pt idx="844" formatCode="0.0">
                  <c:v>17</c:v>
                </c:pt>
                <c:pt idx="845" formatCode="0.0">
                  <c:v>17</c:v>
                </c:pt>
                <c:pt idx="846" formatCode="0.0">
                  <c:v>17</c:v>
                </c:pt>
                <c:pt idx="847" formatCode="0.0">
                  <c:v>27</c:v>
                </c:pt>
                <c:pt idx="848" formatCode="0.0">
                  <c:v>27</c:v>
                </c:pt>
                <c:pt idx="849" formatCode="0.0">
                  <c:v>33</c:v>
                </c:pt>
                <c:pt idx="850" formatCode="0.0">
                  <c:v>38</c:v>
                </c:pt>
                <c:pt idx="851">
                  <c:v>30</c:v>
                </c:pt>
                <c:pt idx="852" formatCode="0.0">
                  <c:v>27</c:v>
                </c:pt>
                <c:pt idx="853" formatCode="0.0">
                  <c:v>30</c:v>
                </c:pt>
                <c:pt idx="854" formatCode="0.0">
                  <c:v>37</c:v>
                </c:pt>
                <c:pt idx="855" formatCode="0.0">
                  <c:v>33</c:v>
                </c:pt>
                <c:pt idx="856">
                  <c:v>45</c:v>
                </c:pt>
                <c:pt idx="857" formatCode="0.0">
                  <c:v>31</c:v>
                </c:pt>
                <c:pt idx="858">
                  <c:v>41</c:v>
                </c:pt>
                <c:pt idx="859" formatCode="0.0">
                  <c:v>35</c:v>
                </c:pt>
                <c:pt idx="860" formatCode="0.0">
                  <c:v>27</c:v>
                </c:pt>
                <c:pt idx="861" formatCode="0.0">
                  <c:v>29</c:v>
                </c:pt>
                <c:pt idx="862" formatCode="0.0">
                  <c:v>27</c:v>
                </c:pt>
                <c:pt idx="863" formatCode="0.0">
                  <c:v>31</c:v>
                </c:pt>
                <c:pt idx="864" formatCode="0.0">
                  <c:v>27</c:v>
                </c:pt>
                <c:pt idx="865" formatCode="0.0">
                  <c:v>26</c:v>
                </c:pt>
                <c:pt idx="866">
                  <c:v>39</c:v>
                </c:pt>
                <c:pt idx="867" formatCode="0.0">
                  <c:v>28</c:v>
                </c:pt>
                <c:pt idx="868" formatCode="0.0">
                  <c:v>28</c:v>
                </c:pt>
                <c:pt idx="869" formatCode="0.0">
                  <c:v>30</c:v>
                </c:pt>
                <c:pt idx="870" formatCode="0.0">
                  <c:v>44</c:v>
                </c:pt>
                <c:pt idx="871" formatCode="0.0">
                  <c:v>34</c:v>
                </c:pt>
                <c:pt idx="872" formatCode="0.0">
                  <c:v>37</c:v>
                </c:pt>
                <c:pt idx="873" formatCode="0.0">
                  <c:v>38</c:v>
                </c:pt>
                <c:pt idx="874" formatCode="0.0">
                  <c:v>54</c:v>
                </c:pt>
                <c:pt idx="875" formatCode="0.0">
                  <c:v>54</c:v>
                </c:pt>
                <c:pt idx="876" formatCode="0.0">
                  <c:v>41</c:v>
                </c:pt>
                <c:pt idx="877" formatCode="0.0">
                  <c:v>37</c:v>
                </c:pt>
                <c:pt idx="878" formatCode="0.0">
                  <c:v>55</c:v>
                </c:pt>
                <c:pt idx="879" formatCode="0.0">
                  <c:v>40</c:v>
                </c:pt>
                <c:pt idx="880" formatCode="0.0">
                  <c:v>43</c:v>
                </c:pt>
                <c:pt idx="881" formatCode="0.0">
                  <c:v>45</c:v>
                </c:pt>
                <c:pt idx="882" formatCode="0.0">
                  <c:v>22</c:v>
                </c:pt>
                <c:pt idx="883" formatCode="0.0">
                  <c:v>17</c:v>
                </c:pt>
                <c:pt idx="884" formatCode="0.0">
                  <c:v>18</c:v>
                </c:pt>
                <c:pt idx="885" formatCode="0.0">
                  <c:v>29</c:v>
                </c:pt>
                <c:pt idx="886" formatCode="0.0">
                  <c:v>26</c:v>
                </c:pt>
                <c:pt idx="887" formatCode="0.0">
                  <c:v>34</c:v>
                </c:pt>
                <c:pt idx="888" formatCode="0.0">
                  <c:v>32</c:v>
                </c:pt>
                <c:pt idx="889" formatCode="0.0">
                  <c:v>35</c:v>
                </c:pt>
                <c:pt idx="890" formatCode="0.0">
                  <c:v>30</c:v>
                </c:pt>
                <c:pt idx="891" formatCode="0.0">
                  <c:v>24</c:v>
                </c:pt>
                <c:pt idx="892" formatCode="0.0">
                  <c:v>33</c:v>
                </c:pt>
                <c:pt idx="893" formatCode="0.0">
                  <c:v>37</c:v>
                </c:pt>
                <c:pt idx="894" formatCode="0.0">
                  <c:v>30</c:v>
                </c:pt>
                <c:pt idx="895" formatCode="0.0">
                  <c:v>24</c:v>
                </c:pt>
                <c:pt idx="896" formatCode="0.0">
                  <c:v>28</c:v>
                </c:pt>
                <c:pt idx="897" formatCode="0.0">
                  <c:v>28</c:v>
                </c:pt>
                <c:pt idx="898" formatCode="0.0">
                  <c:v>60</c:v>
                </c:pt>
                <c:pt idx="899" formatCode="0.0">
                  <c:v>45</c:v>
                </c:pt>
                <c:pt idx="900" formatCode="0.0">
                  <c:v>29</c:v>
                </c:pt>
                <c:pt idx="901" formatCode="0.0">
                  <c:v>23</c:v>
                </c:pt>
                <c:pt idx="902" formatCode="0.0">
                  <c:v>23</c:v>
                </c:pt>
                <c:pt idx="903" formatCode="0.0">
                  <c:v>25</c:v>
                </c:pt>
                <c:pt idx="904" formatCode="0.0">
                  <c:v>52</c:v>
                </c:pt>
                <c:pt idx="905" formatCode="0.0">
                  <c:v>51</c:v>
                </c:pt>
                <c:pt idx="906" formatCode="0.0">
                  <c:v>52</c:v>
                </c:pt>
                <c:pt idx="907" formatCode="0.0">
                  <c:v>61</c:v>
                </c:pt>
                <c:pt idx="908" formatCode="0.0">
                  <c:v>54</c:v>
                </c:pt>
                <c:pt idx="909" formatCode="0.0">
                  <c:v>17</c:v>
                </c:pt>
                <c:pt idx="910" formatCode="0.0">
                  <c:v>17</c:v>
                </c:pt>
                <c:pt idx="911" formatCode="0.0">
                  <c:v>17</c:v>
                </c:pt>
                <c:pt idx="912" formatCode="0.0">
                  <c:v>26</c:v>
                </c:pt>
                <c:pt idx="913" formatCode="0.0">
                  <c:v>26</c:v>
                </c:pt>
                <c:pt idx="914" formatCode="0.0">
                  <c:v>26</c:v>
                </c:pt>
                <c:pt idx="915" formatCode="0.0">
                  <c:v>18</c:v>
                </c:pt>
                <c:pt idx="916" formatCode="0.0">
                  <c:v>31</c:v>
                </c:pt>
                <c:pt idx="917" formatCode="0.0">
                  <c:v>27</c:v>
                </c:pt>
                <c:pt idx="918" formatCode="0.0">
                  <c:v>33</c:v>
                </c:pt>
                <c:pt idx="919" formatCode="0.0">
                  <c:v>33</c:v>
                </c:pt>
                <c:pt idx="920" formatCode="0.0">
                  <c:v>33</c:v>
                </c:pt>
                <c:pt idx="921" formatCode="0.0">
                  <c:v>35</c:v>
                </c:pt>
                <c:pt idx="922" formatCode="0.0">
                  <c:v>26</c:v>
                </c:pt>
                <c:pt idx="923" formatCode="0.0">
                  <c:v>21</c:v>
                </c:pt>
                <c:pt idx="924" formatCode="0.0">
                  <c:v>37</c:v>
                </c:pt>
                <c:pt idx="925" formatCode="0.0">
                  <c:v>33</c:v>
                </c:pt>
                <c:pt idx="926" formatCode="0.0">
                  <c:v>27</c:v>
                </c:pt>
                <c:pt idx="927" formatCode="0.0">
                  <c:v>22</c:v>
                </c:pt>
                <c:pt idx="928" formatCode="0.0">
                  <c:v>39</c:v>
                </c:pt>
                <c:pt idx="929" formatCode="0.0">
                  <c:v>19</c:v>
                </c:pt>
                <c:pt idx="930" formatCode="0.0">
                  <c:v>20</c:v>
                </c:pt>
                <c:pt idx="931" formatCode="0.0">
                  <c:v>22</c:v>
                </c:pt>
                <c:pt idx="932" formatCode="0.0">
                  <c:v>21</c:v>
                </c:pt>
                <c:pt idx="933" formatCode="0.0">
                  <c:v>31</c:v>
                </c:pt>
                <c:pt idx="934" formatCode="0.0">
                  <c:v>18</c:v>
                </c:pt>
                <c:pt idx="935" formatCode="0.0">
                  <c:v>20</c:v>
                </c:pt>
                <c:pt idx="936" formatCode="0.0">
                  <c:v>19</c:v>
                </c:pt>
                <c:pt idx="937" formatCode="0.0">
                  <c:v>28</c:v>
                </c:pt>
                <c:pt idx="938" formatCode="0.0">
                  <c:v>27</c:v>
                </c:pt>
                <c:pt idx="939" formatCode="0.0">
                  <c:v>29</c:v>
                </c:pt>
                <c:pt idx="940" formatCode="0.0">
                  <c:v>20</c:v>
                </c:pt>
                <c:pt idx="941" formatCode="0.0">
                  <c:v>48</c:v>
                </c:pt>
                <c:pt idx="942" formatCode="0.0">
                  <c:v>47</c:v>
                </c:pt>
                <c:pt idx="943" formatCode="0.0">
                  <c:v>51</c:v>
                </c:pt>
                <c:pt idx="944" formatCode="0.0">
                  <c:v>51</c:v>
                </c:pt>
                <c:pt idx="945" formatCode="0.0">
                  <c:v>55</c:v>
                </c:pt>
                <c:pt idx="946" formatCode="0.0">
                  <c:v>46</c:v>
                </c:pt>
                <c:pt idx="947" formatCode="0.0">
                  <c:v>40</c:v>
                </c:pt>
                <c:pt idx="948" formatCode="0.0">
                  <c:v>28</c:v>
                </c:pt>
                <c:pt idx="949" formatCode="0.0">
                  <c:v>37</c:v>
                </c:pt>
                <c:pt idx="950" formatCode="0.0">
                  <c:v>41</c:v>
                </c:pt>
                <c:pt idx="951" formatCode="0.0">
                  <c:v>37</c:v>
                </c:pt>
                <c:pt idx="952" formatCode="0.0">
                  <c:v>34</c:v>
                </c:pt>
                <c:pt idx="953" formatCode="0.0">
                  <c:v>30</c:v>
                </c:pt>
                <c:pt idx="954" formatCode="0.0">
                  <c:v>50</c:v>
                </c:pt>
                <c:pt idx="955" formatCode="0.0">
                  <c:v>37</c:v>
                </c:pt>
                <c:pt idx="956" formatCode="0.0">
                  <c:v>40</c:v>
                </c:pt>
                <c:pt idx="957" formatCode="0.0">
                  <c:v>41</c:v>
                </c:pt>
                <c:pt idx="958" formatCode="0.0">
                  <c:v>42</c:v>
                </c:pt>
                <c:pt idx="959" formatCode="0.0">
                  <c:v>42</c:v>
                </c:pt>
                <c:pt idx="960" formatCode="0.0">
                  <c:v>43</c:v>
                </c:pt>
                <c:pt idx="961" formatCode="0.0">
                  <c:v>41</c:v>
                </c:pt>
                <c:pt idx="962" formatCode="0.0">
                  <c:v>38</c:v>
                </c:pt>
                <c:pt idx="963" formatCode="0.0">
                  <c:v>43</c:v>
                </c:pt>
                <c:pt idx="964" formatCode="0.0">
                  <c:v>46</c:v>
                </c:pt>
                <c:pt idx="965" formatCode="0.0">
                  <c:v>49</c:v>
                </c:pt>
                <c:pt idx="966" formatCode="0.0">
                  <c:v>28</c:v>
                </c:pt>
                <c:pt idx="967" formatCode="0.0">
                  <c:v>25</c:v>
                </c:pt>
                <c:pt idx="968" formatCode="0.0">
                  <c:v>25</c:v>
                </c:pt>
                <c:pt idx="969" formatCode="0.0">
                  <c:v>25</c:v>
                </c:pt>
                <c:pt idx="970" formatCode="0.0">
                  <c:v>23</c:v>
                </c:pt>
                <c:pt idx="971" formatCode="0.0">
                  <c:v>29</c:v>
                </c:pt>
                <c:pt idx="972" formatCode="0.0">
                  <c:v>38</c:v>
                </c:pt>
                <c:pt idx="973" formatCode="0.0">
                  <c:v>35</c:v>
                </c:pt>
                <c:pt idx="974" formatCode="0.0">
                  <c:v>41</c:v>
                </c:pt>
                <c:pt idx="975" formatCode="0.0">
                  <c:v>33</c:v>
                </c:pt>
                <c:pt idx="976" formatCode="0.0">
                  <c:v>26</c:v>
                </c:pt>
                <c:pt idx="977" formatCode="0.0">
                  <c:v>17</c:v>
                </c:pt>
                <c:pt idx="978" formatCode="0.0">
                  <c:v>17</c:v>
                </c:pt>
                <c:pt idx="979" formatCode="0.0">
                  <c:v>17</c:v>
                </c:pt>
                <c:pt idx="980" formatCode="0.0">
                  <c:v>17</c:v>
                </c:pt>
                <c:pt idx="981" formatCode="0.0">
                  <c:v>25</c:v>
                </c:pt>
                <c:pt idx="982" formatCode="0.0">
                  <c:v>29</c:v>
                </c:pt>
                <c:pt idx="983" formatCode="0.0">
                  <c:v>29</c:v>
                </c:pt>
                <c:pt idx="984" formatCode="0.0">
                  <c:v>37</c:v>
                </c:pt>
                <c:pt idx="985" formatCode="0.0">
                  <c:v>37</c:v>
                </c:pt>
                <c:pt idx="986" formatCode="0.0">
                  <c:v>42</c:v>
                </c:pt>
                <c:pt idx="987" formatCode="0.0">
                  <c:v>44</c:v>
                </c:pt>
                <c:pt idx="988" formatCode="0.0">
                  <c:v>40</c:v>
                </c:pt>
                <c:pt idx="989" formatCode="0.0">
                  <c:v>37</c:v>
                </c:pt>
                <c:pt idx="990" formatCode="0.0">
                  <c:v>31</c:v>
                </c:pt>
                <c:pt idx="991" formatCode="0.0">
                  <c:v>22</c:v>
                </c:pt>
                <c:pt idx="992" formatCode="0.0">
                  <c:v>22</c:v>
                </c:pt>
                <c:pt idx="993" formatCode="0.0">
                  <c:v>30</c:v>
                </c:pt>
                <c:pt idx="994" formatCode="0.0">
                  <c:v>34</c:v>
                </c:pt>
                <c:pt idx="995" formatCode="0.0">
                  <c:v>23</c:v>
                </c:pt>
                <c:pt idx="996" formatCode="0.0">
                  <c:v>28</c:v>
                </c:pt>
                <c:pt idx="997" formatCode="0.0">
                  <c:v>25</c:v>
                </c:pt>
                <c:pt idx="998" formatCode="0.0">
                  <c:v>23</c:v>
                </c:pt>
                <c:pt idx="999" formatCode="0.0">
                  <c:v>31</c:v>
                </c:pt>
                <c:pt idx="1000" formatCode="0.0">
                  <c:v>41</c:v>
                </c:pt>
                <c:pt idx="1001" formatCode="0.0">
                  <c:v>21</c:v>
                </c:pt>
                <c:pt idx="1002" formatCode="0.0">
                  <c:v>27</c:v>
                </c:pt>
                <c:pt idx="1003" formatCode="0.0">
                  <c:v>43</c:v>
                </c:pt>
                <c:pt idx="1004" formatCode="0.0">
                  <c:v>26</c:v>
                </c:pt>
                <c:pt idx="1005" formatCode="0.0">
                  <c:v>42</c:v>
                </c:pt>
                <c:pt idx="1006" formatCode="0.0">
                  <c:v>43</c:v>
                </c:pt>
                <c:pt idx="1007" formatCode="0.0">
                  <c:v>41</c:v>
                </c:pt>
                <c:pt idx="1008" formatCode="0.0">
                  <c:v>21</c:v>
                </c:pt>
                <c:pt idx="1009" formatCode="0.0">
                  <c:v>44</c:v>
                </c:pt>
                <c:pt idx="1010" formatCode="0.0">
                  <c:v>25</c:v>
                </c:pt>
                <c:pt idx="1011" formatCode="0.0">
                  <c:v>44</c:v>
                </c:pt>
                <c:pt idx="1012" formatCode="0.0">
                  <c:v>48</c:v>
                </c:pt>
                <c:pt idx="1013" formatCode="0.0">
                  <c:v>33</c:v>
                </c:pt>
                <c:pt idx="1014" formatCode="0.0">
                  <c:v>42</c:v>
                </c:pt>
                <c:pt idx="1015" formatCode="0.0">
                  <c:v>46</c:v>
                </c:pt>
                <c:pt idx="1016" formatCode="0.0">
                  <c:v>37</c:v>
                </c:pt>
              </c:numCache>
            </c:numRef>
          </c:xVal>
          <c:yVal>
            <c:numRef>
              <c:f>'2. Logging Brejo Seco'!$BG$3:$BG$1019</c:f>
              <c:numCache>
                <c:formatCode>0.0</c:formatCode>
                <c:ptCount val="1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46.5</c:v>
                </c:pt>
                <c:pt idx="7">
                  <c:v>63.5</c:v>
                </c:pt>
                <c:pt idx="8">
                  <c:v>3</c:v>
                </c:pt>
                <c:pt idx="9">
                  <c:v>42</c:v>
                </c:pt>
                <c:pt idx="10">
                  <c:v>22</c:v>
                </c:pt>
                <c:pt idx="11">
                  <c:v>28</c:v>
                </c:pt>
                <c:pt idx="12">
                  <c:v>6</c:v>
                </c:pt>
                <c:pt idx="13">
                  <c:v>23</c:v>
                </c:pt>
                <c:pt idx="14">
                  <c:v>33</c:v>
                </c:pt>
                <c:pt idx="15">
                  <c:v>44.5</c:v>
                </c:pt>
                <c:pt idx="16">
                  <c:v>47.5</c:v>
                </c:pt>
                <c:pt idx="17">
                  <c:v>25</c:v>
                </c:pt>
                <c:pt idx="18">
                  <c:v>37.5</c:v>
                </c:pt>
                <c:pt idx="19">
                  <c:v>50.5</c:v>
                </c:pt>
                <c:pt idx="20">
                  <c:v>21.5</c:v>
                </c:pt>
                <c:pt idx="21">
                  <c:v>10.5</c:v>
                </c:pt>
                <c:pt idx="22">
                  <c:v>27</c:v>
                </c:pt>
                <c:pt idx="23">
                  <c:v>43</c:v>
                </c:pt>
                <c:pt idx="24">
                  <c:v>46</c:v>
                </c:pt>
                <c:pt idx="25">
                  <c:v>36.5</c:v>
                </c:pt>
                <c:pt idx="26">
                  <c:v>18</c:v>
                </c:pt>
                <c:pt idx="27">
                  <c:v>20</c:v>
                </c:pt>
                <c:pt idx="28">
                  <c:v>44.5</c:v>
                </c:pt>
                <c:pt idx="29">
                  <c:v>42.5</c:v>
                </c:pt>
                <c:pt idx="30">
                  <c:v>16.5</c:v>
                </c:pt>
                <c:pt idx="31">
                  <c:v>43.5</c:v>
                </c:pt>
                <c:pt idx="32">
                  <c:v>24</c:v>
                </c:pt>
                <c:pt idx="33">
                  <c:v>10.5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12</c:v>
                </c:pt>
                <c:pt idx="38">
                  <c:v>12</c:v>
                </c:pt>
                <c:pt idx="39">
                  <c:v>10.5</c:v>
                </c:pt>
                <c:pt idx="40">
                  <c:v>27.5</c:v>
                </c:pt>
                <c:pt idx="41">
                  <c:v>16.5</c:v>
                </c:pt>
                <c:pt idx="42">
                  <c:v>16.5</c:v>
                </c:pt>
                <c:pt idx="43">
                  <c:v>54.5</c:v>
                </c:pt>
                <c:pt idx="44">
                  <c:v>46.5</c:v>
                </c:pt>
                <c:pt idx="45">
                  <c:v>81.5</c:v>
                </c:pt>
                <c:pt idx="46">
                  <c:v>62.5</c:v>
                </c:pt>
                <c:pt idx="47">
                  <c:v>77.368421052631646</c:v>
                </c:pt>
                <c:pt idx="48">
                  <c:v>47</c:v>
                </c:pt>
                <c:pt idx="49">
                  <c:v>46</c:v>
                </c:pt>
                <c:pt idx="50">
                  <c:v>41</c:v>
                </c:pt>
                <c:pt idx="51">
                  <c:v>72.857142857142691</c:v>
                </c:pt>
                <c:pt idx="52">
                  <c:v>75.744680851063947</c:v>
                </c:pt>
                <c:pt idx="53">
                  <c:v>56.213592233009678</c:v>
                </c:pt>
                <c:pt idx="54">
                  <c:v>70</c:v>
                </c:pt>
                <c:pt idx="55">
                  <c:v>71.21621621621631</c:v>
                </c:pt>
                <c:pt idx="56">
                  <c:v>67.499999999999972</c:v>
                </c:pt>
                <c:pt idx="57">
                  <c:v>50</c:v>
                </c:pt>
                <c:pt idx="58">
                  <c:v>45</c:v>
                </c:pt>
                <c:pt idx="59">
                  <c:v>43.333333333333336</c:v>
                </c:pt>
                <c:pt idx="60">
                  <c:v>76.428571428571246</c:v>
                </c:pt>
                <c:pt idx="61">
                  <c:v>62</c:v>
                </c:pt>
                <c:pt idx="62">
                  <c:v>50</c:v>
                </c:pt>
                <c:pt idx="63">
                  <c:v>19.5</c:v>
                </c:pt>
                <c:pt idx="64">
                  <c:v>48.5</c:v>
                </c:pt>
                <c:pt idx="65">
                  <c:v>37.5</c:v>
                </c:pt>
                <c:pt idx="66">
                  <c:v>19.5</c:v>
                </c:pt>
                <c:pt idx="67">
                  <c:v>35.92857142857153</c:v>
                </c:pt>
                <c:pt idx="68">
                  <c:v>44.499999999999943</c:v>
                </c:pt>
                <c:pt idx="69">
                  <c:v>30.5</c:v>
                </c:pt>
                <c:pt idx="70">
                  <c:v>3</c:v>
                </c:pt>
                <c:pt idx="71">
                  <c:v>33.49999999999995</c:v>
                </c:pt>
                <c:pt idx="72">
                  <c:v>47.5</c:v>
                </c:pt>
                <c:pt idx="73">
                  <c:v>22.5</c:v>
                </c:pt>
                <c:pt idx="74">
                  <c:v>37.250000000000085</c:v>
                </c:pt>
                <c:pt idx="75">
                  <c:v>35.3333333333333</c:v>
                </c:pt>
                <c:pt idx="76">
                  <c:v>28.5</c:v>
                </c:pt>
                <c:pt idx="77">
                  <c:v>30.214285714285779</c:v>
                </c:pt>
                <c:pt idx="78">
                  <c:v>16.5</c:v>
                </c:pt>
                <c:pt idx="79">
                  <c:v>16.5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13.5</c:v>
                </c:pt>
                <c:pt idx="84">
                  <c:v>19.5</c:v>
                </c:pt>
                <c:pt idx="85">
                  <c:v>13.5</c:v>
                </c:pt>
                <c:pt idx="86">
                  <c:v>40.5</c:v>
                </c:pt>
                <c:pt idx="87">
                  <c:v>29</c:v>
                </c:pt>
                <c:pt idx="88">
                  <c:v>27</c:v>
                </c:pt>
                <c:pt idx="89">
                  <c:v>13.5</c:v>
                </c:pt>
                <c:pt idx="90">
                  <c:v>27.772727272727138</c:v>
                </c:pt>
                <c:pt idx="91">
                  <c:v>13.5</c:v>
                </c:pt>
                <c:pt idx="92">
                  <c:v>31.357142857142787</c:v>
                </c:pt>
                <c:pt idx="93">
                  <c:v>57</c:v>
                </c:pt>
                <c:pt idx="94">
                  <c:v>27.5</c:v>
                </c:pt>
                <c:pt idx="95">
                  <c:v>13.5</c:v>
                </c:pt>
                <c:pt idx="96">
                  <c:v>13.5</c:v>
                </c:pt>
                <c:pt idx="97">
                  <c:v>43.5</c:v>
                </c:pt>
                <c:pt idx="98">
                  <c:v>23.5</c:v>
                </c:pt>
                <c:pt idx="99">
                  <c:v>29.5</c:v>
                </c:pt>
                <c:pt idx="100">
                  <c:v>28</c:v>
                </c:pt>
                <c:pt idx="101">
                  <c:v>24</c:v>
                </c:pt>
                <c:pt idx="102">
                  <c:v>10.5</c:v>
                </c:pt>
                <c:pt idx="103">
                  <c:v>13.5</c:v>
                </c:pt>
                <c:pt idx="104">
                  <c:v>3</c:v>
                </c:pt>
                <c:pt idx="105">
                  <c:v>3</c:v>
                </c:pt>
                <c:pt idx="106">
                  <c:v>59.5</c:v>
                </c:pt>
                <c:pt idx="107">
                  <c:v>43.772727272727415</c:v>
                </c:pt>
                <c:pt idx="108">
                  <c:v>54.499999999999915</c:v>
                </c:pt>
                <c:pt idx="109">
                  <c:v>35.5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26.5</c:v>
                </c:pt>
                <c:pt idx="122">
                  <c:v>4.5</c:v>
                </c:pt>
                <c:pt idx="123">
                  <c:v>4.5</c:v>
                </c:pt>
                <c:pt idx="124">
                  <c:v>12</c:v>
                </c:pt>
                <c:pt idx="125">
                  <c:v>21</c:v>
                </c:pt>
                <c:pt idx="126">
                  <c:v>3</c:v>
                </c:pt>
                <c:pt idx="127">
                  <c:v>0</c:v>
                </c:pt>
                <c:pt idx="128">
                  <c:v>16.5</c:v>
                </c:pt>
                <c:pt idx="129">
                  <c:v>9</c:v>
                </c:pt>
                <c:pt idx="130">
                  <c:v>28.5</c:v>
                </c:pt>
                <c:pt idx="131">
                  <c:v>43.5</c:v>
                </c:pt>
                <c:pt idx="132">
                  <c:v>12</c:v>
                </c:pt>
                <c:pt idx="133">
                  <c:v>9</c:v>
                </c:pt>
                <c:pt idx="134">
                  <c:v>29</c:v>
                </c:pt>
                <c:pt idx="135">
                  <c:v>47.5</c:v>
                </c:pt>
                <c:pt idx="136">
                  <c:v>25.5</c:v>
                </c:pt>
                <c:pt idx="137">
                  <c:v>6</c:v>
                </c:pt>
                <c:pt idx="138">
                  <c:v>16</c:v>
                </c:pt>
                <c:pt idx="139">
                  <c:v>6</c:v>
                </c:pt>
                <c:pt idx="140">
                  <c:v>16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10.5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23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22</c:v>
                </c:pt>
                <c:pt idx="206">
                  <c:v>22</c:v>
                </c:pt>
                <c:pt idx="207">
                  <c:v>12</c:v>
                </c:pt>
                <c:pt idx="208">
                  <c:v>4.5</c:v>
                </c:pt>
                <c:pt idx="209">
                  <c:v>4.5</c:v>
                </c:pt>
                <c:pt idx="210">
                  <c:v>4.5</c:v>
                </c:pt>
                <c:pt idx="211">
                  <c:v>12</c:v>
                </c:pt>
                <c:pt idx="212">
                  <c:v>7.5</c:v>
                </c:pt>
                <c:pt idx="213">
                  <c:v>32.5</c:v>
                </c:pt>
                <c:pt idx="214">
                  <c:v>12</c:v>
                </c:pt>
                <c:pt idx="215">
                  <c:v>7.5</c:v>
                </c:pt>
                <c:pt idx="216">
                  <c:v>29.5</c:v>
                </c:pt>
                <c:pt idx="217">
                  <c:v>7.5</c:v>
                </c:pt>
                <c:pt idx="218">
                  <c:v>20.5</c:v>
                </c:pt>
                <c:pt idx="219">
                  <c:v>23.5</c:v>
                </c:pt>
                <c:pt idx="220">
                  <c:v>28.5</c:v>
                </c:pt>
                <c:pt idx="221">
                  <c:v>10.5</c:v>
                </c:pt>
                <c:pt idx="222">
                  <c:v>10.5</c:v>
                </c:pt>
                <c:pt idx="223">
                  <c:v>10.5</c:v>
                </c:pt>
                <c:pt idx="224">
                  <c:v>10.5</c:v>
                </c:pt>
                <c:pt idx="225">
                  <c:v>10.5</c:v>
                </c:pt>
                <c:pt idx="226">
                  <c:v>10.5</c:v>
                </c:pt>
                <c:pt idx="227">
                  <c:v>10.5</c:v>
                </c:pt>
                <c:pt idx="228">
                  <c:v>10.5</c:v>
                </c:pt>
                <c:pt idx="229">
                  <c:v>19.5</c:v>
                </c:pt>
                <c:pt idx="230">
                  <c:v>1.5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20</c:v>
                </c:pt>
                <c:pt idx="239">
                  <c:v>21.5</c:v>
                </c:pt>
                <c:pt idx="240">
                  <c:v>24</c:v>
                </c:pt>
                <c:pt idx="241">
                  <c:v>9</c:v>
                </c:pt>
                <c:pt idx="242">
                  <c:v>9</c:v>
                </c:pt>
                <c:pt idx="243">
                  <c:v>17.5</c:v>
                </c:pt>
                <c:pt idx="244">
                  <c:v>22</c:v>
                </c:pt>
                <c:pt idx="245">
                  <c:v>24</c:v>
                </c:pt>
                <c:pt idx="246">
                  <c:v>23.5</c:v>
                </c:pt>
                <c:pt idx="247">
                  <c:v>37</c:v>
                </c:pt>
                <c:pt idx="248">
                  <c:v>9</c:v>
                </c:pt>
                <c:pt idx="249">
                  <c:v>7.5</c:v>
                </c:pt>
                <c:pt idx="250">
                  <c:v>7.5</c:v>
                </c:pt>
                <c:pt idx="251">
                  <c:v>17.5</c:v>
                </c:pt>
                <c:pt idx="252">
                  <c:v>7.5</c:v>
                </c:pt>
                <c:pt idx="253">
                  <c:v>4.5</c:v>
                </c:pt>
                <c:pt idx="254">
                  <c:v>4.5</c:v>
                </c:pt>
                <c:pt idx="255">
                  <c:v>3</c:v>
                </c:pt>
                <c:pt idx="256">
                  <c:v>23</c:v>
                </c:pt>
                <c:pt idx="257">
                  <c:v>24.5</c:v>
                </c:pt>
                <c:pt idx="258">
                  <c:v>10.5</c:v>
                </c:pt>
                <c:pt idx="259">
                  <c:v>22</c:v>
                </c:pt>
                <c:pt idx="260">
                  <c:v>19</c:v>
                </c:pt>
                <c:pt idx="261">
                  <c:v>12</c:v>
                </c:pt>
                <c:pt idx="262">
                  <c:v>12</c:v>
                </c:pt>
                <c:pt idx="263">
                  <c:v>33</c:v>
                </c:pt>
                <c:pt idx="264">
                  <c:v>9</c:v>
                </c:pt>
                <c:pt idx="265">
                  <c:v>31</c:v>
                </c:pt>
                <c:pt idx="266">
                  <c:v>7.5</c:v>
                </c:pt>
                <c:pt idx="267">
                  <c:v>27</c:v>
                </c:pt>
                <c:pt idx="268">
                  <c:v>22</c:v>
                </c:pt>
                <c:pt idx="269">
                  <c:v>7.5</c:v>
                </c:pt>
                <c:pt idx="270">
                  <c:v>9</c:v>
                </c:pt>
                <c:pt idx="271">
                  <c:v>23</c:v>
                </c:pt>
                <c:pt idx="272">
                  <c:v>32.5</c:v>
                </c:pt>
                <c:pt idx="273">
                  <c:v>7.5</c:v>
                </c:pt>
                <c:pt idx="274">
                  <c:v>51.5</c:v>
                </c:pt>
                <c:pt idx="275">
                  <c:v>39</c:v>
                </c:pt>
                <c:pt idx="276">
                  <c:v>62.5</c:v>
                </c:pt>
                <c:pt idx="277">
                  <c:v>45.5</c:v>
                </c:pt>
                <c:pt idx="278">
                  <c:v>44.5</c:v>
                </c:pt>
                <c:pt idx="279">
                  <c:v>45.5</c:v>
                </c:pt>
                <c:pt idx="280">
                  <c:v>42.5</c:v>
                </c:pt>
                <c:pt idx="281">
                  <c:v>43.5</c:v>
                </c:pt>
                <c:pt idx="282">
                  <c:v>58.5</c:v>
                </c:pt>
                <c:pt idx="283">
                  <c:v>53.5</c:v>
                </c:pt>
                <c:pt idx="284">
                  <c:v>58.5</c:v>
                </c:pt>
                <c:pt idx="285">
                  <c:v>61.5</c:v>
                </c:pt>
                <c:pt idx="286">
                  <c:v>59.5</c:v>
                </c:pt>
                <c:pt idx="287">
                  <c:v>44.5</c:v>
                </c:pt>
                <c:pt idx="288">
                  <c:v>28.5</c:v>
                </c:pt>
                <c:pt idx="289">
                  <c:v>31.5</c:v>
                </c:pt>
                <c:pt idx="290">
                  <c:v>46.5</c:v>
                </c:pt>
                <c:pt idx="291">
                  <c:v>13.5</c:v>
                </c:pt>
                <c:pt idx="292">
                  <c:v>23</c:v>
                </c:pt>
                <c:pt idx="293">
                  <c:v>19</c:v>
                </c:pt>
                <c:pt idx="294">
                  <c:v>22</c:v>
                </c:pt>
                <c:pt idx="295">
                  <c:v>31</c:v>
                </c:pt>
                <c:pt idx="296">
                  <c:v>59</c:v>
                </c:pt>
                <c:pt idx="297">
                  <c:v>39</c:v>
                </c:pt>
                <c:pt idx="298">
                  <c:v>9</c:v>
                </c:pt>
                <c:pt idx="299">
                  <c:v>34</c:v>
                </c:pt>
                <c:pt idx="300">
                  <c:v>12</c:v>
                </c:pt>
                <c:pt idx="301">
                  <c:v>9</c:v>
                </c:pt>
                <c:pt idx="302">
                  <c:v>7.5</c:v>
                </c:pt>
                <c:pt idx="303">
                  <c:v>46.5</c:v>
                </c:pt>
                <c:pt idx="304">
                  <c:v>19</c:v>
                </c:pt>
                <c:pt idx="305">
                  <c:v>19</c:v>
                </c:pt>
                <c:pt idx="306">
                  <c:v>45</c:v>
                </c:pt>
                <c:pt idx="307">
                  <c:v>48.5</c:v>
                </c:pt>
                <c:pt idx="308">
                  <c:v>34.5</c:v>
                </c:pt>
                <c:pt idx="309">
                  <c:v>49.5</c:v>
                </c:pt>
                <c:pt idx="310">
                  <c:v>30.5</c:v>
                </c:pt>
                <c:pt idx="311">
                  <c:v>16.5</c:v>
                </c:pt>
                <c:pt idx="312">
                  <c:v>53.5</c:v>
                </c:pt>
                <c:pt idx="313">
                  <c:v>43.5</c:v>
                </c:pt>
                <c:pt idx="314">
                  <c:v>34.5</c:v>
                </c:pt>
                <c:pt idx="315">
                  <c:v>18</c:v>
                </c:pt>
                <c:pt idx="316">
                  <c:v>15.5</c:v>
                </c:pt>
                <c:pt idx="317">
                  <c:v>4.5</c:v>
                </c:pt>
                <c:pt idx="318">
                  <c:v>4.5</c:v>
                </c:pt>
                <c:pt idx="319">
                  <c:v>4.5</c:v>
                </c:pt>
                <c:pt idx="320">
                  <c:v>9</c:v>
                </c:pt>
                <c:pt idx="321">
                  <c:v>9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33.758064516129025</c:v>
                </c:pt>
                <c:pt idx="354">
                  <c:v>44.35714285714289</c:v>
                </c:pt>
                <c:pt idx="356">
                  <c:v>21.69230769230769</c:v>
                </c:pt>
                <c:pt idx="357">
                  <c:v>1.5</c:v>
                </c:pt>
                <c:pt idx="358">
                  <c:v>7.5</c:v>
                </c:pt>
                <c:pt idx="359">
                  <c:v>7.5</c:v>
                </c:pt>
                <c:pt idx="360">
                  <c:v>7.5</c:v>
                </c:pt>
                <c:pt idx="361">
                  <c:v>7.5</c:v>
                </c:pt>
                <c:pt idx="362">
                  <c:v>7.5</c:v>
                </c:pt>
                <c:pt idx="363">
                  <c:v>7.5</c:v>
                </c:pt>
                <c:pt idx="364">
                  <c:v>7.5</c:v>
                </c:pt>
                <c:pt idx="365">
                  <c:v>7.5</c:v>
                </c:pt>
                <c:pt idx="366">
                  <c:v>7.5</c:v>
                </c:pt>
                <c:pt idx="367">
                  <c:v>20.5</c:v>
                </c:pt>
                <c:pt idx="368">
                  <c:v>18.5</c:v>
                </c:pt>
                <c:pt idx="369">
                  <c:v>7.5</c:v>
                </c:pt>
                <c:pt idx="370">
                  <c:v>18.5</c:v>
                </c:pt>
                <c:pt idx="371">
                  <c:v>18.5</c:v>
                </c:pt>
                <c:pt idx="372">
                  <c:v>7.5</c:v>
                </c:pt>
                <c:pt idx="373">
                  <c:v>20.5</c:v>
                </c:pt>
                <c:pt idx="374">
                  <c:v>1.5</c:v>
                </c:pt>
                <c:pt idx="375">
                  <c:v>22.5</c:v>
                </c:pt>
                <c:pt idx="376">
                  <c:v>12.5</c:v>
                </c:pt>
                <c:pt idx="377">
                  <c:v>1.5</c:v>
                </c:pt>
                <c:pt idx="378">
                  <c:v>11.5</c:v>
                </c:pt>
                <c:pt idx="379">
                  <c:v>1.5</c:v>
                </c:pt>
                <c:pt idx="380">
                  <c:v>1.5</c:v>
                </c:pt>
                <c:pt idx="381">
                  <c:v>1.5</c:v>
                </c:pt>
                <c:pt idx="382">
                  <c:v>1.5</c:v>
                </c:pt>
                <c:pt idx="383">
                  <c:v>1.5</c:v>
                </c:pt>
                <c:pt idx="384">
                  <c:v>1.5</c:v>
                </c:pt>
                <c:pt idx="385">
                  <c:v>1.5</c:v>
                </c:pt>
                <c:pt idx="386">
                  <c:v>7.5</c:v>
                </c:pt>
                <c:pt idx="387">
                  <c:v>7.5</c:v>
                </c:pt>
                <c:pt idx="388">
                  <c:v>7.5</c:v>
                </c:pt>
                <c:pt idx="389">
                  <c:v>7.5</c:v>
                </c:pt>
                <c:pt idx="390">
                  <c:v>7.5</c:v>
                </c:pt>
                <c:pt idx="391">
                  <c:v>18.5</c:v>
                </c:pt>
                <c:pt idx="392">
                  <c:v>7.5</c:v>
                </c:pt>
                <c:pt idx="393">
                  <c:v>26.5</c:v>
                </c:pt>
                <c:pt idx="394">
                  <c:v>21.5</c:v>
                </c:pt>
                <c:pt idx="395">
                  <c:v>7.5</c:v>
                </c:pt>
                <c:pt idx="396">
                  <c:v>18.5</c:v>
                </c:pt>
                <c:pt idx="397">
                  <c:v>29.5</c:v>
                </c:pt>
                <c:pt idx="398">
                  <c:v>13.5</c:v>
                </c:pt>
                <c:pt idx="399">
                  <c:v>13.5</c:v>
                </c:pt>
                <c:pt idx="400">
                  <c:v>13.5</c:v>
                </c:pt>
                <c:pt idx="401">
                  <c:v>13.5</c:v>
                </c:pt>
                <c:pt idx="402">
                  <c:v>13.5</c:v>
                </c:pt>
                <c:pt idx="403">
                  <c:v>13.5</c:v>
                </c:pt>
                <c:pt idx="404">
                  <c:v>13.5</c:v>
                </c:pt>
                <c:pt idx="405">
                  <c:v>13.5</c:v>
                </c:pt>
                <c:pt idx="406">
                  <c:v>13.5</c:v>
                </c:pt>
                <c:pt idx="407">
                  <c:v>13.5</c:v>
                </c:pt>
                <c:pt idx="408">
                  <c:v>13.5</c:v>
                </c:pt>
                <c:pt idx="409">
                  <c:v>13.5</c:v>
                </c:pt>
                <c:pt idx="410">
                  <c:v>13.5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17.5</c:v>
                </c:pt>
                <c:pt idx="415">
                  <c:v>1.5</c:v>
                </c:pt>
                <c:pt idx="416">
                  <c:v>7.5</c:v>
                </c:pt>
                <c:pt idx="417">
                  <c:v>7.5</c:v>
                </c:pt>
                <c:pt idx="418">
                  <c:v>7.5</c:v>
                </c:pt>
                <c:pt idx="419">
                  <c:v>7.5</c:v>
                </c:pt>
                <c:pt idx="420">
                  <c:v>33.5</c:v>
                </c:pt>
                <c:pt idx="421">
                  <c:v>18.5</c:v>
                </c:pt>
                <c:pt idx="422">
                  <c:v>1.5</c:v>
                </c:pt>
                <c:pt idx="423">
                  <c:v>1.5</c:v>
                </c:pt>
                <c:pt idx="424">
                  <c:v>13.5</c:v>
                </c:pt>
                <c:pt idx="425">
                  <c:v>12.5</c:v>
                </c:pt>
                <c:pt idx="426">
                  <c:v>1.5</c:v>
                </c:pt>
                <c:pt idx="427">
                  <c:v>21.5</c:v>
                </c:pt>
                <c:pt idx="428">
                  <c:v>11.5</c:v>
                </c:pt>
                <c:pt idx="429">
                  <c:v>1.5</c:v>
                </c:pt>
                <c:pt idx="430">
                  <c:v>12.5</c:v>
                </c:pt>
                <c:pt idx="431">
                  <c:v>22.5</c:v>
                </c:pt>
                <c:pt idx="432">
                  <c:v>22.5</c:v>
                </c:pt>
                <c:pt idx="433">
                  <c:v>7.5</c:v>
                </c:pt>
                <c:pt idx="434">
                  <c:v>18.5</c:v>
                </c:pt>
                <c:pt idx="435">
                  <c:v>17.5</c:v>
                </c:pt>
                <c:pt idx="436">
                  <c:v>19.5</c:v>
                </c:pt>
                <c:pt idx="437">
                  <c:v>1.5</c:v>
                </c:pt>
                <c:pt idx="438">
                  <c:v>11.5</c:v>
                </c:pt>
                <c:pt idx="439">
                  <c:v>15.500000000000002</c:v>
                </c:pt>
                <c:pt idx="440">
                  <c:v>13.5</c:v>
                </c:pt>
                <c:pt idx="441">
                  <c:v>1.5</c:v>
                </c:pt>
                <c:pt idx="442">
                  <c:v>1.5</c:v>
                </c:pt>
                <c:pt idx="443">
                  <c:v>1.5</c:v>
                </c:pt>
                <c:pt idx="444">
                  <c:v>15.500000000000002</c:v>
                </c:pt>
                <c:pt idx="445">
                  <c:v>18.5</c:v>
                </c:pt>
                <c:pt idx="446">
                  <c:v>1.5</c:v>
                </c:pt>
                <c:pt idx="447">
                  <c:v>1.5</c:v>
                </c:pt>
                <c:pt idx="448">
                  <c:v>1.5</c:v>
                </c:pt>
                <c:pt idx="449">
                  <c:v>1.5</c:v>
                </c:pt>
                <c:pt idx="450">
                  <c:v>7.5</c:v>
                </c:pt>
                <c:pt idx="451">
                  <c:v>34.5</c:v>
                </c:pt>
                <c:pt idx="452">
                  <c:v>33.5</c:v>
                </c:pt>
                <c:pt idx="453">
                  <c:v>24.5</c:v>
                </c:pt>
                <c:pt idx="454">
                  <c:v>21.5</c:v>
                </c:pt>
                <c:pt idx="455">
                  <c:v>7.5</c:v>
                </c:pt>
                <c:pt idx="456">
                  <c:v>32.5</c:v>
                </c:pt>
                <c:pt idx="458">
                  <c:v>7.5</c:v>
                </c:pt>
                <c:pt idx="459">
                  <c:v>29.5</c:v>
                </c:pt>
                <c:pt idx="460">
                  <c:v>18.5</c:v>
                </c:pt>
                <c:pt idx="461">
                  <c:v>22.5</c:v>
                </c:pt>
                <c:pt idx="462">
                  <c:v>20.5</c:v>
                </c:pt>
                <c:pt idx="463">
                  <c:v>7.5</c:v>
                </c:pt>
                <c:pt idx="464">
                  <c:v>34.5</c:v>
                </c:pt>
                <c:pt idx="465">
                  <c:v>25.5</c:v>
                </c:pt>
                <c:pt idx="466">
                  <c:v>32.5</c:v>
                </c:pt>
                <c:pt idx="467">
                  <c:v>7.5</c:v>
                </c:pt>
                <c:pt idx="468">
                  <c:v>7.5</c:v>
                </c:pt>
                <c:pt idx="469">
                  <c:v>7.5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21.5</c:v>
                </c:pt>
                <c:pt idx="506">
                  <c:v>4.5</c:v>
                </c:pt>
                <c:pt idx="507">
                  <c:v>4.5</c:v>
                </c:pt>
                <c:pt idx="508">
                  <c:v>1.5</c:v>
                </c:pt>
                <c:pt idx="509">
                  <c:v>6</c:v>
                </c:pt>
                <c:pt idx="510">
                  <c:v>10.5</c:v>
                </c:pt>
                <c:pt idx="511">
                  <c:v>10.5</c:v>
                </c:pt>
                <c:pt idx="512">
                  <c:v>13.5</c:v>
                </c:pt>
                <c:pt idx="513">
                  <c:v>37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12</c:v>
                </c:pt>
                <c:pt idx="518">
                  <c:v>38</c:v>
                </c:pt>
                <c:pt idx="519">
                  <c:v>31.5</c:v>
                </c:pt>
                <c:pt idx="520">
                  <c:v>41</c:v>
                </c:pt>
                <c:pt idx="521">
                  <c:v>28</c:v>
                </c:pt>
                <c:pt idx="522">
                  <c:v>9</c:v>
                </c:pt>
                <c:pt idx="523">
                  <c:v>9</c:v>
                </c:pt>
                <c:pt idx="524">
                  <c:v>10.5</c:v>
                </c:pt>
                <c:pt idx="525">
                  <c:v>10.5</c:v>
                </c:pt>
                <c:pt idx="526">
                  <c:v>4.5</c:v>
                </c:pt>
                <c:pt idx="527">
                  <c:v>20</c:v>
                </c:pt>
                <c:pt idx="528">
                  <c:v>9</c:v>
                </c:pt>
                <c:pt idx="529">
                  <c:v>4.5</c:v>
                </c:pt>
                <c:pt idx="530">
                  <c:v>16.5</c:v>
                </c:pt>
                <c:pt idx="531">
                  <c:v>57.5</c:v>
                </c:pt>
                <c:pt idx="532">
                  <c:v>22</c:v>
                </c:pt>
                <c:pt idx="533">
                  <c:v>51.5</c:v>
                </c:pt>
                <c:pt idx="534">
                  <c:v>11.5</c:v>
                </c:pt>
                <c:pt idx="535">
                  <c:v>7.5</c:v>
                </c:pt>
                <c:pt idx="536">
                  <c:v>39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21</c:v>
                </c:pt>
                <c:pt idx="541">
                  <c:v>19</c:v>
                </c:pt>
                <c:pt idx="542">
                  <c:v>18</c:v>
                </c:pt>
                <c:pt idx="543">
                  <c:v>37</c:v>
                </c:pt>
                <c:pt idx="544">
                  <c:v>3</c:v>
                </c:pt>
                <c:pt idx="545">
                  <c:v>23</c:v>
                </c:pt>
                <c:pt idx="546">
                  <c:v>32</c:v>
                </c:pt>
                <c:pt idx="547">
                  <c:v>29</c:v>
                </c:pt>
                <c:pt idx="548">
                  <c:v>35</c:v>
                </c:pt>
                <c:pt idx="549">
                  <c:v>25</c:v>
                </c:pt>
                <c:pt idx="550">
                  <c:v>32</c:v>
                </c:pt>
                <c:pt idx="551">
                  <c:v>21.5</c:v>
                </c:pt>
                <c:pt idx="552">
                  <c:v>21.5</c:v>
                </c:pt>
                <c:pt idx="553">
                  <c:v>42</c:v>
                </c:pt>
                <c:pt idx="554">
                  <c:v>17.5</c:v>
                </c:pt>
                <c:pt idx="555">
                  <c:v>28.5</c:v>
                </c:pt>
                <c:pt idx="556">
                  <c:v>13.5</c:v>
                </c:pt>
                <c:pt idx="557">
                  <c:v>9</c:v>
                </c:pt>
                <c:pt idx="558">
                  <c:v>19</c:v>
                </c:pt>
                <c:pt idx="559">
                  <c:v>24</c:v>
                </c:pt>
                <c:pt idx="560">
                  <c:v>1.5</c:v>
                </c:pt>
                <c:pt idx="561">
                  <c:v>1.5</c:v>
                </c:pt>
                <c:pt idx="562">
                  <c:v>1.5</c:v>
                </c:pt>
                <c:pt idx="563">
                  <c:v>12</c:v>
                </c:pt>
                <c:pt idx="564">
                  <c:v>10.5</c:v>
                </c:pt>
                <c:pt idx="565">
                  <c:v>19</c:v>
                </c:pt>
                <c:pt idx="566">
                  <c:v>21</c:v>
                </c:pt>
                <c:pt idx="567">
                  <c:v>40.5</c:v>
                </c:pt>
                <c:pt idx="568">
                  <c:v>39.5</c:v>
                </c:pt>
                <c:pt idx="569">
                  <c:v>28.5</c:v>
                </c:pt>
                <c:pt idx="570">
                  <c:v>48.5</c:v>
                </c:pt>
                <c:pt idx="571">
                  <c:v>23.5</c:v>
                </c:pt>
                <c:pt idx="572">
                  <c:v>7.5</c:v>
                </c:pt>
                <c:pt idx="573">
                  <c:v>12.5</c:v>
                </c:pt>
                <c:pt idx="574">
                  <c:v>1.5</c:v>
                </c:pt>
                <c:pt idx="575">
                  <c:v>10.5</c:v>
                </c:pt>
                <c:pt idx="576">
                  <c:v>10.5</c:v>
                </c:pt>
                <c:pt idx="577">
                  <c:v>1.5</c:v>
                </c:pt>
                <c:pt idx="578">
                  <c:v>1.5</c:v>
                </c:pt>
                <c:pt idx="579">
                  <c:v>13.5</c:v>
                </c:pt>
                <c:pt idx="580">
                  <c:v>30</c:v>
                </c:pt>
                <c:pt idx="581">
                  <c:v>1.5</c:v>
                </c:pt>
                <c:pt idx="582">
                  <c:v>27</c:v>
                </c:pt>
                <c:pt idx="583">
                  <c:v>13.688393011200001</c:v>
                </c:pt>
                <c:pt idx="584">
                  <c:v>15.25</c:v>
                </c:pt>
                <c:pt idx="585">
                  <c:v>4.4074975044000002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28.166666666666657</c:v>
                </c:pt>
                <c:pt idx="596">
                  <c:v>26.499999999999993</c:v>
                </c:pt>
                <c:pt idx="597">
                  <c:v>12</c:v>
                </c:pt>
                <c:pt idx="598">
                  <c:v>10.5</c:v>
                </c:pt>
                <c:pt idx="599">
                  <c:v>10.5</c:v>
                </c:pt>
                <c:pt idx="600">
                  <c:v>41.6666666666666</c:v>
                </c:pt>
                <c:pt idx="601">
                  <c:v>24.833333333333346</c:v>
                </c:pt>
                <c:pt idx="602">
                  <c:v>30.249999999999986</c:v>
                </c:pt>
                <c:pt idx="603">
                  <c:v>36.5</c:v>
                </c:pt>
                <c:pt idx="604">
                  <c:v>10.5</c:v>
                </c:pt>
                <c:pt idx="605">
                  <c:v>34.5</c:v>
                </c:pt>
                <c:pt idx="606">
                  <c:v>13.5</c:v>
                </c:pt>
                <c:pt idx="607">
                  <c:v>9</c:v>
                </c:pt>
                <c:pt idx="608">
                  <c:v>9</c:v>
                </c:pt>
                <c:pt idx="609">
                  <c:v>9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22.548387096774185</c:v>
                </c:pt>
                <c:pt idx="614">
                  <c:v>42.374999999999972</c:v>
                </c:pt>
                <c:pt idx="615">
                  <c:v>42.642857142857181</c:v>
                </c:pt>
                <c:pt idx="616">
                  <c:v>45.562499999999964</c:v>
                </c:pt>
                <c:pt idx="617">
                  <c:v>30.666666666666668</c:v>
                </c:pt>
                <c:pt idx="618">
                  <c:v>38.2826086956522</c:v>
                </c:pt>
                <c:pt idx="619">
                  <c:v>32.437499999999979</c:v>
                </c:pt>
                <c:pt idx="620">
                  <c:v>16.600000000000001</c:v>
                </c:pt>
                <c:pt idx="621">
                  <c:v>24.928571428571431</c:v>
                </c:pt>
                <c:pt idx="622">
                  <c:v>36.299999999999997</c:v>
                </c:pt>
                <c:pt idx="623">
                  <c:v>46.131578947368446</c:v>
                </c:pt>
                <c:pt idx="624">
                  <c:v>8.9374999999999947</c:v>
                </c:pt>
                <c:pt idx="625">
                  <c:v>9.8421052631579258</c:v>
                </c:pt>
                <c:pt idx="626">
                  <c:v>37.833333333333329</c:v>
                </c:pt>
                <c:pt idx="627">
                  <c:v>17.166666666666639</c:v>
                </c:pt>
                <c:pt idx="628">
                  <c:v>28.794117647058862</c:v>
                </c:pt>
                <c:pt idx="629">
                  <c:v>39.653846153846075</c:v>
                </c:pt>
                <c:pt idx="630">
                  <c:v>12.846153846153854</c:v>
                </c:pt>
                <c:pt idx="631">
                  <c:v>15.111111111111121</c:v>
                </c:pt>
                <c:pt idx="632">
                  <c:v>28.999999999999972</c:v>
                </c:pt>
                <c:pt idx="633">
                  <c:v>31.565217391304373</c:v>
                </c:pt>
                <c:pt idx="634">
                  <c:v>24.428571428571431</c:v>
                </c:pt>
                <c:pt idx="635">
                  <c:v>6</c:v>
                </c:pt>
                <c:pt idx="636">
                  <c:v>7.5</c:v>
                </c:pt>
                <c:pt idx="637">
                  <c:v>7.5</c:v>
                </c:pt>
                <c:pt idx="638">
                  <c:v>20.000000000000043</c:v>
                </c:pt>
                <c:pt idx="639">
                  <c:v>25.642857142857096</c:v>
                </c:pt>
                <c:pt idx="640">
                  <c:v>13.5</c:v>
                </c:pt>
                <c:pt idx="641">
                  <c:v>20.500000000000014</c:v>
                </c:pt>
                <c:pt idx="642">
                  <c:v>13.5</c:v>
                </c:pt>
                <c:pt idx="643">
                  <c:v>23.571428571428537</c:v>
                </c:pt>
                <c:pt idx="644">
                  <c:v>38.571428571428712</c:v>
                </c:pt>
                <c:pt idx="645">
                  <c:v>24.999999999999975</c:v>
                </c:pt>
                <c:pt idx="646">
                  <c:v>24.090909090909022</c:v>
                </c:pt>
                <c:pt idx="647">
                  <c:v>13.5</c:v>
                </c:pt>
                <c:pt idx="648">
                  <c:v>20.642857142857189</c:v>
                </c:pt>
                <c:pt idx="649">
                  <c:v>9</c:v>
                </c:pt>
                <c:pt idx="650">
                  <c:v>34.21428571428563</c:v>
                </c:pt>
                <c:pt idx="651">
                  <c:v>9</c:v>
                </c:pt>
                <c:pt idx="652">
                  <c:v>3</c:v>
                </c:pt>
                <c:pt idx="653">
                  <c:v>37.105263157894669</c:v>
                </c:pt>
                <c:pt idx="654">
                  <c:v>18.499999999999993</c:v>
                </c:pt>
                <c:pt idx="655">
                  <c:v>24.611111111111128</c:v>
                </c:pt>
                <c:pt idx="656">
                  <c:v>50.384615384615465</c:v>
                </c:pt>
                <c:pt idx="657">
                  <c:v>42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41</c:v>
                </c:pt>
                <c:pt idx="662">
                  <c:v>14.642857142857114</c:v>
                </c:pt>
                <c:pt idx="663">
                  <c:v>9</c:v>
                </c:pt>
                <c:pt idx="664">
                  <c:v>16.394736842105274</c:v>
                </c:pt>
                <c:pt idx="665">
                  <c:v>13.5</c:v>
                </c:pt>
                <c:pt idx="666">
                  <c:v>23.500000000000092</c:v>
                </c:pt>
                <c:pt idx="667">
                  <c:v>25.323529411764618</c:v>
                </c:pt>
                <c:pt idx="668">
                  <c:v>3</c:v>
                </c:pt>
                <c:pt idx="669">
                  <c:v>47.333333333333336</c:v>
                </c:pt>
                <c:pt idx="670">
                  <c:v>42.052631578947306</c:v>
                </c:pt>
                <c:pt idx="671">
                  <c:v>51.322580645161345</c:v>
                </c:pt>
                <c:pt idx="672">
                  <c:v>61.650406504064904</c:v>
                </c:pt>
                <c:pt idx="673">
                  <c:v>65.973544973544961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31.500000000000007</c:v>
                </c:pt>
                <c:pt idx="679">
                  <c:v>39.833333333333314</c:v>
                </c:pt>
                <c:pt idx="680">
                  <c:v>29.625000000000004</c:v>
                </c:pt>
                <c:pt idx="681">
                  <c:v>39.833333333333321</c:v>
                </c:pt>
                <c:pt idx="682">
                  <c:v>48.246031746031754</c:v>
                </c:pt>
                <c:pt idx="683">
                  <c:v>50.710526315789487</c:v>
                </c:pt>
                <c:pt idx="684">
                  <c:v>24.833333333333329</c:v>
                </c:pt>
                <c:pt idx="685">
                  <c:v>44.833333333333321</c:v>
                </c:pt>
                <c:pt idx="686">
                  <c:v>30.25000000000005</c:v>
                </c:pt>
                <c:pt idx="687">
                  <c:v>16.5</c:v>
                </c:pt>
                <c:pt idx="688">
                  <c:v>45.388888888888935</c:v>
                </c:pt>
                <c:pt idx="689">
                  <c:v>38.264705882352928</c:v>
                </c:pt>
                <c:pt idx="690">
                  <c:v>25.07142857142858</c:v>
                </c:pt>
                <c:pt idx="691">
                  <c:v>20.30952380952381</c:v>
                </c:pt>
                <c:pt idx="692">
                  <c:v>9</c:v>
                </c:pt>
                <c:pt idx="693">
                  <c:v>6</c:v>
                </c:pt>
                <c:pt idx="694">
                  <c:v>22.020833333333343</c:v>
                </c:pt>
                <c:pt idx="695">
                  <c:v>20.864406779660985</c:v>
                </c:pt>
                <c:pt idx="696">
                  <c:v>6</c:v>
                </c:pt>
                <c:pt idx="697">
                  <c:v>22.611111111111132</c:v>
                </c:pt>
                <c:pt idx="698">
                  <c:v>6</c:v>
                </c:pt>
                <c:pt idx="699">
                  <c:v>31.075129533678759</c:v>
                </c:pt>
                <c:pt idx="700">
                  <c:v>3</c:v>
                </c:pt>
                <c:pt idx="701">
                  <c:v>3</c:v>
                </c:pt>
                <c:pt idx="702">
                  <c:v>9</c:v>
                </c:pt>
                <c:pt idx="703">
                  <c:v>16.630434782608681</c:v>
                </c:pt>
                <c:pt idx="704">
                  <c:v>25.5</c:v>
                </c:pt>
                <c:pt idx="705">
                  <c:v>12.88461538461539</c:v>
                </c:pt>
                <c:pt idx="706">
                  <c:v>23.307692307692321</c:v>
                </c:pt>
                <c:pt idx="707">
                  <c:v>17.607142857142811</c:v>
                </c:pt>
                <c:pt idx="708">
                  <c:v>7.5</c:v>
                </c:pt>
                <c:pt idx="709">
                  <c:v>6</c:v>
                </c:pt>
                <c:pt idx="710">
                  <c:v>30.166666666666664</c:v>
                </c:pt>
                <c:pt idx="711">
                  <c:v>7.5</c:v>
                </c:pt>
                <c:pt idx="712">
                  <c:v>7.5</c:v>
                </c:pt>
                <c:pt idx="713">
                  <c:v>7.5</c:v>
                </c:pt>
                <c:pt idx="714">
                  <c:v>13.5</c:v>
                </c:pt>
                <c:pt idx="715">
                  <c:v>16.071428571428623</c:v>
                </c:pt>
                <c:pt idx="716">
                  <c:v>7.5</c:v>
                </c:pt>
                <c:pt idx="717">
                  <c:v>7.5</c:v>
                </c:pt>
                <c:pt idx="718">
                  <c:v>7.5</c:v>
                </c:pt>
                <c:pt idx="719">
                  <c:v>7.5</c:v>
                </c:pt>
                <c:pt idx="720">
                  <c:v>7.5</c:v>
                </c:pt>
                <c:pt idx="721">
                  <c:v>9</c:v>
                </c:pt>
                <c:pt idx="722">
                  <c:v>21</c:v>
                </c:pt>
                <c:pt idx="723">
                  <c:v>10.5</c:v>
                </c:pt>
                <c:pt idx="724">
                  <c:v>9</c:v>
                </c:pt>
                <c:pt idx="725">
                  <c:v>9</c:v>
                </c:pt>
                <c:pt idx="726">
                  <c:v>9</c:v>
                </c:pt>
                <c:pt idx="727">
                  <c:v>28.282608695652193</c:v>
                </c:pt>
                <c:pt idx="728">
                  <c:v>35.558823529411768</c:v>
                </c:pt>
                <c:pt idx="729">
                  <c:v>31.119047619047549</c:v>
                </c:pt>
                <c:pt idx="730">
                  <c:v>20.166666666666679</c:v>
                </c:pt>
                <c:pt idx="731">
                  <c:v>15.5</c:v>
                </c:pt>
                <c:pt idx="732">
                  <c:v>7.5</c:v>
                </c:pt>
                <c:pt idx="733">
                  <c:v>10.5</c:v>
                </c:pt>
                <c:pt idx="734">
                  <c:v>6.7380952380952523</c:v>
                </c:pt>
                <c:pt idx="735">
                  <c:v>10.5</c:v>
                </c:pt>
                <c:pt idx="736">
                  <c:v>1.5</c:v>
                </c:pt>
                <c:pt idx="737">
                  <c:v>23.24999999999994</c:v>
                </c:pt>
                <c:pt idx="738">
                  <c:v>1.5</c:v>
                </c:pt>
                <c:pt idx="739">
                  <c:v>20.333333333333332</c:v>
                </c:pt>
                <c:pt idx="740">
                  <c:v>12</c:v>
                </c:pt>
                <c:pt idx="741">
                  <c:v>6</c:v>
                </c:pt>
                <c:pt idx="742">
                  <c:v>34.75</c:v>
                </c:pt>
                <c:pt idx="743">
                  <c:v>34.928571428571487</c:v>
                </c:pt>
                <c:pt idx="744">
                  <c:v>22.25</c:v>
                </c:pt>
                <c:pt idx="745">
                  <c:v>12</c:v>
                </c:pt>
                <c:pt idx="746">
                  <c:v>17.666666666666668</c:v>
                </c:pt>
                <c:pt idx="747">
                  <c:v>12</c:v>
                </c:pt>
                <c:pt idx="748">
                  <c:v>18.249999999999986</c:v>
                </c:pt>
                <c:pt idx="749">
                  <c:v>12</c:v>
                </c:pt>
                <c:pt idx="750">
                  <c:v>16.583333333333378</c:v>
                </c:pt>
                <c:pt idx="751">
                  <c:v>17.416666666666654</c:v>
                </c:pt>
                <c:pt idx="752">
                  <c:v>12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22.428571428571423</c:v>
                </c:pt>
                <c:pt idx="762">
                  <c:v>10.5</c:v>
                </c:pt>
                <c:pt idx="763">
                  <c:v>24</c:v>
                </c:pt>
                <c:pt idx="764">
                  <c:v>23.818181818181817</c:v>
                </c:pt>
                <c:pt idx="765">
                  <c:v>6</c:v>
                </c:pt>
                <c:pt idx="766">
                  <c:v>22.264705882352949</c:v>
                </c:pt>
                <c:pt idx="767">
                  <c:v>23.5</c:v>
                </c:pt>
                <c:pt idx="768">
                  <c:v>13.833333333333332</c:v>
                </c:pt>
                <c:pt idx="769">
                  <c:v>10.5</c:v>
                </c:pt>
                <c:pt idx="770">
                  <c:v>20.749999999999993</c:v>
                </c:pt>
                <c:pt idx="771">
                  <c:v>12</c:v>
                </c:pt>
                <c:pt idx="772">
                  <c:v>12</c:v>
                </c:pt>
                <c:pt idx="773">
                  <c:v>12</c:v>
                </c:pt>
                <c:pt idx="774">
                  <c:v>48.00000000000005</c:v>
                </c:pt>
                <c:pt idx="775">
                  <c:v>41</c:v>
                </c:pt>
                <c:pt idx="776">
                  <c:v>18</c:v>
                </c:pt>
                <c:pt idx="777">
                  <c:v>34.363636363636346</c:v>
                </c:pt>
                <c:pt idx="778">
                  <c:v>10.5</c:v>
                </c:pt>
                <c:pt idx="779">
                  <c:v>10.5</c:v>
                </c:pt>
                <c:pt idx="780">
                  <c:v>7.5</c:v>
                </c:pt>
                <c:pt idx="782">
                  <c:v>10.5</c:v>
                </c:pt>
                <c:pt idx="783">
                  <c:v>10.5</c:v>
                </c:pt>
                <c:pt idx="784">
                  <c:v>10.5</c:v>
                </c:pt>
                <c:pt idx="785">
                  <c:v>10.5</c:v>
                </c:pt>
                <c:pt idx="786">
                  <c:v>10.5</c:v>
                </c:pt>
                <c:pt idx="787">
                  <c:v>13.5</c:v>
                </c:pt>
                <c:pt idx="788">
                  <c:v>13.5</c:v>
                </c:pt>
                <c:pt idx="789">
                  <c:v>12</c:v>
                </c:pt>
                <c:pt idx="790">
                  <c:v>12</c:v>
                </c:pt>
                <c:pt idx="791">
                  <c:v>12</c:v>
                </c:pt>
                <c:pt idx="792">
                  <c:v>12</c:v>
                </c:pt>
                <c:pt idx="793">
                  <c:v>38.166666666666615</c:v>
                </c:pt>
                <c:pt idx="794">
                  <c:v>21.625000000000028</c:v>
                </c:pt>
                <c:pt idx="795">
                  <c:v>13.5</c:v>
                </c:pt>
                <c:pt idx="796">
                  <c:v>13.5</c:v>
                </c:pt>
                <c:pt idx="797">
                  <c:v>13.5</c:v>
                </c:pt>
                <c:pt idx="798">
                  <c:v>13.5</c:v>
                </c:pt>
                <c:pt idx="799">
                  <c:v>13.5</c:v>
                </c:pt>
                <c:pt idx="800">
                  <c:v>19.815789473684191</c:v>
                </c:pt>
                <c:pt idx="801">
                  <c:v>28.499999999999964</c:v>
                </c:pt>
                <c:pt idx="802">
                  <c:v>12</c:v>
                </c:pt>
                <c:pt idx="803">
                  <c:v>12</c:v>
                </c:pt>
                <c:pt idx="804">
                  <c:v>12</c:v>
                </c:pt>
                <c:pt idx="805">
                  <c:v>12</c:v>
                </c:pt>
                <c:pt idx="806">
                  <c:v>16.857142857142865</c:v>
                </c:pt>
                <c:pt idx="807">
                  <c:v>6</c:v>
                </c:pt>
                <c:pt idx="808">
                  <c:v>6</c:v>
                </c:pt>
                <c:pt idx="809">
                  <c:v>6</c:v>
                </c:pt>
                <c:pt idx="810">
                  <c:v>6</c:v>
                </c:pt>
                <c:pt idx="811">
                  <c:v>6</c:v>
                </c:pt>
                <c:pt idx="812">
                  <c:v>6</c:v>
                </c:pt>
                <c:pt idx="813">
                  <c:v>10.5</c:v>
                </c:pt>
                <c:pt idx="814">
                  <c:v>10.5</c:v>
                </c:pt>
                <c:pt idx="815">
                  <c:v>6</c:v>
                </c:pt>
                <c:pt idx="816">
                  <c:v>13.5</c:v>
                </c:pt>
                <c:pt idx="817">
                  <c:v>21.921052631578952</c:v>
                </c:pt>
                <c:pt idx="818">
                  <c:v>27.833333333333336</c:v>
                </c:pt>
                <c:pt idx="819">
                  <c:v>29.333333333333393</c:v>
                </c:pt>
                <c:pt idx="820">
                  <c:v>13.5</c:v>
                </c:pt>
                <c:pt idx="821">
                  <c:v>13.5</c:v>
                </c:pt>
                <c:pt idx="822">
                  <c:v>16.583333333333321</c:v>
                </c:pt>
                <c:pt idx="823">
                  <c:v>13.5</c:v>
                </c:pt>
                <c:pt idx="824">
                  <c:v>45.5</c:v>
                </c:pt>
                <c:pt idx="825">
                  <c:v>13.5</c:v>
                </c:pt>
                <c:pt idx="826">
                  <c:v>13.5</c:v>
                </c:pt>
                <c:pt idx="827">
                  <c:v>13.5</c:v>
                </c:pt>
                <c:pt idx="828">
                  <c:v>12</c:v>
                </c:pt>
                <c:pt idx="829">
                  <c:v>29.142857142857245</c:v>
                </c:pt>
                <c:pt idx="830">
                  <c:v>12</c:v>
                </c:pt>
                <c:pt idx="831">
                  <c:v>12</c:v>
                </c:pt>
                <c:pt idx="832">
                  <c:v>18.115384615384627</c:v>
                </c:pt>
                <c:pt idx="833">
                  <c:v>20.868421052631557</c:v>
                </c:pt>
                <c:pt idx="834">
                  <c:v>42</c:v>
                </c:pt>
                <c:pt idx="835">
                  <c:v>58.500000000000796</c:v>
                </c:pt>
                <c:pt idx="836">
                  <c:v>27.818181818181763</c:v>
                </c:pt>
                <c:pt idx="837">
                  <c:v>38.916666666666629</c:v>
                </c:pt>
                <c:pt idx="838">
                  <c:v>52.5</c:v>
                </c:pt>
                <c:pt idx="839">
                  <c:v>44</c:v>
                </c:pt>
                <c:pt idx="840">
                  <c:v>38.75</c:v>
                </c:pt>
                <c:pt idx="841">
                  <c:v>41.714285714285772</c:v>
                </c:pt>
                <c:pt idx="842">
                  <c:v>49.947368421052545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12</c:v>
                </c:pt>
                <c:pt idx="848">
                  <c:v>12</c:v>
                </c:pt>
                <c:pt idx="849">
                  <c:v>12</c:v>
                </c:pt>
                <c:pt idx="850">
                  <c:v>27.45454545454546</c:v>
                </c:pt>
                <c:pt idx="851">
                  <c:v>12</c:v>
                </c:pt>
                <c:pt idx="852">
                  <c:v>12</c:v>
                </c:pt>
                <c:pt idx="853">
                  <c:v>12</c:v>
                </c:pt>
                <c:pt idx="854">
                  <c:v>26.285714285714302</c:v>
                </c:pt>
                <c:pt idx="855">
                  <c:v>12</c:v>
                </c:pt>
                <c:pt idx="856">
                  <c:v>31.115384615384606</c:v>
                </c:pt>
                <c:pt idx="857">
                  <c:v>15</c:v>
                </c:pt>
                <c:pt idx="858">
                  <c:v>24.548780487804883</c:v>
                </c:pt>
                <c:pt idx="859">
                  <c:v>30.166666666666625</c:v>
                </c:pt>
                <c:pt idx="860">
                  <c:v>12</c:v>
                </c:pt>
                <c:pt idx="861">
                  <c:v>12</c:v>
                </c:pt>
                <c:pt idx="862">
                  <c:v>12</c:v>
                </c:pt>
                <c:pt idx="863">
                  <c:v>12</c:v>
                </c:pt>
                <c:pt idx="864">
                  <c:v>12</c:v>
                </c:pt>
                <c:pt idx="865">
                  <c:v>12</c:v>
                </c:pt>
                <c:pt idx="866">
                  <c:v>30.571428571428498</c:v>
                </c:pt>
                <c:pt idx="867">
                  <c:v>12</c:v>
                </c:pt>
                <c:pt idx="868">
                  <c:v>12</c:v>
                </c:pt>
                <c:pt idx="869">
                  <c:v>12</c:v>
                </c:pt>
                <c:pt idx="870">
                  <c:v>38.249999999999972</c:v>
                </c:pt>
                <c:pt idx="871">
                  <c:v>13.5</c:v>
                </c:pt>
                <c:pt idx="872">
                  <c:v>22.250000000000007</c:v>
                </c:pt>
                <c:pt idx="873">
                  <c:v>22.75</c:v>
                </c:pt>
                <c:pt idx="874">
                  <c:v>47.857142857142861</c:v>
                </c:pt>
                <c:pt idx="875">
                  <c:v>48.619047619047599</c:v>
                </c:pt>
                <c:pt idx="876">
                  <c:v>29.25</c:v>
                </c:pt>
                <c:pt idx="877">
                  <c:v>29.380952380952397</c:v>
                </c:pt>
                <c:pt idx="878">
                  <c:v>45.25</c:v>
                </c:pt>
                <c:pt idx="879">
                  <c:v>24.92857142857142</c:v>
                </c:pt>
                <c:pt idx="880">
                  <c:v>29.081395348837219</c:v>
                </c:pt>
                <c:pt idx="881">
                  <c:v>34.878378378378365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25.857142857142858</c:v>
                </c:pt>
                <c:pt idx="886">
                  <c:v>14.238095238095239</c:v>
                </c:pt>
                <c:pt idx="887">
                  <c:v>23.473684210526315</c:v>
                </c:pt>
                <c:pt idx="888">
                  <c:v>20.75</c:v>
                </c:pt>
                <c:pt idx="889">
                  <c:v>27.750000000000011</c:v>
                </c:pt>
                <c:pt idx="890">
                  <c:v>16.136363636363626</c:v>
                </c:pt>
                <c:pt idx="891">
                  <c:v>9</c:v>
                </c:pt>
                <c:pt idx="892">
                  <c:v>19.769230769230766</c:v>
                </c:pt>
                <c:pt idx="893">
                  <c:v>24.95238095238097</c:v>
                </c:pt>
                <c:pt idx="894">
                  <c:v>14.25</c:v>
                </c:pt>
                <c:pt idx="895">
                  <c:v>7.5</c:v>
                </c:pt>
                <c:pt idx="896">
                  <c:v>16.857142857142865</c:v>
                </c:pt>
                <c:pt idx="897">
                  <c:v>14.769230769230766</c:v>
                </c:pt>
                <c:pt idx="898">
                  <c:v>56</c:v>
                </c:pt>
                <c:pt idx="899">
                  <c:v>41.500000000000021</c:v>
                </c:pt>
                <c:pt idx="900">
                  <c:v>21.863636363636349</c:v>
                </c:pt>
                <c:pt idx="901">
                  <c:v>9</c:v>
                </c:pt>
                <c:pt idx="902">
                  <c:v>9</c:v>
                </c:pt>
                <c:pt idx="903">
                  <c:v>9</c:v>
                </c:pt>
                <c:pt idx="904">
                  <c:v>51.741935483871025</c:v>
                </c:pt>
                <c:pt idx="905">
                  <c:v>42.92238267148015</c:v>
                </c:pt>
                <c:pt idx="906">
                  <c:v>44.5</c:v>
                </c:pt>
                <c:pt idx="907">
                  <c:v>56.12295081967217</c:v>
                </c:pt>
                <c:pt idx="908">
                  <c:v>48.648514851485096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12</c:v>
                </c:pt>
                <c:pt idx="913">
                  <c:v>12</c:v>
                </c:pt>
                <c:pt idx="914">
                  <c:v>12</c:v>
                </c:pt>
                <c:pt idx="915">
                  <c:v>6</c:v>
                </c:pt>
                <c:pt idx="916">
                  <c:v>20.444444444444443</c:v>
                </c:pt>
                <c:pt idx="917">
                  <c:v>11.785714285714285</c:v>
                </c:pt>
                <c:pt idx="918">
                  <c:v>16.730769230769241</c:v>
                </c:pt>
                <c:pt idx="919">
                  <c:v>20</c:v>
                </c:pt>
                <c:pt idx="920">
                  <c:v>21.071428571428569</c:v>
                </c:pt>
                <c:pt idx="921">
                  <c:v>22.777777777777771</c:v>
                </c:pt>
                <c:pt idx="922">
                  <c:v>7.5</c:v>
                </c:pt>
                <c:pt idx="923">
                  <c:v>7.800000000000006</c:v>
                </c:pt>
                <c:pt idx="924">
                  <c:v>28.661290322580637</c:v>
                </c:pt>
                <c:pt idx="925">
                  <c:v>22.666666666666671</c:v>
                </c:pt>
                <c:pt idx="926">
                  <c:v>13.5</c:v>
                </c:pt>
                <c:pt idx="927">
                  <c:v>6.5714285714285658</c:v>
                </c:pt>
                <c:pt idx="928">
                  <c:v>34.192307692307736</c:v>
                </c:pt>
                <c:pt idx="929">
                  <c:v>3</c:v>
                </c:pt>
                <c:pt idx="930">
                  <c:v>7.5833333333333357</c:v>
                </c:pt>
                <c:pt idx="931">
                  <c:v>3</c:v>
                </c:pt>
                <c:pt idx="932">
                  <c:v>3</c:v>
                </c:pt>
                <c:pt idx="933">
                  <c:v>16.5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11</c:v>
                </c:pt>
                <c:pt idx="938">
                  <c:v>12.363636363636356</c:v>
                </c:pt>
                <c:pt idx="939">
                  <c:v>12.176470588235311</c:v>
                </c:pt>
                <c:pt idx="940">
                  <c:v>3</c:v>
                </c:pt>
                <c:pt idx="941">
                  <c:v>39.333333333333272</c:v>
                </c:pt>
                <c:pt idx="942">
                  <c:v>33.500000000000043</c:v>
                </c:pt>
                <c:pt idx="943">
                  <c:v>40.75</c:v>
                </c:pt>
                <c:pt idx="944">
                  <c:v>39.257575757575786</c:v>
                </c:pt>
                <c:pt idx="945">
                  <c:v>57.318181818181813</c:v>
                </c:pt>
                <c:pt idx="946">
                  <c:v>38.5</c:v>
                </c:pt>
                <c:pt idx="947">
                  <c:v>27.285714285714288</c:v>
                </c:pt>
                <c:pt idx="948">
                  <c:v>10.5</c:v>
                </c:pt>
                <c:pt idx="949">
                  <c:v>26.928571428571427</c:v>
                </c:pt>
                <c:pt idx="950">
                  <c:v>35.8888888888889</c:v>
                </c:pt>
                <c:pt idx="951">
                  <c:v>26.666666666666664</c:v>
                </c:pt>
                <c:pt idx="952">
                  <c:v>22</c:v>
                </c:pt>
                <c:pt idx="953">
                  <c:v>16.399999999999999</c:v>
                </c:pt>
                <c:pt idx="954">
                  <c:v>48.578947368421041</c:v>
                </c:pt>
                <c:pt idx="955">
                  <c:v>25.214285714285712</c:v>
                </c:pt>
                <c:pt idx="956">
                  <c:v>33.1111111111111</c:v>
                </c:pt>
                <c:pt idx="957">
                  <c:v>34.5</c:v>
                </c:pt>
                <c:pt idx="958">
                  <c:v>36.51612903225805</c:v>
                </c:pt>
                <c:pt idx="959">
                  <c:v>39.142857142857167</c:v>
                </c:pt>
                <c:pt idx="960">
                  <c:v>38.315789473684234</c:v>
                </c:pt>
                <c:pt idx="961">
                  <c:v>34.941176470588196</c:v>
                </c:pt>
                <c:pt idx="962">
                  <c:v>31.285714285714306</c:v>
                </c:pt>
                <c:pt idx="963">
                  <c:v>40.235294117647072</c:v>
                </c:pt>
                <c:pt idx="964">
                  <c:v>38.388888888888879</c:v>
                </c:pt>
                <c:pt idx="965">
                  <c:v>42.423076923076906</c:v>
                </c:pt>
                <c:pt idx="966">
                  <c:v>17.812500000000014</c:v>
                </c:pt>
                <c:pt idx="967">
                  <c:v>11.847826086956514</c:v>
                </c:pt>
                <c:pt idx="968">
                  <c:v>18.5</c:v>
                </c:pt>
                <c:pt idx="969">
                  <c:v>12.261904761904759</c:v>
                </c:pt>
                <c:pt idx="970">
                  <c:v>7.5</c:v>
                </c:pt>
                <c:pt idx="971">
                  <c:v>15.681818181818171</c:v>
                </c:pt>
                <c:pt idx="972">
                  <c:v>31.289473684210545</c:v>
                </c:pt>
                <c:pt idx="973">
                  <c:v>24.574074074074058</c:v>
                </c:pt>
                <c:pt idx="974">
                  <c:v>29.571428571428555</c:v>
                </c:pt>
                <c:pt idx="975">
                  <c:v>21.526315789473692</c:v>
                </c:pt>
                <c:pt idx="976">
                  <c:v>6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11.214285714285714</c:v>
                </c:pt>
                <c:pt idx="982">
                  <c:v>15</c:v>
                </c:pt>
                <c:pt idx="983">
                  <c:v>15</c:v>
                </c:pt>
                <c:pt idx="984">
                  <c:v>22.222222222222221</c:v>
                </c:pt>
                <c:pt idx="985">
                  <c:v>20.666666666666664</c:v>
                </c:pt>
                <c:pt idx="986">
                  <c:v>33.166666666666679</c:v>
                </c:pt>
                <c:pt idx="987">
                  <c:v>35.5</c:v>
                </c:pt>
                <c:pt idx="988">
                  <c:v>30.1</c:v>
                </c:pt>
                <c:pt idx="989">
                  <c:v>23.166666666666664</c:v>
                </c:pt>
                <c:pt idx="990">
                  <c:v>18.124999999999993</c:v>
                </c:pt>
                <c:pt idx="991">
                  <c:v>7.5</c:v>
                </c:pt>
                <c:pt idx="992">
                  <c:v>7.5</c:v>
                </c:pt>
                <c:pt idx="993">
                  <c:v>23</c:v>
                </c:pt>
                <c:pt idx="994">
                  <c:v>22.181818181818208</c:v>
                </c:pt>
                <c:pt idx="995">
                  <c:v>9</c:v>
                </c:pt>
                <c:pt idx="996">
                  <c:v>16.142857142857153</c:v>
                </c:pt>
                <c:pt idx="997">
                  <c:v>9</c:v>
                </c:pt>
                <c:pt idx="998">
                  <c:v>9</c:v>
                </c:pt>
                <c:pt idx="999">
                  <c:v>27.333333333333506</c:v>
                </c:pt>
                <c:pt idx="1000">
                  <c:v>45.666666666666579</c:v>
                </c:pt>
                <c:pt idx="1001">
                  <c:v>10.16666666666667</c:v>
                </c:pt>
                <c:pt idx="1002">
                  <c:v>13.499999999999993</c:v>
                </c:pt>
                <c:pt idx="1003">
                  <c:v>31.735294117647026</c:v>
                </c:pt>
                <c:pt idx="1004">
                  <c:v>17.538461538461561</c:v>
                </c:pt>
                <c:pt idx="1005">
                  <c:v>31.83333333333329</c:v>
                </c:pt>
                <c:pt idx="1006">
                  <c:v>31.277777777777807</c:v>
                </c:pt>
                <c:pt idx="1007">
                  <c:v>33.499999999999986</c:v>
                </c:pt>
                <c:pt idx="1008">
                  <c:v>6</c:v>
                </c:pt>
                <c:pt idx="1009">
                  <c:v>32.91176470588232</c:v>
                </c:pt>
                <c:pt idx="1010">
                  <c:v>6</c:v>
                </c:pt>
                <c:pt idx="1011">
                  <c:v>40.423076923076692</c:v>
                </c:pt>
                <c:pt idx="1012">
                  <c:v>43.5</c:v>
                </c:pt>
                <c:pt idx="1013">
                  <c:v>22.5</c:v>
                </c:pt>
                <c:pt idx="1014">
                  <c:v>38.5</c:v>
                </c:pt>
                <c:pt idx="1015">
                  <c:v>32.5</c:v>
                </c:pt>
                <c:pt idx="1016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A7-49B4-BFCA-D4FAADE11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01744"/>
        <c:axId val="1237509904"/>
      </c:scatterChart>
      <c:valAx>
        <c:axId val="12375017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RMR76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9904"/>
        <c:crosses val="autoZero"/>
        <c:crossBetween val="midCat"/>
      </c:valAx>
      <c:valAx>
        <c:axId val="123750990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GSI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RMR76 vs RMR89</a:t>
            </a:r>
          </a:p>
        </c:rich>
      </c:tx>
      <c:layout>
        <c:manualLayout>
          <c:xMode val="edge"/>
          <c:yMode val="edge"/>
          <c:x val="0.3618560179977503"/>
          <c:y val="1.5636276160692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1605821999524E-2"/>
          <c:y val="5.9413303430888798E-2"/>
          <c:w val="0.86826362613764207"/>
          <c:h val="0.84584071265809102"/>
        </c:manualLayout>
      </c:layout>
      <c:scatterChart>
        <c:scatterStyle val="lineMarker"/>
        <c:varyColors val="0"/>
        <c:ser>
          <c:idx val="0"/>
          <c:order val="0"/>
          <c:tx>
            <c:v>Correlation RMR76 vs GSI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2748927266611682E-2"/>
                  <c:y val="-7.5664659955191921E-2"/>
                </c:manualLayout>
              </c:layout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'2. Logging Brejo Seco'!$BQ$3:$BQ$1019</c:f>
              <c:numCache>
                <c:formatCode>0</c:formatCode>
                <c:ptCount val="101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48</c:v>
                </c:pt>
                <c:pt idx="7">
                  <c:v>64</c:v>
                </c:pt>
                <c:pt idx="8">
                  <c:v>22</c:v>
                </c:pt>
                <c:pt idx="9">
                  <c:v>43</c:v>
                </c:pt>
                <c:pt idx="10">
                  <c:v>30</c:v>
                </c:pt>
                <c:pt idx="11">
                  <c:v>33</c:v>
                </c:pt>
                <c:pt idx="12">
                  <c:v>20</c:v>
                </c:pt>
                <c:pt idx="13">
                  <c:v>31</c:v>
                </c:pt>
                <c:pt idx="14">
                  <c:v>37</c:v>
                </c:pt>
                <c:pt idx="15">
                  <c:v>47</c:v>
                </c:pt>
                <c:pt idx="16">
                  <c:v>52</c:v>
                </c:pt>
                <c:pt idx="17">
                  <c:v>32</c:v>
                </c:pt>
                <c:pt idx="18">
                  <c:v>42</c:v>
                </c:pt>
                <c:pt idx="19">
                  <c:v>49</c:v>
                </c:pt>
                <c:pt idx="20">
                  <c:v>31</c:v>
                </c:pt>
                <c:pt idx="21">
                  <c:v>23</c:v>
                </c:pt>
                <c:pt idx="22">
                  <c:v>34</c:v>
                </c:pt>
                <c:pt idx="23">
                  <c:v>44</c:v>
                </c:pt>
                <c:pt idx="24">
                  <c:v>43</c:v>
                </c:pt>
                <c:pt idx="25">
                  <c:v>37</c:v>
                </c:pt>
                <c:pt idx="26">
                  <c:v>27</c:v>
                </c:pt>
                <c:pt idx="27">
                  <c:v>31</c:v>
                </c:pt>
                <c:pt idx="28">
                  <c:v>41</c:v>
                </c:pt>
                <c:pt idx="29">
                  <c:v>42</c:v>
                </c:pt>
                <c:pt idx="30">
                  <c:v>30</c:v>
                </c:pt>
                <c:pt idx="31">
                  <c:v>41</c:v>
                </c:pt>
                <c:pt idx="32">
                  <c:v>35</c:v>
                </c:pt>
                <c:pt idx="33">
                  <c:v>23</c:v>
                </c:pt>
                <c:pt idx="34">
                  <c:v>22</c:v>
                </c:pt>
                <c:pt idx="35">
                  <c:v>21</c:v>
                </c:pt>
                <c:pt idx="36">
                  <c:v>22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34</c:v>
                </c:pt>
                <c:pt idx="41">
                  <c:v>27</c:v>
                </c:pt>
                <c:pt idx="42">
                  <c:v>28</c:v>
                </c:pt>
                <c:pt idx="43">
                  <c:v>47</c:v>
                </c:pt>
                <c:pt idx="44">
                  <c:v>52</c:v>
                </c:pt>
                <c:pt idx="45">
                  <c:v>74</c:v>
                </c:pt>
                <c:pt idx="46">
                  <c:v>57</c:v>
                </c:pt>
                <c:pt idx="47">
                  <c:v>72</c:v>
                </c:pt>
                <c:pt idx="48">
                  <c:v>47</c:v>
                </c:pt>
                <c:pt idx="49">
                  <c:v>45</c:v>
                </c:pt>
                <c:pt idx="50">
                  <c:v>46</c:v>
                </c:pt>
                <c:pt idx="51">
                  <c:v>65</c:v>
                </c:pt>
                <c:pt idx="52">
                  <c:v>66</c:v>
                </c:pt>
                <c:pt idx="53">
                  <c:v>58</c:v>
                </c:pt>
                <c:pt idx="54">
                  <c:v>65</c:v>
                </c:pt>
                <c:pt idx="55">
                  <c:v>66</c:v>
                </c:pt>
                <c:pt idx="56">
                  <c:v>64</c:v>
                </c:pt>
                <c:pt idx="57">
                  <c:v>55</c:v>
                </c:pt>
                <c:pt idx="58">
                  <c:v>48</c:v>
                </c:pt>
                <c:pt idx="59">
                  <c:v>51</c:v>
                </c:pt>
                <c:pt idx="60">
                  <c:v>73</c:v>
                </c:pt>
                <c:pt idx="61">
                  <c:v>58</c:v>
                </c:pt>
                <c:pt idx="62">
                  <c:v>50</c:v>
                </c:pt>
                <c:pt idx="63">
                  <c:v>33</c:v>
                </c:pt>
                <c:pt idx="64">
                  <c:v>50</c:v>
                </c:pt>
                <c:pt idx="65">
                  <c:v>46</c:v>
                </c:pt>
                <c:pt idx="66">
                  <c:v>33</c:v>
                </c:pt>
                <c:pt idx="67">
                  <c:v>44</c:v>
                </c:pt>
                <c:pt idx="68">
                  <c:v>46</c:v>
                </c:pt>
                <c:pt idx="69">
                  <c:v>42</c:v>
                </c:pt>
                <c:pt idx="70">
                  <c:v>19</c:v>
                </c:pt>
                <c:pt idx="71">
                  <c:v>43</c:v>
                </c:pt>
                <c:pt idx="72">
                  <c:v>50</c:v>
                </c:pt>
                <c:pt idx="73">
                  <c:v>35</c:v>
                </c:pt>
                <c:pt idx="74">
                  <c:v>44</c:v>
                </c:pt>
                <c:pt idx="75">
                  <c:v>44</c:v>
                </c:pt>
                <c:pt idx="76">
                  <c:v>35</c:v>
                </c:pt>
                <c:pt idx="77">
                  <c:v>41</c:v>
                </c:pt>
                <c:pt idx="78">
                  <c:v>29</c:v>
                </c:pt>
                <c:pt idx="79">
                  <c:v>29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32</c:v>
                </c:pt>
                <c:pt idx="85">
                  <c:v>27</c:v>
                </c:pt>
                <c:pt idx="86">
                  <c:v>47</c:v>
                </c:pt>
                <c:pt idx="87">
                  <c:v>33</c:v>
                </c:pt>
                <c:pt idx="88">
                  <c:v>32</c:v>
                </c:pt>
                <c:pt idx="89">
                  <c:v>25</c:v>
                </c:pt>
                <c:pt idx="90">
                  <c:v>31</c:v>
                </c:pt>
                <c:pt idx="91">
                  <c:v>25</c:v>
                </c:pt>
                <c:pt idx="92">
                  <c:v>38</c:v>
                </c:pt>
                <c:pt idx="93">
                  <c:v>63</c:v>
                </c:pt>
                <c:pt idx="94">
                  <c:v>34</c:v>
                </c:pt>
                <c:pt idx="95">
                  <c:v>26</c:v>
                </c:pt>
                <c:pt idx="96">
                  <c:v>26</c:v>
                </c:pt>
                <c:pt idx="97">
                  <c:v>45</c:v>
                </c:pt>
                <c:pt idx="98">
                  <c:v>36</c:v>
                </c:pt>
                <c:pt idx="99">
                  <c:v>36</c:v>
                </c:pt>
                <c:pt idx="100">
                  <c:v>35</c:v>
                </c:pt>
                <c:pt idx="101">
                  <c:v>31</c:v>
                </c:pt>
                <c:pt idx="102">
                  <c:v>23</c:v>
                </c:pt>
                <c:pt idx="103">
                  <c:v>29</c:v>
                </c:pt>
                <c:pt idx="104">
                  <c:v>18</c:v>
                </c:pt>
                <c:pt idx="105">
                  <c:v>18</c:v>
                </c:pt>
                <c:pt idx="106">
                  <c:v>57</c:v>
                </c:pt>
                <c:pt idx="107">
                  <c:v>48</c:v>
                </c:pt>
                <c:pt idx="108">
                  <c:v>53</c:v>
                </c:pt>
                <c:pt idx="109">
                  <c:v>41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32</c:v>
                </c:pt>
                <c:pt idx="122">
                  <c:v>22</c:v>
                </c:pt>
                <c:pt idx="123">
                  <c:v>22</c:v>
                </c:pt>
                <c:pt idx="124">
                  <c:v>24</c:v>
                </c:pt>
                <c:pt idx="125">
                  <c:v>32</c:v>
                </c:pt>
                <c:pt idx="126">
                  <c:v>23</c:v>
                </c:pt>
                <c:pt idx="127">
                  <c:v>19</c:v>
                </c:pt>
                <c:pt idx="128">
                  <c:v>29</c:v>
                </c:pt>
                <c:pt idx="129">
                  <c:v>23</c:v>
                </c:pt>
                <c:pt idx="130">
                  <c:v>36</c:v>
                </c:pt>
                <c:pt idx="131">
                  <c:v>47</c:v>
                </c:pt>
                <c:pt idx="132">
                  <c:v>28</c:v>
                </c:pt>
                <c:pt idx="133">
                  <c:v>28</c:v>
                </c:pt>
                <c:pt idx="134">
                  <c:v>39</c:v>
                </c:pt>
                <c:pt idx="135">
                  <c:v>54</c:v>
                </c:pt>
                <c:pt idx="136">
                  <c:v>35</c:v>
                </c:pt>
                <c:pt idx="137">
                  <c:v>24</c:v>
                </c:pt>
                <c:pt idx="138">
                  <c:v>30</c:v>
                </c:pt>
                <c:pt idx="139">
                  <c:v>24</c:v>
                </c:pt>
                <c:pt idx="140">
                  <c:v>24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19</c:v>
                </c:pt>
                <c:pt idx="147">
                  <c:v>17</c:v>
                </c:pt>
                <c:pt idx="148">
                  <c:v>17</c:v>
                </c:pt>
                <c:pt idx="149">
                  <c:v>16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17</c:v>
                </c:pt>
                <c:pt idx="161">
                  <c:v>17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17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23</c:v>
                </c:pt>
                <c:pt idx="180">
                  <c:v>24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27</c:v>
                </c:pt>
                <c:pt idx="186">
                  <c:v>17</c:v>
                </c:pt>
                <c:pt idx="187">
                  <c:v>19</c:v>
                </c:pt>
                <c:pt idx="188">
                  <c:v>19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30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28</c:v>
                </c:pt>
                <c:pt idx="206">
                  <c:v>28</c:v>
                </c:pt>
                <c:pt idx="207">
                  <c:v>24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23</c:v>
                </c:pt>
                <c:pt idx="212">
                  <c:v>21</c:v>
                </c:pt>
                <c:pt idx="213">
                  <c:v>34</c:v>
                </c:pt>
                <c:pt idx="214">
                  <c:v>24</c:v>
                </c:pt>
                <c:pt idx="215">
                  <c:v>21</c:v>
                </c:pt>
                <c:pt idx="216">
                  <c:v>30</c:v>
                </c:pt>
                <c:pt idx="217">
                  <c:v>22</c:v>
                </c:pt>
                <c:pt idx="218">
                  <c:v>30</c:v>
                </c:pt>
                <c:pt idx="219">
                  <c:v>30</c:v>
                </c:pt>
                <c:pt idx="220">
                  <c:v>33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24</c:v>
                </c:pt>
                <c:pt idx="227">
                  <c:v>23</c:v>
                </c:pt>
                <c:pt idx="228">
                  <c:v>23</c:v>
                </c:pt>
                <c:pt idx="229">
                  <c:v>30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23</c:v>
                </c:pt>
                <c:pt idx="239">
                  <c:v>24</c:v>
                </c:pt>
                <c:pt idx="240">
                  <c:v>29</c:v>
                </c:pt>
                <c:pt idx="241">
                  <c:v>19</c:v>
                </c:pt>
                <c:pt idx="242">
                  <c:v>19</c:v>
                </c:pt>
                <c:pt idx="243">
                  <c:v>22</c:v>
                </c:pt>
                <c:pt idx="244">
                  <c:v>24</c:v>
                </c:pt>
                <c:pt idx="245">
                  <c:v>27</c:v>
                </c:pt>
                <c:pt idx="246">
                  <c:v>26</c:v>
                </c:pt>
                <c:pt idx="247">
                  <c:v>35</c:v>
                </c:pt>
                <c:pt idx="248">
                  <c:v>18</c:v>
                </c:pt>
                <c:pt idx="249">
                  <c:v>17</c:v>
                </c:pt>
                <c:pt idx="250">
                  <c:v>17</c:v>
                </c:pt>
                <c:pt idx="251">
                  <c:v>22</c:v>
                </c:pt>
                <c:pt idx="252">
                  <c:v>17</c:v>
                </c:pt>
                <c:pt idx="253">
                  <c:v>15</c:v>
                </c:pt>
                <c:pt idx="254">
                  <c:v>17</c:v>
                </c:pt>
                <c:pt idx="255">
                  <c:v>15</c:v>
                </c:pt>
                <c:pt idx="256">
                  <c:v>32</c:v>
                </c:pt>
                <c:pt idx="257">
                  <c:v>29</c:v>
                </c:pt>
                <c:pt idx="258">
                  <c:v>26</c:v>
                </c:pt>
                <c:pt idx="259">
                  <c:v>28</c:v>
                </c:pt>
                <c:pt idx="260">
                  <c:v>27</c:v>
                </c:pt>
                <c:pt idx="261">
                  <c:v>23</c:v>
                </c:pt>
                <c:pt idx="262">
                  <c:v>22</c:v>
                </c:pt>
                <c:pt idx="263">
                  <c:v>35</c:v>
                </c:pt>
                <c:pt idx="264">
                  <c:v>21</c:v>
                </c:pt>
                <c:pt idx="265">
                  <c:v>36</c:v>
                </c:pt>
                <c:pt idx="266">
                  <c:v>20</c:v>
                </c:pt>
                <c:pt idx="267">
                  <c:v>29</c:v>
                </c:pt>
                <c:pt idx="268">
                  <c:v>29</c:v>
                </c:pt>
                <c:pt idx="269">
                  <c:v>20</c:v>
                </c:pt>
                <c:pt idx="270">
                  <c:v>23</c:v>
                </c:pt>
                <c:pt idx="271">
                  <c:v>32</c:v>
                </c:pt>
                <c:pt idx="272">
                  <c:v>36</c:v>
                </c:pt>
                <c:pt idx="273">
                  <c:v>20</c:v>
                </c:pt>
                <c:pt idx="274">
                  <c:v>44</c:v>
                </c:pt>
                <c:pt idx="275">
                  <c:v>44</c:v>
                </c:pt>
                <c:pt idx="276">
                  <c:v>59</c:v>
                </c:pt>
                <c:pt idx="277">
                  <c:v>48</c:v>
                </c:pt>
                <c:pt idx="278">
                  <c:v>46</c:v>
                </c:pt>
                <c:pt idx="279">
                  <c:v>46</c:v>
                </c:pt>
                <c:pt idx="280">
                  <c:v>47</c:v>
                </c:pt>
                <c:pt idx="281">
                  <c:v>49</c:v>
                </c:pt>
                <c:pt idx="282">
                  <c:v>56</c:v>
                </c:pt>
                <c:pt idx="283">
                  <c:v>52</c:v>
                </c:pt>
                <c:pt idx="284">
                  <c:v>56</c:v>
                </c:pt>
                <c:pt idx="285">
                  <c:v>61</c:v>
                </c:pt>
                <c:pt idx="286">
                  <c:v>56</c:v>
                </c:pt>
                <c:pt idx="287">
                  <c:v>48</c:v>
                </c:pt>
                <c:pt idx="288">
                  <c:v>33</c:v>
                </c:pt>
                <c:pt idx="289">
                  <c:v>38</c:v>
                </c:pt>
                <c:pt idx="290">
                  <c:v>40</c:v>
                </c:pt>
                <c:pt idx="291">
                  <c:v>28</c:v>
                </c:pt>
                <c:pt idx="292">
                  <c:v>29</c:v>
                </c:pt>
                <c:pt idx="293">
                  <c:v>27</c:v>
                </c:pt>
                <c:pt idx="294">
                  <c:v>32</c:v>
                </c:pt>
                <c:pt idx="295">
                  <c:v>37</c:v>
                </c:pt>
                <c:pt idx="296">
                  <c:v>56</c:v>
                </c:pt>
                <c:pt idx="297">
                  <c:v>42</c:v>
                </c:pt>
                <c:pt idx="298">
                  <c:v>22</c:v>
                </c:pt>
                <c:pt idx="299">
                  <c:v>38</c:v>
                </c:pt>
                <c:pt idx="300">
                  <c:v>27</c:v>
                </c:pt>
                <c:pt idx="301">
                  <c:v>21</c:v>
                </c:pt>
                <c:pt idx="302">
                  <c:v>21</c:v>
                </c:pt>
                <c:pt idx="303">
                  <c:v>44</c:v>
                </c:pt>
                <c:pt idx="304">
                  <c:v>26</c:v>
                </c:pt>
                <c:pt idx="305">
                  <c:v>25</c:v>
                </c:pt>
                <c:pt idx="306">
                  <c:v>47</c:v>
                </c:pt>
                <c:pt idx="307">
                  <c:v>43</c:v>
                </c:pt>
                <c:pt idx="308">
                  <c:v>43</c:v>
                </c:pt>
                <c:pt idx="309">
                  <c:v>51</c:v>
                </c:pt>
                <c:pt idx="310">
                  <c:v>39</c:v>
                </c:pt>
                <c:pt idx="311">
                  <c:v>31</c:v>
                </c:pt>
                <c:pt idx="312">
                  <c:v>52</c:v>
                </c:pt>
                <c:pt idx="313">
                  <c:v>48</c:v>
                </c:pt>
                <c:pt idx="314">
                  <c:v>42</c:v>
                </c:pt>
                <c:pt idx="315">
                  <c:v>24</c:v>
                </c:pt>
                <c:pt idx="316">
                  <c:v>23</c:v>
                </c:pt>
                <c:pt idx="317">
                  <c:v>18</c:v>
                </c:pt>
                <c:pt idx="318">
                  <c:v>18</c:v>
                </c:pt>
                <c:pt idx="319">
                  <c:v>19</c:v>
                </c:pt>
                <c:pt idx="320">
                  <c:v>21</c:v>
                </c:pt>
                <c:pt idx="321">
                  <c:v>21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23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23</c:v>
                </c:pt>
                <c:pt idx="349">
                  <c:v>23</c:v>
                </c:pt>
                <c:pt idx="350" formatCode="0.0">
                  <c:v>15</c:v>
                </c:pt>
                <c:pt idx="351" formatCode="0.0">
                  <c:v>15</c:v>
                </c:pt>
                <c:pt idx="352" formatCode="0.0">
                  <c:v>15</c:v>
                </c:pt>
                <c:pt idx="353" formatCode="0.0">
                  <c:v>33</c:v>
                </c:pt>
                <c:pt idx="354" formatCode="0.0">
                  <c:v>41</c:v>
                </c:pt>
                <c:pt idx="356" formatCode="0.0">
                  <c:v>30</c:v>
                </c:pt>
                <c:pt idx="357" formatCode="0.0">
                  <c:v>13</c:v>
                </c:pt>
                <c:pt idx="358" formatCode="0.0">
                  <c:v>17</c:v>
                </c:pt>
                <c:pt idx="359" formatCode="0.0">
                  <c:v>18</c:v>
                </c:pt>
                <c:pt idx="360" formatCode="0.0">
                  <c:v>17</c:v>
                </c:pt>
                <c:pt idx="361" formatCode="0.0">
                  <c:v>20</c:v>
                </c:pt>
                <c:pt idx="362" formatCode="0.0">
                  <c:v>19</c:v>
                </c:pt>
                <c:pt idx="363" formatCode="0.0">
                  <c:v>21</c:v>
                </c:pt>
                <c:pt idx="364" formatCode="0.0">
                  <c:v>17</c:v>
                </c:pt>
                <c:pt idx="365" formatCode="0.0">
                  <c:v>17</c:v>
                </c:pt>
                <c:pt idx="366" formatCode="0.0">
                  <c:v>17</c:v>
                </c:pt>
                <c:pt idx="367" formatCode="0.0">
                  <c:v>26</c:v>
                </c:pt>
                <c:pt idx="368" formatCode="0.0">
                  <c:v>23</c:v>
                </c:pt>
                <c:pt idx="369" formatCode="0.0">
                  <c:v>19</c:v>
                </c:pt>
                <c:pt idx="370" formatCode="0.0">
                  <c:v>24</c:v>
                </c:pt>
                <c:pt idx="371" formatCode="0.0">
                  <c:v>24</c:v>
                </c:pt>
                <c:pt idx="372" formatCode="0.0">
                  <c:v>19</c:v>
                </c:pt>
                <c:pt idx="373" formatCode="0.0">
                  <c:v>28</c:v>
                </c:pt>
                <c:pt idx="374" formatCode="0.0">
                  <c:v>18</c:v>
                </c:pt>
                <c:pt idx="375" formatCode="0.0">
                  <c:v>30</c:v>
                </c:pt>
                <c:pt idx="376" formatCode="0.0">
                  <c:v>23</c:v>
                </c:pt>
                <c:pt idx="377" formatCode="0.0">
                  <c:v>18</c:v>
                </c:pt>
                <c:pt idx="378" formatCode="0.0">
                  <c:v>21</c:v>
                </c:pt>
                <c:pt idx="379" formatCode="0.0">
                  <c:v>17</c:v>
                </c:pt>
                <c:pt idx="380" formatCode="0.0">
                  <c:v>18</c:v>
                </c:pt>
                <c:pt idx="381" formatCode="0.0">
                  <c:v>18</c:v>
                </c:pt>
                <c:pt idx="382" formatCode="0.0">
                  <c:v>16</c:v>
                </c:pt>
                <c:pt idx="383" formatCode="0.0">
                  <c:v>16</c:v>
                </c:pt>
                <c:pt idx="384" formatCode="0.0">
                  <c:v>16</c:v>
                </c:pt>
                <c:pt idx="385" formatCode="0.0">
                  <c:v>16</c:v>
                </c:pt>
                <c:pt idx="386" formatCode="0.0">
                  <c:v>17</c:v>
                </c:pt>
                <c:pt idx="387" formatCode="0.0">
                  <c:v>17</c:v>
                </c:pt>
                <c:pt idx="388" formatCode="0.0">
                  <c:v>17</c:v>
                </c:pt>
                <c:pt idx="389" formatCode="0.0">
                  <c:v>18</c:v>
                </c:pt>
                <c:pt idx="390" formatCode="0.0">
                  <c:v>19</c:v>
                </c:pt>
                <c:pt idx="391" formatCode="0.0">
                  <c:v>25</c:v>
                </c:pt>
                <c:pt idx="392" formatCode="0.0">
                  <c:v>18</c:v>
                </c:pt>
                <c:pt idx="393" formatCode="0.0">
                  <c:v>29</c:v>
                </c:pt>
                <c:pt idx="394" formatCode="0.0">
                  <c:v>24</c:v>
                </c:pt>
                <c:pt idx="395" formatCode="0.0">
                  <c:v>21</c:v>
                </c:pt>
                <c:pt idx="396" formatCode="0.0">
                  <c:v>23</c:v>
                </c:pt>
                <c:pt idx="397" formatCode="0.0">
                  <c:v>30</c:v>
                </c:pt>
                <c:pt idx="398" formatCode="0.0">
                  <c:v>28</c:v>
                </c:pt>
                <c:pt idx="399" formatCode="0.0">
                  <c:v>25</c:v>
                </c:pt>
                <c:pt idx="400" formatCode="0.0">
                  <c:v>28</c:v>
                </c:pt>
                <c:pt idx="401" formatCode="0.0">
                  <c:v>28</c:v>
                </c:pt>
                <c:pt idx="402" formatCode="0.0">
                  <c:v>27</c:v>
                </c:pt>
                <c:pt idx="403" formatCode="0.0">
                  <c:v>30</c:v>
                </c:pt>
                <c:pt idx="404" formatCode="0.0">
                  <c:v>27</c:v>
                </c:pt>
                <c:pt idx="405" formatCode="0.0">
                  <c:v>27</c:v>
                </c:pt>
                <c:pt idx="406" formatCode="0.0">
                  <c:v>29</c:v>
                </c:pt>
                <c:pt idx="407" formatCode="0.0">
                  <c:v>26</c:v>
                </c:pt>
                <c:pt idx="408" formatCode="0.0">
                  <c:v>26</c:v>
                </c:pt>
                <c:pt idx="409" formatCode="0.0">
                  <c:v>26</c:v>
                </c:pt>
                <c:pt idx="410" formatCode="0.0">
                  <c:v>26</c:v>
                </c:pt>
                <c:pt idx="411" formatCode="0.0">
                  <c:v>19</c:v>
                </c:pt>
                <c:pt idx="412" formatCode="0.0">
                  <c:v>20</c:v>
                </c:pt>
                <c:pt idx="413" formatCode="0.0">
                  <c:v>17</c:v>
                </c:pt>
                <c:pt idx="414" formatCode="0.0">
                  <c:v>24</c:v>
                </c:pt>
                <c:pt idx="415" formatCode="0.0">
                  <c:v>14</c:v>
                </c:pt>
                <c:pt idx="416" formatCode="0.0">
                  <c:v>20</c:v>
                </c:pt>
                <c:pt idx="417" formatCode="0.0">
                  <c:v>27</c:v>
                </c:pt>
                <c:pt idx="418" formatCode="0.0">
                  <c:v>24</c:v>
                </c:pt>
                <c:pt idx="419" formatCode="0.0">
                  <c:v>30</c:v>
                </c:pt>
                <c:pt idx="420" formatCode="0.0">
                  <c:v>36</c:v>
                </c:pt>
                <c:pt idx="421" formatCode="0.0">
                  <c:v>30</c:v>
                </c:pt>
                <c:pt idx="422" formatCode="0.0">
                  <c:v>21</c:v>
                </c:pt>
                <c:pt idx="423" formatCode="0.0">
                  <c:v>23</c:v>
                </c:pt>
                <c:pt idx="424" formatCode="0.0">
                  <c:v>28</c:v>
                </c:pt>
                <c:pt idx="425" formatCode="0.0">
                  <c:v>26</c:v>
                </c:pt>
                <c:pt idx="426" formatCode="0.0">
                  <c:v>24</c:v>
                </c:pt>
                <c:pt idx="427" formatCode="0.0">
                  <c:v>33</c:v>
                </c:pt>
                <c:pt idx="428" formatCode="0.0">
                  <c:v>27</c:v>
                </c:pt>
                <c:pt idx="429" formatCode="0.0">
                  <c:v>23</c:v>
                </c:pt>
                <c:pt idx="430" formatCode="0.0">
                  <c:v>30</c:v>
                </c:pt>
                <c:pt idx="431" formatCode="0.0">
                  <c:v>32</c:v>
                </c:pt>
                <c:pt idx="432" formatCode="0.0">
                  <c:v>32</c:v>
                </c:pt>
                <c:pt idx="433" formatCode="0.0">
                  <c:v>24</c:v>
                </c:pt>
                <c:pt idx="434" formatCode="0.0">
                  <c:v>29</c:v>
                </c:pt>
                <c:pt idx="435" formatCode="0.0">
                  <c:v>24</c:v>
                </c:pt>
                <c:pt idx="436" formatCode="0.0">
                  <c:v>29</c:v>
                </c:pt>
                <c:pt idx="437" formatCode="0.0">
                  <c:v>23</c:v>
                </c:pt>
                <c:pt idx="438" formatCode="0.0">
                  <c:v>26</c:v>
                </c:pt>
                <c:pt idx="439" formatCode="0.0">
                  <c:v>29</c:v>
                </c:pt>
                <c:pt idx="440" formatCode="0.0">
                  <c:v>30</c:v>
                </c:pt>
                <c:pt idx="441" formatCode="0.0">
                  <c:v>20</c:v>
                </c:pt>
                <c:pt idx="442" formatCode="0.0">
                  <c:v>22</c:v>
                </c:pt>
                <c:pt idx="443" formatCode="0.0">
                  <c:v>20</c:v>
                </c:pt>
                <c:pt idx="444" formatCode="0.0">
                  <c:v>28</c:v>
                </c:pt>
                <c:pt idx="445" formatCode="0.0">
                  <c:v>29</c:v>
                </c:pt>
                <c:pt idx="446" formatCode="0.0">
                  <c:v>17</c:v>
                </c:pt>
                <c:pt idx="447" formatCode="0.0">
                  <c:v>17</c:v>
                </c:pt>
                <c:pt idx="448" formatCode="0.0">
                  <c:v>17</c:v>
                </c:pt>
                <c:pt idx="449" formatCode="0.0">
                  <c:v>17</c:v>
                </c:pt>
                <c:pt idx="450" formatCode="0.0">
                  <c:v>23</c:v>
                </c:pt>
                <c:pt idx="451" formatCode="0.0">
                  <c:v>34</c:v>
                </c:pt>
                <c:pt idx="452" formatCode="0.0">
                  <c:v>35</c:v>
                </c:pt>
                <c:pt idx="453" formatCode="0.0">
                  <c:v>31</c:v>
                </c:pt>
                <c:pt idx="454" formatCode="0.0">
                  <c:v>25</c:v>
                </c:pt>
                <c:pt idx="455" formatCode="0.0">
                  <c:v>19</c:v>
                </c:pt>
                <c:pt idx="456" formatCode="0.0">
                  <c:v>34</c:v>
                </c:pt>
                <c:pt idx="458" formatCode="0.0">
                  <c:v>22</c:v>
                </c:pt>
                <c:pt idx="459" formatCode="0.0">
                  <c:v>33</c:v>
                </c:pt>
                <c:pt idx="460" formatCode="0.0">
                  <c:v>26</c:v>
                </c:pt>
                <c:pt idx="461" formatCode="0.0">
                  <c:v>30</c:v>
                </c:pt>
                <c:pt idx="462" formatCode="0.0">
                  <c:v>27</c:v>
                </c:pt>
                <c:pt idx="463" formatCode="0.0">
                  <c:v>20</c:v>
                </c:pt>
                <c:pt idx="464" formatCode="0.0">
                  <c:v>34</c:v>
                </c:pt>
                <c:pt idx="465" formatCode="0.0">
                  <c:v>32</c:v>
                </c:pt>
                <c:pt idx="466" formatCode="0.0">
                  <c:v>35</c:v>
                </c:pt>
                <c:pt idx="467" formatCode="0.0">
                  <c:v>21</c:v>
                </c:pt>
                <c:pt idx="468" formatCode="0.0">
                  <c:v>23</c:v>
                </c:pt>
                <c:pt idx="469" formatCode="0.0">
                  <c:v>24</c:v>
                </c:pt>
                <c:pt idx="470" formatCode="0.0">
                  <c:v>#N/A</c:v>
                </c:pt>
                <c:pt idx="471" formatCode="0.0">
                  <c:v>0</c:v>
                </c:pt>
                <c:pt idx="472" formatCode="0.0">
                  <c:v>0</c:v>
                </c:pt>
                <c:pt idx="473" formatCode="0.0">
                  <c:v>0</c:v>
                </c:pt>
                <c:pt idx="474" formatCode="0.0">
                  <c:v>0</c:v>
                </c:pt>
                <c:pt idx="475" formatCode="0.0">
                  <c:v>0</c:v>
                </c:pt>
                <c:pt idx="476" formatCode="0.0">
                  <c:v>0</c:v>
                </c:pt>
                <c:pt idx="477" formatCode="0.0">
                  <c:v>0</c:v>
                </c:pt>
                <c:pt idx="478" formatCode="0.0">
                  <c:v>0</c:v>
                </c:pt>
                <c:pt idx="479" formatCode="0.0">
                  <c:v>0</c:v>
                </c:pt>
                <c:pt idx="480" formatCode="0.0">
                  <c:v>0</c:v>
                </c:pt>
                <c:pt idx="481" formatCode="0.0">
                  <c:v>0</c:v>
                </c:pt>
                <c:pt idx="482" formatCode="0.0">
                  <c:v>0</c:v>
                </c:pt>
                <c:pt idx="483" formatCode="0.0">
                  <c:v>0</c:v>
                </c:pt>
                <c:pt idx="484" formatCode="0.0">
                  <c:v>0</c:v>
                </c:pt>
                <c:pt idx="485" formatCode="0.0">
                  <c:v>#N/A</c:v>
                </c:pt>
                <c:pt idx="486" formatCode="0.0">
                  <c:v>#N/A</c:v>
                </c:pt>
                <c:pt idx="487" formatCode="0.0">
                  <c:v>0</c:v>
                </c:pt>
                <c:pt idx="488" formatCode="0.0">
                  <c:v>0</c:v>
                </c:pt>
                <c:pt idx="489" formatCode="0.0">
                  <c:v>0</c:v>
                </c:pt>
                <c:pt idx="490" formatCode="0.0">
                  <c:v>0</c:v>
                </c:pt>
                <c:pt idx="491" formatCode="0.0">
                  <c:v>#N/A</c:v>
                </c:pt>
                <c:pt idx="492" formatCode="0.0">
                  <c:v>#N/A</c:v>
                </c:pt>
                <c:pt idx="493" formatCode="0.0">
                  <c:v>#N/A</c:v>
                </c:pt>
                <c:pt idx="494" formatCode="0.0">
                  <c:v>#N/A</c:v>
                </c:pt>
                <c:pt idx="495" formatCode="0.0">
                  <c:v>#N/A</c:v>
                </c:pt>
                <c:pt idx="496" formatCode="0.0">
                  <c:v>#N/A</c:v>
                </c:pt>
                <c:pt idx="497" formatCode="0.0">
                  <c:v>#N/A</c:v>
                </c:pt>
                <c:pt idx="498" formatCode="0.0">
                  <c:v>#N/A</c:v>
                </c:pt>
                <c:pt idx="499" formatCode="0.0">
                  <c:v>#N/A</c:v>
                </c:pt>
                <c:pt idx="500" formatCode="0.0">
                  <c:v>#N/A</c:v>
                </c:pt>
                <c:pt idx="501" formatCode="0.0">
                  <c:v>#N/A</c:v>
                </c:pt>
                <c:pt idx="502" formatCode="0.0">
                  <c:v>#N/A</c:v>
                </c:pt>
                <c:pt idx="503" formatCode="0.0">
                  <c:v>#N/A</c:v>
                </c:pt>
                <c:pt idx="504" formatCode="0.0">
                  <c:v>#N/A</c:v>
                </c:pt>
                <c:pt idx="505">
                  <c:v>30</c:v>
                </c:pt>
                <c:pt idx="506">
                  <c:v>19</c:v>
                </c:pt>
                <c:pt idx="507">
                  <c:v>21</c:v>
                </c:pt>
                <c:pt idx="508">
                  <c:v>19</c:v>
                </c:pt>
                <c:pt idx="509">
                  <c:v>26</c:v>
                </c:pt>
                <c:pt idx="510">
                  <c:v>31</c:v>
                </c:pt>
                <c:pt idx="511">
                  <c:v>26</c:v>
                </c:pt>
                <c:pt idx="512">
                  <c:v>32</c:v>
                </c:pt>
                <c:pt idx="513">
                  <c:v>51</c:v>
                </c:pt>
                <c:pt idx="514">
                  <c:v>24</c:v>
                </c:pt>
                <c:pt idx="515">
                  <c:v>20</c:v>
                </c:pt>
                <c:pt idx="516">
                  <c:v>19</c:v>
                </c:pt>
                <c:pt idx="517">
                  <c:v>30</c:v>
                </c:pt>
                <c:pt idx="518">
                  <c:v>43</c:v>
                </c:pt>
                <c:pt idx="519">
                  <c:v>42</c:v>
                </c:pt>
                <c:pt idx="520">
                  <c:v>51</c:v>
                </c:pt>
                <c:pt idx="521">
                  <c:v>42</c:v>
                </c:pt>
                <c:pt idx="522">
                  <c:v>28</c:v>
                </c:pt>
                <c:pt idx="523">
                  <c:v>26</c:v>
                </c:pt>
                <c:pt idx="524">
                  <c:v>27</c:v>
                </c:pt>
                <c:pt idx="525">
                  <c:v>27</c:v>
                </c:pt>
                <c:pt idx="526">
                  <c:v>21</c:v>
                </c:pt>
                <c:pt idx="527">
                  <c:v>30</c:v>
                </c:pt>
                <c:pt idx="528">
                  <c:v>27</c:v>
                </c:pt>
                <c:pt idx="529">
                  <c:v>24</c:v>
                </c:pt>
                <c:pt idx="530">
                  <c:v>30</c:v>
                </c:pt>
                <c:pt idx="531">
                  <c:v>56</c:v>
                </c:pt>
                <c:pt idx="532">
                  <c:v>38</c:v>
                </c:pt>
                <c:pt idx="533">
                  <c:v>50</c:v>
                </c:pt>
                <c:pt idx="534">
                  <c:v>27</c:v>
                </c:pt>
                <c:pt idx="535">
                  <c:v>18</c:v>
                </c:pt>
                <c:pt idx="536">
                  <c:v>37</c:v>
                </c:pt>
                <c:pt idx="537">
                  <c:v>17</c:v>
                </c:pt>
                <c:pt idx="538">
                  <c:v>14</c:v>
                </c:pt>
                <c:pt idx="539">
                  <c:v>21</c:v>
                </c:pt>
                <c:pt idx="540">
                  <c:v>29</c:v>
                </c:pt>
                <c:pt idx="541">
                  <c:v>28</c:v>
                </c:pt>
                <c:pt idx="542">
                  <c:v>25</c:v>
                </c:pt>
                <c:pt idx="543">
                  <c:v>33</c:v>
                </c:pt>
                <c:pt idx="544">
                  <c:v>19</c:v>
                </c:pt>
                <c:pt idx="545">
                  <c:v>27</c:v>
                </c:pt>
                <c:pt idx="546">
                  <c:v>38</c:v>
                </c:pt>
                <c:pt idx="547">
                  <c:v>34</c:v>
                </c:pt>
                <c:pt idx="548">
                  <c:v>39</c:v>
                </c:pt>
                <c:pt idx="549">
                  <c:v>34</c:v>
                </c:pt>
                <c:pt idx="550">
                  <c:v>37</c:v>
                </c:pt>
                <c:pt idx="551">
                  <c:v>32</c:v>
                </c:pt>
                <c:pt idx="552">
                  <c:v>35</c:v>
                </c:pt>
                <c:pt idx="553">
                  <c:v>39</c:v>
                </c:pt>
                <c:pt idx="554">
                  <c:v>30</c:v>
                </c:pt>
                <c:pt idx="555">
                  <c:v>35</c:v>
                </c:pt>
                <c:pt idx="556">
                  <c:v>24</c:v>
                </c:pt>
                <c:pt idx="557">
                  <c:v>22</c:v>
                </c:pt>
                <c:pt idx="558">
                  <c:v>27</c:v>
                </c:pt>
                <c:pt idx="559">
                  <c:v>29</c:v>
                </c:pt>
                <c:pt idx="560">
                  <c:v>17</c:v>
                </c:pt>
                <c:pt idx="561">
                  <c:v>20</c:v>
                </c:pt>
                <c:pt idx="562">
                  <c:v>20</c:v>
                </c:pt>
                <c:pt idx="563">
                  <c:v>27</c:v>
                </c:pt>
                <c:pt idx="564">
                  <c:v>28</c:v>
                </c:pt>
                <c:pt idx="565">
                  <c:v>30</c:v>
                </c:pt>
                <c:pt idx="566">
                  <c:v>31</c:v>
                </c:pt>
                <c:pt idx="567">
                  <c:v>41</c:v>
                </c:pt>
                <c:pt idx="568">
                  <c:v>41</c:v>
                </c:pt>
                <c:pt idx="569">
                  <c:v>39</c:v>
                </c:pt>
                <c:pt idx="570">
                  <c:v>48</c:v>
                </c:pt>
                <c:pt idx="571">
                  <c:v>34</c:v>
                </c:pt>
                <c:pt idx="572">
                  <c:v>22</c:v>
                </c:pt>
                <c:pt idx="573">
                  <c:v>23</c:v>
                </c:pt>
                <c:pt idx="574">
                  <c:v>20</c:v>
                </c:pt>
                <c:pt idx="575">
                  <c:v>24</c:v>
                </c:pt>
                <c:pt idx="576">
                  <c:v>27</c:v>
                </c:pt>
                <c:pt idx="577">
                  <c:v>15</c:v>
                </c:pt>
                <c:pt idx="578">
                  <c:v>15</c:v>
                </c:pt>
                <c:pt idx="579">
                  <c:v>30</c:v>
                </c:pt>
                <c:pt idx="580">
                  <c:v>42</c:v>
                </c:pt>
                <c:pt idx="581">
                  <c:v>20</c:v>
                </c:pt>
                <c:pt idx="582">
                  <c:v>36</c:v>
                </c:pt>
                <c:pt idx="583">
                  <c:v>25</c:v>
                </c:pt>
                <c:pt idx="584">
                  <c:v>27</c:v>
                </c:pt>
                <c:pt idx="585" formatCode="0.0">
                  <c:v>18</c:v>
                </c:pt>
                <c:pt idx="586" formatCode="0.0">
                  <c:v>17</c:v>
                </c:pt>
                <c:pt idx="587" formatCode="0.0">
                  <c:v>17</c:v>
                </c:pt>
                <c:pt idx="588" formatCode="0.0">
                  <c:v>17</c:v>
                </c:pt>
                <c:pt idx="589" formatCode="0.0">
                  <c:v>17</c:v>
                </c:pt>
                <c:pt idx="590" formatCode="0.0">
                  <c:v>17</c:v>
                </c:pt>
                <c:pt idx="591" formatCode="0.0">
                  <c:v>17</c:v>
                </c:pt>
                <c:pt idx="592" formatCode="0.0">
                  <c:v>17</c:v>
                </c:pt>
                <c:pt idx="593" formatCode="0.0">
                  <c:v>17</c:v>
                </c:pt>
                <c:pt idx="594" formatCode="0.0">
                  <c:v>21</c:v>
                </c:pt>
                <c:pt idx="595" formatCode="0.0">
                  <c:v>38</c:v>
                </c:pt>
                <c:pt idx="596" formatCode="0.0">
                  <c:v>40</c:v>
                </c:pt>
                <c:pt idx="597" formatCode="0.0">
                  <c:v>24</c:v>
                </c:pt>
                <c:pt idx="598" formatCode="0.0">
                  <c:v>24</c:v>
                </c:pt>
                <c:pt idx="599" formatCode="0.0">
                  <c:v>23</c:v>
                </c:pt>
                <c:pt idx="600" formatCode="0.0">
                  <c:v>44</c:v>
                </c:pt>
                <c:pt idx="601" formatCode="0.0">
                  <c:v>40</c:v>
                </c:pt>
                <c:pt idx="602" formatCode="0.0">
                  <c:v>39</c:v>
                </c:pt>
                <c:pt idx="603" formatCode="0.0">
                  <c:v>41</c:v>
                </c:pt>
                <c:pt idx="604" formatCode="0.0">
                  <c:v>24</c:v>
                </c:pt>
                <c:pt idx="605" formatCode="0.0">
                  <c:v>45</c:v>
                </c:pt>
                <c:pt idx="606" formatCode="0.0">
                  <c:v>29</c:v>
                </c:pt>
                <c:pt idx="607" formatCode="0.0">
                  <c:v>23</c:v>
                </c:pt>
                <c:pt idx="608" formatCode="0.0">
                  <c:v>23</c:v>
                </c:pt>
                <c:pt idx="609" formatCode="0.0">
                  <c:v>23</c:v>
                </c:pt>
                <c:pt idx="610" formatCode="0.0">
                  <c:v>18</c:v>
                </c:pt>
                <c:pt idx="611" formatCode="0.0">
                  <c:v>18</c:v>
                </c:pt>
                <c:pt idx="612" formatCode="0.0">
                  <c:v>18</c:v>
                </c:pt>
                <c:pt idx="613" formatCode="0.0">
                  <c:v>33</c:v>
                </c:pt>
                <c:pt idx="614" formatCode="0.0">
                  <c:v>46</c:v>
                </c:pt>
                <c:pt idx="615" formatCode="0.0">
                  <c:v>45</c:v>
                </c:pt>
                <c:pt idx="616" formatCode="0.0">
                  <c:v>48</c:v>
                </c:pt>
                <c:pt idx="617" formatCode="0.0">
                  <c:v>40</c:v>
                </c:pt>
                <c:pt idx="618" formatCode="0.0">
                  <c:v>46</c:v>
                </c:pt>
                <c:pt idx="619" formatCode="0.0">
                  <c:v>40</c:v>
                </c:pt>
                <c:pt idx="620" formatCode="0.0">
                  <c:v>31</c:v>
                </c:pt>
                <c:pt idx="621" formatCode="0.0">
                  <c:v>37</c:v>
                </c:pt>
                <c:pt idx="622" formatCode="0.0">
                  <c:v>42</c:v>
                </c:pt>
                <c:pt idx="623" formatCode="0.0">
                  <c:v>50</c:v>
                </c:pt>
                <c:pt idx="624" formatCode="0.0">
                  <c:v>24</c:v>
                </c:pt>
                <c:pt idx="625" formatCode="0.0">
                  <c:v>26</c:v>
                </c:pt>
                <c:pt idx="626" formatCode="0.0">
                  <c:v>44</c:v>
                </c:pt>
                <c:pt idx="627" formatCode="0.0">
                  <c:v>33</c:v>
                </c:pt>
                <c:pt idx="628" formatCode="0.0">
                  <c:v>40</c:v>
                </c:pt>
                <c:pt idx="629" formatCode="0.0">
                  <c:v>45</c:v>
                </c:pt>
                <c:pt idx="630" formatCode="0.0">
                  <c:v>29</c:v>
                </c:pt>
                <c:pt idx="631" formatCode="0.0">
                  <c:v>29</c:v>
                </c:pt>
                <c:pt idx="632">
                  <c:v>43</c:v>
                </c:pt>
                <c:pt idx="633">
                  <c:v>44</c:v>
                </c:pt>
                <c:pt idx="634" formatCode="0.0">
                  <c:v>35</c:v>
                </c:pt>
                <c:pt idx="635" formatCode="0.0">
                  <c:v>20</c:v>
                </c:pt>
                <c:pt idx="636" formatCode="0.0">
                  <c:v>23</c:v>
                </c:pt>
                <c:pt idx="637" formatCode="0.0">
                  <c:v>21</c:v>
                </c:pt>
                <c:pt idx="638" formatCode="0.0">
                  <c:v>30</c:v>
                </c:pt>
                <c:pt idx="639" formatCode="0.0">
                  <c:v>38</c:v>
                </c:pt>
                <c:pt idx="640" formatCode="0.0">
                  <c:v>29</c:v>
                </c:pt>
                <c:pt idx="641" formatCode="0.0">
                  <c:v>36</c:v>
                </c:pt>
                <c:pt idx="642" formatCode="0.0">
                  <c:v>29</c:v>
                </c:pt>
                <c:pt idx="643" formatCode="0.0">
                  <c:v>38</c:v>
                </c:pt>
                <c:pt idx="644" formatCode="0.0">
                  <c:v>45</c:v>
                </c:pt>
                <c:pt idx="645" formatCode="0.0">
                  <c:v>38</c:v>
                </c:pt>
                <c:pt idx="646" formatCode="0.0">
                  <c:v>37</c:v>
                </c:pt>
                <c:pt idx="647" formatCode="0.0">
                  <c:v>28</c:v>
                </c:pt>
                <c:pt idx="648" formatCode="0.0">
                  <c:v>35</c:v>
                </c:pt>
                <c:pt idx="649" formatCode="0.0">
                  <c:v>25</c:v>
                </c:pt>
                <c:pt idx="650" formatCode="0.0">
                  <c:v>42</c:v>
                </c:pt>
                <c:pt idx="651" formatCode="0.0">
                  <c:v>25</c:v>
                </c:pt>
                <c:pt idx="652" formatCode="0.0">
                  <c:v>17</c:v>
                </c:pt>
                <c:pt idx="653">
                  <c:v>46</c:v>
                </c:pt>
                <c:pt idx="654">
                  <c:v>36</c:v>
                </c:pt>
                <c:pt idx="655">
                  <c:v>42</c:v>
                </c:pt>
                <c:pt idx="656" formatCode="0.0">
                  <c:v>50</c:v>
                </c:pt>
                <c:pt idx="657" formatCode="0.0">
                  <c:v>43</c:v>
                </c:pt>
                <c:pt idx="658" formatCode="0.0">
                  <c:v>21</c:v>
                </c:pt>
                <c:pt idx="659" formatCode="0.0">
                  <c:v>21</c:v>
                </c:pt>
                <c:pt idx="660" formatCode="0.0">
                  <c:v>22</c:v>
                </c:pt>
                <c:pt idx="661" formatCode="0.0">
                  <c:v>44</c:v>
                </c:pt>
                <c:pt idx="662" formatCode="0.0">
                  <c:v>26</c:v>
                </c:pt>
                <c:pt idx="663" formatCode="0.0">
                  <c:v>21</c:v>
                </c:pt>
                <c:pt idx="664" formatCode="0.0">
                  <c:v>32</c:v>
                </c:pt>
                <c:pt idx="665" formatCode="0.0">
                  <c:v>27</c:v>
                </c:pt>
                <c:pt idx="666" formatCode="0.0">
                  <c:v>35</c:v>
                </c:pt>
                <c:pt idx="667" formatCode="0.0">
                  <c:v>34</c:v>
                </c:pt>
                <c:pt idx="668" formatCode="0.0">
                  <c:v>17</c:v>
                </c:pt>
                <c:pt idx="669" formatCode="0.0">
                  <c:v>55</c:v>
                </c:pt>
                <c:pt idx="670" formatCode="0.0">
                  <c:v>53</c:v>
                </c:pt>
                <c:pt idx="671" formatCode="0.0">
                  <c:v>58</c:v>
                </c:pt>
                <c:pt idx="672" formatCode="0.0">
                  <c:v>64</c:v>
                </c:pt>
                <c:pt idx="673" formatCode="0.0">
                  <c:v>68</c:v>
                </c:pt>
                <c:pt idx="674" formatCode="0.0">
                  <c:v>17</c:v>
                </c:pt>
                <c:pt idx="675" formatCode="0.0">
                  <c:v>17</c:v>
                </c:pt>
                <c:pt idx="676" formatCode="0.0">
                  <c:v>17</c:v>
                </c:pt>
                <c:pt idx="677" formatCode="0.0">
                  <c:v>17</c:v>
                </c:pt>
                <c:pt idx="678" formatCode="0.0">
                  <c:v>44</c:v>
                </c:pt>
                <c:pt idx="679">
                  <c:v>45</c:v>
                </c:pt>
                <c:pt idx="680">
                  <c:v>42</c:v>
                </c:pt>
                <c:pt idx="681">
                  <c:v>47</c:v>
                </c:pt>
                <c:pt idx="682">
                  <c:v>53</c:v>
                </c:pt>
                <c:pt idx="683">
                  <c:v>55</c:v>
                </c:pt>
                <c:pt idx="684">
                  <c:v>41</c:v>
                </c:pt>
                <c:pt idx="685">
                  <c:v>49</c:v>
                </c:pt>
                <c:pt idx="686">
                  <c:v>42</c:v>
                </c:pt>
                <c:pt idx="687">
                  <c:v>37</c:v>
                </c:pt>
                <c:pt idx="688">
                  <c:v>51</c:v>
                </c:pt>
                <c:pt idx="689">
                  <c:v>49</c:v>
                </c:pt>
                <c:pt idx="690">
                  <c:v>39</c:v>
                </c:pt>
                <c:pt idx="691" formatCode="0.0">
                  <c:v>30</c:v>
                </c:pt>
                <c:pt idx="692" formatCode="0.0">
                  <c:v>25</c:v>
                </c:pt>
                <c:pt idx="693" formatCode="0.0">
                  <c:v>21</c:v>
                </c:pt>
                <c:pt idx="694" formatCode="0.0">
                  <c:v>33</c:v>
                </c:pt>
                <c:pt idx="695" formatCode="0.0">
                  <c:v>29</c:v>
                </c:pt>
                <c:pt idx="696" formatCode="0.0">
                  <c:v>21</c:v>
                </c:pt>
                <c:pt idx="697" formatCode="0.0">
                  <c:v>34</c:v>
                </c:pt>
                <c:pt idx="698" formatCode="0.0">
                  <c:v>20</c:v>
                </c:pt>
                <c:pt idx="699" formatCode="0.0">
                  <c:v>37</c:v>
                </c:pt>
                <c:pt idx="700" formatCode="0.0">
                  <c:v>18</c:v>
                </c:pt>
                <c:pt idx="701" formatCode="0.0">
                  <c:v>18</c:v>
                </c:pt>
                <c:pt idx="702" formatCode="0.0">
                  <c:v>23</c:v>
                </c:pt>
                <c:pt idx="703" formatCode="0.0">
                  <c:v>26</c:v>
                </c:pt>
                <c:pt idx="704" formatCode="0.0">
                  <c:v>35</c:v>
                </c:pt>
                <c:pt idx="705" formatCode="0.0">
                  <c:v>29</c:v>
                </c:pt>
                <c:pt idx="706" formatCode="0.0">
                  <c:v>27</c:v>
                </c:pt>
                <c:pt idx="707" formatCode="0.0">
                  <c:v>28</c:v>
                </c:pt>
                <c:pt idx="708" formatCode="0.0">
                  <c:v>21</c:v>
                </c:pt>
                <c:pt idx="709" formatCode="0.0">
                  <c:v>22</c:v>
                </c:pt>
                <c:pt idx="710" formatCode="0.0">
                  <c:v>35</c:v>
                </c:pt>
                <c:pt idx="711" formatCode="0.0">
                  <c:v>22</c:v>
                </c:pt>
                <c:pt idx="712" formatCode="0.0">
                  <c:v>22</c:v>
                </c:pt>
                <c:pt idx="713" formatCode="0.0">
                  <c:v>22</c:v>
                </c:pt>
                <c:pt idx="714" formatCode="0.0">
                  <c:v>27</c:v>
                </c:pt>
                <c:pt idx="715" formatCode="0.0">
                  <c:v>29</c:v>
                </c:pt>
                <c:pt idx="716" formatCode="0.0">
                  <c:v>22</c:v>
                </c:pt>
                <c:pt idx="717" formatCode="0.0">
                  <c:v>22</c:v>
                </c:pt>
                <c:pt idx="718" formatCode="0.0">
                  <c:v>25</c:v>
                </c:pt>
                <c:pt idx="719" formatCode="0.0">
                  <c:v>23</c:v>
                </c:pt>
                <c:pt idx="720" formatCode="0.0">
                  <c:v>18</c:v>
                </c:pt>
                <c:pt idx="721" formatCode="0.0">
                  <c:v>24</c:v>
                </c:pt>
                <c:pt idx="722" formatCode="0.0">
                  <c:v>32</c:v>
                </c:pt>
                <c:pt idx="723" formatCode="0.0">
                  <c:v>24</c:v>
                </c:pt>
                <c:pt idx="724" formatCode="0.0">
                  <c:v>24</c:v>
                </c:pt>
                <c:pt idx="725" formatCode="0.0">
                  <c:v>24</c:v>
                </c:pt>
                <c:pt idx="726" formatCode="0.0">
                  <c:v>24</c:v>
                </c:pt>
                <c:pt idx="727">
                  <c:v>43</c:v>
                </c:pt>
                <c:pt idx="728">
                  <c:v>46</c:v>
                </c:pt>
                <c:pt idx="729">
                  <c:v>44</c:v>
                </c:pt>
                <c:pt idx="730" formatCode="0.0">
                  <c:v>35</c:v>
                </c:pt>
                <c:pt idx="731" formatCode="0.0">
                  <c:v>34</c:v>
                </c:pt>
                <c:pt idx="732" formatCode="0.0">
                  <c:v>24</c:v>
                </c:pt>
                <c:pt idx="733" formatCode="0.0">
                  <c:v>24</c:v>
                </c:pt>
                <c:pt idx="734" formatCode="0.0">
                  <c:v>24</c:v>
                </c:pt>
                <c:pt idx="735" formatCode="0.0">
                  <c:v>24</c:v>
                </c:pt>
                <c:pt idx="736" formatCode="0.0">
                  <c:v>17</c:v>
                </c:pt>
                <c:pt idx="737" formatCode="0.0">
                  <c:v>28</c:v>
                </c:pt>
                <c:pt idx="738" formatCode="0.0">
                  <c:v>17</c:v>
                </c:pt>
                <c:pt idx="739" formatCode="0.0">
                  <c:v>31</c:v>
                </c:pt>
                <c:pt idx="740" formatCode="0.0">
                  <c:v>25</c:v>
                </c:pt>
                <c:pt idx="741" formatCode="0.0">
                  <c:v>23</c:v>
                </c:pt>
                <c:pt idx="742" formatCode="0.0">
                  <c:v>41</c:v>
                </c:pt>
                <c:pt idx="743" formatCode="0.0">
                  <c:v>41</c:v>
                </c:pt>
                <c:pt idx="744" formatCode="0.0">
                  <c:v>36</c:v>
                </c:pt>
                <c:pt idx="745" formatCode="0.0">
                  <c:v>25</c:v>
                </c:pt>
                <c:pt idx="746" formatCode="0.0">
                  <c:v>30</c:v>
                </c:pt>
                <c:pt idx="747" formatCode="0.0">
                  <c:v>28</c:v>
                </c:pt>
                <c:pt idx="748" formatCode="0.0">
                  <c:v>30</c:v>
                </c:pt>
                <c:pt idx="749" formatCode="0.0">
                  <c:v>25</c:v>
                </c:pt>
                <c:pt idx="750" formatCode="0.0">
                  <c:v>27</c:v>
                </c:pt>
                <c:pt idx="751" formatCode="0.0">
                  <c:v>27</c:v>
                </c:pt>
                <c:pt idx="752" formatCode="0.0">
                  <c:v>23</c:v>
                </c:pt>
                <c:pt idx="753" formatCode="0.0">
                  <c:v>17</c:v>
                </c:pt>
                <c:pt idx="754" formatCode="0.0">
                  <c:v>17</c:v>
                </c:pt>
                <c:pt idx="755" formatCode="0.0">
                  <c:v>17</c:v>
                </c:pt>
                <c:pt idx="756" formatCode="0.0">
                  <c:v>17</c:v>
                </c:pt>
                <c:pt idx="757" formatCode="0.0">
                  <c:v>17</c:v>
                </c:pt>
                <c:pt idx="758" formatCode="0.0">
                  <c:v>17</c:v>
                </c:pt>
                <c:pt idx="759" formatCode="0.0">
                  <c:v>18</c:v>
                </c:pt>
                <c:pt idx="760" formatCode="0.0">
                  <c:v>17</c:v>
                </c:pt>
                <c:pt idx="761" formatCode="0.0">
                  <c:v>35</c:v>
                </c:pt>
                <c:pt idx="762" formatCode="0.0">
                  <c:v>23</c:v>
                </c:pt>
                <c:pt idx="763" formatCode="0.0">
                  <c:v>36</c:v>
                </c:pt>
                <c:pt idx="764" formatCode="0.0">
                  <c:v>35</c:v>
                </c:pt>
                <c:pt idx="765" formatCode="0.0">
                  <c:v>20</c:v>
                </c:pt>
                <c:pt idx="766" formatCode="0.0">
                  <c:v>33</c:v>
                </c:pt>
                <c:pt idx="767" formatCode="0.0">
                  <c:v>31</c:v>
                </c:pt>
                <c:pt idx="768" formatCode="0.0">
                  <c:v>27</c:v>
                </c:pt>
                <c:pt idx="769" formatCode="0.0">
                  <c:v>26</c:v>
                </c:pt>
                <c:pt idx="770" formatCode="0.0">
                  <c:v>32</c:v>
                </c:pt>
                <c:pt idx="771" formatCode="0.0">
                  <c:v>24</c:v>
                </c:pt>
                <c:pt idx="772" formatCode="0.0">
                  <c:v>23</c:v>
                </c:pt>
                <c:pt idx="773" formatCode="0.0">
                  <c:v>23</c:v>
                </c:pt>
                <c:pt idx="774">
                  <c:v>51</c:v>
                </c:pt>
                <c:pt idx="775">
                  <c:v>51</c:v>
                </c:pt>
                <c:pt idx="776">
                  <c:v>36</c:v>
                </c:pt>
                <c:pt idx="777">
                  <c:v>47</c:v>
                </c:pt>
                <c:pt idx="778" formatCode="0.0">
                  <c:v>25</c:v>
                </c:pt>
                <c:pt idx="779" formatCode="0.0">
                  <c:v>23</c:v>
                </c:pt>
                <c:pt idx="780" formatCode="0.0">
                  <c:v>21</c:v>
                </c:pt>
                <c:pt idx="782" formatCode="0.0">
                  <c:v>26</c:v>
                </c:pt>
                <c:pt idx="783" formatCode="0.0">
                  <c:v>24</c:v>
                </c:pt>
                <c:pt idx="784" formatCode="0.0">
                  <c:v>24</c:v>
                </c:pt>
                <c:pt idx="785" formatCode="0.0">
                  <c:v>24</c:v>
                </c:pt>
                <c:pt idx="786" formatCode="0.0">
                  <c:v>24</c:v>
                </c:pt>
                <c:pt idx="787" formatCode="0.0">
                  <c:v>27</c:v>
                </c:pt>
                <c:pt idx="788" formatCode="0.0">
                  <c:v>27</c:v>
                </c:pt>
                <c:pt idx="789" formatCode="0.0">
                  <c:v>30</c:v>
                </c:pt>
                <c:pt idx="790" formatCode="0.0">
                  <c:v>25</c:v>
                </c:pt>
                <c:pt idx="791" formatCode="0.0">
                  <c:v>28</c:v>
                </c:pt>
                <c:pt idx="792" formatCode="0.0">
                  <c:v>32</c:v>
                </c:pt>
                <c:pt idx="793" formatCode="0.0">
                  <c:v>44</c:v>
                </c:pt>
                <c:pt idx="794" formatCode="0.0">
                  <c:v>37</c:v>
                </c:pt>
                <c:pt idx="795" formatCode="0.0">
                  <c:v>30</c:v>
                </c:pt>
                <c:pt idx="796" formatCode="0.0">
                  <c:v>29</c:v>
                </c:pt>
                <c:pt idx="797" formatCode="0.0">
                  <c:v>28</c:v>
                </c:pt>
                <c:pt idx="798" formatCode="0.0">
                  <c:v>30</c:v>
                </c:pt>
                <c:pt idx="799" formatCode="0.0">
                  <c:v>27</c:v>
                </c:pt>
                <c:pt idx="800" formatCode="0.0">
                  <c:v>36</c:v>
                </c:pt>
                <c:pt idx="801" formatCode="0.0">
                  <c:v>39</c:v>
                </c:pt>
                <c:pt idx="802" formatCode="0.0">
                  <c:v>25</c:v>
                </c:pt>
                <c:pt idx="803" formatCode="0.0">
                  <c:v>28</c:v>
                </c:pt>
                <c:pt idx="804" formatCode="0.0">
                  <c:v>26</c:v>
                </c:pt>
                <c:pt idx="805" formatCode="0.0">
                  <c:v>31</c:v>
                </c:pt>
                <c:pt idx="806" formatCode="0.0">
                  <c:v>29</c:v>
                </c:pt>
                <c:pt idx="807" formatCode="0.0">
                  <c:v>21</c:v>
                </c:pt>
                <c:pt idx="808" formatCode="0.0">
                  <c:v>22</c:v>
                </c:pt>
                <c:pt idx="809" formatCode="0.0">
                  <c:v>23</c:v>
                </c:pt>
                <c:pt idx="810" formatCode="0.0">
                  <c:v>21</c:v>
                </c:pt>
                <c:pt idx="811" formatCode="0.0">
                  <c:v>23</c:v>
                </c:pt>
                <c:pt idx="812" formatCode="0.0">
                  <c:v>25</c:v>
                </c:pt>
                <c:pt idx="813" formatCode="0.0">
                  <c:v>28</c:v>
                </c:pt>
                <c:pt idx="814" formatCode="0.0">
                  <c:v>27</c:v>
                </c:pt>
                <c:pt idx="815" formatCode="0.0">
                  <c:v>21</c:v>
                </c:pt>
                <c:pt idx="816" formatCode="0.0">
                  <c:v>27</c:v>
                </c:pt>
                <c:pt idx="817" formatCode="0.0">
                  <c:v>36</c:v>
                </c:pt>
                <c:pt idx="818" formatCode="0.0">
                  <c:v>40</c:v>
                </c:pt>
                <c:pt idx="819" formatCode="0.0">
                  <c:v>38</c:v>
                </c:pt>
                <c:pt idx="820" formatCode="0.0">
                  <c:v>27</c:v>
                </c:pt>
                <c:pt idx="821" formatCode="0.0">
                  <c:v>33</c:v>
                </c:pt>
                <c:pt idx="822" formatCode="0.0">
                  <c:v>33</c:v>
                </c:pt>
                <c:pt idx="823" formatCode="0.0">
                  <c:v>31</c:v>
                </c:pt>
                <c:pt idx="824" formatCode="0.0">
                  <c:v>47</c:v>
                </c:pt>
                <c:pt idx="825" formatCode="0.0">
                  <c:v>33</c:v>
                </c:pt>
                <c:pt idx="826" formatCode="0.0">
                  <c:v>33</c:v>
                </c:pt>
                <c:pt idx="827" formatCode="0.0">
                  <c:v>32</c:v>
                </c:pt>
                <c:pt idx="828" formatCode="0.0">
                  <c:v>24</c:v>
                </c:pt>
                <c:pt idx="829" formatCode="0.0">
                  <c:v>35</c:v>
                </c:pt>
                <c:pt idx="830" formatCode="0.0">
                  <c:v>30</c:v>
                </c:pt>
                <c:pt idx="831" formatCode="0.0">
                  <c:v>27</c:v>
                </c:pt>
                <c:pt idx="832" formatCode="0.0">
                  <c:v>34</c:v>
                </c:pt>
                <c:pt idx="833" formatCode="0.0">
                  <c:v>33</c:v>
                </c:pt>
                <c:pt idx="834" formatCode="0.0">
                  <c:v>51</c:v>
                </c:pt>
                <c:pt idx="835" formatCode="0.0">
                  <c:v>59</c:v>
                </c:pt>
                <c:pt idx="836" formatCode="0.0">
                  <c:v>46</c:v>
                </c:pt>
                <c:pt idx="837" formatCode="0.0">
                  <c:v>46</c:v>
                </c:pt>
                <c:pt idx="838" formatCode="0.0">
                  <c:v>57</c:v>
                </c:pt>
                <c:pt idx="839" formatCode="0.0">
                  <c:v>57</c:v>
                </c:pt>
                <c:pt idx="840" formatCode="0.0">
                  <c:v>52</c:v>
                </c:pt>
                <c:pt idx="841" formatCode="0.0">
                  <c:v>51</c:v>
                </c:pt>
                <c:pt idx="842" formatCode="0.0">
                  <c:v>55</c:v>
                </c:pt>
                <c:pt idx="843" formatCode="0.0">
                  <c:v>17</c:v>
                </c:pt>
                <c:pt idx="844" formatCode="0.0">
                  <c:v>17</c:v>
                </c:pt>
                <c:pt idx="845" formatCode="0.0">
                  <c:v>17</c:v>
                </c:pt>
                <c:pt idx="846" formatCode="0.0">
                  <c:v>17</c:v>
                </c:pt>
                <c:pt idx="847" formatCode="0.0">
                  <c:v>27</c:v>
                </c:pt>
                <c:pt idx="848" formatCode="0.0">
                  <c:v>27</c:v>
                </c:pt>
                <c:pt idx="849" formatCode="0.0">
                  <c:v>33</c:v>
                </c:pt>
                <c:pt idx="850" formatCode="0.0">
                  <c:v>38</c:v>
                </c:pt>
                <c:pt idx="851">
                  <c:v>30</c:v>
                </c:pt>
                <c:pt idx="852" formatCode="0.0">
                  <c:v>27</c:v>
                </c:pt>
                <c:pt idx="853" formatCode="0.0">
                  <c:v>30</c:v>
                </c:pt>
                <c:pt idx="854" formatCode="0.0">
                  <c:v>37</c:v>
                </c:pt>
                <c:pt idx="855" formatCode="0.0">
                  <c:v>33</c:v>
                </c:pt>
                <c:pt idx="856">
                  <c:v>45</c:v>
                </c:pt>
                <c:pt idx="857" formatCode="0.0">
                  <c:v>31</c:v>
                </c:pt>
                <c:pt idx="858">
                  <c:v>41</c:v>
                </c:pt>
                <c:pt idx="859" formatCode="0.0">
                  <c:v>35</c:v>
                </c:pt>
                <c:pt idx="860" formatCode="0.0">
                  <c:v>27</c:v>
                </c:pt>
                <c:pt idx="861" formatCode="0.0">
                  <c:v>29</c:v>
                </c:pt>
                <c:pt idx="862" formatCode="0.0">
                  <c:v>27</c:v>
                </c:pt>
                <c:pt idx="863" formatCode="0.0">
                  <c:v>31</c:v>
                </c:pt>
                <c:pt idx="864" formatCode="0.0">
                  <c:v>27</c:v>
                </c:pt>
                <c:pt idx="865" formatCode="0.0">
                  <c:v>26</c:v>
                </c:pt>
                <c:pt idx="866">
                  <c:v>39</c:v>
                </c:pt>
                <c:pt idx="867" formatCode="0.0">
                  <c:v>28</c:v>
                </c:pt>
                <c:pt idx="868" formatCode="0.0">
                  <c:v>28</c:v>
                </c:pt>
                <c:pt idx="869" formatCode="0.0">
                  <c:v>30</c:v>
                </c:pt>
                <c:pt idx="870" formatCode="0.0">
                  <c:v>44</c:v>
                </c:pt>
                <c:pt idx="871" formatCode="0.0">
                  <c:v>34</c:v>
                </c:pt>
                <c:pt idx="872" formatCode="0.0">
                  <c:v>37</c:v>
                </c:pt>
                <c:pt idx="873" formatCode="0.0">
                  <c:v>38</c:v>
                </c:pt>
                <c:pt idx="874" formatCode="0.0">
                  <c:v>54</c:v>
                </c:pt>
                <c:pt idx="875" formatCode="0.0">
                  <c:v>54</c:v>
                </c:pt>
                <c:pt idx="876" formatCode="0.0">
                  <c:v>41</c:v>
                </c:pt>
                <c:pt idx="877" formatCode="0.0">
                  <c:v>37</c:v>
                </c:pt>
                <c:pt idx="878" formatCode="0.0">
                  <c:v>55</c:v>
                </c:pt>
                <c:pt idx="879" formatCode="0.0">
                  <c:v>40</c:v>
                </c:pt>
                <c:pt idx="880" formatCode="0.0">
                  <c:v>43</c:v>
                </c:pt>
                <c:pt idx="881" formatCode="0.0">
                  <c:v>45</c:v>
                </c:pt>
                <c:pt idx="882" formatCode="0.0">
                  <c:v>22</c:v>
                </c:pt>
                <c:pt idx="883" formatCode="0.0">
                  <c:v>17</c:v>
                </c:pt>
                <c:pt idx="884" formatCode="0.0">
                  <c:v>18</c:v>
                </c:pt>
                <c:pt idx="885" formatCode="0.0">
                  <c:v>29</c:v>
                </c:pt>
                <c:pt idx="886" formatCode="0.0">
                  <c:v>26</c:v>
                </c:pt>
                <c:pt idx="887" formatCode="0.0">
                  <c:v>34</c:v>
                </c:pt>
                <c:pt idx="888" formatCode="0.0">
                  <c:v>32</c:v>
                </c:pt>
                <c:pt idx="889" formatCode="0.0">
                  <c:v>35</c:v>
                </c:pt>
                <c:pt idx="890" formatCode="0.0">
                  <c:v>30</c:v>
                </c:pt>
                <c:pt idx="891" formatCode="0.0">
                  <c:v>24</c:v>
                </c:pt>
                <c:pt idx="892" formatCode="0.0">
                  <c:v>33</c:v>
                </c:pt>
                <c:pt idx="893" formatCode="0.0">
                  <c:v>37</c:v>
                </c:pt>
                <c:pt idx="894" formatCode="0.0">
                  <c:v>30</c:v>
                </c:pt>
                <c:pt idx="895" formatCode="0.0">
                  <c:v>24</c:v>
                </c:pt>
                <c:pt idx="896" formatCode="0.0">
                  <c:v>28</c:v>
                </c:pt>
                <c:pt idx="897" formatCode="0.0">
                  <c:v>28</c:v>
                </c:pt>
                <c:pt idx="898" formatCode="0.0">
                  <c:v>60</c:v>
                </c:pt>
                <c:pt idx="899" formatCode="0.0">
                  <c:v>45</c:v>
                </c:pt>
                <c:pt idx="900" formatCode="0.0">
                  <c:v>29</c:v>
                </c:pt>
                <c:pt idx="901" formatCode="0.0">
                  <c:v>23</c:v>
                </c:pt>
                <c:pt idx="902" formatCode="0.0">
                  <c:v>23</c:v>
                </c:pt>
                <c:pt idx="903" formatCode="0.0">
                  <c:v>25</c:v>
                </c:pt>
                <c:pt idx="904" formatCode="0.0">
                  <c:v>52</c:v>
                </c:pt>
                <c:pt idx="905" formatCode="0.0">
                  <c:v>51</c:v>
                </c:pt>
                <c:pt idx="906" formatCode="0.0">
                  <c:v>52</c:v>
                </c:pt>
                <c:pt idx="907" formatCode="0.0">
                  <c:v>61</c:v>
                </c:pt>
                <c:pt idx="908" formatCode="0.0">
                  <c:v>54</c:v>
                </c:pt>
                <c:pt idx="909" formatCode="0.0">
                  <c:v>17</c:v>
                </c:pt>
                <c:pt idx="910" formatCode="0.0">
                  <c:v>17</c:v>
                </c:pt>
                <c:pt idx="911" formatCode="0.0">
                  <c:v>17</c:v>
                </c:pt>
                <c:pt idx="912" formatCode="0.0">
                  <c:v>26</c:v>
                </c:pt>
                <c:pt idx="913" formatCode="0.0">
                  <c:v>26</c:v>
                </c:pt>
                <c:pt idx="914" formatCode="0.0">
                  <c:v>26</c:v>
                </c:pt>
                <c:pt idx="915" formatCode="0.0">
                  <c:v>18</c:v>
                </c:pt>
                <c:pt idx="916" formatCode="0.0">
                  <c:v>31</c:v>
                </c:pt>
                <c:pt idx="917" formatCode="0.0">
                  <c:v>27</c:v>
                </c:pt>
                <c:pt idx="918" formatCode="0.0">
                  <c:v>33</c:v>
                </c:pt>
                <c:pt idx="919" formatCode="0.0">
                  <c:v>33</c:v>
                </c:pt>
                <c:pt idx="920" formatCode="0.0">
                  <c:v>33</c:v>
                </c:pt>
                <c:pt idx="921" formatCode="0.0">
                  <c:v>35</c:v>
                </c:pt>
                <c:pt idx="922" formatCode="0.0">
                  <c:v>26</c:v>
                </c:pt>
                <c:pt idx="923" formatCode="0.0">
                  <c:v>21</c:v>
                </c:pt>
                <c:pt idx="924" formatCode="0.0">
                  <c:v>37</c:v>
                </c:pt>
                <c:pt idx="925" formatCode="0.0">
                  <c:v>33</c:v>
                </c:pt>
                <c:pt idx="926" formatCode="0.0">
                  <c:v>27</c:v>
                </c:pt>
                <c:pt idx="927" formatCode="0.0">
                  <c:v>22</c:v>
                </c:pt>
                <c:pt idx="928" formatCode="0.0">
                  <c:v>39</c:v>
                </c:pt>
                <c:pt idx="929" formatCode="0.0">
                  <c:v>19</c:v>
                </c:pt>
                <c:pt idx="930" formatCode="0.0">
                  <c:v>20</c:v>
                </c:pt>
                <c:pt idx="931" formatCode="0.0">
                  <c:v>22</c:v>
                </c:pt>
                <c:pt idx="932" formatCode="0.0">
                  <c:v>21</c:v>
                </c:pt>
                <c:pt idx="933" formatCode="0.0">
                  <c:v>31</c:v>
                </c:pt>
                <c:pt idx="934" formatCode="0.0">
                  <c:v>18</c:v>
                </c:pt>
                <c:pt idx="935" formatCode="0.0">
                  <c:v>20</c:v>
                </c:pt>
                <c:pt idx="936" formatCode="0.0">
                  <c:v>19</c:v>
                </c:pt>
                <c:pt idx="937" formatCode="0.0">
                  <c:v>28</c:v>
                </c:pt>
                <c:pt idx="938" formatCode="0.0">
                  <c:v>27</c:v>
                </c:pt>
                <c:pt idx="939" formatCode="0.0">
                  <c:v>29</c:v>
                </c:pt>
                <c:pt idx="940" formatCode="0.0">
                  <c:v>20</c:v>
                </c:pt>
                <c:pt idx="941" formatCode="0.0">
                  <c:v>48</c:v>
                </c:pt>
                <c:pt idx="942" formatCode="0.0">
                  <c:v>47</c:v>
                </c:pt>
                <c:pt idx="943" formatCode="0.0">
                  <c:v>51</c:v>
                </c:pt>
                <c:pt idx="944" formatCode="0.0">
                  <c:v>51</c:v>
                </c:pt>
                <c:pt idx="945" formatCode="0.0">
                  <c:v>55</c:v>
                </c:pt>
                <c:pt idx="946" formatCode="0.0">
                  <c:v>46</c:v>
                </c:pt>
                <c:pt idx="947" formatCode="0.0">
                  <c:v>40</c:v>
                </c:pt>
                <c:pt idx="948" formatCode="0.0">
                  <c:v>28</c:v>
                </c:pt>
                <c:pt idx="949" formatCode="0.0">
                  <c:v>37</c:v>
                </c:pt>
                <c:pt idx="950" formatCode="0.0">
                  <c:v>41</c:v>
                </c:pt>
                <c:pt idx="951" formatCode="0.0">
                  <c:v>37</c:v>
                </c:pt>
                <c:pt idx="952" formatCode="0.0">
                  <c:v>34</c:v>
                </c:pt>
                <c:pt idx="953" formatCode="0.0">
                  <c:v>30</c:v>
                </c:pt>
                <c:pt idx="954" formatCode="0.0">
                  <c:v>50</c:v>
                </c:pt>
                <c:pt idx="955" formatCode="0.0">
                  <c:v>37</c:v>
                </c:pt>
                <c:pt idx="956" formatCode="0.0">
                  <c:v>40</c:v>
                </c:pt>
                <c:pt idx="957" formatCode="0.0">
                  <c:v>41</c:v>
                </c:pt>
                <c:pt idx="958" formatCode="0.0">
                  <c:v>42</c:v>
                </c:pt>
                <c:pt idx="959" formatCode="0.0">
                  <c:v>42</c:v>
                </c:pt>
                <c:pt idx="960" formatCode="0.0">
                  <c:v>43</c:v>
                </c:pt>
                <c:pt idx="961" formatCode="0.0">
                  <c:v>41</c:v>
                </c:pt>
                <c:pt idx="962" formatCode="0.0">
                  <c:v>38</c:v>
                </c:pt>
                <c:pt idx="963" formatCode="0.0">
                  <c:v>43</c:v>
                </c:pt>
                <c:pt idx="964" formatCode="0.0">
                  <c:v>46</c:v>
                </c:pt>
                <c:pt idx="965" formatCode="0.0">
                  <c:v>49</c:v>
                </c:pt>
                <c:pt idx="966" formatCode="0.0">
                  <c:v>28</c:v>
                </c:pt>
                <c:pt idx="967" formatCode="0.0">
                  <c:v>25</c:v>
                </c:pt>
                <c:pt idx="968" formatCode="0.0">
                  <c:v>25</c:v>
                </c:pt>
                <c:pt idx="969" formatCode="0.0">
                  <c:v>25</c:v>
                </c:pt>
                <c:pt idx="970" formatCode="0.0">
                  <c:v>23</c:v>
                </c:pt>
                <c:pt idx="971" formatCode="0.0">
                  <c:v>29</c:v>
                </c:pt>
                <c:pt idx="972" formatCode="0.0">
                  <c:v>38</c:v>
                </c:pt>
                <c:pt idx="973" formatCode="0.0">
                  <c:v>35</c:v>
                </c:pt>
                <c:pt idx="974" formatCode="0.0">
                  <c:v>41</c:v>
                </c:pt>
                <c:pt idx="975" formatCode="0.0">
                  <c:v>33</c:v>
                </c:pt>
                <c:pt idx="976" formatCode="0.0">
                  <c:v>26</c:v>
                </c:pt>
                <c:pt idx="977" formatCode="0.0">
                  <c:v>17</c:v>
                </c:pt>
                <c:pt idx="978" formatCode="0.0">
                  <c:v>17</c:v>
                </c:pt>
                <c:pt idx="979" formatCode="0.0">
                  <c:v>17</c:v>
                </c:pt>
                <c:pt idx="980" formatCode="0.0">
                  <c:v>17</c:v>
                </c:pt>
                <c:pt idx="981" formatCode="0.0">
                  <c:v>25</c:v>
                </c:pt>
                <c:pt idx="982" formatCode="0.0">
                  <c:v>29</c:v>
                </c:pt>
                <c:pt idx="983" formatCode="0.0">
                  <c:v>29</c:v>
                </c:pt>
                <c:pt idx="984" formatCode="0.0">
                  <c:v>37</c:v>
                </c:pt>
                <c:pt idx="985" formatCode="0.0">
                  <c:v>37</c:v>
                </c:pt>
                <c:pt idx="986" formatCode="0.0">
                  <c:v>42</c:v>
                </c:pt>
                <c:pt idx="987" formatCode="0.0">
                  <c:v>44</c:v>
                </c:pt>
                <c:pt idx="988" formatCode="0.0">
                  <c:v>40</c:v>
                </c:pt>
                <c:pt idx="989" formatCode="0.0">
                  <c:v>37</c:v>
                </c:pt>
                <c:pt idx="990" formatCode="0.0">
                  <c:v>31</c:v>
                </c:pt>
                <c:pt idx="991" formatCode="0.0">
                  <c:v>22</c:v>
                </c:pt>
                <c:pt idx="992" formatCode="0.0">
                  <c:v>22</c:v>
                </c:pt>
                <c:pt idx="993" formatCode="0.0">
                  <c:v>30</c:v>
                </c:pt>
                <c:pt idx="994" formatCode="0.0">
                  <c:v>34</c:v>
                </c:pt>
                <c:pt idx="995" formatCode="0.0">
                  <c:v>23</c:v>
                </c:pt>
                <c:pt idx="996" formatCode="0.0">
                  <c:v>28</c:v>
                </c:pt>
                <c:pt idx="997" formatCode="0.0">
                  <c:v>25</c:v>
                </c:pt>
                <c:pt idx="998" formatCode="0.0">
                  <c:v>23</c:v>
                </c:pt>
                <c:pt idx="999" formatCode="0.0">
                  <c:v>31</c:v>
                </c:pt>
                <c:pt idx="1000" formatCode="0.0">
                  <c:v>41</c:v>
                </c:pt>
                <c:pt idx="1001" formatCode="0.0">
                  <c:v>21</c:v>
                </c:pt>
                <c:pt idx="1002" formatCode="0.0">
                  <c:v>27</c:v>
                </c:pt>
                <c:pt idx="1003" formatCode="0.0">
                  <c:v>43</c:v>
                </c:pt>
                <c:pt idx="1004" formatCode="0.0">
                  <c:v>26</c:v>
                </c:pt>
                <c:pt idx="1005" formatCode="0.0">
                  <c:v>42</c:v>
                </c:pt>
                <c:pt idx="1006" formatCode="0.0">
                  <c:v>43</c:v>
                </c:pt>
                <c:pt idx="1007" formatCode="0.0">
                  <c:v>41</c:v>
                </c:pt>
                <c:pt idx="1008" formatCode="0.0">
                  <c:v>21</c:v>
                </c:pt>
                <c:pt idx="1009" formatCode="0.0">
                  <c:v>44</c:v>
                </c:pt>
                <c:pt idx="1010" formatCode="0.0">
                  <c:v>25</c:v>
                </c:pt>
                <c:pt idx="1011" formatCode="0.0">
                  <c:v>44</c:v>
                </c:pt>
                <c:pt idx="1012" formatCode="0.0">
                  <c:v>48</c:v>
                </c:pt>
                <c:pt idx="1013" formatCode="0.0">
                  <c:v>33</c:v>
                </c:pt>
                <c:pt idx="1014" formatCode="0.0">
                  <c:v>42</c:v>
                </c:pt>
                <c:pt idx="1015" formatCode="0.0">
                  <c:v>46</c:v>
                </c:pt>
                <c:pt idx="1016" formatCode="0.0">
                  <c:v>37</c:v>
                </c:pt>
              </c:numCache>
            </c:numRef>
          </c:xVal>
          <c:yVal>
            <c:numRef>
              <c:f>'2. Logging Brejo Seco'!$BR$3:$BR$1019</c:f>
              <c:numCache>
                <c:formatCode>0</c:formatCode>
                <c:ptCount val="101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50</c:v>
                </c:pt>
                <c:pt idx="7">
                  <c:v>63</c:v>
                </c:pt>
                <c:pt idx="8">
                  <c:v>25</c:v>
                </c:pt>
                <c:pt idx="9">
                  <c:v>44</c:v>
                </c:pt>
                <c:pt idx="10">
                  <c:v>34</c:v>
                </c:pt>
                <c:pt idx="11">
                  <c:v>37</c:v>
                </c:pt>
                <c:pt idx="12">
                  <c:v>23</c:v>
                </c:pt>
                <c:pt idx="13">
                  <c:v>35</c:v>
                </c:pt>
                <c:pt idx="14">
                  <c:v>41</c:v>
                </c:pt>
                <c:pt idx="15">
                  <c:v>50</c:v>
                </c:pt>
                <c:pt idx="16">
                  <c:v>53</c:v>
                </c:pt>
                <c:pt idx="17">
                  <c:v>36</c:v>
                </c:pt>
                <c:pt idx="18">
                  <c:v>46</c:v>
                </c:pt>
                <c:pt idx="19">
                  <c:v>53</c:v>
                </c:pt>
                <c:pt idx="20">
                  <c:v>35</c:v>
                </c:pt>
                <c:pt idx="21">
                  <c:v>27</c:v>
                </c:pt>
                <c:pt idx="22">
                  <c:v>39</c:v>
                </c:pt>
                <c:pt idx="23">
                  <c:v>49</c:v>
                </c:pt>
                <c:pt idx="24">
                  <c:v>49</c:v>
                </c:pt>
                <c:pt idx="25">
                  <c:v>44</c:v>
                </c:pt>
                <c:pt idx="26">
                  <c:v>33</c:v>
                </c:pt>
                <c:pt idx="27">
                  <c:v>34</c:v>
                </c:pt>
                <c:pt idx="28">
                  <c:v>46</c:v>
                </c:pt>
                <c:pt idx="29">
                  <c:v>46</c:v>
                </c:pt>
                <c:pt idx="30">
                  <c:v>36</c:v>
                </c:pt>
                <c:pt idx="31">
                  <c:v>46</c:v>
                </c:pt>
                <c:pt idx="32">
                  <c:v>39</c:v>
                </c:pt>
                <c:pt idx="33">
                  <c:v>29</c:v>
                </c:pt>
                <c:pt idx="34">
                  <c:v>26</c:v>
                </c:pt>
                <c:pt idx="35">
                  <c:v>23</c:v>
                </c:pt>
                <c:pt idx="36">
                  <c:v>21</c:v>
                </c:pt>
                <c:pt idx="37">
                  <c:v>22</c:v>
                </c:pt>
                <c:pt idx="38">
                  <c:v>23</c:v>
                </c:pt>
                <c:pt idx="39">
                  <c:v>23</c:v>
                </c:pt>
                <c:pt idx="40">
                  <c:v>33</c:v>
                </c:pt>
                <c:pt idx="41">
                  <c:v>25</c:v>
                </c:pt>
                <c:pt idx="42">
                  <c:v>29</c:v>
                </c:pt>
                <c:pt idx="43">
                  <c:v>55</c:v>
                </c:pt>
                <c:pt idx="44">
                  <c:v>56</c:v>
                </c:pt>
                <c:pt idx="45">
                  <c:v>75</c:v>
                </c:pt>
                <c:pt idx="46">
                  <c:v>62</c:v>
                </c:pt>
                <c:pt idx="47">
                  <c:v>71</c:v>
                </c:pt>
                <c:pt idx="48">
                  <c:v>53</c:v>
                </c:pt>
                <c:pt idx="49">
                  <c:v>52</c:v>
                </c:pt>
                <c:pt idx="50">
                  <c:v>51</c:v>
                </c:pt>
                <c:pt idx="51">
                  <c:v>67</c:v>
                </c:pt>
                <c:pt idx="52">
                  <c:v>67</c:v>
                </c:pt>
                <c:pt idx="53">
                  <c:v>62</c:v>
                </c:pt>
                <c:pt idx="54">
                  <c:v>68</c:v>
                </c:pt>
                <c:pt idx="55">
                  <c:v>69</c:v>
                </c:pt>
                <c:pt idx="56">
                  <c:v>67</c:v>
                </c:pt>
                <c:pt idx="57">
                  <c:v>58</c:v>
                </c:pt>
                <c:pt idx="58">
                  <c:v>54</c:v>
                </c:pt>
                <c:pt idx="59">
                  <c:v>55</c:v>
                </c:pt>
                <c:pt idx="60">
                  <c:v>73</c:v>
                </c:pt>
                <c:pt idx="61">
                  <c:v>63</c:v>
                </c:pt>
                <c:pt idx="62">
                  <c:v>57</c:v>
                </c:pt>
                <c:pt idx="63">
                  <c:v>38</c:v>
                </c:pt>
                <c:pt idx="64">
                  <c:v>52</c:v>
                </c:pt>
                <c:pt idx="65">
                  <c:v>48</c:v>
                </c:pt>
                <c:pt idx="66">
                  <c:v>37</c:v>
                </c:pt>
                <c:pt idx="67">
                  <c:v>47</c:v>
                </c:pt>
                <c:pt idx="68">
                  <c:v>49</c:v>
                </c:pt>
                <c:pt idx="69">
                  <c:v>45</c:v>
                </c:pt>
                <c:pt idx="70">
                  <c:v>24</c:v>
                </c:pt>
                <c:pt idx="71">
                  <c:v>44</c:v>
                </c:pt>
                <c:pt idx="72">
                  <c:v>52</c:v>
                </c:pt>
                <c:pt idx="73">
                  <c:v>40</c:v>
                </c:pt>
                <c:pt idx="74">
                  <c:v>46</c:v>
                </c:pt>
                <c:pt idx="75">
                  <c:v>45</c:v>
                </c:pt>
                <c:pt idx="76">
                  <c:v>39</c:v>
                </c:pt>
                <c:pt idx="77">
                  <c:v>43</c:v>
                </c:pt>
                <c:pt idx="78">
                  <c:v>33</c:v>
                </c:pt>
                <c:pt idx="79">
                  <c:v>34</c:v>
                </c:pt>
                <c:pt idx="80">
                  <c:v>30</c:v>
                </c:pt>
                <c:pt idx="81">
                  <c:v>28</c:v>
                </c:pt>
                <c:pt idx="82">
                  <c:v>29</c:v>
                </c:pt>
                <c:pt idx="83">
                  <c:v>30</c:v>
                </c:pt>
                <c:pt idx="84">
                  <c:v>37</c:v>
                </c:pt>
                <c:pt idx="85">
                  <c:v>32</c:v>
                </c:pt>
                <c:pt idx="86">
                  <c:v>48</c:v>
                </c:pt>
                <c:pt idx="87">
                  <c:v>38</c:v>
                </c:pt>
                <c:pt idx="88">
                  <c:v>37</c:v>
                </c:pt>
                <c:pt idx="89">
                  <c:v>30</c:v>
                </c:pt>
                <c:pt idx="90">
                  <c:v>36</c:v>
                </c:pt>
                <c:pt idx="91">
                  <c:v>31</c:v>
                </c:pt>
                <c:pt idx="92">
                  <c:v>41</c:v>
                </c:pt>
                <c:pt idx="93">
                  <c:v>61</c:v>
                </c:pt>
                <c:pt idx="94">
                  <c:v>38</c:v>
                </c:pt>
                <c:pt idx="95">
                  <c:v>30</c:v>
                </c:pt>
                <c:pt idx="96">
                  <c:v>30</c:v>
                </c:pt>
                <c:pt idx="97">
                  <c:v>48</c:v>
                </c:pt>
                <c:pt idx="98">
                  <c:v>38</c:v>
                </c:pt>
                <c:pt idx="99">
                  <c:v>40</c:v>
                </c:pt>
                <c:pt idx="100">
                  <c:v>39</c:v>
                </c:pt>
                <c:pt idx="101">
                  <c:v>35</c:v>
                </c:pt>
                <c:pt idx="102">
                  <c:v>28</c:v>
                </c:pt>
                <c:pt idx="103">
                  <c:v>33</c:v>
                </c:pt>
                <c:pt idx="104">
                  <c:v>23</c:v>
                </c:pt>
                <c:pt idx="105">
                  <c:v>22</c:v>
                </c:pt>
                <c:pt idx="106">
                  <c:v>58</c:v>
                </c:pt>
                <c:pt idx="107">
                  <c:v>50</c:v>
                </c:pt>
                <c:pt idx="108">
                  <c:v>55</c:v>
                </c:pt>
                <c:pt idx="109">
                  <c:v>44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37</c:v>
                </c:pt>
                <c:pt idx="122">
                  <c:v>26</c:v>
                </c:pt>
                <c:pt idx="123">
                  <c:v>26</c:v>
                </c:pt>
                <c:pt idx="124">
                  <c:v>30</c:v>
                </c:pt>
                <c:pt idx="125">
                  <c:v>37</c:v>
                </c:pt>
                <c:pt idx="126">
                  <c:v>28</c:v>
                </c:pt>
                <c:pt idx="127">
                  <c:v>24</c:v>
                </c:pt>
                <c:pt idx="128">
                  <c:v>33</c:v>
                </c:pt>
                <c:pt idx="129">
                  <c:v>29</c:v>
                </c:pt>
                <c:pt idx="130">
                  <c:v>41</c:v>
                </c:pt>
                <c:pt idx="131">
                  <c:v>49</c:v>
                </c:pt>
                <c:pt idx="132">
                  <c:v>33</c:v>
                </c:pt>
                <c:pt idx="133">
                  <c:v>33</c:v>
                </c:pt>
                <c:pt idx="134">
                  <c:v>43</c:v>
                </c:pt>
                <c:pt idx="135">
                  <c:v>54</c:v>
                </c:pt>
                <c:pt idx="136">
                  <c:v>39</c:v>
                </c:pt>
                <c:pt idx="137">
                  <c:v>30</c:v>
                </c:pt>
                <c:pt idx="138">
                  <c:v>34</c:v>
                </c:pt>
                <c:pt idx="139">
                  <c:v>29</c:v>
                </c:pt>
                <c:pt idx="140">
                  <c:v>31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24</c:v>
                </c:pt>
                <c:pt idx="146">
                  <c:v>22</c:v>
                </c:pt>
                <c:pt idx="147">
                  <c:v>20</c:v>
                </c:pt>
                <c:pt idx="148">
                  <c:v>22</c:v>
                </c:pt>
                <c:pt idx="149">
                  <c:v>23</c:v>
                </c:pt>
                <c:pt idx="150">
                  <c:v>23</c:v>
                </c:pt>
                <c:pt idx="151">
                  <c:v>22</c:v>
                </c:pt>
                <c:pt idx="152">
                  <c:v>23</c:v>
                </c:pt>
                <c:pt idx="153">
                  <c:v>22</c:v>
                </c:pt>
                <c:pt idx="154">
                  <c:v>22</c:v>
                </c:pt>
                <c:pt idx="155">
                  <c:v>21</c:v>
                </c:pt>
                <c:pt idx="156">
                  <c:v>21</c:v>
                </c:pt>
                <c:pt idx="157">
                  <c:v>21</c:v>
                </c:pt>
                <c:pt idx="158">
                  <c:v>17</c:v>
                </c:pt>
                <c:pt idx="159">
                  <c:v>21</c:v>
                </c:pt>
                <c:pt idx="160">
                  <c:v>21</c:v>
                </c:pt>
                <c:pt idx="161">
                  <c:v>22</c:v>
                </c:pt>
                <c:pt idx="162">
                  <c:v>22</c:v>
                </c:pt>
                <c:pt idx="163">
                  <c:v>21</c:v>
                </c:pt>
                <c:pt idx="164">
                  <c:v>22</c:v>
                </c:pt>
                <c:pt idx="165">
                  <c:v>21</c:v>
                </c:pt>
                <c:pt idx="166">
                  <c:v>17</c:v>
                </c:pt>
                <c:pt idx="167">
                  <c:v>21</c:v>
                </c:pt>
                <c:pt idx="168">
                  <c:v>21</c:v>
                </c:pt>
                <c:pt idx="169">
                  <c:v>21</c:v>
                </c:pt>
                <c:pt idx="170">
                  <c:v>21</c:v>
                </c:pt>
                <c:pt idx="171">
                  <c:v>21</c:v>
                </c:pt>
                <c:pt idx="172">
                  <c:v>21</c:v>
                </c:pt>
                <c:pt idx="173">
                  <c:v>21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27</c:v>
                </c:pt>
                <c:pt idx="179">
                  <c:v>23</c:v>
                </c:pt>
                <c:pt idx="180">
                  <c:v>28</c:v>
                </c:pt>
                <c:pt idx="181">
                  <c:v>23</c:v>
                </c:pt>
                <c:pt idx="182">
                  <c:v>28</c:v>
                </c:pt>
                <c:pt idx="183">
                  <c:v>27</c:v>
                </c:pt>
                <c:pt idx="184">
                  <c:v>28</c:v>
                </c:pt>
                <c:pt idx="185">
                  <c:v>31</c:v>
                </c:pt>
                <c:pt idx="186">
                  <c:v>22</c:v>
                </c:pt>
                <c:pt idx="187">
                  <c:v>22</c:v>
                </c:pt>
                <c:pt idx="188">
                  <c:v>23</c:v>
                </c:pt>
                <c:pt idx="189">
                  <c:v>31</c:v>
                </c:pt>
                <c:pt idx="190">
                  <c:v>29</c:v>
                </c:pt>
                <c:pt idx="191">
                  <c:v>30</c:v>
                </c:pt>
                <c:pt idx="192">
                  <c:v>36</c:v>
                </c:pt>
                <c:pt idx="193">
                  <c:v>29</c:v>
                </c:pt>
                <c:pt idx="194">
                  <c:v>29</c:v>
                </c:pt>
                <c:pt idx="195">
                  <c:v>29</c:v>
                </c:pt>
                <c:pt idx="196">
                  <c:v>28</c:v>
                </c:pt>
                <c:pt idx="197">
                  <c:v>27</c:v>
                </c:pt>
                <c:pt idx="198">
                  <c:v>28</c:v>
                </c:pt>
                <c:pt idx="199">
                  <c:v>28</c:v>
                </c:pt>
                <c:pt idx="200">
                  <c:v>29</c:v>
                </c:pt>
                <c:pt idx="201">
                  <c:v>29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34</c:v>
                </c:pt>
                <c:pt idx="206">
                  <c:v>34</c:v>
                </c:pt>
                <c:pt idx="207">
                  <c:v>28</c:v>
                </c:pt>
                <c:pt idx="208">
                  <c:v>23</c:v>
                </c:pt>
                <c:pt idx="209">
                  <c:v>24</c:v>
                </c:pt>
                <c:pt idx="210">
                  <c:v>23</c:v>
                </c:pt>
                <c:pt idx="211">
                  <c:v>30</c:v>
                </c:pt>
                <c:pt idx="212">
                  <c:v>26</c:v>
                </c:pt>
                <c:pt idx="213">
                  <c:v>38</c:v>
                </c:pt>
                <c:pt idx="214">
                  <c:v>30</c:v>
                </c:pt>
                <c:pt idx="215">
                  <c:v>27</c:v>
                </c:pt>
                <c:pt idx="216">
                  <c:v>35</c:v>
                </c:pt>
                <c:pt idx="217">
                  <c:v>27</c:v>
                </c:pt>
                <c:pt idx="218">
                  <c:v>34</c:v>
                </c:pt>
                <c:pt idx="219">
                  <c:v>35</c:v>
                </c:pt>
                <c:pt idx="220">
                  <c:v>38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34</c:v>
                </c:pt>
                <c:pt idx="230">
                  <c:v>16</c:v>
                </c:pt>
                <c:pt idx="231">
                  <c:v>15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15</c:v>
                </c:pt>
                <c:pt idx="237">
                  <c:v>16</c:v>
                </c:pt>
                <c:pt idx="238">
                  <c:v>28</c:v>
                </c:pt>
                <c:pt idx="239">
                  <c:v>28</c:v>
                </c:pt>
                <c:pt idx="240">
                  <c:v>30</c:v>
                </c:pt>
                <c:pt idx="241">
                  <c:v>23</c:v>
                </c:pt>
                <c:pt idx="242">
                  <c:v>22</c:v>
                </c:pt>
                <c:pt idx="243">
                  <c:v>26</c:v>
                </c:pt>
                <c:pt idx="244">
                  <c:v>29</c:v>
                </c:pt>
                <c:pt idx="245">
                  <c:v>30</c:v>
                </c:pt>
                <c:pt idx="246">
                  <c:v>30</c:v>
                </c:pt>
                <c:pt idx="247">
                  <c:v>36</c:v>
                </c:pt>
                <c:pt idx="248">
                  <c:v>22</c:v>
                </c:pt>
                <c:pt idx="249">
                  <c:v>20</c:v>
                </c:pt>
                <c:pt idx="250">
                  <c:v>20</c:v>
                </c:pt>
                <c:pt idx="251">
                  <c:v>25</c:v>
                </c:pt>
                <c:pt idx="252">
                  <c:v>20</c:v>
                </c:pt>
                <c:pt idx="253">
                  <c:v>19</c:v>
                </c:pt>
                <c:pt idx="254">
                  <c:v>20</c:v>
                </c:pt>
                <c:pt idx="255">
                  <c:v>19</c:v>
                </c:pt>
                <c:pt idx="256">
                  <c:v>31</c:v>
                </c:pt>
                <c:pt idx="257">
                  <c:v>29</c:v>
                </c:pt>
                <c:pt idx="258">
                  <c:v>25</c:v>
                </c:pt>
                <c:pt idx="259">
                  <c:v>33</c:v>
                </c:pt>
                <c:pt idx="260">
                  <c:v>32</c:v>
                </c:pt>
                <c:pt idx="261">
                  <c:v>29</c:v>
                </c:pt>
                <c:pt idx="262">
                  <c:v>29</c:v>
                </c:pt>
                <c:pt idx="263">
                  <c:v>39</c:v>
                </c:pt>
                <c:pt idx="264">
                  <c:v>27</c:v>
                </c:pt>
                <c:pt idx="265">
                  <c:v>38</c:v>
                </c:pt>
                <c:pt idx="266">
                  <c:v>26</c:v>
                </c:pt>
                <c:pt idx="267">
                  <c:v>35</c:v>
                </c:pt>
                <c:pt idx="268">
                  <c:v>34</c:v>
                </c:pt>
                <c:pt idx="269">
                  <c:v>25</c:v>
                </c:pt>
                <c:pt idx="270">
                  <c:v>28</c:v>
                </c:pt>
                <c:pt idx="271">
                  <c:v>35</c:v>
                </c:pt>
                <c:pt idx="272">
                  <c:v>38</c:v>
                </c:pt>
                <c:pt idx="273">
                  <c:v>26</c:v>
                </c:pt>
                <c:pt idx="274">
                  <c:v>47</c:v>
                </c:pt>
                <c:pt idx="275">
                  <c:v>46</c:v>
                </c:pt>
                <c:pt idx="276">
                  <c:v>59</c:v>
                </c:pt>
                <c:pt idx="277">
                  <c:v>50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57</c:v>
                </c:pt>
                <c:pt idx="283">
                  <c:v>53</c:v>
                </c:pt>
                <c:pt idx="284">
                  <c:v>56</c:v>
                </c:pt>
                <c:pt idx="285">
                  <c:v>59</c:v>
                </c:pt>
                <c:pt idx="286">
                  <c:v>57</c:v>
                </c:pt>
                <c:pt idx="287">
                  <c:v>49</c:v>
                </c:pt>
                <c:pt idx="288">
                  <c:v>39</c:v>
                </c:pt>
                <c:pt idx="289">
                  <c:v>41</c:v>
                </c:pt>
                <c:pt idx="290">
                  <c:v>43</c:v>
                </c:pt>
                <c:pt idx="291">
                  <c:v>31</c:v>
                </c:pt>
                <c:pt idx="292">
                  <c:v>33</c:v>
                </c:pt>
                <c:pt idx="293">
                  <c:v>32</c:v>
                </c:pt>
                <c:pt idx="294">
                  <c:v>36</c:v>
                </c:pt>
                <c:pt idx="295">
                  <c:v>40</c:v>
                </c:pt>
                <c:pt idx="296">
                  <c:v>55</c:v>
                </c:pt>
                <c:pt idx="297">
                  <c:v>44</c:v>
                </c:pt>
                <c:pt idx="298">
                  <c:v>28</c:v>
                </c:pt>
                <c:pt idx="299">
                  <c:v>41</c:v>
                </c:pt>
                <c:pt idx="300">
                  <c:v>32</c:v>
                </c:pt>
                <c:pt idx="301">
                  <c:v>27</c:v>
                </c:pt>
                <c:pt idx="302">
                  <c:v>26</c:v>
                </c:pt>
                <c:pt idx="303">
                  <c:v>46</c:v>
                </c:pt>
                <c:pt idx="304">
                  <c:v>31</c:v>
                </c:pt>
                <c:pt idx="305">
                  <c:v>30</c:v>
                </c:pt>
                <c:pt idx="306">
                  <c:v>48</c:v>
                </c:pt>
                <c:pt idx="307">
                  <c:v>45</c:v>
                </c:pt>
                <c:pt idx="308">
                  <c:v>41</c:v>
                </c:pt>
                <c:pt idx="309">
                  <c:v>52</c:v>
                </c:pt>
                <c:pt idx="310">
                  <c:v>38</c:v>
                </c:pt>
                <c:pt idx="311">
                  <c:v>31</c:v>
                </c:pt>
                <c:pt idx="312">
                  <c:v>53</c:v>
                </c:pt>
                <c:pt idx="313">
                  <c:v>49</c:v>
                </c:pt>
                <c:pt idx="314">
                  <c:v>39</c:v>
                </c:pt>
                <c:pt idx="315">
                  <c:v>25</c:v>
                </c:pt>
                <c:pt idx="316">
                  <c:v>24</c:v>
                </c:pt>
                <c:pt idx="317">
                  <c:v>18</c:v>
                </c:pt>
                <c:pt idx="318">
                  <c:v>19</c:v>
                </c:pt>
                <c:pt idx="319">
                  <c:v>19</c:v>
                </c:pt>
                <c:pt idx="320">
                  <c:v>21</c:v>
                </c:pt>
                <c:pt idx="321">
                  <c:v>22</c:v>
                </c:pt>
                <c:pt idx="322">
                  <c:v>23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24</c:v>
                </c:pt>
                <c:pt idx="327">
                  <c:v>24</c:v>
                </c:pt>
                <c:pt idx="328">
                  <c:v>23</c:v>
                </c:pt>
                <c:pt idx="329">
                  <c:v>26</c:v>
                </c:pt>
                <c:pt idx="330">
                  <c:v>23</c:v>
                </c:pt>
                <c:pt idx="331">
                  <c:v>24</c:v>
                </c:pt>
                <c:pt idx="332">
                  <c:v>23</c:v>
                </c:pt>
                <c:pt idx="333">
                  <c:v>25</c:v>
                </c:pt>
                <c:pt idx="334">
                  <c:v>24</c:v>
                </c:pt>
                <c:pt idx="335">
                  <c:v>24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25</c:v>
                </c:pt>
                <c:pt idx="341">
                  <c:v>24</c:v>
                </c:pt>
                <c:pt idx="342">
                  <c:v>22</c:v>
                </c:pt>
                <c:pt idx="343">
                  <c:v>25</c:v>
                </c:pt>
                <c:pt idx="344">
                  <c:v>22</c:v>
                </c:pt>
                <c:pt idx="345">
                  <c:v>25</c:v>
                </c:pt>
                <c:pt idx="346">
                  <c:v>22</c:v>
                </c:pt>
                <c:pt idx="347">
                  <c:v>22</c:v>
                </c:pt>
                <c:pt idx="348">
                  <c:v>24</c:v>
                </c:pt>
                <c:pt idx="349">
                  <c:v>24</c:v>
                </c:pt>
                <c:pt idx="350" formatCode="General">
                  <c:v>20</c:v>
                </c:pt>
                <c:pt idx="351" formatCode="General">
                  <c:v>20</c:v>
                </c:pt>
                <c:pt idx="352" formatCode="General">
                  <c:v>21</c:v>
                </c:pt>
                <c:pt idx="353" formatCode="General">
                  <c:v>35</c:v>
                </c:pt>
                <c:pt idx="354" formatCode="General">
                  <c:v>43</c:v>
                </c:pt>
                <c:pt idx="356" formatCode="General">
                  <c:v>33</c:v>
                </c:pt>
                <c:pt idx="357" formatCode="General">
                  <c:v>16</c:v>
                </c:pt>
                <c:pt idx="358" formatCode="General">
                  <c:v>20</c:v>
                </c:pt>
                <c:pt idx="359" formatCode="General">
                  <c:v>21</c:v>
                </c:pt>
                <c:pt idx="360" formatCode="General">
                  <c:v>21</c:v>
                </c:pt>
                <c:pt idx="361" formatCode="General">
                  <c:v>23</c:v>
                </c:pt>
                <c:pt idx="362" formatCode="General">
                  <c:v>23</c:v>
                </c:pt>
                <c:pt idx="363" formatCode="General">
                  <c:v>24</c:v>
                </c:pt>
                <c:pt idx="364" formatCode="General">
                  <c:v>21</c:v>
                </c:pt>
                <c:pt idx="365" formatCode="General">
                  <c:v>20</c:v>
                </c:pt>
                <c:pt idx="366" formatCode="General">
                  <c:v>21</c:v>
                </c:pt>
                <c:pt idx="367" formatCode="General">
                  <c:v>29</c:v>
                </c:pt>
                <c:pt idx="368" formatCode="General">
                  <c:v>28</c:v>
                </c:pt>
                <c:pt idx="369" formatCode="General">
                  <c:v>22</c:v>
                </c:pt>
                <c:pt idx="370" formatCode="General">
                  <c:v>28</c:v>
                </c:pt>
                <c:pt idx="371" formatCode="General">
                  <c:v>28</c:v>
                </c:pt>
                <c:pt idx="372" formatCode="General">
                  <c:v>22</c:v>
                </c:pt>
                <c:pt idx="373" formatCode="General">
                  <c:v>30</c:v>
                </c:pt>
                <c:pt idx="374" formatCode="General">
                  <c:v>24</c:v>
                </c:pt>
                <c:pt idx="375" formatCode="General">
                  <c:v>34</c:v>
                </c:pt>
                <c:pt idx="376" formatCode="General">
                  <c:v>29</c:v>
                </c:pt>
                <c:pt idx="377" formatCode="General">
                  <c:v>23</c:v>
                </c:pt>
                <c:pt idx="378" formatCode="General">
                  <c:v>28</c:v>
                </c:pt>
                <c:pt idx="379" formatCode="General">
                  <c:v>24</c:v>
                </c:pt>
                <c:pt idx="380" formatCode="General">
                  <c:v>24</c:v>
                </c:pt>
                <c:pt idx="381" formatCode="General">
                  <c:v>23</c:v>
                </c:pt>
                <c:pt idx="382" formatCode="General">
                  <c:v>21</c:v>
                </c:pt>
                <c:pt idx="383" formatCode="General">
                  <c:v>20</c:v>
                </c:pt>
                <c:pt idx="384" formatCode="General">
                  <c:v>21</c:v>
                </c:pt>
                <c:pt idx="385" formatCode="General">
                  <c:v>20</c:v>
                </c:pt>
                <c:pt idx="386" formatCode="General">
                  <c:v>20</c:v>
                </c:pt>
                <c:pt idx="387" formatCode="General">
                  <c:v>21</c:v>
                </c:pt>
                <c:pt idx="388" formatCode="General">
                  <c:v>19</c:v>
                </c:pt>
                <c:pt idx="389" formatCode="General">
                  <c:v>20</c:v>
                </c:pt>
                <c:pt idx="390" formatCode="General">
                  <c:v>22</c:v>
                </c:pt>
                <c:pt idx="391" formatCode="General">
                  <c:v>28</c:v>
                </c:pt>
                <c:pt idx="392" formatCode="General">
                  <c:v>22</c:v>
                </c:pt>
                <c:pt idx="393" formatCode="General">
                  <c:v>31</c:v>
                </c:pt>
                <c:pt idx="394" formatCode="General">
                  <c:v>28</c:v>
                </c:pt>
                <c:pt idx="395" formatCode="General">
                  <c:v>23</c:v>
                </c:pt>
                <c:pt idx="396" formatCode="General">
                  <c:v>26</c:v>
                </c:pt>
                <c:pt idx="397" formatCode="General">
                  <c:v>32</c:v>
                </c:pt>
                <c:pt idx="398" formatCode="General">
                  <c:v>26</c:v>
                </c:pt>
                <c:pt idx="399" formatCode="General">
                  <c:v>25</c:v>
                </c:pt>
                <c:pt idx="400" formatCode="General">
                  <c:v>26</c:v>
                </c:pt>
                <c:pt idx="401" formatCode="General">
                  <c:v>26</c:v>
                </c:pt>
                <c:pt idx="402" formatCode="General">
                  <c:v>27</c:v>
                </c:pt>
                <c:pt idx="403" formatCode="General">
                  <c:v>28</c:v>
                </c:pt>
                <c:pt idx="404" formatCode="General">
                  <c:v>27</c:v>
                </c:pt>
                <c:pt idx="405" formatCode="General">
                  <c:v>27</c:v>
                </c:pt>
                <c:pt idx="406" formatCode="General">
                  <c:v>27</c:v>
                </c:pt>
                <c:pt idx="407" formatCode="General">
                  <c:v>26</c:v>
                </c:pt>
                <c:pt idx="408" formatCode="General">
                  <c:v>26</c:v>
                </c:pt>
                <c:pt idx="409" formatCode="General">
                  <c:v>20</c:v>
                </c:pt>
                <c:pt idx="410" formatCode="General">
                  <c:v>20</c:v>
                </c:pt>
                <c:pt idx="411" formatCode="General">
                  <c:v>20</c:v>
                </c:pt>
                <c:pt idx="412" formatCode="General">
                  <c:v>21</c:v>
                </c:pt>
                <c:pt idx="413" formatCode="General">
                  <c:v>19</c:v>
                </c:pt>
                <c:pt idx="414" formatCode="General">
                  <c:v>27</c:v>
                </c:pt>
                <c:pt idx="415" formatCode="General">
                  <c:v>18</c:v>
                </c:pt>
                <c:pt idx="416" formatCode="General">
                  <c:v>22</c:v>
                </c:pt>
                <c:pt idx="417" formatCode="General">
                  <c:v>29</c:v>
                </c:pt>
                <c:pt idx="418" formatCode="General">
                  <c:v>28</c:v>
                </c:pt>
                <c:pt idx="419" formatCode="General">
                  <c:v>31</c:v>
                </c:pt>
                <c:pt idx="420" formatCode="General">
                  <c:v>39</c:v>
                </c:pt>
                <c:pt idx="421" formatCode="General">
                  <c:v>33</c:v>
                </c:pt>
                <c:pt idx="422" formatCode="General">
                  <c:v>25</c:v>
                </c:pt>
                <c:pt idx="423" formatCode="General">
                  <c:v>26</c:v>
                </c:pt>
                <c:pt idx="424" formatCode="General">
                  <c:v>31</c:v>
                </c:pt>
                <c:pt idx="425" formatCode="General">
                  <c:v>30</c:v>
                </c:pt>
                <c:pt idx="426" formatCode="General">
                  <c:v>27</c:v>
                </c:pt>
                <c:pt idx="427" formatCode="General">
                  <c:v>36</c:v>
                </c:pt>
                <c:pt idx="428" formatCode="General">
                  <c:v>30</c:v>
                </c:pt>
                <c:pt idx="429" formatCode="General">
                  <c:v>27</c:v>
                </c:pt>
                <c:pt idx="430" formatCode="General">
                  <c:v>33</c:v>
                </c:pt>
                <c:pt idx="431" formatCode="General">
                  <c:v>33</c:v>
                </c:pt>
                <c:pt idx="432" formatCode="General">
                  <c:v>33</c:v>
                </c:pt>
                <c:pt idx="433" formatCode="General">
                  <c:v>26</c:v>
                </c:pt>
                <c:pt idx="434" formatCode="General">
                  <c:v>30</c:v>
                </c:pt>
                <c:pt idx="435" formatCode="General">
                  <c:v>27</c:v>
                </c:pt>
                <c:pt idx="436" formatCode="General">
                  <c:v>30</c:v>
                </c:pt>
                <c:pt idx="437" formatCode="General">
                  <c:v>26</c:v>
                </c:pt>
                <c:pt idx="438" formatCode="General">
                  <c:v>29</c:v>
                </c:pt>
                <c:pt idx="439" formatCode="General">
                  <c:v>32</c:v>
                </c:pt>
                <c:pt idx="440" formatCode="General">
                  <c:v>33</c:v>
                </c:pt>
                <c:pt idx="441" formatCode="General">
                  <c:v>24</c:v>
                </c:pt>
                <c:pt idx="442" formatCode="General">
                  <c:v>25</c:v>
                </c:pt>
                <c:pt idx="443" formatCode="General">
                  <c:v>24</c:v>
                </c:pt>
                <c:pt idx="444" formatCode="General">
                  <c:v>31</c:v>
                </c:pt>
                <c:pt idx="445" formatCode="General">
                  <c:v>32</c:v>
                </c:pt>
                <c:pt idx="446" formatCode="General">
                  <c:v>22</c:v>
                </c:pt>
                <c:pt idx="447" formatCode="General">
                  <c:v>22</c:v>
                </c:pt>
                <c:pt idx="448" formatCode="General">
                  <c:v>22</c:v>
                </c:pt>
                <c:pt idx="449" formatCode="General">
                  <c:v>22</c:v>
                </c:pt>
                <c:pt idx="450" formatCode="General">
                  <c:v>24</c:v>
                </c:pt>
                <c:pt idx="451" formatCode="General">
                  <c:v>35</c:v>
                </c:pt>
                <c:pt idx="452" formatCode="General">
                  <c:v>36</c:v>
                </c:pt>
                <c:pt idx="453" formatCode="General">
                  <c:v>32</c:v>
                </c:pt>
                <c:pt idx="454" formatCode="General">
                  <c:v>29</c:v>
                </c:pt>
                <c:pt idx="455" formatCode="General">
                  <c:v>23</c:v>
                </c:pt>
                <c:pt idx="456" formatCode="General">
                  <c:v>35</c:v>
                </c:pt>
                <c:pt idx="458" formatCode="General">
                  <c:v>24</c:v>
                </c:pt>
                <c:pt idx="459" formatCode="General">
                  <c:v>34</c:v>
                </c:pt>
                <c:pt idx="460" formatCode="General">
                  <c:v>29</c:v>
                </c:pt>
                <c:pt idx="461" formatCode="General">
                  <c:v>31</c:v>
                </c:pt>
                <c:pt idx="462" formatCode="General">
                  <c:v>30</c:v>
                </c:pt>
                <c:pt idx="463" formatCode="General">
                  <c:v>23</c:v>
                </c:pt>
                <c:pt idx="464" formatCode="General">
                  <c:v>35</c:v>
                </c:pt>
                <c:pt idx="465" formatCode="General">
                  <c:v>33</c:v>
                </c:pt>
                <c:pt idx="466" formatCode="General">
                  <c:v>36</c:v>
                </c:pt>
                <c:pt idx="467" formatCode="General">
                  <c:v>23</c:v>
                </c:pt>
                <c:pt idx="468" formatCode="General">
                  <c:v>24</c:v>
                </c:pt>
                <c:pt idx="469" formatCode="General">
                  <c:v>25</c:v>
                </c:pt>
                <c:pt idx="470" formatCode="General">
                  <c:v>#N/A</c:v>
                </c:pt>
                <c:pt idx="471" formatCode="General">
                  <c:v>#N/A</c:v>
                </c:pt>
                <c:pt idx="472" formatCode="General">
                  <c:v>#N/A</c:v>
                </c:pt>
                <c:pt idx="473" formatCode="General">
                  <c:v>#N/A</c:v>
                </c:pt>
                <c:pt idx="474" formatCode="General">
                  <c:v>#N/A</c:v>
                </c:pt>
                <c:pt idx="475" formatCode="General">
                  <c:v>#N/A</c:v>
                </c:pt>
                <c:pt idx="476" formatCode="General">
                  <c:v>#N/A</c:v>
                </c:pt>
                <c:pt idx="477" formatCode="General">
                  <c:v>#N/A</c:v>
                </c:pt>
                <c:pt idx="478" formatCode="General">
                  <c:v>#N/A</c:v>
                </c:pt>
                <c:pt idx="479" formatCode="General">
                  <c:v>#N/A</c:v>
                </c:pt>
                <c:pt idx="480" formatCode="General">
                  <c:v>#N/A</c:v>
                </c:pt>
                <c:pt idx="481" formatCode="General">
                  <c:v>#N/A</c:v>
                </c:pt>
                <c:pt idx="482" formatCode="General">
                  <c:v>#N/A</c:v>
                </c:pt>
                <c:pt idx="483" formatCode="General">
                  <c:v>#N/A</c:v>
                </c:pt>
                <c:pt idx="484" formatCode="General">
                  <c:v>#N/A</c:v>
                </c:pt>
                <c:pt idx="485" formatCode="General">
                  <c:v>#N/A</c:v>
                </c:pt>
                <c:pt idx="486" formatCode="General">
                  <c:v>#N/A</c:v>
                </c:pt>
                <c:pt idx="487" formatCode="General">
                  <c:v>#N/A</c:v>
                </c:pt>
                <c:pt idx="488" formatCode="General">
                  <c:v>#N/A</c:v>
                </c:pt>
                <c:pt idx="489" formatCode="General">
                  <c:v>#N/A</c:v>
                </c:pt>
                <c:pt idx="490" formatCode="General">
                  <c:v>#N/A</c:v>
                </c:pt>
                <c:pt idx="491" formatCode="General">
                  <c:v>#N/A</c:v>
                </c:pt>
                <c:pt idx="492" formatCode="General">
                  <c:v>#N/A</c:v>
                </c:pt>
                <c:pt idx="493" formatCode="General">
                  <c:v>#N/A</c:v>
                </c:pt>
                <c:pt idx="494" formatCode="General">
                  <c:v>#N/A</c:v>
                </c:pt>
                <c:pt idx="495" formatCode="General">
                  <c:v>#N/A</c:v>
                </c:pt>
                <c:pt idx="496" formatCode="General">
                  <c:v>#N/A</c:v>
                </c:pt>
                <c:pt idx="497" formatCode="General">
                  <c:v>#N/A</c:v>
                </c:pt>
                <c:pt idx="498" formatCode="General">
                  <c:v>#N/A</c:v>
                </c:pt>
                <c:pt idx="499" formatCode="General">
                  <c:v>#N/A</c:v>
                </c:pt>
                <c:pt idx="500" formatCode="General">
                  <c:v>#N/A</c:v>
                </c:pt>
                <c:pt idx="501" formatCode="General">
                  <c:v>#N/A</c:v>
                </c:pt>
                <c:pt idx="502" formatCode="General">
                  <c:v>#N/A</c:v>
                </c:pt>
                <c:pt idx="503" formatCode="General">
                  <c:v>#N/A</c:v>
                </c:pt>
                <c:pt idx="504" formatCode="General">
                  <c:v>#N/A</c:v>
                </c:pt>
                <c:pt idx="505">
                  <c:v>33</c:v>
                </c:pt>
                <c:pt idx="506">
                  <c:v>24</c:v>
                </c:pt>
                <c:pt idx="507">
                  <c:v>25</c:v>
                </c:pt>
                <c:pt idx="508">
                  <c:v>23</c:v>
                </c:pt>
                <c:pt idx="509">
                  <c:v>32</c:v>
                </c:pt>
                <c:pt idx="510">
                  <c:v>34</c:v>
                </c:pt>
                <c:pt idx="511">
                  <c:v>32</c:v>
                </c:pt>
                <c:pt idx="512">
                  <c:v>34</c:v>
                </c:pt>
                <c:pt idx="513">
                  <c:v>52</c:v>
                </c:pt>
                <c:pt idx="514">
                  <c:v>28</c:v>
                </c:pt>
                <c:pt idx="515">
                  <c:v>26</c:v>
                </c:pt>
                <c:pt idx="516">
                  <c:v>25</c:v>
                </c:pt>
                <c:pt idx="517">
                  <c:v>33</c:v>
                </c:pt>
                <c:pt idx="518">
                  <c:v>46</c:v>
                </c:pt>
                <c:pt idx="519">
                  <c:v>44</c:v>
                </c:pt>
                <c:pt idx="520">
                  <c:v>53</c:v>
                </c:pt>
                <c:pt idx="521">
                  <c:v>45</c:v>
                </c:pt>
                <c:pt idx="522">
                  <c:v>32</c:v>
                </c:pt>
                <c:pt idx="523">
                  <c:v>30</c:v>
                </c:pt>
                <c:pt idx="524">
                  <c:v>31</c:v>
                </c:pt>
                <c:pt idx="525">
                  <c:v>31</c:v>
                </c:pt>
                <c:pt idx="526">
                  <c:v>25</c:v>
                </c:pt>
                <c:pt idx="527">
                  <c:v>34</c:v>
                </c:pt>
                <c:pt idx="528">
                  <c:v>30</c:v>
                </c:pt>
                <c:pt idx="529">
                  <c:v>27</c:v>
                </c:pt>
                <c:pt idx="530">
                  <c:v>33</c:v>
                </c:pt>
                <c:pt idx="531">
                  <c:v>58</c:v>
                </c:pt>
                <c:pt idx="532">
                  <c:v>41</c:v>
                </c:pt>
                <c:pt idx="533">
                  <c:v>53</c:v>
                </c:pt>
                <c:pt idx="534">
                  <c:v>30</c:v>
                </c:pt>
                <c:pt idx="535">
                  <c:v>22</c:v>
                </c:pt>
                <c:pt idx="536">
                  <c:v>38</c:v>
                </c:pt>
                <c:pt idx="537">
                  <c:v>19</c:v>
                </c:pt>
                <c:pt idx="538">
                  <c:v>18</c:v>
                </c:pt>
                <c:pt idx="539">
                  <c:v>22</c:v>
                </c:pt>
                <c:pt idx="540">
                  <c:v>30</c:v>
                </c:pt>
                <c:pt idx="541">
                  <c:v>29</c:v>
                </c:pt>
                <c:pt idx="542">
                  <c:v>25</c:v>
                </c:pt>
                <c:pt idx="543">
                  <c:v>33</c:v>
                </c:pt>
                <c:pt idx="544">
                  <c:v>19</c:v>
                </c:pt>
                <c:pt idx="545">
                  <c:v>27</c:v>
                </c:pt>
                <c:pt idx="546">
                  <c:v>41</c:v>
                </c:pt>
                <c:pt idx="547">
                  <c:v>38</c:v>
                </c:pt>
                <c:pt idx="548">
                  <c:v>42</c:v>
                </c:pt>
                <c:pt idx="549">
                  <c:v>37</c:v>
                </c:pt>
                <c:pt idx="550">
                  <c:v>40</c:v>
                </c:pt>
                <c:pt idx="551">
                  <c:v>35</c:v>
                </c:pt>
                <c:pt idx="552">
                  <c:v>37</c:v>
                </c:pt>
                <c:pt idx="553">
                  <c:v>43</c:v>
                </c:pt>
                <c:pt idx="554">
                  <c:v>33</c:v>
                </c:pt>
                <c:pt idx="555">
                  <c:v>38</c:v>
                </c:pt>
                <c:pt idx="556">
                  <c:v>29</c:v>
                </c:pt>
                <c:pt idx="557">
                  <c:v>24</c:v>
                </c:pt>
                <c:pt idx="558">
                  <c:v>29</c:v>
                </c:pt>
                <c:pt idx="559">
                  <c:v>31</c:v>
                </c:pt>
                <c:pt idx="560">
                  <c:v>23</c:v>
                </c:pt>
                <c:pt idx="561">
                  <c:v>24</c:v>
                </c:pt>
                <c:pt idx="562">
                  <c:v>24</c:v>
                </c:pt>
                <c:pt idx="563">
                  <c:v>31</c:v>
                </c:pt>
                <c:pt idx="564">
                  <c:v>31</c:v>
                </c:pt>
                <c:pt idx="565">
                  <c:v>33</c:v>
                </c:pt>
                <c:pt idx="566">
                  <c:v>34</c:v>
                </c:pt>
                <c:pt idx="567">
                  <c:v>44</c:v>
                </c:pt>
                <c:pt idx="568">
                  <c:v>44</c:v>
                </c:pt>
                <c:pt idx="569">
                  <c:v>41</c:v>
                </c:pt>
                <c:pt idx="570">
                  <c:v>50</c:v>
                </c:pt>
                <c:pt idx="571">
                  <c:v>37</c:v>
                </c:pt>
                <c:pt idx="572">
                  <c:v>28</c:v>
                </c:pt>
                <c:pt idx="573">
                  <c:v>25</c:v>
                </c:pt>
                <c:pt idx="574">
                  <c:v>21</c:v>
                </c:pt>
                <c:pt idx="575">
                  <c:v>30</c:v>
                </c:pt>
                <c:pt idx="576">
                  <c:v>31</c:v>
                </c:pt>
                <c:pt idx="577">
                  <c:v>19</c:v>
                </c:pt>
                <c:pt idx="578">
                  <c:v>19</c:v>
                </c:pt>
                <c:pt idx="579">
                  <c:v>33</c:v>
                </c:pt>
                <c:pt idx="580">
                  <c:v>45</c:v>
                </c:pt>
                <c:pt idx="581">
                  <c:v>21</c:v>
                </c:pt>
                <c:pt idx="582">
                  <c:v>39</c:v>
                </c:pt>
                <c:pt idx="583">
                  <c:v>30</c:v>
                </c:pt>
                <c:pt idx="584">
                  <c:v>32</c:v>
                </c:pt>
                <c:pt idx="585" formatCode="General">
                  <c:v>23</c:v>
                </c:pt>
                <c:pt idx="586" formatCode="General">
                  <c:v>21</c:v>
                </c:pt>
                <c:pt idx="587" formatCode="General">
                  <c:v>21</c:v>
                </c:pt>
                <c:pt idx="588" formatCode="General">
                  <c:v>21</c:v>
                </c:pt>
                <c:pt idx="589" formatCode="General">
                  <c:v>21</c:v>
                </c:pt>
                <c:pt idx="590" formatCode="General">
                  <c:v>21</c:v>
                </c:pt>
                <c:pt idx="591" formatCode="General">
                  <c:v>21</c:v>
                </c:pt>
                <c:pt idx="592" formatCode="General">
                  <c:v>21</c:v>
                </c:pt>
                <c:pt idx="593" formatCode="General">
                  <c:v>23</c:v>
                </c:pt>
                <c:pt idx="594" formatCode="General">
                  <c:v>26</c:v>
                </c:pt>
                <c:pt idx="595" formatCode="General">
                  <c:v>42</c:v>
                </c:pt>
                <c:pt idx="596" formatCode="General">
                  <c:v>43</c:v>
                </c:pt>
                <c:pt idx="597" formatCode="General">
                  <c:v>28</c:v>
                </c:pt>
                <c:pt idx="598" formatCode="General">
                  <c:v>27</c:v>
                </c:pt>
                <c:pt idx="599" formatCode="General">
                  <c:v>27</c:v>
                </c:pt>
                <c:pt idx="600" formatCode="General">
                  <c:v>48</c:v>
                </c:pt>
                <c:pt idx="601" formatCode="General">
                  <c:v>42</c:v>
                </c:pt>
                <c:pt idx="602" formatCode="General">
                  <c:v>43</c:v>
                </c:pt>
                <c:pt idx="603" formatCode="General">
                  <c:v>45</c:v>
                </c:pt>
                <c:pt idx="604" formatCode="General">
                  <c:v>28</c:v>
                </c:pt>
                <c:pt idx="605" formatCode="General">
                  <c:v>48</c:v>
                </c:pt>
                <c:pt idx="606" formatCode="General">
                  <c:v>33</c:v>
                </c:pt>
                <c:pt idx="607" formatCode="General">
                  <c:v>27</c:v>
                </c:pt>
                <c:pt idx="608" formatCode="General">
                  <c:v>27</c:v>
                </c:pt>
                <c:pt idx="609" formatCode="General">
                  <c:v>27</c:v>
                </c:pt>
                <c:pt idx="610" formatCode="General">
                  <c:v>24</c:v>
                </c:pt>
                <c:pt idx="611" formatCode="General">
                  <c:v>23</c:v>
                </c:pt>
                <c:pt idx="612" formatCode="General">
                  <c:v>23</c:v>
                </c:pt>
                <c:pt idx="613" formatCode="General">
                  <c:v>36</c:v>
                </c:pt>
                <c:pt idx="614" formatCode="General">
                  <c:v>46</c:v>
                </c:pt>
                <c:pt idx="615" formatCode="General">
                  <c:v>46</c:v>
                </c:pt>
                <c:pt idx="616" formatCode="General">
                  <c:v>49</c:v>
                </c:pt>
                <c:pt idx="617" formatCode="General">
                  <c:v>42</c:v>
                </c:pt>
                <c:pt idx="618" formatCode="General">
                  <c:v>47</c:v>
                </c:pt>
                <c:pt idx="619" formatCode="General">
                  <c:v>42</c:v>
                </c:pt>
                <c:pt idx="620" formatCode="General">
                  <c:v>34</c:v>
                </c:pt>
                <c:pt idx="621" formatCode="General">
                  <c:v>39</c:v>
                </c:pt>
                <c:pt idx="622" formatCode="General">
                  <c:v>44</c:v>
                </c:pt>
                <c:pt idx="623" formatCode="General">
                  <c:v>50</c:v>
                </c:pt>
                <c:pt idx="624" formatCode="General">
                  <c:v>28</c:v>
                </c:pt>
                <c:pt idx="625" formatCode="General">
                  <c:v>31</c:v>
                </c:pt>
                <c:pt idx="626" formatCode="General">
                  <c:v>46</c:v>
                </c:pt>
                <c:pt idx="627" formatCode="General">
                  <c:v>36</c:v>
                </c:pt>
                <c:pt idx="628" formatCode="General">
                  <c:v>43</c:v>
                </c:pt>
                <c:pt idx="629" formatCode="General">
                  <c:v>47</c:v>
                </c:pt>
                <c:pt idx="630" formatCode="General">
                  <c:v>32</c:v>
                </c:pt>
                <c:pt idx="631" formatCode="General">
                  <c:v>33</c:v>
                </c:pt>
                <c:pt idx="632">
                  <c:v>49</c:v>
                </c:pt>
                <c:pt idx="633">
                  <c:v>51</c:v>
                </c:pt>
                <c:pt idx="634" formatCode="General">
                  <c:v>38</c:v>
                </c:pt>
                <c:pt idx="635" formatCode="General">
                  <c:v>25</c:v>
                </c:pt>
                <c:pt idx="636" formatCode="General">
                  <c:v>27</c:v>
                </c:pt>
                <c:pt idx="637" formatCode="General">
                  <c:v>25</c:v>
                </c:pt>
                <c:pt idx="638" formatCode="General">
                  <c:v>35</c:v>
                </c:pt>
                <c:pt idx="639" formatCode="General">
                  <c:v>41</c:v>
                </c:pt>
                <c:pt idx="640" formatCode="General">
                  <c:v>33</c:v>
                </c:pt>
                <c:pt idx="641" formatCode="General">
                  <c:v>38</c:v>
                </c:pt>
                <c:pt idx="642" formatCode="General">
                  <c:v>33</c:v>
                </c:pt>
                <c:pt idx="643" formatCode="General">
                  <c:v>41</c:v>
                </c:pt>
                <c:pt idx="644" formatCode="General">
                  <c:v>47</c:v>
                </c:pt>
                <c:pt idx="645" formatCode="General">
                  <c:v>41</c:v>
                </c:pt>
                <c:pt idx="646" formatCode="General">
                  <c:v>40</c:v>
                </c:pt>
                <c:pt idx="647" formatCode="General">
                  <c:v>33</c:v>
                </c:pt>
                <c:pt idx="648" formatCode="General">
                  <c:v>39</c:v>
                </c:pt>
                <c:pt idx="649" formatCode="General">
                  <c:v>30</c:v>
                </c:pt>
                <c:pt idx="650" formatCode="General">
                  <c:v>45</c:v>
                </c:pt>
                <c:pt idx="651" formatCode="General">
                  <c:v>31</c:v>
                </c:pt>
                <c:pt idx="652" formatCode="General">
                  <c:v>23</c:v>
                </c:pt>
                <c:pt idx="653">
                  <c:v>54</c:v>
                </c:pt>
                <c:pt idx="654">
                  <c:v>45</c:v>
                </c:pt>
                <c:pt idx="655">
                  <c:v>49</c:v>
                </c:pt>
                <c:pt idx="656" formatCode="General">
                  <c:v>52</c:v>
                </c:pt>
                <c:pt idx="657" formatCode="General">
                  <c:v>47</c:v>
                </c:pt>
                <c:pt idx="658" formatCode="General">
                  <c:v>27</c:v>
                </c:pt>
                <c:pt idx="659" formatCode="General">
                  <c:v>27</c:v>
                </c:pt>
                <c:pt idx="660" formatCode="General">
                  <c:v>27</c:v>
                </c:pt>
                <c:pt idx="661" formatCode="General">
                  <c:v>45</c:v>
                </c:pt>
                <c:pt idx="662" formatCode="General">
                  <c:v>31</c:v>
                </c:pt>
                <c:pt idx="663" formatCode="General">
                  <c:v>25</c:v>
                </c:pt>
                <c:pt idx="664" formatCode="General">
                  <c:v>35</c:v>
                </c:pt>
                <c:pt idx="665" formatCode="General">
                  <c:v>32</c:v>
                </c:pt>
                <c:pt idx="666" formatCode="General">
                  <c:v>38</c:v>
                </c:pt>
                <c:pt idx="667" formatCode="General">
                  <c:v>39</c:v>
                </c:pt>
                <c:pt idx="668" formatCode="General">
                  <c:v>22</c:v>
                </c:pt>
                <c:pt idx="669" formatCode="General">
                  <c:v>56</c:v>
                </c:pt>
                <c:pt idx="670" formatCode="General">
                  <c:v>54</c:v>
                </c:pt>
                <c:pt idx="671" formatCode="General">
                  <c:v>58</c:v>
                </c:pt>
                <c:pt idx="672" formatCode="General">
                  <c:v>64</c:v>
                </c:pt>
                <c:pt idx="673" formatCode="General">
                  <c:v>66</c:v>
                </c:pt>
                <c:pt idx="674" formatCode="General">
                  <c:v>22</c:v>
                </c:pt>
                <c:pt idx="675" formatCode="General">
                  <c:v>22</c:v>
                </c:pt>
                <c:pt idx="676" formatCode="General">
                  <c:v>22</c:v>
                </c:pt>
                <c:pt idx="677" formatCode="General">
                  <c:v>23</c:v>
                </c:pt>
                <c:pt idx="678" formatCode="General">
                  <c:v>46</c:v>
                </c:pt>
                <c:pt idx="679">
                  <c:v>54</c:v>
                </c:pt>
                <c:pt idx="680">
                  <c:v>51</c:v>
                </c:pt>
                <c:pt idx="681">
                  <c:v>55</c:v>
                </c:pt>
                <c:pt idx="682">
                  <c:v>59</c:v>
                </c:pt>
                <c:pt idx="683">
                  <c:v>61</c:v>
                </c:pt>
                <c:pt idx="684">
                  <c:v>49</c:v>
                </c:pt>
                <c:pt idx="685">
                  <c:v>57</c:v>
                </c:pt>
                <c:pt idx="686">
                  <c:v>51</c:v>
                </c:pt>
                <c:pt idx="687">
                  <c:v>45</c:v>
                </c:pt>
                <c:pt idx="688">
                  <c:v>58</c:v>
                </c:pt>
                <c:pt idx="689">
                  <c:v>56</c:v>
                </c:pt>
                <c:pt idx="690">
                  <c:v>48</c:v>
                </c:pt>
                <c:pt idx="691" formatCode="General">
                  <c:v>35</c:v>
                </c:pt>
                <c:pt idx="692" formatCode="General">
                  <c:v>30</c:v>
                </c:pt>
                <c:pt idx="693" formatCode="General">
                  <c:v>27</c:v>
                </c:pt>
                <c:pt idx="694" formatCode="General">
                  <c:v>36</c:v>
                </c:pt>
                <c:pt idx="695" formatCode="General">
                  <c:v>34</c:v>
                </c:pt>
                <c:pt idx="696" formatCode="General">
                  <c:v>27</c:v>
                </c:pt>
                <c:pt idx="697" formatCode="General">
                  <c:v>37</c:v>
                </c:pt>
                <c:pt idx="698" formatCode="General">
                  <c:v>26</c:v>
                </c:pt>
                <c:pt idx="699" formatCode="General">
                  <c:v>39</c:v>
                </c:pt>
                <c:pt idx="700" formatCode="General">
                  <c:v>22</c:v>
                </c:pt>
                <c:pt idx="701" formatCode="General">
                  <c:v>23</c:v>
                </c:pt>
                <c:pt idx="702" formatCode="General">
                  <c:v>28</c:v>
                </c:pt>
                <c:pt idx="703" formatCode="General">
                  <c:v>31</c:v>
                </c:pt>
                <c:pt idx="704" formatCode="General">
                  <c:v>37</c:v>
                </c:pt>
                <c:pt idx="705" formatCode="General">
                  <c:v>31</c:v>
                </c:pt>
                <c:pt idx="706" formatCode="General">
                  <c:v>33</c:v>
                </c:pt>
                <c:pt idx="707" formatCode="General">
                  <c:v>32</c:v>
                </c:pt>
                <c:pt idx="708" formatCode="General">
                  <c:v>26</c:v>
                </c:pt>
                <c:pt idx="709" formatCode="General">
                  <c:v>25</c:v>
                </c:pt>
                <c:pt idx="710" formatCode="General">
                  <c:v>39</c:v>
                </c:pt>
                <c:pt idx="711" formatCode="General">
                  <c:v>28</c:v>
                </c:pt>
                <c:pt idx="712" formatCode="General">
                  <c:v>28</c:v>
                </c:pt>
                <c:pt idx="713" formatCode="General">
                  <c:v>27</c:v>
                </c:pt>
                <c:pt idx="714" formatCode="General">
                  <c:v>31</c:v>
                </c:pt>
                <c:pt idx="715" formatCode="General">
                  <c:v>33</c:v>
                </c:pt>
                <c:pt idx="716" formatCode="General">
                  <c:v>27</c:v>
                </c:pt>
                <c:pt idx="717" formatCode="General">
                  <c:v>27</c:v>
                </c:pt>
                <c:pt idx="718" formatCode="General">
                  <c:v>29</c:v>
                </c:pt>
                <c:pt idx="719" formatCode="General">
                  <c:v>29</c:v>
                </c:pt>
                <c:pt idx="720" formatCode="General">
                  <c:v>22</c:v>
                </c:pt>
                <c:pt idx="721" formatCode="General">
                  <c:v>28</c:v>
                </c:pt>
                <c:pt idx="722" formatCode="General">
                  <c:v>35</c:v>
                </c:pt>
                <c:pt idx="723" formatCode="General">
                  <c:v>30</c:v>
                </c:pt>
                <c:pt idx="724" formatCode="General">
                  <c:v>29</c:v>
                </c:pt>
                <c:pt idx="725" formatCode="General">
                  <c:v>28</c:v>
                </c:pt>
                <c:pt idx="726" formatCode="General">
                  <c:v>29</c:v>
                </c:pt>
                <c:pt idx="727">
                  <c:v>50</c:v>
                </c:pt>
                <c:pt idx="728">
                  <c:v>53</c:v>
                </c:pt>
                <c:pt idx="729">
                  <c:v>51</c:v>
                </c:pt>
                <c:pt idx="730" formatCode="General">
                  <c:v>38</c:v>
                </c:pt>
                <c:pt idx="731" formatCode="General">
                  <c:v>36</c:v>
                </c:pt>
                <c:pt idx="732" formatCode="General">
                  <c:v>28</c:v>
                </c:pt>
                <c:pt idx="733" formatCode="General">
                  <c:v>29</c:v>
                </c:pt>
                <c:pt idx="734" formatCode="General">
                  <c:v>28</c:v>
                </c:pt>
                <c:pt idx="735" formatCode="General">
                  <c:v>27</c:v>
                </c:pt>
                <c:pt idx="736" formatCode="General">
                  <c:v>21</c:v>
                </c:pt>
                <c:pt idx="737" formatCode="General">
                  <c:v>35</c:v>
                </c:pt>
                <c:pt idx="738" formatCode="General">
                  <c:v>23</c:v>
                </c:pt>
                <c:pt idx="739" formatCode="General">
                  <c:v>35</c:v>
                </c:pt>
                <c:pt idx="740" formatCode="General">
                  <c:v>30</c:v>
                </c:pt>
                <c:pt idx="741" formatCode="General">
                  <c:v>27</c:v>
                </c:pt>
                <c:pt idx="742" formatCode="General">
                  <c:v>43</c:v>
                </c:pt>
                <c:pt idx="743" formatCode="General">
                  <c:v>43</c:v>
                </c:pt>
                <c:pt idx="744" formatCode="General">
                  <c:v>38</c:v>
                </c:pt>
                <c:pt idx="745" formatCode="General">
                  <c:v>31</c:v>
                </c:pt>
                <c:pt idx="746" formatCode="General">
                  <c:v>34</c:v>
                </c:pt>
                <c:pt idx="747" formatCode="General">
                  <c:v>32</c:v>
                </c:pt>
                <c:pt idx="748" formatCode="General">
                  <c:v>35</c:v>
                </c:pt>
                <c:pt idx="749" formatCode="General">
                  <c:v>30</c:v>
                </c:pt>
                <c:pt idx="750" formatCode="General">
                  <c:v>32</c:v>
                </c:pt>
                <c:pt idx="751" formatCode="General">
                  <c:v>32</c:v>
                </c:pt>
                <c:pt idx="752" formatCode="General">
                  <c:v>29</c:v>
                </c:pt>
                <c:pt idx="753" formatCode="General">
                  <c:v>22</c:v>
                </c:pt>
                <c:pt idx="754" formatCode="General">
                  <c:v>22</c:v>
                </c:pt>
                <c:pt idx="755" formatCode="General">
                  <c:v>22</c:v>
                </c:pt>
                <c:pt idx="756" formatCode="General">
                  <c:v>22</c:v>
                </c:pt>
                <c:pt idx="757" formatCode="General">
                  <c:v>22</c:v>
                </c:pt>
                <c:pt idx="758" formatCode="General">
                  <c:v>23</c:v>
                </c:pt>
                <c:pt idx="759" formatCode="General">
                  <c:v>23</c:v>
                </c:pt>
                <c:pt idx="760" formatCode="General">
                  <c:v>23</c:v>
                </c:pt>
                <c:pt idx="761" formatCode="General">
                  <c:v>37</c:v>
                </c:pt>
                <c:pt idx="762" formatCode="General">
                  <c:v>29</c:v>
                </c:pt>
                <c:pt idx="763" formatCode="General">
                  <c:v>38</c:v>
                </c:pt>
                <c:pt idx="764" formatCode="General">
                  <c:v>37</c:v>
                </c:pt>
                <c:pt idx="765" formatCode="General">
                  <c:v>25</c:v>
                </c:pt>
                <c:pt idx="766" formatCode="General">
                  <c:v>36</c:v>
                </c:pt>
                <c:pt idx="767" formatCode="General">
                  <c:v>35</c:v>
                </c:pt>
                <c:pt idx="768" formatCode="General">
                  <c:v>31</c:v>
                </c:pt>
                <c:pt idx="769" formatCode="General">
                  <c:v>30</c:v>
                </c:pt>
                <c:pt idx="770" formatCode="General">
                  <c:v>36</c:v>
                </c:pt>
                <c:pt idx="771" formatCode="General">
                  <c:v>29</c:v>
                </c:pt>
                <c:pt idx="772" formatCode="General">
                  <c:v>29</c:v>
                </c:pt>
                <c:pt idx="773" formatCode="General">
                  <c:v>28</c:v>
                </c:pt>
                <c:pt idx="774">
                  <c:v>59</c:v>
                </c:pt>
                <c:pt idx="775">
                  <c:v>58</c:v>
                </c:pt>
                <c:pt idx="776">
                  <c:v>45</c:v>
                </c:pt>
                <c:pt idx="777">
                  <c:v>54</c:v>
                </c:pt>
                <c:pt idx="778" formatCode="General">
                  <c:v>30</c:v>
                </c:pt>
                <c:pt idx="779" formatCode="General">
                  <c:v>28</c:v>
                </c:pt>
                <c:pt idx="780" formatCode="General">
                  <c:v>26</c:v>
                </c:pt>
                <c:pt idx="782" formatCode="General">
                  <c:v>31</c:v>
                </c:pt>
                <c:pt idx="783" formatCode="General">
                  <c:v>29</c:v>
                </c:pt>
                <c:pt idx="784" formatCode="General">
                  <c:v>29</c:v>
                </c:pt>
                <c:pt idx="785" formatCode="General">
                  <c:v>28</c:v>
                </c:pt>
                <c:pt idx="786" formatCode="General">
                  <c:v>29</c:v>
                </c:pt>
                <c:pt idx="787" formatCode="General">
                  <c:v>31</c:v>
                </c:pt>
                <c:pt idx="788" formatCode="General">
                  <c:v>31</c:v>
                </c:pt>
                <c:pt idx="789" formatCode="General">
                  <c:v>33</c:v>
                </c:pt>
                <c:pt idx="790" formatCode="General">
                  <c:v>31</c:v>
                </c:pt>
                <c:pt idx="791" formatCode="General">
                  <c:v>33</c:v>
                </c:pt>
                <c:pt idx="792" formatCode="General">
                  <c:v>35</c:v>
                </c:pt>
                <c:pt idx="793" formatCode="General">
                  <c:v>47</c:v>
                </c:pt>
                <c:pt idx="794" formatCode="General">
                  <c:v>38</c:v>
                </c:pt>
                <c:pt idx="795" formatCode="General">
                  <c:v>33</c:v>
                </c:pt>
                <c:pt idx="796" formatCode="General">
                  <c:v>33</c:v>
                </c:pt>
                <c:pt idx="797" formatCode="General">
                  <c:v>32</c:v>
                </c:pt>
                <c:pt idx="798" formatCode="General">
                  <c:v>33</c:v>
                </c:pt>
                <c:pt idx="799" formatCode="General">
                  <c:v>32</c:v>
                </c:pt>
                <c:pt idx="800" formatCode="General">
                  <c:v>38</c:v>
                </c:pt>
                <c:pt idx="801" formatCode="General">
                  <c:v>42</c:v>
                </c:pt>
                <c:pt idx="802" formatCode="General">
                  <c:v>31</c:v>
                </c:pt>
                <c:pt idx="803" formatCode="General">
                  <c:v>32</c:v>
                </c:pt>
                <c:pt idx="804" formatCode="General">
                  <c:v>31</c:v>
                </c:pt>
                <c:pt idx="805" formatCode="General">
                  <c:v>34</c:v>
                </c:pt>
                <c:pt idx="806" formatCode="General">
                  <c:v>32</c:v>
                </c:pt>
                <c:pt idx="807" formatCode="General">
                  <c:v>26</c:v>
                </c:pt>
                <c:pt idx="808" formatCode="General">
                  <c:v>27</c:v>
                </c:pt>
                <c:pt idx="809" formatCode="General">
                  <c:v>27</c:v>
                </c:pt>
                <c:pt idx="810" formatCode="General">
                  <c:v>26</c:v>
                </c:pt>
                <c:pt idx="811" formatCode="General">
                  <c:v>27</c:v>
                </c:pt>
                <c:pt idx="812" formatCode="General">
                  <c:v>28</c:v>
                </c:pt>
                <c:pt idx="813" formatCode="General">
                  <c:v>31</c:v>
                </c:pt>
                <c:pt idx="814" formatCode="General">
                  <c:v>30</c:v>
                </c:pt>
                <c:pt idx="815" formatCode="General">
                  <c:v>26</c:v>
                </c:pt>
                <c:pt idx="816" formatCode="General">
                  <c:v>31</c:v>
                </c:pt>
                <c:pt idx="817" formatCode="General">
                  <c:v>38</c:v>
                </c:pt>
                <c:pt idx="818" formatCode="General">
                  <c:v>41</c:v>
                </c:pt>
                <c:pt idx="819" formatCode="General">
                  <c:v>41</c:v>
                </c:pt>
                <c:pt idx="820" formatCode="General">
                  <c:v>32</c:v>
                </c:pt>
                <c:pt idx="821" formatCode="General">
                  <c:v>35</c:v>
                </c:pt>
                <c:pt idx="822" formatCode="General">
                  <c:v>37</c:v>
                </c:pt>
                <c:pt idx="823" formatCode="General">
                  <c:v>35</c:v>
                </c:pt>
                <c:pt idx="824" formatCode="General">
                  <c:v>49</c:v>
                </c:pt>
                <c:pt idx="825" formatCode="General">
                  <c:v>36</c:v>
                </c:pt>
                <c:pt idx="826" formatCode="General">
                  <c:v>35</c:v>
                </c:pt>
                <c:pt idx="827" formatCode="General">
                  <c:v>37</c:v>
                </c:pt>
                <c:pt idx="828" formatCode="General">
                  <c:v>30</c:v>
                </c:pt>
                <c:pt idx="829" formatCode="General">
                  <c:v>39</c:v>
                </c:pt>
                <c:pt idx="830" formatCode="General">
                  <c:v>32</c:v>
                </c:pt>
                <c:pt idx="831" formatCode="General">
                  <c:v>31</c:v>
                </c:pt>
                <c:pt idx="832" formatCode="General">
                  <c:v>37</c:v>
                </c:pt>
                <c:pt idx="833" formatCode="General">
                  <c:v>38</c:v>
                </c:pt>
                <c:pt idx="834" formatCode="General">
                  <c:v>53</c:v>
                </c:pt>
                <c:pt idx="835" formatCode="General">
                  <c:v>60</c:v>
                </c:pt>
                <c:pt idx="836" formatCode="General">
                  <c:v>47</c:v>
                </c:pt>
                <c:pt idx="837" formatCode="General">
                  <c:v>51</c:v>
                </c:pt>
                <c:pt idx="838" formatCode="General">
                  <c:v>58</c:v>
                </c:pt>
                <c:pt idx="839" formatCode="General">
                  <c:v>56</c:v>
                </c:pt>
                <c:pt idx="840" formatCode="General">
                  <c:v>53</c:v>
                </c:pt>
                <c:pt idx="841" formatCode="General">
                  <c:v>53</c:v>
                </c:pt>
                <c:pt idx="842" formatCode="General">
                  <c:v>56</c:v>
                </c:pt>
                <c:pt idx="843" formatCode="General">
                  <c:v>22</c:v>
                </c:pt>
                <c:pt idx="844" formatCode="General">
                  <c:v>23</c:v>
                </c:pt>
                <c:pt idx="845" formatCode="General">
                  <c:v>22</c:v>
                </c:pt>
                <c:pt idx="846" formatCode="General">
                  <c:v>23</c:v>
                </c:pt>
                <c:pt idx="847" formatCode="General">
                  <c:v>33</c:v>
                </c:pt>
                <c:pt idx="848" formatCode="General">
                  <c:v>32</c:v>
                </c:pt>
                <c:pt idx="849" formatCode="General">
                  <c:v>35</c:v>
                </c:pt>
                <c:pt idx="850" formatCode="General">
                  <c:v>41</c:v>
                </c:pt>
                <c:pt idx="851">
                  <c:v>41</c:v>
                </c:pt>
                <c:pt idx="852" formatCode="General">
                  <c:v>33</c:v>
                </c:pt>
                <c:pt idx="853" formatCode="General">
                  <c:v>34</c:v>
                </c:pt>
                <c:pt idx="854" formatCode="General">
                  <c:v>41</c:v>
                </c:pt>
                <c:pt idx="855" formatCode="General">
                  <c:v>35</c:v>
                </c:pt>
                <c:pt idx="856">
                  <c:v>52</c:v>
                </c:pt>
                <c:pt idx="857" formatCode="General">
                  <c:v>36</c:v>
                </c:pt>
                <c:pt idx="858">
                  <c:v>49</c:v>
                </c:pt>
                <c:pt idx="859" formatCode="General">
                  <c:v>41</c:v>
                </c:pt>
                <c:pt idx="860" formatCode="General">
                  <c:v>33</c:v>
                </c:pt>
                <c:pt idx="861" formatCode="General">
                  <c:v>34</c:v>
                </c:pt>
                <c:pt idx="862" formatCode="General">
                  <c:v>32</c:v>
                </c:pt>
                <c:pt idx="863" formatCode="General">
                  <c:v>35</c:v>
                </c:pt>
                <c:pt idx="864" formatCode="General">
                  <c:v>32</c:v>
                </c:pt>
                <c:pt idx="865" formatCode="General">
                  <c:v>33</c:v>
                </c:pt>
                <c:pt idx="866">
                  <c:v>49</c:v>
                </c:pt>
                <c:pt idx="867" formatCode="General">
                  <c:v>34</c:v>
                </c:pt>
                <c:pt idx="868" formatCode="General">
                  <c:v>34</c:v>
                </c:pt>
                <c:pt idx="869" formatCode="General">
                  <c:v>34</c:v>
                </c:pt>
                <c:pt idx="870" formatCode="General">
                  <c:v>46</c:v>
                </c:pt>
                <c:pt idx="871" formatCode="General">
                  <c:v>36</c:v>
                </c:pt>
                <c:pt idx="872" formatCode="General">
                  <c:v>39</c:v>
                </c:pt>
                <c:pt idx="873" formatCode="General">
                  <c:v>40</c:v>
                </c:pt>
                <c:pt idx="874" formatCode="General">
                  <c:v>54</c:v>
                </c:pt>
                <c:pt idx="875" formatCode="General">
                  <c:v>55</c:v>
                </c:pt>
                <c:pt idx="876" formatCode="General">
                  <c:v>43</c:v>
                </c:pt>
                <c:pt idx="877" formatCode="General">
                  <c:v>40</c:v>
                </c:pt>
                <c:pt idx="878" formatCode="General">
                  <c:v>56</c:v>
                </c:pt>
                <c:pt idx="879" formatCode="General">
                  <c:v>42</c:v>
                </c:pt>
                <c:pt idx="880" formatCode="General">
                  <c:v>44</c:v>
                </c:pt>
                <c:pt idx="881" formatCode="General">
                  <c:v>46</c:v>
                </c:pt>
                <c:pt idx="882" formatCode="General">
                  <c:v>25</c:v>
                </c:pt>
                <c:pt idx="883" formatCode="General">
                  <c:v>22</c:v>
                </c:pt>
                <c:pt idx="884" formatCode="General">
                  <c:v>24</c:v>
                </c:pt>
                <c:pt idx="885" formatCode="General">
                  <c:v>34</c:v>
                </c:pt>
                <c:pt idx="886" formatCode="General">
                  <c:v>31</c:v>
                </c:pt>
                <c:pt idx="887" formatCode="General">
                  <c:v>37</c:v>
                </c:pt>
                <c:pt idx="888" formatCode="General">
                  <c:v>35</c:v>
                </c:pt>
                <c:pt idx="889" formatCode="General">
                  <c:v>39</c:v>
                </c:pt>
                <c:pt idx="890" formatCode="General">
                  <c:v>33</c:v>
                </c:pt>
                <c:pt idx="891" formatCode="General">
                  <c:v>29</c:v>
                </c:pt>
                <c:pt idx="892" formatCode="General">
                  <c:v>36</c:v>
                </c:pt>
                <c:pt idx="893" formatCode="General">
                  <c:v>39</c:v>
                </c:pt>
                <c:pt idx="894" formatCode="General">
                  <c:v>33</c:v>
                </c:pt>
                <c:pt idx="895" formatCode="General">
                  <c:v>29</c:v>
                </c:pt>
                <c:pt idx="896" formatCode="General">
                  <c:v>33</c:v>
                </c:pt>
                <c:pt idx="897" formatCode="General">
                  <c:v>33</c:v>
                </c:pt>
                <c:pt idx="898" formatCode="General">
                  <c:v>60</c:v>
                </c:pt>
                <c:pt idx="899" formatCode="General">
                  <c:v>46</c:v>
                </c:pt>
                <c:pt idx="900" formatCode="General">
                  <c:v>34</c:v>
                </c:pt>
                <c:pt idx="901" formatCode="General">
                  <c:v>28</c:v>
                </c:pt>
                <c:pt idx="902" formatCode="General">
                  <c:v>28</c:v>
                </c:pt>
                <c:pt idx="903" formatCode="General">
                  <c:v>28</c:v>
                </c:pt>
                <c:pt idx="904" formatCode="General">
                  <c:v>51</c:v>
                </c:pt>
                <c:pt idx="905" formatCode="General">
                  <c:v>52</c:v>
                </c:pt>
                <c:pt idx="906" formatCode="General">
                  <c:v>53</c:v>
                </c:pt>
                <c:pt idx="907" formatCode="General">
                  <c:v>60</c:v>
                </c:pt>
                <c:pt idx="908" formatCode="General">
                  <c:v>54</c:v>
                </c:pt>
                <c:pt idx="909" formatCode="General">
                  <c:v>22</c:v>
                </c:pt>
                <c:pt idx="910" formatCode="General">
                  <c:v>22</c:v>
                </c:pt>
                <c:pt idx="911" formatCode="General">
                  <c:v>22</c:v>
                </c:pt>
                <c:pt idx="912" formatCode="General">
                  <c:v>31</c:v>
                </c:pt>
                <c:pt idx="913" formatCode="General">
                  <c:v>30</c:v>
                </c:pt>
                <c:pt idx="914" formatCode="General">
                  <c:v>31</c:v>
                </c:pt>
                <c:pt idx="915" formatCode="General">
                  <c:v>25</c:v>
                </c:pt>
                <c:pt idx="916" formatCode="General">
                  <c:v>34</c:v>
                </c:pt>
                <c:pt idx="917" formatCode="General">
                  <c:v>31</c:v>
                </c:pt>
                <c:pt idx="918" formatCode="General">
                  <c:v>35</c:v>
                </c:pt>
                <c:pt idx="919" formatCode="General">
                  <c:v>35</c:v>
                </c:pt>
                <c:pt idx="920" formatCode="General">
                  <c:v>36</c:v>
                </c:pt>
                <c:pt idx="921" formatCode="General">
                  <c:v>37</c:v>
                </c:pt>
                <c:pt idx="922" formatCode="General">
                  <c:v>29</c:v>
                </c:pt>
                <c:pt idx="923" formatCode="General">
                  <c:v>26</c:v>
                </c:pt>
                <c:pt idx="924" formatCode="General">
                  <c:v>39</c:v>
                </c:pt>
                <c:pt idx="925" formatCode="General">
                  <c:v>36</c:v>
                </c:pt>
                <c:pt idx="926" formatCode="General">
                  <c:v>31</c:v>
                </c:pt>
                <c:pt idx="927" formatCode="General">
                  <c:v>27</c:v>
                </c:pt>
                <c:pt idx="928" formatCode="General">
                  <c:v>42</c:v>
                </c:pt>
                <c:pt idx="929" formatCode="General">
                  <c:v>24</c:v>
                </c:pt>
                <c:pt idx="930" formatCode="General">
                  <c:v>26</c:v>
                </c:pt>
                <c:pt idx="931" formatCode="General">
                  <c:v>26</c:v>
                </c:pt>
                <c:pt idx="932" formatCode="General">
                  <c:v>25</c:v>
                </c:pt>
                <c:pt idx="933" formatCode="General">
                  <c:v>34</c:v>
                </c:pt>
                <c:pt idx="934" formatCode="General">
                  <c:v>24</c:v>
                </c:pt>
                <c:pt idx="935" formatCode="General">
                  <c:v>25</c:v>
                </c:pt>
                <c:pt idx="936" formatCode="General">
                  <c:v>25</c:v>
                </c:pt>
                <c:pt idx="937" formatCode="General">
                  <c:v>31</c:v>
                </c:pt>
                <c:pt idx="938" formatCode="General">
                  <c:v>31</c:v>
                </c:pt>
                <c:pt idx="939" formatCode="General">
                  <c:v>31</c:v>
                </c:pt>
                <c:pt idx="940" formatCode="General">
                  <c:v>25</c:v>
                </c:pt>
                <c:pt idx="941" formatCode="General">
                  <c:v>50</c:v>
                </c:pt>
                <c:pt idx="942" formatCode="General">
                  <c:v>48</c:v>
                </c:pt>
                <c:pt idx="943" formatCode="General">
                  <c:v>51</c:v>
                </c:pt>
                <c:pt idx="944" formatCode="General">
                  <c:v>51</c:v>
                </c:pt>
                <c:pt idx="945" formatCode="General">
                  <c:v>55</c:v>
                </c:pt>
                <c:pt idx="946" formatCode="General">
                  <c:v>47</c:v>
                </c:pt>
                <c:pt idx="947" formatCode="General">
                  <c:v>41</c:v>
                </c:pt>
                <c:pt idx="948" formatCode="General">
                  <c:v>32</c:v>
                </c:pt>
                <c:pt idx="949" formatCode="General">
                  <c:v>40</c:v>
                </c:pt>
                <c:pt idx="950" formatCode="General">
                  <c:v>43</c:v>
                </c:pt>
                <c:pt idx="951" formatCode="General">
                  <c:v>40</c:v>
                </c:pt>
                <c:pt idx="952" formatCode="General">
                  <c:v>37</c:v>
                </c:pt>
                <c:pt idx="953" formatCode="General">
                  <c:v>34</c:v>
                </c:pt>
                <c:pt idx="954" formatCode="General">
                  <c:v>51</c:v>
                </c:pt>
                <c:pt idx="955" formatCode="General">
                  <c:v>39</c:v>
                </c:pt>
                <c:pt idx="956" formatCode="General">
                  <c:v>42</c:v>
                </c:pt>
                <c:pt idx="957" formatCode="General">
                  <c:v>43</c:v>
                </c:pt>
                <c:pt idx="958" formatCode="General">
                  <c:v>44</c:v>
                </c:pt>
                <c:pt idx="959" formatCode="General">
                  <c:v>44</c:v>
                </c:pt>
                <c:pt idx="960" formatCode="General">
                  <c:v>45</c:v>
                </c:pt>
                <c:pt idx="961" formatCode="General">
                  <c:v>44</c:v>
                </c:pt>
                <c:pt idx="962" formatCode="General">
                  <c:v>41</c:v>
                </c:pt>
                <c:pt idx="963" formatCode="General">
                  <c:v>46</c:v>
                </c:pt>
                <c:pt idx="964" formatCode="General">
                  <c:v>46</c:v>
                </c:pt>
                <c:pt idx="965" formatCode="General">
                  <c:v>49</c:v>
                </c:pt>
                <c:pt idx="966" formatCode="General">
                  <c:v>32</c:v>
                </c:pt>
                <c:pt idx="967" formatCode="General">
                  <c:v>30</c:v>
                </c:pt>
                <c:pt idx="968" formatCode="General">
                  <c:v>32</c:v>
                </c:pt>
                <c:pt idx="969" formatCode="General">
                  <c:v>30</c:v>
                </c:pt>
                <c:pt idx="970" formatCode="General">
                  <c:v>28</c:v>
                </c:pt>
                <c:pt idx="971" formatCode="General">
                  <c:v>33</c:v>
                </c:pt>
                <c:pt idx="972" formatCode="General">
                  <c:v>41</c:v>
                </c:pt>
                <c:pt idx="973" formatCode="General">
                  <c:v>38</c:v>
                </c:pt>
                <c:pt idx="974" formatCode="General">
                  <c:v>41</c:v>
                </c:pt>
                <c:pt idx="975" formatCode="General">
                  <c:v>36</c:v>
                </c:pt>
                <c:pt idx="976" formatCode="General">
                  <c:v>29</c:v>
                </c:pt>
                <c:pt idx="977" formatCode="General">
                  <c:v>23</c:v>
                </c:pt>
                <c:pt idx="978" formatCode="General">
                  <c:v>23</c:v>
                </c:pt>
                <c:pt idx="979" formatCode="General">
                  <c:v>23</c:v>
                </c:pt>
                <c:pt idx="980" formatCode="General">
                  <c:v>23</c:v>
                </c:pt>
                <c:pt idx="981" formatCode="General">
                  <c:v>28</c:v>
                </c:pt>
                <c:pt idx="982" formatCode="General">
                  <c:v>35</c:v>
                </c:pt>
                <c:pt idx="983" formatCode="General">
                  <c:v>35</c:v>
                </c:pt>
                <c:pt idx="984" formatCode="General">
                  <c:v>40</c:v>
                </c:pt>
                <c:pt idx="985" formatCode="General">
                  <c:v>40</c:v>
                </c:pt>
                <c:pt idx="986" formatCode="General">
                  <c:v>44</c:v>
                </c:pt>
                <c:pt idx="987" formatCode="General">
                  <c:v>45</c:v>
                </c:pt>
                <c:pt idx="988" formatCode="General">
                  <c:v>42</c:v>
                </c:pt>
                <c:pt idx="989" formatCode="General">
                  <c:v>38</c:v>
                </c:pt>
                <c:pt idx="990" formatCode="General">
                  <c:v>35</c:v>
                </c:pt>
                <c:pt idx="991" formatCode="General">
                  <c:v>28</c:v>
                </c:pt>
                <c:pt idx="992" formatCode="General">
                  <c:v>27</c:v>
                </c:pt>
                <c:pt idx="993" formatCode="General">
                  <c:v>35</c:v>
                </c:pt>
                <c:pt idx="994" formatCode="General">
                  <c:v>38</c:v>
                </c:pt>
                <c:pt idx="995" formatCode="General">
                  <c:v>28</c:v>
                </c:pt>
                <c:pt idx="996" formatCode="General">
                  <c:v>33</c:v>
                </c:pt>
                <c:pt idx="997" formatCode="General">
                  <c:v>30</c:v>
                </c:pt>
                <c:pt idx="998" formatCode="General">
                  <c:v>29</c:v>
                </c:pt>
                <c:pt idx="999" formatCode="General">
                  <c:v>37</c:v>
                </c:pt>
                <c:pt idx="1000" formatCode="General">
                  <c:v>45</c:v>
                </c:pt>
                <c:pt idx="1001" formatCode="General">
                  <c:v>27</c:v>
                </c:pt>
                <c:pt idx="1002" formatCode="General">
                  <c:v>30</c:v>
                </c:pt>
                <c:pt idx="1003" formatCode="General">
                  <c:v>45</c:v>
                </c:pt>
                <c:pt idx="1004" formatCode="General">
                  <c:v>31</c:v>
                </c:pt>
                <c:pt idx="1005" formatCode="General">
                  <c:v>44</c:v>
                </c:pt>
                <c:pt idx="1006" formatCode="General">
                  <c:v>44</c:v>
                </c:pt>
                <c:pt idx="1007" formatCode="General">
                  <c:v>43</c:v>
                </c:pt>
                <c:pt idx="1008" formatCode="General">
                  <c:v>26</c:v>
                </c:pt>
                <c:pt idx="1009" formatCode="General">
                  <c:v>45</c:v>
                </c:pt>
                <c:pt idx="1010" formatCode="General">
                  <c:v>30</c:v>
                </c:pt>
                <c:pt idx="1011" formatCode="General">
                  <c:v>46</c:v>
                </c:pt>
                <c:pt idx="1012" formatCode="General">
                  <c:v>49</c:v>
                </c:pt>
                <c:pt idx="1013" formatCode="General">
                  <c:v>35</c:v>
                </c:pt>
                <c:pt idx="1014" formatCode="General">
                  <c:v>45</c:v>
                </c:pt>
                <c:pt idx="1015" formatCode="General">
                  <c:v>46</c:v>
                </c:pt>
                <c:pt idx="1016" formatCode="General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5F-4D0E-B784-543540518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01744"/>
        <c:axId val="1237509904"/>
      </c:scatterChart>
      <c:valAx>
        <c:axId val="12375017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RMR76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9904"/>
        <c:crosses val="autoZero"/>
        <c:crossBetween val="midCat"/>
      </c:valAx>
      <c:valAx>
        <c:axId val="123750990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RMR89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RMR76 vs RMR89</a:t>
            </a:r>
          </a:p>
        </c:rich>
      </c:tx>
      <c:layout>
        <c:manualLayout>
          <c:xMode val="edge"/>
          <c:yMode val="edge"/>
          <c:x val="0.3618560179977503"/>
          <c:y val="1.5636276160692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1605821999524E-2"/>
          <c:y val="5.9413303430888798E-2"/>
          <c:w val="0.86826362613764207"/>
          <c:h val="0.84584071265809102"/>
        </c:manualLayout>
      </c:layout>
      <c:scatterChart>
        <c:scatterStyle val="lineMarker"/>
        <c:varyColors val="0"/>
        <c:ser>
          <c:idx val="0"/>
          <c:order val="0"/>
          <c:tx>
            <c:v>Correlation RMR76 vs GSI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741180515374881E-2"/>
                  <c:y val="-3.8097718093097178E-2"/>
                </c:manualLayout>
              </c:layout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'2. Logging Brejo Seco'!$BQ$3:$BQ$845</c:f>
              <c:numCache>
                <c:formatCode>0</c:formatCode>
                <c:ptCount val="8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48</c:v>
                </c:pt>
                <c:pt idx="7">
                  <c:v>64</c:v>
                </c:pt>
                <c:pt idx="8">
                  <c:v>22</c:v>
                </c:pt>
                <c:pt idx="9">
                  <c:v>43</c:v>
                </c:pt>
                <c:pt idx="10">
                  <c:v>30</c:v>
                </c:pt>
                <c:pt idx="11">
                  <c:v>33</c:v>
                </c:pt>
                <c:pt idx="12">
                  <c:v>20</c:v>
                </c:pt>
                <c:pt idx="13">
                  <c:v>31</c:v>
                </c:pt>
                <c:pt idx="14">
                  <c:v>37</c:v>
                </c:pt>
                <c:pt idx="15">
                  <c:v>47</c:v>
                </c:pt>
                <c:pt idx="16">
                  <c:v>52</c:v>
                </c:pt>
                <c:pt idx="17">
                  <c:v>32</c:v>
                </c:pt>
                <c:pt idx="18">
                  <c:v>42</c:v>
                </c:pt>
                <c:pt idx="19">
                  <c:v>49</c:v>
                </c:pt>
                <c:pt idx="20">
                  <c:v>31</c:v>
                </c:pt>
                <c:pt idx="21">
                  <c:v>23</c:v>
                </c:pt>
                <c:pt idx="22">
                  <c:v>34</c:v>
                </c:pt>
                <c:pt idx="23">
                  <c:v>44</c:v>
                </c:pt>
                <c:pt idx="24">
                  <c:v>43</c:v>
                </c:pt>
                <c:pt idx="25">
                  <c:v>37</c:v>
                </c:pt>
                <c:pt idx="26">
                  <c:v>27</c:v>
                </c:pt>
                <c:pt idx="27">
                  <c:v>31</c:v>
                </c:pt>
                <c:pt idx="28">
                  <c:v>41</c:v>
                </c:pt>
                <c:pt idx="29">
                  <c:v>42</c:v>
                </c:pt>
                <c:pt idx="30">
                  <c:v>30</c:v>
                </c:pt>
                <c:pt idx="31">
                  <c:v>41</c:v>
                </c:pt>
                <c:pt idx="32">
                  <c:v>35</c:v>
                </c:pt>
                <c:pt idx="33">
                  <c:v>23</c:v>
                </c:pt>
                <c:pt idx="34">
                  <c:v>22</c:v>
                </c:pt>
                <c:pt idx="35">
                  <c:v>21</c:v>
                </c:pt>
                <c:pt idx="36">
                  <c:v>22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34</c:v>
                </c:pt>
                <c:pt idx="41">
                  <c:v>27</c:v>
                </c:pt>
                <c:pt idx="42">
                  <c:v>28</c:v>
                </c:pt>
                <c:pt idx="43">
                  <c:v>47</c:v>
                </c:pt>
                <c:pt idx="44">
                  <c:v>52</c:v>
                </c:pt>
                <c:pt idx="45">
                  <c:v>74</c:v>
                </c:pt>
                <c:pt idx="46">
                  <c:v>57</c:v>
                </c:pt>
                <c:pt idx="47">
                  <c:v>72</c:v>
                </c:pt>
                <c:pt idx="48">
                  <c:v>47</c:v>
                </c:pt>
                <c:pt idx="49">
                  <c:v>45</c:v>
                </c:pt>
                <c:pt idx="50">
                  <c:v>46</c:v>
                </c:pt>
                <c:pt idx="51">
                  <c:v>65</c:v>
                </c:pt>
                <c:pt idx="52">
                  <c:v>66</c:v>
                </c:pt>
                <c:pt idx="53">
                  <c:v>58</c:v>
                </c:pt>
                <c:pt idx="54">
                  <c:v>65</c:v>
                </c:pt>
                <c:pt idx="55">
                  <c:v>66</c:v>
                </c:pt>
                <c:pt idx="56">
                  <c:v>64</c:v>
                </c:pt>
                <c:pt idx="57">
                  <c:v>55</c:v>
                </c:pt>
                <c:pt idx="58">
                  <c:v>48</c:v>
                </c:pt>
                <c:pt idx="59">
                  <c:v>51</c:v>
                </c:pt>
                <c:pt idx="60">
                  <c:v>73</c:v>
                </c:pt>
                <c:pt idx="61">
                  <c:v>58</c:v>
                </c:pt>
                <c:pt idx="62">
                  <c:v>50</c:v>
                </c:pt>
                <c:pt idx="63">
                  <c:v>33</c:v>
                </c:pt>
                <c:pt idx="64">
                  <c:v>50</c:v>
                </c:pt>
                <c:pt idx="65">
                  <c:v>46</c:v>
                </c:pt>
                <c:pt idx="66">
                  <c:v>33</c:v>
                </c:pt>
                <c:pt idx="67">
                  <c:v>44</c:v>
                </c:pt>
                <c:pt idx="68">
                  <c:v>46</c:v>
                </c:pt>
                <c:pt idx="69">
                  <c:v>42</c:v>
                </c:pt>
                <c:pt idx="70">
                  <c:v>19</c:v>
                </c:pt>
                <c:pt idx="71">
                  <c:v>43</c:v>
                </c:pt>
                <c:pt idx="72">
                  <c:v>50</c:v>
                </c:pt>
                <c:pt idx="73">
                  <c:v>35</c:v>
                </c:pt>
                <c:pt idx="74">
                  <c:v>44</c:v>
                </c:pt>
                <c:pt idx="75">
                  <c:v>44</c:v>
                </c:pt>
                <c:pt idx="76">
                  <c:v>35</c:v>
                </c:pt>
                <c:pt idx="77">
                  <c:v>41</c:v>
                </c:pt>
                <c:pt idx="78">
                  <c:v>29</c:v>
                </c:pt>
                <c:pt idx="79">
                  <c:v>29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32</c:v>
                </c:pt>
                <c:pt idx="85">
                  <c:v>27</c:v>
                </c:pt>
                <c:pt idx="86">
                  <c:v>47</c:v>
                </c:pt>
                <c:pt idx="87">
                  <c:v>33</c:v>
                </c:pt>
                <c:pt idx="88">
                  <c:v>32</c:v>
                </c:pt>
                <c:pt idx="89">
                  <c:v>25</c:v>
                </c:pt>
                <c:pt idx="90">
                  <c:v>31</c:v>
                </c:pt>
                <c:pt idx="91">
                  <c:v>25</c:v>
                </c:pt>
                <c:pt idx="92">
                  <c:v>38</c:v>
                </c:pt>
                <c:pt idx="93">
                  <c:v>63</c:v>
                </c:pt>
                <c:pt idx="94">
                  <c:v>34</c:v>
                </c:pt>
                <c:pt idx="95">
                  <c:v>26</c:v>
                </c:pt>
                <c:pt idx="96">
                  <c:v>26</c:v>
                </c:pt>
                <c:pt idx="97">
                  <c:v>45</c:v>
                </c:pt>
                <c:pt idx="98">
                  <c:v>36</c:v>
                </c:pt>
                <c:pt idx="99">
                  <c:v>36</c:v>
                </c:pt>
                <c:pt idx="100">
                  <c:v>35</c:v>
                </c:pt>
                <c:pt idx="101">
                  <c:v>31</c:v>
                </c:pt>
                <c:pt idx="102">
                  <c:v>23</c:v>
                </c:pt>
                <c:pt idx="103">
                  <c:v>29</c:v>
                </c:pt>
                <c:pt idx="104">
                  <c:v>18</c:v>
                </c:pt>
                <c:pt idx="105">
                  <c:v>18</c:v>
                </c:pt>
                <c:pt idx="106">
                  <c:v>57</c:v>
                </c:pt>
                <c:pt idx="107">
                  <c:v>48</c:v>
                </c:pt>
                <c:pt idx="108">
                  <c:v>53</c:v>
                </c:pt>
                <c:pt idx="109">
                  <c:v>41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32</c:v>
                </c:pt>
                <c:pt idx="122">
                  <c:v>22</c:v>
                </c:pt>
                <c:pt idx="123">
                  <c:v>22</c:v>
                </c:pt>
                <c:pt idx="124">
                  <c:v>24</c:v>
                </c:pt>
                <c:pt idx="125">
                  <c:v>32</c:v>
                </c:pt>
                <c:pt idx="126">
                  <c:v>23</c:v>
                </c:pt>
                <c:pt idx="127">
                  <c:v>19</c:v>
                </c:pt>
                <c:pt idx="128">
                  <c:v>29</c:v>
                </c:pt>
                <c:pt idx="129">
                  <c:v>23</c:v>
                </c:pt>
                <c:pt idx="130">
                  <c:v>36</c:v>
                </c:pt>
                <c:pt idx="131">
                  <c:v>47</c:v>
                </c:pt>
                <c:pt idx="132">
                  <c:v>28</c:v>
                </c:pt>
                <c:pt idx="133">
                  <c:v>28</c:v>
                </c:pt>
                <c:pt idx="134">
                  <c:v>39</c:v>
                </c:pt>
                <c:pt idx="135">
                  <c:v>54</c:v>
                </c:pt>
                <c:pt idx="136">
                  <c:v>35</c:v>
                </c:pt>
                <c:pt idx="137">
                  <c:v>24</c:v>
                </c:pt>
                <c:pt idx="138">
                  <c:v>30</c:v>
                </c:pt>
                <c:pt idx="139">
                  <c:v>24</c:v>
                </c:pt>
                <c:pt idx="140">
                  <c:v>24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19</c:v>
                </c:pt>
                <c:pt idx="147">
                  <c:v>17</c:v>
                </c:pt>
                <c:pt idx="148">
                  <c:v>17</c:v>
                </c:pt>
                <c:pt idx="149">
                  <c:v>16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17</c:v>
                </c:pt>
                <c:pt idx="161">
                  <c:v>17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17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23</c:v>
                </c:pt>
                <c:pt idx="180">
                  <c:v>24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27</c:v>
                </c:pt>
                <c:pt idx="186">
                  <c:v>17</c:v>
                </c:pt>
                <c:pt idx="187">
                  <c:v>19</c:v>
                </c:pt>
                <c:pt idx="188">
                  <c:v>19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30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28</c:v>
                </c:pt>
                <c:pt idx="206">
                  <c:v>28</c:v>
                </c:pt>
                <c:pt idx="207">
                  <c:v>24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23</c:v>
                </c:pt>
                <c:pt idx="212">
                  <c:v>21</c:v>
                </c:pt>
                <c:pt idx="213">
                  <c:v>34</c:v>
                </c:pt>
                <c:pt idx="214">
                  <c:v>24</c:v>
                </c:pt>
                <c:pt idx="215">
                  <c:v>21</c:v>
                </c:pt>
                <c:pt idx="216">
                  <c:v>30</c:v>
                </c:pt>
                <c:pt idx="217">
                  <c:v>22</c:v>
                </c:pt>
                <c:pt idx="218">
                  <c:v>30</c:v>
                </c:pt>
                <c:pt idx="219">
                  <c:v>30</c:v>
                </c:pt>
                <c:pt idx="220">
                  <c:v>33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24</c:v>
                </c:pt>
                <c:pt idx="227">
                  <c:v>23</c:v>
                </c:pt>
                <c:pt idx="228">
                  <c:v>23</c:v>
                </c:pt>
                <c:pt idx="229">
                  <c:v>30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23</c:v>
                </c:pt>
                <c:pt idx="239">
                  <c:v>24</c:v>
                </c:pt>
                <c:pt idx="240">
                  <c:v>29</c:v>
                </c:pt>
                <c:pt idx="241">
                  <c:v>19</c:v>
                </c:pt>
                <c:pt idx="242">
                  <c:v>19</c:v>
                </c:pt>
                <c:pt idx="243">
                  <c:v>22</c:v>
                </c:pt>
                <c:pt idx="244">
                  <c:v>24</c:v>
                </c:pt>
                <c:pt idx="245">
                  <c:v>27</c:v>
                </c:pt>
                <c:pt idx="246">
                  <c:v>26</c:v>
                </c:pt>
                <c:pt idx="247">
                  <c:v>35</c:v>
                </c:pt>
                <c:pt idx="248">
                  <c:v>18</c:v>
                </c:pt>
                <c:pt idx="249">
                  <c:v>17</c:v>
                </c:pt>
                <c:pt idx="250">
                  <c:v>17</c:v>
                </c:pt>
                <c:pt idx="251">
                  <c:v>22</c:v>
                </c:pt>
                <c:pt idx="252">
                  <c:v>17</c:v>
                </c:pt>
                <c:pt idx="253">
                  <c:v>15</c:v>
                </c:pt>
                <c:pt idx="254">
                  <c:v>17</c:v>
                </c:pt>
                <c:pt idx="255">
                  <c:v>15</c:v>
                </c:pt>
                <c:pt idx="256">
                  <c:v>32</c:v>
                </c:pt>
                <c:pt idx="257">
                  <c:v>29</c:v>
                </c:pt>
                <c:pt idx="258">
                  <c:v>26</c:v>
                </c:pt>
                <c:pt idx="259">
                  <c:v>28</c:v>
                </c:pt>
                <c:pt idx="260">
                  <c:v>27</c:v>
                </c:pt>
                <c:pt idx="261">
                  <c:v>23</c:v>
                </c:pt>
                <c:pt idx="262">
                  <c:v>22</c:v>
                </c:pt>
                <c:pt idx="263">
                  <c:v>35</c:v>
                </c:pt>
                <c:pt idx="264">
                  <c:v>21</c:v>
                </c:pt>
                <c:pt idx="265">
                  <c:v>36</c:v>
                </c:pt>
                <c:pt idx="266">
                  <c:v>20</c:v>
                </c:pt>
                <c:pt idx="267">
                  <c:v>29</c:v>
                </c:pt>
                <c:pt idx="268">
                  <c:v>29</c:v>
                </c:pt>
                <c:pt idx="269">
                  <c:v>20</c:v>
                </c:pt>
                <c:pt idx="270">
                  <c:v>23</c:v>
                </c:pt>
                <c:pt idx="271">
                  <c:v>32</c:v>
                </c:pt>
                <c:pt idx="272">
                  <c:v>36</c:v>
                </c:pt>
                <c:pt idx="273">
                  <c:v>20</c:v>
                </c:pt>
                <c:pt idx="274">
                  <c:v>44</c:v>
                </c:pt>
                <c:pt idx="275">
                  <c:v>44</c:v>
                </c:pt>
                <c:pt idx="276">
                  <c:v>59</c:v>
                </c:pt>
                <c:pt idx="277">
                  <c:v>48</c:v>
                </c:pt>
                <c:pt idx="278">
                  <c:v>46</c:v>
                </c:pt>
                <c:pt idx="279">
                  <c:v>46</c:v>
                </c:pt>
                <c:pt idx="280">
                  <c:v>47</c:v>
                </c:pt>
                <c:pt idx="281">
                  <c:v>49</c:v>
                </c:pt>
                <c:pt idx="282">
                  <c:v>56</c:v>
                </c:pt>
                <c:pt idx="283">
                  <c:v>52</c:v>
                </c:pt>
                <c:pt idx="284">
                  <c:v>56</c:v>
                </c:pt>
                <c:pt idx="285">
                  <c:v>61</c:v>
                </c:pt>
                <c:pt idx="286">
                  <c:v>56</c:v>
                </c:pt>
                <c:pt idx="287">
                  <c:v>48</c:v>
                </c:pt>
                <c:pt idx="288">
                  <c:v>33</c:v>
                </c:pt>
                <c:pt idx="289">
                  <c:v>38</c:v>
                </c:pt>
                <c:pt idx="290">
                  <c:v>40</c:v>
                </c:pt>
                <c:pt idx="291">
                  <c:v>28</c:v>
                </c:pt>
                <c:pt idx="292">
                  <c:v>29</c:v>
                </c:pt>
                <c:pt idx="293">
                  <c:v>27</c:v>
                </c:pt>
                <c:pt idx="294">
                  <c:v>32</c:v>
                </c:pt>
                <c:pt idx="295">
                  <c:v>37</c:v>
                </c:pt>
                <c:pt idx="296">
                  <c:v>56</c:v>
                </c:pt>
                <c:pt idx="297">
                  <c:v>42</c:v>
                </c:pt>
                <c:pt idx="298">
                  <c:v>22</c:v>
                </c:pt>
                <c:pt idx="299">
                  <c:v>38</c:v>
                </c:pt>
                <c:pt idx="300">
                  <c:v>27</c:v>
                </c:pt>
                <c:pt idx="301">
                  <c:v>21</c:v>
                </c:pt>
                <c:pt idx="302">
                  <c:v>21</c:v>
                </c:pt>
                <c:pt idx="303">
                  <c:v>44</c:v>
                </c:pt>
                <c:pt idx="304">
                  <c:v>26</c:v>
                </c:pt>
                <c:pt idx="305">
                  <c:v>25</c:v>
                </c:pt>
                <c:pt idx="306">
                  <c:v>47</c:v>
                </c:pt>
                <c:pt idx="307">
                  <c:v>43</c:v>
                </c:pt>
                <c:pt idx="308">
                  <c:v>43</c:v>
                </c:pt>
                <c:pt idx="309">
                  <c:v>51</c:v>
                </c:pt>
                <c:pt idx="310">
                  <c:v>39</c:v>
                </c:pt>
                <c:pt idx="311">
                  <c:v>31</c:v>
                </c:pt>
                <c:pt idx="312">
                  <c:v>52</c:v>
                </c:pt>
                <c:pt idx="313">
                  <c:v>48</c:v>
                </c:pt>
                <c:pt idx="314">
                  <c:v>42</c:v>
                </c:pt>
                <c:pt idx="315">
                  <c:v>24</c:v>
                </c:pt>
                <c:pt idx="316">
                  <c:v>23</c:v>
                </c:pt>
                <c:pt idx="317">
                  <c:v>18</c:v>
                </c:pt>
                <c:pt idx="318">
                  <c:v>18</c:v>
                </c:pt>
                <c:pt idx="319">
                  <c:v>19</c:v>
                </c:pt>
                <c:pt idx="320">
                  <c:v>21</c:v>
                </c:pt>
                <c:pt idx="321">
                  <c:v>21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23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23</c:v>
                </c:pt>
                <c:pt idx="349">
                  <c:v>23</c:v>
                </c:pt>
                <c:pt idx="350" formatCode="0.0">
                  <c:v>15</c:v>
                </c:pt>
                <c:pt idx="351" formatCode="0.0">
                  <c:v>15</c:v>
                </c:pt>
                <c:pt idx="352" formatCode="0.0">
                  <c:v>15</c:v>
                </c:pt>
                <c:pt idx="353" formatCode="0.0">
                  <c:v>33</c:v>
                </c:pt>
                <c:pt idx="354" formatCode="0.0">
                  <c:v>41</c:v>
                </c:pt>
                <c:pt idx="356" formatCode="0.0">
                  <c:v>30</c:v>
                </c:pt>
                <c:pt idx="357" formatCode="0.0">
                  <c:v>13</c:v>
                </c:pt>
                <c:pt idx="358" formatCode="0.0">
                  <c:v>17</c:v>
                </c:pt>
                <c:pt idx="359" formatCode="0.0">
                  <c:v>18</c:v>
                </c:pt>
                <c:pt idx="360" formatCode="0.0">
                  <c:v>17</c:v>
                </c:pt>
                <c:pt idx="361" formatCode="0.0">
                  <c:v>20</c:v>
                </c:pt>
                <c:pt idx="362" formatCode="0.0">
                  <c:v>19</c:v>
                </c:pt>
                <c:pt idx="363" formatCode="0.0">
                  <c:v>21</c:v>
                </c:pt>
                <c:pt idx="364" formatCode="0.0">
                  <c:v>17</c:v>
                </c:pt>
                <c:pt idx="365" formatCode="0.0">
                  <c:v>17</c:v>
                </c:pt>
                <c:pt idx="366" formatCode="0.0">
                  <c:v>17</c:v>
                </c:pt>
                <c:pt idx="367" formatCode="0.0">
                  <c:v>26</c:v>
                </c:pt>
                <c:pt idx="368" formatCode="0.0">
                  <c:v>23</c:v>
                </c:pt>
                <c:pt idx="369" formatCode="0.0">
                  <c:v>19</c:v>
                </c:pt>
                <c:pt idx="370" formatCode="0.0">
                  <c:v>24</c:v>
                </c:pt>
                <c:pt idx="371" formatCode="0.0">
                  <c:v>24</c:v>
                </c:pt>
                <c:pt idx="372" formatCode="0.0">
                  <c:v>19</c:v>
                </c:pt>
                <c:pt idx="373" formatCode="0.0">
                  <c:v>28</c:v>
                </c:pt>
                <c:pt idx="374" formatCode="0.0">
                  <c:v>18</c:v>
                </c:pt>
                <c:pt idx="375" formatCode="0.0">
                  <c:v>30</c:v>
                </c:pt>
                <c:pt idx="376" formatCode="0.0">
                  <c:v>23</c:v>
                </c:pt>
                <c:pt idx="377" formatCode="0.0">
                  <c:v>18</c:v>
                </c:pt>
                <c:pt idx="378" formatCode="0.0">
                  <c:v>21</c:v>
                </c:pt>
                <c:pt idx="379" formatCode="0.0">
                  <c:v>17</c:v>
                </c:pt>
                <c:pt idx="380" formatCode="0.0">
                  <c:v>18</c:v>
                </c:pt>
                <c:pt idx="381" formatCode="0.0">
                  <c:v>18</c:v>
                </c:pt>
                <c:pt idx="382" formatCode="0.0">
                  <c:v>16</c:v>
                </c:pt>
                <c:pt idx="383" formatCode="0.0">
                  <c:v>16</c:v>
                </c:pt>
                <c:pt idx="384" formatCode="0.0">
                  <c:v>16</c:v>
                </c:pt>
                <c:pt idx="385" formatCode="0.0">
                  <c:v>16</c:v>
                </c:pt>
                <c:pt idx="386" formatCode="0.0">
                  <c:v>17</c:v>
                </c:pt>
                <c:pt idx="387" formatCode="0.0">
                  <c:v>17</c:v>
                </c:pt>
                <c:pt idx="388" formatCode="0.0">
                  <c:v>17</c:v>
                </c:pt>
                <c:pt idx="389" formatCode="0.0">
                  <c:v>18</c:v>
                </c:pt>
                <c:pt idx="390" formatCode="0.0">
                  <c:v>19</c:v>
                </c:pt>
                <c:pt idx="391" formatCode="0.0">
                  <c:v>25</c:v>
                </c:pt>
                <c:pt idx="392" formatCode="0.0">
                  <c:v>18</c:v>
                </c:pt>
                <c:pt idx="393" formatCode="0.0">
                  <c:v>29</c:v>
                </c:pt>
                <c:pt idx="394" formatCode="0.0">
                  <c:v>24</c:v>
                </c:pt>
                <c:pt idx="395" formatCode="0.0">
                  <c:v>21</c:v>
                </c:pt>
                <c:pt idx="396" formatCode="0.0">
                  <c:v>23</c:v>
                </c:pt>
                <c:pt idx="397" formatCode="0.0">
                  <c:v>30</c:v>
                </c:pt>
                <c:pt idx="398" formatCode="0.0">
                  <c:v>28</c:v>
                </c:pt>
                <c:pt idx="399" formatCode="0.0">
                  <c:v>25</c:v>
                </c:pt>
                <c:pt idx="400" formatCode="0.0">
                  <c:v>28</c:v>
                </c:pt>
                <c:pt idx="401" formatCode="0.0">
                  <c:v>28</c:v>
                </c:pt>
                <c:pt idx="402" formatCode="0.0">
                  <c:v>27</c:v>
                </c:pt>
                <c:pt idx="403" formatCode="0.0">
                  <c:v>30</c:v>
                </c:pt>
                <c:pt idx="404" formatCode="0.0">
                  <c:v>27</c:v>
                </c:pt>
                <c:pt idx="405" formatCode="0.0">
                  <c:v>27</c:v>
                </c:pt>
                <c:pt idx="406" formatCode="0.0">
                  <c:v>29</c:v>
                </c:pt>
                <c:pt idx="407" formatCode="0.0">
                  <c:v>26</c:v>
                </c:pt>
                <c:pt idx="408" formatCode="0.0">
                  <c:v>26</c:v>
                </c:pt>
                <c:pt idx="409" formatCode="0.0">
                  <c:v>26</c:v>
                </c:pt>
                <c:pt idx="410" formatCode="0.0">
                  <c:v>26</c:v>
                </c:pt>
                <c:pt idx="411" formatCode="0.0">
                  <c:v>19</c:v>
                </c:pt>
                <c:pt idx="412" formatCode="0.0">
                  <c:v>20</c:v>
                </c:pt>
                <c:pt idx="413" formatCode="0.0">
                  <c:v>17</c:v>
                </c:pt>
                <c:pt idx="414" formatCode="0.0">
                  <c:v>24</c:v>
                </c:pt>
                <c:pt idx="415" formatCode="0.0">
                  <c:v>14</c:v>
                </c:pt>
                <c:pt idx="416" formatCode="0.0">
                  <c:v>20</c:v>
                </c:pt>
                <c:pt idx="417" formatCode="0.0">
                  <c:v>27</c:v>
                </c:pt>
                <c:pt idx="418" formatCode="0.0">
                  <c:v>24</c:v>
                </c:pt>
                <c:pt idx="419" formatCode="0.0">
                  <c:v>30</c:v>
                </c:pt>
                <c:pt idx="420" formatCode="0.0">
                  <c:v>36</c:v>
                </c:pt>
                <c:pt idx="421" formatCode="0.0">
                  <c:v>30</c:v>
                </c:pt>
                <c:pt idx="422" formatCode="0.0">
                  <c:v>21</c:v>
                </c:pt>
                <c:pt idx="423" formatCode="0.0">
                  <c:v>23</c:v>
                </c:pt>
                <c:pt idx="424" formatCode="0.0">
                  <c:v>28</c:v>
                </c:pt>
                <c:pt idx="425" formatCode="0.0">
                  <c:v>26</c:v>
                </c:pt>
                <c:pt idx="426" formatCode="0.0">
                  <c:v>24</c:v>
                </c:pt>
                <c:pt idx="427" formatCode="0.0">
                  <c:v>33</c:v>
                </c:pt>
                <c:pt idx="428" formatCode="0.0">
                  <c:v>27</c:v>
                </c:pt>
                <c:pt idx="429" formatCode="0.0">
                  <c:v>23</c:v>
                </c:pt>
                <c:pt idx="430" formatCode="0.0">
                  <c:v>30</c:v>
                </c:pt>
                <c:pt idx="431" formatCode="0.0">
                  <c:v>32</c:v>
                </c:pt>
                <c:pt idx="432" formatCode="0.0">
                  <c:v>32</c:v>
                </c:pt>
                <c:pt idx="433" formatCode="0.0">
                  <c:v>24</c:v>
                </c:pt>
                <c:pt idx="434" formatCode="0.0">
                  <c:v>29</c:v>
                </c:pt>
                <c:pt idx="435" formatCode="0.0">
                  <c:v>24</c:v>
                </c:pt>
                <c:pt idx="436" formatCode="0.0">
                  <c:v>29</c:v>
                </c:pt>
                <c:pt idx="437" formatCode="0.0">
                  <c:v>23</c:v>
                </c:pt>
                <c:pt idx="438" formatCode="0.0">
                  <c:v>26</c:v>
                </c:pt>
                <c:pt idx="439" formatCode="0.0">
                  <c:v>29</c:v>
                </c:pt>
                <c:pt idx="440" formatCode="0.0">
                  <c:v>30</c:v>
                </c:pt>
                <c:pt idx="441" formatCode="0.0">
                  <c:v>20</c:v>
                </c:pt>
                <c:pt idx="442" formatCode="0.0">
                  <c:v>22</c:v>
                </c:pt>
                <c:pt idx="443" formatCode="0.0">
                  <c:v>20</c:v>
                </c:pt>
                <c:pt idx="444" formatCode="0.0">
                  <c:v>28</c:v>
                </c:pt>
                <c:pt idx="445" formatCode="0.0">
                  <c:v>29</c:v>
                </c:pt>
                <c:pt idx="446" formatCode="0.0">
                  <c:v>17</c:v>
                </c:pt>
                <c:pt idx="447" formatCode="0.0">
                  <c:v>17</c:v>
                </c:pt>
                <c:pt idx="448" formatCode="0.0">
                  <c:v>17</c:v>
                </c:pt>
                <c:pt idx="449" formatCode="0.0">
                  <c:v>17</c:v>
                </c:pt>
                <c:pt idx="450" formatCode="0.0">
                  <c:v>23</c:v>
                </c:pt>
                <c:pt idx="451" formatCode="0.0">
                  <c:v>34</c:v>
                </c:pt>
                <c:pt idx="452" formatCode="0.0">
                  <c:v>35</c:v>
                </c:pt>
                <c:pt idx="453" formatCode="0.0">
                  <c:v>31</c:v>
                </c:pt>
                <c:pt idx="454" formatCode="0.0">
                  <c:v>25</c:v>
                </c:pt>
                <c:pt idx="455" formatCode="0.0">
                  <c:v>19</c:v>
                </c:pt>
                <c:pt idx="456" formatCode="0.0">
                  <c:v>34</c:v>
                </c:pt>
                <c:pt idx="458" formatCode="0.0">
                  <c:v>22</c:v>
                </c:pt>
                <c:pt idx="459" formatCode="0.0">
                  <c:v>33</c:v>
                </c:pt>
                <c:pt idx="460" formatCode="0.0">
                  <c:v>26</c:v>
                </c:pt>
                <c:pt idx="461" formatCode="0.0">
                  <c:v>30</c:v>
                </c:pt>
                <c:pt idx="462" formatCode="0.0">
                  <c:v>27</c:v>
                </c:pt>
                <c:pt idx="463" formatCode="0.0">
                  <c:v>20</c:v>
                </c:pt>
                <c:pt idx="464" formatCode="0.0">
                  <c:v>34</c:v>
                </c:pt>
                <c:pt idx="465" formatCode="0.0">
                  <c:v>32</c:v>
                </c:pt>
                <c:pt idx="466" formatCode="0.0">
                  <c:v>35</c:v>
                </c:pt>
                <c:pt idx="467" formatCode="0.0">
                  <c:v>21</c:v>
                </c:pt>
                <c:pt idx="468" formatCode="0.0">
                  <c:v>23</c:v>
                </c:pt>
                <c:pt idx="469" formatCode="0.0">
                  <c:v>24</c:v>
                </c:pt>
                <c:pt idx="470" formatCode="0.0">
                  <c:v>#N/A</c:v>
                </c:pt>
                <c:pt idx="471" formatCode="0.0">
                  <c:v>0</c:v>
                </c:pt>
                <c:pt idx="472" formatCode="0.0">
                  <c:v>0</c:v>
                </c:pt>
                <c:pt idx="473" formatCode="0.0">
                  <c:v>0</c:v>
                </c:pt>
                <c:pt idx="474" formatCode="0.0">
                  <c:v>0</c:v>
                </c:pt>
                <c:pt idx="475" formatCode="0.0">
                  <c:v>0</c:v>
                </c:pt>
                <c:pt idx="476" formatCode="0.0">
                  <c:v>0</c:v>
                </c:pt>
                <c:pt idx="477" formatCode="0.0">
                  <c:v>0</c:v>
                </c:pt>
                <c:pt idx="478" formatCode="0.0">
                  <c:v>0</c:v>
                </c:pt>
                <c:pt idx="479" formatCode="0.0">
                  <c:v>0</c:v>
                </c:pt>
                <c:pt idx="480" formatCode="0.0">
                  <c:v>0</c:v>
                </c:pt>
                <c:pt idx="481" formatCode="0.0">
                  <c:v>0</c:v>
                </c:pt>
                <c:pt idx="482" formatCode="0.0">
                  <c:v>0</c:v>
                </c:pt>
                <c:pt idx="483" formatCode="0.0">
                  <c:v>0</c:v>
                </c:pt>
                <c:pt idx="484" formatCode="0.0">
                  <c:v>0</c:v>
                </c:pt>
                <c:pt idx="485" formatCode="0.0">
                  <c:v>#N/A</c:v>
                </c:pt>
                <c:pt idx="486" formatCode="0.0">
                  <c:v>#N/A</c:v>
                </c:pt>
                <c:pt idx="487" formatCode="0.0">
                  <c:v>0</c:v>
                </c:pt>
                <c:pt idx="488" formatCode="0.0">
                  <c:v>0</c:v>
                </c:pt>
                <c:pt idx="489" formatCode="0.0">
                  <c:v>0</c:v>
                </c:pt>
                <c:pt idx="490" formatCode="0.0">
                  <c:v>0</c:v>
                </c:pt>
                <c:pt idx="491" formatCode="0.0">
                  <c:v>#N/A</c:v>
                </c:pt>
                <c:pt idx="492" formatCode="0.0">
                  <c:v>#N/A</c:v>
                </c:pt>
                <c:pt idx="493" formatCode="0.0">
                  <c:v>#N/A</c:v>
                </c:pt>
                <c:pt idx="494" formatCode="0.0">
                  <c:v>#N/A</c:v>
                </c:pt>
                <c:pt idx="495" formatCode="0.0">
                  <c:v>#N/A</c:v>
                </c:pt>
                <c:pt idx="496" formatCode="0.0">
                  <c:v>#N/A</c:v>
                </c:pt>
                <c:pt idx="497" formatCode="0.0">
                  <c:v>#N/A</c:v>
                </c:pt>
                <c:pt idx="498" formatCode="0.0">
                  <c:v>#N/A</c:v>
                </c:pt>
                <c:pt idx="499" formatCode="0.0">
                  <c:v>#N/A</c:v>
                </c:pt>
                <c:pt idx="500" formatCode="0.0">
                  <c:v>#N/A</c:v>
                </c:pt>
                <c:pt idx="501" formatCode="0.0">
                  <c:v>#N/A</c:v>
                </c:pt>
                <c:pt idx="502" formatCode="0.0">
                  <c:v>#N/A</c:v>
                </c:pt>
                <c:pt idx="503" formatCode="0.0">
                  <c:v>#N/A</c:v>
                </c:pt>
                <c:pt idx="504" formatCode="0.0">
                  <c:v>#N/A</c:v>
                </c:pt>
                <c:pt idx="505">
                  <c:v>30</c:v>
                </c:pt>
                <c:pt idx="506">
                  <c:v>19</c:v>
                </c:pt>
                <c:pt idx="507">
                  <c:v>21</c:v>
                </c:pt>
                <c:pt idx="508">
                  <c:v>19</c:v>
                </c:pt>
                <c:pt idx="509">
                  <c:v>26</c:v>
                </c:pt>
                <c:pt idx="510">
                  <c:v>31</c:v>
                </c:pt>
                <c:pt idx="511">
                  <c:v>26</c:v>
                </c:pt>
                <c:pt idx="512">
                  <c:v>32</c:v>
                </c:pt>
                <c:pt idx="513">
                  <c:v>51</c:v>
                </c:pt>
                <c:pt idx="514">
                  <c:v>24</c:v>
                </c:pt>
                <c:pt idx="515">
                  <c:v>20</c:v>
                </c:pt>
                <c:pt idx="516">
                  <c:v>19</c:v>
                </c:pt>
                <c:pt idx="517">
                  <c:v>30</c:v>
                </c:pt>
                <c:pt idx="518">
                  <c:v>43</c:v>
                </c:pt>
                <c:pt idx="519">
                  <c:v>42</c:v>
                </c:pt>
                <c:pt idx="520">
                  <c:v>51</c:v>
                </c:pt>
                <c:pt idx="521">
                  <c:v>42</c:v>
                </c:pt>
                <c:pt idx="522">
                  <c:v>28</c:v>
                </c:pt>
                <c:pt idx="523">
                  <c:v>26</c:v>
                </c:pt>
                <c:pt idx="524">
                  <c:v>27</c:v>
                </c:pt>
                <c:pt idx="525">
                  <c:v>27</c:v>
                </c:pt>
                <c:pt idx="526">
                  <c:v>21</c:v>
                </c:pt>
                <c:pt idx="527">
                  <c:v>30</c:v>
                </c:pt>
                <c:pt idx="528">
                  <c:v>27</c:v>
                </c:pt>
                <c:pt idx="529">
                  <c:v>24</c:v>
                </c:pt>
                <c:pt idx="530">
                  <c:v>30</c:v>
                </c:pt>
                <c:pt idx="531">
                  <c:v>56</c:v>
                </c:pt>
                <c:pt idx="532">
                  <c:v>38</c:v>
                </c:pt>
                <c:pt idx="533">
                  <c:v>50</c:v>
                </c:pt>
                <c:pt idx="534">
                  <c:v>27</c:v>
                </c:pt>
                <c:pt idx="535">
                  <c:v>18</c:v>
                </c:pt>
                <c:pt idx="536">
                  <c:v>37</c:v>
                </c:pt>
                <c:pt idx="537">
                  <c:v>17</c:v>
                </c:pt>
                <c:pt idx="538">
                  <c:v>14</c:v>
                </c:pt>
                <c:pt idx="539">
                  <c:v>21</c:v>
                </c:pt>
                <c:pt idx="540">
                  <c:v>29</c:v>
                </c:pt>
                <c:pt idx="541">
                  <c:v>28</c:v>
                </c:pt>
                <c:pt idx="542">
                  <c:v>25</c:v>
                </c:pt>
                <c:pt idx="543">
                  <c:v>33</c:v>
                </c:pt>
                <c:pt idx="544">
                  <c:v>19</c:v>
                </c:pt>
                <c:pt idx="545">
                  <c:v>27</c:v>
                </c:pt>
                <c:pt idx="546">
                  <c:v>38</c:v>
                </c:pt>
                <c:pt idx="547">
                  <c:v>34</c:v>
                </c:pt>
                <c:pt idx="548">
                  <c:v>39</c:v>
                </c:pt>
                <c:pt idx="549">
                  <c:v>34</c:v>
                </c:pt>
                <c:pt idx="550">
                  <c:v>37</c:v>
                </c:pt>
                <c:pt idx="551">
                  <c:v>32</c:v>
                </c:pt>
                <c:pt idx="552">
                  <c:v>35</c:v>
                </c:pt>
                <c:pt idx="553">
                  <c:v>39</c:v>
                </c:pt>
                <c:pt idx="554">
                  <c:v>30</c:v>
                </c:pt>
                <c:pt idx="555">
                  <c:v>35</c:v>
                </c:pt>
                <c:pt idx="556">
                  <c:v>24</c:v>
                </c:pt>
                <c:pt idx="557">
                  <c:v>22</c:v>
                </c:pt>
                <c:pt idx="558">
                  <c:v>27</c:v>
                </c:pt>
                <c:pt idx="559">
                  <c:v>29</c:v>
                </c:pt>
                <c:pt idx="560">
                  <c:v>17</c:v>
                </c:pt>
                <c:pt idx="561">
                  <c:v>20</c:v>
                </c:pt>
                <c:pt idx="562">
                  <c:v>20</c:v>
                </c:pt>
                <c:pt idx="563">
                  <c:v>27</c:v>
                </c:pt>
                <c:pt idx="564">
                  <c:v>28</c:v>
                </c:pt>
                <c:pt idx="565">
                  <c:v>30</c:v>
                </c:pt>
                <c:pt idx="566">
                  <c:v>31</c:v>
                </c:pt>
                <c:pt idx="567">
                  <c:v>41</c:v>
                </c:pt>
                <c:pt idx="568">
                  <c:v>41</c:v>
                </c:pt>
                <c:pt idx="569">
                  <c:v>39</c:v>
                </c:pt>
                <c:pt idx="570">
                  <c:v>48</c:v>
                </c:pt>
                <c:pt idx="571">
                  <c:v>34</c:v>
                </c:pt>
                <c:pt idx="572">
                  <c:v>22</c:v>
                </c:pt>
                <c:pt idx="573">
                  <c:v>23</c:v>
                </c:pt>
                <c:pt idx="574">
                  <c:v>20</c:v>
                </c:pt>
                <c:pt idx="575">
                  <c:v>24</c:v>
                </c:pt>
                <c:pt idx="576">
                  <c:v>27</c:v>
                </c:pt>
                <c:pt idx="577">
                  <c:v>15</c:v>
                </c:pt>
                <c:pt idx="578">
                  <c:v>15</c:v>
                </c:pt>
                <c:pt idx="579">
                  <c:v>30</c:v>
                </c:pt>
                <c:pt idx="580">
                  <c:v>42</c:v>
                </c:pt>
                <c:pt idx="581">
                  <c:v>20</c:v>
                </c:pt>
                <c:pt idx="582">
                  <c:v>36</c:v>
                </c:pt>
                <c:pt idx="583">
                  <c:v>25</c:v>
                </c:pt>
                <c:pt idx="584">
                  <c:v>27</c:v>
                </c:pt>
                <c:pt idx="585" formatCode="0.0">
                  <c:v>18</c:v>
                </c:pt>
                <c:pt idx="586" formatCode="0.0">
                  <c:v>17</c:v>
                </c:pt>
                <c:pt idx="587" formatCode="0.0">
                  <c:v>17</c:v>
                </c:pt>
                <c:pt idx="588" formatCode="0.0">
                  <c:v>17</c:v>
                </c:pt>
                <c:pt idx="589" formatCode="0.0">
                  <c:v>17</c:v>
                </c:pt>
                <c:pt idx="590" formatCode="0.0">
                  <c:v>17</c:v>
                </c:pt>
                <c:pt idx="591" formatCode="0.0">
                  <c:v>17</c:v>
                </c:pt>
                <c:pt idx="592" formatCode="0.0">
                  <c:v>17</c:v>
                </c:pt>
                <c:pt idx="593" formatCode="0.0">
                  <c:v>17</c:v>
                </c:pt>
                <c:pt idx="594" formatCode="0.0">
                  <c:v>21</c:v>
                </c:pt>
                <c:pt idx="595" formatCode="0.0">
                  <c:v>38</c:v>
                </c:pt>
                <c:pt idx="596" formatCode="0.0">
                  <c:v>40</c:v>
                </c:pt>
                <c:pt idx="597" formatCode="0.0">
                  <c:v>24</c:v>
                </c:pt>
                <c:pt idx="598" formatCode="0.0">
                  <c:v>24</c:v>
                </c:pt>
                <c:pt idx="599" formatCode="0.0">
                  <c:v>23</c:v>
                </c:pt>
                <c:pt idx="600" formatCode="0.0">
                  <c:v>44</c:v>
                </c:pt>
                <c:pt idx="601" formatCode="0.0">
                  <c:v>40</c:v>
                </c:pt>
                <c:pt idx="602" formatCode="0.0">
                  <c:v>39</c:v>
                </c:pt>
                <c:pt idx="603" formatCode="0.0">
                  <c:v>41</c:v>
                </c:pt>
                <c:pt idx="604" formatCode="0.0">
                  <c:v>24</c:v>
                </c:pt>
                <c:pt idx="605" formatCode="0.0">
                  <c:v>45</c:v>
                </c:pt>
                <c:pt idx="606" formatCode="0.0">
                  <c:v>29</c:v>
                </c:pt>
                <c:pt idx="607" formatCode="0.0">
                  <c:v>23</c:v>
                </c:pt>
                <c:pt idx="608" formatCode="0.0">
                  <c:v>23</c:v>
                </c:pt>
                <c:pt idx="609" formatCode="0.0">
                  <c:v>23</c:v>
                </c:pt>
                <c:pt idx="610" formatCode="0.0">
                  <c:v>18</c:v>
                </c:pt>
                <c:pt idx="611" formatCode="0.0">
                  <c:v>18</c:v>
                </c:pt>
                <c:pt idx="612" formatCode="0.0">
                  <c:v>18</c:v>
                </c:pt>
                <c:pt idx="613" formatCode="0.0">
                  <c:v>33</c:v>
                </c:pt>
                <c:pt idx="614" formatCode="0.0">
                  <c:v>46</c:v>
                </c:pt>
                <c:pt idx="615" formatCode="0.0">
                  <c:v>45</c:v>
                </c:pt>
                <c:pt idx="616" formatCode="0.0">
                  <c:v>48</c:v>
                </c:pt>
                <c:pt idx="617" formatCode="0.0">
                  <c:v>40</c:v>
                </c:pt>
                <c:pt idx="618" formatCode="0.0">
                  <c:v>46</c:v>
                </c:pt>
                <c:pt idx="619" formatCode="0.0">
                  <c:v>40</c:v>
                </c:pt>
                <c:pt idx="620" formatCode="0.0">
                  <c:v>31</c:v>
                </c:pt>
                <c:pt idx="621" formatCode="0.0">
                  <c:v>37</c:v>
                </c:pt>
                <c:pt idx="622" formatCode="0.0">
                  <c:v>42</c:v>
                </c:pt>
                <c:pt idx="623" formatCode="0.0">
                  <c:v>50</c:v>
                </c:pt>
                <c:pt idx="624" formatCode="0.0">
                  <c:v>24</c:v>
                </c:pt>
                <c:pt idx="625" formatCode="0.0">
                  <c:v>26</c:v>
                </c:pt>
                <c:pt idx="626" formatCode="0.0">
                  <c:v>44</c:v>
                </c:pt>
                <c:pt idx="627" formatCode="0.0">
                  <c:v>33</c:v>
                </c:pt>
                <c:pt idx="628" formatCode="0.0">
                  <c:v>40</c:v>
                </c:pt>
                <c:pt idx="629" formatCode="0.0">
                  <c:v>45</c:v>
                </c:pt>
                <c:pt idx="630" formatCode="0.0">
                  <c:v>29</c:v>
                </c:pt>
                <c:pt idx="631" formatCode="0.0">
                  <c:v>29</c:v>
                </c:pt>
                <c:pt idx="632">
                  <c:v>43</c:v>
                </c:pt>
                <c:pt idx="633">
                  <c:v>44</c:v>
                </c:pt>
                <c:pt idx="634" formatCode="0.0">
                  <c:v>35</c:v>
                </c:pt>
                <c:pt idx="635" formatCode="0.0">
                  <c:v>20</c:v>
                </c:pt>
                <c:pt idx="636" formatCode="0.0">
                  <c:v>23</c:v>
                </c:pt>
                <c:pt idx="637" formatCode="0.0">
                  <c:v>21</c:v>
                </c:pt>
                <c:pt idx="638" formatCode="0.0">
                  <c:v>30</c:v>
                </c:pt>
                <c:pt idx="639" formatCode="0.0">
                  <c:v>38</c:v>
                </c:pt>
                <c:pt idx="640" formatCode="0.0">
                  <c:v>29</c:v>
                </c:pt>
                <c:pt idx="641" formatCode="0.0">
                  <c:v>36</c:v>
                </c:pt>
                <c:pt idx="642" formatCode="0.0">
                  <c:v>29</c:v>
                </c:pt>
                <c:pt idx="643" formatCode="0.0">
                  <c:v>38</c:v>
                </c:pt>
                <c:pt idx="644" formatCode="0.0">
                  <c:v>45</c:v>
                </c:pt>
                <c:pt idx="645" formatCode="0.0">
                  <c:v>38</c:v>
                </c:pt>
                <c:pt idx="646" formatCode="0.0">
                  <c:v>37</c:v>
                </c:pt>
                <c:pt idx="647" formatCode="0.0">
                  <c:v>28</c:v>
                </c:pt>
                <c:pt idx="648" formatCode="0.0">
                  <c:v>35</c:v>
                </c:pt>
                <c:pt idx="649" formatCode="0.0">
                  <c:v>25</c:v>
                </c:pt>
                <c:pt idx="650" formatCode="0.0">
                  <c:v>42</c:v>
                </c:pt>
                <c:pt idx="651" formatCode="0.0">
                  <c:v>25</c:v>
                </c:pt>
                <c:pt idx="652" formatCode="0.0">
                  <c:v>17</c:v>
                </c:pt>
                <c:pt idx="653">
                  <c:v>46</c:v>
                </c:pt>
                <c:pt idx="654">
                  <c:v>36</c:v>
                </c:pt>
                <c:pt idx="655">
                  <c:v>42</c:v>
                </c:pt>
                <c:pt idx="656" formatCode="0.0">
                  <c:v>50</c:v>
                </c:pt>
                <c:pt idx="657" formatCode="0.0">
                  <c:v>43</c:v>
                </c:pt>
                <c:pt idx="658" formatCode="0.0">
                  <c:v>21</c:v>
                </c:pt>
                <c:pt idx="659" formatCode="0.0">
                  <c:v>21</c:v>
                </c:pt>
                <c:pt idx="660" formatCode="0.0">
                  <c:v>22</c:v>
                </c:pt>
                <c:pt idx="661" formatCode="0.0">
                  <c:v>44</c:v>
                </c:pt>
                <c:pt idx="662" formatCode="0.0">
                  <c:v>26</c:v>
                </c:pt>
                <c:pt idx="663" formatCode="0.0">
                  <c:v>21</c:v>
                </c:pt>
                <c:pt idx="664" formatCode="0.0">
                  <c:v>32</c:v>
                </c:pt>
                <c:pt idx="665" formatCode="0.0">
                  <c:v>27</c:v>
                </c:pt>
                <c:pt idx="666" formatCode="0.0">
                  <c:v>35</c:v>
                </c:pt>
                <c:pt idx="667" formatCode="0.0">
                  <c:v>34</c:v>
                </c:pt>
                <c:pt idx="668" formatCode="0.0">
                  <c:v>17</c:v>
                </c:pt>
                <c:pt idx="669" formatCode="0.0">
                  <c:v>55</c:v>
                </c:pt>
                <c:pt idx="670" formatCode="0.0">
                  <c:v>53</c:v>
                </c:pt>
                <c:pt idx="671" formatCode="0.0">
                  <c:v>58</c:v>
                </c:pt>
                <c:pt idx="672" formatCode="0.0">
                  <c:v>64</c:v>
                </c:pt>
                <c:pt idx="673" formatCode="0.0">
                  <c:v>68</c:v>
                </c:pt>
                <c:pt idx="674" formatCode="0.0">
                  <c:v>17</c:v>
                </c:pt>
                <c:pt idx="675" formatCode="0.0">
                  <c:v>17</c:v>
                </c:pt>
                <c:pt idx="676" formatCode="0.0">
                  <c:v>17</c:v>
                </c:pt>
                <c:pt idx="677" formatCode="0.0">
                  <c:v>17</c:v>
                </c:pt>
                <c:pt idx="678" formatCode="0.0">
                  <c:v>44</c:v>
                </c:pt>
                <c:pt idx="679">
                  <c:v>45</c:v>
                </c:pt>
                <c:pt idx="680">
                  <c:v>42</c:v>
                </c:pt>
                <c:pt idx="681">
                  <c:v>47</c:v>
                </c:pt>
                <c:pt idx="682">
                  <c:v>53</c:v>
                </c:pt>
                <c:pt idx="683">
                  <c:v>55</c:v>
                </c:pt>
                <c:pt idx="684">
                  <c:v>41</c:v>
                </c:pt>
                <c:pt idx="685">
                  <c:v>49</c:v>
                </c:pt>
                <c:pt idx="686">
                  <c:v>42</c:v>
                </c:pt>
                <c:pt idx="687">
                  <c:v>37</c:v>
                </c:pt>
                <c:pt idx="688">
                  <c:v>51</c:v>
                </c:pt>
                <c:pt idx="689">
                  <c:v>49</c:v>
                </c:pt>
                <c:pt idx="690">
                  <c:v>39</c:v>
                </c:pt>
                <c:pt idx="691" formatCode="0.0">
                  <c:v>30</c:v>
                </c:pt>
                <c:pt idx="692" formatCode="0.0">
                  <c:v>25</c:v>
                </c:pt>
                <c:pt idx="693" formatCode="0.0">
                  <c:v>21</c:v>
                </c:pt>
                <c:pt idx="694" formatCode="0.0">
                  <c:v>33</c:v>
                </c:pt>
                <c:pt idx="695" formatCode="0.0">
                  <c:v>29</c:v>
                </c:pt>
                <c:pt idx="696" formatCode="0.0">
                  <c:v>21</c:v>
                </c:pt>
                <c:pt idx="697" formatCode="0.0">
                  <c:v>34</c:v>
                </c:pt>
                <c:pt idx="698" formatCode="0.0">
                  <c:v>20</c:v>
                </c:pt>
                <c:pt idx="699" formatCode="0.0">
                  <c:v>37</c:v>
                </c:pt>
                <c:pt idx="700" formatCode="0.0">
                  <c:v>18</c:v>
                </c:pt>
                <c:pt idx="701" formatCode="0.0">
                  <c:v>18</c:v>
                </c:pt>
                <c:pt idx="702" formatCode="0.0">
                  <c:v>23</c:v>
                </c:pt>
                <c:pt idx="703" formatCode="0.0">
                  <c:v>26</c:v>
                </c:pt>
                <c:pt idx="704" formatCode="0.0">
                  <c:v>35</c:v>
                </c:pt>
                <c:pt idx="705" formatCode="0.0">
                  <c:v>29</c:v>
                </c:pt>
                <c:pt idx="706" formatCode="0.0">
                  <c:v>27</c:v>
                </c:pt>
                <c:pt idx="707" formatCode="0.0">
                  <c:v>28</c:v>
                </c:pt>
                <c:pt idx="708" formatCode="0.0">
                  <c:v>21</c:v>
                </c:pt>
                <c:pt idx="709" formatCode="0.0">
                  <c:v>22</c:v>
                </c:pt>
                <c:pt idx="710" formatCode="0.0">
                  <c:v>35</c:v>
                </c:pt>
                <c:pt idx="711" formatCode="0.0">
                  <c:v>22</c:v>
                </c:pt>
                <c:pt idx="712" formatCode="0.0">
                  <c:v>22</c:v>
                </c:pt>
                <c:pt idx="713" formatCode="0.0">
                  <c:v>22</c:v>
                </c:pt>
                <c:pt idx="714" formatCode="0.0">
                  <c:v>27</c:v>
                </c:pt>
                <c:pt idx="715" formatCode="0.0">
                  <c:v>29</c:v>
                </c:pt>
                <c:pt idx="716" formatCode="0.0">
                  <c:v>22</c:v>
                </c:pt>
                <c:pt idx="717" formatCode="0.0">
                  <c:v>22</c:v>
                </c:pt>
                <c:pt idx="718" formatCode="0.0">
                  <c:v>25</c:v>
                </c:pt>
                <c:pt idx="719" formatCode="0.0">
                  <c:v>23</c:v>
                </c:pt>
                <c:pt idx="720" formatCode="0.0">
                  <c:v>18</c:v>
                </c:pt>
                <c:pt idx="721" formatCode="0.0">
                  <c:v>24</c:v>
                </c:pt>
                <c:pt idx="722" formatCode="0.0">
                  <c:v>32</c:v>
                </c:pt>
                <c:pt idx="723" formatCode="0.0">
                  <c:v>24</c:v>
                </c:pt>
                <c:pt idx="724" formatCode="0.0">
                  <c:v>24</c:v>
                </c:pt>
                <c:pt idx="725" formatCode="0.0">
                  <c:v>24</c:v>
                </c:pt>
                <c:pt idx="726" formatCode="0.0">
                  <c:v>24</c:v>
                </c:pt>
                <c:pt idx="727">
                  <c:v>43</c:v>
                </c:pt>
                <c:pt idx="728">
                  <c:v>46</c:v>
                </c:pt>
                <c:pt idx="729">
                  <c:v>44</c:v>
                </c:pt>
                <c:pt idx="730" formatCode="0.0">
                  <c:v>35</c:v>
                </c:pt>
                <c:pt idx="731" formatCode="0.0">
                  <c:v>34</c:v>
                </c:pt>
                <c:pt idx="732" formatCode="0.0">
                  <c:v>24</c:v>
                </c:pt>
                <c:pt idx="733" formatCode="0.0">
                  <c:v>24</c:v>
                </c:pt>
                <c:pt idx="734" formatCode="0.0">
                  <c:v>24</c:v>
                </c:pt>
                <c:pt idx="735" formatCode="0.0">
                  <c:v>24</c:v>
                </c:pt>
                <c:pt idx="736" formatCode="0.0">
                  <c:v>17</c:v>
                </c:pt>
                <c:pt idx="737" formatCode="0.0">
                  <c:v>28</c:v>
                </c:pt>
                <c:pt idx="738" formatCode="0.0">
                  <c:v>17</c:v>
                </c:pt>
                <c:pt idx="739" formatCode="0.0">
                  <c:v>31</c:v>
                </c:pt>
                <c:pt idx="740" formatCode="0.0">
                  <c:v>25</c:v>
                </c:pt>
                <c:pt idx="741" formatCode="0.0">
                  <c:v>23</c:v>
                </c:pt>
                <c:pt idx="742" formatCode="0.0">
                  <c:v>41</c:v>
                </c:pt>
                <c:pt idx="743" formatCode="0.0">
                  <c:v>41</c:v>
                </c:pt>
                <c:pt idx="744" formatCode="0.0">
                  <c:v>36</c:v>
                </c:pt>
                <c:pt idx="745" formatCode="0.0">
                  <c:v>25</c:v>
                </c:pt>
                <c:pt idx="746" formatCode="0.0">
                  <c:v>30</c:v>
                </c:pt>
                <c:pt idx="747" formatCode="0.0">
                  <c:v>28</c:v>
                </c:pt>
                <c:pt idx="748" formatCode="0.0">
                  <c:v>30</c:v>
                </c:pt>
                <c:pt idx="749" formatCode="0.0">
                  <c:v>25</c:v>
                </c:pt>
                <c:pt idx="750" formatCode="0.0">
                  <c:v>27</c:v>
                </c:pt>
                <c:pt idx="751" formatCode="0.0">
                  <c:v>27</c:v>
                </c:pt>
                <c:pt idx="752" formatCode="0.0">
                  <c:v>23</c:v>
                </c:pt>
                <c:pt idx="753" formatCode="0.0">
                  <c:v>17</c:v>
                </c:pt>
                <c:pt idx="754" formatCode="0.0">
                  <c:v>17</c:v>
                </c:pt>
                <c:pt idx="755" formatCode="0.0">
                  <c:v>17</c:v>
                </c:pt>
                <c:pt idx="756" formatCode="0.0">
                  <c:v>17</c:v>
                </c:pt>
                <c:pt idx="757" formatCode="0.0">
                  <c:v>17</c:v>
                </c:pt>
                <c:pt idx="758" formatCode="0.0">
                  <c:v>17</c:v>
                </c:pt>
                <c:pt idx="759" formatCode="0.0">
                  <c:v>18</c:v>
                </c:pt>
                <c:pt idx="760" formatCode="0.0">
                  <c:v>17</c:v>
                </c:pt>
                <c:pt idx="761" formatCode="0.0">
                  <c:v>35</c:v>
                </c:pt>
                <c:pt idx="762" formatCode="0.0">
                  <c:v>23</c:v>
                </c:pt>
                <c:pt idx="763" formatCode="0.0">
                  <c:v>36</c:v>
                </c:pt>
                <c:pt idx="764" formatCode="0.0">
                  <c:v>35</c:v>
                </c:pt>
                <c:pt idx="765" formatCode="0.0">
                  <c:v>20</c:v>
                </c:pt>
                <c:pt idx="766" formatCode="0.0">
                  <c:v>33</c:v>
                </c:pt>
                <c:pt idx="767" formatCode="0.0">
                  <c:v>31</c:v>
                </c:pt>
                <c:pt idx="768" formatCode="0.0">
                  <c:v>27</c:v>
                </c:pt>
                <c:pt idx="769" formatCode="0.0">
                  <c:v>26</c:v>
                </c:pt>
                <c:pt idx="770" formatCode="0.0">
                  <c:v>32</c:v>
                </c:pt>
                <c:pt idx="771" formatCode="0.0">
                  <c:v>24</c:v>
                </c:pt>
                <c:pt idx="772" formatCode="0.0">
                  <c:v>23</c:v>
                </c:pt>
                <c:pt idx="773" formatCode="0.0">
                  <c:v>23</c:v>
                </c:pt>
                <c:pt idx="774">
                  <c:v>51</c:v>
                </c:pt>
                <c:pt idx="775">
                  <c:v>51</c:v>
                </c:pt>
                <c:pt idx="776">
                  <c:v>36</c:v>
                </c:pt>
                <c:pt idx="777">
                  <c:v>47</c:v>
                </c:pt>
                <c:pt idx="778" formatCode="0.0">
                  <c:v>25</c:v>
                </c:pt>
                <c:pt idx="779" formatCode="0.0">
                  <c:v>23</c:v>
                </c:pt>
                <c:pt idx="780" formatCode="0.0">
                  <c:v>21</c:v>
                </c:pt>
                <c:pt idx="782" formatCode="0.0">
                  <c:v>26</c:v>
                </c:pt>
                <c:pt idx="783" formatCode="0.0">
                  <c:v>24</c:v>
                </c:pt>
                <c:pt idx="784" formatCode="0.0">
                  <c:v>24</c:v>
                </c:pt>
                <c:pt idx="785" formatCode="0.0">
                  <c:v>24</c:v>
                </c:pt>
                <c:pt idx="786" formatCode="0.0">
                  <c:v>24</c:v>
                </c:pt>
                <c:pt idx="787" formatCode="0.0">
                  <c:v>27</c:v>
                </c:pt>
                <c:pt idx="788" formatCode="0.0">
                  <c:v>27</c:v>
                </c:pt>
                <c:pt idx="789" formatCode="0.0">
                  <c:v>30</c:v>
                </c:pt>
                <c:pt idx="790" formatCode="0.0">
                  <c:v>25</c:v>
                </c:pt>
                <c:pt idx="791" formatCode="0.0">
                  <c:v>28</c:v>
                </c:pt>
                <c:pt idx="792" formatCode="0.0">
                  <c:v>32</c:v>
                </c:pt>
                <c:pt idx="793" formatCode="0.0">
                  <c:v>44</c:v>
                </c:pt>
                <c:pt idx="794" formatCode="0.0">
                  <c:v>37</c:v>
                </c:pt>
                <c:pt idx="795" formatCode="0.0">
                  <c:v>30</c:v>
                </c:pt>
                <c:pt idx="796" formatCode="0.0">
                  <c:v>29</c:v>
                </c:pt>
                <c:pt idx="797" formatCode="0.0">
                  <c:v>28</c:v>
                </c:pt>
                <c:pt idx="798" formatCode="0.0">
                  <c:v>30</c:v>
                </c:pt>
                <c:pt idx="799" formatCode="0.0">
                  <c:v>27</c:v>
                </c:pt>
                <c:pt idx="800" formatCode="0.0">
                  <c:v>36</c:v>
                </c:pt>
                <c:pt idx="801" formatCode="0.0">
                  <c:v>39</c:v>
                </c:pt>
                <c:pt idx="802" formatCode="0.0">
                  <c:v>25</c:v>
                </c:pt>
                <c:pt idx="803" formatCode="0.0">
                  <c:v>28</c:v>
                </c:pt>
                <c:pt idx="804" formatCode="0.0">
                  <c:v>26</c:v>
                </c:pt>
                <c:pt idx="805" formatCode="0.0">
                  <c:v>31</c:v>
                </c:pt>
                <c:pt idx="806" formatCode="0.0">
                  <c:v>29</c:v>
                </c:pt>
                <c:pt idx="807" formatCode="0.0">
                  <c:v>21</c:v>
                </c:pt>
                <c:pt idx="808" formatCode="0.0">
                  <c:v>22</c:v>
                </c:pt>
                <c:pt idx="809" formatCode="0.0">
                  <c:v>23</c:v>
                </c:pt>
                <c:pt idx="810" formatCode="0.0">
                  <c:v>21</c:v>
                </c:pt>
                <c:pt idx="811" formatCode="0.0">
                  <c:v>23</c:v>
                </c:pt>
                <c:pt idx="812" formatCode="0.0">
                  <c:v>25</c:v>
                </c:pt>
                <c:pt idx="813" formatCode="0.0">
                  <c:v>28</c:v>
                </c:pt>
                <c:pt idx="814" formatCode="0.0">
                  <c:v>27</c:v>
                </c:pt>
                <c:pt idx="815" formatCode="0.0">
                  <c:v>21</c:v>
                </c:pt>
                <c:pt idx="816" formatCode="0.0">
                  <c:v>27</c:v>
                </c:pt>
                <c:pt idx="817" formatCode="0.0">
                  <c:v>36</c:v>
                </c:pt>
                <c:pt idx="818" formatCode="0.0">
                  <c:v>40</c:v>
                </c:pt>
                <c:pt idx="819" formatCode="0.0">
                  <c:v>38</c:v>
                </c:pt>
                <c:pt idx="820" formatCode="0.0">
                  <c:v>27</c:v>
                </c:pt>
                <c:pt idx="821" formatCode="0.0">
                  <c:v>33</c:v>
                </c:pt>
                <c:pt idx="822" formatCode="0.0">
                  <c:v>33</c:v>
                </c:pt>
                <c:pt idx="823" formatCode="0.0">
                  <c:v>31</c:v>
                </c:pt>
                <c:pt idx="824" formatCode="0.0">
                  <c:v>47</c:v>
                </c:pt>
                <c:pt idx="825" formatCode="0.0">
                  <c:v>33</c:v>
                </c:pt>
                <c:pt idx="826" formatCode="0.0">
                  <c:v>33</c:v>
                </c:pt>
                <c:pt idx="827" formatCode="0.0">
                  <c:v>32</c:v>
                </c:pt>
                <c:pt idx="828" formatCode="0.0">
                  <c:v>24</c:v>
                </c:pt>
                <c:pt idx="829" formatCode="0.0">
                  <c:v>35</c:v>
                </c:pt>
                <c:pt idx="830" formatCode="0.0">
                  <c:v>30</c:v>
                </c:pt>
                <c:pt idx="831" formatCode="0.0">
                  <c:v>27</c:v>
                </c:pt>
                <c:pt idx="832" formatCode="0.0">
                  <c:v>34</c:v>
                </c:pt>
                <c:pt idx="833" formatCode="0.0">
                  <c:v>33</c:v>
                </c:pt>
                <c:pt idx="834" formatCode="0.0">
                  <c:v>51</c:v>
                </c:pt>
                <c:pt idx="835" formatCode="0.0">
                  <c:v>59</c:v>
                </c:pt>
                <c:pt idx="836" formatCode="0.0">
                  <c:v>46</c:v>
                </c:pt>
                <c:pt idx="837" formatCode="0.0">
                  <c:v>46</c:v>
                </c:pt>
                <c:pt idx="838" formatCode="0.0">
                  <c:v>57</c:v>
                </c:pt>
                <c:pt idx="839" formatCode="0.0">
                  <c:v>57</c:v>
                </c:pt>
                <c:pt idx="840" formatCode="0.0">
                  <c:v>52</c:v>
                </c:pt>
                <c:pt idx="841" formatCode="0.0">
                  <c:v>51</c:v>
                </c:pt>
                <c:pt idx="842" formatCode="0.0">
                  <c:v>55</c:v>
                </c:pt>
              </c:numCache>
            </c:numRef>
          </c:xVal>
          <c:yVal>
            <c:numRef>
              <c:f>'2. Logging Brejo Seco'!$BR$3:$BR$845</c:f>
              <c:numCache>
                <c:formatCode>0</c:formatCode>
                <c:ptCount val="8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50</c:v>
                </c:pt>
                <c:pt idx="7">
                  <c:v>63</c:v>
                </c:pt>
                <c:pt idx="8">
                  <c:v>25</c:v>
                </c:pt>
                <c:pt idx="9">
                  <c:v>44</c:v>
                </c:pt>
                <c:pt idx="10">
                  <c:v>34</c:v>
                </c:pt>
                <c:pt idx="11">
                  <c:v>37</c:v>
                </c:pt>
                <c:pt idx="12">
                  <c:v>23</c:v>
                </c:pt>
                <c:pt idx="13">
                  <c:v>35</c:v>
                </c:pt>
                <c:pt idx="14">
                  <c:v>41</c:v>
                </c:pt>
                <c:pt idx="15">
                  <c:v>50</c:v>
                </c:pt>
                <c:pt idx="16">
                  <c:v>53</c:v>
                </c:pt>
                <c:pt idx="17">
                  <c:v>36</c:v>
                </c:pt>
                <c:pt idx="18">
                  <c:v>46</c:v>
                </c:pt>
                <c:pt idx="19">
                  <c:v>53</c:v>
                </c:pt>
                <c:pt idx="20">
                  <c:v>35</c:v>
                </c:pt>
                <c:pt idx="21">
                  <c:v>27</c:v>
                </c:pt>
                <c:pt idx="22">
                  <c:v>39</c:v>
                </c:pt>
                <c:pt idx="23">
                  <c:v>49</c:v>
                </c:pt>
                <c:pt idx="24">
                  <c:v>49</c:v>
                </c:pt>
                <c:pt idx="25">
                  <c:v>44</c:v>
                </c:pt>
                <c:pt idx="26">
                  <c:v>33</c:v>
                </c:pt>
                <c:pt idx="27">
                  <c:v>34</c:v>
                </c:pt>
                <c:pt idx="28">
                  <c:v>46</c:v>
                </c:pt>
                <c:pt idx="29">
                  <c:v>46</c:v>
                </c:pt>
                <c:pt idx="30">
                  <c:v>36</c:v>
                </c:pt>
                <c:pt idx="31">
                  <c:v>46</c:v>
                </c:pt>
                <c:pt idx="32">
                  <c:v>39</c:v>
                </c:pt>
                <c:pt idx="33">
                  <c:v>29</c:v>
                </c:pt>
                <c:pt idx="34">
                  <c:v>26</c:v>
                </c:pt>
                <c:pt idx="35">
                  <c:v>23</c:v>
                </c:pt>
                <c:pt idx="36">
                  <c:v>21</c:v>
                </c:pt>
                <c:pt idx="37">
                  <c:v>22</c:v>
                </c:pt>
                <c:pt idx="38">
                  <c:v>23</c:v>
                </c:pt>
                <c:pt idx="39">
                  <c:v>23</c:v>
                </c:pt>
                <c:pt idx="40">
                  <c:v>33</c:v>
                </c:pt>
                <c:pt idx="41">
                  <c:v>25</c:v>
                </c:pt>
                <c:pt idx="42">
                  <c:v>29</c:v>
                </c:pt>
                <c:pt idx="43">
                  <c:v>55</c:v>
                </c:pt>
                <c:pt idx="44">
                  <c:v>56</c:v>
                </c:pt>
                <c:pt idx="45">
                  <c:v>75</c:v>
                </c:pt>
                <c:pt idx="46">
                  <c:v>62</c:v>
                </c:pt>
                <c:pt idx="47">
                  <c:v>71</c:v>
                </c:pt>
                <c:pt idx="48">
                  <c:v>53</c:v>
                </c:pt>
                <c:pt idx="49">
                  <c:v>52</c:v>
                </c:pt>
                <c:pt idx="50">
                  <c:v>51</c:v>
                </c:pt>
                <c:pt idx="51">
                  <c:v>67</c:v>
                </c:pt>
                <c:pt idx="52">
                  <c:v>67</c:v>
                </c:pt>
                <c:pt idx="53">
                  <c:v>62</c:v>
                </c:pt>
                <c:pt idx="54">
                  <c:v>68</c:v>
                </c:pt>
                <c:pt idx="55">
                  <c:v>69</c:v>
                </c:pt>
                <c:pt idx="56">
                  <c:v>67</c:v>
                </c:pt>
                <c:pt idx="57">
                  <c:v>58</c:v>
                </c:pt>
                <c:pt idx="58">
                  <c:v>54</c:v>
                </c:pt>
                <c:pt idx="59">
                  <c:v>55</c:v>
                </c:pt>
                <c:pt idx="60">
                  <c:v>73</c:v>
                </c:pt>
                <c:pt idx="61">
                  <c:v>63</c:v>
                </c:pt>
                <c:pt idx="62">
                  <c:v>57</c:v>
                </c:pt>
                <c:pt idx="63">
                  <c:v>38</c:v>
                </c:pt>
                <c:pt idx="64">
                  <c:v>52</c:v>
                </c:pt>
                <c:pt idx="65">
                  <c:v>48</c:v>
                </c:pt>
                <c:pt idx="66">
                  <c:v>37</c:v>
                </c:pt>
                <c:pt idx="67">
                  <c:v>47</c:v>
                </c:pt>
                <c:pt idx="68">
                  <c:v>49</c:v>
                </c:pt>
                <c:pt idx="69">
                  <c:v>45</c:v>
                </c:pt>
                <c:pt idx="70">
                  <c:v>24</c:v>
                </c:pt>
                <c:pt idx="71">
                  <c:v>44</c:v>
                </c:pt>
                <c:pt idx="72">
                  <c:v>52</c:v>
                </c:pt>
                <c:pt idx="73">
                  <c:v>40</c:v>
                </c:pt>
                <c:pt idx="74">
                  <c:v>46</c:v>
                </c:pt>
                <c:pt idx="75">
                  <c:v>45</c:v>
                </c:pt>
                <c:pt idx="76">
                  <c:v>39</c:v>
                </c:pt>
                <c:pt idx="77">
                  <c:v>43</c:v>
                </c:pt>
                <c:pt idx="78">
                  <c:v>33</c:v>
                </c:pt>
                <c:pt idx="79">
                  <c:v>34</c:v>
                </c:pt>
                <c:pt idx="80">
                  <c:v>30</c:v>
                </c:pt>
                <c:pt idx="81">
                  <c:v>28</c:v>
                </c:pt>
                <c:pt idx="82">
                  <c:v>29</c:v>
                </c:pt>
                <c:pt idx="83">
                  <c:v>30</c:v>
                </c:pt>
                <c:pt idx="84">
                  <c:v>37</c:v>
                </c:pt>
                <c:pt idx="85">
                  <c:v>32</c:v>
                </c:pt>
                <c:pt idx="86">
                  <c:v>48</c:v>
                </c:pt>
                <c:pt idx="87">
                  <c:v>38</c:v>
                </c:pt>
                <c:pt idx="88">
                  <c:v>37</c:v>
                </c:pt>
                <c:pt idx="89">
                  <c:v>30</c:v>
                </c:pt>
                <c:pt idx="90">
                  <c:v>36</c:v>
                </c:pt>
                <c:pt idx="91">
                  <c:v>31</c:v>
                </c:pt>
                <c:pt idx="92">
                  <c:v>41</c:v>
                </c:pt>
                <c:pt idx="93">
                  <c:v>61</c:v>
                </c:pt>
                <c:pt idx="94">
                  <c:v>38</c:v>
                </c:pt>
                <c:pt idx="95">
                  <c:v>30</c:v>
                </c:pt>
                <c:pt idx="96">
                  <c:v>30</c:v>
                </c:pt>
                <c:pt idx="97">
                  <c:v>48</c:v>
                </c:pt>
                <c:pt idx="98">
                  <c:v>38</c:v>
                </c:pt>
                <c:pt idx="99">
                  <c:v>40</c:v>
                </c:pt>
                <c:pt idx="100">
                  <c:v>39</c:v>
                </c:pt>
                <c:pt idx="101">
                  <c:v>35</c:v>
                </c:pt>
                <c:pt idx="102">
                  <c:v>28</c:v>
                </c:pt>
                <c:pt idx="103">
                  <c:v>33</c:v>
                </c:pt>
                <c:pt idx="104">
                  <c:v>23</c:v>
                </c:pt>
                <c:pt idx="105">
                  <c:v>22</c:v>
                </c:pt>
                <c:pt idx="106">
                  <c:v>58</c:v>
                </c:pt>
                <c:pt idx="107">
                  <c:v>50</c:v>
                </c:pt>
                <c:pt idx="108">
                  <c:v>55</c:v>
                </c:pt>
                <c:pt idx="109">
                  <c:v>44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37</c:v>
                </c:pt>
                <c:pt idx="122">
                  <c:v>26</c:v>
                </c:pt>
                <c:pt idx="123">
                  <c:v>26</c:v>
                </c:pt>
                <c:pt idx="124">
                  <c:v>30</c:v>
                </c:pt>
                <c:pt idx="125">
                  <c:v>37</c:v>
                </c:pt>
                <c:pt idx="126">
                  <c:v>28</c:v>
                </c:pt>
                <c:pt idx="127">
                  <c:v>24</c:v>
                </c:pt>
                <c:pt idx="128">
                  <c:v>33</c:v>
                </c:pt>
                <c:pt idx="129">
                  <c:v>29</c:v>
                </c:pt>
                <c:pt idx="130">
                  <c:v>41</c:v>
                </c:pt>
                <c:pt idx="131">
                  <c:v>49</c:v>
                </c:pt>
                <c:pt idx="132">
                  <c:v>33</c:v>
                </c:pt>
                <c:pt idx="133">
                  <c:v>33</c:v>
                </c:pt>
                <c:pt idx="134">
                  <c:v>43</c:v>
                </c:pt>
                <c:pt idx="135">
                  <c:v>54</c:v>
                </c:pt>
                <c:pt idx="136">
                  <c:v>39</c:v>
                </c:pt>
                <c:pt idx="137">
                  <c:v>30</c:v>
                </c:pt>
                <c:pt idx="138">
                  <c:v>34</c:v>
                </c:pt>
                <c:pt idx="139">
                  <c:v>29</c:v>
                </c:pt>
                <c:pt idx="140">
                  <c:v>31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24</c:v>
                </c:pt>
                <c:pt idx="146">
                  <c:v>22</c:v>
                </c:pt>
                <c:pt idx="147">
                  <c:v>20</c:v>
                </c:pt>
                <c:pt idx="148">
                  <c:v>22</c:v>
                </c:pt>
                <c:pt idx="149">
                  <c:v>23</c:v>
                </c:pt>
                <c:pt idx="150">
                  <c:v>23</c:v>
                </c:pt>
                <c:pt idx="151">
                  <c:v>22</c:v>
                </c:pt>
                <c:pt idx="152">
                  <c:v>23</c:v>
                </c:pt>
                <c:pt idx="153">
                  <c:v>22</c:v>
                </c:pt>
                <c:pt idx="154">
                  <c:v>22</c:v>
                </c:pt>
                <c:pt idx="155">
                  <c:v>21</c:v>
                </c:pt>
                <c:pt idx="156">
                  <c:v>21</c:v>
                </c:pt>
                <c:pt idx="157">
                  <c:v>21</c:v>
                </c:pt>
                <c:pt idx="158">
                  <c:v>17</c:v>
                </c:pt>
                <c:pt idx="159">
                  <c:v>21</c:v>
                </c:pt>
                <c:pt idx="160">
                  <c:v>21</c:v>
                </c:pt>
                <c:pt idx="161">
                  <c:v>22</c:v>
                </c:pt>
                <c:pt idx="162">
                  <c:v>22</c:v>
                </c:pt>
                <c:pt idx="163">
                  <c:v>21</c:v>
                </c:pt>
                <c:pt idx="164">
                  <c:v>22</c:v>
                </c:pt>
                <c:pt idx="165">
                  <c:v>21</c:v>
                </c:pt>
                <c:pt idx="166">
                  <c:v>17</c:v>
                </c:pt>
                <c:pt idx="167">
                  <c:v>21</c:v>
                </c:pt>
                <c:pt idx="168">
                  <c:v>21</c:v>
                </c:pt>
                <c:pt idx="169">
                  <c:v>21</c:v>
                </c:pt>
                <c:pt idx="170">
                  <c:v>21</c:v>
                </c:pt>
                <c:pt idx="171">
                  <c:v>21</c:v>
                </c:pt>
                <c:pt idx="172">
                  <c:v>21</c:v>
                </c:pt>
                <c:pt idx="173">
                  <c:v>21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27</c:v>
                </c:pt>
                <c:pt idx="179">
                  <c:v>23</c:v>
                </c:pt>
                <c:pt idx="180">
                  <c:v>28</c:v>
                </c:pt>
                <c:pt idx="181">
                  <c:v>23</c:v>
                </c:pt>
                <c:pt idx="182">
                  <c:v>28</c:v>
                </c:pt>
                <c:pt idx="183">
                  <c:v>27</c:v>
                </c:pt>
                <c:pt idx="184">
                  <c:v>28</c:v>
                </c:pt>
                <c:pt idx="185">
                  <c:v>31</c:v>
                </c:pt>
                <c:pt idx="186">
                  <c:v>22</c:v>
                </c:pt>
                <c:pt idx="187">
                  <c:v>22</c:v>
                </c:pt>
                <c:pt idx="188">
                  <c:v>23</c:v>
                </c:pt>
                <c:pt idx="189">
                  <c:v>31</c:v>
                </c:pt>
                <c:pt idx="190">
                  <c:v>29</c:v>
                </c:pt>
                <c:pt idx="191">
                  <c:v>30</c:v>
                </c:pt>
                <c:pt idx="192">
                  <c:v>36</c:v>
                </c:pt>
                <c:pt idx="193">
                  <c:v>29</c:v>
                </c:pt>
                <c:pt idx="194">
                  <c:v>29</c:v>
                </c:pt>
                <c:pt idx="195">
                  <c:v>29</c:v>
                </c:pt>
                <c:pt idx="196">
                  <c:v>28</c:v>
                </c:pt>
                <c:pt idx="197">
                  <c:v>27</c:v>
                </c:pt>
                <c:pt idx="198">
                  <c:v>28</c:v>
                </c:pt>
                <c:pt idx="199">
                  <c:v>28</c:v>
                </c:pt>
                <c:pt idx="200">
                  <c:v>29</c:v>
                </c:pt>
                <c:pt idx="201">
                  <c:v>29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34</c:v>
                </c:pt>
                <c:pt idx="206">
                  <c:v>34</c:v>
                </c:pt>
                <c:pt idx="207">
                  <c:v>28</c:v>
                </c:pt>
                <c:pt idx="208">
                  <c:v>23</c:v>
                </c:pt>
                <c:pt idx="209">
                  <c:v>24</c:v>
                </c:pt>
                <c:pt idx="210">
                  <c:v>23</c:v>
                </c:pt>
                <c:pt idx="211">
                  <c:v>30</c:v>
                </c:pt>
                <c:pt idx="212">
                  <c:v>26</c:v>
                </c:pt>
                <c:pt idx="213">
                  <c:v>38</c:v>
                </c:pt>
                <c:pt idx="214">
                  <c:v>30</c:v>
                </c:pt>
                <c:pt idx="215">
                  <c:v>27</c:v>
                </c:pt>
                <c:pt idx="216">
                  <c:v>35</c:v>
                </c:pt>
                <c:pt idx="217">
                  <c:v>27</c:v>
                </c:pt>
                <c:pt idx="218">
                  <c:v>34</c:v>
                </c:pt>
                <c:pt idx="219">
                  <c:v>35</c:v>
                </c:pt>
                <c:pt idx="220">
                  <c:v>38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34</c:v>
                </c:pt>
                <c:pt idx="230">
                  <c:v>16</c:v>
                </c:pt>
                <c:pt idx="231">
                  <c:v>15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15</c:v>
                </c:pt>
                <c:pt idx="237">
                  <c:v>16</c:v>
                </c:pt>
                <c:pt idx="238">
                  <c:v>28</c:v>
                </c:pt>
                <c:pt idx="239">
                  <c:v>28</c:v>
                </c:pt>
                <c:pt idx="240">
                  <c:v>30</c:v>
                </c:pt>
                <c:pt idx="241">
                  <c:v>23</c:v>
                </c:pt>
                <c:pt idx="242">
                  <c:v>22</c:v>
                </c:pt>
                <c:pt idx="243">
                  <c:v>26</c:v>
                </c:pt>
                <c:pt idx="244">
                  <c:v>29</c:v>
                </c:pt>
                <c:pt idx="245">
                  <c:v>30</c:v>
                </c:pt>
                <c:pt idx="246">
                  <c:v>30</c:v>
                </c:pt>
                <c:pt idx="247">
                  <c:v>36</c:v>
                </c:pt>
                <c:pt idx="248">
                  <c:v>22</c:v>
                </c:pt>
                <c:pt idx="249">
                  <c:v>20</c:v>
                </c:pt>
                <c:pt idx="250">
                  <c:v>20</c:v>
                </c:pt>
                <c:pt idx="251">
                  <c:v>25</c:v>
                </c:pt>
                <c:pt idx="252">
                  <c:v>20</c:v>
                </c:pt>
                <c:pt idx="253">
                  <c:v>19</c:v>
                </c:pt>
                <c:pt idx="254">
                  <c:v>20</c:v>
                </c:pt>
                <c:pt idx="255">
                  <c:v>19</c:v>
                </c:pt>
                <c:pt idx="256">
                  <c:v>31</c:v>
                </c:pt>
                <c:pt idx="257">
                  <c:v>29</c:v>
                </c:pt>
                <c:pt idx="258">
                  <c:v>25</c:v>
                </c:pt>
                <c:pt idx="259">
                  <c:v>33</c:v>
                </c:pt>
                <c:pt idx="260">
                  <c:v>32</c:v>
                </c:pt>
                <c:pt idx="261">
                  <c:v>29</c:v>
                </c:pt>
                <c:pt idx="262">
                  <c:v>29</c:v>
                </c:pt>
                <c:pt idx="263">
                  <c:v>39</c:v>
                </c:pt>
                <c:pt idx="264">
                  <c:v>27</c:v>
                </c:pt>
                <c:pt idx="265">
                  <c:v>38</c:v>
                </c:pt>
                <c:pt idx="266">
                  <c:v>26</c:v>
                </c:pt>
                <c:pt idx="267">
                  <c:v>35</c:v>
                </c:pt>
                <c:pt idx="268">
                  <c:v>34</c:v>
                </c:pt>
                <c:pt idx="269">
                  <c:v>25</c:v>
                </c:pt>
                <c:pt idx="270">
                  <c:v>28</c:v>
                </c:pt>
                <c:pt idx="271">
                  <c:v>35</c:v>
                </c:pt>
                <c:pt idx="272">
                  <c:v>38</c:v>
                </c:pt>
                <c:pt idx="273">
                  <c:v>26</c:v>
                </c:pt>
                <c:pt idx="274">
                  <c:v>47</c:v>
                </c:pt>
                <c:pt idx="275">
                  <c:v>46</c:v>
                </c:pt>
                <c:pt idx="276">
                  <c:v>59</c:v>
                </c:pt>
                <c:pt idx="277">
                  <c:v>50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57</c:v>
                </c:pt>
                <c:pt idx="283">
                  <c:v>53</c:v>
                </c:pt>
                <c:pt idx="284">
                  <c:v>56</c:v>
                </c:pt>
                <c:pt idx="285">
                  <c:v>59</c:v>
                </c:pt>
                <c:pt idx="286">
                  <c:v>57</c:v>
                </c:pt>
                <c:pt idx="287">
                  <c:v>49</c:v>
                </c:pt>
                <c:pt idx="288">
                  <c:v>39</c:v>
                </c:pt>
                <c:pt idx="289">
                  <c:v>41</c:v>
                </c:pt>
                <c:pt idx="290">
                  <c:v>43</c:v>
                </c:pt>
                <c:pt idx="291">
                  <c:v>31</c:v>
                </c:pt>
                <c:pt idx="292">
                  <c:v>33</c:v>
                </c:pt>
                <c:pt idx="293">
                  <c:v>32</c:v>
                </c:pt>
                <c:pt idx="294">
                  <c:v>36</c:v>
                </c:pt>
                <c:pt idx="295">
                  <c:v>40</c:v>
                </c:pt>
                <c:pt idx="296">
                  <c:v>55</c:v>
                </c:pt>
                <c:pt idx="297">
                  <c:v>44</c:v>
                </c:pt>
                <c:pt idx="298">
                  <c:v>28</c:v>
                </c:pt>
                <c:pt idx="299">
                  <c:v>41</c:v>
                </c:pt>
                <c:pt idx="300">
                  <c:v>32</c:v>
                </c:pt>
                <c:pt idx="301">
                  <c:v>27</c:v>
                </c:pt>
                <c:pt idx="302">
                  <c:v>26</c:v>
                </c:pt>
                <c:pt idx="303">
                  <c:v>46</c:v>
                </c:pt>
                <c:pt idx="304">
                  <c:v>31</c:v>
                </c:pt>
                <c:pt idx="305">
                  <c:v>30</c:v>
                </c:pt>
                <c:pt idx="306">
                  <c:v>48</c:v>
                </c:pt>
                <c:pt idx="307">
                  <c:v>45</c:v>
                </c:pt>
                <c:pt idx="308">
                  <c:v>41</c:v>
                </c:pt>
                <c:pt idx="309">
                  <c:v>52</c:v>
                </c:pt>
                <c:pt idx="310">
                  <c:v>38</c:v>
                </c:pt>
                <c:pt idx="311">
                  <c:v>31</c:v>
                </c:pt>
                <c:pt idx="312">
                  <c:v>53</c:v>
                </c:pt>
                <c:pt idx="313">
                  <c:v>49</c:v>
                </c:pt>
                <c:pt idx="314">
                  <c:v>39</c:v>
                </c:pt>
                <c:pt idx="315">
                  <c:v>25</c:v>
                </c:pt>
                <c:pt idx="316">
                  <c:v>24</c:v>
                </c:pt>
                <c:pt idx="317">
                  <c:v>18</c:v>
                </c:pt>
                <c:pt idx="318">
                  <c:v>19</c:v>
                </c:pt>
                <c:pt idx="319">
                  <c:v>19</c:v>
                </c:pt>
                <c:pt idx="320">
                  <c:v>21</c:v>
                </c:pt>
                <c:pt idx="321">
                  <c:v>22</c:v>
                </c:pt>
                <c:pt idx="322">
                  <c:v>23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24</c:v>
                </c:pt>
                <c:pt idx="327">
                  <c:v>24</c:v>
                </c:pt>
                <c:pt idx="328">
                  <c:v>23</c:v>
                </c:pt>
                <c:pt idx="329">
                  <c:v>26</c:v>
                </c:pt>
                <c:pt idx="330">
                  <c:v>23</c:v>
                </c:pt>
                <c:pt idx="331">
                  <c:v>24</c:v>
                </c:pt>
                <c:pt idx="332">
                  <c:v>23</c:v>
                </c:pt>
                <c:pt idx="333">
                  <c:v>25</c:v>
                </c:pt>
                <c:pt idx="334">
                  <c:v>24</c:v>
                </c:pt>
                <c:pt idx="335">
                  <c:v>24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25</c:v>
                </c:pt>
                <c:pt idx="341">
                  <c:v>24</c:v>
                </c:pt>
                <c:pt idx="342">
                  <c:v>22</c:v>
                </c:pt>
                <c:pt idx="343">
                  <c:v>25</c:v>
                </c:pt>
                <c:pt idx="344">
                  <c:v>22</c:v>
                </c:pt>
                <c:pt idx="345">
                  <c:v>25</c:v>
                </c:pt>
                <c:pt idx="346">
                  <c:v>22</c:v>
                </c:pt>
                <c:pt idx="347">
                  <c:v>22</c:v>
                </c:pt>
                <c:pt idx="348">
                  <c:v>24</c:v>
                </c:pt>
                <c:pt idx="349">
                  <c:v>24</c:v>
                </c:pt>
                <c:pt idx="350" formatCode="General">
                  <c:v>20</c:v>
                </c:pt>
                <c:pt idx="351" formatCode="General">
                  <c:v>20</c:v>
                </c:pt>
                <c:pt idx="352" formatCode="General">
                  <c:v>21</c:v>
                </c:pt>
                <c:pt idx="353" formatCode="General">
                  <c:v>35</c:v>
                </c:pt>
                <c:pt idx="354" formatCode="General">
                  <c:v>43</c:v>
                </c:pt>
                <c:pt idx="356" formatCode="General">
                  <c:v>33</c:v>
                </c:pt>
                <c:pt idx="357" formatCode="General">
                  <c:v>16</c:v>
                </c:pt>
                <c:pt idx="358" formatCode="General">
                  <c:v>20</c:v>
                </c:pt>
                <c:pt idx="359" formatCode="General">
                  <c:v>21</c:v>
                </c:pt>
                <c:pt idx="360" formatCode="General">
                  <c:v>21</c:v>
                </c:pt>
                <c:pt idx="361" formatCode="General">
                  <c:v>23</c:v>
                </c:pt>
                <c:pt idx="362" formatCode="General">
                  <c:v>23</c:v>
                </c:pt>
                <c:pt idx="363" formatCode="General">
                  <c:v>24</c:v>
                </c:pt>
                <c:pt idx="364" formatCode="General">
                  <c:v>21</c:v>
                </c:pt>
                <c:pt idx="365" formatCode="General">
                  <c:v>20</c:v>
                </c:pt>
                <c:pt idx="366" formatCode="General">
                  <c:v>21</c:v>
                </c:pt>
                <c:pt idx="367" formatCode="General">
                  <c:v>29</c:v>
                </c:pt>
                <c:pt idx="368" formatCode="General">
                  <c:v>28</c:v>
                </c:pt>
                <c:pt idx="369" formatCode="General">
                  <c:v>22</c:v>
                </c:pt>
                <c:pt idx="370" formatCode="General">
                  <c:v>28</c:v>
                </c:pt>
                <c:pt idx="371" formatCode="General">
                  <c:v>28</c:v>
                </c:pt>
                <c:pt idx="372" formatCode="General">
                  <c:v>22</c:v>
                </c:pt>
                <c:pt idx="373" formatCode="General">
                  <c:v>30</c:v>
                </c:pt>
                <c:pt idx="374" formatCode="General">
                  <c:v>24</c:v>
                </c:pt>
                <c:pt idx="375" formatCode="General">
                  <c:v>34</c:v>
                </c:pt>
                <c:pt idx="376" formatCode="General">
                  <c:v>29</c:v>
                </c:pt>
                <c:pt idx="377" formatCode="General">
                  <c:v>23</c:v>
                </c:pt>
                <c:pt idx="378" formatCode="General">
                  <c:v>28</c:v>
                </c:pt>
                <c:pt idx="379" formatCode="General">
                  <c:v>24</c:v>
                </c:pt>
                <c:pt idx="380" formatCode="General">
                  <c:v>24</c:v>
                </c:pt>
                <c:pt idx="381" formatCode="General">
                  <c:v>23</c:v>
                </c:pt>
                <c:pt idx="382" formatCode="General">
                  <c:v>21</c:v>
                </c:pt>
                <c:pt idx="383" formatCode="General">
                  <c:v>20</c:v>
                </c:pt>
                <c:pt idx="384" formatCode="General">
                  <c:v>21</c:v>
                </c:pt>
                <c:pt idx="385" formatCode="General">
                  <c:v>20</c:v>
                </c:pt>
                <c:pt idx="386" formatCode="General">
                  <c:v>20</c:v>
                </c:pt>
                <c:pt idx="387" formatCode="General">
                  <c:v>21</c:v>
                </c:pt>
                <c:pt idx="388" formatCode="General">
                  <c:v>19</c:v>
                </c:pt>
                <c:pt idx="389" formatCode="General">
                  <c:v>20</c:v>
                </c:pt>
                <c:pt idx="390" formatCode="General">
                  <c:v>22</c:v>
                </c:pt>
                <c:pt idx="391" formatCode="General">
                  <c:v>28</c:v>
                </c:pt>
                <c:pt idx="392" formatCode="General">
                  <c:v>22</c:v>
                </c:pt>
                <c:pt idx="393" formatCode="General">
                  <c:v>31</c:v>
                </c:pt>
                <c:pt idx="394" formatCode="General">
                  <c:v>28</c:v>
                </c:pt>
                <c:pt idx="395" formatCode="General">
                  <c:v>23</c:v>
                </c:pt>
                <c:pt idx="396" formatCode="General">
                  <c:v>26</c:v>
                </c:pt>
                <c:pt idx="397" formatCode="General">
                  <c:v>32</c:v>
                </c:pt>
                <c:pt idx="398" formatCode="General">
                  <c:v>26</c:v>
                </c:pt>
                <c:pt idx="399" formatCode="General">
                  <c:v>25</c:v>
                </c:pt>
                <c:pt idx="400" formatCode="General">
                  <c:v>26</c:v>
                </c:pt>
                <c:pt idx="401" formatCode="General">
                  <c:v>26</c:v>
                </c:pt>
                <c:pt idx="402" formatCode="General">
                  <c:v>27</c:v>
                </c:pt>
                <c:pt idx="403" formatCode="General">
                  <c:v>28</c:v>
                </c:pt>
                <c:pt idx="404" formatCode="General">
                  <c:v>27</c:v>
                </c:pt>
                <c:pt idx="405" formatCode="General">
                  <c:v>27</c:v>
                </c:pt>
                <c:pt idx="406" formatCode="General">
                  <c:v>27</c:v>
                </c:pt>
                <c:pt idx="407" formatCode="General">
                  <c:v>26</c:v>
                </c:pt>
                <c:pt idx="408" formatCode="General">
                  <c:v>26</c:v>
                </c:pt>
                <c:pt idx="409" formatCode="General">
                  <c:v>20</c:v>
                </c:pt>
                <c:pt idx="410" formatCode="General">
                  <c:v>20</c:v>
                </c:pt>
                <c:pt idx="411" formatCode="General">
                  <c:v>20</c:v>
                </c:pt>
                <c:pt idx="412" formatCode="General">
                  <c:v>21</c:v>
                </c:pt>
                <c:pt idx="413" formatCode="General">
                  <c:v>19</c:v>
                </c:pt>
                <c:pt idx="414" formatCode="General">
                  <c:v>27</c:v>
                </c:pt>
                <c:pt idx="415" formatCode="General">
                  <c:v>18</c:v>
                </c:pt>
                <c:pt idx="416" formatCode="General">
                  <c:v>22</c:v>
                </c:pt>
                <c:pt idx="417" formatCode="General">
                  <c:v>29</c:v>
                </c:pt>
                <c:pt idx="418" formatCode="General">
                  <c:v>28</c:v>
                </c:pt>
                <c:pt idx="419" formatCode="General">
                  <c:v>31</c:v>
                </c:pt>
                <c:pt idx="420" formatCode="General">
                  <c:v>39</c:v>
                </c:pt>
                <c:pt idx="421" formatCode="General">
                  <c:v>33</c:v>
                </c:pt>
                <c:pt idx="422" formatCode="General">
                  <c:v>25</c:v>
                </c:pt>
                <c:pt idx="423" formatCode="General">
                  <c:v>26</c:v>
                </c:pt>
                <c:pt idx="424" formatCode="General">
                  <c:v>31</c:v>
                </c:pt>
                <c:pt idx="425" formatCode="General">
                  <c:v>30</c:v>
                </c:pt>
                <c:pt idx="426" formatCode="General">
                  <c:v>27</c:v>
                </c:pt>
                <c:pt idx="427" formatCode="General">
                  <c:v>36</c:v>
                </c:pt>
                <c:pt idx="428" formatCode="General">
                  <c:v>30</c:v>
                </c:pt>
                <c:pt idx="429" formatCode="General">
                  <c:v>27</c:v>
                </c:pt>
                <c:pt idx="430" formatCode="General">
                  <c:v>33</c:v>
                </c:pt>
                <c:pt idx="431" formatCode="General">
                  <c:v>33</c:v>
                </c:pt>
                <c:pt idx="432" formatCode="General">
                  <c:v>33</c:v>
                </c:pt>
                <c:pt idx="433" formatCode="General">
                  <c:v>26</c:v>
                </c:pt>
                <c:pt idx="434" formatCode="General">
                  <c:v>30</c:v>
                </c:pt>
                <c:pt idx="435" formatCode="General">
                  <c:v>27</c:v>
                </c:pt>
                <c:pt idx="436" formatCode="General">
                  <c:v>30</c:v>
                </c:pt>
                <c:pt idx="437" formatCode="General">
                  <c:v>26</c:v>
                </c:pt>
                <c:pt idx="438" formatCode="General">
                  <c:v>29</c:v>
                </c:pt>
                <c:pt idx="439" formatCode="General">
                  <c:v>32</c:v>
                </c:pt>
                <c:pt idx="440" formatCode="General">
                  <c:v>33</c:v>
                </c:pt>
                <c:pt idx="441" formatCode="General">
                  <c:v>24</c:v>
                </c:pt>
                <c:pt idx="442" formatCode="General">
                  <c:v>25</c:v>
                </c:pt>
                <c:pt idx="443" formatCode="General">
                  <c:v>24</c:v>
                </c:pt>
                <c:pt idx="444" formatCode="General">
                  <c:v>31</c:v>
                </c:pt>
                <c:pt idx="445" formatCode="General">
                  <c:v>32</c:v>
                </c:pt>
                <c:pt idx="446" formatCode="General">
                  <c:v>22</c:v>
                </c:pt>
                <c:pt idx="447" formatCode="General">
                  <c:v>22</c:v>
                </c:pt>
                <c:pt idx="448" formatCode="General">
                  <c:v>22</c:v>
                </c:pt>
                <c:pt idx="449" formatCode="General">
                  <c:v>22</c:v>
                </c:pt>
                <c:pt idx="450" formatCode="General">
                  <c:v>24</c:v>
                </c:pt>
                <c:pt idx="451" formatCode="General">
                  <c:v>35</c:v>
                </c:pt>
                <c:pt idx="452" formatCode="General">
                  <c:v>36</c:v>
                </c:pt>
                <c:pt idx="453" formatCode="General">
                  <c:v>32</c:v>
                </c:pt>
                <c:pt idx="454" formatCode="General">
                  <c:v>29</c:v>
                </c:pt>
                <c:pt idx="455" formatCode="General">
                  <c:v>23</c:v>
                </c:pt>
                <c:pt idx="456" formatCode="General">
                  <c:v>35</c:v>
                </c:pt>
                <c:pt idx="458" formatCode="General">
                  <c:v>24</c:v>
                </c:pt>
                <c:pt idx="459" formatCode="General">
                  <c:v>34</c:v>
                </c:pt>
                <c:pt idx="460" formatCode="General">
                  <c:v>29</c:v>
                </c:pt>
                <c:pt idx="461" formatCode="General">
                  <c:v>31</c:v>
                </c:pt>
                <c:pt idx="462" formatCode="General">
                  <c:v>30</c:v>
                </c:pt>
                <c:pt idx="463" formatCode="General">
                  <c:v>23</c:v>
                </c:pt>
                <c:pt idx="464" formatCode="General">
                  <c:v>35</c:v>
                </c:pt>
                <c:pt idx="465" formatCode="General">
                  <c:v>33</c:v>
                </c:pt>
                <c:pt idx="466" formatCode="General">
                  <c:v>36</c:v>
                </c:pt>
                <c:pt idx="467" formatCode="General">
                  <c:v>23</c:v>
                </c:pt>
                <c:pt idx="468" formatCode="General">
                  <c:v>24</c:v>
                </c:pt>
                <c:pt idx="469" formatCode="General">
                  <c:v>25</c:v>
                </c:pt>
                <c:pt idx="470" formatCode="General">
                  <c:v>#N/A</c:v>
                </c:pt>
                <c:pt idx="471" formatCode="General">
                  <c:v>#N/A</c:v>
                </c:pt>
                <c:pt idx="472" formatCode="General">
                  <c:v>#N/A</c:v>
                </c:pt>
                <c:pt idx="473" formatCode="General">
                  <c:v>#N/A</c:v>
                </c:pt>
                <c:pt idx="474" formatCode="General">
                  <c:v>#N/A</c:v>
                </c:pt>
                <c:pt idx="475" formatCode="General">
                  <c:v>#N/A</c:v>
                </c:pt>
                <c:pt idx="476" formatCode="General">
                  <c:v>#N/A</c:v>
                </c:pt>
                <c:pt idx="477" formatCode="General">
                  <c:v>#N/A</c:v>
                </c:pt>
                <c:pt idx="478" formatCode="General">
                  <c:v>#N/A</c:v>
                </c:pt>
                <c:pt idx="479" formatCode="General">
                  <c:v>#N/A</c:v>
                </c:pt>
                <c:pt idx="480" formatCode="General">
                  <c:v>#N/A</c:v>
                </c:pt>
                <c:pt idx="481" formatCode="General">
                  <c:v>#N/A</c:v>
                </c:pt>
                <c:pt idx="482" formatCode="General">
                  <c:v>#N/A</c:v>
                </c:pt>
                <c:pt idx="483" formatCode="General">
                  <c:v>#N/A</c:v>
                </c:pt>
                <c:pt idx="484" formatCode="General">
                  <c:v>#N/A</c:v>
                </c:pt>
                <c:pt idx="485" formatCode="General">
                  <c:v>#N/A</c:v>
                </c:pt>
                <c:pt idx="486" formatCode="General">
                  <c:v>#N/A</c:v>
                </c:pt>
                <c:pt idx="487" formatCode="General">
                  <c:v>#N/A</c:v>
                </c:pt>
                <c:pt idx="488" formatCode="General">
                  <c:v>#N/A</c:v>
                </c:pt>
                <c:pt idx="489" formatCode="General">
                  <c:v>#N/A</c:v>
                </c:pt>
                <c:pt idx="490" formatCode="General">
                  <c:v>#N/A</c:v>
                </c:pt>
                <c:pt idx="491" formatCode="General">
                  <c:v>#N/A</c:v>
                </c:pt>
                <c:pt idx="492" formatCode="General">
                  <c:v>#N/A</c:v>
                </c:pt>
                <c:pt idx="493" formatCode="General">
                  <c:v>#N/A</c:v>
                </c:pt>
                <c:pt idx="494" formatCode="General">
                  <c:v>#N/A</c:v>
                </c:pt>
                <c:pt idx="495" formatCode="General">
                  <c:v>#N/A</c:v>
                </c:pt>
                <c:pt idx="496" formatCode="General">
                  <c:v>#N/A</c:v>
                </c:pt>
                <c:pt idx="497" formatCode="General">
                  <c:v>#N/A</c:v>
                </c:pt>
                <c:pt idx="498" formatCode="General">
                  <c:v>#N/A</c:v>
                </c:pt>
                <c:pt idx="499" formatCode="General">
                  <c:v>#N/A</c:v>
                </c:pt>
                <c:pt idx="500" formatCode="General">
                  <c:v>#N/A</c:v>
                </c:pt>
                <c:pt idx="501" formatCode="General">
                  <c:v>#N/A</c:v>
                </c:pt>
                <c:pt idx="502" formatCode="General">
                  <c:v>#N/A</c:v>
                </c:pt>
                <c:pt idx="503" formatCode="General">
                  <c:v>#N/A</c:v>
                </c:pt>
                <c:pt idx="504" formatCode="General">
                  <c:v>#N/A</c:v>
                </c:pt>
                <c:pt idx="505">
                  <c:v>33</c:v>
                </c:pt>
                <c:pt idx="506">
                  <c:v>24</c:v>
                </c:pt>
                <c:pt idx="507">
                  <c:v>25</c:v>
                </c:pt>
                <c:pt idx="508">
                  <c:v>23</c:v>
                </c:pt>
                <c:pt idx="509">
                  <c:v>32</c:v>
                </c:pt>
                <c:pt idx="510">
                  <c:v>34</c:v>
                </c:pt>
                <c:pt idx="511">
                  <c:v>32</c:v>
                </c:pt>
                <c:pt idx="512">
                  <c:v>34</c:v>
                </c:pt>
                <c:pt idx="513">
                  <c:v>52</c:v>
                </c:pt>
                <c:pt idx="514">
                  <c:v>28</c:v>
                </c:pt>
                <c:pt idx="515">
                  <c:v>26</c:v>
                </c:pt>
                <c:pt idx="516">
                  <c:v>25</c:v>
                </c:pt>
                <c:pt idx="517">
                  <c:v>33</c:v>
                </c:pt>
                <c:pt idx="518">
                  <c:v>46</c:v>
                </c:pt>
                <c:pt idx="519">
                  <c:v>44</c:v>
                </c:pt>
                <c:pt idx="520">
                  <c:v>53</c:v>
                </c:pt>
                <c:pt idx="521">
                  <c:v>45</c:v>
                </c:pt>
                <c:pt idx="522">
                  <c:v>32</c:v>
                </c:pt>
                <c:pt idx="523">
                  <c:v>30</c:v>
                </c:pt>
                <c:pt idx="524">
                  <c:v>31</c:v>
                </c:pt>
                <c:pt idx="525">
                  <c:v>31</c:v>
                </c:pt>
                <c:pt idx="526">
                  <c:v>25</c:v>
                </c:pt>
                <c:pt idx="527">
                  <c:v>34</c:v>
                </c:pt>
                <c:pt idx="528">
                  <c:v>30</c:v>
                </c:pt>
                <c:pt idx="529">
                  <c:v>27</c:v>
                </c:pt>
                <c:pt idx="530">
                  <c:v>33</c:v>
                </c:pt>
                <c:pt idx="531">
                  <c:v>58</c:v>
                </c:pt>
                <c:pt idx="532">
                  <c:v>41</c:v>
                </c:pt>
                <c:pt idx="533">
                  <c:v>53</c:v>
                </c:pt>
                <c:pt idx="534">
                  <c:v>30</c:v>
                </c:pt>
                <c:pt idx="535">
                  <c:v>22</c:v>
                </c:pt>
                <c:pt idx="536">
                  <c:v>38</c:v>
                </c:pt>
                <c:pt idx="537">
                  <c:v>19</c:v>
                </c:pt>
                <c:pt idx="538">
                  <c:v>18</c:v>
                </c:pt>
                <c:pt idx="539">
                  <c:v>22</c:v>
                </c:pt>
                <c:pt idx="540">
                  <c:v>30</c:v>
                </c:pt>
                <c:pt idx="541">
                  <c:v>29</c:v>
                </c:pt>
                <c:pt idx="542">
                  <c:v>25</c:v>
                </c:pt>
                <c:pt idx="543">
                  <c:v>33</c:v>
                </c:pt>
                <c:pt idx="544">
                  <c:v>19</c:v>
                </c:pt>
                <c:pt idx="545">
                  <c:v>27</c:v>
                </c:pt>
                <c:pt idx="546">
                  <c:v>41</c:v>
                </c:pt>
                <c:pt idx="547">
                  <c:v>38</c:v>
                </c:pt>
                <c:pt idx="548">
                  <c:v>42</c:v>
                </c:pt>
                <c:pt idx="549">
                  <c:v>37</c:v>
                </c:pt>
                <c:pt idx="550">
                  <c:v>40</c:v>
                </c:pt>
                <c:pt idx="551">
                  <c:v>35</c:v>
                </c:pt>
                <c:pt idx="552">
                  <c:v>37</c:v>
                </c:pt>
                <c:pt idx="553">
                  <c:v>43</c:v>
                </c:pt>
                <c:pt idx="554">
                  <c:v>33</c:v>
                </c:pt>
                <c:pt idx="555">
                  <c:v>38</c:v>
                </c:pt>
                <c:pt idx="556">
                  <c:v>29</c:v>
                </c:pt>
                <c:pt idx="557">
                  <c:v>24</c:v>
                </c:pt>
                <c:pt idx="558">
                  <c:v>29</c:v>
                </c:pt>
                <c:pt idx="559">
                  <c:v>31</c:v>
                </c:pt>
                <c:pt idx="560">
                  <c:v>23</c:v>
                </c:pt>
                <c:pt idx="561">
                  <c:v>24</c:v>
                </c:pt>
                <c:pt idx="562">
                  <c:v>24</c:v>
                </c:pt>
                <c:pt idx="563">
                  <c:v>31</c:v>
                </c:pt>
                <c:pt idx="564">
                  <c:v>31</c:v>
                </c:pt>
                <c:pt idx="565">
                  <c:v>33</c:v>
                </c:pt>
                <c:pt idx="566">
                  <c:v>34</c:v>
                </c:pt>
                <c:pt idx="567">
                  <c:v>44</c:v>
                </c:pt>
                <c:pt idx="568">
                  <c:v>44</c:v>
                </c:pt>
                <c:pt idx="569">
                  <c:v>41</c:v>
                </c:pt>
                <c:pt idx="570">
                  <c:v>50</c:v>
                </c:pt>
                <c:pt idx="571">
                  <c:v>37</c:v>
                </c:pt>
                <c:pt idx="572">
                  <c:v>28</c:v>
                </c:pt>
                <c:pt idx="573">
                  <c:v>25</c:v>
                </c:pt>
                <c:pt idx="574">
                  <c:v>21</c:v>
                </c:pt>
                <c:pt idx="575">
                  <c:v>30</c:v>
                </c:pt>
                <c:pt idx="576">
                  <c:v>31</c:v>
                </c:pt>
                <c:pt idx="577">
                  <c:v>19</c:v>
                </c:pt>
                <c:pt idx="578">
                  <c:v>19</c:v>
                </c:pt>
                <c:pt idx="579">
                  <c:v>33</c:v>
                </c:pt>
                <c:pt idx="580">
                  <c:v>45</c:v>
                </c:pt>
                <c:pt idx="581">
                  <c:v>21</c:v>
                </c:pt>
                <c:pt idx="582">
                  <c:v>39</c:v>
                </c:pt>
                <c:pt idx="583">
                  <c:v>30</c:v>
                </c:pt>
                <c:pt idx="584">
                  <c:v>32</c:v>
                </c:pt>
                <c:pt idx="585" formatCode="General">
                  <c:v>23</c:v>
                </c:pt>
                <c:pt idx="586" formatCode="General">
                  <c:v>21</c:v>
                </c:pt>
                <c:pt idx="587" formatCode="General">
                  <c:v>21</c:v>
                </c:pt>
                <c:pt idx="588" formatCode="General">
                  <c:v>21</c:v>
                </c:pt>
                <c:pt idx="589" formatCode="General">
                  <c:v>21</c:v>
                </c:pt>
                <c:pt idx="590" formatCode="General">
                  <c:v>21</c:v>
                </c:pt>
                <c:pt idx="591" formatCode="General">
                  <c:v>21</c:v>
                </c:pt>
                <c:pt idx="592" formatCode="General">
                  <c:v>21</c:v>
                </c:pt>
                <c:pt idx="593" formatCode="General">
                  <c:v>23</c:v>
                </c:pt>
                <c:pt idx="594" formatCode="General">
                  <c:v>26</c:v>
                </c:pt>
                <c:pt idx="595" formatCode="General">
                  <c:v>42</c:v>
                </c:pt>
                <c:pt idx="596" formatCode="General">
                  <c:v>43</c:v>
                </c:pt>
                <c:pt idx="597" formatCode="General">
                  <c:v>28</c:v>
                </c:pt>
                <c:pt idx="598" formatCode="General">
                  <c:v>27</c:v>
                </c:pt>
                <c:pt idx="599" formatCode="General">
                  <c:v>27</c:v>
                </c:pt>
                <c:pt idx="600" formatCode="General">
                  <c:v>48</c:v>
                </c:pt>
                <c:pt idx="601" formatCode="General">
                  <c:v>42</c:v>
                </c:pt>
                <c:pt idx="602" formatCode="General">
                  <c:v>43</c:v>
                </c:pt>
                <c:pt idx="603" formatCode="General">
                  <c:v>45</c:v>
                </c:pt>
                <c:pt idx="604" formatCode="General">
                  <c:v>28</c:v>
                </c:pt>
                <c:pt idx="605" formatCode="General">
                  <c:v>48</c:v>
                </c:pt>
                <c:pt idx="606" formatCode="General">
                  <c:v>33</c:v>
                </c:pt>
                <c:pt idx="607" formatCode="General">
                  <c:v>27</c:v>
                </c:pt>
                <c:pt idx="608" formatCode="General">
                  <c:v>27</c:v>
                </c:pt>
                <c:pt idx="609" formatCode="General">
                  <c:v>27</c:v>
                </c:pt>
                <c:pt idx="610" formatCode="General">
                  <c:v>24</c:v>
                </c:pt>
                <c:pt idx="611" formatCode="General">
                  <c:v>23</c:v>
                </c:pt>
                <c:pt idx="612" formatCode="General">
                  <c:v>23</c:v>
                </c:pt>
                <c:pt idx="613" formatCode="General">
                  <c:v>36</c:v>
                </c:pt>
                <c:pt idx="614" formatCode="General">
                  <c:v>46</c:v>
                </c:pt>
                <c:pt idx="615" formatCode="General">
                  <c:v>46</c:v>
                </c:pt>
                <c:pt idx="616" formatCode="General">
                  <c:v>49</c:v>
                </c:pt>
                <c:pt idx="617" formatCode="General">
                  <c:v>42</c:v>
                </c:pt>
                <c:pt idx="618" formatCode="General">
                  <c:v>47</c:v>
                </c:pt>
                <c:pt idx="619" formatCode="General">
                  <c:v>42</c:v>
                </c:pt>
                <c:pt idx="620" formatCode="General">
                  <c:v>34</c:v>
                </c:pt>
                <c:pt idx="621" formatCode="General">
                  <c:v>39</c:v>
                </c:pt>
                <c:pt idx="622" formatCode="General">
                  <c:v>44</c:v>
                </c:pt>
                <c:pt idx="623" formatCode="General">
                  <c:v>50</c:v>
                </c:pt>
                <c:pt idx="624" formatCode="General">
                  <c:v>28</c:v>
                </c:pt>
                <c:pt idx="625" formatCode="General">
                  <c:v>31</c:v>
                </c:pt>
                <c:pt idx="626" formatCode="General">
                  <c:v>46</c:v>
                </c:pt>
                <c:pt idx="627" formatCode="General">
                  <c:v>36</c:v>
                </c:pt>
                <c:pt idx="628" formatCode="General">
                  <c:v>43</c:v>
                </c:pt>
                <c:pt idx="629" formatCode="General">
                  <c:v>47</c:v>
                </c:pt>
                <c:pt idx="630" formatCode="General">
                  <c:v>32</c:v>
                </c:pt>
                <c:pt idx="631" formatCode="General">
                  <c:v>33</c:v>
                </c:pt>
                <c:pt idx="632">
                  <c:v>49</c:v>
                </c:pt>
                <c:pt idx="633">
                  <c:v>51</c:v>
                </c:pt>
                <c:pt idx="634" formatCode="General">
                  <c:v>38</c:v>
                </c:pt>
                <c:pt idx="635" formatCode="General">
                  <c:v>25</c:v>
                </c:pt>
                <c:pt idx="636" formatCode="General">
                  <c:v>27</c:v>
                </c:pt>
                <c:pt idx="637" formatCode="General">
                  <c:v>25</c:v>
                </c:pt>
                <c:pt idx="638" formatCode="General">
                  <c:v>35</c:v>
                </c:pt>
                <c:pt idx="639" formatCode="General">
                  <c:v>41</c:v>
                </c:pt>
                <c:pt idx="640" formatCode="General">
                  <c:v>33</c:v>
                </c:pt>
                <c:pt idx="641" formatCode="General">
                  <c:v>38</c:v>
                </c:pt>
                <c:pt idx="642" formatCode="General">
                  <c:v>33</c:v>
                </c:pt>
                <c:pt idx="643" formatCode="General">
                  <c:v>41</c:v>
                </c:pt>
                <c:pt idx="644" formatCode="General">
                  <c:v>47</c:v>
                </c:pt>
                <c:pt idx="645" formatCode="General">
                  <c:v>41</c:v>
                </c:pt>
                <c:pt idx="646" formatCode="General">
                  <c:v>40</c:v>
                </c:pt>
                <c:pt idx="647" formatCode="General">
                  <c:v>33</c:v>
                </c:pt>
                <c:pt idx="648" formatCode="General">
                  <c:v>39</c:v>
                </c:pt>
                <c:pt idx="649" formatCode="General">
                  <c:v>30</c:v>
                </c:pt>
                <c:pt idx="650" formatCode="General">
                  <c:v>45</c:v>
                </c:pt>
                <c:pt idx="651" formatCode="General">
                  <c:v>31</c:v>
                </c:pt>
                <c:pt idx="652" formatCode="General">
                  <c:v>23</c:v>
                </c:pt>
                <c:pt idx="653">
                  <c:v>54</c:v>
                </c:pt>
                <c:pt idx="654">
                  <c:v>45</c:v>
                </c:pt>
                <c:pt idx="655">
                  <c:v>49</c:v>
                </c:pt>
                <c:pt idx="656" formatCode="General">
                  <c:v>52</c:v>
                </c:pt>
                <c:pt idx="657" formatCode="General">
                  <c:v>47</c:v>
                </c:pt>
                <c:pt idx="658" formatCode="General">
                  <c:v>27</c:v>
                </c:pt>
                <c:pt idx="659" formatCode="General">
                  <c:v>27</c:v>
                </c:pt>
                <c:pt idx="660" formatCode="General">
                  <c:v>27</c:v>
                </c:pt>
                <c:pt idx="661" formatCode="General">
                  <c:v>45</c:v>
                </c:pt>
                <c:pt idx="662" formatCode="General">
                  <c:v>31</c:v>
                </c:pt>
                <c:pt idx="663" formatCode="General">
                  <c:v>25</c:v>
                </c:pt>
                <c:pt idx="664" formatCode="General">
                  <c:v>35</c:v>
                </c:pt>
                <c:pt idx="665" formatCode="General">
                  <c:v>32</c:v>
                </c:pt>
                <c:pt idx="666" formatCode="General">
                  <c:v>38</c:v>
                </c:pt>
                <c:pt idx="667" formatCode="General">
                  <c:v>39</c:v>
                </c:pt>
                <c:pt idx="668" formatCode="General">
                  <c:v>22</c:v>
                </c:pt>
                <c:pt idx="669" formatCode="General">
                  <c:v>56</c:v>
                </c:pt>
                <c:pt idx="670" formatCode="General">
                  <c:v>54</c:v>
                </c:pt>
                <c:pt idx="671" formatCode="General">
                  <c:v>58</c:v>
                </c:pt>
                <c:pt idx="672" formatCode="General">
                  <c:v>64</c:v>
                </c:pt>
                <c:pt idx="673" formatCode="General">
                  <c:v>66</c:v>
                </c:pt>
                <c:pt idx="674" formatCode="General">
                  <c:v>22</c:v>
                </c:pt>
                <c:pt idx="675" formatCode="General">
                  <c:v>22</c:v>
                </c:pt>
                <c:pt idx="676" formatCode="General">
                  <c:v>22</c:v>
                </c:pt>
                <c:pt idx="677" formatCode="General">
                  <c:v>23</c:v>
                </c:pt>
                <c:pt idx="678" formatCode="General">
                  <c:v>46</c:v>
                </c:pt>
                <c:pt idx="679">
                  <c:v>54</c:v>
                </c:pt>
                <c:pt idx="680">
                  <c:v>51</c:v>
                </c:pt>
                <c:pt idx="681">
                  <c:v>55</c:v>
                </c:pt>
                <c:pt idx="682">
                  <c:v>59</c:v>
                </c:pt>
                <c:pt idx="683">
                  <c:v>61</c:v>
                </c:pt>
                <c:pt idx="684">
                  <c:v>49</c:v>
                </c:pt>
                <c:pt idx="685">
                  <c:v>57</c:v>
                </c:pt>
                <c:pt idx="686">
                  <c:v>51</c:v>
                </c:pt>
                <c:pt idx="687">
                  <c:v>45</c:v>
                </c:pt>
                <c:pt idx="688">
                  <c:v>58</c:v>
                </c:pt>
                <c:pt idx="689">
                  <c:v>56</c:v>
                </c:pt>
                <c:pt idx="690">
                  <c:v>48</c:v>
                </c:pt>
                <c:pt idx="691" formatCode="General">
                  <c:v>35</c:v>
                </c:pt>
                <c:pt idx="692" formatCode="General">
                  <c:v>30</c:v>
                </c:pt>
                <c:pt idx="693" formatCode="General">
                  <c:v>27</c:v>
                </c:pt>
                <c:pt idx="694" formatCode="General">
                  <c:v>36</c:v>
                </c:pt>
                <c:pt idx="695" formatCode="General">
                  <c:v>34</c:v>
                </c:pt>
                <c:pt idx="696" formatCode="General">
                  <c:v>27</c:v>
                </c:pt>
                <c:pt idx="697" formatCode="General">
                  <c:v>37</c:v>
                </c:pt>
                <c:pt idx="698" formatCode="General">
                  <c:v>26</c:v>
                </c:pt>
                <c:pt idx="699" formatCode="General">
                  <c:v>39</c:v>
                </c:pt>
                <c:pt idx="700" formatCode="General">
                  <c:v>22</c:v>
                </c:pt>
                <c:pt idx="701" formatCode="General">
                  <c:v>23</c:v>
                </c:pt>
                <c:pt idx="702" formatCode="General">
                  <c:v>28</c:v>
                </c:pt>
                <c:pt idx="703" formatCode="General">
                  <c:v>31</c:v>
                </c:pt>
                <c:pt idx="704" formatCode="General">
                  <c:v>37</c:v>
                </c:pt>
                <c:pt idx="705" formatCode="General">
                  <c:v>31</c:v>
                </c:pt>
                <c:pt idx="706" formatCode="General">
                  <c:v>33</c:v>
                </c:pt>
                <c:pt idx="707" formatCode="General">
                  <c:v>32</c:v>
                </c:pt>
                <c:pt idx="708" formatCode="General">
                  <c:v>26</c:v>
                </c:pt>
                <c:pt idx="709" formatCode="General">
                  <c:v>25</c:v>
                </c:pt>
                <c:pt idx="710" formatCode="General">
                  <c:v>39</c:v>
                </c:pt>
                <c:pt idx="711" formatCode="General">
                  <c:v>28</c:v>
                </c:pt>
                <c:pt idx="712" formatCode="General">
                  <c:v>28</c:v>
                </c:pt>
                <c:pt idx="713" formatCode="General">
                  <c:v>27</c:v>
                </c:pt>
                <c:pt idx="714" formatCode="General">
                  <c:v>31</c:v>
                </c:pt>
                <c:pt idx="715" formatCode="General">
                  <c:v>33</c:v>
                </c:pt>
                <c:pt idx="716" formatCode="General">
                  <c:v>27</c:v>
                </c:pt>
                <c:pt idx="717" formatCode="General">
                  <c:v>27</c:v>
                </c:pt>
                <c:pt idx="718" formatCode="General">
                  <c:v>29</c:v>
                </c:pt>
                <c:pt idx="719" formatCode="General">
                  <c:v>29</c:v>
                </c:pt>
                <c:pt idx="720" formatCode="General">
                  <c:v>22</c:v>
                </c:pt>
                <c:pt idx="721" formatCode="General">
                  <c:v>28</c:v>
                </c:pt>
                <c:pt idx="722" formatCode="General">
                  <c:v>35</c:v>
                </c:pt>
                <c:pt idx="723" formatCode="General">
                  <c:v>30</c:v>
                </c:pt>
                <c:pt idx="724" formatCode="General">
                  <c:v>29</c:v>
                </c:pt>
                <c:pt idx="725" formatCode="General">
                  <c:v>28</c:v>
                </c:pt>
                <c:pt idx="726" formatCode="General">
                  <c:v>29</c:v>
                </c:pt>
                <c:pt idx="727">
                  <c:v>50</c:v>
                </c:pt>
                <c:pt idx="728">
                  <c:v>53</c:v>
                </c:pt>
                <c:pt idx="729">
                  <c:v>51</c:v>
                </c:pt>
                <c:pt idx="730" formatCode="General">
                  <c:v>38</c:v>
                </c:pt>
                <c:pt idx="731" formatCode="General">
                  <c:v>36</c:v>
                </c:pt>
                <c:pt idx="732" formatCode="General">
                  <c:v>28</c:v>
                </c:pt>
                <c:pt idx="733" formatCode="General">
                  <c:v>29</c:v>
                </c:pt>
                <c:pt idx="734" formatCode="General">
                  <c:v>28</c:v>
                </c:pt>
                <c:pt idx="735" formatCode="General">
                  <c:v>27</c:v>
                </c:pt>
                <c:pt idx="736" formatCode="General">
                  <c:v>21</c:v>
                </c:pt>
                <c:pt idx="737" formatCode="General">
                  <c:v>35</c:v>
                </c:pt>
                <c:pt idx="738" formatCode="General">
                  <c:v>23</c:v>
                </c:pt>
                <c:pt idx="739" formatCode="General">
                  <c:v>35</c:v>
                </c:pt>
                <c:pt idx="740" formatCode="General">
                  <c:v>30</c:v>
                </c:pt>
                <c:pt idx="741" formatCode="General">
                  <c:v>27</c:v>
                </c:pt>
                <c:pt idx="742" formatCode="General">
                  <c:v>43</c:v>
                </c:pt>
                <c:pt idx="743" formatCode="General">
                  <c:v>43</c:v>
                </c:pt>
                <c:pt idx="744" formatCode="General">
                  <c:v>38</c:v>
                </c:pt>
                <c:pt idx="745" formatCode="General">
                  <c:v>31</c:v>
                </c:pt>
                <c:pt idx="746" formatCode="General">
                  <c:v>34</c:v>
                </c:pt>
                <c:pt idx="747" formatCode="General">
                  <c:v>32</c:v>
                </c:pt>
                <c:pt idx="748" formatCode="General">
                  <c:v>35</c:v>
                </c:pt>
                <c:pt idx="749" formatCode="General">
                  <c:v>30</c:v>
                </c:pt>
                <c:pt idx="750" formatCode="General">
                  <c:v>32</c:v>
                </c:pt>
                <c:pt idx="751" formatCode="General">
                  <c:v>32</c:v>
                </c:pt>
                <c:pt idx="752" formatCode="General">
                  <c:v>29</c:v>
                </c:pt>
                <c:pt idx="753" formatCode="General">
                  <c:v>22</c:v>
                </c:pt>
                <c:pt idx="754" formatCode="General">
                  <c:v>22</c:v>
                </c:pt>
                <c:pt idx="755" formatCode="General">
                  <c:v>22</c:v>
                </c:pt>
                <c:pt idx="756" formatCode="General">
                  <c:v>22</c:v>
                </c:pt>
                <c:pt idx="757" formatCode="General">
                  <c:v>22</c:v>
                </c:pt>
                <c:pt idx="758" formatCode="General">
                  <c:v>23</c:v>
                </c:pt>
                <c:pt idx="759" formatCode="General">
                  <c:v>23</c:v>
                </c:pt>
                <c:pt idx="760" formatCode="General">
                  <c:v>23</c:v>
                </c:pt>
                <c:pt idx="761" formatCode="General">
                  <c:v>37</c:v>
                </c:pt>
                <c:pt idx="762" formatCode="General">
                  <c:v>29</c:v>
                </c:pt>
                <c:pt idx="763" formatCode="General">
                  <c:v>38</c:v>
                </c:pt>
                <c:pt idx="764" formatCode="General">
                  <c:v>37</c:v>
                </c:pt>
                <c:pt idx="765" formatCode="General">
                  <c:v>25</c:v>
                </c:pt>
                <c:pt idx="766" formatCode="General">
                  <c:v>36</c:v>
                </c:pt>
                <c:pt idx="767" formatCode="General">
                  <c:v>35</c:v>
                </c:pt>
                <c:pt idx="768" formatCode="General">
                  <c:v>31</c:v>
                </c:pt>
                <c:pt idx="769" formatCode="General">
                  <c:v>30</c:v>
                </c:pt>
                <c:pt idx="770" formatCode="General">
                  <c:v>36</c:v>
                </c:pt>
                <c:pt idx="771" formatCode="General">
                  <c:v>29</c:v>
                </c:pt>
                <c:pt idx="772" formatCode="General">
                  <c:v>29</c:v>
                </c:pt>
                <c:pt idx="773" formatCode="General">
                  <c:v>28</c:v>
                </c:pt>
                <c:pt idx="774">
                  <c:v>59</c:v>
                </c:pt>
                <c:pt idx="775">
                  <c:v>58</c:v>
                </c:pt>
                <c:pt idx="776">
                  <c:v>45</c:v>
                </c:pt>
                <c:pt idx="777">
                  <c:v>54</c:v>
                </c:pt>
                <c:pt idx="778" formatCode="General">
                  <c:v>30</c:v>
                </c:pt>
                <c:pt idx="779" formatCode="General">
                  <c:v>28</c:v>
                </c:pt>
                <c:pt idx="780" formatCode="General">
                  <c:v>26</c:v>
                </c:pt>
                <c:pt idx="782" formatCode="General">
                  <c:v>31</c:v>
                </c:pt>
                <c:pt idx="783" formatCode="General">
                  <c:v>29</c:v>
                </c:pt>
                <c:pt idx="784" formatCode="General">
                  <c:v>29</c:v>
                </c:pt>
                <c:pt idx="785" formatCode="General">
                  <c:v>28</c:v>
                </c:pt>
                <c:pt idx="786" formatCode="General">
                  <c:v>29</c:v>
                </c:pt>
                <c:pt idx="787" formatCode="General">
                  <c:v>31</c:v>
                </c:pt>
                <c:pt idx="788" formatCode="General">
                  <c:v>31</c:v>
                </c:pt>
                <c:pt idx="789" formatCode="General">
                  <c:v>33</c:v>
                </c:pt>
                <c:pt idx="790" formatCode="General">
                  <c:v>31</c:v>
                </c:pt>
                <c:pt idx="791" formatCode="General">
                  <c:v>33</c:v>
                </c:pt>
                <c:pt idx="792" formatCode="General">
                  <c:v>35</c:v>
                </c:pt>
                <c:pt idx="793" formatCode="General">
                  <c:v>47</c:v>
                </c:pt>
                <c:pt idx="794" formatCode="General">
                  <c:v>38</c:v>
                </c:pt>
                <c:pt idx="795" formatCode="General">
                  <c:v>33</c:v>
                </c:pt>
                <c:pt idx="796" formatCode="General">
                  <c:v>33</c:v>
                </c:pt>
                <c:pt idx="797" formatCode="General">
                  <c:v>32</c:v>
                </c:pt>
                <c:pt idx="798" formatCode="General">
                  <c:v>33</c:v>
                </c:pt>
                <c:pt idx="799" formatCode="General">
                  <c:v>32</c:v>
                </c:pt>
                <c:pt idx="800" formatCode="General">
                  <c:v>38</c:v>
                </c:pt>
                <c:pt idx="801" formatCode="General">
                  <c:v>42</c:v>
                </c:pt>
                <c:pt idx="802" formatCode="General">
                  <c:v>31</c:v>
                </c:pt>
                <c:pt idx="803" formatCode="General">
                  <c:v>32</c:v>
                </c:pt>
                <c:pt idx="804" formatCode="General">
                  <c:v>31</c:v>
                </c:pt>
                <c:pt idx="805" formatCode="General">
                  <c:v>34</c:v>
                </c:pt>
                <c:pt idx="806" formatCode="General">
                  <c:v>32</c:v>
                </c:pt>
                <c:pt idx="807" formatCode="General">
                  <c:v>26</c:v>
                </c:pt>
                <c:pt idx="808" formatCode="General">
                  <c:v>27</c:v>
                </c:pt>
                <c:pt idx="809" formatCode="General">
                  <c:v>27</c:v>
                </c:pt>
                <c:pt idx="810" formatCode="General">
                  <c:v>26</c:v>
                </c:pt>
                <c:pt idx="811" formatCode="General">
                  <c:v>27</c:v>
                </c:pt>
                <c:pt idx="812" formatCode="General">
                  <c:v>28</c:v>
                </c:pt>
                <c:pt idx="813" formatCode="General">
                  <c:v>31</c:v>
                </c:pt>
                <c:pt idx="814" formatCode="General">
                  <c:v>30</c:v>
                </c:pt>
                <c:pt idx="815" formatCode="General">
                  <c:v>26</c:v>
                </c:pt>
                <c:pt idx="816" formatCode="General">
                  <c:v>31</c:v>
                </c:pt>
                <c:pt idx="817" formatCode="General">
                  <c:v>38</c:v>
                </c:pt>
                <c:pt idx="818" formatCode="General">
                  <c:v>41</c:v>
                </c:pt>
                <c:pt idx="819" formatCode="General">
                  <c:v>41</c:v>
                </c:pt>
                <c:pt idx="820" formatCode="General">
                  <c:v>32</c:v>
                </c:pt>
                <c:pt idx="821" formatCode="General">
                  <c:v>35</c:v>
                </c:pt>
                <c:pt idx="822" formatCode="General">
                  <c:v>37</c:v>
                </c:pt>
                <c:pt idx="823" formatCode="General">
                  <c:v>35</c:v>
                </c:pt>
                <c:pt idx="824" formatCode="General">
                  <c:v>49</c:v>
                </c:pt>
                <c:pt idx="825" formatCode="General">
                  <c:v>36</c:v>
                </c:pt>
                <c:pt idx="826" formatCode="General">
                  <c:v>35</c:v>
                </c:pt>
                <c:pt idx="827" formatCode="General">
                  <c:v>37</c:v>
                </c:pt>
                <c:pt idx="828" formatCode="General">
                  <c:v>30</c:v>
                </c:pt>
                <c:pt idx="829" formatCode="General">
                  <c:v>39</c:v>
                </c:pt>
                <c:pt idx="830" formatCode="General">
                  <c:v>32</c:v>
                </c:pt>
                <c:pt idx="831" formatCode="General">
                  <c:v>31</c:v>
                </c:pt>
                <c:pt idx="832" formatCode="General">
                  <c:v>37</c:v>
                </c:pt>
                <c:pt idx="833" formatCode="General">
                  <c:v>38</c:v>
                </c:pt>
                <c:pt idx="834" formatCode="General">
                  <c:v>53</c:v>
                </c:pt>
                <c:pt idx="835" formatCode="General">
                  <c:v>60</c:v>
                </c:pt>
                <c:pt idx="836" formatCode="General">
                  <c:v>47</c:v>
                </c:pt>
                <c:pt idx="837" formatCode="General">
                  <c:v>51</c:v>
                </c:pt>
                <c:pt idx="838" formatCode="General">
                  <c:v>58</c:v>
                </c:pt>
                <c:pt idx="839" formatCode="General">
                  <c:v>56</c:v>
                </c:pt>
                <c:pt idx="840" formatCode="General">
                  <c:v>53</c:v>
                </c:pt>
                <c:pt idx="841" formatCode="General">
                  <c:v>53</c:v>
                </c:pt>
                <c:pt idx="842" formatCode="General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85-431A-A822-57EA66A3F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01744"/>
        <c:axId val="1237509904"/>
      </c:scatterChart>
      <c:valAx>
        <c:axId val="12375017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RMR76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9904"/>
        <c:crosses val="autoZero"/>
        <c:crossBetween val="midCat"/>
      </c:valAx>
      <c:valAx>
        <c:axId val="123750990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RMR89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RMR76 vs GSI </a:t>
            </a:r>
          </a:p>
        </c:rich>
      </c:tx>
      <c:layout>
        <c:manualLayout>
          <c:xMode val="edge"/>
          <c:yMode val="edge"/>
          <c:x val="0.38458329072502301"/>
          <c:y val="1.0825114265095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695861880901252"/>
          <c:y val="5.4602141535291006E-2"/>
          <c:w val="0.86718137505539084"/>
          <c:h val="0.85305745550148782"/>
        </c:manualLayout>
      </c:layout>
      <c:scatterChart>
        <c:scatterStyle val="lineMarker"/>
        <c:varyColors val="0"/>
        <c:ser>
          <c:idx val="0"/>
          <c:order val="0"/>
          <c:tx>
            <c:v>Correlation RMR76 vs GSI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B05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755733835685379E-2"/>
                  <c:y val="-7.0009120170912098E-2"/>
                </c:manualLayout>
              </c:layout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'2. Logging Brejo Seco'!$BQ$3:$BQ$1019</c:f>
              <c:numCache>
                <c:formatCode>0</c:formatCode>
                <c:ptCount val="101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48</c:v>
                </c:pt>
                <c:pt idx="7">
                  <c:v>64</c:v>
                </c:pt>
                <c:pt idx="8">
                  <c:v>22</c:v>
                </c:pt>
                <c:pt idx="9">
                  <c:v>43</c:v>
                </c:pt>
                <c:pt idx="10">
                  <c:v>30</c:v>
                </c:pt>
                <c:pt idx="11">
                  <c:v>33</c:v>
                </c:pt>
                <c:pt idx="12">
                  <c:v>20</c:v>
                </c:pt>
                <c:pt idx="13">
                  <c:v>31</c:v>
                </c:pt>
                <c:pt idx="14">
                  <c:v>37</c:v>
                </c:pt>
                <c:pt idx="15">
                  <c:v>47</c:v>
                </c:pt>
                <c:pt idx="16">
                  <c:v>52</c:v>
                </c:pt>
                <c:pt idx="17">
                  <c:v>32</c:v>
                </c:pt>
                <c:pt idx="18">
                  <c:v>42</c:v>
                </c:pt>
                <c:pt idx="19">
                  <c:v>49</c:v>
                </c:pt>
                <c:pt idx="20">
                  <c:v>31</c:v>
                </c:pt>
                <c:pt idx="21">
                  <c:v>23</c:v>
                </c:pt>
                <c:pt idx="22">
                  <c:v>34</c:v>
                </c:pt>
                <c:pt idx="23">
                  <c:v>44</c:v>
                </c:pt>
                <c:pt idx="24">
                  <c:v>43</c:v>
                </c:pt>
                <c:pt idx="25">
                  <c:v>37</c:v>
                </c:pt>
                <c:pt idx="26">
                  <c:v>27</c:v>
                </c:pt>
                <c:pt idx="27">
                  <c:v>31</c:v>
                </c:pt>
                <c:pt idx="28">
                  <c:v>41</c:v>
                </c:pt>
                <c:pt idx="29">
                  <c:v>42</c:v>
                </c:pt>
                <c:pt idx="30">
                  <c:v>30</c:v>
                </c:pt>
                <c:pt idx="31">
                  <c:v>41</c:v>
                </c:pt>
                <c:pt idx="32">
                  <c:v>35</c:v>
                </c:pt>
                <c:pt idx="33">
                  <c:v>23</c:v>
                </c:pt>
                <c:pt idx="34">
                  <c:v>22</c:v>
                </c:pt>
                <c:pt idx="35">
                  <c:v>21</c:v>
                </c:pt>
                <c:pt idx="36">
                  <c:v>22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34</c:v>
                </c:pt>
                <c:pt idx="41">
                  <c:v>27</c:v>
                </c:pt>
                <c:pt idx="42">
                  <c:v>28</c:v>
                </c:pt>
                <c:pt idx="43">
                  <c:v>47</c:v>
                </c:pt>
                <c:pt idx="44">
                  <c:v>52</c:v>
                </c:pt>
                <c:pt idx="45">
                  <c:v>74</c:v>
                </c:pt>
                <c:pt idx="46">
                  <c:v>57</c:v>
                </c:pt>
                <c:pt idx="47">
                  <c:v>72</c:v>
                </c:pt>
                <c:pt idx="48">
                  <c:v>47</c:v>
                </c:pt>
                <c:pt idx="49">
                  <c:v>45</c:v>
                </c:pt>
                <c:pt idx="50">
                  <c:v>46</c:v>
                </c:pt>
                <c:pt idx="51">
                  <c:v>65</c:v>
                </c:pt>
                <c:pt idx="52">
                  <c:v>66</c:v>
                </c:pt>
                <c:pt idx="53">
                  <c:v>58</c:v>
                </c:pt>
                <c:pt idx="54">
                  <c:v>65</c:v>
                </c:pt>
                <c:pt idx="55">
                  <c:v>66</c:v>
                </c:pt>
                <c:pt idx="56">
                  <c:v>64</c:v>
                </c:pt>
                <c:pt idx="57">
                  <c:v>55</c:v>
                </c:pt>
                <c:pt idx="58">
                  <c:v>48</c:v>
                </c:pt>
                <c:pt idx="59">
                  <c:v>51</c:v>
                </c:pt>
                <c:pt idx="60">
                  <c:v>73</c:v>
                </c:pt>
                <c:pt idx="61">
                  <c:v>58</c:v>
                </c:pt>
                <c:pt idx="62">
                  <c:v>50</c:v>
                </c:pt>
                <c:pt idx="63">
                  <c:v>33</c:v>
                </c:pt>
                <c:pt idx="64">
                  <c:v>50</c:v>
                </c:pt>
                <c:pt idx="65">
                  <c:v>46</c:v>
                </c:pt>
                <c:pt idx="66">
                  <c:v>33</c:v>
                </c:pt>
                <c:pt idx="67">
                  <c:v>44</c:v>
                </c:pt>
                <c:pt idx="68">
                  <c:v>46</c:v>
                </c:pt>
                <c:pt idx="69">
                  <c:v>42</c:v>
                </c:pt>
                <c:pt idx="70">
                  <c:v>19</c:v>
                </c:pt>
                <c:pt idx="71">
                  <c:v>43</c:v>
                </c:pt>
                <c:pt idx="72">
                  <c:v>50</c:v>
                </c:pt>
                <c:pt idx="73">
                  <c:v>35</c:v>
                </c:pt>
                <c:pt idx="74">
                  <c:v>44</c:v>
                </c:pt>
                <c:pt idx="75">
                  <c:v>44</c:v>
                </c:pt>
                <c:pt idx="76">
                  <c:v>35</c:v>
                </c:pt>
                <c:pt idx="77">
                  <c:v>41</c:v>
                </c:pt>
                <c:pt idx="78">
                  <c:v>29</c:v>
                </c:pt>
                <c:pt idx="79">
                  <c:v>29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32</c:v>
                </c:pt>
                <c:pt idx="85">
                  <c:v>27</c:v>
                </c:pt>
                <c:pt idx="86">
                  <c:v>47</c:v>
                </c:pt>
                <c:pt idx="87">
                  <c:v>33</c:v>
                </c:pt>
                <c:pt idx="88">
                  <c:v>32</c:v>
                </c:pt>
                <c:pt idx="89">
                  <c:v>25</c:v>
                </c:pt>
                <c:pt idx="90">
                  <c:v>31</c:v>
                </c:pt>
                <c:pt idx="91">
                  <c:v>25</c:v>
                </c:pt>
                <c:pt idx="92">
                  <c:v>38</c:v>
                </c:pt>
                <c:pt idx="93">
                  <c:v>63</c:v>
                </c:pt>
                <c:pt idx="94">
                  <c:v>34</c:v>
                </c:pt>
                <c:pt idx="95">
                  <c:v>26</c:v>
                </c:pt>
                <c:pt idx="96">
                  <c:v>26</c:v>
                </c:pt>
                <c:pt idx="97">
                  <c:v>45</c:v>
                </c:pt>
                <c:pt idx="98">
                  <c:v>36</c:v>
                </c:pt>
                <c:pt idx="99">
                  <c:v>36</c:v>
                </c:pt>
                <c:pt idx="100">
                  <c:v>35</c:v>
                </c:pt>
                <c:pt idx="101">
                  <c:v>31</c:v>
                </c:pt>
                <c:pt idx="102">
                  <c:v>23</c:v>
                </c:pt>
                <c:pt idx="103">
                  <c:v>29</c:v>
                </c:pt>
                <c:pt idx="104">
                  <c:v>18</c:v>
                </c:pt>
                <c:pt idx="105">
                  <c:v>18</c:v>
                </c:pt>
                <c:pt idx="106">
                  <c:v>57</c:v>
                </c:pt>
                <c:pt idx="107">
                  <c:v>48</c:v>
                </c:pt>
                <c:pt idx="108">
                  <c:v>53</c:v>
                </c:pt>
                <c:pt idx="109">
                  <c:v>41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32</c:v>
                </c:pt>
                <c:pt idx="122">
                  <c:v>22</c:v>
                </c:pt>
                <c:pt idx="123">
                  <c:v>22</c:v>
                </c:pt>
                <c:pt idx="124">
                  <c:v>24</c:v>
                </c:pt>
                <c:pt idx="125">
                  <c:v>32</c:v>
                </c:pt>
                <c:pt idx="126">
                  <c:v>23</c:v>
                </c:pt>
                <c:pt idx="127">
                  <c:v>19</c:v>
                </c:pt>
                <c:pt idx="128">
                  <c:v>29</c:v>
                </c:pt>
                <c:pt idx="129">
                  <c:v>23</c:v>
                </c:pt>
                <c:pt idx="130">
                  <c:v>36</c:v>
                </c:pt>
                <c:pt idx="131">
                  <c:v>47</c:v>
                </c:pt>
                <c:pt idx="132">
                  <c:v>28</c:v>
                </c:pt>
                <c:pt idx="133">
                  <c:v>28</c:v>
                </c:pt>
                <c:pt idx="134">
                  <c:v>39</c:v>
                </c:pt>
                <c:pt idx="135">
                  <c:v>54</c:v>
                </c:pt>
                <c:pt idx="136">
                  <c:v>35</c:v>
                </c:pt>
                <c:pt idx="137">
                  <c:v>24</c:v>
                </c:pt>
                <c:pt idx="138">
                  <c:v>30</c:v>
                </c:pt>
                <c:pt idx="139">
                  <c:v>24</c:v>
                </c:pt>
                <c:pt idx="140">
                  <c:v>24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19</c:v>
                </c:pt>
                <c:pt idx="147">
                  <c:v>17</c:v>
                </c:pt>
                <c:pt idx="148">
                  <c:v>17</c:v>
                </c:pt>
                <c:pt idx="149">
                  <c:v>16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17</c:v>
                </c:pt>
                <c:pt idx="161">
                  <c:v>17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17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23</c:v>
                </c:pt>
                <c:pt idx="180">
                  <c:v>24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27</c:v>
                </c:pt>
                <c:pt idx="186">
                  <c:v>17</c:v>
                </c:pt>
                <c:pt idx="187">
                  <c:v>19</c:v>
                </c:pt>
                <c:pt idx="188">
                  <c:v>19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30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28</c:v>
                </c:pt>
                <c:pt idx="206">
                  <c:v>28</c:v>
                </c:pt>
                <c:pt idx="207">
                  <c:v>24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23</c:v>
                </c:pt>
                <c:pt idx="212">
                  <c:v>21</c:v>
                </c:pt>
                <c:pt idx="213">
                  <c:v>34</c:v>
                </c:pt>
                <c:pt idx="214">
                  <c:v>24</c:v>
                </c:pt>
                <c:pt idx="215">
                  <c:v>21</c:v>
                </c:pt>
                <c:pt idx="216">
                  <c:v>30</c:v>
                </c:pt>
                <c:pt idx="217">
                  <c:v>22</c:v>
                </c:pt>
                <c:pt idx="218">
                  <c:v>30</c:v>
                </c:pt>
                <c:pt idx="219">
                  <c:v>30</c:v>
                </c:pt>
                <c:pt idx="220">
                  <c:v>33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24</c:v>
                </c:pt>
                <c:pt idx="227">
                  <c:v>23</c:v>
                </c:pt>
                <c:pt idx="228">
                  <c:v>23</c:v>
                </c:pt>
                <c:pt idx="229">
                  <c:v>30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23</c:v>
                </c:pt>
                <c:pt idx="239">
                  <c:v>24</c:v>
                </c:pt>
                <c:pt idx="240">
                  <c:v>29</c:v>
                </c:pt>
                <c:pt idx="241">
                  <c:v>19</c:v>
                </c:pt>
                <c:pt idx="242">
                  <c:v>19</c:v>
                </c:pt>
                <c:pt idx="243">
                  <c:v>22</c:v>
                </c:pt>
                <c:pt idx="244">
                  <c:v>24</c:v>
                </c:pt>
                <c:pt idx="245">
                  <c:v>27</c:v>
                </c:pt>
                <c:pt idx="246">
                  <c:v>26</c:v>
                </c:pt>
                <c:pt idx="247">
                  <c:v>35</c:v>
                </c:pt>
                <c:pt idx="248">
                  <c:v>18</c:v>
                </c:pt>
                <c:pt idx="249">
                  <c:v>17</c:v>
                </c:pt>
                <c:pt idx="250">
                  <c:v>17</c:v>
                </c:pt>
                <c:pt idx="251">
                  <c:v>22</c:v>
                </c:pt>
                <c:pt idx="252">
                  <c:v>17</c:v>
                </c:pt>
                <c:pt idx="253">
                  <c:v>15</c:v>
                </c:pt>
                <c:pt idx="254">
                  <c:v>17</c:v>
                </c:pt>
                <c:pt idx="255">
                  <c:v>15</c:v>
                </c:pt>
                <c:pt idx="256">
                  <c:v>32</c:v>
                </c:pt>
                <c:pt idx="257">
                  <c:v>29</c:v>
                </c:pt>
                <c:pt idx="258">
                  <c:v>26</c:v>
                </c:pt>
                <c:pt idx="259">
                  <c:v>28</c:v>
                </c:pt>
                <c:pt idx="260">
                  <c:v>27</c:v>
                </c:pt>
                <c:pt idx="261">
                  <c:v>23</c:v>
                </c:pt>
                <c:pt idx="262">
                  <c:v>22</c:v>
                </c:pt>
                <c:pt idx="263">
                  <c:v>35</c:v>
                </c:pt>
                <c:pt idx="264">
                  <c:v>21</c:v>
                </c:pt>
                <c:pt idx="265">
                  <c:v>36</c:v>
                </c:pt>
                <c:pt idx="266">
                  <c:v>20</c:v>
                </c:pt>
                <c:pt idx="267">
                  <c:v>29</c:v>
                </c:pt>
                <c:pt idx="268">
                  <c:v>29</c:v>
                </c:pt>
                <c:pt idx="269">
                  <c:v>20</c:v>
                </c:pt>
                <c:pt idx="270">
                  <c:v>23</c:v>
                </c:pt>
                <c:pt idx="271">
                  <c:v>32</c:v>
                </c:pt>
                <c:pt idx="272">
                  <c:v>36</c:v>
                </c:pt>
                <c:pt idx="273">
                  <c:v>20</c:v>
                </c:pt>
                <c:pt idx="274">
                  <c:v>44</c:v>
                </c:pt>
                <c:pt idx="275">
                  <c:v>44</c:v>
                </c:pt>
                <c:pt idx="276">
                  <c:v>59</c:v>
                </c:pt>
                <c:pt idx="277">
                  <c:v>48</c:v>
                </c:pt>
                <c:pt idx="278">
                  <c:v>46</c:v>
                </c:pt>
                <c:pt idx="279">
                  <c:v>46</c:v>
                </c:pt>
                <c:pt idx="280">
                  <c:v>47</c:v>
                </c:pt>
                <c:pt idx="281">
                  <c:v>49</c:v>
                </c:pt>
                <c:pt idx="282">
                  <c:v>56</c:v>
                </c:pt>
                <c:pt idx="283">
                  <c:v>52</c:v>
                </c:pt>
                <c:pt idx="284">
                  <c:v>56</c:v>
                </c:pt>
                <c:pt idx="285">
                  <c:v>61</c:v>
                </c:pt>
                <c:pt idx="286">
                  <c:v>56</c:v>
                </c:pt>
                <c:pt idx="287">
                  <c:v>48</c:v>
                </c:pt>
                <c:pt idx="288">
                  <c:v>33</c:v>
                </c:pt>
                <c:pt idx="289">
                  <c:v>38</c:v>
                </c:pt>
                <c:pt idx="290">
                  <c:v>40</c:v>
                </c:pt>
                <c:pt idx="291">
                  <c:v>28</c:v>
                </c:pt>
                <c:pt idx="292">
                  <c:v>29</c:v>
                </c:pt>
                <c:pt idx="293">
                  <c:v>27</c:v>
                </c:pt>
                <c:pt idx="294">
                  <c:v>32</c:v>
                </c:pt>
                <c:pt idx="295">
                  <c:v>37</c:v>
                </c:pt>
                <c:pt idx="296">
                  <c:v>56</c:v>
                </c:pt>
                <c:pt idx="297">
                  <c:v>42</c:v>
                </c:pt>
                <c:pt idx="298">
                  <c:v>22</c:v>
                </c:pt>
                <c:pt idx="299">
                  <c:v>38</c:v>
                </c:pt>
                <c:pt idx="300">
                  <c:v>27</c:v>
                </c:pt>
                <c:pt idx="301">
                  <c:v>21</c:v>
                </c:pt>
                <c:pt idx="302">
                  <c:v>21</c:v>
                </c:pt>
                <c:pt idx="303">
                  <c:v>44</c:v>
                </c:pt>
                <c:pt idx="304">
                  <c:v>26</c:v>
                </c:pt>
                <c:pt idx="305">
                  <c:v>25</c:v>
                </c:pt>
                <c:pt idx="306">
                  <c:v>47</c:v>
                </c:pt>
                <c:pt idx="307">
                  <c:v>43</c:v>
                </c:pt>
                <c:pt idx="308">
                  <c:v>43</c:v>
                </c:pt>
                <c:pt idx="309">
                  <c:v>51</c:v>
                </c:pt>
                <c:pt idx="310">
                  <c:v>39</c:v>
                </c:pt>
                <c:pt idx="311">
                  <c:v>31</c:v>
                </c:pt>
                <c:pt idx="312">
                  <c:v>52</c:v>
                </c:pt>
                <c:pt idx="313">
                  <c:v>48</c:v>
                </c:pt>
                <c:pt idx="314">
                  <c:v>42</c:v>
                </c:pt>
                <c:pt idx="315">
                  <c:v>24</c:v>
                </c:pt>
                <c:pt idx="316">
                  <c:v>23</c:v>
                </c:pt>
                <c:pt idx="317">
                  <c:v>18</c:v>
                </c:pt>
                <c:pt idx="318">
                  <c:v>18</c:v>
                </c:pt>
                <c:pt idx="319">
                  <c:v>19</c:v>
                </c:pt>
                <c:pt idx="320">
                  <c:v>21</c:v>
                </c:pt>
                <c:pt idx="321">
                  <c:v>21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23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23</c:v>
                </c:pt>
                <c:pt idx="349">
                  <c:v>23</c:v>
                </c:pt>
                <c:pt idx="350" formatCode="0.0">
                  <c:v>15</c:v>
                </c:pt>
                <c:pt idx="351" formatCode="0.0">
                  <c:v>15</c:v>
                </c:pt>
                <c:pt idx="352" formatCode="0.0">
                  <c:v>15</c:v>
                </c:pt>
                <c:pt idx="353" formatCode="0.0">
                  <c:v>33</c:v>
                </c:pt>
                <c:pt idx="354" formatCode="0.0">
                  <c:v>41</c:v>
                </c:pt>
                <c:pt idx="356" formatCode="0.0">
                  <c:v>30</c:v>
                </c:pt>
                <c:pt idx="357" formatCode="0.0">
                  <c:v>13</c:v>
                </c:pt>
                <c:pt idx="358" formatCode="0.0">
                  <c:v>17</c:v>
                </c:pt>
                <c:pt idx="359" formatCode="0.0">
                  <c:v>18</c:v>
                </c:pt>
                <c:pt idx="360" formatCode="0.0">
                  <c:v>17</c:v>
                </c:pt>
                <c:pt idx="361" formatCode="0.0">
                  <c:v>20</c:v>
                </c:pt>
                <c:pt idx="362" formatCode="0.0">
                  <c:v>19</c:v>
                </c:pt>
                <c:pt idx="363" formatCode="0.0">
                  <c:v>21</c:v>
                </c:pt>
                <c:pt idx="364" formatCode="0.0">
                  <c:v>17</c:v>
                </c:pt>
                <c:pt idx="365" formatCode="0.0">
                  <c:v>17</c:v>
                </c:pt>
                <c:pt idx="366" formatCode="0.0">
                  <c:v>17</c:v>
                </c:pt>
                <c:pt idx="367" formatCode="0.0">
                  <c:v>26</c:v>
                </c:pt>
                <c:pt idx="368" formatCode="0.0">
                  <c:v>23</c:v>
                </c:pt>
                <c:pt idx="369" formatCode="0.0">
                  <c:v>19</c:v>
                </c:pt>
                <c:pt idx="370" formatCode="0.0">
                  <c:v>24</c:v>
                </c:pt>
                <c:pt idx="371" formatCode="0.0">
                  <c:v>24</c:v>
                </c:pt>
                <c:pt idx="372" formatCode="0.0">
                  <c:v>19</c:v>
                </c:pt>
                <c:pt idx="373" formatCode="0.0">
                  <c:v>28</c:v>
                </c:pt>
                <c:pt idx="374" formatCode="0.0">
                  <c:v>18</c:v>
                </c:pt>
                <c:pt idx="375" formatCode="0.0">
                  <c:v>30</c:v>
                </c:pt>
                <c:pt idx="376" formatCode="0.0">
                  <c:v>23</c:v>
                </c:pt>
                <c:pt idx="377" formatCode="0.0">
                  <c:v>18</c:v>
                </c:pt>
                <c:pt idx="378" formatCode="0.0">
                  <c:v>21</c:v>
                </c:pt>
                <c:pt idx="379" formatCode="0.0">
                  <c:v>17</c:v>
                </c:pt>
                <c:pt idx="380" formatCode="0.0">
                  <c:v>18</c:v>
                </c:pt>
                <c:pt idx="381" formatCode="0.0">
                  <c:v>18</c:v>
                </c:pt>
                <c:pt idx="382" formatCode="0.0">
                  <c:v>16</c:v>
                </c:pt>
                <c:pt idx="383" formatCode="0.0">
                  <c:v>16</c:v>
                </c:pt>
                <c:pt idx="384" formatCode="0.0">
                  <c:v>16</c:v>
                </c:pt>
                <c:pt idx="385" formatCode="0.0">
                  <c:v>16</c:v>
                </c:pt>
                <c:pt idx="386" formatCode="0.0">
                  <c:v>17</c:v>
                </c:pt>
                <c:pt idx="387" formatCode="0.0">
                  <c:v>17</c:v>
                </c:pt>
                <c:pt idx="388" formatCode="0.0">
                  <c:v>17</c:v>
                </c:pt>
                <c:pt idx="389" formatCode="0.0">
                  <c:v>18</c:v>
                </c:pt>
                <c:pt idx="390" formatCode="0.0">
                  <c:v>19</c:v>
                </c:pt>
                <c:pt idx="391" formatCode="0.0">
                  <c:v>25</c:v>
                </c:pt>
                <c:pt idx="392" formatCode="0.0">
                  <c:v>18</c:v>
                </c:pt>
                <c:pt idx="393" formatCode="0.0">
                  <c:v>29</c:v>
                </c:pt>
                <c:pt idx="394" formatCode="0.0">
                  <c:v>24</c:v>
                </c:pt>
                <c:pt idx="395" formatCode="0.0">
                  <c:v>21</c:v>
                </c:pt>
                <c:pt idx="396" formatCode="0.0">
                  <c:v>23</c:v>
                </c:pt>
                <c:pt idx="397" formatCode="0.0">
                  <c:v>30</c:v>
                </c:pt>
                <c:pt idx="398" formatCode="0.0">
                  <c:v>28</c:v>
                </c:pt>
                <c:pt idx="399" formatCode="0.0">
                  <c:v>25</c:v>
                </c:pt>
                <c:pt idx="400" formatCode="0.0">
                  <c:v>28</c:v>
                </c:pt>
                <c:pt idx="401" formatCode="0.0">
                  <c:v>28</c:v>
                </c:pt>
                <c:pt idx="402" formatCode="0.0">
                  <c:v>27</c:v>
                </c:pt>
                <c:pt idx="403" formatCode="0.0">
                  <c:v>30</c:v>
                </c:pt>
                <c:pt idx="404" formatCode="0.0">
                  <c:v>27</c:v>
                </c:pt>
                <c:pt idx="405" formatCode="0.0">
                  <c:v>27</c:v>
                </c:pt>
                <c:pt idx="406" formatCode="0.0">
                  <c:v>29</c:v>
                </c:pt>
                <c:pt idx="407" formatCode="0.0">
                  <c:v>26</c:v>
                </c:pt>
                <c:pt idx="408" formatCode="0.0">
                  <c:v>26</c:v>
                </c:pt>
                <c:pt idx="409" formatCode="0.0">
                  <c:v>26</c:v>
                </c:pt>
                <c:pt idx="410" formatCode="0.0">
                  <c:v>26</c:v>
                </c:pt>
                <c:pt idx="411" formatCode="0.0">
                  <c:v>19</c:v>
                </c:pt>
                <c:pt idx="412" formatCode="0.0">
                  <c:v>20</c:v>
                </c:pt>
                <c:pt idx="413" formatCode="0.0">
                  <c:v>17</c:v>
                </c:pt>
                <c:pt idx="414" formatCode="0.0">
                  <c:v>24</c:v>
                </c:pt>
                <c:pt idx="415" formatCode="0.0">
                  <c:v>14</c:v>
                </c:pt>
                <c:pt idx="416" formatCode="0.0">
                  <c:v>20</c:v>
                </c:pt>
                <c:pt idx="417" formatCode="0.0">
                  <c:v>27</c:v>
                </c:pt>
                <c:pt idx="418" formatCode="0.0">
                  <c:v>24</c:v>
                </c:pt>
                <c:pt idx="419" formatCode="0.0">
                  <c:v>30</c:v>
                </c:pt>
                <c:pt idx="420" formatCode="0.0">
                  <c:v>36</c:v>
                </c:pt>
                <c:pt idx="421" formatCode="0.0">
                  <c:v>30</c:v>
                </c:pt>
                <c:pt idx="422" formatCode="0.0">
                  <c:v>21</c:v>
                </c:pt>
                <c:pt idx="423" formatCode="0.0">
                  <c:v>23</c:v>
                </c:pt>
                <c:pt idx="424" formatCode="0.0">
                  <c:v>28</c:v>
                </c:pt>
                <c:pt idx="425" formatCode="0.0">
                  <c:v>26</c:v>
                </c:pt>
                <c:pt idx="426" formatCode="0.0">
                  <c:v>24</c:v>
                </c:pt>
                <c:pt idx="427" formatCode="0.0">
                  <c:v>33</c:v>
                </c:pt>
                <c:pt idx="428" formatCode="0.0">
                  <c:v>27</c:v>
                </c:pt>
                <c:pt idx="429" formatCode="0.0">
                  <c:v>23</c:v>
                </c:pt>
                <c:pt idx="430" formatCode="0.0">
                  <c:v>30</c:v>
                </c:pt>
                <c:pt idx="431" formatCode="0.0">
                  <c:v>32</c:v>
                </c:pt>
                <c:pt idx="432" formatCode="0.0">
                  <c:v>32</c:v>
                </c:pt>
                <c:pt idx="433" formatCode="0.0">
                  <c:v>24</c:v>
                </c:pt>
                <c:pt idx="434" formatCode="0.0">
                  <c:v>29</c:v>
                </c:pt>
                <c:pt idx="435" formatCode="0.0">
                  <c:v>24</c:v>
                </c:pt>
                <c:pt idx="436" formatCode="0.0">
                  <c:v>29</c:v>
                </c:pt>
                <c:pt idx="437" formatCode="0.0">
                  <c:v>23</c:v>
                </c:pt>
                <c:pt idx="438" formatCode="0.0">
                  <c:v>26</c:v>
                </c:pt>
                <c:pt idx="439" formatCode="0.0">
                  <c:v>29</c:v>
                </c:pt>
                <c:pt idx="440" formatCode="0.0">
                  <c:v>30</c:v>
                </c:pt>
                <c:pt idx="441" formatCode="0.0">
                  <c:v>20</c:v>
                </c:pt>
                <c:pt idx="442" formatCode="0.0">
                  <c:v>22</c:v>
                </c:pt>
                <c:pt idx="443" formatCode="0.0">
                  <c:v>20</c:v>
                </c:pt>
                <c:pt idx="444" formatCode="0.0">
                  <c:v>28</c:v>
                </c:pt>
                <c:pt idx="445" formatCode="0.0">
                  <c:v>29</c:v>
                </c:pt>
                <c:pt idx="446" formatCode="0.0">
                  <c:v>17</c:v>
                </c:pt>
                <c:pt idx="447" formatCode="0.0">
                  <c:v>17</c:v>
                </c:pt>
                <c:pt idx="448" formatCode="0.0">
                  <c:v>17</c:v>
                </c:pt>
                <c:pt idx="449" formatCode="0.0">
                  <c:v>17</c:v>
                </c:pt>
                <c:pt idx="450" formatCode="0.0">
                  <c:v>23</c:v>
                </c:pt>
                <c:pt idx="451" formatCode="0.0">
                  <c:v>34</c:v>
                </c:pt>
                <c:pt idx="452" formatCode="0.0">
                  <c:v>35</c:v>
                </c:pt>
                <c:pt idx="453" formatCode="0.0">
                  <c:v>31</c:v>
                </c:pt>
                <c:pt idx="454" formatCode="0.0">
                  <c:v>25</c:v>
                </c:pt>
                <c:pt idx="455" formatCode="0.0">
                  <c:v>19</c:v>
                </c:pt>
                <c:pt idx="456" formatCode="0.0">
                  <c:v>34</c:v>
                </c:pt>
                <c:pt idx="458" formatCode="0.0">
                  <c:v>22</c:v>
                </c:pt>
                <c:pt idx="459" formatCode="0.0">
                  <c:v>33</c:v>
                </c:pt>
                <c:pt idx="460" formatCode="0.0">
                  <c:v>26</c:v>
                </c:pt>
                <c:pt idx="461" formatCode="0.0">
                  <c:v>30</c:v>
                </c:pt>
                <c:pt idx="462" formatCode="0.0">
                  <c:v>27</c:v>
                </c:pt>
                <c:pt idx="463" formatCode="0.0">
                  <c:v>20</c:v>
                </c:pt>
                <c:pt idx="464" formatCode="0.0">
                  <c:v>34</c:v>
                </c:pt>
                <c:pt idx="465" formatCode="0.0">
                  <c:v>32</c:v>
                </c:pt>
                <c:pt idx="466" formatCode="0.0">
                  <c:v>35</c:v>
                </c:pt>
                <c:pt idx="467" formatCode="0.0">
                  <c:v>21</c:v>
                </c:pt>
                <c:pt idx="468" formatCode="0.0">
                  <c:v>23</c:v>
                </c:pt>
                <c:pt idx="469" formatCode="0.0">
                  <c:v>24</c:v>
                </c:pt>
                <c:pt idx="470" formatCode="0.0">
                  <c:v>#N/A</c:v>
                </c:pt>
                <c:pt idx="471" formatCode="0.0">
                  <c:v>0</c:v>
                </c:pt>
                <c:pt idx="472" formatCode="0.0">
                  <c:v>0</c:v>
                </c:pt>
                <c:pt idx="473" formatCode="0.0">
                  <c:v>0</c:v>
                </c:pt>
                <c:pt idx="474" formatCode="0.0">
                  <c:v>0</c:v>
                </c:pt>
                <c:pt idx="475" formatCode="0.0">
                  <c:v>0</c:v>
                </c:pt>
                <c:pt idx="476" formatCode="0.0">
                  <c:v>0</c:v>
                </c:pt>
                <c:pt idx="477" formatCode="0.0">
                  <c:v>0</c:v>
                </c:pt>
                <c:pt idx="478" formatCode="0.0">
                  <c:v>0</c:v>
                </c:pt>
                <c:pt idx="479" formatCode="0.0">
                  <c:v>0</c:v>
                </c:pt>
                <c:pt idx="480" formatCode="0.0">
                  <c:v>0</c:v>
                </c:pt>
                <c:pt idx="481" formatCode="0.0">
                  <c:v>0</c:v>
                </c:pt>
                <c:pt idx="482" formatCode="0.0">
                  <c:v>0</c:v>
                </c:pt>
                <c:pt idx="483" formatCode="0.0">
                  <c:v>0</c:v>
                </c:pt>
                <c:pt idx="484" formatCode="0.0">
                  <c:v>0</c:v>
                </c:pt>
                <c:pt idx="485" formatCode="0.0">
                  <c:v>#N/A</c:v>
                </c:pt>
                <c:pt idx="486" formatCode="0.0">
                  <c:v>#N/A</c:v>
                </c:pt>
                <c:pt idx="487" formatCode="0.0">
                  <c:v>0</c:v>
                </c:pt>
                <c:pt idx="488" formatCode="0.0">
                  <c:v>0</c:v>
                </c:pt>
                <c:pt idx="489" formatCode="0.0">
                  <c:v>0</c:v>
                </c:pt>
                <c:pt idx="490" formatCode="0.0">
                  <c:v>0</c:v>
                </c:pt>
                <c:pt idx="491" formatCode="0.0">
                  <c:v>#N/A</c:v>
                </c:pt>
                <c:pt idx="492" formatCode="0.0">
                  <c:v>#N/A</c:v>
                </c:pt>
                <c:pt idx="493" formatCode="0.0">
                  <c:v>#N/A</c:v>
                </c:pt>
                <c:pt idx="494" formatCode="0.0">
                  <c:v>#N/A</c:v>
                </c:pt>
                <c:pt idx="495" formatCode="0.0">
                  <c:v>#N/A</c:v>
                </c:pt>
                <c:pt idx="496" formatCode="0.0">
                  <c:v>#N/A</c:v>
                </c:pt>
                <c:pt idx="497" formatCode="0.0">
                  <c:v>#N/A</c:v>
                </c:pt>
                <c:pt idx="498" formatCode="0.0">
                  <c:v>#N/A</c:v>
                </c:pt>
                <c:pt idx="499" formatCode="0.0">
                  <c:v>#N/A</c:v>
                </c:pt>
                <c:pt idx="500" formatCode="0.0">
                  <c:v>#N/A</c:v>
                </c:pt>
                <c:pt idx="501" formatCode="0.0">
                  <c:v>#N/A</c:v>
                </c:pt>
                <c:pt idx="502" formatCode="0.0">
                  <c:v>#N/A</c:v>
                </c:pt>
                <c:pt idx="503" formatCode="0.0">
                  <c:v>#N/A</c:v>
                </c:pt>
                <c:pt idx="504" formatCode="0.0">
                  <c:v>#N/A</c:v>
                </c:pt>
                <c:pt idx="505">
                  <c:v>30</c:v>
                </c:pt>
                <c:pt idx="506">
                  <c:v>19</c:v>
                </c:pt>
                <c:pt idx="507">
                  <c:v>21</c:v>
                </c:pt>
                <c:pt idx="508">
                  <c:v>19</c:v>
                </c:pt>
                <c:pt idx="509">
                  <c:v>26</c:v>
                </c:pt>
                <c:pt idx="510">
                  <c:v>31</c:v>
                </c:pt>
                <c:pt idx="511">
                  <c:v>26</c:v>
                </c:pt>
                <c:pt idx="512">
                  <c:v>32</c:v>
                </c:pt>
                <c:pt idx="513">
                  <c:v>51</c:v>
                </c:pt>
                <c:pt idx="514">
                  <c:v>24</c:v>
                </c:pt>
                <c:pt idx="515">
                  <c:v>20</c:v>
                </c:pt>
                <c:pt idx="516">
                  <c:v>19</c:v>
                </c:pt>
                <c:pt idx="517">
                  <c:v>30</c:v>
                </c:pt>
                <c:pt idx="518">
                  <c:v>43</c:v>
                </c:pt>
                <c:pt idx="519">
                  <c:v>42</c:v>
                </c:pt>
                <c:pt idx="520">
                  <c:v>51</c:v>
                </c:pt>
                <c:pt idx="521">
                  <c:v>42</c:v>
                </c:pt>
                <c:pt idx="522">
                  <c:v>28</c:v>
                </c:pt>
                <c:pt idx="523">
                  <c:v>26</c:v>
                </c:pt>
                <c:pt idx="524">
                  <c:v>27</c:v>
                </c:pt>
                <c:pt idx="525">
                  <c:v>27</c:v>
                </c:pt>
                <c:pt idx="526">
                  <c:v>21</c:v>
                </c:pt>
                <c:pt idx="527">
                  <c:v>30</c:v>
                </c:pt>
                <c:pt idx="528">
                  <c:v>27</c:v>
                </c:pt>
                <c:pt idx="529">
                  <c:v>24</c:v>
                </c:pt>
                <c:pt idx="530">
                  <c:v>30</c:v>
                </c:pt>
                <c:pt idx="531">
                  <c:v>56</c:v>
                </c:pt>
                <c:pt idx="532">
                  <c:v>38</c:v>
                </c:pt>
                <c:pt idx="533">
                  <c:v>50</c:v>
                </c:pt>
                <c:pt idx="534">
                  <c:v>27</c:v>
                </c:pt>
                <c:pt idx="535">
                  <c:v>18</c:v>
                </c:pt>
                <c:pt idx="536">
                  <c:v>37</c:v>
                </c:pt>
                <c:pt idx="537">
                  <c:v>17</c:v>
                </c:pt>
                <c:pt idx="538">
                  <c:v>14</c:v>
                </c:pt>
                <c:pt idx="539">
                  <c:v>21</c:v>
                </c:pt>
                <c:pt idx="540">
                  <c:v>29</c:v>
                </c:pt>
                <c:pt idx="541">
                  <c:v>28</c:v>
                </c:pt>
                <c:pt idx="542">
                  <c:v>25</c:v>
                </c:pt>
                <c:pt idx="543">
                  <c:v>33</c:v>
                </c:pt>
                <c:pt idx="544">
                  <c:v>19</c:v>
                </c:pt>
                <c:pt idx="545">
                  <c:v>27</c:v>
                </c:pt>
                <c:pt idx="546">
                  <c:v>38</c:v>
                </c:pt>
                <c:pt idx="547">
                  <c:v>34</c:v>
                </c:pt>
                <c:pt idx="548">
                  <c:v>39</c:v>
                </c:pt>
                <c:pt idx="549">
                  <c:v>34</c:v>
                </c:pt>
                <c:pt idx="550">
                  <c:v>37</c:v>
                </c:pt>
                <c:pt idx="551">
                  <c:v>32</c:v>
                </c:pt>
                <c:pt idx="552">
                  <c:v>35</c:v>
                </c:pt>
                <c:pt idx="553">
                  <c:v>39</c:v>
                </c:pt>
                <c:pt idx="554">
                  <c:v>30</c:v>
                </c:pt>
                <c:pt idx="555">
                  <c:v>35</c:v>
                </c:pt>
                <c:pt idx="556">
                  <c:v>24</c:v>
                </c:pt>
                <c:pt idx="557">
                  <c:v>22</c:v>
                </c:pt>
                <c:pt idx="558">
                  <c:v>27</c:v>
                </c:pt>
                <c:pt idx="559">
                  <c:v>29</c:v>
                </c:pt>
                <c:pt idx="560">
                  <c:v>17</c:v>
                </c:pt>
                <c:pt idx="561">
                  <c:v>20</c:v>
                </c:pt>
                <c:pt idx="562">
                  <c:v>20</c:v>
                </c:pt>
                <c:pt idx="563">
                  <c:v>27</c:v>
                </c:pt>
                <c:pt idx="564">
                  <c:v>28</c:v>
                </c:pt>
                <c:pt idx="565">
                  <c:v>30</c:v>
                </c:pt>
                <c:pt idx="566">
                  <c:v>31</c:v>
                </c:pt>
                <c:pt idx="567">
                  <c:v>41</c:v>
                </c:pt>
                <c:pt idx="568">
                  <c:v>41</c:v>
                </c:pt>
                <c:pt idx="569">
                  <c:v>39</c:v>
                </c:pt>
                <c:pt idx="570">
                  <c:v>48</c:v>
                </c:pt>
                <c:pt idx="571">
                  <c:v>34</c:v>
                </c:pt>
                <c:pt idx="572">
                  <c:v>22</c:v>
                </c:pt>
                <c:pt idx="573">
                  <c:v>23</c:v>
                </c:pt>
                <c:pt idx="574">
                  <c:v>20</c:v>
                </c:pt>
                <c:pt idx="575">
                  <c:v>24</c:v>
                </c:pt>
                <c:pt idx="576">
                  <c:v>27</c:v>
                </c:pt>
                <c:pt idx="577">
                  <c:v>15</c:v>
                </c:pt>
                <c:pt idx="578">
                  <c:v>15</c:v>
                </c:pt>
                <c:pt idx="579">
                  <c:v>30</c:v>
                </c:pt>
                <c:pt idx="580">
                  <c:v>42</c:v>
                </c:pt>
                <c:pt idx="581">
                  <c:v>20</c:v>
                </c:pt>
                <c:pt idx="582">
                  <c:v>36</c:v>
                </c:pt>
                <c:pt idx="583">
                  <c:v>25</c:v>
                </c:pt>
                <c:pt idx="584">
                  <c:v>27</c:v>
                </c:pt>
                <c:pt idx="585" formatCode="0.0">
                  <c:v>18</c:v>
                </c:pt>
                <c:pt idx="586" formatCode="0.0">
                  <c:v>17</c:v>
                </c:pt>
                <c:pt idx="587" formatCode="0.0">
                  <c:v>17</c:v>
                </c:pt>
                <c:pt idx="588" formatCode="0.0">
                  <c:v>17</c:v>
                </c:pt>
                <c:pt idx="589" formatCode="0.0">
                  <c:v>17</c:v>
                </c:pt>
                <c:pt idx="590" formatCode="0.0">
                  <c:v>17</c:v>
                </c:pt>
                <c:pt idx="591" formatCode="0.0">
                  <c:v>17</c:v>
                </c:pt>
                <c:pt idx="592" formatCode="0.0">
                  <c:v>17</c:v>
                </c:pt>
                <c:pt idx="593" formatCode="0.0">
                  <c:v>17</c:v>
                </c:pt>
                <c:pt idx="594" formatCode="0.0">
                  <c:v>21</c:v>
                </c:pt>
                <c:pt idx="595" formatCode="0.0">
                  <c:v>38</c:v>
                </c:pt>
                <c:pt idx="596" formatCode="0.0">
                  <c:v>40</c:v>
                </c:pt>
                <c:pt idx="597" formatCode="0.0">
                  <c:v>24</c:v>
                </c:pt>
                <c:pt idx="598" formatCode="0.0">
                  <c:v>24</c:v>
                </c:pt>
                <c:pt idx="599" formatCode="0.0">
                  <c:v>23</c:v>
                </c:pt>
                <c:pt idx="600" formatCode="0.0">
                  <c:v>44</c:v>
                </c:pt>
                <c:pt idx="601" formatCode="0.0">
                  <c:v>40</c:v>
                </c:pt>
                <c:pt idx="602" formatCode="0.0">
                  <c:v>39</c:v>
                </c:pt>
                <c:pt idx="603" formatCode="0.0">
                  <c:v>41</c:v>
                </c:pt>
                <c:pt idx="604" formatCode="0.0">
                  <c:v>24</c:v>
                </c:pt>
                <c:pt idx="605" formatCode="0.0">
                  <c:v>45</c:v>
                </c:pt>
                <c:pt idx="606" formatCode="0.0">
                  <c:v>29</c:v>
                </c:pt>
                <c:pt idx="607" formatCode="0.0">
                  <c:v>23</c:v>
                </c:pt>
                <c:pt idx="608" formatCode="0.0">
                  <c:v>23</c:v>
                </c:pt>
                <c:pt idx="609" formatCode="0.0">
                  <c:v>23</c:v>
                </c:pt>
                <c:pt idx="610" formatCode="0.0">
                  <c:v>18</c:v>
                </c:pt>
                <c:pt idx="611" formatCode="0.0">
                  <c:v>18</c:v>
                </c:pt>
                <c:pt idx="612" formatCode="0.0">
                  <c:v>18</c:v>
                </c:pt>
                <c:pt idx="613" formatCode="0.0">
                  <c:v>33</c:v>
                </c:pt>
                <c:pt idx="614" formatCode="0.0">
                  <c:v>46</c:v>
                </c:pt>
                <c:pt idx="615" formatCode="0.0">
                  <c:v>45</c:v>
                </c:pt>
                <c:pt idx="616" formatCode="0.0">
                  <c:v>48</c:v>
                </c:pt>
                <c:pt idx="617" formatCode="0.0">
                  <c:v>40</c:v>
                </c:pt>
                <c:pt idx="618" formatCode="0.0">
                  <c:v>46</c:v>
                </c:pt>
                <c:pt idx="619" formatCode="0.0">
                  <c:v>40</c:v>
                </c:pt>
                <c:pt idx="620" formatCode="0.0">
                  <c:v>31</c:v>
                </c:pt>
                <c:pt idx="621" formatCode="0.0">
                  <c:v>37</c:v>
                </c:pt>
                <c:pt idx="622" formatCode="0.0">
                  <c:v>42</c:v>
                </c:pt>
                <c:pt idx="623" formatCode="0.0">
                  <c:v>50</c:v>
                </c:pt>
                <c:pt idx="624" formatCode="0.0">
                  <c:v>24</c:v>
                </c:pt>
                <c:pt idx="625" formatCode="0.0">
                  <c:v>26</c:v>
                </c:pt>
                <c:pt idx="626" formatCode="0.0">
                  <c:v>44</c:v>
                </c:pt>
                <c:pt idx="627" formatCode="0.0">
                  <c:v>33</c:v>
                </c:pt>
                <c:pt idx="628" formatCode="0.0">
                  <c:v>40</c:v>
                </c:pt>
                <c:pt idx="629" formatCode="0.0">
                  <c:v>45</c:v>
                </c:pt>
                <c:pt idx="630" formatCode="0.0">
                  <c:v>29</c:v>
                </c:pt>
                <c:pt idx="631" formatCode="0.0">
                  <c:v>29</c:v>
                </c:pt>
                <c:pt idx="632">
                  <c:v>43</c:v>
                </c:pt>
                <c:pt idx="633">
                  <c:v>44</c:v>
                </c:pt>
                <c:pt idx="634" formatCode="0.0">
                  <c:v>35</c:v>
                </c:pt>
                <c:pt idx="635" formatCode="0.0">
                  <c:v>20</c:v>
                </c:pt>
                <c:pt idx="636" formatCode="0.0">
                  <c:v>23</c:v>
                </c:pt>
                <c:pt idx="637" formatCode="0.0">
                  <c:v>21</c:v>
                </c:pt>
                <c:pt idx="638" formatCode="0.0">
                  <c:v>30</c:v>
                </c:pt>
                <c:pt idx="639" formatCode="0.0">
                  <c:v>38</c:v>
                </c:pt>
                <c:pt idx="640" formatCode="0.0">
                  <c:v>29</c:v>
                </c:pt>
                <c:pt idx="641" formatCode="0.0">
                  <c:v>36</c:v>
                </c:pt>
                <c:pt idx="642" formatCode="0.0">
                  <c:v>29</c:v>
                </c:pt>
                <c:pt idx="643" formatCode="0.0">
                  <c:v>38</c:v>
                </c:pt>
                <c:pt idx="644" formatCode="0.0">
                  <c:v>45</c:v>
                </c:pt>
                <c:pt idx="645" formatCode="0.0">
                  <c:v>38</c:v>
                </c:pt>
                <c:pt idx="646" formatCode="0.0">
                  <c:v>37</c:v>
                </c:pt>
                <c:pt idx="647" formatCode="0.0">
                  <c:v>28</c:v>
                </c:pt>
                <c:pt idx="648" formatCode="0.0">
                  <c:v>35</c:v>
                </c:pt>
                <c:pt idx="649" formatCode="0.0">
                  <c:v>25</c:v>
                </c:pt>
                <c:pt idx="650" formatCode="0.0">
                  <c:v>42</c:v>
                </c:pt>
                <c:pt idx="651" formatCode="0.0">
                  <c:v>25</c:v>
                </c:pt>
                <c:pt idx="652" formatCode="0.0">
                  <c:v>17</c:v>
                </c:pt>
                <c:pt idx="653">
                  <c:v>46</c:v>
                </c:pt>
                <c:pt idx="654">
                  <c:v>36</c:v>
                </c:pt>
                <c:pt idx="655">
                  <c:v>42</c:v>
                </c:pt>
                <c:pt idx="656" formatCode="0.0">
                  <c:v>50</c:v>
                </c:pt>
                <c:pt idx="657" formatCode="0.0">
                  <c:v>43</c:v>
                </c:pt>
                <c:pt idx="658" formatCode="0.0">
                  <c:v>21</c:v>
                </c:pt>
                <c:pt idx="659" formatCode="0.0">
                  <c:v>21</c:v>
                </c:pt>
                <c:pt idx="660" formatCode="0.0">
                  <c:v>22</c:v>
                </c:pt>
                <c:pt idx="661" formatCode="0.0">
                  <c:v>44</c:v>
                </c:pt>
                <c:pt idx="662" formatCode="0.0">
                  <c:v>26</c:v>
                </c:pt>
                <c:pt idx="663" formatCode="0.0">
                  <c:v>21</c:v>
                </c:pt>
                <c:pt idx="664" formatCode="0.0">
                  <c:v>32</c:v>
                </c:pt>
                <c:pt idx="665" formatCode="0.0">
                  <c:v>27</c:v>
                </c:pt>
                <c:pt idx="666" formatCode="0.0">
                  <c:v>35</c:v>
                </c:pt>
                <c:pt idx="667" formatCode="0.0">
                  <c:v>34</c:v>
                </c:pt>
                <c:pt idx="668" formatCode="0.0">
                  <c:v>17</c:v>
                </c:pt>
                <c:pt idx="669" formatCode="0.0">
                  <c:v>55</c:v>
                </c:pt>
                <c:pt idx="670" formatCode="0.0">
                  <c:v>53</c:v>
                </c:pt>
                <c:pt idx="671" formatCode="0.0">
                  <c:v>58</c:v>
                </c:pt>
                <c:pt idx="672" formatCode="0.0">
                  <c:v>64</c:v>
                </c:pt>
                <c:pt idx="673" formatCode="0.0">
                  <c:v>68</c:v>
                </c:pt>
                <c:pt idx="674" formatCode="0.0">
                  <c:v>17</c:v>
                </c:pt>
                <c:pt idx="675" formatCode="0.0">
                  <c:v>17</c:v>
                </c:pt>
                <c:pt idx="676" formatCode="0.0">
                  <c:v>17</c:v>
                </c:pt>
                <c:pt idx="677" formatCode="0.0">
                  <c:v>17</c:v>
                </c:pt>
                <c:pt idx="678" formatCode="0.0">
                  <c:v>44</c:v>
                </c:pt>
                <c:pt idx="679">
                  <c:v>45</c:v>
                </c:pt>
                <c:pt idx="680">
                  <c:v>42</c:v>
                </c:pt>
                <c:pt idx="681">
                  <c:v>47</c:v>
                </c:pt>
                <c:pt idx="682">
                  <c:v>53</c:v>
                </c:pt>
                <c:pt idx="683">
                  <c:v>55</c:v>
                </c:pt>
                <c:pt idx="684">
                  <c:v>41</c:v>
                </c:pt>
                <c:pt idx="685">
                  <c:v>49</c:v>
                </c:pt>
                <c:pt idx="686">
                  <c:v>42</c:v>
                </c:pt>
                <c:pt idx="687">
                  <c:v>37</c:v>
                </c:pt>
                <c:pt idx="688">
                  <c:v>51</c:v>
                </c:pt>
                <c:pt idx="689">
                  <c:v>49</c:v>
                </c:pt>
                <c:pt idx="690">
                  <c:v>39</c:v>
                </c:pt>
                <c:pt idx="691" formatCode="0.0">
                  <c:v>30</c:v>
                </c:pt>
                <c:pt idx="692" formatCode="0.0">
                  <c:v>25</c:v>
                </c:pt>
                <c:pt idx="693" formatCode="0.0">
                  <c:v>21</c:v>
                </c:pt>
                <c:pt idx="694" formatCode="0.0">
                  <c:v>33</c:v>
                </c:pt>
                <c:pt idx="695" formatCode="0.0">
                  <c:v>29</c:v>
                </c:pt>
                <c:pt idx="696" formatCode="0.0">
                  <c:v>21</c:v>
                </c:pt>
                <c:pt idx="697" formatCode="0.0">
                  <c:v>34</c:v>
                </c:pt>
                <c:pt idx="698" formatCode="0.0">
                  <c:v>20</c:v>
                </c:pt>
                <c:pt idx="699" formatCode="0.0">
                  <c:v>37</c:v>
                </c:pt>
                <c:pt idx="700" formatCode="0.0">
                  <c:v>18</c:v>
                </c:pt>
                <c:pt idx="701" formatCode="0.0">
                  <c:v>18</c:v>
                </c:pt>
                <c:pt idx="702" formatCode="0.0">
                  <c:v>23</c:v>
                </c:pt>
                <c:pt idx="703" formatCode="0.0">
                  <c:v>26</c:v>
                </c:pt>
                <c:pt idx="704" formatCode="0.0">
                  <c:v>35</c:v>
                </c:pt>
                <c:pt idx="705" formatCode="0.0">
                  <c:v>29</c:v>
                </c:pt>
                <c:pt idx="706" formatCode="0.0">
                  <c:v>27</c:v>
                </c:pt>
                <c:pt idx="707" formatCode="0.0">
                  <c:v>28</c:v>
                </c:pt>
                <c:pt idx="708" formatCode="0.0">
                  <c:v>21</c:v>
                </c:pt>
                <c:pt idx="709" formatCode="0.0">
                  <c:v>22</c:v>
                </c:pt>
                <c:pt idx="710" formatCode="0.0">
                  <c:v>35</c:v>
                </c:pt>
                <c:pt idx="711" formatCode="0.0">
                  <c:v>22</c:v>
                </c:pt>
                <c:pt idx="712" formatCode="0.0">
                  <c:v>22</c:v>
                </c:pt>
                <c:pt idx="713" formatCode="0.0">
                  <c:v>22</c:v>
                </c:pt>
                <c:pt idx="714" formatCode="0.0">
                  <c:v>27</c:v>
                </c:pt>
                <c:pt idx="715" formatCode="0.0">
                  <c:v>29</c:v>
                </c:pt>
                <c:pt idx="716" formatCode="0.0">
                  <c:v>22</c:v>
                </c:pt>
                <c:pt idx="717" formatCode="0.0">
                  <c:v>22</c:v>
                </c:pt>
                <c:pt idx="718" formatCode="0.0">
                  <c:v>25</c:v>
                </c:pt>
                <c:pt idx="719" formatCode="0.0">
                  <c:v>23</c:v>
                </c:pt>
                <c:pt idx="720" formatCode="0.0">
                  <c:v>18</c:v>
                </c:pt>
                <c:pt idx="721" formatCode="0.0">
                  <c:v>24</c:v>
                </c:pt>
                <c:pt idx="722" formatCode="0.0">
                  <c:v>32</c:v>
                </c:pt>
                <c:pt idx="723" formatCode="0.0">
                  <c:v>24</c:v>
                </c:pt>
                <c:pt idx="724" formatCode="0.0">
                  <c:v>24</c:v>
                </c:pt>
                <c:pt idx="725" formatCode="0.0">
                  <c:v>24</c:v>
                </c:pt>
                <c:pt idx="726" formatCode="0.0">
                  <c:v>24</c:v>
                </c:pt>
                <c:pt idx="727">
                  <c:v>43</c:v>
                </c:pt>
                <c:pt idx="728">
                  <c:v>46</c:v>
                </c:pt>
                <c:pt idx="729">
                  <c:v>44</c:v>
                </c:pt>
                <c:pt idx="730" formatCode="0.0">
                  <c:v>35</c:v>
                </c:pt>
                <c:pt idx="731" formatCode="0.0">
                  <c:v>34</c:v>
                </c:pt>
                <c:pt idx="732" formatCode="0.0">
                  <c:v>24</c:v>
                </c:pt>
                <c:pt idx="733" formatCode="0.0">
                  <c:v>24</c:v>
                </c:pt>
                <c:pt idx="734" formatCode="0.0">
                  <c:v>24</c:v>
                </c:pt>
                <c:pt idx="735" formatCode="0.0">
                  <c:v>24</c:v>
                </c:pt>
                <c:pt idx="736" formatCode="0.0">
                  <c:v>17</c:v>
                </c:pt>
                <c:pt idx="737" formatCode="0.0">
                  <c:v>28</c:v>
                </c:pt>
                <c:pt idx="738" formatCode="0.0">
                  <c:v>17</c:v>
                </c:pt>
                <c:pt idx="739" formatCode="0.0">
                  <c:v>31</c:v>
                </c:pt>
                <c:pt idx="740" formatCode="0.0">
                  <c:v>25</c:v>
                </c:pt>
                <c:pt idx="741" formatCode="0.0">
                  <c:v>23</c:v>
                </c:pt>
                <c:pt idx="742" formatCode="0.0">
                  <c:v>41</c:v>
                </c:pt>
                <c:pt idx="743" formatCode="0.0">
                  <c:v>41</c:v>
                </c:pt>
                <c:pt idx="744" formatCode="0.0">
                  <c:v>36</c:v>
                </c:pt>
                <c:pt idx="745" formatCode="0.0">
                  <c:v>25</c:v>
                </c:pt>
                <c:pt idx="746" formatCode="0.0">
                  <c:v>30</c:v>
                </c:pt>
                <c:pt idx="747" formatCode="0.0">
                  <c:v>28</c:v>
                </c:pt>
                <c:pt idx="748" formatCode="0.0">
                  <c:v>30</c:v>
                </c:pt>
                <c:pt idx="749" formatCode="0.0">
                  <c:v>25</c:v>
                </c:pt>
                <c:pt idx="750" formatCode="0.0">
                  <c:v>27</c:v>
                </c:pt>
                <c:pt idx="751" formatCode="0.0">
                  <c:v>27</c:v>
                </c:pt>
                <c:pt idx="752" formatCode="0.0">
                  <c:v>23</c:v>
                </c:pt>
                <c:pt idx="753" formatCode="0.0">
                  <c:v>17</c:v>
                </c:pt>
                <c:pt idx="754" formatCode="0.0">
                  <c:v>17</c:v>
                </c:pt>
                <c:pt idx="755" formatCode="0.0">
                  <c:v>17</c:v>
                </c:pt>
                <c:pt idx="756" formatCode="0.0">
                  <c:v>17</c:v>
                </c:pt>
                <c:pt idx="757" formatCode="0.0">
                  <c:v>17</c:v>
                </c:pt>
                <c:pt idx="758" formatCode="0.0">
                  <c:v>17</c:v>
                </c:pt>
                <c:pt idx="759" formatCode="0.0">
                  <c:v>18</c:v>
                </c:pt>
                <c:pt idx="760" formatCode="0.0">
                  <c:v>17</c:v>
                </c:pt>
                <c:pt idx="761" formatCode="0.0">
                  <c:v>35</c:v>
                </c:pt>
                <c:pt idx="762" formatCode="0.0">
                  <c:v>23</c:v>
                </c:pt>
                <c:pt idx="763" formatCode="0.0">
                  <c:v>36</c:v>
                </c:pt>
                <c:pt idx="764" formatCode="0.0">
                  <c:v>35</c:v>
                </c:pt>
                <c:pt idx="765" formatCode="0.0">
                  <c:v>20</c:v>
                </c:pt>
                <c:pt idx="766" formatCode="0.0">
                  <c:v>33</c:v>
                </c:pt>
                <c:pt idx="767" formatCode="0.0">
                  <c:v>31</c:v>
                </c:pt>
                <c:pt idx="768" formatCode="0.0">
                  <c:v>27</c:v>
                </c:pt>
                <c:pt idx="769" formatCode="0.0">
                  <c:v>26</c:v>
                </c:pt>
                <c:pt idx="770" formatCode="0.0">
                  <c:v>32</c:v>
                </c:pt>
                <c:pt idx="771" formatCode="0.0">
                  <c:v>24</c:v>
                </c:pt>
                <c:pt idx="772" formatCode="0.0">
                  <c:v>23</c:v>
                </c:pt>
                <c:pt idx="773" formatCode="0.0">
                  <c:v>23</c:v>
                </c:pt>
                <c:pt idx="774">
                  <c:v>51</c:v>
                </c:pt>
                <c:pt idx="775">
                  <c:v>51</c:v>
                </c:pt>
                <c:pt idx="776">
                  <c:v>36</c:v>
                </c:pt>
                <c:pt idx="777">
                  <c:v>47</c:v>
                </c:pt>
                <c:pt idx="778" formatCode="0.0">
                  <c:v>25</c:v>
                </c:pt>
                <c:pt idx="779" formatCode="0.0">
                  <c:v>23</c:v>
                </c:pt>
                <c:pt idx="780" formatCode="0.0">
                  <c:v>21</c:v>
                </c:pt>
                <c:pt idx="782" formatCode="0.0">
                  <c:v>26</c:v>
                </c:pt>
                <c:pt idx="783" formatCode="0.0">
                  <c:v>24</c:v>
                </c:pt>
                <c:pt idx="784" formatCode="0.0">
                  <c:v>24</c:v>
                </c:pt>
                <c:pt idx="785" formatCode="0.0">
                  <c:v>24</c:v>
                </c:pt>
                <c:pt idx="786" formatCode="0.0">
                  <c:v>24</c:v>
                </c:pt>
                <c:pt idx="787" formatCode="0.0">
                  <c:v>27</c:v>
                </c:pt>
                <c:pt idx="788" formatCode="0.0">
                  <c:v>27</c:v>
                </c:pt>
                <c:pt idx="789" formatCode="0.0">
                  <c:v>30</c:v>
                </c:pt>
                <c:pt idx="790" formatCode="0.0">
                  <c:v>25</c:v>
                </c:pt>
                <c:pt idx="791" formatCode="0.0">
                  <c:v>28</c:v>
                </c:pt>
                <c:pt idx="792" formatCode="0.0">
                  <c:v>32</c:v>
                </c:pt>
                <c:pt idx="793" formatCode="0.0">
                  <c:v>44</c:v>
                </c:pt>
                <c:pt idx="794" formatCode="0.0">
                  <c:v>37</c:v>
                </c:pt>
                <c:pt idx="795" formatCode="0.0">
                  <c:v>30</c:v>
                </c:pt>
                <c:pt idx="796" formatCode="0.0">
                  <c:v>29</c:v>
                </c:pt>
                <c:pt idx="797" formatCode="0.0">
                  <c:v>28</c:v>
                </c:pt>
                <c:pt idx="798" formatCode="0.0">
                  <c:v>30</c:v>
                </c:pt>
                <c:pt idx="799" formatCode="0.0">
                  <c:v>27</c:v>
                </c:pt>
                <c:pt idx="800" formatCode="0.0">
                  <c:v>36</c:v>
                </c:pt>
                <c:pt idx="801" formatCode="0.0">
                  <c:v>39</c:v>
                </c:pt>
                <c:pt idx="802" formatCode="0.0">
                  <c:v>25</c:v>
                </c:pt>
                <c:pt idx="803" formatCode="0.0">
                  <c:v>28</c:v>
                </c:pt>
                <c:pt idx="804" formatCode="0.0">
                  <c:v>26</c:v>
                </c:pt>
                <c:pt idx="805" formatCode="0.0">
                  <c:v>31</c:v>
                </c:pt>
                <c:pt idx="806" formatCode="0.0">
                  <c:v>29</c:v>
                </c:pt>
                <c:pt idx="807" formatCode="0.0">
                  <c:v>21</c:v>
                </c:pt>
                <c:pt idx="808" formatCode="0.0">
                  <c:v>22</c:v>
                </c:pt>
                <c:pt idx="809" formatCode="0.0">
                  <c:v>23</c:v>
                </c:pt>
                <c:pt idx="810" formatCode="0.0">
                  <c:v>21</c:v>
                </c:pt>
                <c:pt idx="811" formatCode="0.0">
                  <c:v>23</c:v>
                </c:pt>
                <c:pt idx="812" formatCode="0.0">
                  <c:v>25</c:v>
                </c:pt>
                <c:pt idx="813" formatCode="0.0">
                  <c:v>28</c:v>
                </c:pt>
                <c:pt idx="814" formatCode="0.0">
                  <c:v>27</c:v>
                </c:pt>
                <c:pt idx="815" formatCode="0.0">
                  <c:v>21</c:v>
                </c:pt>
                <c:pt idx="816" formatCode="0.0">
                  <c:v>27</c:v>
                </c:pt>
                <c:pt idx="817" formatCode="0.0">
                  <c:v>36</c:v>
                </c:pt>
                <c:pt idx="818" formatCode="0.0">
                  <c:v>40</c:v>
                </c:pt>
                <c:pt idx="819" formatCode="0.0">
                  <c:v>38</c:v>
                </c:pt>
                <c:pt idx="820" formatCode="0.0">
                  <c:v>27</c:v>
                </c:pt>
                <c:pt idx="821" formatCode="0.0">
                  <c:v>33</c:v>
                </c:pt>
                <c:pt idx="822" formatCode="0.0">
                  <c:v>33</c:v>
                </c:pt>
                <c:pt idx="823" formatCode="0.0">
                  <c:v>31</c:v>
                </c:pt>
                <c:pt idx="824" formatCode="0.0">
                  <c:v>47</c:v>
                </c:pt>
                <c:pt idx="825" formatCode="0.0">
                  <c:v>33</c:v>
                </c:pt>
                <c:pt idx="826" formatCode="0.0">
                  <c:v>33</c:v>
                </c:pt>
                <c:pt idx="827" formatCode="0.0">
                  <c:v>32</c:v>
                </c:pt>
                <c:pt idx="828" formatCode="0.0">
                  <c:v>24</c:v>
                </c:pt>
                <c:pt idx="829" formatCode="0.0">
                  <c:v>35</c:v>
                </c:pt>
                <c:pt idx="830" formatCode="0.0">
                  <c:v>30</c:v>
                </c:pt>
                <c:pt idx="831" formatCode="0.0">
                  <c:v>27</c:v>
                </c:pt>
                <c:pt idx="832" formatCode="0.0">
                  <c:v>34</c:v>
                </c:pt>
                <c:pt idx="833" formatCode="0.0">
                  <c:v>33</c:v>
                </c:pt>
                <c:pt idx="834" formatCode="0.0">
                  <c:v>51</c:v>
                </c:pt>
                <c:pt idx="835" formatCode="0.0">
                  <c:v>59</c:v>
                </c:pt>
                <c:pt idx="836" formatCode="0.0">
                  <c:v>46</c:v>
                </c:pt>
                <c:pt idx="837" formatCode="0.0">
                  <c:v>46</c:v>
                </c:pt>
                <c:pt idx="838" formatCode="0.0">
                  <c:v>57</c:v>
                </c:pt>
                <c:pt idx="839" formatCode="0.0">
                  <c:v>57</c:v>
                </c:pt>
                <c:pt idx="840" formatCode="0.0">
                  <c:v>52</c:v>
                </c:pt>
                <c:pt idx="841" formatCode="0.0">
                  <c:v>51</c:v>
                </c:pt>
                <c:pt idx="842" formatCode="0.0">
                  <c:v>55</c:v>
                </c:pt>
                <c:pt idx="843" formatCode="0.0">
                  <c:v>17</c:v>
                </c:pt>
                <c:pt idx="844" formatCode="0.0">
                  <c:v>17</c:v>
                </c:pt>
                <c:pt idx="845" formatCode="0.0">
                  <c:v>17</c:v>
                </c:pt>
                <c:pt idx="846" formatCode="0.0">
                  <c:v>17</c:v>
                </c:pt>
                <c:pt idx="847" formatCode="0.0">
                  <c:v>27</c:v>
                </c:pt>
                <c:pt idx="848" formatCode="0.0">
                  <c:v>27</c:v>
                </c:pt>
                <c:pt idx="849" formatCode="0.0">
                  <c:v>33</c:v>
                </c:pt>
                <c:pt idx="850" formatCode="0.0">
                  <c:v>38</c:v>
                </c:pt>
                <c:pt idx="851">
                  <c:v>30</c:v>
                </c:pt>
                <c:pt idx="852" formatCode="0.0">
                  <c:v>27</c:v>
                </c:pt>
                <c:pt idx="853" formatCode="0.0">
                  <c:v>30</c:v>
                </c:pt>
                <c:pt idx="854" formatCode="0.0">
                  <c:v>37</c:v>
                </c:pt>
                <c:pt idx="855" formatCode="0.0">
                  <c:v>33</c:v>
                </c:pt>
                <c:pt idx="856">
                  <c:v>45</c:v>
                </c:pt>
                <c:pt idx="857" formatCode="0.0">
                  <c:v>31</c:v>
                </c:pt>
                <c:pt idx="858">
                  <c:v>41</c:v>
                </c:pt>
                <c:pt idx="859" formatCode="0.0">
                  <c:v>35</c:v>
                </c:pt>
                <c:pt idx="860" formatCode="0.0">
                  <c:v>27</c:v>
                </c:pt>
                <c:pt idx="861" formatCode="0.0">
                  <c:v>29</c:v>
                </c:pt>
                <c:pt idx="862" formatCode="0.0">
                  <c:v>27</c:v>
                </c:pt>
                <c:pt idx="863" formatCode="0.0">
                  <c:v>31</c:v>
                </c:pt>
                <c:pt idx="864" formatCode="0.0">
                  <c:v>27</c:v>
                </c:pt>
                <c:pt idx="865" formatCode="0.0">
                  <c:v>26</c:v>
                </c:pt>
                <c:pt idx="866">
                  <c:v>39</c:v>
                </c:pt>
                <c:pt idx="867" formatCode="0.0">
                  <c:v>28</c:v>
                </c:pt>
                <c:pt idx="868" formatCode="0.0">
                  <c:v>28</c:v>
                </c:pt>
                <c:pt idx="869" formatCode="0.0">
                  <c:v>30</c:v>
                </c:pt>
                <c:pt idx="870" formatCode="0.0">
                  <c:v>44</c:v>
                </c:pt>
                <c:pt idx="871" formatCode="0.0">
                  <c:v>34</c:v>
                </c:pt>
                <c:pt idx="872" formatCode="0.0">
                  <c:v>37</c:v>
                </c:pt>
                <c:pt idx="873" formatCode="0.0">
                  <c:v>38</c:v>
                </c:pt>
                <c:pt idx="874" formatCode="0.0">
                  <c:v>54</c:v>
                </c:pt>
                <c:pt idx="875" formatCode="0.0">
                  <c:v>54</c:v>
                </c:pt>
                <c:pt idx="876" formatCode="0.0">
                  <c:v>41</c:v>
                </c:pt>
                <c:pt idx="877" formatCode="0.0">
                  <c:v>37</c:v>
                </c:pt>
                <c:pt idx="878" formatCode="0.0">
                  <c:v>55</c:v>
                </c:pt>
                <c:pt idx="879" formatCode="0.0">
                  <c:v>40</c:v>
                </c:pt>
                <c:pt idx="880" formatCode="0.0">
                  <c:v>43</c:v>
                </c:pt>
                <c:pt idx="881" formatCode="0.0">
                  <c:v>45</c:v>
                </c:pt>
                <c:pt idx="882" formatCode="0.0">
                  <c:v>22</c:v>
                </c:pt>
                <c:pt idx="883" formatCode="0.0">
                  <c:v>17</c:v>
                </c:pt>
                <c:pt idx="884" formatCode="0.0">
                  <c:v>18</c:v>
                </c:pt>
                <c:pt idx="885" formatCode="0.0">
                  <c:v>29</c:v>
                </c:pt>
                <c:pt idx="886" formatCode="0.0">
                  <c:v>26</c:v>
                </c:pt>
                <c:pt idx="887" formatCode="0.0">
                  <c:v>34</c:v>
                </c:pt>
                <c:pt idx="888" formatCode="0.0">
                  <c:v>32</c:v>
                </c:pt>
                <c:pt idx="889" formatCode="0.0">
                  <c:v>35</c:v>
                </c:pt>
                <c:pt idx="890" formatCode="0.0">
                  <c:v>30</c:v>
                </c:pt>
                <c:pt idx="891" formatCode="0.0">
                  <c:v>24</c:v>
                </c:pt>
                <c:pt idx="892" formatCode="0.0">
                  <c:v>33</c:v>
                </c:pt>
                <c:pt idx="893" formatCode="0.0">
                  <c:v>37</c:v>
                </c:pt>
                <c:pt idx="894" formatCode="0.0">
                  <c:v>30</c:v>
                </c:pt>
                <c:pt idx="895" formatCode="0.0">
                  <c:v>24</c:v>
                </c:pt>
                <c:pt idx="896" formatCode="0.0">
                  <c:v>28</c:v>
                </c:pt>
                <c:pt idx="897" formatCode="0.0">
                  <c:v>28</c:v>
                </c:pt>
                <c:pt idx="898" formatCode="0.0">
                  <c:v>60</c:v>
                </c:pt>
                <c:pt idx="899" formatCode="0.0">
                  <c:v>45</c:v>
                </c:pt>
                <c:pt idx="900" formatCode="0.0">
                  <c:v>29</c:v>
                </c:pt>
                <c:pt idx="901" formatCode="0.0">
                  <c:v>23</c:v>
                </c:pt>
                <c:pt idx="902" formatCode="0.0">
                  <c:v>23</c:v>
                </c:pt>
                <c:pt idx="903" formatCode="0.0">
                  <c:v>25</c:v>
                </c:pt>
                <c:pt idx="904" formatCode="0.0">
                  <c:v>52</c:v>
                </c:pt>
                <c:pt idx="905" formatCode="0.0">
                  <c:v>51</c:v>
                </c:pt>
                <c:pt idx="906" formatCode="0.0">
                  <c:v>52</c:v>
                </c:pt>
                <c:pt idx="907" formatCode="0.0">
                  <c:v>61</c:v>
                </c:pt>
                <c:pt idx="908" formatCode="0.0">
                  <c:v>54</c:v>
                </c:pt>
                <c:pt idx="909" formatCode="0.0">
                  <c:v>17</c:v>
                </c:pt>
                <c:pt idx="910" formatCode="0.0">
                  <c:v>17</c:v>
                </c:pt>
                <c:pt idx="911" formatCode="0.0">
                  <c:v>17</c:v>
                </c:pt>
                <c:pt idx="912" formatCode="0.0">
                  <c:v>26</c:v>
                </c:pt>
                <c:pt idx="913" formatCode="0.0">
                  <c:v>26</c:v>
                </c:pt>
                <c:pt idx="914" formatCode="0.0">
                  <c:v>26</c:v>
                </c:pt>
                <c:pt idx="915" formatCode="0.0">
                  <c:v>18</c:v>
                </c:pt>
                <c:pt idx="916" formatCode="0.0">
                  <c:v>31</c:v>
                </c:pt>
                <c:pt idx="917" formatCode="0.0">
                  <c:v>27</c:v>
                </c:pt>
                <c:pt idx="918" formatCode="0.0">
                  <c:v>33</c:v>
                </c:pt>
                <c:pt idx="919" formatCode="0.0">
                  <c:v>33</c:v>
                </c:pt>
                <c:pt idx="920" formatCode="0.0">
                  <c:v>33</c:v>
                </c:pt>
                <c:pt idx="921" formatCode="0.0">
                  <c:v>35</c:v>
                </c:pt>
                <c:pt idx="922" formatCode="0.0">
                  <c:v>26</c:v>
                </c:pt>
                <c:pt idx="923" formatCode="0.0">
                  <c:v>21</c:v>
                </c:pt>
                <c:pt idx="924" formatCode="0.0">
                  <c:v>37</c:v>
                </c:pt>
                <c:pt idx="925" formatCode="0.0">
                  <c:v>33</c:v>
                </c:pt>
                <c:pt idx="926" formatCode="0.0">
                  <c:v>27</c:v>
                </c:pt>
                <c:pt idx="927" formatCode="0.0">
                  <c:v>22</c:v>
                </c:pt>
                <c:pt idx="928" formatCode="0.0">
                  <c:v>39</c:v>
                </c:pt>
                <c:pt idx="929" formatCode="0.0">
                  <c:v>19</c:v>
                </c:pt>
                <c:pt idx="930" formatCode="0.0">
                  <c:v>20</c:v>
                </c:pt>
                <c:pt idx="931" formatCode="0.0">
                  <c:v>22</c:v>
                </c:pt>
                <c:pt idx="932" formatCode="0.0">
                  <c:v>21</c:v>
                </c:pt>
                <c:pt idx="933" formatCode="0.0">
                  <c:v>31</c:v>
                </c:pt>
                <c:pt idx="934" formatCode="0.0">
                  <c:v>18</c:v>
                </c:pt>
                <c:pt idx="935" formatCode="0.0">
                  <c:v>20</c:v>
                </c:pt>
                <c:pt idx="936" formatCode="0.0">
                  <c:v>19</c:v>
                </c:pt>
                <c:pt idx="937" formatCode="0.0">
                  <c:v>28</c:v>
                </c:pt>
                <c:pt idx="938" formatCode="0.0">
                  <c:v>27</c:v>
                </c:pt>
                <c:pt idx="939" formatCode="0.0">
                  <c:v>29</c:v>
                </c:pt>
                <c:pt idx="940" formatCode="0.0">
                  <c:v>20</c:v>
                </c:pt>
                <c:pt idx="941" formatCode="0.0">
                  <c:v>48</c:v>
                </c:pt>
                <c:pt idx="942" formatCode="0.0">
                  <c:v>47</c:v>
                </c:pt>
                <c:pt idx="943" formatCode="0.0">
                  <c:v>51</c:v>
                </c:pt>
                <c:pt idx="944" formatCode="0.0">
                  <c:v>51</c:v>
                </c:pt>
                <c:pt idx="945" formatCode="0.0">
                  <c:v>55</c:v>
                </c:pt>
                <c:pt idx="946" formatCode="0.0">
                  <c:v>46</c:v>
                </c:pt>
                <c:pt idx="947" formatCode="0.0">
                  <c:v>40</c:v>
                </c:pt>
                <c:pt idx="948" formatCode="0.0">
                  <c:v>28</c:v>
                </c:pt>
                <c:pt idx="949" formatCode="0.0">
                  <c:v>37</c:v>
                </c:pt>
                <c:pt idx="950" formatCode="0.0">
                  <c:v>41</c:v>
                </c:pt>
                <c:pt idx="951" formatCode="0.0">
                  <c:v>37</c:v>
                </c:pt>
                <c:pt idx="952" formatCode="0.0">
                  <c:v>34</c:v>
                </c:pt>
                <c:pt idx="953" formatCode="0.0">
                  <c:v>30</c:v>
                </c:pt>
                <c:pt idx="954" formatCode="0.0">
                  <c:v>50</c:v>
                </c:pt>
                <c:pt idx="955" formatCode="0.0">
                  <c:v>37</c:v>
                </c:pt>
                <c:pt idx="956" formatCode="0.0">
                  <c:v>40</c:v>
                </c:pt>
                <c:pt idx="957" formatCode="0.0">
                  <c:v>41</c:v>
                </c:pt>
                <c:pt idx="958" formatCode="0.0">
                  <c:v>42</c:v>
                </c:pt>
                <c:pt idx="959" formatCode="0.0">
                  <c:v>42</c:v>
                </c:pt>
                <c:pt idx="960" formatCode="0.0">
                  <c:v>43</c:v>
                </c:pt>
                <c:pt idx="961" formatCode="0.0">
                  <c:v>41</c:v>
                </c:pt>
                <c:pt idx="962" formatCode="0.0">
                  <c:v>38</c:v>
                </c:pt>
                <c:pt idx="963" formatCode="0.0">
                  <c:v>43</c:v>
                </c:pt>
                <c:pt idx="964" formatCode="0.0">
                  <c:v>46</c:v>
                </c:pt>
                <c:pt idx="965" formatCode="0.0">
                  <c:v>49</c:v>
                </c:pt>
                <c:pt idx="966" formatCode="0.0">
                  <c:v>28</c:v>
                </c:pt>
                <c:pt idx="967" formatCode="0.0">
                  <c:v>25</c:v>
                </c:pt>
                <c:pt idx="968" formatCode="0.0">
                  <c:v>25</c:v>
                </c:pt>
                <c:pt idx="969" formatCode="0.0">
                  <c:v>25</c:v>
                </c:pt>
                <c:pt idx="970" formatCode="0.0">
                  <c:v>23</c:v>
                </c:pt>
                <c:pt idx="971" formatCode="0.0">
                  <c:v>29</c:v>
                </c:pt>
                <c:pt idx="972" formatCode="0.0">
                  <c:v>38</c:v>
                </c:pt>
                <c:pt idx="973" formatCode="0.0">
                  <c:v>35</c:v>
                </c:pt>
                <c:pt idx="974" formatCode="0.0">
                  <c:v>41</c:v>
                </c:pt>
                <c:pt idx="975" formatCode="0.0">
                  <c:v>33</c:v>
                </c:pt>
                <c:pt idx="976" formatCode="0.0">
                  <c:v>26</c:v>
                </c:pt>
                <c:pt idx="977" formatCode="0.0">
                  <c:v>17</c:v>
                </c:pt>
                <c:pt idx="978" formatCode="0.0">
                  <c:v>17</c:v>
                </c:pt>
                <c:pt idx="979" formatCode="0.0">
                  <c:v>17</c:v>
                </c:pt>
                <c:pt idx="980" formatCode="0.0">
                  <c:v>17</c:v>
                </c:pt>
                <c:pt idx="981" formatCode="0.0">
                  <c:v>25</c:v>
                </c:pt>
                <c:pt idx="982" formatCode="0.0">
                  <c:v>29</c:v>
                </c:pt>
                <c:pt idx="983" formatCode="0.0">
                  <c:v>29</c:v>
                </c:pt>
                <c:pt idx="984" formatCode="0.0">
                  <c:v>37</c:v>
                </c:pt>
                <c:pt idx="985" formatCode="0.0">
                  <c:v>37</c:v>
                </c:pt>
                <c:pt idx="986" formatCode="0.0">
                  <c:v>42</c:v>
                </c:pt>
                <c:pt idx="987" formatCode="0.0">
                  <c:v>44</c:v>
                </c:pt>
                <c:pt idx="988" formatCode="0.0">
                  <c:v>40</c:v>
                </c:pt>
                <c:pt idx="989" formatCode="0.0">
                  <c:v>37</c:v>
                </c:pt>
                <c:pt idx="990" formatCode="0.0">
                  <c:v>31</c:v>
                </c:pt>
                <c:pt idx="991" formatCode="0.0">
                  <c:v>22</c:v>
                </c:pt>
                <c:pt idx="992" formatCode="0.0">
                  <c:v>22</c:v>
                </c:pt>
                <c:pt idx="993" formatCode="0.0">
                  <c:v>30</c:v>
                </c:pt>
                <c:pt idx="994" formatCode="0.0">
                  <c:v>34</c:v>
                </c:pt>
                <c:pt idx="995" formatCode="0.0">
                  <c:v>23</c:v>
                </c:pt>
                <c:pt idx="996" formatCode="0.0">
                  <c:v>28</c:v>
                </c:pt>
                <c:pt idx="997" formatCode="0.0">
                  <c:v>25</c:v>
                </c:pt>
                <c:pt idx="998" formatCode="0.0">
                  <c:v>23</c:v>
                </c:pt>
                <c:pt idx="999" formatCode="0.0">
                  <c:v>31</c:v>
                </c:pt>
                <c:pt idx="1000" formatCode="0.0">
                  <c:v>41</c:v>
                </c:pt>
                <c:pt idx="1001" formatCode="0.0">
                  <c:v>21</c:v>
                </c:pt>
                <c:pt idx="1002" formatCode="0.0">
                  <c:v>27</c:v>
                </c:pt>
                <c:pt idx="1003" formatCode="0.0">
                  <c:v>43</c:v>
                </c:pt>
                <c:pt idx="1004" formatCode="0.0">
                  <c:v>26</c:v>
                </c:pt>
                <c:pt idx="1005" formatCode="0.0">
                  <c:v>42</c:v>
                </c:pt>
                <c:pt idx="1006" formatCode="0.0">
                  <c:v>43</c:v>
                </c:pt>
                <c:pt idx="1007" formatCode="0.0">
                  <c:v>41</c:v>
                </c:pt>
                <c:pt idx="1008" formatCode="0.0">
                  <c:v>21</c:v>
                </c:pt>
                <c:pt idx="1009" formatCode="0.0">
                  <c:v>44</c:v>
                </c:pt>
                <c:pt idx="1010" formatCode="0.0">
                  <c:v>25</c:v>
                </c:pt>
                <c:pt idx="1011" formatCode="0.0">
                  <c:v>44</c:v>
                </c:pt>
                <c:pt idx="1012" formatCode="0.0">
                  <c:v>48</c:v>
                </c:pt>
                <c:pt idx="1013" formatCode="0.0">
                  <c:v>33</c:v>
                </c:pt>
                <c:pt idx="1014" formatCode="0.0">
                  <c:v>42</c:v>
                </c:pt>
                <c:pt idx="1015" formatCode="0.0">
                  <c:v>46</c:v>
                </c:pt>
                <c:pt idx="1016" formatCode="0.0">
                  <c:v>37</c:v>
                </c:pt>
              </c:numCache>
            </c:numRef>
          </c:xVal>
          <c:yVal>
            <c:numRef>
              <c:f>'2. Logging Brejo Seco'!$BG$3:$BG$1019</c:f>
              <c:numCache>
                <c:formatCode>0.0</c:formatCode>
                <c:ptCount val="1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46.5</c:v>
                </c:pt>
                <c:pt idx="7">
                  <c:v>63.5</c:v>
                </c:pt>
                <c:pt idx="8">
                  <c:v>3</c:v>
                </c:pt>
                <c:pt idx="9">
                  <c:v>42</c:v>
                </c:pt>
                <c:pt idx="10">
                  <c:v>22</c:v>
                </c:pt>
                <c:pt idx="11">
                  <c:v>28</c:v>
                </c:pt>
                <c:pt idx="12">
                  <c:v>6</c:v>
                </c:pt>
                <c:pt idx="13">
                  <c:v>23</c:v>
                </c:pt>
                <c:pt idx="14">
                  <c:v>33</c:v>
                </c:pt>
                <c:pt idx="15">
                  <c:v>44.5</c:v>
                </c:pt>
                <c:pt idx="16">
                  <c:v>47.5</c:v>
                </c:pt>
                <c:pt idx="17">
                  <c:v>25</c:v>
                </c:pt>
                <c:pt idx="18">
                  <c:v>37.5</c:v>
                </c:pt>
                <c:pt idx="19">
                  <c:v>50.5</c:v>
                </c:pt>
                <c:pt idx="20">
                  <c:v>21.5</c:v>
                </c:pt>
                <c:pt idx="21">
                  <c:v>10.5</c:v>
                </c:pt>
                <c:pt idx="22">
                  <c:v>27</c:v>
                </c:pt>
                <c:pt idx="23">
                  <c:v>43</c:v>
                </c:pt>
                <c:pt idx="24">
                  <c:v>46</c:v>
                </c:pt>
                <c:pt idx="25">
                  <c:v>36.5</c:v>
                </c:pt>
                <c:pt idx="26">
                  <c:v>18</c:v>
                </c:pt>
                <c:pt idx="27">
                  <c:v>20</c:v>
                </c:pt>
                <c:pt idx="28">
                  <c:v>44.5</c:v>
                </c:pt>
                <c:pt idx="29">
                  <c:v>42.5</c:v>
                </c:pt>
                <c:pt idx="30">
                  <c:v>16.5</c:v>
                </c:pt>
                <c:pt idx="31">
                  <c:v>43.5</c:v>
                </c:pt>
                <c:pt idx="32">
                  <c:v>24</c:v>
                </c:pt>
                <c:pt idx="33">
                  <c:v>10.5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12</c:v>
                </c:pt>
                <c:pt idx="38">
                  <c:v>12</c:v>
                </c:pt>
                <c:pt idx="39">
                  <c:v>10.5</c:v>
                </c:pt>
                <c:pt idx="40">
                  <c:v>27.5</c:v>
                </c:pt>
                <c:pt idx="41">
                  <c:v>16.5</c:v>
                </c:pt>
                <c:pt idx="42">
                  <c:v>16.5</c:v>
                </c:pt>
                <c:pt idx="43">
                  <c:v>54.5</c:v>
                </c:pt>
                <c:pt idx="44">
                  <c:v>46.5</c:v>
                </c:pt>
                <c:pt idx="45">
                  <c:v>81.5</c:v>
                </c:pt>
                <c:pt idx="46">
                  <c:v>62.5</c:v>
                </c:pt>
                <c:pt idx="47">
                  <c:v>77.368421052631646</c:v>
                </c:pt>
                <c:pt idx="48">
                  <c:v>47</c:v>
                </c:pt>
                <c:pt idx="49">
                  <c:v>46</c:v>
                </c:pt>
                <c:pt idx="50">
                  <c:v>41</c:v>
                </c:pt>
                <c:pt idx="51">
                  <c:v>72.857142857142691</c:v>
                </c:pt>
                <c:pt idx="52">
                  <c:v>75.744680851063947</c:v>
                </c:pt>
                <c:pt idx="53">
                  <c:v>56.213592233009678</c:v>
                </c:pt>
                <c:pt idx="54">
                  <c:v>70</c:v>
                </c:pt>
                <c:pt idx="55">
                  <c:v>71.21621621621631</c:v>
                </c:pt>
                <c:pt idx="56">
                  <c:v>67.499999999999972</c:v>
                </c:pt>
                <c:pt idx="57">
                  <c:v>50</c:v>
                </c:pt>
                <c:pt idx="58">
                  <c:v>45</c:v>
                </c:pt>
                <c:pt idx="59">
                  <c:v>43.333333333333336</c:v>
                </c:pt>
                <c:pt idx="60">
                  <c:v>76.428571428571246</c:v>
                </c:pt>
                <c:pt idx="61">
                  <c:v>62</c:v>
                </c:pt>
                <c:pt idx="62">
                  <c:v>50</c:v>
                </c:pt>
                <c:pt idx="63">
                  <c:v>19.5</c:v>
                </c:pt>
                <c:pt idx="64">
                  <c:v>48.5</c:v>
                </c:pt>
                <c:pt idx="65">
                  <c:v>37.5</c:v>
                </c:pt>
                <c:pt idx="66">
                  <c:v>19.5</c:v>
                </c:pt>
                <c:pt idx="67">
                  <c:v>35.92857142857153</c:v>
                </c:pt>
                <c:pt idx="68">
                  <c:v>44.499999999999943</c:v>
                </c:pt>
                <c:pt idx="69">
                  <c:v>30.5</c:v>
                </c:pt>
                <c:pt idx="70">
                  <c:v>3</c:v>
                </c:pt>
                <c:pt idx="71">
                  <c:v>33.49999999999995</c:v>
                </c:pt>
                <c:pt idx="72">
                  <c:v>47.5</c:v>
                </c:pt>
                <c:pt idx="73">
                  <c:v>22.5</c:v>
                </c:pt>
                <c:pt idx="74">
                  <c:v>37.250000000000085</c:v>
                </c:pt>
                <c:pt idx="75">
                  <c:v>35.3333333333333</c:v>
                </c:pt>
                <c:pt idx="76">
                  <c:v>28.5</c:v>
                </c:pt>
                <c:pt idx="77">
                  <c:v>30.214285714285779</c:v>
                </c:pt>
                <c:pt idx="78">
                  <c:v>16.5</c:v>
                </c:pt>
                <c:pt idx="79">
                  <c:v>16.5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13.5</c:v>
                </c:pt>
                <c:pt idx="84">
                  <c:v>19.5</c:v>
                </c:pt>
                <c:pt idx="85">
                  <c:v>13.5</c:v>
                </c:pt>
                <c:pt idx="86">
                  <c:v>40.5</c:v>
                </c:pt>
                <c:pt idx="87">
                  <c:v>29</c:v>
                </c:pt>
                <c:pt idx="88">
                  <c:v>27</c:v>
                </c:pt>
                <c:pt idx="89">
                  <c:v>13.5</c:v>
                </c:pt>
                <c:pt idx="90">
                  <c:v>27.772727272727138</c:v>
                </c:pt>
                <c:pt idx="91">
                  <c:v>13.5</c:v>
                </c:pt>
                <c:pt idx="92">
                  <c:v>31.357142857142787</c:v>
                </c:pt>
                <c:pt idx="93">
                  <c:v>57</c:v>
                </c:pt>
                <c:pt idx="94">
                  <c:v>27.5</c:v>
                </c:pt>
                <c:pt idx="95">
                  <c:v>13.5</c:v>
                </c:pt>
                <c:pt idx="96">
                  <c:v>13.5</c:v>
                </c:pt>
                <c:pt idx="97">
                  <c:v>43.5</c:v>
                </c:pt>
                <c:pt idx="98">
                  <c:v>23.5</c:v>
                </c:pt>
                <c:pt idx="99">
                  <c:v>29.5</c:v>
                </c:pt>
                <c:pt idx="100">
                  <c:v>28</c:v>
                </c:pt>
                <c:pt idx="101">
                  <c:v>24</c:v>
                </c:pt>
                <c:pt idx="102">
                  <c:v>10.5</c:v>
                </c:pt>
                <c:pt idx="103">
                  <c:v>13.5</c:v>
                </c:pt>
                <c:pt idx="104">
                  <c:v>3</c:v>
                </c:pt>
                <c:pt idx="105">
                  <c:v>3</c:v>
                </c:pt>
                <c:pt idx="106">
                  <c:v>59.5</c:v>
                </c:pt>
                <c:pt idx="107">
                  <c:v>43.772727272727415</c:v>
                </c:pt>
                <c:pt idx="108">
                  <c:v>54.499999999999915</c:v>
                </c:pt>
                <c:pt idx="109">
                  <c:v>35.5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26.5</c:v>
                </c:pt>
                <c:pt idx="122">
                  <c:v>4.5</c:v>
                </c:pt>
                <c:pt idx="123">
                  <c:v>4.5</c:v>
                </c:pt>
                <c:pt idx="124">
                  <c:v>12</c:v>
                </c:pt>
                <c:pt idx="125">
                  <c:v>21</c:v>
                </c:pt>
                <c:pt idx="126">
                  <c:v>3</c:v>
                </c:pt>
                <c:pt idx="127">
                  <c:v>0</c:v>
                </c:pt>
                <c:pt idx="128">
                  <c:v>16.5</c:v>
                </c:pt>
                <c:pt idx="129">
                  <c:v>9</c:v>
                </c:pt>
                <c:pt idx="130">
                  <c:v>28.5</c:v>
                </c:pt>
                <c:pt idx="131">
                  <c:v>43.5</c:v>
                </c:pt>
                <c:pt idx="132">
                  <c:v>12</c:v>
                </c:pt>
                <c:pt idx="133">
                  <c:v>9</c:v>
                </c:pt>
                <c:pt idx="134">
                  <c:v>29</c:v>
                </c:pt>
                <c:pt idx="135">
                  <c:v>47.5</c:v>
                </c:pt>
                <c:pt idx="136">
                  <c:v>25.5</c:v>
                </c:pt>
                <c:pt idx="137">
                  <c:v>6</c:v>
                </c:pt>
                <c:pt idx="138">
                  <c:v>16</c:v>
                </c:pt>
                <c:pt idx="139">
                  <c:v>6</c:v>
                </c:pt>
                <c:pt idx="140">
                  <c:v>16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10.5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23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22</c:v>
                </c:pt>
                <c:pt idx="206">
                  <c:v>22</c:v>
                </c:pt>
                <c:pt idx="207">
                  <c:v>12</c:v>
                </c:pt>
                <c:pt idx="208">
                  <c:v>4.5</c:v>
                </c:pt>
                <c:pt idx="209">
                  <c:v>4.5</c:v>
                </c:pt>
                <c:pt idx="210">
                  <c:v>4.5</c:v>
                </c:pt>
                <c:pt idx="211">
                  <c:v>12</c:v>
                </c:pt>
                <c:pt idx="212">
                  <c:v>7.5</c:v>
                </c:pt>
                <c:pt idx="213">
                  <c:v>32.5</c:v>
                </c:pt>
                <c:pt idx="214">
                  <c:v>12</c:v>
                </c:pt>
                <c:pt idx="215">
                  <c:v>7.5</c:v>
                </c:pt>
                <c:pt idx="216">
                  <c:v>29.5</c:v>
                </c:pt>
                <c:pt idx="217">
                  <c:v>7.5</c:v>
                </c:pt>
                <c:pt idx="218">
                  <c:v>20.5</c:v>
                </c:pt>
                <c:pt idx="219">
                  <c:v>23.5</c:v>
                </c:pt>
                <c:pt idx="220">
                  <c:v>28.5</c:v>
                </c:pt>
                <c:pt idx="221">
                  <c:v>10.5</c:v>
                </c:pt>
                <c:pt idx="222">
                  <c:v>10.5</c:v>
                </c:pt>
                <c:pt idx="223">
                  <c:v>10.5</c:v>
                </c:pt>
                <c:pt idx="224">
                  <c:v>10.5</c:v>
                </c:pt>
                <c:pt idx="225">
                  <c:v>10.5</c:v>
                </c:pt>
                <c:pt idx="226">
                  <c:v>10.5</c:v>
                </c:pt>
                <c:pt idx="227">
                  <c:v>10.5</c:v>
                </c:pt>
                <c:pt idx="228">
                  <c:v>10.5</c:v>
                </c:pt>
                <c:pt idx="229">
                  <c:v>19.5</c:v>
                </c:pt>
                <c:pt idx="230">
                  <c:v>1.5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20</c:v>
                </c:pt>
                <c:pt idx="239">
                  <c:v>21.5</c:v>
                </c:pt>
                <c:pt idx="240">
                  <c:v>24</c:v>
                </c:pt>
                <c:pt idx="241">
                  <c:v>9</c:v>
                </c:pt>
                <c:pt idx="242">
                  <c:v>9</c:v>
                </c:pt>
                <c:pt idx="243">
                  <c:v>17.5</c:v>
                </c:pt>
                <c:pt idx="244">
                  <c:v>22</c:v>
                </c:pt>
                <c:pt idx="245">
                  <c:v>24</c:v>
                </c:pt>
                <c:pt idx="246">
                  <c:v>23.5</c:v>
                </c:pt>
                <c:pt idx="247">
                  <c:v>37</c:v>
                </c:pt>
                <c:pt idx="248">
                  <c:v>9</c:v>
                </c:pt>
                <c:pt idx="249">
                  <c:v>7.5</c:v>
                </c:pt>
                <c:pt idx="250">
                  <c:v>7.5</c:v>
                </c:pt>
                <c:pt idx="251">
                  <c:v>17.5</c:v>
                </c:pt>
                <c:pt idx="252">
                  <c:v>7.5</c:v>
                </c:pt>
                <c:pt idx="253">
                  <c:v>4.5</c:v>
                </c:pt>
                <c:pt idx="254">
                  <c:v>4.5</c:v>
                </c:pt>
                <c:pt idx="255">
                  <c:v>3</c:v>
                </c:pt>
                <c:pt idx="256">
                  <c:v>23</c:v>
                </c:pt>
                <c:pt idx="257">
                  <c:v>24.5</c:v>
                </c:pt>
                <c:pt idx="258">
                  <c:v>10.5</c:v>
                </c:pt>
                <c:pt idx="259">
                  <c:v>22</c:v>
                </c:pt>
                <c:pt idx="260">
                  <c:v>19</c:v>
                </c:pt>
                <c:pt idx="261">
                  <c:v>12</c:v>
                </c:pt>
                <c:pt idx="262">
                  <c:v>12</c:v>
                </c:pt>
                <c:pt idx="263">
                  <c:v>33</c:v>
                </c:pt>
                <c:pt idx="264">
                  <c:v>9</c:v>
                </c:pt>
                <c:pt idx="265">
                  <c:v>31</c:v>
                </c:pt>
                <c:pt idx="266">
                  <c:v>7.5</c:v>
                </c:pt>
                <c:pt idx="267">
                  <c:v>27</c:v>
                </c:pt>
                <c:pt idx="268">
                  <c:v>22</c:v>
                </c:pt>
                <c:pt idx="269">
                  <c:v>7.5</c:v>
                </c:pt>
                <c:pt idx="270">
                  <c:v>9</c:v>
                </c:pt>
                <c:pt idx="271">
                  <c:v>23</c:v>
                </c:pt>
                <c:pt idx="272">
                  <c:v>32.5</c:v>
                </c:pt>
                <c:pt idx="273">
                  <c:v>7.5</c:v>
                </c:pt>
                <c:pt idx="274">
                  <c:v>51.5</c:v>
                </c:pt>
                <c:pt idx="275">
                  <c:v>39</c:v>
                </c:pt>
                <c:pt idx="276">
                  <c:v>62.5</c:v>
                </c:pt>
                <c:pt idx="277">
                  <c:v>45.5</c:v>
                </c:pt>
                <c:pt idx="278">
                  <c:v>44.5</c:v>
                </c:pt>
                <c:pt idx="279">
                  <c:v>45.5</c:v>
                </c:pt>
                <c:pt idx="280">
                  <c:v>42.5</c:v>
                </c:pt>
                <c:pt idx="281">
                  <c:v>43.5</c:v>
                </c:pt>
                <c:pt idx="282">
                  <c:v>58.5</c:v>
                </c:pt>
                <c:pt idx="283">
                  <c:v>53.5</c:v>
                </c:pt>
                <c:pt idx="284">
                  <c:v>58.5</c:v>
                </c:pt>
                <c:pt idx="285">
                  <c:v>61.5</c:v>
                </c:pt>
                <c:pt idx="286">
                  <c:v>59.5</c:v>
                </c:pt>
                <c:pt idx="287">
                  <c:v>44.5</c:v>
                </c:pt>
                <c:pt idx="288">
                  <c:v>28.5</c:v>
                </c:pt>
                <c:pt idx="289">
                  <c:v>31.5</c:v>
                </c:pt>
                <c:pt idx="290">
                  <c:v>46.5</c:v>
                </c:pt>
                <c:pt idx="291">
                  <c:v>13.5</c:v>
                </c:pt>
                <c:pt idx="292">
                  <c:v>23</c:v>
                </c:pt>
                <c:pt idx="293">
                  <c:v>19</c:v>
                </c:pt>
                <c:pt idx="294">
                  <c:v>22</c:v>
                </c:pt>
                <c:pt idx="295">
                  <c:v>31</c:v>
                </c:pt>
                <c:pt idx="296">
                  <c:v>59</c:v>
                </c:pt>
                <c:pt idx="297">
                  <c:v>39</c:v>
                </c:pt>
                <c:pt idx="298">
                  <c:v>9</c:v>
                </c:pt>
                <c:pt idx="299">
                  <c:v>34</c:v>
                </c:pt>
                <c:pt idx="300">
                  <c:v>12</c:v>
                </c:pt>
                <c:pt idx="301">
                  <c:v>9</c:v>
                </c:pt>
                <c:pt idx="302">
                  <c:v>7.5</c:v>
                </c:pt>
                <c:pt idx="303">
                  <c:v>46.5</c:v>
                </c:pt>
                <c:pt idx="304">
                  <c:v>19</c:v>
                </c:pt>
                <c:pt idx="305">
                  <c:v>19</c:v>
                </c:pt>
                <c:pt idx="306">
                  <c:v>45</c:v>
                </c:pt>
                <c:pt idx="307">
                  <c:v>48.5</c:v>
                </c:pt>
                <c:pt idx="308">
                  <c:v>34.5</c:v>
                </c:pt>
                <c:pt idx="309">
                  <c:v>49.5</c:v>
                </c:pt>
                <c:pt idx="310">
                  <c:v>30.5</c:v>
                </c:pt>
                <c:pt idx="311">
                  <c:v>16.5</c:v>
                </c:pt>
                <c:pt idx="312">
                  <c:v>53.5</c:v>
                </c:pt>
                <c:pt idx="313">
                  <c:v>43.5</c:v>
                </c:pt>
                <c:pt idx="314">
                  <c:v>34.5</c:v>
                </c:pt>
                <c:pt idx="315">
                  <c:v>18</c:v>
                </c:pt>
                <c:pt idx="316">
                  <c:v>15.5</c:v>
                </c:pt>
                <c:pt idx="317">
                  <c:v>4.5</c:v>
                </c:pt>
                <c:pt idx="318">
                  <c:v>4.5</c:v>
                </c:pt>
                <c:pt idx="319">
                  <c:v>4.5</c:v>
                </c:pt>
                <c:pt idx="320">
                  <c:v>9</c:v>
                </c:pt>
                <c:pt idx="321">
                  <c:v>9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33.758064516129025</c:v>
                </c:pt>
                <c:pt idx="354">
                  <c:v>44.35714285714289</c:v>
                </c:pt>
                <c:pt idx="356">
                  <c:v>21.69230769230769</c:v>
                </c:pt>
                <c:pt idx="357">
                  <c:v>1.5</c:v>
                </c:pt>
                <c:pt idx="358">
                  <c:v>7.5</c:v>
                </c:pt>
                <c:pt idx="359">
                  <c:v>7.5</c:v>
                </c:pt>
                <c:pt idx="360">
                  <c:v>7.5</c:v>
                </c:pt>
                <c:pt idx="361">
                  <c:v>7.5</c:v>
                </c:pt>
                <c:pt idx="362">
                  <c:v>7.5</c:v>
                </c:pt>
                <c:pt idx="363">
                  <c:v>7.5</c:v>
                </c:pt>
                <c:pt idx="364">
                  <c:v>7.5</c:v>
                </c:pt>
                <c:pt idx="365">
                  <c:v>7.5</c:v>
                </c:pt>
                <c:pt idx="366">
                  <c:v>7.5</c:v>
                </c:pt>
                <c:pt idx="367">
                  <c:v>20.5</c:v>
                </c:pt>
                <c:pt idx="368">
                  <c:v>18.5</c:v>
                </c:pt>
                <c:pt idx="369">
                  <c:v>7.5</c:v>
                </c:pt>
                <c:pt idx="370">
                  <c:v>18.5</c:v>
                </c:pt>
                <c:pt idx="371">
                  <c:v>18.5</c:v>
                </c:pt>
                <c:pt idx="372">
                  <c:v>7.5</c:v>
                </c:pt>
                <c:pt idx="373">
                  <c:v>20.5</c:v>
                </c:pt>
                <c:pt idx="374">
                  <c:v>1.5</c:v>
                </c:pt>
                <c:pt idx="375">
                  <c:v>22.5</c:v>
                </c:pt>
                <c:pt idx="376">
                  <c:v>12.5</c:v>
                </c:pt>
                <c:pt idx="377">
                  <c:v>1.5</c:v>
                </c:pt>
                <c:pt idx="378">
                  <c:v>11.5</c:v>
                </c:pt>
                <c:pt idx="379">
                  <c:v>1.5</c:v>
                </c:pt>
                <c:pt idx="380">
                  <c:v>1.5</c:v>
                </c:pt>
                <c:pt idx="381">
                  <c:v>1.5</c:v>
                </c:pt>
                <c:pt idx="382">
                  <c:v>1.5</c:v>
                </c:pt>
                <c:pt idx="383">
                  <c:v>1.5</c:v>
                </c:pt>
                <c:pt idx="384">
                  <c:v>1.5</c:v>
                </c:pt>
                <c:pt idx="385">
                  <c:v>1.5</c:v>
                </c:pt>
                <c:pt idx="386">
                  <c:v>7.5</c:v>
                </c:pt>
                <c:pt idx="387">
                  <c:v>7.5</c:v>
                </c:pt>
                <c:pt idx="388">
                  <c:v>7.5</c:v>
                </c:pt>
                <c:pt idx="389">
                  <c:v>7.5</c:v>
                </c:pt>
                <c:pt idx="390">
                  <c:v>7.5</c:v>
                </c:pt>
                <c:pt idx="391">
                  <c:v>18.5</c:v>
                </c:pt>
                <c:pt idx="392">
                  <c:v>7.5</c:v>
                </c:pt>
                <c:pt idx="393">
                  <c:v>26.5</c:v>
                </c:pt>
                <c:pt idx="394">
                  <c:v>21.5</c:v>
                </c:pt>
                <c:pt idx="395">
                  <c:v>7.5</c:v>
                </c:pt>
                <c:pt idx="396">
                  <c:v>18.5</c:v>
                </c:pt>
                <c:pt idx="397">
                  <c:v>29.5</c:v>
                </c:pt>
                <c:pt idx="398">
                  <c:v>13.5</c:v>
                </c:pt>
                <c:pt idx="399">
                  <c:v>13.5</c:v>
                </c:pt>
                <c:pt idx="400">
                  <c:v>13.5</c:v>
                </c:pt>
                <c:pt idx="401">
                  <c:v>13.5</c:v>
                </c:pt>
                <c:pt idx="402">
                  <c:v>13.5</c:v>
                </c:pt>
                <c:pt idx="403">
                  <c:v>13.5</c:v>
                </c:pt>
                <c:pt idx="404">
                  <c:v>13.5</c:v>
                </c:pt>
                <c:pt idx="405">
                  <c:v>13.5</c:v>
                </c:pt>
                <c:pt idx="406">
                  <c:v>13.5</c:v>
                </c:pt>
                <c:pt idx="407">
                  <c:v>13.5</c:v>
                </c:pt>
                <c:pt idx="408">
                  <c:v>13.5</c:v>
                </c:pt>
                <c:pt idx="409">
                  <c:v>13.5</c:v>
                </c:pt>
                <c:pt idx="410">
                  <c:v>13.5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17.5</c:v>
                </c:pt>
                <c:pt idx="415">
                  <c:v>1.5</c:v>
                </c:pt>
                <c:pt idx="416">
                  <c:v>7.5</c:v>
                </c:pt>
                <c:pt idx="417">
                  <c:v>7.5</c:v>
                </c:pt>
                <c:pt idx="418">
                  <c:v>7.5</c:v>
                </c:pt>
                <c:pt idx="419">
                  <c:v>7.5</c:v>
                </c:pt>
                <c:pt idx="420">
                  <c:v>33.5</c:v>
                </c:pt>
                <c:pt idx="421">
                  <c:v>18.5</c:v>
                </c:pt>
                <c:pt idx="422">
                  <c:v>1.5</c:v>
                </c:pt>
                <c:pt idx="423">
                  <c:v>1.5</c:v>
                </c:pt>
                <c:pt idx="424">
                  <c:v>13.5</c:v>
                </c:pt>
                <c:pt idx="425">
                  <c:v>12.5</c:v>
                </c:pt>
                <c:pt idx="426">
                  <c:v>1.5</c:v>
                </c:pt>
                <c:pt idx="427">
                  <c:v>21.5</c:v>
                </c:pt>
                <c:pt idx="428">
                  <c:v>11.5</c:v>
                </c:pt>
                <c:pt idx="429">
                  <c:v>1.5</c:v>
                </c:pt>
                <c:pt idx="430">
                  <c:v>12.5</c:v>
                </c:pt>
                <c:pt idx="431">
                  <c:v>22.5</c:v>
                </c:pt>
                <c:pt idx="432">
                  <c:v>22.5</c:v>
                </c:pt>
                <c:pt idx="433">
                  <c:v>7.5</c:v>
                </c:pt>
                <c:pt idx="434">
                  <c:v>18.5</c:v>
                </c:pt>
                <c:pt idx="435">
                  <c:v>17.5</c:v>
                </c:pt>
                <c:pt idx="436">
                  <c:v>19.5</c:v>
                </c:pt>
                <c:pt idx="437">
                  <c:v>1.5</c:v>
                </c:pt>
                <c:pt idx="438">
                  <c:v>11.5</c:v>
                </c:pt>
                <c:pt idx="439">
                  <c:v>15.500000000000002</c:v>
                </c:pt>
                <c:pt idx="440">
                  <c:v>13.5</c:v>
                </c:pt>
                <c:pt idx="441">
                  <c:v>1.5</c:v>
                </c:pt>
                <c:pt idx="442">
                  <c:v>1.5</c:v>
                </c:pt>
                <c:pt idx="443">
                  <c:v>1.5</c:v>
                </c:pt>
                <c:pt idx="444">
                  <c:v>15.500000000000002</c:v>
                </c:pt>
                <c:pt idx="445">
                  <c:v>18.5</c:v>
                </c:pt>
                <c:pt idx="446">
                  <c:v>1.5</c:v>
                </c:pt>
                <c:pt idx="447">
                  <c:v>1.5</c:v>
                </c:pt>
                <c:pt idx="448">
                  <c:v>1.5</c:v>
                </c:pt>
                <c:pt idx="449">
                  <c:v>1.5</c:v>
                </c:pt>
                <c:pt idx="450">
                  <c:v>7.5</c:v>
                </c:pt>
                <c:pt idx="451">
                  <c:v>34.5</c:v>
                </c:pt>
                <c:pt idx="452">
                  <c:v>33.5</c:v>
                </c:pt>
                <c:pt idx="453">
                  <c:v>24.5</c:v>
                </c:pt>
                <c:pt idx="454">
                  <c:v>21.5</c:v>
                </c:pt>
                <c:pt idx="455">
                  <c:v>7.5</c:v>
                </c:pt>
                <c:pt idx="456">
                  <c:v>32.5</c:v>
                </c:pt>
                <c:pt idx="458">
                  <c:v>7.5</c:v>
                </c:pt>
                <c:pt idx="459">
                  <c:v>29.5</c:v>
                </c:pt>
                <c:pt idx="460">
                  <c:v>18.5</c:v>
                </c:pt>
                <c:pt idx="461">
                  <c:v>22.5</c:v>
                </c:pt>
                <c:pt idx="462">
                  <c:v>20.5</c:v>
                </c:pt>
                <c:pt idx="463">
                  <c:v>7.5</c:v>
                </c:pt>
                <c:pt idx="464">
                  <c:v>34.5</c:v>
                </c:pt>
                <c:pt idx="465">
                  <c:v>25.5</c:v>
                </c:pt>
                <c:pt idx="466">
                  <c:v>32.5</c:v>
                </c:pt>
                <c:pt idx="467">
                  <c:v>7.5</c:v>
                </c:pt>
                <c:pt idx="468">
                  <c:v>7.5</c:v>
                </c:pt>
                <c:pt idx="469">
                  <c:v>7.5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21.5</c:v>
                </c:pt>
                <c:pt idx="506">
                  <c:v>4.5</c:v>
                </c:pt>
                <c:pt idx="507">
                  <c:v>4.5</c:v>
                </c:pt>
                <c:pt idx="508">
                  <c:v>1.5</c:v>
                </c:pt>
                <c:pt idx="509">
                  <c:v>6</c:v>
                </c:pt>
                <c:pt idx="510">
                  <c:v>10.5</c:v>
                </c:pt>
                <c:pt idx="511">
                  <c:v>10.5</c:v>
                </c:pt>
                <c:pt idx="512">
                  <c:v>13.5</c:v>
                </c:pt>
                <c:pt idx="513">
                  <c:v>37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12</c:v>
                </c:pt>
                <c:pt idx="518">
                  <c:v>38</c:v>
                </c:pt>
                <c:pt idx="519">
                  <c:v>31.5</c:v>
                </c:pt>
                <c:pt idx="520">
                  <c:v>41</c:v>
                </c:pt>
                <c:pt idx="521">
                  <c:v>28</c:v>
                </c:pt>
                <c:pt idx="522">
                  <c:v>9</c:v>
                </c:pt>
                <c:pt idx="523">
                  <c:v>9</c:v>
                </c:pt>
                <c:pt idx="524">
                  <c:v>10.5</c:v>
                </c:pt>
                <c:pt idx="525">
                  <c:v>10.5</c:v>
                </c:pt>
                <c:pt idx="526">
                  <c:v>4.5</c:v>
                </c:pt>
                <c:pt idx="527">
                  <c:v>20</c:v>
                </c:pt>
                <c:pt idx="528">
                  <c:v>9</c:v>
                </c:pt>
                <c:pt idx="529">
                  <c:v>4.5</c:v>
                </c:pt>
                <c:pt idx="530">
                  <c:v>16.5</c:v>
                </c:pt>
                <c:pt idx="531">
                  <c:v>57.5</c:v>
                </c:pt>
                <c:pt idx="532">
                  <c:v>22</c:v>
                </c:pt>
                <c:pt idx="533">
                  <c:v>51.5</c:v>
                </c:pt>
                <c:pt idx="534">
                  <c:v>11.5</c:v>
                </c:pt>
                <c:pt idx="535">
                  <c:v>7.5</c:v>
                </c:pt>
                <c:pt idx="536">
                  <c:v>39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21</c:v>
                </c:pt>
                <c:pt idx="541">
                  <c:v>19</c:v>
                </c:pt>
                <c:pt idx="542">
                  <c:v>18</c:v>
                </c:pt>
                <c:pt idx="543">
                  <c:v>37</c:v>
                </c:pt>
                <c:pt idx="544">
                  <c:v>3</c:v>
                </c:pt>
                <c:pt idx="545">
                  <c:v>23</c:v>
                </c:pt>
                <c:pt idx="546">
                  <c:v>32</c:v>
                </c:pt>
                <c:pt idx="547">
                  <c:v>29</c:v>
                </c:pt>
                <c:pt idx="548">
                  <c:v>35</c:v>
                </c:pt>
                <c:pt idx="549">
                  <c:v>25</c:v>
                </c:pt>
                <c:pt idx="550">
                  <c:v>32</c:v>
                </c:pt>
                <c:pt idx="551">
                  <c:v>21.5</c:v>
                </c:pt>
                <c:pt idx="552">
                  <c:v>21.5</c:v>
                </c:pt>
                <c:pt idx="553">
                  <c:v>42</c:v>
                </c:pt>
                <c:pt idx="554">
                  <c:v>17.5</c:v>
                </c:pt>
                <c:pt idx="555">
                  <c:v>28.5</c:v>
                </c:pt>
                <c:pt idx="556">
                  <c:v>13.5</c:v>
                </c:pt>
                <c:pt idx="557">
                  <c:v>9</c:v>
                </c:pt>
                <c:pt idx="558">
                  <c:v>19</c:v>
                </c:pt>
                <c:pt idx="559">
                  <c:v>24</c:v>
                </c:pt>
                <c:pt idx="560">
                  <c:v>1.5</c:v>
                </c:pt>
                <c:pt idx="561">
                  <c:v>1.5</c:v>
                </c:pt>
                <c:pt idx="562">
                  <c:v>1.5</c:v>
                </c:pt>
                <c:pt idx="563">
                  <c:v>12</c:v>
                </c:pt>
                <c:pt idx="564">
                  <c:v>10.5</c:v>
                </c:pt>
                <c:pt idx="565">
                  <c:v>19</c:v>
                </c:pt>
                <c:pt idx="566">
                  <c:v>21</c:v>
                </c:pt>
                <c:pt idx="567">
                  <c:v>40.5</c:v>
                </c:pt>
                <c:pt idx="568">
                  <c:v>39.5</c:v>
                </c:pt>
                <c:pt idx="569">
                  <c:v>28.5</c:v>
                </c:pt>
                <c:pt idx="570">
                  <c:v>48.5</c:v>
                </c:pt>
                <c:pt idx="571">
                  <c:v>23.5</c:v>
                </c:pt>
                <c:pt idx="572">
                  <c:v>7.5</c:v>
                </c:pt>
                <c:pt idx="573">
                  <c:v>12.5</c:v>
                </c:pt>
                <c:pt idx="574">
                  <c:v>1.5</c:v>
                </c:pt>
                <c:pt idx="575">
                  <c:v>10.5</c:v>
                </c:pt>
                <c:pt idx="576">
                  <c:v>10.5</c:v>
                </c:pt>
                <c:pt idx="577">
                  <c:v>1.5</c:v>
                </c:pt>
                <c:pt idx="578">
                  <c:v>1.5</c:v>
                </c:pt>
                <c:pt idx="579">
                  <c:v>13.5</c:v>
                </c:pt>
                <c:pt idx="580">
                  <c:v>30</c:v>
                </c:pt>
                <c:pt idx="581">
                  <c:v>1.5</c:v>
                </c:pt>
                <c:pt idx="582">
                  <c:v>27</c:v>
                </c:pt>
                <c:pt idx="583">
                  <c:v>13.688393011200001</c:v>
                </c:pt>
                <c:pt idx="584">
                  <c:v>15.25</c:v>
                </c:pt>
                <c:pt idx="585">
                  <c:v>4.4074975044000002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28.166666666666657</c:v>
                </c:pt>
                <c:pt idx="596">
                  <c:v>26.499999999999993</c:v>
                </c:pt>
                <c:pt idx="597">
                  <c:v>12</c:v>
                </c:pt>
                <c:pt idx="598">
                  <c:v>10.5</c:v>
                </c:pt>
                <c:pt idx="599">
                  <c:v>10.5</c:v>
                </c:pt>
                <c:pt idx="600">
                  <c:v>41.6666666666666</c:v>
                </c:pt>
                <c:pt idx="601">
                  <c:v>24.833333333333346</c:v>
                </c:pt>
                <c:pt idx="602">
                  <c:v>30.249999999999986</c:v>
                </c:pt>
                <c:pt idx="603">
                  <c:v>36.5</c:v>
                </c:pt>
                <c:pt idx="604">
                  <c:v>10.5</c:v>
                </c:pt>
                <c:pt idx="605">
                  <c:v>34.5</c:v>
                </c:pt>
                <c:pt idx="606">
                  <c:v>13.5</c:v>
                </c:pt>
                <c:pt idx="607">
                  <c:v>9</c:v>
                </c:pt>
                <c:pt idx="608">
                  <c:v>9</c:v>
                </c:pt>
                <c:pt idx="609">
                  <c:v>9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22.548387096774185</c:v>
                </c:pt>
                <c:pt idx="614">
                  <c:v>42.374999999999972</c:v>
                </c:pt>
                <c:pt idx="615">
                  <c:v>42.642857142857181</c:v>
                </c:pt>
                <c:pt idx="616">
                  <c:v>45.562499999999964</c:v>
                </c:pt>
                <c:pt idx="617">
                  <c:v>30.666666666666668</c:v>
                </c:pt>
                <c:pt idx="618">
                  <c:v>38.2826086956522</c:v>
                </c:pt>
                <c:pt idx="619">
                  <c:v>32.437499999999979</c:v>
                </c:pt>
                <c:pt idx="620">
                  <c:v>16.600000000000001</c:v>
                </c:pt>
                <c:pt idx="621">
                  <c:v>24.928571428571431</c:v>
                </c:pt>
                <c:pt idx="622">
                  <c:v>36.299999999999997</c:v>
                </c:pt>
                <c:pt idx="623">
                  <c:v>46.131578947368446</c:v>
                </c:pt>
                <c:pt idx="624">
                  <c:v>8.9374999999999947</c:v>
                </c:pt>
                <c:pt idx="625">
                  <c:v>9.8421052631579258</c:v>
                </c:pt>
                <c:pt idx="626">
                  <c:v>37.833333333333329</c:v>
                </c:pt>
                <c:pt idx="627">
                  <c:v>17.166666666666639</c:v>
                </c:pt>
                <c:pt idx="628">
                  <c:v>28.794117647058862</c:v>
                </c:pt>
                <c:pt idx="629">
                  <c:v>39.653846153846075</c:v>
                </c:pt>
                <c:pt idx="630">
                  <c:v>12.846153846153854</c:v>
                </c:pt>
                <c:pt idx="631">
                  <c:v>15.111111111111121</c:v>
                </c:pt>
                <c:pt idx="632">
                  <c:v>28.999999999999972</c:v>
                </c:pt>
                <c:pt idx="633">
                  <c:v>31.565217391304373</c:v>
                </c:pt>
                <c:pt idx="634">
                  <c:v>24.428571428571431</c:v>
                </c:pt>
                <c:pt idx="635">
                  <c:v>6</c:v>
                </c:pt>
                <c:pt idx="636">
                  <c:v>7.5</c:v>
                </c:pt>
                <c:pt idx="637">
                  <c:v>7.5</c:v>
                </c:pt>
                <c:pt idx="638">
                  <c:v>20.000000000000043</c:v>
                </c:pt>
                <c:pt idx="639">
                  <c:v>25.642857142857096</c:v>
                </c:pt>
                <c:pt idx="640">
                  <c:v>13.5</c:v>
                </c:pt>
                <c:pt idx="641">
                  <c:v>20.500000000000014</c:v>
                </c:pt>
                <c:pt idx="642">
                  <c:v>13.5</c:v>
                </c:pt>
                <c:pt idx="643">
                  <c:v>23.571428571428537</c:v>
                </c:pt>
                <c:pt idx="644">
                  <c:v>38.571428571428712</c:v>
                </c:pt>
                <c:pt idx="645">
                  <c:v>24.999999999999975</c:v>
                </c:pt>
                <c:pt idx="646">
                  <c:v>24.090909090909022</c:v>
                </c:pt>
                <c:pt idx="647">
                  <c:v>13.5</c:v>
                </c:pt>
                <c:pt idx="648">
                  <c:v>20.642857142857189</c:v>
                </c:pt>
                <c:pt idx="649">
                  <c:v>9</c:v>
                </c:pt>
                <c:pt idx="650">
                  <c:v>34.21428571428563</c:v>
                </c:pt>
                <c:pt idx="651">
                  <c:v>9</c:v>
                </c:pt>
                <c:pt idx="652">
                  <c:v>3</c:v>
                </c:pt>
                <c:pt idx="653">
                  <c:v>37.105263157894669</c:v>
                </c:pt>
                <c:pt idx="654">
                  <c:v>18.499999999999993</c:v>
                </c:pt>
                <c:pt idx="655">
                  <c:v>24.611111111111128</c:v>
                </c:pt>
                <c:pt idx="656">
                  <c:v>50.384615384615465</c:v>
                </c:pt>
                <c:pt idx="657">
                  <c:v>42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41</c:v>
                </c:pt>
                <c:pt idx="662">
                  <c:v>14.642857142857114</c:v>
                </c:pt>
                <c:pt idx="663">
                  <c:v>9</c:v>
                </c:pt>
                <c:pt idx="664">
                  <c:v>16.394736842105274</c:v>
                </c:pt>
                <c:pt idx="665">
                  <c:v>13.5</c:v>
                </c:pt>
                <c:pt idx="666">
                  <c:v>23.500000000000092</c:v>
                </c:pt>
                <c:pt idx="667">
                  <c:v>25.323529411764618</c:v>
                </c:pt>
                <c:pt idx="668">
                  <c:v>3</c:v>
                </c:pt>
                <c:pt idx="669">
                  <c:v>47.333333333333336</c:v>
                </c:pt>
                <c:pt idx="670">
                  <c:v>42.052631578947306</c:v>
                </c:pt>
                <c:pt idx="671">
                  <c:v>51.322580645161345</c:v>
                </c:pt>
                <c:pt idx="672">
                  <c:v>61.650406504064904</c:v>
                </c:pt>
                <c:pt idx="673">
                  <c:v>65.973544973544961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31.500000000000007</c:v>
                </c:pt>
                <c:pt idx="679">
                  <c:v>39.833333333333314</c:v>
                </c:pt>
                <c:pt idx="680">
                  <c:v>29.625000000000004</c:v>
                </c:pt>
                <c:pt idx="681">
                  <c:v>39.833333333333321</c:v>
                </c:pt>
                <c:pt idx="682">
                  <c:v>48.246031746031754</c:v>
                </c:pt>
                <c:pt idx="683">
                  <c:v>50.710526315789487</c:v>
                </c:pt>
                <c:pt idx="684">
                  <c:v>24.833333333333329</c:v>
                </c:pt>
                <c:pt idx="685">
                  <c:v>44.833333333333321</c:v>
                </c:pt>
                <c:pt idx="686">
                  <c:v>30.25000000000005</c:v>
                </c:pt>
                <c:pt idx="687">
                  <c:v>16.5</c:v>
                </c:pt>
                <c:pt idx="688">
                  <c:v>45.388888888888935</c:v>
                </c:pt>
                <c:pt idx="689">
                  <c:v>38.264705882352928</c:v>
                </c:pt>
                <c:pt idx="690">
                  <c:v>25.07142857142858</c:v>
                </c:pt>
                <c:pt idx="691">
                  <c:v>20.30952380952381</c:v>
                </c:pt>
                <c:pt idx="692">
                  <c:v>9</c:v>
                </c:pt>
                <c:pt idx="693">
                  <c:v>6</c:v>
                </c:pt>
                <c:pt idx="694">
                  <c:v>22.020833333333343</c:v>
                </c:pt>
                <c:pt idx="695">
                  <c:v>20.864406779660985</c:v>
                </c:pt>
                <c:pt idx="696">
                  <c:v>6</c:v>
                </c:pt>
                <c:pt idx="697">
                  <c:v>22.611111111111132</c:v>
                </c:pt>
                <c:pt idx="698">
                  <c:v>6</c:v>
                </c:pt>
                <c:pt idx="699">
                  <c:v>31.075129533678759</c:v>
                </c:pt>
                <c:pt idx="700">
                  <c:v>3</c:v>
                </c:pt>
                <c:pt idx="701">
                  <c:v>3</c:v>
                </c:pt>
                <c:pt idx="702">
                  <c:v>9</c:v>
                </c:pt>
                <c:pt idx="703">
                  <c:v>16.630434782608681</c:v>
                </c:pt>
                <c:pt idx="704">
                  <c:v>25.5</c:v>
                </c:pt>
                <c:pt idx="705">
                  <c:v>12.88461538461539</c:v>
                </c:pt>
                <c:pt idx="706">
                  <c:v>23.307692307692321</c:v>
                </c:pt>
                <c:pt idx="707">
                  <c:v>17.607142857142811</c:v>
                </c:pt>
                <c:pt idx="708">
                  <c:v>7.5</c:v>
                </c:pt>
                <c:pt idx="709">
                  <c:v>6</c:v>
                </c:pt>
                <c:pt idx="710">
                  <c:v>30.166666666666664</c:v>
                </c:pt>
                <c:pt idx="711">
                  <c:v>7.5</c:v>
                </c:pt>
                <c:pt idx="712">
                  <c:v>7.5</c:v>
                </c:pt>
                <c:pt idx="713">
                  <c:v>7.5</c:v>
                </c:pt>
                <c:pt idx="714">
                  <c:v>13.5</c:v>
                </c:pt>
                <c:pt idx="715">
                  <c:v>16.071428571428623</c:v>
                </c:pt>
                <c:pt idx="716">
                  <c:v>7.5</c:v>
                </c:pt>
                <c:pt idx="717">
                  <c:v>7.5</c:v>
                </c:pt>
                <c:pt idx="718">
                  <c:v>7.5</c:v>
                </c:pt>
                <c:pt idx="719">
                  <c:v>7.5</c:v>
                </c:pt>
                <c:pt idx="720">
                  <c:v>7.5</c:v>
                </c:pt>
                <c:pt idx="721">
                  <c:v>9</c:v>
                </c:pt>
                <c:pt idx="722">
                  <c:v>21</c:v>
                </c:pt>
                <c:pt idx="723">
                  <c:v>10.5</c:v>
                </c:pt>
                <c:pt idx="724">
                  <c:v>9</c:v>
                </c:pt>
                <c:pt idx="725">
                  <c:v>9</c:v>
                </c:pt>
                <c:pt idx="726">
                  <c:v>9</c:v>
                </c:pt>
                <c:pt idx="727">
                  <c:v>28.282608695652193</c:v>
                </c:pt>
                <c:pt idx="728">
                  <c:v>35.558823529411768</c:v>
                </c:pt>
                <c:pt idx="729">
                  <c:v>31.119047619047549</c:v>
                </c:pt>
                <c:pt idx="730">
                  <c:v>20.166666666666679</c:v>
                </c:pt>
                <c:pt idx="731">
                  <c:v>15.5</c:v>
                </c:pt>
                <c:pt idx="732">
                  <c:v>7.5</c:v>
                </c:pt>
                <c:pt idx="733">
                  <c:v>10.5</c:v>
                </c:pt>
                <c:pt idx="734">
                  <c:v>6.7380952380952523</c:v>
                </c:pt>
                <c:pt idx="735">
                  <c:v>10.5</c:v>
                </c:pt>
                <c:pt idx="736">
                  <c:v>1.5</c:v>
                </c:pt>
                <c:pt idx="737">
                  <c:v>23.24999999999994</c:v>
                </c:pt>
                <c:pt idx="738">
                  <c:v>1.5</c:v>
                </c:pt>
                <c:pt idx="739">
                  <c:v>20.333333333333332</c:v>
                </c:pt>
                <c:pt idx="740">
                  <c:v>12</c:v>
                </c:pt>
                <c:pt idx="741">
                  <c:v>6</c:v>
                </c:pt>
                <c:pt idx="742">
                  <c:v>34.75</c:v>
                </c:pt>
                <c:pt idx="743">
                  <c:v>34.928571428571487</c:v>
                </c:pt>
                <c:pt idx="744">
                  <c:v>22.25</c:v>
                </c:pt>
                <c:pt idx="745">
                  <c:v>12</c:v>
                </c:pt>
                <c:pt idx="746">
                  <c:v>17.666666666666668</c:v>
                </c:pt>
                <c:pt idx="747">
                  <c:v>12</c:v>
                </c:pt>
                <c:pt idx="748">
                  <c:v>18.249999999999986</c:v>
                </c:pt>
                <c:pt idx="749">
                  <c:v>12</c:v>
                </c:pt>
                <c:pt idx="750">
                  <c:v>16.583333333333378</c:v>
                </c:pt>
                <c:pt idx="751">
                  <c:v>17.416666666666654</c:v>
                </c:pt>
                <c:pt idx="752">
                  <c:v>12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22.428571428571423</c:v>
                </c:pt>
                <c:pt idx="762">
                  <c:v>10.5</c:v>
                </c:pt>
                <c:pt idx="763">
                  <c:v>24</c:v>
                </c:pt>
                <c:pt idx="764">
                  <c:v>23.818181818181817</c:v>
                </c:pt>
                <c:pt idx="765">
                  <c:v>6</c:v>
                </c:pt>
                <c:pt idx="766">
                  <c:v>22.264705882352949</c:v>
                </c:pt>
                <c:pt idx="767">
                  <c:v>23.5</c:v>
                </c:pt>
                <c:pt idx="768">
                  <c:v>13.833333333333332</c:v>
                </c:pt>
                <c:pt idx="769">
                  <c:v>10.5</c:v>
                </c:pt>
                <c:pt idx="770">
                  <c:v>20.749999999999993</c:v>
                </c:pt>
                <c:pt idx="771">
                  <c:v>12</c:v>
                </c:pt>
                <c:pt idx="772">
                  <c:v>12</c:v>
                </c:pt>
                <c:pt idx="773">
                  <c:v>12</c:v>
                </c:pt>
                <c:pt idx="774">
                  <c:v>48.00000000000005</c:v>
                </c:pt>
                <c:pt idx="775">
                  <c:v>41</c:v>
                </c:pt>
                <c:pt idx="776">
                  <c:v>18</c:v>
                </c:pt>
                <c:pt idx="777">
                  <c:v>34.363636363636346</c:v>
                </c:pt>
                <c:pt idx="778">
                  <c:v>10.5</c:v>
                </c:pt>
                <c:pt idx="779">
                  <c:v>10.5</c:v>
                </c:pt>
                <c:pt idx="780">
                  <c:v>7.5</c:v>
                </c:pt>
                <c:pt idx="782">
                  <c:v>10.5</c:v>
                </c:pt>
                <c:pt idx="783">
                  <c:v>10.5</c:v>
                </c:pt>
                <c:pt idx="784">
                  <c:v>10.5</c:v>
                </c:pt>
                <c:pt idx="785">
                  <c:v>10.5</c:v>
                </c:pt>
                <c:pt idx="786">
                  <c:v>10.5</c:v>
                </c:pt>
                <c:pt idx="787">
                  <c:v>13.5</c:v>
                </c:pt>
                <c:pt idx="788">
                  <c:v>13.5</c:v>
                </c:pt>
                <c:pt idx="789">
                  <c:v>12</c:v>
                </c:pt>
                <c:pt idx="790">
                  <c:v>12</c:v>
                </c:pt>
                <c:pt idx="791">
                  <c:v>12</c:v>
                </c:pt>
                <c:pt idx="792">
                  <c:v>12</c:v>
                </c:pt>
                <c:pt idx="793">
                  <c:v>38.166666666666615</c:v>
                </c:pt>
                <c:pt idx="794">
                  <c:v>21.625000000000028</c:v>
                </c:pt>
                <c:pt idx="795">
                  <c:v>13.5</c:v>
                </c:pt>
                <c:pt idx="796">
                  <c:v>13.5</c:v>
                </c:pt>
                <c:pt idx="797">
                  <c:v>13.5</c:v>
                </c:pt>
                <c:pt idx="798">
                  <c:v>13.5</c:v>
                </c:pt>
                <c:pt idx="799">
                  <c:v>13.5</c:v>
                </c:pt>
                <c:pt idx="800">
                  <c:v>19.815789473684191</c:v>
                </c:pt>
                <c:pt idx="801">
                  <c:v>28.499999999999964</c:v>
                </c:pt>
                <c:pt idx="802">
                  <c:v>12</c:v>
                </c:pt>
                <c:pt idx="803">
                  <c:v>12</c:v>
                </c:pt>
                <c:pt idx="804">
                  <c:v>12</c:v>
                </c:pt>
                <c:pt idx="805">
                  <c:v>12</c:v>
                </c:pt>
                <c:pt idx="806">
                  <c:v>16.857142857142865</c:v>
                </c:pt>
                <c:pt idx="807">
                  <c:v>6</c:v>
                </c:pt>
                <c:pt idx="808">
                  <c:v>6</c:v>
                </c:pt>
                <c:pt idx="809">
                  <c:v>6</c:v>
                </c:pt>
                <c:pt idx="810">
                  <c:v>6</c:v>
                </c:pt>
                <c:pt idx="811">
                  <c:v>6</c:v>
                </c:pt>
                <c:pt idx="812">
                  <c:v>6</c:v>
                </c:pt>
                <c:pt idx="813">
                  <c:v>10.5</c:v>
                </c:pt>
                <c:pt idx="814">
                  <c:v>10.5</c:v>
                </c:pt>
                <c:pt idx="815">
                  <c:v>6</c:v>
                </c:pt>
                <c:pt idx="816">
                  <c:v>13.5</c:v>
                </c:pt>
                <c:pt idx="817">
                  <c:v>21.921052631578952</c:v>
                </c:pt>
                <c:pt idx="818">
                  <c:v>27.833333333333336</c:v>
                </c:pt>
                <c:pt idx="819">
                  <c:v>29.333333333333393</c:v>
                </c:pt>
                <c:pt idx="820">
                  <c:v>13.5</c:v>
                </c:pt>
                <c:pt idx="821">
                  <c:v>13.5</c:v>
                </c:pt>
                <c:pt idx="822">
                  <c:v>16.583333333333321</c:v>
                </c:pt>
                <c:pt idx="823">
                  <c:v>13.5</c:v>
                </c:pt>
                <c:pt idx="824">
                  <c:v>45.5</c:v>
                </c:pt>
                <c:pt idx="825">
                  <c:v>13.5</c:v>
                </c:pt>
                <c:pt idx="826">
                  <c:v>13.5</c:v>
                </c:pt>
                <c:pt idx="827">
                  <c:v>13.5</c:v>
                </c:pt>
                <c:pt idx="828">
                  <c:v>12</c:v>
                </c:pt>
                <c:pt idx="829">
                  <c:v>29.142857142857245</c:v>
                </c:pt>
                <c:pt idx="830">
                  <c:v>12</c:v>
                </c:pt>
                <c:pt idx="831">
                  <c:v>12</c:v>
                </c:pt>
                <c:pt idx="832">
                  <c:v>18.115384615384627</c:v>
                </c:pt>
                <c:pt idx="833">
                  <c:v>20.868421052631557</c:v>
                </c:pt>
                <c:pt idx="834">
                  <c:v>42</c:v>
                </c:pt>
                <c:pt idx="835">
                  <c:v>58.500000000000796</c:v>
                </c:pt>
                <c:pt idx="836">
                  <c:v>27.818181818181763</c:v>
                </c:pt>
                <c:pt idx="837">
                  <c:v>38.916666666666629</c:v>
                </c:pt>
                <c:pt idx="838">
                  <c:v>52.5</c:v>
                </c:pt>
                <c:pt idx="839">
                  <c:v>44</c:v>
                </c:pt>
                <c:pt idx="840">
                  <c:v>38.75</c:v>
                </c:pt>
                <c:pt idx="841">
                  <c:v>41.714285714285772</c:v>
                </c:pt>
                <c:pt idx="842">
                  <c:v>49.947368421052545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12</c:v>
                </c:pt>
                <c:pt idx="848">
                  <c:v>12</c:v>
                </c:pt>
                <c:pt idx="849">
                  <c:v>12</c:v>
                </c:pt>
                <c:pt idx="850">
                  <c:v>27.45454545454546</c:v>
                </c:pt>
                <c:pt idx="851">
                  <c:v>12</c:v>
                </c:pt>
                <c:pt idx="852">
                  <c:v>12</c:v>
                </c:pt>
                <c:pt idx="853">
                  <c:v>12</c:v>
                </c:pt>
                <c:pt idx="854">
                  <c:v>26.285714285714302</c:v>
                </c:pt>
                <c:pt idx="855">
                  <c:v>12</c:v>
                </c:pt>
                <c:pt idx="856">
                  <c:v>31.115384615384606</c:v>
                </c:pt>
                <c:pt idx="857">
                  <c:v>15</c:v>
                </c:pt>
                <c:pt idx="858">
                  <c:v>24.548780487804883</c:v>
                </c:pt>
                <c:pt idx="859">
                  <c:v>30.166666666666625</c:v>
                </c:pt>
                <c:pt idx="860">
                  <c:v>12</c:v>
                </c:pt>
                <c:pt idx="861">
                  <c:v>12</c:v>
                </c:pt>
                <c:pt idx="862">
                  <c:v>12</c:v>
                </c:pt>
                <c:pt idx="863">
                  <c:v>12</c:v>
                </c:pt>
                <c:pt idx="864">
                  <c:v>12</c:v>
                </c:pt>
                <c:pt idx="865">
                  <c:v>12</c:v>
                </c:pt>
                <c:pt idx="866">
                  <c:v>30.571428571428498</c:v>
                </c:pt>
                <c:pt idx="867">
                  <c:v>12</c:v>
                </c:pt>
                <c:pt idx="868">
                  <c:v>12</c:v>
                </c:pt>
                <c:pt idx="869">
                  <c:v>12</c:v>
                </c:pt>
                <c:pt idx="870">
                  <c:v>38.249999999999972</c:v>
                </c:pt>
                <c:pt idx="871">
                  <c:v>13.5</c:v>
                </c:pt>
                <c:pt idx="872">
                  <c:v>22.250000000000007</c:v>
                </c:pt>
                <c:pt idx="873">
                  <c:v>22.75</c:v>
                </c:pt>
                <c:pt idx="874">
                  <c:v>47.857142857142861</c:v>
                </c:pt>
                <c:pt idx="875">
                  <c:v>48.619047619047599</c:v>
                </c:pt>
                <c:pt idx="876">
                  <c:v>29.25</c:v>
                </c:pt>
                <c:pt idx="877">
                  <c:v>29.380952380952397</c:v>
                </c:pt>
                <c:pt idx="878">
                  <c:v>45.25</c:v>
                </c:pt>
                <c:pt idx="879">
                  <c:v>24.92857142857142</c:v>
                </c:pt>
                <c:pt idx="880">
                  <c:v>29.081395348837219</c:v>
                </c:pt>
                <c:pt idx="881">
                  <c:v>34.878378378378365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25.857142857142858</c:v>
                </c:pt>
                <c:pt idx="886">
                  <c:v>14.238095238095239</c:v>
                </c:pt>
                <c:pt idx="887">
                  <c:v>23.473684210526315</c:v>
                </c:pt>
                <c:pt idx="888">
                  <c:v>20.75</c:v>
                </c:pt>
                <c:pt idx="889">
                  <c:v>27.750000000000011</c:v>
                </c:pt>
                <c:pt idx="890">
                  <c:v>16.136363636363626</c:v>
                </c:pt>
                <c:pt idx="891">
                  <c:v>9</c:v>
                </c:pt>
                <c:pt idx="892">
                  <c:v>19.769230769230766</c:v>
                </c:pt>
                <c:pt idx="893">
                  <c:v>24.95238095238097</c:v>
                </c:pt>
                <c:pt idx="894">
                  <c:v>14.25</c:v>
                </c:pt>
                <c:pt idx="895">
                  <c:v>7.5</c:v>
                </c:pt>
                <c:pt idx="896">
                  <c:v>16.857142857142865</c:v>
                </c:pt>
                <c:pt idx="897">
                  <c:v>14.769230769230766</c:v>
                </c:pt>
                <c:pt idx="898">
                  <c:v>56</c:v>
                </c:pt>
                <c:pt idx="899">
                  <c:v>41.500000000000021</c:v>
                </c:pt>
                <c:pt idx="900">
                  <c:v>21.863636363636349</c:v>
                </c:pt>
                <c:pt idx="901">
                  <c:v>9</c:v>
                </c:pt>
                <c:pt idx="902">
                  <c:v>9</c:v>
                </c:pt>
                <c:pt idx="903">
                  <c:v>9</c:v>
                </c:pt>
                <c:pt idx="904">
                  <c:v>51.741935483871025</c:v>
                </c:pt>
                <c:pt idx="905">
                  <c:v>42.92238267148015</c:v>
                </c:pt>
                <c:pt idx="906">
                  <c:v>44.5</c:v>
                </c:pt>
                <c:pt idx="907">
                  <c:v>56.12295081967217</c:v>
                </c:pt>
                <c:pt idx="908">
                  <c:v>48.648514851485096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12</c:v>
                </c:pt>
                <c:pt idx="913">
                  <c:v>12</c:v>
                </c:pt>
                <c:pt idx="914">
                  <c:v>12</c:v>
                </c:pt>
                <c:pt idx="915">
                  <c:v>6</c:v>
                </c:pt>
                <c:pt idx="916">
                  <c:v>20.444444444444443</c:v>
                </c:pt>
                <c:pt idx="917">
                  <c:v>11.785714285714285</c:v>
                </c:pt>
                <c:pt idx="918">
                  <c:v>16.730769230769241</c:v>
                </c:pt>
                <c:pt idx="919">
                  <c:v>20</c:v>
                </c:pt>
                <c:pt idx="920">
                  <c:v>21.071428571428569</c:v>
                </c:pt>
                <c:pt idx="921">
                  <c:v>22.777777777777771</c:v>
                </c:pt>
                <c:pt idx="922">
                  <c:v>7.5</c:v>
                </c:pt>
                <c:pt idx="923">
                  <c:v>7.800000000000006</c:v>
                </c:pt>
                <c:pt idx="924">
                  <c:v>28.661290322580637</c:v>
                </c:pt>
                <c:pt idx="925">
                  <c:v>22.666666666666671</c:v>
                </c:pt>
                <c:pt idx="926">
                  <c:v>13.5</c:v>
                </c:pt>
                <c:pt idx="927">
                  <c:v>6.5714285714285658</c:v>
                </c:pt>
                <c:pt idx="928">
                  <c:v>34.192307692307736</c:v>
                </c:pt>
                <c:pt idx="929">
                  <c:v>3</c:v>
                </c:pt>
                <c:pt idx="930">
                  <c:v>7.5833333333333357</c:v>
                </c:pt>
                <c:pt idx="931">
                  <c:v>3</c:v>
                </c:pt>
                <c:pt idx="932">
                  <c:v>3</c:v>
                </c:pt>
                <c:pt idx="933">
                  <c:v>16.5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11</c:v>
                </c:pt>
                <c:pt idx="938">
                  <c:v>12.363636363636356</c:v>
                </c:pt>
                <c:pt idx="939">
                  <c:v>12.176470588235311</c:v>
                </c:pt>
                <c:pt idx="940">
                  <c:v>3</c:v>
                </c:pt>
                <c:pt idx="941">
                  <c:v>39.333333333333272</c:v>
                </c:pt>
                <c:pt idx="942">
                  <c:v>33.500000000000043</c:v>
                </c:pt>
                <c:pt idx="943">
                  <c:v>40.75</c:v>
                </c:pt>
                <c:pt idx="944">
                  <c:v>39.257575757575786</c:v>
                </c:pt>
                <c:pt idx="945">
                  <c:v>57.318181818181813</c:v>
                </c:pt>
                <c:pt idx="946">
                  <c:v>38.5</c:v>
                </c:pt>
                <c:pt idx="947">
                  <c:v>27.285714285714288</c:v>
                </c:pt>
                <c:pt idx="948">
                  <c:v>10.5</c:v>
                </c:pt>
                <c:pt idx="949">
                  <c:v>26.928571428571427</c:v>
                </c:pt>
                <c:pt idx="950">
                  <c:v>35.8888888888889</c:v>
                </c:pt>
                <c:pt idx="951">
                  <c:v>26.666666666666664</c:v>
                </c:pt>
                <c:pt idx="952">
                  <c:v>22</c:v>
                </c:pt>
                <c:pt idx="953">
                  <c:v>16.399999999999999</c:v>
                </c:pt>
                <c:pt idx="954">
                  <c:v>48.578947368421041</c:v>
                </c:pt>
                <c:pt idx="955">
                  <c:v>25.214285714285712</c:v>
                </c:pt>
                <c:pt idx="956">
                  <c:v>33.1111111111111</c:v>
                </c:pt>
                <c:pt idx="957">
                  <c:v>34.5</c:v>
                </c:pt>
                <c:pt idx="958">
                  <c:v>36.51612903225805</c:v>
                </c:pt>
                <c:pt idx="959">
                  <c:v>39.142857142857167</c:v>
                </c:pt>
                <c:pt idx="960">
                  <c:v>38.315789473684234</c:v>
                </c:pt>
                <c:pt idx="961">
                  <c:v>34.941176470588196</c:v>
                </c:pt>
                <c:pt idx="962">
                  <c:v>31.285714285714306</c:v>
                </c:pt>
                <c:pt idx="963">
                  <c:v>40.235294117647072</c:v>
                </c:pt>
                <c:pt idx="964">
                  <c:v>38.388888888888879</c:v>
                </c:pt>
                <c:pt idx="965">
                  <c:v>42.423076923076906</c:v>
                </c:pt>
                <c:pt idx="966">
                  <c:v>17.812500000000014</c:v>
                </c:pt>
                <c:pt idx="967">
                  <c:v>11.847826086956514</c:v>
                </c:pt>
                <c:pt idx="968">
                  <c:v>18.5</c:v>
                </c:pt>
                <c:pt idx="969">
                  <c:v>12.261904761904759</c:v>
                </c:pt>
                <c:pt idx="970">
                  <c:v>7.5</c:v>
                </c:pt>
                <c:pt idx="971">
                  <c:v>15.681818181818171</c:v>
                </c:pt>
                <c:pt idx="972">
                  <c:v>31.289473684210545</c:v>
                </c:pt>
                <c:pt idx="973">
                  <c:v>24.574074074074058</c:v>
                </c:pt>
                <c:pt idx="974">
                  <c:v>29.571428571428555</c:v>
                </c:pt>
                <c:pt idx="975">
                  <c:v>21.526315789473692</c:v>
                </c:pt>
                <c:pt idx="976">
                  <c:v>6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11.214285714285714</c:v>
                </c:pt>
                <c:pt idx="982">
                  <c:v>15</c:v>
                </c:pt>
                <c:pt idx="983">
                  <c:v>15</c:v>
                </c:pt>
                <c:pt idx="984">
                  <c:v>22.222222222222221</c:v>
                </c:pt>
                <c:pt idx="985">
                  <c:v>20.666666666666664</c:v>
                </c:pt>
                <c:pt idx="986">
                  <c:v>33.166666666666679</c:v>
                </c:pt>
                <c:pt idx="987">
                  <c:v>35.5</c:v>
                </c:pt>
                <c:pt idx="988">
                  <c:v>30.1</c:v>
                </c:pt>
                <c:pt idx="989">
                  <c:v>23.166666666666664</c:v>
                </c:pt>
                <c:pt idx="990">
                  <c:v>18.124999999999993</c:v>
                </c:pt>
                <c:pt idx="991">
                  <c:v>7.5</c:v>
                </c:pt>
                <c:pt idx="992">
                  <c:v>7.5</c:v>
                </c:pt>
                <c:pt idx="993">
                  <c:v>23</c:v>
                </c:pt>
                <c:pt idx="994">
                  <c:v>22.181818181818208</c:v>
                </c:pt>
                <c:pt idx="995">
                  <c:v>9</c:v>
                </c:pt>
                <c:pt idx="996">
                  <c:v>16.142857142857153</c:v>
                </c:pt>
                <c:pt idx="997">
                  <c:v>9</c:v>
                </c:pt>
                <c:pt idx="998">
                  <c:v>9</c:v>
                </c:pt>
                <c:pt idx="999">
                  <c:v>27.333333333333506</c:v>
                </c:pt>
                <c:pt idx="1000">
                  <c:v>45.666666666666579</c:v>
                </c:pt>
                <c:pt idx="1001">
                  <c:v>10.16666666666667</c:v>
                </c:pt>
                <c:pt idx="1002">
                  <c:v>13.499999999999993</c:v>
                </c:pt>
                <c:pt idx="1003">
                  <c:v>31.735294117647026</c:v>
                </c:pt>
                <c:pt idx="1004">
                  <c:v>17.538461538461561</c:v>
                </c:pt>
                <c:pt idx="1005">
                  <c:v>31.83333333333329</c:v>
                </c:pt>
                <c:pt idx="1006">
                  <c:v>31.277777777777807</c:v>
                </c:pt>
                <c:pt idx="1007">
                  <c:v>33.499999999999986</c:v>
                </c:pt>
                <c:pt idx="1008">
                  <c:v>6</c:v>
                </c:pt>
                <c:pt idx="1009">
                  <c:v>32.91176470588232</c:v>
                </c:pt>
                <c:pt idx="1010">
                  <c:v>6</c:v>
                </c:pt>
                <c:pt idx="1011">
                  <c:v>40.423076923076692</c:v>
                </c:pt>
                <c:pt idx="1012">
                  <c:v>43.5</c:v>
                </c:pt>
                <c:pt idx="1013">
                  <c:v>22.5</c:v>
                </c:pt>
                <c:pt idx="1014">
                  <c:v>38.5</c:v>
                </c:pt>
                <c:pt idx="1015">
                  <c:v>32.5</c:v>
                </c:pt>
                <c:pt idx="1016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76-4DB6-9D22-1B4EFB2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01744"/>
        <c:axId val="1237509904"/>
      </c:scatterChart>
      <c:valAx>
        <c:axId val="12375017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RMR76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9904"/>
        <c:crosses val="autoZero"/>
        <c:crossBetween val="midCat"/>
      </c:valAx>
      <c:valAx>
        <c:axId val="123750990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GSI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Lithology 40</a:t>
            </a:r>
          </a:p>
        </c:rich>
      </c:tx>
      <c:layout>
        <c:manualLayout>
          <c:xMode val="edge"/>
          <c:yMode val="edge"/>
          <c:x val="0.42205084366150641"/>
          <c:y val="2.047082906857727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Freqüência</c:v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Geotec'!$CA$35:$CA$39</c:f>
              <c:strCache>
                <c:ptCount val="5"/>
                <c:pt idx="0">
                  <c:v>R0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</c:strCache>
            </c:strRef>
          </c:cat>
          <c:val>
            <c:numRef>
              <c:f>'5. Litologia 40 Geotec'!$CH$35:$CH$39</c:f>
              <c:numCache>
                <c:formatCode>0%</c:formatCode>
                <c:ptCount val="5"/>
                <c:pt idx="0">
                  <c:v>0.22147651006711411</c:v>
                </c:pt>
                <c:pt idx="1">
                  <c:v>0.21476510067114093</c:v>
                </c:pt>
                <c:pt idx="2">
                  <c:v>0.21476510067114093</c:v>
                </c:pt>
                <c:pt idx="3">
                  <c:v>0.34899328859060402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7-4E50-B232-8D95499DE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0"/>
          <c:order val="1"/>
          <c:tx>
            <c:v>Lithology 40</c:v>
          </c:tx>
          <c:spPr>
            <a:ln w="19050">
              <a:noFill/>
            </a:ln>
          </c:spPr>
          <c:marker>
            <c:symbol val="diamond"/>
            <c:size val="15"/>
            <c:spPr>
              <a:solidFill>
                <a:srgbClr val="EEDFAA"/>
              </a:solidFill>
              <a:ln>
                <a:solidFill>
                  <a:srgbClr val="EEDFAA"/>
                </a:solidFill>
              </a:ln>
            </c:spPr>
          </c:marker>
          <c:xVal>
            <c:numRef>
              <c:f>'5. Litologia 40 Geotec'!$BM$3:$BM$152</c:f>
              <c:numCache>
                <c:formatCode>0.0</c:formatCode>
                <c:ptCount val="150"/>
                <c:pt idx="0">
                  <c:v>45</c:v>
                </c:pt>
                <c:pt idx="1">
                  <c:v>50</c:v>
                </c:pt>
                <c:pt idx="2">
                  <c:v>19</c:v>
                </c:pt>
                <c:pt idx="3">
                  <c:v>32</c:v>
                </c:pt>
                <c:pt idx="4">
                  <c:v>36</c:v>
                </c:pt>
                <c:pt idx="5">
                  <c:v>44</c:v>
                </c:pt>
                <c:pt idx="6">
                  <c:v>49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43</c:v>
                </c:pt>
                <c:pt idx="11">
                  <c:v>38</c:v>
                </c:pt>
                <c:pt idx="12">
                  <c:v>25</c:v>
                </c:pt>
                <c:pt idx="13">
                  <c:v>30</c:v>
                </c:pt>
                <c:pt idx="14">
                  <c:v>40</c:v>
                </c:pt>
                <c:pt idx="15">
                  <c:v>43</c:v>
                </c:pt>
                <c:pt idx="16">
                  <c:v>30</c:v>
                </c:pt>
                <c:pt idx="17">
                  <c:v>41</c:v>
                </c:pt>
                <c:pt idx="18">
                  <c:v>33</c:v>
                </c:pt>
                <c:pt idx="19">
                  <c:v>24</c:v>
                </c:pt>
                <c:pt idx="20">
                  <c:v>23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27</c:v>
                </c:pt>
                <c:pt idx="51">
                  <c:v>19</c:v>
                </c:pt>
                <c:pt idx="52">
                  <c:v>21</c:v>
                </c:pt>
                <c:pt idx="53">
                  <c:v>21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32</c:v>
                </c:pt>
                <c:pt idx="58">
                  <c:v>27</c:v>
                </c:pt>
                <c:pt idx="59">
                  <c:v>27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29</c:v>
                </c:pt>
                <c:pt idx="64">
                  <c:v>19</c:v>
                </c:pt>
                <c:pt idx="65">
                  <c:v>19</c:v>
                </c:pt>
                <c:pt idx="66">
                  <c:v>22</c:v>
                </c:pt>
                <c:pt idx="67">
                  <c:v>24</c:v>
                </c:pt>
                <c:pt idx="68">
                  <c:v>27</c:v>
                </c:pt>
                <c:pt idx="69">
                  <c:v>26</c:v>
                </c:pt>
                <c:pt idx="70">
                  <c:v>35</c:v>
                </c:pt>
                <c:pt idx="71">
                  <c:v>19</c:v>
                </c:pt>
                <c:pt idx="72">
                  <c:v>18</c:v>
                </c:pt>
                <c:pt idx="73">
                  <c:v>18</c:v>
                </c:pt>
                <c:pt idx="74">
                  <c:v>23</c:v>
                </c:pt>
                <c:pt idx="75">
                  <c:v>18</c:v>
                </c:pt>
                <c:pt idx="76">
                  <c:v>16</c:v>
                </c:pt>
                <c:pt idx="77">
                  <c:v>17</c:v>
                </c:pt>
                <c:pt idx="78">
                  <c:v>15</c:v>
                </c:pt>
                <c:pt idx="79">
                  <c:v>47</c:v>
                </c:pt>
                <c:pt idx="80">
                  <c:v>53</c:v>
                </c:pt>
                <c:pt idx="81">
                  <c:v>52</c:v>
                </c:pt>
                <c:pt idx="82">
                  <c:v>48</c:v>
                </c:pt>
                <c:pt idx="83">
                  <c:v>38</c:v>
                </c:pt>
                <c:pt idx="85">
                  <c:v>27</c:v>
                </c:pt>
                <c:pt idx="86">
                  <c:v>13</c:v>
                </c:pt>
                <c:pt idx="87">
                  <c:v>17</c:v>
                </c:pt>
                <c:pt idx="88">
                  <c:v>18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19</c:v>
                </c:pt>
                <c:pt idx="93">
                  <c:v>21</c:v>
                </c:pt>
                <c:pt idx="94">
                  <c:v>33</c:v>
                </c:pt>
                <c:pt idx="95">
                  <c:v>29</c:v>
                </c:pt>
                <c:pt idx="96">
                  <c:v>18</c:v>
                </c:pt>
                <c:pt idx="97">
                  <c:v>20</c:v>
                </c:pt>
                <c:pt idx="98">
                  <c:v>27</c:v>
                </c:pt>
                <c:pt idx="99">
                  <c:v>26</c:v>
                </c:pt>
                <c:pt idx="100">
                  <c:v>20</c:v>
                </c:pt>
                <c:pt idx="101">
                  <c:v>31</c:v>
                </c:pt>
                <c:pt idx="102">
                  <c:v>19</c:v>
                </c:pt>
                <c:pt idx="103">
                  <c:v>22</c:v>
                </c:pt>
                <c:pt idx="104">
                  <c:v>22</c:v>
                </c:pt>
                <c:pt idx="105">
                  <c:v>25</c:v>
                </c:pt>
                <c:pt idx="106">
                  <c:v>38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23</c:v>
                </c:pt>
                <c:pt idx="111">
                  <c:v>40</c:v>
                </c:pt>
                <c:pt idx="112">
                  <c:v>38</c:v>
                </c:pt>
                <c:pt idx="113">
                  <c:v>43</c:v>
                </c:pt>
                <c:pt idx="114">
                  <c:v>35</c:v>
                </c:pt>
                <c:pt idx="115">
                  <c:v>21</c:v>
                </c:pt>
                <c:pt idx="116">
                  <c:v>21</c:v>
                </c:pt>
                <c:pt idx="117">
                  <c:v>22</c:v>
                </c:pt>
                <c:pt idx="118">
                  <c:v>22</c:v>
                </c:pt>
                <c:pt idx="119">
                  <c:v>18</c:v>
                </c:pt>
                <c:pt idx="120">
                  <c:v>26</c:v>
                </c:pt>
                <c:pt idx="121">
                  <c:v>24</c:v>
                </c:pt>
                <c:pt idx="122">
                  <c:v>19</c:v>
                </c:pt>
                <c:pt idx="123">
                  <c:v>23</c:v>
                </c:pt>
                <c:pt idx="124">
                  <c:v>27</c:v>
                </c:pt>
                <c:pt idx="125">
                  <c:v>16</c:v>
                </c:pt>
                <c:pt idx="126">
                  <c:v>17</c:v>
                </c:pt>
                <c:pt idx="127">
                  <c:v>20</c:v>
                </c:pt>
                <c:pt idx="128">
                  <c:v>27</c:v>
                </c:pt>
                <c:pt idx="129">
                  <c:v>26</c:v>
                </c:pt>
                <c:pt idx="130">
                  <c:v>33</c:v>
                </c:pt>
                <c:pt idx="131">
                  <c:v>34</c:v>
                </c:pt>
                <c:pt idx="132">
                  <c:v>47</c:v>
                </c:pt>
                <c:pt idx="133">
                  <c:v>45</c:v>
                </c:pt>
                <c:pt idx="134">
                  <c:v>40</c:v>
                </c:pt>
                <c:pt idx="135">
                  <c:v>48</c:v>
                </c:pt>
                <c:pt idx="136">
                  <c:v>34</c:v>
                </c:pt>
                <c:pt idx="137">
                  <c:v>24</c:v>
                </c:pt>
                <c:pt idx="138">
                  <c:v>23</c:v>
                </c:pt>
                <c:pt idx="139">
                  <c:v>18</c:v>
                </c:pt>
                <c:pt idx="140">
                  <c:v>26</c:v>
                </c:pt>
                <c:pt idx="141">
                  <c:v>26</c:v>
                </c:pt>
                <c:pt idx="142">
                  <c:v>17</c:v>
                </c:pt>
                <c:pt idx="143">
                  <c:v>17</c:v>
                </c:pt>
                <c:pt idx="144">
                  <c:v>30</c:v>
                </c:pt>
                <c:pt idx="145">
                  <c:v>38</c:v>
                </c:pt>
                <c:pt idx="146">
                  <c:v>21</c:v>
                </c:pt>
                <c:pt idx="147">
                  <c:v>37</c:v>
                </c:pt>
                <c:pt idx="148">
                  <c:v>32</c:v>
                </c:pt>
                <c:pt idx="149">
                  <c:v>36</c:v>
                </c:pt>
              </c:numCache>
            </c:numRef>
          </c:xVal>
          <c:yVal>
            <c:numRef>
              <c:f>'5. Litologia 40 Geotec'!$X$3:$X$152</c:f>
              <c:numCache>
                <c:formatCode>0.0</c:formatCode>
                <c:ptCount val="150"/>
                <c:pt idx="0">
                  <c:v>126.66666666666667</c:v>
                </c:pt>
                <c:pt idx="1">
                  <c:v>140</c:v>
                </c:pt>
                <c:pt idx="2">
                  <c:v>19</c:v>
                </c:pt>
                <c:pt idx="3">
                  <c:v>76.666666666666671</c:v>
                </c:pt>
                <c:pt idx="4">
                  <c:v>86</c:v>
                </c:pt>
                <c:pt idx="5">
                  <c:v>112.5</c:v>
                </c:pt>
                <c:pt idx="6">
                  <c:v>235</c:v>
                </c:pt>
                <c:pt idx="7">
                  <c:v>70</c:v>
                </c:pt>
                <c:pt idx="8">
                  <c:v>102.5</c:v>
                </c:pt>
                <c:pt idx="9">
                  <c:v>107.5</c:v>
                </c:pt>
                <c:pt idx="10">
                  <c:v>44</c:v>
                </c:pt>
                <c:pt idx="11">
                  <c:v>46</c:v>
                </c:pt>
                <c:pt idx="12">
                  <c:v>73.333333333333329</c:v>
                </c:pt>
                <c:pt idx="13">
                  <c:v>140</c:v>
                </c:pt>
                <c:pt idx="14">
                  <c:v>70</c:v>
                </c:pt>
                <c:pt idx="15">
                  <c:v>92.5</c:v>
                </c:pt>
                <c:pt idx="16">
                  <c:v>48.571428571428569</c:v>
                </c:pt>
                <c:pt idx="17">
                  <c:v>81.666666666666671</c:v>
                </c:pt>
                <c:pt idx="18">
                  <c:v>93.333333333333329</c:v>
                </c:pt>
                <c:pt idx="19">
                  <c:v>55</c:v>
                </c:pt>
                <c:pt idx="20">
                  <c:v>19</c:v>
                </c:pt>
                <c:pt idx="21">
                  <c:v>26</c:v>
                </c:pt>
                <c:pt idx="22">
                  <c:v>26</c:v>
                </c:pt>
                <c:pt idx="23">
                  <c:v>24</c:v>
                </c:pt>
                <c:pt idx="24">
                  <c:v>23</c:v>
                </c:pt>
                <c:pt idx="25">
                  <c:v>22</c:v>
                </c:pt>
                <c:pt idx="26">
                  <c:v>20</c:v>
                </c:pt>
                <c:pt idx="27">
                  <c:v>28</c:v>
                </c:pt>
                <c:pt idx="28">
                  <c:v>24</c:v>
                </c:pt>
                <c:pt idx="29">
                  <c:v>42</c:v>
                </c:pt>
                <c:pt idx="30">
                  <c:v>20</c:v>
                </c:pt>
                <c:pt idx="32">
                  <c:v>13</c:v>
                </c:pt>
                <c:pt idx="33">
                  <c:v>17</c:v>
                </c:pt>
                <c:pt idx="34">
                  <c:v>16</c:v>
                </c:pt>
                <c:pt idx="35">
                  <c:v>14</c:v>
                </c:pt>
                <c:pt idx="36">
                  <c:v>17</c:v>
                </c:pt>
                <c:pt idx="37">
                  <c:v>23</c:v>
                </c:pt>
                <c:pt idx="38">
                  <c:v>20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16.363636363636363</c:v>
                </c:pt>
                <c:pt idx="43">
                  <c:v>10.909090909090908</c:v>
                </c:pt>
                <c:pt idx="45">
                  <c:v>24</c:v>
                </c:pt>
                <c:pt idx="47">
                  <c:v>24</c:v>
                </c:pt>
                <c:pt idx="48">
                  <c:v>11</c:v>
                </c:pt>
                <c:pt idx="49">
                  <c:v>12</c:v>
                </c:pt>
                <c:pt idx="50">
                  <c:v>86.666666666666671</c:v>
                </c:pt>
                <c:pt idx="51">
                  <c:v>26</c:v>
                </c:pt>
                <c:pt idx="52">
                  <c:v>10.666666666666666</c:v>
                </c:pt>
                <c:pt idx="53">
                  <c:v>12</c:v>
                </c:pt>
                <c:pt idx="54">
                  <c:v>45.714285714285715</c:v>
                </c:pt>
                <c:pt idx="55">
                  <c:v>20</c:v>
                </c:pt>
                <c:pt idx="56">
                  <c:v>32</c:v>
                </c:pt>
                <c:pt idx="57">
                  <c:v>44</c:v>
                </c:pt>
                <c:pt idx="58">
                  <c:v>12</c:v>
                </c:pt>
                <c:pt idx="59">
                  <c:v>15</c:v>
                </c:pt>
                <c:pt idx="60">
                  <c:v>18.571428571428573</c:v>
                </c:pt>
                <c:pt idx="61">
                  <c:v>52</c:v>
                </c:pt>
                <c:pt idx="62">
                  <c:v>50</c:v>
                </c:pt>
                <c:pt idx="63">
                  <c:v>110</c:v>
                </c:pt>
                <c:pt idx="64">
                  <c:v>47.142857142857146</c:v>
                </c:pt>
                <c:pt idx="65">
                  <c:v>41.428571428571431</c:v>
                </c:pt>
                <c:pt idx="66">
                  <c:v>50</c:v>
                </c:pt>
                <c:pt idx="67">
                  <c:v>51.25</c:v>
                </c:pt>
                <c:pt idx="68">
                  <c:v>86</c:v>
                </c:pt>
                <c:pt idx="69">
                  <c:v>74</c:v>
                </c:pt>
                <c:pt idx="70">
                  <c:v>107.5</c:v>
                </c:pt>
                <c:pt idx="71">
                  <c:v>60</c:v>
                </c:pt>
                <c:pt idx="72">
                  <c:v>34</c:v>
                </c:pt>
                <c:pt idx="73">
                  <c:v>32</c:v>
                </c:pt>
                <c:pt idx="74">
                  <c:v>70</c:v>
                </c:pt>
                <c:pt idx="75">
                  <c:v>41</c:v>
                </c:pt>
                <c:pt idx="76">
                  <c:v>45</c:v>
                </c:pt>
                <c:pt idx="77">
                  <c:v>70</c:v>
                </c:pt>
                <c:pt idx="78">
                  <c:v>58.75</c:v>
                </c:pt>
                <c:pt idx="79">
                  <c:v>107.5</c:v>
                </c:pt>
                <c:pt idx="80">
                  <c:v>235</c:v>
                </c:pt>
                <c:pt idx="81">
                  <c:v>150</c:v>
                </c:pt>
                <c:pt idx="82">
                  <c:v>156.66666666666666</c:v>
                </c:pt>
                <c:pt idx="83">
                  <c:v>120</c:v>
                </c:pt>
                <c:pt idx="84">
                  <c:v>82</c:v>
                </c:pt>
                <c:pt idx="85">
                  <c:v>70</c:v>
                </c:pt>
                <c:pt idx="86">
                  <c:v>38</c:v>
                </c:pt>
                <c:pt idx="87">
                  <c:v>42</c:v>
                </c:pt>
                <c:pt idx="88">
                  <c:v>28</c:v>
                </c:pt>
                <c:pt idx="89">
                  <c:v>62.5</c:v>
                </c:pt>
                <c:pt idx="90">
                  <c:v>66</c:v>
                </c:pt>
                <c:pt idx="91">
                  <c:v>30</c:v>
                </c:pt>
                <c:pt idx="92">
                  <c:v>16</c:v>
                </c:pt>
                <c:pt idx="93">
                  <c:v>60</c:v>
                </c:pt>
                <c:pt idx="94">
                  <c:v>80</c:v>
                </c:pt>
                <c:pt idx="95">
                  <c:v>85</c:v>
                </c:pt>
                <c:pt idx="96">
                  <c:v>42</c:v>
                </c:pt>
                <c:pt idx="97">
                  <c:v>77.5</c:v>
                </c:pt>
                <c:pt idx="98">
                  <c:v>120</c:v>
                </c:pt>
                <c:pt idx="99">
                  <c:v>66.666666666666671</c:v>
                </c:pt>
                <c:pt idx="100">
                  <c:v>43.333333333333336</c:v>
                </c:pt>
                <c:pt idx="101">
                  <c:v>93.333333333333329</c:v>
                </c:pt>
                <c:pt idx="102">
                  <c:v>60</c:v>
                </c:pt>
                <c:pt idx="103">
                  <c:v>32.5</c:v>
                </c:pt>
                <c:pt idx="104">
                  <c:v>36.666666666666664</c:v>
                </c:pt>
                <c:pt idx="105">
                  <c:v>36.666666666666664</c:v>
                </c:pt>
                <c:pt idx="106">
                  <c:v>165</c:v>
                </c:pt>
                <c:pt idx="107">
                  <c:v>20</c:v>
                </c:pt>
                <c:pt idx="108">
                  <c:v>50</c:v>
                </c:pt>
                <c:pt idx="109">
                  <c:v>33.333333333333336</c:v>
                </c:pt>
                <c:pt idx="110">
                  <c:v>25</c:v>
                </c:pt>
                <c:pt idx="111">
                  <c:v>120</c:v>
                </c:pt>
                <c:pt idx="112">
                  <c:v>130</c:v>
                </c:pt>
                <c:pt idx="113">
                  <c:v>130</c:v>
                </c:pt>
                <c:pt idx="114">
                  <c:v>103.33333333333333</c:v>
                </c:pt>
                <c:pt idx="115">
                  <c:v>44</c:v>
                </c:pt>
                <c:pt idx="116">
                  <c:v>24</c:v>
                </c:pt>
                <c:pt idx="117">
                  <c:v>32</c:v>
                </c:pt>
                <c:pt idx="118">
                  <c:v>46</c:v>
                </c:pt>
                <c:pt idx="119">
                  <c:v>32</c:v>
                </c:pt>
                <c:pt idx="120">
                  <c:v>40</c:v>
                </c:pt>
                <c:pt idx="121">
                  <c:v>105</c:v>
                </c:pt>
                <c:pt idx="122">
                  <c:v>38</c:v>
                </c:pt>
                <c:pt idx="123">
                  <c:v>53.333333333333336</c:v>
                </c:pt>
                <c:pt idx="124">
                  <c:v>75</c:v>
                </c:pt>
                <c:pt idx="125">
                  <c:v>53.333333333333336</c:v>
                </c:pt>
                <c:pt idx="126">
                  <c:v>36</c:v>
                </c:pt>
                <c:pt idx="127">
                  <c:v>38</c:v>
                </c:pt>
                <c:pt idx="128">
                  <c:v>36</c:v>
                </c:pt>
                <c:pt idx="129">
                  <c:v>62.5</c:v>
                </c:pt>
                <c:pt idx="130">
                  <c:v>90</c:v>
                </c:pt>
                <c:pt idx="131">
                  <c:v>90</c:v>
                </c:pt>
                <c:pt idx="132">
                  <c:v>175</c:v>
                </c:pt>
                <c:pt idx="133">
                  <c:v>140</c:v>
                </c:pt>
                <c:pt idx="134">
                  <c:v>106.66666666666667</c:v>
                </c:pt>
                <c:pt idx="135">
                  <c:v>106.66666666666667</c:v>
                </c:pt>
                <c:pt idx="136">
                  <c:v>75</c:v>
                </c:pt>
                <c:pt idx="137">
                  <c:v>63.333333333333336</c:v>
                </c:pt>
                <c:pt idx="138">
                  <c:v>70</c:v>
                </c:pt>
                <c:pt idx="139">
                  <c:v>67.5</c:v>
                </c:pt>
                <c:pt idx="140">
                  <c:v>40</c:v>
                </c:pt>
                <c:pt idx="141">
                  <c:v>34</c:v>
                </c:pt>
                <c:pt idx="142">
                  <c:v>33.333333333333336</c:v>
                </c:pt>
                <c:pt idx="143">
                  <c:v>40</c:v>
                </c:pt>
                <c:pt idx="144">
                  <c:v>72</c:v>
                </c:pt>
                <c:pt idx="145">
                  <c:v>133.33333333333334</c:v>
                </c:pt>
                <c:pt idx="146">
                  <c:v>115</c:v>
                </c:pt>
                <c:pt idx="147">
                  <c:v>107.5</c:v>
                </c:pt>
                <c:pt idx="148">
                  <c:v>90</c:v>
                </c:pt>
                <c:pt idx="149">
                  <c:v>100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2EB-4828-9ADE-957F8BCE4674}"/>
            </c:ext>
          </c:extLst>
        </c:ser>
        <c:ser>
          <c:idx val="2"/>
          <c:order val="3"/>
          <c:tx>
            <c:v>Lithology 10</c:v>
          </c:tx>
          <c:spPr>
            <a:ln w="19050">
              <a:noFill/>
            </a:ln>
          </c:spPr>
          <c:marker>
            <c:symbol val="diamond"/>
            <c:size val="10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02EB-4828-9ADE-957F8BCE4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v>Lithology 30</c:v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'5. Quantificación de DESMONTE'!$AT$5:$AT$22</c15:sqref>
                        </c15:formulaRef>
                      </c:ext>
                    </c:extLst>
                    <c:numCache>
                      <c:formatCode>0.0</c:formatCode>
                      <c:ptCount val="18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7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4</c:v>
                      </c:pt>
                      <c:pt idx="9">
                        <c:v>7</c:v>
                      </c:pt>
                      <c:pt idx="11">
                        <c:v>4</c:v>
                      </c:pt>
                      <c:pt idx="13">
                        <c:v>2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7">
                        <c:v>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'5. Quantificación de DESMONTE'!$AS$5:$AS$22</c15:sqref>
                        </c15:formulaRef>
                      </c:ext>
                    </c:extLst>
                    <c:numCache>
                      <c:formatCode>0.00</c:formatCode>
                      <c:ptCount val="18"/>
                      <c:pt idx="0">
                        <c:v>51.666666666666664</c:v>
                      </c:pt>
                      <c:pt idx="1">
                        <c:v>13</c:v>
                      </c:pt>
                      <c:pt idx="2">
                        <c:v>11</c:v>
                      </c:pt>
                      <c:pt idx="3">
                        <c:v>14</c:v>
                      </c:pt>
                      <c:pt idx="4">
                        <c:v>23</c:v>
                      </c:pt>
                      <c:pt idx="5">
                        <c:v>34</c:v>
                      </c:pt>
                      <c:pt idx="6">
                        <c:v>13</c:v>
                      </c:pt>
                      <c:pt idx="7">
                        <c:v>51.666666666666664</c:v>
                      </c:pt>
                      <c:pt idx="8">
                        <c:v>54</c:v>
                      </c:pt>
                      <c:pt idx="9">
                        <c:v>110</c:v>
                      </c:pt>
                      <c:pt idx="11">
                        <c:v>166.66666666666666</c:v>
                      </c:pt>
                      <c:pt idx="13">
                        <c:v>87.5</c:v>
                      </c:pt>
                      <c:pt idx="14">
                        <c:v>47.5</c:v>
                      </c:pt>
                      <c:pt idx="15">
                        <c:v>103.33333333333333</c:v>
                      </c:pt>
                      <c:pt idx="17">
                        <c:v>286.66666666666669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2EB-4828-9ADE-957F8BCE4674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Lithology 50</c:v>
                </c:tx>
                <c:spPr>
                  <a:ln w="19050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Quantificación de DESMONTE'!$AT$53:$AT$60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4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Quantificación de DESMONTE'!$AS$53:$AS$60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180</c:v>
                      </c:pt>
                      <c:pt idx="1">
                        <c:v>78</c:v>
                      </c:pt>
                      <c:pt idx="2">
                        <c:v>87.5</c:v>
                      </c:pt>
                      <c:pt idx="3">
                        <c:v>15.333333333333334</c:v>
                      </c:pt>
                      <c:pt idx="4">
                        <c:v>96.666666666666671</c:v>
                      </c:pt>
                      <c:pt idx="5">
                        <c:v>20.76923076923077</c:v>
                      </c:pt>
                      <c:pt idx="6">
                        <c:v>29</c:v>
                      </c:pt>
                      <c:pt idx="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EB-4828-9ADE-957F8BCE4674}"/>
                  </c:ext>
                </c:extLst>
              </c15:ser>
            </c15:filteredScatterSeries>
          </c:ext>
        </c:extLst>
      </c:scatterChart>
      <c:valAx>
        <c:axId val="119313249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 b="1"/>
                  <a:t>RMR 76</a:t>
                </a:r>
              </a:p>
            </c:rich>
          </c:tx>
          <c:layout>
            <c:manualLayout>
              <c:xMode val="edge"/>
              <c:yMode val="edge"/>
              <c:x val="0.49108873193425928"/>
              <c:y val="3.8049336448416293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</c:valAx>
      <c:valAx>
        <c:axId val="11931339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3600" b="1"/>
                  <a:t>Spacing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6019743240249476"/>
          <c:y val="0.18887408010512657"/>
          <c:w val="0.20065919407132932"/>
          <c:h val="7.3538682355828874E-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3200"/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Persistence</a:t>
            </a:r>
          </a:p>
        </c:rich>
      </c:tx>
      <c:layout>
        <c:manualLayout>
          <c:xMode val="edge"/>
          <c:yMode val="edge"/>
          <c:x val="0.42205084366150641"/>
          <c:y val="2.047082906857727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Geotec'!$DF$7:$DF$11</c:f>
              <c:strCache>
                <c:ptCount val="5"/>
                <c:pt idx="0">
                  <c:v>P5</c:v>
                </c:pt>
                <c:pt idx="1">
                  <c:v>P4</c:v>
                </c:pt>
                <c:pt idx="2">
                  <c:v>P3</c:v>
                </c:pt>
                <c:pt idx="3">
                  <c:v>P2</c:v>
                </c:pt>
                <c:pt idx="4">
                  <c:v>P1</c:v>
                </c:pt>
              </c:strCache>
            </c:strRef>
          </c:cat>
          <c:val>
            <c:numRef>
              <c:f>'5. Litologia 40 Geotec'!$DM$7:$DM$11</c:f>
              <c:numCache>
                <c:formatCode>0%</c:formatCode>
                <c:ptCount val="5"/>
                <c:pt idx="0">
                  <c:v>0.42953020134228187</c:v>
                </c:pt>
                <c:pt idx="1">
                  <c:v>0.34228187919463088</c:v>
                </c:pt>
                <c:pt idx="2">
                  <c:v>0.17449664429530201</c:v>
                </c:pt>
                <c:pt idx="3">
                  <c:v>5.3691275167785234E-2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7-41ED-917C-9508ECB6E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Aperture</a:t>
            </a:r>
          </a:p>
        </c:rich>
      </c:tx>
      <c:layout>
        <c:manualLayout>
          <c:xMode val="edge"/>
          <c:yMode val="edge"/>
          <c:x val="0.46605507028479809"/>
          <c:y val="2.257471866090376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Geotec'!$DO$16:$DO$20</c:f>
              <c:strCache>
                <c:ptCount val="5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</c:strCache>
            </c:strRef>
          </c:cat>
          <c:val>
            <c:numRef>
              <c:f>'5. Litologia 40 Geotec'!$DV$16:$DV$20</c:f>
              <c:numCache>
                <c:formatCode>0%</c:formatCode>
                <c:ptCount val="5"/>
                <c:pt idx="0">
                  <c:v>0.55704697986577179</c:v>
                </c:pt>
                <c:pt idx="1">
                  <c:v>0.40939597315436244</c:v>
                </c:pt>
                <c:pt idx="2">
                  <c:v>3.3557046979865772E-2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B-4A08-A03B-9C540443F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RQD</a:t>
            </a:r>
            <a:r>
              <a:rPr lang="pt-BR" baseline="0"/>
              <a:t> (%)</a:t>
            </a:r>
            <a:endParaRPr lang="pt-BR"/>
          </a:p>
        </c:rich>
      </c:tx>
      <c:layout>
        <c:manualLayout>
          <c:xMode val="edge"/>
          <c:yMode val="edge"/>
          <c:x val="0.46605507028479809"/>
          <c:y val="2.257471866090376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Geotec'!$EA$16:$EA$20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cat>
          <c:val>
            <c:numRef>
              <c:f>'5. Litologia 40 Geotec'!$EH$16:$EH$20</c:f>
              <c:numCache>
                <c:formatCode>0%</c:formatCode>
                <c:ptCount val="5"/>
                <c:pt idx="0">
                  <c:v>0.61073825503355705</c:v>
                </c:pt>
                <c:pt idx="1">
                  <c:v>0.2348993288590604</c:v>
                </c:pt>
                <c:pt idx="2">
                  <c:v>0.12080536912751678</c:v>
                </c:pt>
                <c:pt idx="3">
                  <c:v>2.6845637583892617E-2</c:v>
                </c:pt>
                <c:pt idx="4">
                  <c:v>6.7114093959731542E-3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3-40AE-B3CD-22E2408A6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Roughness</a:t>
            </a:r>
          </a:p>
        </c:rich>
      </c:tx>
      <c:layout>
        <c:manualLayout>
          <c:xMode val="edge"/>
          <c:yMode val="edge"/>
          <c:x val="0.46605507028479809"/>
          <c:y val="2.257471866090376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Geotec'!$EJ$16:$EJ$20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cat>
          <c:val>
            <c:numRef>
              <c:f>'5. Litologia 40 Geotec'!$EQ$16:$EQ$20</c:f>
              <c:numCache>
                <c:formatCode>0%</c:formatCode>
                <c:ptCount val="5"/>
                <c:pt idx="0">
                  <c:v>4.6979865771812082E-2</c:v>
                </c:pt>
                <c:pt idx="1">
                  <c:v>0.38926174496644295</c:v>
                </c:pt>
                <c:pt idx="2">
                  <c:v>0.53020134228187921</c:v>
                </c:pt>
                <c:pt idx="3">
                  <c:v>3.3557046979865772E-2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9-47EE-B38D-24DF35739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Filling</a:t>
            </a:r>
          </a:p>
        </c:rich>
      </c:tx>
      <c:layout>
        <c:manualLayout>
          <c:xMode val="edge"/>
          <c:yMode val="edge"/>
          <c:x val="0.46605507028479809"/>
          <c:y val="2.257471866090376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Geotec'!$EV$16:$EV$20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cat>
          <c:val>
            <c:numRef>
              <c:f>'5. Litologia 40 Geotec'!$FC$16:$FC$20</c:f>
              <c:numCache>
                <c:formatCode>0%</c:formatCode>
                <c:ptCount val="5"/>
                <c:pt idx="0">
                  <c:v>0.32214765100671139</c:v>
                </c:pt>
                <c:pt idx="1">
                  <c:v>0.66442953020134232</c:v>
                </c:pt>
                <c:pt idx="2">
                  <c:v>0</c:v>
                </c:pt>
                <c:pt idx="3">
                  <c:v>1.3422818791946308E-2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3-470B-939B-416B9D8AB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Weathering</a:t>
            </a:r>
          </a:p>
        </c:rich>
      </c:tx>
      <c:layout>
        <c:manualLayout>
          <c:xMode val="edge"/>
          <c:yMode val="edge"/>
          <c:x val="0.46605507028479809"/>
          <c:y val="2.257471866090376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Geotec'!$FI$16:$FI$20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cat>
          <c:val>
            <c:numRef>
              <c:f>'5. Litologia 40 Geotec'!$FP$16:$FP$20</c:f>
              <c:numCache>
                <c:formatCode>0%</c:formatCode>
                <c:ptCount val="5"/>
                <c:pt idx="0">
                  <c:v>0.50335570469798663</c:v>
                </c:pt>
                <c:pt idx="1">
                  <c:v>0.3825503355704698</c:v>
                </c:pt>
                <c:pt idx="2">
                  <c:v>0.10067114093959731</c:v>
                </c:pt>
                <c:pt idx="3">
                  <c:v>1.3422818791946308E-2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E-47AC-B857-9D274CFA3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0"/>
          <c:order val="1"/>
          <c:tx>
            <c:v>Lithology 40</c:v>
          </c:tx>
          <c:spPr>
            <a:ln w="19050">
              <a:noFill/>
            </a:ln>
          </c:spPr>
          <c:marker>
            <c:symbol val="diamond"/>
            <c:size val="13"/>
            <c:spPr>
              <a:solidFill>
                <a:srgbClr val="EEDFAA"/>
              </a:solidFill>
              <a:ln>
                <a:solidFill>
                  <a:srgbClr val="EEDFAA"/>
                </a:solidFill>
              </a:ln>
            </c:spPr>
          </c:marker>
          <c:xVal>
            <c:numRef>
              <c:f>'5. Litologia 40 Geotec'!$BM$3:$BM$152</c:f>
              <c:numCache>
                <c:formatCode>0.0</c:formatCode>
                <c:ptCount val="150"/>
                <c:pt idx="0">
                  <c:v>45</c:v>
                </c:pt>
                <c:pt idx="1">
                  <c:v>50</c:v>
                </c:pt>
                <c:pt idx="2">
                  <c:v>19</c:v>
                </c:pt>
                <c:pt idx="3">
                  <c:v>32</c:v>
                </c:pt>
                <c:pt idx="4">
                  <c:v>36</c:v>
                </c:pt>
                <c:pt idx="5">
                  <c:v>44</c:v>
                </c:pt>
                <c:pt idx="6">
                  <c:v>49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43</c:v>
                </c:pt>
                <c:pt idx="11">
                  <c:v>38</c:v>
                </c:pt>
                <c:pt idx="12">
                  <c:v>25</c:v>
                </c:pt>
                <c:pt idx="13">
                  <c:v>30</c:v>
                </c:pt>
                <c:pt idx="14">
                  <c:v>40</c:v>
                </c:pt>
                <c:pt idx="15">
                  <c:v>43</c:v>
                </c:pt>
                <c:pt idx="16">
                  <c:v>30</c:v>
                </c:pt>
                <c:pt idx="17">
                  <c:v>41</c:v>
                </c:pt>
                <c:pt idx="18">
                  <c:v>33</c:v>
                </c:pt>
                <c:pt idx="19">
                  <c:v>24</c:v>
                </c:pt>
                <c:pt idx="20">
                  <c:v>23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27</c:v>
                </c:pt>
                <c:pt idx="51">
                  <c:v>19</c:v>
                </c:pt>
                <c:pt idx="52">
                  <c:v>21</c:v>
                </c:pt>
                <c:pt idx="53">
                  <c:v>21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32</c:v>
                </c:pt>
                <c:pt idx="58">
                  <c:v>27</c:v>
                </c:pt>
                <c:pt idx="59">
                  <c:v>27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29</c:v>
                </c:pt>
                <c:pt idx="64">
                  <c:v>19</c:v>
                </c:pt>
                <c:pt idx="65">
                  <c:v>19</c:v>
                </c:pt>
                <c:pt idx="66">
                  <c:v>22</c:v>
                </c:pt>
                <c:pt idx="67">
                  <c:v>24</c:v>
                </c:pt>
                <c:pt idx="68">
                  <c:v>27</c:v>
                </c:pt>
                <c:pt idx="69">
                  <c:v>26</c:v>
                </c:pt>
                <c:pt idx="70">
                  <c:v>35</c:v>
                </c:pt>
                <c:pt idx="71">
                  <c:v>19</c:v>
                </c:pt>
                <c:pt idx="72">
                  <c:v>18</c:v>
                </c:pt>
                <c:pt idx="73">
                  <c:v>18</c:v>
                </c:pt>
                <c:pt idx="74">
                  <c:v>23</c:v>
                </c:pt>
                <c:pt idx="75">
                  <c:v>18</c:v>
                </c:pt>
                <c:pt idx="76">
                  <c:v>16</c:v>
                </c:pt>
                <c:pt idx="77">
                  <c:v>17</c:v>
                </c:pt>
                <c:pt idx="78">
                  <c:v>15</c:v>
                </c:pt>
                <c:pt idx="79">
                  <c:v>47</c:v>
                </c:pt>
                <c:pt idx="80">
                  <c:v>53</c:v>
                </c:pt>
                <c:pt idx="81">
                  <c:v>52</c:v>
                </c:pt>
                <c:pt idx="82">
                  <c:v>48</c:v>
                </c:pt>
                <c:pt idx="83">
                  <c:v>38</c:v>
                </c:pt>
                <c:pt idx="85">
                  <c:v>27</c:v>
                </c:pt>
                <c:pt idx="86">
                  <c:v>13</c:v>
                </c:pt>
                <c:pt idx="87">
                  <c:v>17</c:v>
                </c:pt>
                <c:pt idx="88">
                  <c:v>18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19</c:v>
                </c:pt>
                <c:pt idx="93">
                  <c:v>21</c:v>
                </c:pt>
                <c:pt idx="94">
                  <c:v>33</c:v>
                </c:pt>
                <c:pt idx="95">
                  <c:v>29</c:v>
                </c:pt>
                <c:pt idx="96">
                  <c:v>18</c:v>
                </c:pt>
                <c:pt idx="97">
                  <c:v>20</c:v>
                </c:pt>
                <c:pt idx="98">
                  <c:v>27</c:v>
                </c:pt>
                <c:pt idx="99">
                  <c:v>26</c:v>
                </c:pt>
                <c:pt idx="100">
                  <c:v>20</c:v>
                </c:pt>
                <c:pt idx="101">
                  <c:v>31</c:v>
                </c:pt>
                <c:pt idx="102">
                  <c:v>19</c:v>
                </c:pt>
                <c:pt idx="103">
                  <c:v>22</c:v>
                </c:pt>
                <c:pt idx="104">
                  <c:v>22</c:v>
                </c:pt>
                <c:pt idx="105">
                  <c:v>25</c:v>
                </c:pt>
                <c:pt idx="106">
                  <c:v>38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23</c:v>
                </c:pt>
                <c:pt idx="111">
                  <c:v>40</c:v>
                </c:pt>
                <c:pt idx="112">
                  <c:v>38</c:v>
                </c:pt>
                <c:pt idx="113">
                  <c:v>43</c:v>
                </c:pt>
                <c:pt idx="114">
                  <c:v>35</c:v>
                </c:pt>
                <c:pt idx="115">
                  <c:v>21</c:v>
                </c:pt>
                <c:pt idx="116">
                  <c:v>21</c:v>
                </c:pt>
                <c:pt idx="117">
                  <c:v>22</c:v>
                </c:pt>
                <c:pt idx="118">
                  <c:v>22</c:v>
                </c:pt>
                <c:pt idx="119">
                  <c:v>18</c:v>
                </c:pt>
                <c:pt idx="120">
                  <c:v>26</c:v>
                </c:pt>
                <c:pt idx="121">
                  <c:v>24</c:v>
                </c:pt>
                <c:pt idx="122">
                  <c:v>19</c:v>
                </c:pt>
                <c:pt idx="123">
                  <c:v>23</c:v>
                </c:pt>
                <c:pt idx="124">
                  <c:v>27</c:v>
                </c:pt>
                <c:pt idx="125">
                  <c:v>16</c:v>
                </c:pt>
                <c:pt idx="126">
                  <c:v>17</c:v>
                </c:pt>
                <c:pt idx="127">
                  <c:v>20</c:v>
                </c:pt>
                <c:pt idx="128">
                  <c:v>27</c:v>
                </c:pt>
                <c:pt idx="129">
                  <c:v>26</c:v>
                </c:pt>
                <c:pt idx="130">
                  <c:v>33</c:v>
                </c:pt>
                <c:pt idx="131">
                  <c:v>34</c:v>
                </c:pt>
                <c:pt idx="132">
                  <c:v>47</c:v>
                </c:pt>
                <c:pt idx="133">
                  <c:v>45</c:v>
                </c:pt>
                <c:pt idx="134">
                  <c:v>40</c:v>
                </c:pt>
                <c:pt idx="135">
                  <c:v>48</c:v>
                </c:pt>
                <c:pt idx="136">
                  <c:v>34</c:v>
                </c:pt>
                <c:pt idx="137">
                  <c:v>24</c:v>
                </c:pt>
                <c:pt idx="138">
                  <c:v>23</c:v>
                </c:pt>
                <c:pt idx="139">
                  <c:v>18</c:v>
                </c:pt>
                <c:pt idx="140">
                  <c:v>26</c:v>
                </c:pt>
                <c:pt idx="141">
                  <c:v>26</c:v>
                </c:pt>
                <c:pt idx="142">
                  <c:v>17</c:v>
                </c:pt>
                <c:pt idx="143">
                  <c:v>17</c:v>
                </c:pt>
                <c:pt idx="144">
                  <c:v>30</c:v>
                </c:pt>
                <c:pt idx="145">
                  <c:v>38</c:v>
                </c:pt>
                <c:pt idx="146">
                  <c:v>21</c:v>
                </c:pt>
                <c:pt idx="147">
                  <c:v>37</c:v>
                </c:pt>
                <c:pt idx="148">
                  <c:v>32</c:v>
                </c:pt>
                <c:pt idx="149">
                  <c:v>36</c:v>
                </c:pt>
              </c:numCache>
            </c:numRef>
          </c:xVal>
          <c:yVal>
            <c:numRef>
              <c:f>'5. Litologia 40 Geotec'!$BJ$3:$BJ$152</c:f>
              <c:numCache>
                <c:formatCode>0.0</c:formatCode>
                <c:ptCount val="15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3</c:v>
                </c:pt>
                <c:pt idx="112">
                  <c:v>0</c:v>
                </c:pt>
                <c:pt idx="113">
                  <c:v>3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3</c:v>
                </c:pt>
                <c:pt idx="135">
                  <c:v>3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3F2-4DDB-A35C-1C47B7208D9D}"/>
            </c:ext>
          </c:extLst>
        </c:ser>
        <c:ser>
          <c:idx val="2"/>
          <c:order val="3"/>
          <c:tx>
            <c:v>Lithology 10</c:v>
          </c:tx>
          <c:spPr>
            <a:ln w="19050">
              <a:noFill/>
            </a:ln>
          </c:spPr>
          <c:marker>
            <c:symbol val="diamond"/>
            <c:size val="13"/>
            <c:spPr>
              <a:solidFill>
                <a:srgbClr val="EEDFAA"/>
              </a:solidFill>
              <a:ln>
                <a:solidFill>
                  <a:srgbClr val="EEDFAA"/>
                </a:solidFill>
              </a:ln>
            </c:spPr>
          </c:marke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3F2-4DDB-A35C-1C47B720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v>Lithology 30</c:v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'5. Quantificación de DESMONTE'!$AT$5:$AT$22</c15:sqref>
                        </c15:formulaRef>
                      </c:ext>
                    </c:extLst>
                    <c:numCache>
                      <c:formatCode>0.0</c:formatCode>
                      <c:ptCount val="18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7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4</c:v>
                      </c:pt>
                      <c:pt idx="9">
                        <c:v>7</c:v>
                      </c:pt>
                      <c:pt idx="11">
                        <c:v>4</c:v>
                      </c:pt>
                      <c:pt idx="13">
                        <c:v>2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7">
                        <c:v>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'5. Quantificación de DESMONTE'!$AS$5:$AS$22</c15:sqref>
                        </c15:formulaRef>
                      </c:ext>
                    </c:extLst>
                    <c:numCache>
                      <c:formatCode>0.00</c:formatCode>
                      <c:ptCount val="18"/>
                      <c:pt idx="0">
                        <c:v>51.666666666666664</c:v>
                      </c:pt>
                      <c:pt idx="1">
                        <c:v>13</c:v>
                      </c:pt>
                      <c:pt idx="2">
                        <c:v>11</c:v>
                      </c:pt>
                      <c:pt idx="3">
                        <c:v>14</c:v>
                      </c:pt>
                      <c:pt idx="4">
                        <c:v>23</c:v>
                      </c:pt>
                      <c:pt idx="5">
                        <c:v>34</c:v>
                      </c:pt>
                      <c:pt idx="6">
                        <c:v>13</c:v>
                      </c:pt>
                      <c:pt idx="7">
                        <c:v>51.666666666666664</c:v>
                      </c:pt>
                      <c:pt idx="8">
                        <c:v>54</c:v>
                      </c:pt>
                      <c:pt idx="9">
                        <c:v>110</c:v>
                      </c:pt>
                      <c:pt idx="11">
                        <c:v>166.66666666666666</c:v>
                      </c:pt>
                      <c:pt idx="13">
                        <c:v>87.5</c:v>
                      </c:pt>
                      <c:pt idx="14">
                        <c:v>47.5</c:v>
                      </c:pt>
                      <c:pt idx="15">
                        <c:v>103.33333333333333</c:v>
                      </c:pt>
                      <c:pt idx="17">
                        <c:v>286.66666666666669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3F2-4DDB-A35C-1C47B7208D9D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Lithology 50</c:v>
                </c:tx>
                <c:spPr>
                  <a:ln w="19050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Quantificación de DESMONTE'!$AT$53:$AT$60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4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Quantificación de DESMONTE'!$AS$53:$AS$60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180</c:v>
                      </c:pt>
                      <c:pt idx="1">
                        <c:v>78</c:v>
                      </c:pt>
                      <c:pt idx="2">
                        <c:v>87.5</c:v>
                      </c:pt>
                      <c:pt idx="3">
                        <c:v>15.333333333333334</c:v>
                      </c:pt>
                      <c:pt idx="4">
                        <c:v>96.666666666666671</c:v>
                      </c:pt>
                      <c:pt idx="5">
                        <c:v>20.76923076923077</c:v>
                      </c:pt>
                      <c:pt idx="6">
                        <c:v>29</c:v>
                      </c:pt>
                      <c:pt idx="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3F2-4DDB-A35C-1C47B7208D9D}"/>
                  </c:ext>
                </c:extLst>
              </c15:ser>
            </c15:filteredScatterSeries>
          </c:ext>
        </c:extLst>
      </c:scatterChart>
      <c:valAx>
        <c:axId val="119313249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 b="1"/>
                  <a:t>RMR 76</a:t>
                </a:r>
              </a:p>
            </c:rich>
          </c:tx>
          <c:layout>
            <c:manualLayout>
              <c:xMode val="edge"/>
              <c:yMode val="edge"/>
              <c:x val="0.49108873193425928"/>
              <c:y val="3.8049336448416293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</c:valAx>
      <c:valAx>
        <c:axId val="119313393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3600" b="1"/>
                  <a:t>Weathering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  <c:majorUnit val="1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6019743240249476"/>
          <c:y val="0.18887408010512657"/>
          <c:w val="0.20065919407132932"/>
          <c:h val="7.3538682355828874E-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3200" b="0"/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'5. Litologia 40 Geotec'!$EP$72:$EP$76</c:f>
              <c:numCache>
                <c:formatCode>0%</c:formatCode>
                <c:ptCount val="5"/>
                <c:pt idx="0">
                  <c:v>0.34228187919463088</c:v>
                </c:pt>
                <c:pt idx="1">
                  <c:v>0.55033557046979864</c:v>
                </c:pt>
                <c:pt idx="2">
                  <c:v>0.10738255033557047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0-4AF8-ACA7-311D844B0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RMR76</a:t>
                </a:r>
              </a:p>
            </c:rich>
          </c:tx>
          <c:layout>
            <c:manualLayout>
              <c:xMode val="edge"/>
              <c:yMode val="edge"/>
              <c:x val="0.50127910238584683"/>
              <c:y val="0.93173137460650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'5. Litologia 40 Geotec'!$EP$102:$EP$106</c:f>
              <c:numCache>
                <c:formatCode>0%</c:formatCode>
                <c:ptCount val="5"/>
                <c:pt idx="0">
                  <c:v>0.15436241610738255</c:v>
                </c:pt>
                <c:pt idx="1">
                  <c:v>0.71140939597315433</c:v>
                </c:pt>
                <c:pt idx="2">
                  <c:v>0.13422818791946309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C-462A-97AD-D42E69B0D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RMR89</a:t>
                </a:r>
              </a:p>
            </c:rich>
          </c:tx>
          <c:layout>
            <c:manualLayout>
              <c:xMode val="edge"/>
              <c:yMode val="edge"/>
              <c:x val="0.50127910238584683"/>
              <c:y val="0.93173137460650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250406446040998E-2"/>
          <c:y val="3.8444667003147234E-2"/>
          <c:w val="0.92740664277410578"/>
          <c:h val="0.9178285383678279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723467873116929"/>
                  <c:y val="1.99598562787425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'5. Litologia 40 Geotec'!$BM$3:$BM$152</c:f>
              <c:numCache>
                <c:formatCode>0.0</c:formatCode>
                <c:ptCount val="150"/>
                <c:pt idx="0">
                  <c:v>45</c:v>
                </c:pt>
                <c:pt idx="1">
                  <c:v>50</c:v>
                </c:pt>
                <c:pt idx="2">
                  <c:v>19</c:v>
                </c:pt>
                <c:pt idx="3">
                  <c:v>32</c:v>
                </c:pt>
                <c:pt idx="4">
                  <c:v>36</c:v>
                </c:pt>
                <c:pt idx="5">
                  <c:v>44</c:v>
                </c:pt>
                <c:pt idx="6">
                  <c:v>49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43</c:v>
                </c:pt>
                <c:pt idx="11">
                  <c:v>38</c:v>
                </c:pt>
                <c:pt idx="12">
                  <c:v>25</c:v>
                </c:pt>
                <c:pt idx="13">
                  <c:v>30</c:v>
                </c:pt>
                <c:pt idx="14">
                  <c:v>40</c:v>
                </c:pt>
                <c:pt idx="15">
                  <c:v>43</c:v>
                </c:pt>
                <c:pt idx="16">
                  <c:v>30</c:v>
                </c:pt>
                <c:pt idx="17">
                  <c:v>41</c:v>
                </c:pt>
                <c:pt idx="18">
                  <c:v>33</c:v>
                </c:pt>
                <c:pt idx="19">
                  <c:v>24</c:v>
                </c:pt>
                <c:pt idx="20">
                  <c:v>23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27</c:v>
                </c:pt>
                <c:pt idx="51">
                  <c:v>19</c:v>
                </c:pt>
                <c:pt idx="52">
                  <c:v>21</c:v>
                </c:pt>
                <c:pt idx="53">
                  <c:v>21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32</c:v>
                </c:pt>
                <c:pt idx="58">
                  <c:v>27</c:v>
                </c:pt>
                <c:pt idx="59">
                  <c:v>27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29</c:v>
                </c:pt>
                <c:pt idx="64">
                  <c:v>19</c:v>
                </c:pt>
                <c:pt idx="65">
                  <c:v>19</c:v>
                </c:pt>
                <c:pt idx="66">
                  <c:v>22</c:v>
                </c:pt>
                <c:pt idx="67">
                  <c:v>24</c:v>
                </c:pt>
                <c:pt idx="68">
                  <c:v>27</c:v>
                </c:pt>
                <c:pt idx="69">
                  <c:v>26</c:v>
                </c:pt>
                <c:pt idx="70">
                  <c:v>35</c:v>
                </c:pt>
                <c:pt idx="71">
                  <c:v>19</c:v>
                </c:pt>
                <c:pt idx="72">
                  <c:v>18</c:v>
                </c:pt>
                <c:pt idx="73">
                  <c:v>18</c:v>
                </c:pt>
                <c:pt idx="74">
                  <c:v>23</c:v>
                </c:pt>
                <c:pt idx="75">
                  <c:v>18</c:v>
                </c:pt>
                <c:pt idx="76">
                  <c:v>16</c:v>
                </c:pt>
                <c:pt idx="77">
                  <c:v>17</c:v>
                </c:pt>
                <c:pt idx="78">
                  <c:v>15</c:v>
                </c:pt>
                <c:pt idx="79">
                  <c:v>47</c:v>
                </c:pt>
                <c:pt idx="80">
                  <c:v>53</c:v>
                </c:pt>
                <c:pt idx="81">
                  <c:v>52</c:v>
                </c:pt>
                <c:pt idx="82">
                  <c:v>48</c:v>
                </c:pt>
                <c:pt idx="83">
                  <c:v>38</c:v>
                </c:pt>
                <c:pt idx="85">
                  <c:v>27</c:v>
                </c:pt>
                <c:pt idx="86">
                  <c:v>13</c:v>
                </c:pt>
                <c:pt idx="87">
                  <c:v>17</c:v>
                </c:pt>
                <c:pt idx="88">
                  <c:v>18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19</c:v>
                </c:pt>
                <c:pt idx="93">
                  <c:v>21</c:v>
                </c:pt>
                <c:pt idx="94">
                  <c:v>33</c:v>
                </c:pt>
                <c:pt idx="95">
                  <c:v>29</c:v>
                </c:pt>
                <c:pt idx="96">
                  <c:v>18</c:v>
                </c:pt>
                <c:pt idx="97">
                  <c:v>20</c:v>
                </c:pt>
                <c:pt idx="98">
                  <c:v>27</c:v>
                </c:pt>
                <c:pt idx="99">
                  <c:v>26</c:v>
                </c:pt>
                <c:pt idx="100">
                  <c:v>20</c:v>
                </c:pt>
                <c:pt idx="101">
                  <c:v>31</c:v>
                </c:pt>
                <c:pt idx="102">
                  <c:v>19</c:v>
                </c:pt>
                <c:pt idx="103">
                  <c:v>22</c:v>
                </c:pt>
                <c:pt idx="104">
                  <c:v>22</c:v>
                </c:pt>
                <c:pt idx="105">
                  <c:v>25</c:v>
                </c:pt>
                <c:pt idx="106">
                  <c:v>38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23</c:v>
                </c:pt>
                <c:pt idx="111">
                  <c:v>40</c:v>
                </c:pt>
                <c:pt idx="112">
                  <c:v>38</c:v>
                </c:pt>
                <c:pt idx="113">
                  <c:v>43</c:v>
                </c:pt>
                <c:pt idx="114">
                  <c:v>35</c:v>
                </c:pt>
                <c:pt idx="115">
                  <c:v>21</c:v>
                </c:pt>
                <c:pt idx="116">
                  <c:v>21</c:v>
                </c:pt>
                <c:pt idx="117">
                  <c:v>22</c:v>
                </c:pt>
                <c:pt idx="118">
                  <c:v>22</c:v>
                </c:pt>
                <c:pt idx="119">
                  <c:v>18</c:v>
                </c:pt>
                <c:pt idx="120">
                  <c:v>26</c:v>
                </c:pt>
                <c:pt idx="121">
                  <c:v>24</c:v>
                </c:pt>
                <c:pt idx="122">
                  <c:v>19</c:v>
                </c:pt>
                <c:pt idx="123">
                  <c:v>23</c:v>
                </c:pt>
                <c:pt idx="124">
                  <c:v>27</c:v>
                </c:pt>
                <c:pt idx="125">
                  <c:v>16</c:v>
                </c:pt>
                <c:pt idx="126">
                  <c:v>17</c:v>
                </c:pt>
                <c:pt idx="127">
                  <c:v>20</c:v>
                </c:pt>
                <c:pt idx="128">
                  <c:v>27</c:v>
                </c:pt>
                <c:pt idx="129">
                  <c:v>26</c:v>
                </c:pt>
                <c:pt idx="130">
                  <c:v>33</c:v>
                </c:pt>
                <c:pt idx="131">
                  <c:v>34</c:v>
                </c:pt>
                <c:pt idx="132">
                  <c:v>47</c:v>
                </c:pt>
                <c:pt idx="133">
                  <c:v>45</c:v>
                </c:pt>
                <c:pt idx="134">
                  <c:v>40</c:v>
                </c:pt>
                <c:pt idx="135">
                  <c:v>48</c:v>
                </c:pt>
                <c:pt idx="136">
                  <c:v>34</c:v>
                </c:pt>
                <c:pt idx="137">
                  <c:v>24</c:v>
                </c:pt>
                <c:pt idx="138">
                  <c:v>23</c:v>
                </c:pt>
                <c:pt idx="139">
                  <c:v>18</c:v>
                </c:pt>
                <c:pt idx="140">
                  <c:v>26</c:v>
                </c:pt>
                <c:pt idx="141">
                  <c:v>26</c:v>
                </c:pt>
                <c:pt idx="142">
                  <c:v>17</c:v>
                </c:pt>
                <c:pt idx="143">
                  <c:v>17</c:v>
                </c:pt>
                <c:pt idx="144">
                  <c:v>30</c:v>
                </c:pt>
                <c:pt idx="145">
                  <c:v>38</c:v>
                </c:pt>
                <c:pt idx="146">
                  <c:v>21</c:v>
                </c:pt>
                <c:pt idx="147">
                  <c:v>37</c:v>
                </c:pt>
                <c:pt idx="148">
                  <c:v>32</c:v>
                </c:pt>
                <c:pt idx="149">
                  <c:v>36</c:v>
                </c:pt>
              </c:numCache>
            </c:numRef>
          </c:xVal>
          <c:yVal>
            <c:numRef>
              <c:f>'5. Litologia 40 Geotec'!$BN$3:$BN$152</c:f>
              <c:numCache>
                <c:formatCode>General</c:formatCode>
                <c:ptCount val="150"/>
                <c:pt idx="0">
                  <c:v>47</c:v>
                </c:pt>
                <c:pt idx="1">
                  <c:v>52</c:v>
                </c:pt>
                <c:pt idx="2">
                  <c:v>22</c:v>
                </c:pt>
                <c:pt idx="3">
                  <c:v>36</c:v>
                </c:pt>
                <c:pt idx="4">
                  <c:v>40</c:v>
                </c:pt>
                <c:pt idx="5">
                  <c:v>47</c:v>
                </c:pt>
                <c:pt idx="6">
                  <c:v>50</c:v>
                </c:pt>
                <c:pt idx="7">
                  <c:v>35</c:v>
                </c:pt>
                <c:pt idx="8">
                  <c:v>43</c:v>
                </c:pt>
                <c:pt idx="9">
                  <c:v>53</c:v>
                </c:pt>
                <c:pt idx="10">
                  <c:v>49</c:v>
                </c:pt>
                <c:pt idx="11">
                  <c:v>45</c:v>
                </c:pt>
                <c:pt idx="12">
                  <c:v>31</c:v>
                </c:pt>
                <c:pt idx="13">
                  <c:v>33</c:v>
                </c:pt>
                <c:pt idx="14">
                  <c:v>45</c:v>
                </c:pt>
                <c:pt idx="15">
                  <c:v>47</c:v>
                </c:pt>
                <c:pt idx="16">
                  <c:v>36</c:v>
                </c:pt>
                <c:pt idx="17">
                  <c:v>46</c:v>
                </c:pt>
                <c:pt idx="18">
                  <c:v>37</c:v>
                </c:pt>
                <c:pt idx="19">
                  <c:v>30</c:v>
                </c:pt>
                <c:pt idx="20">
                  <c:v>27</c:v>
                </c:pt>
                <c:pt idx="21">
                  <c:v>20</c:v>
                </c:pt>
                <c:pt idx="22">
                  <c:v>20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20</c:v>
                </c:pt>
                <c:pt idx="27">
                  <c:v>25</c:v>
                </c:pt>
                <c:pt idx="28">
                  <c:v>24</c:v>
                </c:pt>
                <c:pt idx="29">
                  <c:v>25</c:v>
                </c:pt>
                <c:pt idx="30">
                  <c:v>24</c:v>
                </c:pt>
                <c:pt idx="31">
                  <c:v>20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29</c:v>
                </c:pt>
                <c:pt idx="40">
                  <c:v>29</c:v>
                </c:pt>
                <c:pt idx="41">
                  <c:v>29</c:v>
                </c:pt>
                <c:pt idx="42">
                  <c:v>29</c:v>
                </c:pt>
                <c:pt idx="43">
                  <c:v>28</c:v>
                </c:pt>
                <c:pt idx="44">
                  <c:v>25</c:v>
                </c:pt>
                <c:pt idx="45">
                  <c:v>29</c:v>
                </c:pt>
                <c:pt idx="46">
                  <c:v>25</c:v>
                </c:pt>
                <c:pt idx="47">
                  <c:v>29</c:v>
                </c:pt>
                <c:pt idx="48">
                  <c:v>28</c:v>
                </c:pt>
                <c:pt idx="49">
                  <c:v>29</c:v>
                </c:pt>
                <c:pt idx="50">
                  <c:v>31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33</c:v>
                </c:pt>
                <c:pt idx="55">
                  <c:v>31</c:v>
                </c:pt>
                <c:pt idx="56">
                  <c:v>32</c:v>
                </c:pt>
                <c:pt idx="57">
                  <c:v>38</c:v>
                </c:pt>
                <c:pt idx="58">
                  <c:v>31</c:v>
                </c:pt>
                <c:pt idx="59">
                  <c:v>31</c:v>
                </c:pt>
                <c:pt idx="60">
                  <c:v>27</c:v>
                </c:pt>
                <c:pt idx="61">
                  <c:v>28</c:v>
                </c:pt>
                <c:pt idx="62">
                  <c:v>28</c:v>
                </c:pt>
                <c:pt idx="63">
                  <c:v>30</c:v>
                </c:pt>
                <c:pt idx="64">
                  <c:v>23</c:v>
                </c:pt>
                <c:pt idx="65">
                  <c:v>22</c:v>
                </c:pt>
                <c:pt idx="66">
                  <c:v>26</c:v>
                </c:pt>
                <c:pt idx="67">
                  <c:v>29</c:v>
                </c:pt>
                <c:pt idx="68">
                  <c:v>30</c:v>
                </c:pt>
                <c:pt idx="69">
                  <c:v>30</c:v>
                </c:pt>
                <c:pt idx="70">
                  <c:v>36</c:v>
                </c:pt>
                <c:pt idx="71">
                  <c:v>23</c:v>
                </c:pt>
                <c:pt idx="72">
                  <c:v>21</c:v>
                </c:pt>
                <c:pt idx="73">
                  <c:v>21</c:v>
                </c:pt>
                <c:pt idx="74">
                  <c:v>26</c:v>
                </c:pt>
                <c:pt idx="75">
                  <c:v>21</c:v>
                </c:pt>
                <c:pt idx="76">
                  <c:v>20</c:v>
                </c:pt>
                <c:pt idx="77">
                  <c:v>20</c:v>
                </c:pt>
                <c:pt idx="78">
                  <c:v>19</c:v>
                </c:pt>
                <c:pt idx="79">
                  <c:v>49</c:v>
                </c:pt>
                <c:pt idx="80">
                  <c:v>54</c:v>
                </c:pt>
                <c:pt idx="81">
                  <c:v>53</c:v>
                </c:pt>
                <c:pt idx="82">
                  <c:v>49</c:v>
                </c:pt>
                <c:pt idx="83">
                  <c:v>40</c:v>
                </c:pt>
                <c:pt idx="85">
                  <c:v>36</c:v>
                </c:pt>
                <c:pt idx="86">
                  <c:v>16</c:v>
                </c:pt>
                <c:pt idx="87">
                  <c:v>19</c:v>
                </c:pt>
                <c:pt idx="88">
                  <c:v>24</c:v>
                </c:pt>
                <c:pt idx="89">
                  <c:v>19</c:v>
                </c:pt>
                <c:pt idx="90">
                  <c:v>19</c:v>
                </c:pt>
                <c:pt idx="91">
                  <c:v>20</c:v>
                </c:pt>
                <c:pt idx="92">
                  <c:v>20</c:v>
                </c:pt>
                <c:pt idx="93">
                  <c:v>23</c:v>
                </c:pt>
                <c:pt idx="94">
                  <c:v>42</c:v>
                </c:pt>
                <c:pt idx="95">
                  <c:v>37</c:v>
                </c:pt>
                <c:pt idx="96">
                  <c:v>22</c:v>
                </c:pt>
                <c:pt idx="97">
                  <c:v>22</c:v>
                </c:pt>
                <c:pt idx="98">
                  <c:v>33</c:v>
                </c:pt>
                <c:pt idx="99">
                  <c:v>31</c:v>
                </c:pt>
                <c:pt idx="100">
                  <c:v>23</c:v>
                </c:pt>
                <c:pt idx="101">
                  <c:v>40</c:v>
                </c:pt>
                <c:pt idx="102">
                  <c:v>22</c:v>
                </c:pt>
                <c:pt idx="103">
                  <c:v>25</c:v>
                </c:pt>
                <c:pt idx="104">
                  <c:v>25</c:v>
                </c:pt>
                <c:pt idx="105">
                  <c:v>27</c:v>
                </c:pt>
                <c:pt idx="106">
                  <c:v>36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26</c:v>
                </c:pt>
                <c:pt idx="111">
                  <c:v>39</c:v>
                </c:pt>
                <c:pt idx="112">
                  <c:v>36</c:v>
                </c:pt>
                <c:pt idx="113">
                  <c:v>41</c:v>
                </c:pt>
                <c:pt idx="114">
                  <c:v>35</c:v>
                </c:pt>
                <c:pt idx="115">
                  <c:v>25</c:v>
                </c:pt>
                <c:pt idx="116">
                  <c:v>24</c:v>
                </c:pt>
                <c:pt idx="117">
                  <c:v>25</c:v>
                </c:pt>
                <c:pt idx="118">
                  <c:v>26</c:v>
                </c:pt>
                <c:pt idx="119">
                  <c:v>22</c:v>
                </c:pt>
                <c:pt idx="120">
                  <c:v>30</c:v>
                </c:pt>
                <c:pt idx="121">
                  <c:v>25</c:v>
                </c:pt>
                <c:pt idx="122">
                  <c:v>20</c:v>
                </c:pt>
                <c:pt idx="123">
                  <c:v>25</c:v>
                </c:pt>
                <c:pt idx="124">
                  <c:v>27</c:v>
                </c:pt>
                <c:pt idx="125">
                  <c:v>20</c:v>
                </c:pt>
                <c:pt idx="126">
                  <c:v>20</c:v>
                </c:pt>
                <c:pt idx="127">
                  <c:v>23</c:v>
                </c:pt>
                <c:pt idx="128">
                  <c:v>30</c:v>
                </c:pt>
                <c:pt idx="129">
                  <c:v>30</c:v>
                </c:pt>
                <c:pt idx="130">
                  <c:v>33</c:v>
                </c:pt>
                <c:pt idx="131">
                  <c:v>34</c:v>
                </c:pt>
                <c:pt idx="132">
                  <c:v>43</c:v>
                </c:pt>
                <c:pt idx="133">
                  <c:v>43</c:v>
                </c:pt>
                <c:pt idx="134">
                  <c:v>39</c:v>
                </c:pt>
                <c:pt idx="135">
                  <c:v>47</c:v>
                </c:pt>
                <c:pt idx="136">
                  <c:v>36</c:v>
                </c:pt>
                <c:pt idx="137">
                  <c:v>28</c:v>
                </c:pt>
                <c:pt idx="138">
                  <c:v>24</c:v>
                </c:pt>
                <c:pt idx="139">
                  <c:v>19</c:v>
                </c:pt>
                <c:pt idx="140">
                  <c:v>30</c:v>
                </c:pt>
                <c:pt idx="141">
                  <c:v>29</c:v>
                </c:pt>
                <c:pt idx="142">
                  <c:v>18</c:v>
                </c:pt>
                <c:pt idx="143">
                  <c:v>18</c:v>
                </c:pt>
                <c:pt idx="144">
                  <c:v>32</c:v>
                </c:pt>
                <c:pt idx="145">
                  <c:v>38</c:v>
                </c:pt>
                <c:pt idx="146">
                  <c:v>20</c:v>
                </c:pt>
                <c:pt idx="147">
                  <c:v>38</c:v>
                </c:pt>
                <c:pt idx="148">
                  <c:v>33</c:v>
                </c:pt>
                <c:pt idx="149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21-4CDE-8EC5-D52677DFA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004319"/>
        <c:axId val="1202008159"/>
      </c:scatterChart>
      <c:valAx>
        <c:axId val="120200431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008159"/>
        <c:crosses val="autoZero"/>
        <c:crossBetween val="midCat"/>
      </c:valAx>
      <c:valAx>
        <c:axId val="120200815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00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4"/>
          <c:order val="0"/>
          <c:tx>
            <c:v>Lithology 30</c:v>
          </c:tx>
          <c:spPr>
            <a:ln w="19050">
              <a:noFill/>
            </a:ln>
          </c:spPr>
          <c:marker>
            <c:symbol val="star"/>
            <c:size val="18"/>
            <c:spPr>
              <a:ln>
                <a:solidFill>
                  <a:srgbClr val="FF0000"/>
                </a:solidFill>
              </a:ln>
            </c:spPr>
          </c:marker>
          <c:xVal>
            <c:numRef>
              <c:f>'6. Litologia 30 Geotec'!$BM$3:$BM$86</c:f>
              <c:numCache>
                <c:formatCode>0</c:formatCode>
                <c:ptCount val="84"/>
                <c:pt idx="0">
                  <c:v>21</c:v>
                </c:pt>
                <c:pt idx="1">
                  <c:v>22</c:v>
                </c:pt>
                <c:pt idx="2">
                  <c:v>25</c:v>
                </c:pt>
                <c:pt idx="3">
                  <c:v>25</c:v>
                </c:pt>
                <c:pt idx="4">
                  <c:v>24</c:v>
                </c:pt>
                <c:pt idx="5">
                  <c:v>33</c:v>
                </c:pt>
                <c:pt idx="6">
                  <c:v>28</c:v>
                </c:pt>
                <c:pt idx="7">
                  <c:v>27</c:v>
                </c:pt>
                <c:pt idx="8">
                  <c:v>32</c:v>
                </c:pt>
                <c:pt idx="9">
                  <c:v>30</c:v>
                </c:pt>
                <c:pt idx="10">
                  <c:v>27</c:v>
                </c:pt>
                <c:pt idx="11">
                  <c:v>40</c:v>
                </c:pt>
                <c:pt idx="12">
                  <c:v>36</c:v>
                </c:pt>
                <c:pt idx="13">
                  <c:v>28</c:v>
                </c:pt>
                <c:pt idx="14">
                  <c:v>39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22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18</c:v>
                </c:pt>
                <c:pt idx="51">
                  <c:v>25</c:v>
                </c:pt>
                <c:pt idx="52">
                  <c:v>21</c:v>
                </c:pt>
                <c:pt idx="53">
                  <c:v>30</c:v>
                </c:pt>
                <c:pt idx="54">
                  <c:v>24</c:v>
                </c:pt>
                <c:pt idx="55">
                  <c:v>18</c:v>
                </c:pt>
                <c:pt idx="56">
                  <c:v>26</c:v>
                </c:pt>
                <c:pt idx="57">
                  <c:v>28</c:v>
                </c:pt>
                <c:pt idx="58">
                  <c:v>25</c:v>
                </c:pt>
                <c:pt idx="59">
                  <c:v>28</c:v>
                </c:pt>
                <c:pt idx="60">
                  <c:v>26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28</c:v>
                </c:pt>
                <c:pt idx="65">
                  <c:v>27</c:v>
                </c:pt>
                <c:pt idx="66">
                  <c:v>26</c:v>
                </c:pt>
                <c:pt idx="67">
                  <c:v>26</c:v>
                </c:pt>
                <c:pt idx="68">
                  <c:v>25</c:v>
                </c:pt>
                <c:pt idx="69">
                  <c:v>26</c:v>
                </c:pt>
                <c:pt idx="70">
                  <c:v>26</c:v>
                </c:pt>
                <c:pt idx="72">
                  <c:v>19</c:v>
                </c:pt>
                <c:pt idx="73">
                  <c:v>29</c:v>
                </c:pt>
                <c:pt idx="74">
                  <c:v>23</c:v>
                </c:pt>
                <c:pt idx="75">
                  <c:v>28</c:v>
                </c:pt>
                <c:pt idx="76">
                  <c:v>24</c:v>
                </c:pt>
                <c:pt idx="77">
                  <c:v>18</c:v>
                </c:pt>
                <c:pt idx="78">
                  <c:v>36</c:v>
                </c:pt>
                <c:pt idx="79">
                  <c:v>30</c:v>
                </c:pt>
                <c:pt idx="80">
                  <c:v>32</c:v>
                </c:pt>
                <c:pt idx="81">
                  <c:v>17</c:v>
                </c:pt>
                <c:pt idx="82">
                  <c:v>17</c:v>
                </c:pt>
                <c:pt idx="83">
                  <c:v>18</c:v>
                </c:pt>
              </c:numCache>
            </c:numRef>
          </c:xVal>
          <c:yVal>
            <c:numRef>
              <c:f>'6. Litologia 30 Geotec'!$X$3:$X$86</c:f>
              <c:numCache>
                <c:formatCode>0</c:formatCode>
                <c:ptCount val="84"/>
                <c:pt idx="0">
                  <c:v>51.666666666666664</c:v>
                </c:pt>
                <c:pt idx="1">
                  <c:v>13</c:v>
                </c:pt>
                <c:pt idx="2">
                  <c:v>11</c:v>
                </c:pt>
                <c:pt idx="3">
                  <c:v>14</c:v>
                </c:pt>
                <c:pt idx="4">
                  <c:v>23</c:v>
                </c:pt>
                <c:pt idx="5">
                  <c:v>34</c:v>
                </c:pt>
                <c:pt idx="6">
                  <c:v>13</c:v>
                </c:pt>
                <c:pt idx="7">
                  <c:v>51.666666666666664</c:v>
                </c:pt>
                <c:pt idx="8">
                  <c:v>122.5</c:v>
                </c:pt>
                <c:pt idx="9">
                  <c:v>64.285714285714292</c:v>
                </c:pt>
                <c:pt idx="10">
                  <c:v>120</c:v>
                </c:pt>
                <c:pt idx="11">
                  <c:v>115</c:v>
                </c:pt>
                <c:pt idx="12">
                  <c:v>76.666666666666671</c:v>
                </c:pt>
                <c:pt idx="13">
                  <c:v>62.5</c:v>
                </c:pt>
                <c:pt idx="14">
                  <c:v>110</c:v>
                </c:pt>
                <c:pt idx="15">
                  <c:v>57.5</c:v>
                </c:pt>
                <c:pt idx="16">
                  <c:v>61.428571428571431</c:v>
                </c:pt>
                <c:pt idx="17">
                  <c:v>41.428571428571431</c:v>
                </c:pt>
                <c:pt idx="18">
                  <c:v>55.714285714285715</c:v>
                </c:pt>
                <c:pt idx="19">
                  <c:v>70</c:v>
                </c:pt>
                <c:pt idx="20">
                  <c:v>36</c:v>
                </c:pt>
                <c:pt idx="21">
                  <c:v>50</c:v>
                </c:pt>
                <c:pt idx="22">
                  <c:v>32.857142857142854</c:v>
                </c:pt>
                <c:pt idx="23">
                  <c:v>14</c:v>
                </c:pt>
                <c:pt idx="24">
                  <c:v>20</c:v>
                </c:pt>
                <c:pt idx="25">
                  <c:v>20</c:v>
                </c:pt>
                <c:pt idx="26">
                  <c:v>25.714285714285715</c:v>
                </c:pt>
                <c:pt idx="27">
                  <c:v>28.75</c:v>
                </c:pt>
                <c:pt idx="28">
                  <c:v>14.285714285714286</c:v>
                </c:pt>
                <c:pt idx="29">
                  <c:v>50</c:v>
                </c:pt>
                <c:pt idx="30">
                  <c:v>10</c:v>
                </c:pt>
                <c:pt idx="31">
                  <c:v>12</c:v>
                </c:pt>
                <c:pt idx="32">
                  <c:v>6</c:v>
                </c:pt>
                <c:pt idx="33">
                  <c:v>29</c:v>
                </c:pt>
                <c:pt idx="34">
                  <c:v>22</c:v>
                </c:pt>
                <c:pt idx="35">
                  <c:v>21</c:v>
                </c:pt>
                <c:pt idx="36">
                  <c:v>8</c:v>
                </c:pt>
                <c:pt idx="37">
                  <c:v>5</c:v>
                </c:pt>
                <c:pt idx="38">
                  <c:v>7</c:v>
                </c:pt>
                <c:pt idx="39">
                  <c:v>7</c:v>
                </c:pt>
                <c:pt idx="40">
                  <c:v>50</c:v>
                </c:pt>
                <c:pt idx="41">
                  <c:v>50</c:v>
                </c:pt>
                <c:pt idx="42">
                  <c:v>7</c:v>
                </c:pt>
                <c:pt idx="43">
                  <c:v>50</c:v>
                </c:pt>
                <c:pt idx="44">
                  <c:v>11</c:v>
                </c:pt>
                <c:pt idx="45">
                  <c:v>50</c:v>
                </c:pt>
                <c:pt idx="46">
                  <c:v>10</c:v>
                </c:pt>
                <c:pt idx="47">
                  <c:v>7</c:v>
                </c:pt>
                <c:pt idx="48">
                  <c:v>50</c:v>
                </c:pt>
                <c:pt idx="49">
                  <c:v>50</c:v>
                </c:pt>
                <c:pt idx="50">
                  <c:v>28</c:v>
                </c:pt>
                <c:pt idx="51">
                  <c:v>80</c:v>
                </c:pt>
                <c:pt idx="52">
                  <c:v>96.666666666666671</c:v>
                </c:pt>
                <c:pt idx="53">
                  <c:v>123.33333333333333</c:v>
                </c:pt>
                <c:pt idx="54">
                  <c:v>36</c:v>
                </c:pt>
                <c:pt idx="55">
                  <c:v>56</c:v>
                </c:pt>
                <c:pt idx="56">
                  <c:v>105</c:v>
                </c:pt>
                <c:pt idx="57">
                  <c:v>73.333333333333329</c:v>
                </c:pt>
                <c:pt idx="58">
                  <c:v>52</c:v>
                </c:pt>
                <c:pt idx="59">
                  <c:v>86.666666666666671</c:v>
                </c:pt>
                <c:pt idx="60">
                  <c:v>60</c:v>
                </c:pt>
                <c:pt idx="61">
                  <c:v>52</c:v>
                </c:pt>
                <c:pt idx="62">
                  <c:v>56.666666666666664</c:v>
                </c:pt>
                <c:pt idx="63">
                  <c:v>36</c:v>
                </c:pt>
                <c:pt idx="64">
                  <c:v>80</c:v>
                </c:pt>
                <c:pt idx="65">
                  <c:v>70</c:v>
                </c:pt>
                <c:pt idx="66">
                  <c:v>56</c:v>
                </c:pt>
                <c:pt idx="67">
                  <c:v>44</c:v>
                </c:pt>
                <c:pt idx="68">
                  <c:v>53.333333333333336</c:v>
                </c:pt>
                <c:pt idx="71">
                  <c:v>113.33333333333331</c:v>
                </c:pt>
                <c:pt idx="72">
                  <c:v>80</c:v>
                </c:pt>
                <c:pt idx="73">
                  <c:v>105</c:v>
                </c:pt>
                <c:pt idx="74">
                  <c:v>71.666666666666671</c:v>
                </c:pt>
                <c:pt idx="75">
                  <c:v>130</c:v>
                </c:pt>
                <c:pt idx="76">
                  <c:v>73.333333333333329</c:v>
                </c:pt>
                <c:pt idx="77">
                  <c:v>64.285714285714292</c:v>
                </c:pt>
                <c:pt idx="78">
                  <c:v>130</c:v>
                </c:pt>
                <c:pt idx="79">
                  <c:v>136.66666666666666</c:v>
                </c:pt>
                <c:pt idx="80">
                  <c:v>136.66666666666666</c:v>
                </c:pt>
                <c:pt idx="81">
                  <c:v>40</c:v>
                </c:pt>
                <c:pt idx="82">
                  <c:v>57.5</c:v>
                </c:pt>
                <c:pt idx="83">
                  <c:v>55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4DC-4873-A43F-272D72B9B923}"/>
            </c:ext>
          </c:extLst>
        </c:ser>
        <c:ser>
          <c:idx val="2"/>
          <c:order val="3"/>
          <c:tx>
            <c:v>Lithology 10</c:v>
          </c:tx>
          <c:spPr>
            <a:ln w="19050">
              <a:noFill/>
            </a:ln>
          </c:spPr>
          <c:marker>
            <c:symbol val="diamond"/>
            <c:size val="10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4DC-4873-A43F-272D72B9B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Lithology 40</c:v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'5. Quantificación de DESMONTE'!$AT$28:$AT$48</c15:sqref>
                        </c15:formulaRef>
                      </c:ext>
                    </c:extLst>
                    <c:numCache>
                      <c:formatCode>0.0</c:formatCode>
                      <c:ptCount val="21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4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2</c:v>
                      </c:pt>
                      <c:pt idx="16">
                        <c:v>4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'5. Quantificación de DESMONTE'!$AS$28:$AS$48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126.66666666666667</c:v>
                      </c:pt>
                      <c:pt idx="1">
                        <c:v>140</c:v>
                      </c:pt>
                      <c:pt idx="2">
                        <c:v>19</c:v>
                      </c:pt>
                      <c:pt idx="3">
                        <c:v>76.666666666666671</c:v>
                      </c:pt>
                      <c:pt idx="4">
                        <c:v>86</c:v>
                      </c:pt>
                      <c:pt idx="5">
                        <c:v>112.5</c:v>
                      </c:pt>
                      <c:pt idx="6">
                        <c:v>235</c:v>
                      </c:pt>
                      <c:pt idx="7">
                        <c:v>70</c:v>
                      </c:pt>
                      <c:pt idx="8">
                        <c:v>102.5</c:v>
                      </c:pt>
                      <c:pt idx="9">
                        <c:v>107.5</c:v>
                      </c:pt>
                      <c:pt idx="10">
                        <c:v>44</c:v>
                      </c:pt>
                      <c:pt idx="11">
                        <c:v>46</c:v>
                      </c:pt>
                      <c:pt idx="12">
                        <c:v>73.333333333333329</c:v>
                      </c:pt>
                      <c:pt idx="13">
                        <c:v>140</c:v>
                      </c:pt>
                      <c:pt idx="14">
                        <c:v>70</c:v>
                      </c:pt>
                      <c:pt idx="15">
                        <c:v>92.5</c:v>
                      </c:pt>
                      <c:pt idx="16">
                        <c:v>48.571428571428569</c:v>
                      </c:pt>
                      <c:pt idx="17">
                        <c:v>81.666666666666671</c:v>
                      </c:pt>
                      <c:pt idx="18">
                        <c:v>93.333333333333329</c:v>
                      </c:pt>
                      <c:pt idx="19">
                        <c:v>55</c:v>
                      </c:pt>
                      <c:pt idx="20">
                        <c:v>19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4DC-4873-A43F-272D72B9B923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Lithology 50</c:v>
                </c:tx>
                <c:spPr>
                  <a:ln w="19050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Quantificación de DESMONTE'!$AT$53:$AT$60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4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Quantificación de DESMONTE'!$AS$53:$AS$60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180</c:v>
                      </c:pt>
                      <c:pt idx="1">
                        <c:v>78</c:v>
                      </c:pt>
                      <c:pt idx="2">
                        <c:v>87.5</c:v>
                      </c:pt>
                      <c:pt idx="3">
                        <c:v>15.333333333333334</c:v>
                      </c:pt>
                      <c:pt idx="4">
                        <c:v>96.666666666666671</c:v>
                      </c:pt>
                      <c:pt idx="5">
                        <c:v>20.76923076923077</c:v>
                      </c:pt>
                      <c:pt idx="6">
                        <c:v>29</c:v>
                      </c:pt>
                      <c:pt idx="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C-4873-A43F-272D72B9B923}"/>
                  </c:ext>
                </c:extLst>
              </c15:ser>
            </c15:filteredScatterSeries>
          </c:ext>
        </c:extLst>
      </c:scatterChart>
      <c:valAx>
        <c:axId val="119313249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 b="1"/>
                  <a:t>RMR 76</a:t>
                </a:r>
              </a:p>
            </c:rich>
          </c:tx>
          <c:layout>
            <c:manualLayout>
              <c:xMode val="edge"/>
              <c:yMode val="edge"/>
              <c:x val="0.49585741547012507"/>
              <c:y val="4.4702058504875408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  <c:majorUnit val="10"/>
      </c:valAx>
      <c:valAx>
        <c:axId val="1193133936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3600" b="1"/>
                  <a:t>Spacing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4732250115794349"/>
          <c:y val="0.22050463786374191"/>
          <c:w val="0.20065919407132932"/>
          <c:h val="8.7577080377023275E-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Persistence</a:t>
            </a:r>
          </a:p>
        </c:rich>
      </c:tx>
      <c:layout>
        <c:manualLayout>
          <c:xMode val="edge"/>
          <c:yMode val="edge"/>
          <c:x val="0.45016652874019986"/>
          <c:y val="2.2519797974746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Litologia 30 Geotec'!$CH$4</c:f>
              <c:strCache>
                <c:ptCount val="1"/>
                <c:pt idx="0">
                  <c:v>Persistencia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'6. Litologia 30 Geotec'!$CG$14:$CG$18</c:f>
              <c:strCache>
                <c:ptCount val="5"/>
                <c:pt idx="0">
                  <c:v>P5</c:v>
                </c:pt>
                <c:pt idx="1">
                  <c:v>P4</c:v>
                </c:pt>
                <c:pt idx="2">
                  <c:v>P3</c:v>
                </c:pt>
                <c:pt idx="3">
                  <c:v>P2</c:v>
                </c:pt>
                <c:pt idx="4">
                  <c:v>P1</c:v>
                </c:pt>
              </c:strCache>
            </c:strRef>
          </c:cat>
          <c:val>
            <c:numRef>
              <c:f>'6. Litologia 30 Geotec'!$CN$14:$CN$18</c:f>
              <c:numCache>
                <c:formatCode>0%</c:formatCode>
                <c:ptCount val="5"/>
                <c:pt idx="0">
                  <c:v>0.31325301204819278</c:v>
                </c:pt>
                <c:pt idx="1">
                  <c:v>0.40963855421686746</c:v>
                </c:pt>
                <c:pt idx="2">
                  <c:v>0.27710843373493976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E-4B38-BF69-883CD9E76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Persistence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Aperture</a:t>
            </a:r>
          </a:p>
        </c:rich>
      </c:tx>
      <c:layout>
        <c:manualLayout>
          <c:xMode val="edge"/>
          <c:yMode val="edge"/>
          <c:x val="0.45719724482158441"/>
          <c:y val="2.047147322479814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Litologia 30 Geotec'!$CH$4</c:f>
              <c:strCache>
                <c:ptCount val="1"/>
                <c:pt idx="0">
                  <c:v>Persistencia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'6. Litologia 30 Geotec'!$CS$14:$CS$18</c:f>
              <c:strCache>
                <c:ptCount val="5"/>
                <c:pt idx="0">
                  <c:v>A4</c:v>
                </c:pt>
                <c:pt idx="1">
                  <c:v>A3</c:v>
                </c:pt>
                <c:pt idx="2">
                  <c:v>A2</c:v>
                </c:pt>
                <c:pt idx="3">
                  <c:v>A1</c:v>
                </c:pt>
                <c:pt idx="4">
                  <c:v>A0</c:v>
                </c:pt>
              </c:strCache>
            </c:strRef>
          </c:cat>
          <c:val>
            <c:numRef>
              <c:f>'6. Litologia 30 Geotec'!$CZ$14:$CZ$18</c:f>
              <c:numCache>
                <c:formatCode>0%</c:formatCode>
                <c:ptCount val="5"/>
                <c:pt idx="0">
                  <c:v>0.38554216867469882</c:v>
                </c:pt>
                <c:pt idx="1">
                  <c:v>0.45783132530120479</c:v>
                </c:pt>
                <c:pt idx="2">
                  <c:v>0.15662650602409639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0-4F4F-883C-201BA2E03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Aperture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RQD</a:t>
            </a:r>
          </a:p>
        </c:rich>
      </c:tx>
      <c:layout>
        <c:manualLayout>
          <c:xMode val="edge"/>
          <c:yMode val="edge"/>
          <c:x val="0.45719724482158441"/>
          <c:y val="2.047147322479814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Litologia 30 Geotec'!$CH$4</c:f>
              <c:strCache>
                <c:ptCount val="1"/>
                <c:pt idx="0">
                  <c:v>Persistencia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'6. Litologia 30 Geotec'!$DH$14:$DH$18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cat>
          <c:val>
            <c:numRef>
              <c:f>'6. Litologia 30 Geotec'!$DO$14:$DO$18</c:f>
              <c:numCache>
                <c:formatCode>0%</c:formatCode>
                <c:ptCount val="5"/>
                <c:pt idx="0">
                  <c:v>0.984375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C-49F4-AF9A-85DB44F6B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RQD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Roughness</a:t>
            </a:r>
          </a:p>
        </c:rich>
      </c:tx>
      <c:layout>
        <c:manualLayout>
          <c:xMode val="edge"/>
          <c:yMode val="edge"/>
          <c:x val="0.45719724482158441"/>
          <c:y val="2.047147322479814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Litologia 30 Geotec'!$CH$4</c:f>
              <c:strCache>
                <c:ptCount val="1"/>
                <c:pt idx="0">
                  <c:v>Persistencia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cat>
            <c:strRef>
              <c:f>'6. Litologia 30 Geotec'!$DR$14:$DR$18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cat>
          <c:val>
            <c:numRef>
              <c:f>'6. Litologia 30 Geotec'!$DY$14:$DY$18</c:f>
              <c:numCache>
                <c:formatCode>0%</c:formatCode>
                <c:ptCount val="5"/>
                <c:pt idx="0">
                  <c:v>0</c:v>
                </c:pt>
                <c:pt idx="1">
                  <c:v>0.24096385542168675</c:v>
                </c:pt>
                <c:pt idx="2">
                  <c:v>0.75903614457831325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4-4BA1-891F-7344B53B3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Roughness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Filling</a:t>
            </a:r>
          </a:p>
        </c:rich>
      </c:tx>
      <c:layout>
        <c:manualLayout>
          <c:xMode val="edge"/>
          <c:yMode val="edge"/>
          <c:x val="0.45719724482158441"/>
          <c:y val="2.047147322479814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Litologia 30 Geotec'!$CH$4</c:f>
              <c:strCache>
                <c:ptCount val="1"/>
                <c:pt idx="0">
                  <c:v>Persistencia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cat>
            <c:strRef>
              <c:f>'6. Litologia 30 Geotec'!$ED$14:$ED$18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cat>
          <c:val>
            <c:numRef>
              <c:f>'6. Litologia 30 Geotec'!$EK$14:$EK$18</c:f>
              <c:numCache>
                <c:formatCode>0%</c:formatCode>
                <c:ptCount val="5"/>
                <c:pt idx="0">
                  <c:v>2.4096385542168676E-2</c:v>
                </c:pt>
                <c:pt idx="1">
                  <c:v>0.97590361445783136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A-482A-BCFE-458A9D1F9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Weathering</a:t>
            </a:r>
          </a:p>
        </c:rich>
      </c:tx>
      <c:layout>
        <c:manualLayout>
          <c:xMode val="edge"/>
          <c:yMode val="edge"/>
          <c:x val="0.45719724482158441"/>
          <c:y val="2.047147322479814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Litologia 30 Geotec'!$CH$4</c:f>
              <c:strCache>
                <c:ptCount val="1"/>
                <c:pt idx="0">
                  <c:v>Persistencia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'6. Litologia 30 Geotec'!$EQ$14:$EQ$18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cat>
          <c:val>
            <c:numRef>
              <c:f>'6. Litologia 30 Geotec'!$EX$14:$EX$18</c:f>
              <c:numCache>
                <c:formatCode>0%</c:formatCode>
                <c:ptCount val="5"/>
                <c:pt idx="0">
                  <c:v>0.28915662650602408</c:v>
                </c:pt>
                <c:pt idx="1">
                  <c:v>0.63855421686746983</c:v>
                </c:pt>
                <c:pt idx="2">
                  <c:v>7.2289156626506021E-2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8-4113-98DF-66A7927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4"/>
          <c:order val="0"/>
          <c:spPr>
            <a:ln w="19050">
              <a:noFill/>
            </a:ln>
          </c:spPr>
          <c:marker>
            <c:symbol val="star"/>
            <c:size val="18"/>
            <c:spPr>
              <a:ln>
                <a:solidFill>
                  <a:srgbClr val="FF0000"/>
                </a:solidFill>
              </a:ln>
            </c:spPr>
          </c:marker>
          <c:xVal>
            <c:numRef>
              <c:f>'6. Litologia 30 Geotec'!$BM$3:$BM$86</c:f>
              <c:numCache>
                <c:formatCode>0</c:formatCode>
                <c:ptCount val="84"/>
                <c:pt idx="0">
                  <c:v>21</c:v>
                </c:pt>
                <c:pt idx="1">
                  <c:v>22</c:v>
                </c:pt>
                <c:pt idx="2">
                  <c:v>25</c:v>
                </c:pt>
                <c:pt idx="3">
                  <c:v>25</c:v>
                </c:pt>
                <c:pt idx="4">
                  <c:v>24</c:v>
                </c:pt>
                <c:pt idx="5">
                  <c:v>33</c:v>
                </c:pt>
                <c:pt idx="6">
                  <c:v>28</c:v>
                </c:pt>
                <c:pt idx="7">
                  <c:v>27</c:v>
                </c:pt>
                <c:pt idx="8">
                  <c:v>32</c:v>
                </c:pt>
                <c:pt idx="9">
                  <c:v>30</c:v>
                </c:pt>
                <c:pt idx="10">
                  <c:v>27</c:v>
                </c:pt>
                <c:pt idx="11">
                  <c:v>40</c:v>
                </c:pt>
                <c:pt idx="12">
                  <c:v>36</c:v>
                </c:pt>
                <c:pt idx="13">
                  <c:v>28</c:v>
                </c:pt>
                <c:pt idx="14">
                  <c:v>39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22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18</c:v>
                </c:pt>
                <c:pt idx="51">
                  <c:v>25</c:v>
                </c:pt>
                <c:pt idx="52">
                  <c:v>21</c:v>
                </c:pt>
                <c:pt idx="53">
                  <c:v>30</c:v>
                </c:pt>
                <c:pt idx="54">
                  <c:v>24</c:v>
                </c:pt>
                <c:pt idx="55">
                  <c:v>18</c:v>
                </c:pt>
                <c:pt idx="56">
                  <c:v>26</c:v>
                </c:pt>
                <c:pt idx="57">
                  <c:v>28</c:v>
                </c:pt>
                <c:pt idx="58">
                  <c:v>25</c:v>
                </c:pt>
                <c:pt idx="59">
                  <c:v>28</c:v>
                </c:pt>
                <c:pt idx="60">
                  <c:v>26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28</c:v>
                </c:pt>
                <c:pt idx="65">
                  <c:v>27</c:v>
                </c:pt>
                <c:pt idx="66">
                  <c:v>26</c:v>
                </c:pt>
                <c:pt idx="67">
                  <c:v>26</c:v>
                </c:pt>
                <c:pt idx="68">
                  <c:v>25</c:v>
                </c:pt>
                <c:pt idx="69">
                  <c:v>26</c:v>
                </c:pt>
                <c:pt idx="70">
                  <c:v>26</c:v>
                </c:pt>
                <c:pt idx="72">
                  <c:v>19</c:v>
                </c:pt>
                <c:pt idx="73">
                  <c:v>29</c:v>
                </c:pt>
                <c:pt idx="74">
                  <c:v>23</c:v>
                </c:pt>
                <c:pt idx="75">
                  <c:v>28</c:v>
                </c:pt>
                <c:pt idx="76">
                  <c:v>24</c:v>
                </c:pt>
                <c:pt idx="77">
                  <c:v>18</c:v>
                </c:pt>
                <c:pt idx="78">
                  <c:v>36</c:v>
                </c:pt>
                <c:pt idx="79">
                  <c:v>30</c:v>
                </c:pt>
                <c:pt idx="80">
                  <c:v>32</c:v>
                </c:pt>
                <c:pt idx="81">
                  <c:v>17</c:v>
                </c:pt>
                <c:pt idx="82">
                  <c:v>17</c:v>
                </c:pt>
                <c:pt idx="83">
                  <c:v>18</c:v>
                </c:pt>
              </c:numCache>
            </c:numRef>
          </c:xVal>
          <c:yVal>
            <c:numRef>
              <c:f>'6. Litologia 30 Geotec'!$T$3:$T$86</c:f>
              <c:numCache>
                <c:formatCode>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 formatCode="0.00">
                  <c:v>28.000000000000004</c:v>
                </c:pt>
                <c:pt idx="9" formatCode="0.00">
                  <c:v>28.000000000000004</c:v>
                </c:pt>
                <c:pt idx="10" formatCode="0.00">
                  <c:v>0</c:v>
                </c:pt>
                <c:pt idx="11" formatCode="0.00">
                  <c:v>36</c:v>
                </c:pt>
                <c:pt idx="12" formatCode="0.00">
                  <c:v>28.000000000000004</c:v>
                </c:pt>
                <c:pt idx="13" formatCode="0.00">
                  <c:v>0</c:v>
                </c:pt>
                <c:pt idx="14" formatCode="0.00">
                  <c:v>42</c:v>
                </c:pt>
                <c:pt idx="15" formatCode="0.00">
                  <c:v>24</c:v>
                </c:pt>
                <c:pt idx="16" formatCode="0.00">
                  <c:v>22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22</c:v>
                </c:pt>
                <c:pt idx="52" formatCode="0.00">
                  <c:v>0</c:v>
                </c:pt>
                <c:pt idx="53" formatCode="0.00">
                  <c:v>38</c:v>
                </c:pt>
                <c:pt idx="54" formatCode="0.00">
                  <c:v>28.000000000000004</c:v>
                </c:pt>
                <c:pt idx="55" formatCode="0.00">
                  <c:v>0</c:v>
                </c:pt>
                <c:pt idx="56" formatCode="0.00">
                  <c:v>22</c:v>
                </c:pt>
                <c:pt idx="57" formatCode="0.00">
                  <c:v>44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20</c:v>
                </c:pt>
                <c:pt idx="72" formatCode="0.00">
                  <c:v>0</c:v>
                </c:pt>
                <c:pt idx="73" formatCode="0.00">
                  <c:v>44</c:v>
                </c:pt>
                <c:pt idx="74" formatCode="0.00">
                  <c:v>22</c:v>
                </c:pt>
                <c:pt idx="75" formatCode="0.00">
                  <c:v>30</c:v>
                </c:pt>
                <c:pt idx="76" formatCode="0.00">
                  <c:v>26</c:v>
                </c:pt>
                <c:pt idx="77" formatCode="0.00">
                  <c:v>0</c:v>
                </c:pt>
                <c:pt idx="78" formatCode="0.00">
                  <c:v>66</c:v>
                </c:pt>
                <c:pt idx="79" formatCode="0.00">
                  <c:v>36</c:v>
                </c:pt>
                <c:pt idx="80" formatCode="0.00">
                  <c:v>50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D22-4A06-BC6C-E97FAFFB5ABB}"/>
            </c:ext>
          </c:extLst>
        </c:ser>
        <c:ser>
          <c:idx val="2"/>
          <c:order val="3"/>
          <c:tx>
            <c:v>Lithology 10</c:v>
          </c:tx>
          <c:spPr>
            <a:ln w="19050">
              <a:noFill/>
            </a:ln>
          </c:spPr>
          <c:marker>
            <c:symbol val="star"/>
            <c:size val="10"/>
            <c:spPr>
              <a:ln>
                <a:solidFill>
                  <a:srgbClr val="FF0000"/>
                </a:solidFill>
              </a:ln>
            </c:spPr>
          </c:marke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D22-4A06-BC6C-E97FAFFB5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Lithology 40</c:v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'5. Quantificación de DESMONTE'!$AT$28:$AT$48</c15:sqref>
                        </c15:formulaRef>
                      </c:ext>
                    </c:extLst>
                    <c:numCache>
                      <c:formatCode>0.0</c:formatCode>
                      <c:ptCount val="21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4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2</c:v>
                      </c:pt>
                      <c:pt idx="16">
                        <c:v>4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'5. Quantificación de DESMONTE'!$AS$28:$AS$48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126.66666666666667</c:v>
                      </c:pt>
                      <c:pt idx="1">
                        <c:v>140</c:v>
                      </c:pt>
                      <c:pt idx="2">
                        <c:v>19</c:v>
                      </c:pt>
                      <c:pt idx="3">
                        <c:v>76.666666666666671</c:v>
                      </c:pt>
                      <c:pt idx="4">
                        <c:v>86</c:v>
                      </c:pt>
                      <c:pt idx="5">
                        <c:v>112.5</c:v>
                      </c:pt>
                      <c:pt idx="6">
                        <c:v>235</c:v>
                      </c:pt>
                      <c:pt idx="7">
                        <c:v>70</c:v>
                      </c:pt>
                      <c:pt idx="8">
                        <c:v>102.5</c:v>
                      </c:pt>
                      <c:pt idx="9">
                        <c:v>107.5</c:v>
                      </c:pt>
                      <c:pt idx="10">
                        <c:v>44</c:v>
                      </c:pt>
                      <c:pt idx="11">
                        <c:v>46</c:v>
                      </c:pt>
                      <c:pt idx="12">
                        <c:v>73.333333333333329</c:v>
                      </c:pt>
                      <c:pt idx="13">
                        <c:v>140</c:v>
                      </c:pt>
                      <c:pt idx="14">
                        <c:v>70</c:v>
                      </c:pt>
                      <c:pt idx="15">
                        <c:v>92.5</c:v>
                      </c:pt>
                      <c:pt idx="16">
                        <c:v>48.571428571428569</c:v>
                      </c:pt>
                      <c:pt idx="17">
                        <c:v>81.666666666666671</c:v>
                      </c:pt>
                      <c:pt idx="18">
                        <c:v>93.333333333333329</c:v>
                      </c:pt>
                      <c:pt idx="19">
                        <c:v>55</c:v>
                      </c:pt>
                      <c:pt idx="20">
                        <c:v>19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D22-4A06-BC6C-E97FAFFB5AB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Lithology 50</c:v>
                </c:tx>
                <c:spPr>
                  <a:ln w="19050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Quantificación de DESMONTE'!$AT$53:$AT$60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4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Quantificación de DESMONTE'!$AS$53:$AS$60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180</c:v>
                      </c:pt>
                      <c:pt idx="1">
                        <c:v>78</c:v>
                      </c:pt>
                      <c:pt idx="2">
                        <c:v>87.5</c:v>
                      </c:pt>
                      <c:pt idx="3">
                        <c:v>15.333333333333334</c:v>
                      </c:pt>
                      <c:pt idx="4">
                        <c:v>96.666666666666671</c:v>
                      </c:pt>
                      <c:pt idx="5">
                        <c:v>20.76923076923077</c:v>
                      </c:pt>
                      <c:pt idx="6">
                        <c:v>29</c:v>
                      </c:pt>
                      <c:pt idx="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D22-4A06-BC6C-E97FAFFB5ABB}"/>
                  </c:ext>
                </c:extLst>
              </c15:ser>
            </c15:filteredScatterSeries>
          </c:ext>
        </c:extLst>
      </c:scatterChart>
      <c:valAx>
        <c:axId val="119313249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 b="1"/>
                  <a:t>RMR 76</a:t>
                </a:r>
              </a:p>
            </c:rich>
          </c:tx>
          <c:layout>
            <c:manualLayout>
              <c:xMode val="edge"/>
              <c:yMode val="edge"/>
              <c:x val="0.49585741547012507"/>
              <c:y val="4.4702058504875408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  <c:majorUnit val="10"/>
      </c:valAx>
      <c:valAx>
        <c:axId val="11931339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3600" b="1"/>
                  <a:t>RQD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5061928716798376"/>
          <c:y val="0.19761122936351366"/>
          <c:w val="0.20065919407132932"/>
          <c:h val="8.7577080377023275E-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4"/>
          <c:order val="0"/>
          <c:spPr>
            <a:ln w="19050">
              <a:noFill/>
            </a:ln>
          </c:spPr>
          <c:marker>
            <c:symbol val="star"/>
            <c:size val="18"/>
            <c:spPr>
              <a:ln>
                <a:solidFill>
                  <a:srgbClr val="FF0000"/>
                </a:solidFill>
              </a:ln>
            </c:spPr>
          </c:marker>
          <c:xVal>
            <c:numRef>
              <c:f>'6. Litologia 30 Geotec'!$BM$3:$BM$86</c:f>
              <c:numCache>
                <c:formatCode>0</c:formatCode>
                <c:ptCount val="84"/>
                <c:pt idx="0">
                  <c:v>21</c:v>
                </c:pt>
                <c:pt idx="1">
                  <c:v>22</c:v>
                </c:pt>
                <c:pt idx="2">
                  <c:v>25</c:v>
                </c:pt>
                <c:pt idx="3">
                  <c:v>25</c:v>
                </c:pt>
                <c:pt idx="4">
                  <c:v>24</c:v>
                </c:pt>
                <c:pt idx="5">
                  <c:v>33</c:v>
                </c:pt>
                <c:pt idx="6">
                  <c:v>28</c:v>
                </c:pt>
                <c:pt idx="7">
                  <c:v>27</c:v>
                </c:pt>
                <c:pt idx="8">
                  <c:v>32</c:v>
                </c:pt>
                <c:pt idx="9">
                  <c:v>30</c:v>
                </c:pt>
                <c:pt idx="10">
                  <c:v>27</c:v>
                </c:pt>
                <c:pt idx="11">
                  <c:v>40</c:v>
                </c:pt>
                <c:pt idx="12">
                  <c:v>36</c:v>
                </c:pt>
                <c:pt idx="13">
                  <c:v>28</c:v>
                </c:pt>
                <c:pt idx="14">
                  <c:v>39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22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18</c:v>
                </c:pt>
                <c:pt idx="51">
                  <c:v>25</c:v>
                </c:pt>
                <c:pt idx="52">
                  <c:v>21</c:v>
                </c:pt>
                <c:pt idx="53">
                  <c:v>30</c:v>
                </c:pt>
                <c:pt idx="54">
                  <c:v>24</c:v>
                </c:pt>
                <c:pt idx="55">
                  <c:v>18</c:v>
                </c:pt>
                <c:pt idx="56">
                  <c:v>26</c:v>
                </c:pt>
                <c:pt idx="57">
                  <c:v>28</c:v>
                </c:pt>
                <c:pt idx="58">
                  <c:v>25</c:v>
                </c:pt>
                <c:pt idx="59">
                  <c:v>28</c:v>
                </c:pt>
                <c:pt idx="60">
                  <c:v>26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28</c:v>
                </c:pt>
                <c:pt idx="65">
                  <c:v>27</c:v>
                </c:pt>
                <c:pt idx="66">
                  <c:v>26</c:v>
                </c:pt>
                <c:pt idx="67">
                  <c:v>26</c:v>
                </c:pt>
                <c:pt idx="68">
                  <c:v>25</c:v>
                </c:pt>
                <c:pt idx="69">
                  <c:v>26</c:v>
                </c:pt>
                <c:pt idx="70">
                  <c:v>26</c:v>
                </c:pt>
                <c:pt idx="72">
                  <c:v>19</c:v>
                </c:pt>
                <c:pt idx="73">
                  <c:v>29</c:v>
                </c:pt>
                <c:pt idx="74">
                  <c:v>23</c:v>
                </c:pt>
                <c:pt idx="75">
                  <c:v>28</c:v>
                </c:pt>
                <c:pt idx="76">
                  <c:v>24</c:v>
                </c:pt>
                <c:pt idx="77">
                  <c:v>18</c:v>
                </c:pt>
                <c:pt idx="78">
                  <c:v>36</c:v>
                </c:pt>
                <c:pt idx="79">
                  <c:v>30</c:v>
                </c:pt>
                <c:pt idx="80">
                  <c:v>32</c:v>
                </c:pt>
                <c:pt idx="81">
                  <c:v>17</c:v>
                </c:pt>
                <c:pt idx="82">
                  <c:v>17</c:v>
                </c:pt>
                <c:pt idx="83">
                  <c:v>18</c:v>
                </c:pt>
              </c:numCache>
            </c:numRef>
          </c:xVal>
          <c:yVal>
            <c:numRef>
              <c:f>'6. Litologia 30 Geotec'!$BJ$3:$BJ$86</c:f>
              <c:numCache>
                <c:formatCode>0.0</c:formatCode>
                <c:ptCount val="8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074-4486-9A21-0602EB0D2B20}"/>
            </c:ext>
          </c:extLst>
        </c:ser>
        <c:ser>
          <c:idx val="2"/>
          <c:order val="3"/>
          <c:tx>
            <c:v>Lithology 10</c:v>
          </c:tx>
          <c:spPr>
            <a:ln w="19050">
              <a:noFill/>
            </a:ln>
          </c:spPr>
          <c:marker>
            <c:symbol val="star"/>
            <c:size val="10"/>
            <c:spPr>
              <a:ln>
                <a:solidFill>
                  <a:srgbClr val="FF0000"/>
                </a:solidFill>
              </a:ln>
            </c:spPr>
          </c:marke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074-4486-9A21-0602EB0D2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Lithology 40</c:v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'5. Quantificación de DESMONTE'!$AT$28:$AT$48</c15:sqref>
                        </c15:formulaRef>
                      </c:ext>
                    </c:extLst>
                    <c:numCache>
                      <c:formatCode>0.0</c:formatCode>
                      <c:ptCount val="21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4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2</c:v>
                      </c:pt>
                      <c:pt idx="16">
                        <c:v>4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'5. Quantificación de DESMONTE'!$AS$28:$AS$48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126.66666666666667</c:v>
                      </c:pt>
                      <c:pt idx="1">
                        <c:v>140</c:v>
                      </c:pt>
                      <c:pt idx="2">
                        <c:v>19</c:v>
                      </c:pt>
                      <c:pt idx="3">
                        <c:v>76.666666666666671</c:v>
                      </c:pt>
                      <c:pt idx="4">
                        <c:v>86</c:v>
                      </c:pt>
                      <c:pt idx="5">
                        <c:v>112.5</c:v>
                      </c:pt>
                      <c:pt idx="6">
                        <c:v>235</c:v>
                      </c:pt>
                      <c:pt idx="7">
                        <c:v>70</c:v>
                      </c:pt>
                      <c:pt idx="8">
                        <c:v>102.5</c:v>
                      </c:pt>
                      <c:pt idx="9">
                        <c:v>107.5</c:v>
                      </c:pt>
                      <c:pt idx="10">
                        <c:v>44</c:v>
                      </c:pt>
                      <c:pt idx="11">
                        <c:v>46</c:v>
                      </c:pt>
                      <c:pt idx="12">
                        <c:v>73.333333333333329</c:v>
                      </c:pt>
                      <c:pt idx="13">
                        <c:v>140</c:v>
                      </c:pt>
                      <c:pt idx="14">
                        <c:v>70</c:v>
                      </c:pt>
                      <c:pt idx="15">
                        <c:v>92.5</c:v>
                      </c:pt>
                      <c:pt idx="16">
                        <c:v>48.571428571428569</c:v>
                      </c:pt>
                      <c:pt idx="17">
                        <c:v>81.666666666666671</c:v>
                      </c:pt>
                      <c:pt idx="18">
                        <c:v>93.333333333333329</c:v>
                      </c:pt>
                      <c:pt idx="19">
                        <c:v>55</c:v>
                      </c:pt>
                      <c:pt idx="20">
                        <c:v>19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074-4486-9A21-0602EB0D2B2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Lithology 50</c:v>
                </c:tx>
                <c:spPr>
                  <a:ln w="19050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Quantificación de DESMONTE'!$AT$53:$AT$60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4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Quantificación de DESMONTE'!$AS$53:$AS$60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180</c:v>
                      </c:pt>
                      <c:pt idx="1">
                        <c:v>78</c:v>
                      </c:pt>
                      <c:pt idx="2">
                        <c:v>87.5</c:v>
                      </c:pt>
                      <c:pt idx="3">
                        <c:v>15.333333333333334</c:v>
                      </c:pt>
                      <c:pt idx="4">
                        <c:v>96.666666666666671</c:v>
                      </c:pt>
                      <c:pt idx="5">
                        <c:v>20.76923076923077</c:v>
                      </c:pt>
                      <c:pt idx="6">
                        <c:v>29</c:v>
                      </c:pt>
                      <c:pt idx="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074-4486-9A21-0602EB0D2B20}"/>
                  </c:ext>
                </c:extLst>
              </c15:ser>
            </c15:filteredScatterSeries>
          </c:ext>
        </c:extLst>
      </c:scatterChart>
      <c:valAx>
        <c:axId val="119313249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 b="1"/>
                  <a:t>RMR 76</a:t>
                </a:r>
              </a:p>
            </c:rich>
          </c:tx>
          <c:layout>
            <c:manualLayout>
              <c:xMode val="edge"/>
              <c:yMode val="edge"/>
              <c:x val="0.49585741547012507"/>
              <c:y val="4.4702058504875408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  <c:majorUnit val="10"/>
      </c:valAx>
      <c:valAx>
        <c:axId val="11931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3600" b="1"/>
                  <a:t>Weathering</a:t>
                </a:r>
              </a:p>
            </c:rich>
          </c:tx>
          <c:layout>
            <c:manualLayout>
              <c:xMode val="edge"/>
              <c:yMode val="edge"/>
              <c:x val="2.3804965832362891E-2"/>
              <c:y val="0.492804672447013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  <c:majorUnit val="1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5061928716798376"/>
          <c:y val="0.19761122936351366"/>
          <c:w val="0.20065919407132932"/>
          <c:h val="8.7577080377023275E-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'6. Litologia 30 Geotec'!$DT$141:$DT$145</c:f>
              <c:numCache>
                <c:formatCode>0%</c:formatCode>
                <c:ptCount val="5"/>
                <c:pt idx="0">
                  <c:v>0.12048192771084337</c:v>
                </c:pt>
                <c:pt idx="1">
                  <c:v>0.87951807228915657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4-4525-9550-31207206A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RMR76</a:t>
                </a:r>
              </a:p>
            </c:rich>
          </c:tx>
          <c:layout>
            <c:manualLayout>
              <c:xMode val="edge"/>
              <c:yMode val="edge"/>
              <c:x val="0.50127910238584683"/>
              <c:y val="0.93173137460650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'6. Litologia 30 Geotec'!$DT$152:$DT$156</c:f>
              <c:numCache>
                <c:formatCode>0%</c:formatCode>
                <c:ptCount val="5"/>
                <c:pt idx="0">
                  <c:v>0.18072289156626506</c:v>
                </c:pt>
                <c:pt idx="1">
                  <c:v>0.81927710843373491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3-411F-B613-7B2519348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RMR89</a:t>
                </a:r>
              </a:p>
            </c:rich>
          </c:tx>
          <c:layout>
            <c:manualLayout>
              <c:xMode val="edge"/>
              <c:yMode val="edge"/>
              <c:x val="0.50127910238584683"/>
              <c:y val="0.93173137460650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Lithology 30</a:t>
            </a:r>
          </a:p>
        </c:rich>
      </c:tx>
      <c:layout>
        <c:manualLayout>
          <c:xMode val="edge"/>
          <c:yMode val="edge"/>
          <c:x val="0.42205084366150641"/>
          <c:y val="2.047082906857727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Freqüência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'6. Litologia 30 Geotec'!$AT$93:$AT$99</c:f>
              <c:strCache>
                <c:ptCount val="7"/>
                <c:pt idx="0">
                  <c:v>R0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</c:strCache>
            </c:strRef>
          </c:cat>
          <c:val>
            <c:numRef>
              <c:f>'6. Litologia 30 Geotec'!$BA$93:$BA$99</c:f>
              <c:numCache>
                <c:formatCode>0%</c:formatCode>
                <c:ptCount val="7"/>
                <c:pt idx="0">
                  <c:v>0.13253012048192772</c:v>
                </c:pt>
                <c:pt idx="1">
                  <c:v>0.86746987951807231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E-463B-9516-334D1DB26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13648293963254E-2"/>
          <c:y val="0.1259228150242413"/>
          <c:w val="0.89019685039370078"/>
          <c:h val="0.7953176493987266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1307961504812"/>
                  <c:y val="5.64762680549706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'6. Litologia 30 Geotec'!$BM$3:$BM$86</c:f>
              <c:numCache>
                <c:formatCode>0</c:formatCode>
                <c:ptCount val="84"/>
                <c:pt idx="0">
                  <c:v>21</c:v>
                </c:pt>
                <c:pt idx="1">
                  <c:v>22</c:v>
                </c:pt>
                <c:pt idx="2">
                  <c:v>25</c:v>
                </c:pt>
                <c:pt idx="3">
                  <c:v>25</c:v>
                </c:pt>
                <c:pt idx="4">
                  <c:v>24</c:v>
                </c:pt>
                <c:pt idx="5">
                  <c:v>33</c:v>
                </c:pt>
                <c:pt idx="6">
                  <c:v>28</c:v>
                </c:pt>
                <c:pt idx="7">
                  <c:v>27</c:v>
                </c:pt>
                <c:pt idx="8">
                  <c:v>32</c:v>
                </c:pt>
                <c:pt idx="9">
                  <c:v>30</c:v>
                </c:pt>
                <c:pt idx="10">
                  <c:v>27</c:v>
                </c:pt>
                <c:pt idx="11">
                  <c:v>40</c:v>
                </c:pt>
                <c:pt idx="12">
                  <c:v>36</c:v>
                </c:pt>
                <c:pt idx="13">
                  <c:v>28</c:v>
                </c:pt>
                <c:pt idx="14">
                  <c:v>39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22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18</c:v>
                </c:pt>
                <c:pt idx="51">
                  <c:v>25</c:v>
                </c:pt>
                <c:pt idx="52">
                  <c:v>21</c:v>
                </c:pt>
                <c:pt idx="53">
                  <c:v>30</c:v>
                </c:pt>
                <c:pt idx="54">
                  <c:v>24</c:v>
                </c:pt>
                <c:pt idx="55">
                  <c:v>18</c:v>
                </c:pt>
                <c:pt idx="56">
                  <c:v>26</c:v>
                </c:pt>
                <c:pt idx="57">
                  <c:v>28</c:v>
                </c:pt>
                <c:pt idx="58">
                  <c:v>25</c:v>
                </c:pt>
                <c:pt idx="59">
                  <c:v>28</c:v>
                </c:pt>
                <c:pt idx="60">
                  <c:v>26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28</c:v>
                </c:pt>
                <c:pt idx="65">
                  <c:v>27</c:v>
                </c:pt>
                <c:pt idx="66">
                  <c:v>26</c:v>
                </c:pt>
                <c:pt idx="67">
                  <c:v>26</c:v>
                </c:pt>
                <c:pt idx="68">
                  <c:v>25</c:v>
                </c:pt>
                <c:pt idx="69">
                  <c:v>26</c:v>
                </c:pt>
                <c:pt idx="70">
                  <c:v>26</c:v>
                </c:pt>
                <c:pt idx="72">
                  <c:v>19</c:v>
                </c:pt>
                <c:pt idx="73">
                  <c:v>29</c:v>
                </c:pt>
                <c:pt idx="74">
                  <c:v>23</c:v>
                </c:pt>
                <c:pt idx="75">
                  <c:v>28</c:v>
                </c:pt>
                <c:pt idx="76">
                  <c:v>24</c:v>
                </c:pt>
                <c:pt idx="77">
                  <c:v>18</c:v>
                </c:pt>
                <c:pt idx="78">
                  <c:v>36</c:v>
                </c:pt>
                <c:pt idx="79">
                  <c:v>30</c:v>
                </c:pt>
                <c:pt idx="80">
                  <c:v>32</c:v>
                </c:pt>
                <c:pt idx="81">
                  <c:v>17</c:v>
                </c:pt>
                <c:pt idx="82">
                  <c:v>17</c:v>
                </c:pt>
                <c:pt idx="83">
                  <c:v>18</c:v>
                </c:pt>
              </c:numCache>
            </c:numRef>
          </c:xVal>
          <c:yVal>
            <c:numRef>
              <c:f>'6. Litologia 30 Geotec'!$BN$3:$BN$86</c:f>
              <c:numCache>
                <c:formatCode>0</c:formatCode>
                <c:ptCount val="84"/>
                <c:pt idx="0">
                  <c:v>23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22</c:v>
                </c:pt>
                <c:pt idx="5">
                  <c:v>32</c:v>
                </c:pt>
                <c:pt idx="6">
                  <c:v>26</c:v>
                </c:pt>
                <c:pt idx="7">
                  <c:v>28</c:v>
                </c:pt>
                <c:pt idx="8">
                  <c:v>31</c:v>
                </c:pt>
                <c:pt idx="9">
                  <c:v>30</c:v>
                </c:pt>
                <c:pt idx="10">
                  <c:v>26</c:v>
                </c:pt>
                <c:pt idx="11">
                  <c:v>38</c:v>
                </c:pt>
                <c:pt idx="12">
                  <c:v>35</c:v>
                </c:pt>
                <c:pt idx="13">
                  <c:v>28</c:v>
                </c:pt>
                <c:pt idx="14">
                  <c:v>36</c:v>
                </c:pt>
                <c:pt idx="15">
                  <c:v>26</c:v>
                </c:pt>
                <c:pt idx="16">
                  <c:v>25</c:v>
                </c:pt>
                <c:pt idx="17">
                  <c:v>19</c:v>
                </c:pt>
                <c:pt idx="18">
                  <c:v>20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24</c:v>
                </c:pt>
                <c:pt idx="27">
                  <c:v>24</c:v>
                </c:pt>
                <c:pt idx="28">
                  <c:v>23</c:v>
                </c:pt>
                <c:pt idx="29">
                  <c:v>25</c:v>
                </c:pt>
                <c:pt idx="30">
                  <c:v>22</c:v>
                </c:pt>
                <c:pt idx="31">
                  <c:v>23</c:v>
                </c:pt>
                <c:pt idx="32">
                  <c:v>22</c:v>
                </c:pt>
                <c:pt idx="33">
                  <c:v>24</c:v>
                </c:pt>
                <c:pt idx="34">
                  <c:v>23</c:v>
                </c:pt>
                <c:pt idx="35">
                  <c:v>23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25</c:v>
                </c:pt>
                <c:pt idx="41">
                  <c:v>25</c:v>
                </c:pt>
                <c:pt idx="42">
                  <c:v>22</c:v>
                </c:pt>
                <c:pt idx="43">
                  <c:v>25</c:v>
                </c:pt>
                <c:pt idx="44">
                  <c:v>22</c:v>
                </c:pt>
                <c:pt idx="45">
                  <c:v>25</c:v>
                </c:pt>
                <c:pt idx="46">
                  <c:v>22</c:v>
                </c:pt>
                <c:pt idx="47">
                  <c:v>22</c:v>
                </c:pt>
                <c:pt idx="48">
                  <c:v>25</c:v>
                </c:pt>
                <c:pt idx="49">
                  <c:v>25</c:v>
                </c:pt>
                <c:pt idx="50">
                  <c:v>21</c:v>
                </c:pt>
                <c:pt idx="51">
                  <c:v>28</c:v>
                </c:pt>
                <c:pt idx="52">
                  <c:v>23</c:v>
                </c:pt>
                <c:pt idx="53">
                  <c:v>32</c:v>
                </c:pt>
                <c:pt idx="54">
                  <c:v>27</c:v>
                </c:pt>
                <c:pt idx="55">
                  <c:v>22</c:v>
                </c:pt>
                <c:pt idx="56">
                  <c:v>28</c:v>
                </c:pt>
                <c:pt idx="57">
                  <c:v>32</c:v>
                </c:pt>
                <c:pt idx="58">
                  <c:v>26</c:v>
                </c:pt>
                <c:pt idx="59">
                  <c:v>27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25</c:v>
                </c:pt>
                <c:pt idx="64">
                  <c:v>27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20</c:v>
                </c:pt>
                <c:pt idx="70">
                  <c:v>20</c:v>
                </c:pt>
                <c:pt idx="72">
                  <c:v>21</c:v>
                </c:pt>
                <c:pt idx="73">
                  <c:v>28</c:v>
                </c:pt>
                <c:pt idx="74">
                  <c:v>24</c:v>
                </c:pt>
                <c:pt idx="75">
                  <c:v>26</c:v>
                </c:pt>
                <c:pt idx="76">
                  <c:v>26</c:v>
                </c:pt>
                <c:pt idx="77">
                  <c:v>20</c:v>
                </c:pt>
                <c:pt idx="78">
                  <c:v>33</c:v>
                </c:pt>
                <c:pt idx="79">
                  <c:v>28</c:v>
                </c:pt>
                <c:pt idx="80">
                  <c:v>29</c:v>
                </c:pt>
                <c:pt idx="81">
                  <c:v>18</c:v>
                </c:pt>
                <c:pt idx="82">
                  <c:v>19</c:v>
                </c:pt>
                <c:pt idx="8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04-45E0-AEE6-BC09692DD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057583"/>
        <c:axId val="1424058543"/>
      </c:scatterChart>
      <c:valAx>
        <c:axId val="142405758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4058543"/>
        <c:crosses val="autoZero"/>
        <c:crossBetween val="midCat"/>
      </c:valAx>
      <c:valAx>
        <c:axId val="142405854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405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867213473315835"/>
                  <c:y val="-3.21584281131525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'7. Lithology 50 Geotec'!$BK$3:$BK$139</c:f>
              <c:numCache>
                <c:formatCode>0.0</c:formatCode>
                <c:ptCount val="137"/>
                <c:pt idx="0">
                  <c:v>44</c:v>
                </c:pt>
                <c:pt idx="1">
                  <c:v>31</c:v>
                </c:pt>
                <c:pt idx="2">
                  <c:v>34</c:v>
                </c:pt>
                <c:pt idx="3">
                  <c:v>21</c:v>
                </c:pt>
                <c:pt idx="4">
                  <c:v>34</c:v>
                </c:pt>
                <c:pt idx="5">
                  <c:v>24</c:v>
                </c:pt>
                <c:pt idx="6">
                  <c:v>35</c:v>
                </c:pt>
                <c:pt idx="7">
                  <c:v>42</c:v>
                </c:pt>
                <c:pt idx="8">
                  <c:v>16</c:v>
                </c:pt>
                <c:pt idx="9">
                  <c:v>16</c:v>
                </c:pt>
                <c:pt idx="10">
                  <c:v>29</c:v>
                </c:pt>
                <c:pt idx="11">
                  <c:v>19</c:v>
                </c:pt>
                <c:pt idx="12">
                  <c:v>19</c:v>
                </c:pt>
                <c:pt idx="13">
                  <c:v>21</c:v>
                </c:pt>
                <c:pt idx="14">
                  <c:v>26</c:v>
                </c:pt>
                <c:pt idx="15">
                  <c:v>20</c:v>
                </c:pt>
                <c:pt idx="16">
                  <c:v>16</c:v>
                </c:pt>
                <c:pt idx="17">
                  <c:v>28</c:v>
                </c:pt>
                <c:pt idx="18">
                  <c:v>22</c:v>
                </c:pt>
                <c:pt idx="19">
                  <c:v>33</c:v>
                </c:pt>
                <c:pt idx="20">
                  <c:v>44</c:v>
                </c:pt>
                <c:pt idx="21">
                  <c:v>25</c:v>
                </c:pt>
                <c:pt idx="22">
                  <c:v>22</c:v>
                </c:pt>
                <c:pt idx="23">
                  <c:v>33</c:v>
                </c:pt>
                <c:pt idx="24">
                  <c:v>48</c:v>
                </c:pt>
                <c:pt idx="25">
                  <c:v>32</c:v>
                </c:pt>
                <c:pt idx="26">
                  <c:v>22</c:v>
                </c:pt>
                <c:pt idx="27">
                  <c:v>28</c:v>
                </c:pt>
                <c:pt idx="28">
                  <c:v>22</c:v>
                </c:pt>
                <c:pt idx="29">
                  <c:v>24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18</c:v>
                </c:pt>
                <c:pt idx="37">
                  <c:v>18</c:v>
                </c:pt>
                <c:pt idx="38">
                  <c:v>17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18</c:v>
                </c:pt>
                <c:pt idx="52">
                  <c:v>17</c:v>
                </c:pt>
                <c:pt idx="53">
                  <c:v>19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26</c:v>
                </c:pt>
                <c:pt idx="58">
                  <c:v>23</c:v>
                </c:pt>
                <c:pt idx="59">
                  <c:v>18</c:v>
                </c:pt>
                <c:pt idx="60">
                  <c:v>24</c:v>
                </c:pt>
                <c:pt idx="61">
                  <c:v>23</c:v>
                </c:pt>
                <c:pt idx="62">
                  <c:v>18</c:v>
                </c:pt>
                <c:pt idx="63">
                  <c:v>28</c:v>
                </c:pt>
                <c:pt idx="64">
                  <c:v>16</c:v>
                </c:pt>
                <c:pt idx="65">
                  <c:v>28</c:v>
                </c:pt>
                <c:pt idx="66">
                  <c:v>23</c:v>
                </c:pt>
                <c:pt idx="67">
                  <c:v>17</c:v>
                </c:pt>
                <c:pt idx="68">
                  <c:v>19</c:v>
                </c:pt>
                <c:pt idx="69">
                  <c:v>15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17</c:v>
                </c:pt>
                <c:pt idx="74">
                  <c:v>16</c:v>
                </c:pt>
                <c:pt idx="75">
                  <c:v>16</c:v>
                </c:pt>
                <c:pt idx="76">
                  <c:v>17</c:v>
                </c:pt>
                <c:pt idx="77">
                  <c:v>17</c:v>
                </c:pt>
                <c:pt idx="78">
                  <c:v>18</c:v>
                </c:pt>
                <c:pt idx="79">
                  <c:v>18</c:v>
                </c:pt>
                <c:pt idx="80">
                  <c:v>22</c:v>
                </c:pt>
                <c:pt idx="81">
                  <c:v>20</c:v>
                </c:pt>
                <c:pt idx="82">
                  <c:v>27</c:v>
                </c:pt>
                <c:pt idx="83">
                  <c:v>30</c:v>
                </c:pt>
                <c:pt idx="84">
                  <c:v>31</c:v>
                </c:pt>
                <c:pt idx="85">
                  <c:v>21</c:v>
                </c:pt>
                <c:pt idx="86">
                  <c:v>26</c:v>
                </c:pt>
                <c:pt idx="87">
                  <c:v>22</c:v>
                </c:pt>
                <c:pt idx="88">
                  <c:v>27</c:v>
                </c:pt>
                <c:pt idx="89">
                  <c:v>17</c:v>
                </c:pt>
                <c:pt idx="90">
                  <c:v>22</c:v>
                </c:pt>
                <c:pt idx="91">
                  <c:v>26</c:v>
                </c:pt>
                <c:pt idx="92">
                  <c:v>25</c:v>
                </c:pt>
                <c:pt idx="93">
                  <c:v>16</c:v>
                </c:pt>
                <c:pt idx="94">
                  <c:v>19</c:v>
                </c:pt>
                <c:pt idx="95">
                  <c:v>17</c:v>
                </c:pt>
                <c:pt idx="96">
                  <c:v>25</c:v>
                </c:pt>
                <c:pt idx="97">
                  <c:v>26</c:v>
                </c:pt>
                <c:pt idx="98">
                  <c:v>16</c:v>
                </c:pt>
                <c:pt idx="99">
                  <c:v>17</c:v>
                </c:pt>
                <c:pt idx="100">
                  <c:v>15</c:v>
                </c:pt>
                <c:pt idx="101">
                  <c:v>16</c:v>
                </c:pt>
                <c:pt idx="102">
                  <c:v>19</c:v>
                </c:pt>
                <c:pt idx="103">
                  <c:v>32</c:v>
                </c:pt>
                <c:pt idx="104">
                  <c:v>31</c:v>
                </c:pt>
                <c:pt idx="105">
                  <c:v>27</c:v>
                </c:pt>
                <c:pt idx="106">
                  <c:v>23</c:v>
                </c:pt>
                <c:pt idx="107">
                  <c:v>17</c:v>
                </c:pt>
                <c:pt idx="108">
                  <c:v>30</c:v>
                </c:pt>
                <c:pt idx="109">
                  <c:v>22</c:v>
                </c:pt>
                <c:pt idx="110">
                  <c:v>28</c:v>
                </c:pt>
                <c:pt idx="111">
                  <c:v>49</c:v>
                </c:pt>
                <c:pt idx="112">
                  <c:v>29</c:v>
                </c:pt>
                <c:pt idx="113">
                  <c:v>47</c:v>
                </c:pt>
                <c:pt idx="114">
                  <c:v>20</c:v>
                </c:pt>
                <c:pt idx="115">
                  <c:v>17</c:v>
                </c:pt>
                <c:pt idx="116">
                  <c:v>35</c:v>
                </c:pt>
                <c:pt idx="117">
                  <c:v>17</c:v>
                </c:pt>
                <c:pt idx="118">
                  <c:v>14</c:v>
                </c:pt>
                <c:pt idx="119">
                  <c:v>17</c:v>
                </c:pt>
                <c:pt idx="120">
                  <c:v>24</c:v>
                </c:pt>
                <c:pt idx="121">
                  <c:v>26</c:v>
                </c:pt>
                <c:pt idx="122">
                  <c:v>20</c:v>
                </c:pt>
                <c:pt idx="123">
                  <c:v>34</c:v>
                </c:pt>
                <c:pt idx="124">
                  <c:v>14</c:v>
                </c:pt>
                <c:pt idx="125">
                  <c:v>24</c:v>
                </c:pt>
                <c:pt idx="126">
                  <c:v>38</c:v>
                </c:pt>
                <c:pt idx="127">
                  <c:v>35</c:v>
                </c:pt>
                <c:pt idx="128">
                  <c:v>36</c:v>
                </c:pt>
                <c:pt idx="129">
                  <c:v>31</c:v>
                </c:pt>
                <c:pt idx="130">
                  <c:v>33</c:v>
                </c:pt>
                <c:pt idx="131">
                  <c:v>28</c:v>
                </c:pt>
                <c:pt idx="132">
                  <c:v>31</c:v>
                </c:pt>
                <c:pt idx="133">
                  <c:v>43</c:v>
                </c:pt>
                <c:pt idx="134">
                  <c:v>29</c:v>
                </c:pt>
                <c:pt idx="135">
                  <c:v>33</c:v>
                </c:pt>
                <c:pt idx="136">
                  <c:v>22</c:v>
                </c:pt>
              </c:numCache>
            </c:numRef>
          </c:xVal>
          <c:yVal>
            <c:numRef>
              <c:f>'7. Lithology 50 Geotec'!$BL$3:$BL$139</c:f>
              <c:numCache>
                <c:formatCode>General</c:formatCode>
                <c:ptCount val="137"/>
                <c:pt idx="0">
                  <c:v>45</c:v>
                </c:pt>
                <c:pt idx="1">
                  <c:v>35</c:v>
                </c:pt>
                <c:pt idx="2">
                  <c:v>38</c:v>
                </c:pt>
                <c:pt idx="3">
                  <c:v>24</c:v>
                </c:pt>
                <c:pt idx="4">
                  <c:v>38</c:v>
                </c:pt>
                <c:pt idx="5">
                  <c:v>28</c:v>
                </c:pt>
                <c:pt idx="6">
                  <c:v>40</c:v>
                </c:pt>
                <c:pt idx="7">
                  <c:v>47</c:v>
                </c:pt>
                <c:pt idx="8">
                  <c:v>20</c:v>
                </c:pt>
                <c:pt idx="9">
                  <c:v>20</c:v>
                </c:pt>
                <c:pt idx="10">
                  <c:v>34</c:v>
                </c:pt>
                <c:pt idx="11">
                  <c:v>23</c:v>
                </c:pt>
                <c:pt idx="12">
                  <c:v>23</c:v>
                </c:pt>
                <c:pt idx="13">
                  <c:v>27</c:v>
                </c:pt>
                <c:pt idx="14">
                  <c:v>31</c:v>
                </c:pt>
                <c:pt idx="15">
                  <c:v>25</c:v>
                </c:pt>
                <c:pt idx="16">
                  <c:v>21</c:v>
                </c:pt>
                <c:pt idx="17">
                  <c:v>32</c:v>
                </c:pt>
                <c:pt idx="18">
                  <c:v>28</c:v>
                </c:pt>
                <c:pt idx="19">
                  <c:v>38</c:v>
                </c:pt>
                <c:pt idx="20">
                  <c:v>46</c:v>
                </c:pt>
                <c:pt idx="21">
                  <c:v>30</c:v>
                </c:pt>
                <c:pt idx="22">
                  <c:v>27</c:v>
                </c:pt>
                <c:pt idx="23">
                  <c:v>37</c:v>
                </c:pt>
                <c:pt idx="24">
                  <c:v>48</c:v>
                </c:pt>
                <c:pt idx="25">
                  <c:v>36</c:v>
                </c:pt>
                <c:pt idx="26">
                  <c:v>28</c:v>
                </c:pt>
                <c:pt idx="27">
                  <c:v>32</c:v>
                </c:pt>
                <c:pt idx="28">
                  <c:v>27</c:v>
                </c:pt>
                <c:pt idx="29">
                  <c:v>31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25</c:v>
                </c:pt>
                <c:pt idx="35">
                  <c:v>24</c:v>
                </c:pt>
                <c:pt idx="36">
                  <c:v>21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23</c:v>
                </c:pt>
                <c:pt idx="41">
                  <c:v>24</c:v>
                </c:pt>
                <c:pt idx="42">
                  <c:v>23</c:v>
                </c:pt>
                <c:pt idx="43">
                  <c:v>25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20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18</c:v>
                </c:pt>
                <c:pt idx="55">
                  <c:v>19</c:v>
                </c:pt>
                <c:pt idx="56">
                  <c:v>19</c:v>
                </c:pt>
                <c:pt idx="57">
                  <c:v>27</c:v>
                </c:pt>
                <c:pt idx="58">
                  <c:v>27</c:v>
                </c:pt>
                <c:pt idx="59">
                  <c:v>19</c:v>
                </c:pt>
                <c:pt idx="60">
                  <c:v>31</c:v>
                </c:pt>
                <c:pt idx="61">
                  <c:v>25</c:v>
                </c:pt>
                <c:pt idx="62">
                  <c:v>19</c:v>
                </c:pt>
                <c:pt idx="63">
                  <c:v>33</c:v>
                </c:pt>
                <c:pt idx="64">
                  <c:v>19</c:v>
                </c:pt>
                <c:pt idx="65">
                  <c:v>29</c:v>
                </c:pt>
                <c:pt idx="66">
                  <c:v>33</c:v>
                </c:pt>
                <c:pt idx="67">
                  <c:v>20</c:v>
                </c:pt>
                <c:pt idx="68">
                  <c:v>24</c:v>
                </c:pt>
                <c:pt idx="69">
                  <c:v>20</c:v>
                </c:pt>
                <c:pt idx="70">
                  <c:v>20</c:v>
                </c:pt>
                <c:pt idx="71">
                  <c:v>19</c:v>
                </c:pt>
                <c:pt idx="72">
                  <c:v>20</c:v>
                </c:pt>
                <c:pt idx="73">
                  <c:v>21</c:v>
                </c:pt>
                <c:pt idx="74">
                  <c:v>20</c:v>
                </c:pt>
                <c:pt idx="75">
                  <c:v>20</c:v>
                </c:pt>
                <c:pt idx="76">
                  <c:v>18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26</c:v>
                </c:pt>
                <c:pt idx="81">
                  <c:v>24</c:v>
                </c:pt>
                <c:pt idx="82">
                  <c:v>30</c:v>
                </c:pt>
                <c:pt idx="83">
                  <c:v>32</c:v>
                </c:pt>
                <c:pt idx="84">
                  <c:v>37</c:v>
                </c:pt>
                <c:pt idx="85">
                  <c:v>29</c:v>
                </c:pt>
                <c:pt idx="86">
                  <c:v>26</c:v>
                </c:pt>
                <c:pt idx="87">
                  <c:v>24</c:v>
                </c:pt>
                <c:pt idx="88">
                  <c:v>26</c:v>
                </c:pt>
                <c:pt idx="89">
                  <c:v>22</c:v>
                </c:pt>
                <c:pt idx="90">
                  <c:v>25</c:v>
                </c:pt>
                <c:pt idx="91">
                  <c:v>35</c:v>
                </c:pt>
                <c:pt idx="92">
                  <c:v>33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27</c:v>
                </c:pt>
                <c:pt idx="97">
                  <c:v>28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19</c:v>
                </c:pt>
                <c:pt idx="103">
                  <c:v>31</c:v>
                </c:pt>
                <c:pt idx="104">
                  <c:v>30</c:v>
                </c:pt>
                <c:pt idx="105">
                  <c:v>26</c:v>
                </c:pt>
                <c:pt idx="106">
                  <c:v>26</c:v>
                </c:pt>
                <c:pt idx="107">
                  <c:v>19</c:v>
                </c:pt>
                <c:pt idx="108">
                  <c:v>31</c:v>
                </c:pt>
                <c:pt idx="109">
                  <c:v>22</c:v>
                </c:pt>
                <c:pt idx="110">
                  <c:v>30</c:v>
                </c:pt>
                <c:pt idx="111">
                  <c:v>47</c:v>
                </c:pt>
                <c:pt idx="112">
                  <c:v>30</c:v>
                </c:pt>
                <c:pt idx="113">
                  <c:v>43</c:v>
                </c:pt>
                <c:pt idx="114">
                  <c:v>24</c:v>
                </c:pt>
                <c:pt idx="115">
                  <c:v>19</c:v>
                </c:pt>
                <c:pt idx="116">
                  <c:v>32</c:v>
                </c:pt>
                <c:pt idx="117">
                  <c:v>17</c:v>
                </c:pt>
                <c:pt idx="118">
                  <c:v>17</c:v>
                </c:pt>
                <c:pt idx="119">
                  <c:v>16</c:v>
                </c:pt>
                <c:pt idx="120">
                  <c:v>24</c:v>
                </c:pt>
                <c:pt idx="121">
                  <c:v>23</c:v>
                </c:pt>
                <c:pt idx="122">
                  <c:v>19</c:v>
                </c:pt>
                <c:pt idx="123">
                  <c:v>27</c:v>
                </c:pt>
                <c:pt idx="124">
                  <c:v>13</c:v>
                </c:pt>
                <c:pt idx="125">
                  <c:v>21</c:v>
                </c:pt>
                <c:pt idx="126">
                  <c:v>35</c:v>
                </c:pt>
                <c:pt idx="127">
                  <c:v>33</c:v>
                </c:pt>
                <c:pt idx="128">
                  <c:v>36</c:v>
                </c:pt>
                <c:pt idx="129">
                  <c:v>31</c:v>
                </c:pt>
                <c:pt idx="130">
                  <c:v>34</c:v>
                </c:pt>
                <c:pt idx="131">
                  <c:v>29</c:v>
                </c:pt>
                <c:pt idx="132">
                  <c:v>32</c:v>
                </c:pt>
                <c:pt idx="133">
                  <c:v>40</c:v>
                </c:pt>
                <c:pt idx="134">
                  <c:v>29</c:v>
                </c:pt>
                <c:pt idx="135">
                  <c:v>34</c:v>
                </c:pt>
                <c:pt idx="136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5A-47DD-B785-51BC2EA2A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057583"/>
        <c:axId val="1424058543"/>
      </c:scatterChart>
      <c:valAx>
        <c:axId val="142405758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4058543"/>
        <c:crosses val="autoZero"/>
        <c:crossBetween val="midCat"/>
      </c:valAx>
      <c:valAx>
        <c:axId val="142405854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405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Persistence</a:t>
            </a:r>
          </a:p>
        </c:rich>
      </c:tx>
      <c:layout>
        <c:manualLayout>
          <c:xMode val="edge"/>
          <c:yMode val="edge"/>
          <c:x val="0.45016652874019986"/>
          <c:y val="2.2519797974746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Litologia 30 Geotec'!$CH$4</c:f>
              <c:strCache>
                <c:ptCount val="1"/>
                <c:pt idx="0">
                  <c:v>Persistencia</c:v>
                </c:pt>
              </c:strCache>
            </c:strRef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'6. Litologia 30 Geotec'!$CG$14:$CG$18</c:f>
              <c:strCache>
                <c:ptCount val="5"/>
                <c:pt idx="0">
                  <c:v>P5</c:v>
                </c:pt>
                <c:pt idx="1">
                  <c:v>P4</c:v>
                </c:pt>
                <c:pt idx="2">
                  <c:v>P3</c:v>
                </c:pt>
                <c:pt idx="3">
                  <c:v>P2</c:v>
                </c:pt>
                <c:pt idx="4">
                  <c:v>P1</c:v>
                </c:pt>
              </c:strCache>
            </c:strRef>
          </c:cat>
          <c:val>
            <c:numRef>
              <c:f>'7. Lithology 50 Geotec'!$CL$13:$CL$17</c:f>
              <c:numCache>
                <c:formatCode>0%</c:formatCode>
                <c:ptCount val="5"/>
                <c:pt idx="0">
                  <c:v>0.62043795620437958</c:v>
                </c:pt>
                <c:pt idx="1">
                  <c:v>0.26277372262773724</c:v>
                </c:pt>
                <c:pt idx="2">
                  <c:v>0.10218978102189781</c:v>
                </c:pt>
                <c:pt idx="3">
                  <c:v>1.4598540145985401E-2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F-4011-BC63-FCF58E2D7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Persistence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Aperture</a:t>
            </a:r>
          </a:p>
        </c:rich>
      </c:tx>
      <c:layout>
        <c:manualLayout>
          <c:xMode val="edge"/>
          <c:yMode val="edge"/>
          <c:x val="0.45719724482158441"/>
          <c:y val="2.047147322479814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Lithology 50 Geotec'!$CS$13:$CS$17</c:f>
              <c:strCache>
                <c:ptCount val="5"/>
                <c:pt idx="0">
                  <c:v>A4</c:v>
                </c:pt>
                <c:pt idx="1">
                  <c:v>A3</c:v>
                </c:pt>
                <c:pt idx="2">
                  <c:v>A2</c:v>
                </c:pt>
                <c:pt idx="3">
                  <c:v>A1</c:v>
                </c:pt>
                <c:pt idx="4">
                  <c:v>A0</c:v>
                </c:pt>
              </c:strCache>
            </c:strRef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'6. Litologia 30 Geotec'!$CS$14:$CS$18</c:f>
              <c:strCache>
                <c:ptCount val="5"/>
                <c:pt idx="0">
                  <c:v>A4</c:v>
                </c:pt>
                <c:pt idx="1">
                  <c:v>A3</c:v>
                </c:pt>
                <c:pt idx="2">
                  <c:v>A2</c:v>
                </c:pt>
                <c:pt idx="3">
                  <c:v>A1</c:v>
                </c:pt>
                <c:pt idx="4">
                  <c:v>A0</c:v>
                </c:pt>
              </c:strCache>
            </c:strRef>
          </c:cat>
          <c:val>
            <c:numRef>
              <c:f>'7. Lithology 50 Geotec'!$CZ$13:$CZ$17</c:f>
              <c:numCache>
                <c:formatCode>0%</c:formatCode>
                <c:ptCount val="5"/>
                <c:pt idx="0">
                  <c:v>0.71532846715328469</c:v>
                </c:pt>
                <c:pt idx="1">
                  <c:v>0.25547445255474455</c:v>
                </c:pt>
                <c:pt idx="2">
                  <c:v>2.9197080291970802E-2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5-44D4-9AD2-47E3F0E37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Aperture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RQD (%)</a:t>
            </a:r>
          </a:p>
        </c:rich>
      </c:tx>
      <c:layout>
        <c:manualLayout>
          <c:xMode val="edge"/>
          <c:yMode val="edge"/>
          <c:x val="0.46247309794025293"/>
          <c:y val="2.047155305317176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Lithology 50 Geotec'!$DG$13:$DG$17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'7. Lithology 50 Geotec'!$DG$13:$DG$17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cat>
          <c:val>
            <c:numRef>
              <c:f>'7. Lithology 50 Geotec'!$DN$13:$DN$17</c:f>
              <c:numCache>
                <c:formatCode>0%</c:formatCode>
                <c:ptCount val="5"/>
                <c:pt idx="0">
                  <c:v>0.55474452554744524</c:v>
                </c:pt>
                <c:pt idx="1">
                  <c:v>0.31386861313868614</c:v>
                </c:pt>
                <c:pt idx="2">
                  <c:v>8.7591240875912413E-2</c:v>
                </c:pt>
                <c:pt idx="3">
                  <c:v>2.9197080291970802E-2</c:v>
                </c:pt>
                <c:pt idx="4">
                  <c:v>1.4598540145985401E-2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5-411C-9203-F15CE4097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RQD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Roughness</a:t>
            </a:r>
          </a:p>
        </c:rich>
      </c:tx>
      <c:layout>
        <c:manualLayout>
          <c:xMode val="edge"/>
          <c:yMode val="edge"/>
          <c:x val="0.46247309794025293"/>
          <c:y val="2.047155305317176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Lithology 50 Geotec'!$DR$13:$DR$17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'7. Lithology 50 Geotec'!$DR$13:$DR$17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cat>
          <c:val>
            <c:numRef>
              <c:f>'7. Lithology 50 Geotec'!$DY$13:$DY$17</c:f>
              <c:numCache>
                <c:formatCode>0%</c:formatCode>
                <c:ptCount val="5"/>
                <c:pt idx="0">
                  <c:v>0.10218978102189781</c:v>
                </c:pt>
                <c:pt idx="1">
                  <c:v>0.56204379562043794</c:v>
                </c:pt>
                <c:pt idx="2">
                  <c:v>0.32116788321167883</c:v>
                </c:pt>
                <c:pt idx="3">
                  <c:v>1.4598540145985401E-2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6-46C0-96C0-B03B2F441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Roughness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Filling</a:t>
            </a:r>
          </a:p>
        </c:rich>
      </c:tx>
      <c:layout>
        <c:manualLayout>
          <c:xMode val="edge"/>
          <c:yMode val="edge"/>
          <c:x val="0.46247309794025293"/>
          <c:y val="2.047155305317176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Lithology 50 Geotec'!$EC$13:$EC$17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'7. Lithology 50 Geotec'!$EC$13:$EC$17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cat>
          <c:val>
            <c:numRef>
              <c:f>'7. Lithology 50 Geotec'!$EJ$13:$EJ$17</c:f>
              <c:numCache>
                <c:formatCode>0%</c:formatCode>
                <c:ptCount val="5"/>
                <c:pt idx="0">
                  <c:v>0.56934306569343063</c:v>
                </c:pt>
                <c:pt idx="1">
                  <c:v>0.40145985401459855</c:v>
                </c:pt>
                <c:pt idx="2">
                  <c:v>0</c:v>
                </c:pt>
                <c:pt idx="3">
                  <c:v>2.9197080291970802E-2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5-4468-9B3D-83645C9F4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Filling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Filling</a:t>
            </a:r>
          </a:p>
        </c:rich>
      </c:tx>
      <c:layout>
        <c:manualLayout>
          <c:xMode val="edge"/>
          <c:yMode val="edge"/>
          <c:x val="0.46247309794025293"/>
          <c:y val="2.047155305317176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Lithology 50 Geotec'!$EQ$13:$EQ$17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'7. Lithology 50 Geotec'!$EQ$13:$EQ$17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cat>
          <c:val>
            <c:numRef>
              <c:f>'7. Lithology 50 Geotec'!$EX$13:$EX$17</c:f>
              <c:numCache>
                <c:formatCode>0%</c:formatCode>
                <c:ptCount val="5"/>
                <c:pt idx="0">
                  <c:v>0.69343065693430661</c:v>
                </c:pt>
                <c:pt idx="1">
                  <c:v>0.27737226277372262</c:v>
                </c:pt>
                <c:pt idx="2">
                  <c:v>2.9197080291970802E-2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9-45B6-B29C-5F2C15E0D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Filling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RMR</a:t>
            </a:r>
          </a:p>
        </c:rich>
      </c:tx>
      <c:layout>
        <c:manualLayout>
          <c:xMode val="edge"/>
          <c:yMode val="edge"/>
          <c:x val="0.52748467923137343"/>
          <c:y val="2.461283336247716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Lithology 50 Geotec'!$CH$61:$CH$65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'7. Lithology 50 Geotec'!$CH$61:$CH$65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'7. Lithology 50 Geotec'!$CO$61:$CO$65</c:f>
              <c:numCache>
                <c:formatCode>0%</c:formatCode>
                <c:ptCount val="5"/>
                <c:pt idx="0">
                  <c:v>0.44525547445255476</c:v>
                </c:pt>
                <c:pt idx="1">
                  <c:v>0.5036496350364964</c:v>
                </c:pt>
                <c:pt idx="2">
                  <c:v>5.1094890510948905E-2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7-4322-93A8-0605E135C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RMR76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RMR</a:t>
            </a:r>
          </a:p>
        </c:rich>
      </c:tx>
      <c:layout>
        <c:manualLayout>
          <c:xMode val="edge"/>
          <c:yMode val="edge"/>
          <c:x val="0.52748467923137343"/>
          <c:y val="2.461283336247716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Lithology 50 Geotec'!$CH$94:$CH$98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'7. Lithology 50 Geotec'!$CH$94:$CH$98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'7. Lithology 50 Geotec'!$CO$94:$CO$98</c:f>
              <c:numCache>
                <c:formatCode>0%</c:formatCode>
                <c:ptCount val="5"/>
                <c:pt idx="0">
                  <c:v>0.25547445255474455</c:v>
                </c:pt>
                <c:pt idx="1">
                  <c:v>0.7007299270072993</c:v>
                </c:pt>
                <c:pt idx="2">
                  <c:v>4.3795620437956206E-2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F-4C58-8E33-5670F78F2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RMR89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260310706018809"/>
                  <c:y val="-4.5126426653626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'8. Lithology 20 Geotec'!$BM$2:$BM$68</c:f>
              <c:numCache>
                <c:formatCode>0.0</c:formatCode>
                <c:ptCount val="67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29</c:v>
                </c:pt>
                <c:pt idx="10">
                  <c:v>29</c:v>
                </c:pt>
                <c:pt idx="11">
                  <c:v>25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24</c:v>
                </c:pt>
                <c:pt idx="16">
                  <c:v>22</c:v>
                </c:pt>
                <c:pt idx="17">
                  <c:v>35</c:v>
                </c:pt>
                <c:pt idx="18">
                  <c:v>25</c:v>
                </c:pt>
                <c:pt idx="19">
                  <c:v>22</c:v>
                </c:pt>
                <c:pt idx="20">
                  <c:v>31</c:v>
                </c:pt>
                <c:pt idx="21">
                  <c:v>23</c:v>
                </c:pt>
                <c:pt idx="22">
                  <c:v>31</c:v>
                </c:pt>
                <c:pt idx="23">
                  <c:v>31</c:v>
                </c:pt>
                <c:pt idx="24">
                  <c:v>34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25</c:v>
                </c:pt>
                <c:pt idx="31">
                  <c:v>24</c:v>
                </c:pt>
                <c:pt idx="32">
                  <c:v>24</c:v>
                </c:pt>
                <c:pt idx="33">
                  <c:v>31</c:v>
                </c:pt>
                <c:pt idx="34">
                  <c:v>30</c:v>
                </c:pt>
                <c:pt idx="35">
                  <c:v>29</c:v>
                </c:pt>
                <c:pt idx="36">
                  <c:v>25</c:v>
                </c:pt>
                <c:pt idx="37">
                  <c:v>24</c:v>
                </c:pt>
                <c:pt idx="38">
                  <c:v>37</c:v>
                </c:pt>
                <c:pt idx="39">
                  <c:v>23</c:v>
                </c:pt>
                <c:pt idx="40">
                  <c:v>38</c:v>
                </c:pt>
                <c:pt idx="41">
                  <c:v>22</c:v>
                </c:pt>
                <c:pt idx="42">
                  <c:v>31</c:v>
                </c:pt>
                <c:pt idx="43">
                  <c:v>31</c:v>
                </c:pt>
                <c:pt idx="44">
                  <c:v>22</c:v>
                </c:pt>
                <c:pt idx="45">
                  <c:v>25</c:v>
                </c:pt>
                <c:pt idx="46">
                  <c:v>34</c:v>
                </c:pt>
                <c:pt idx="47">
                  <c:v>38</c:v>
                </c:pt>
                <c:pt idx="48">
                  <c:v>22</c:v>
                </c:pt>
                <c:pt idx="49">
                  <c:v>31</c:v>
                </c:pt>
                <c:pt idx="50">
                  <c:v>36</c:v>
                </c:pt>
                <c:pt idx="51">
                  <c:v>41</c:v>
                </c:pt>
                <c:pt idx="52">
                  <c:v>30</c:v>
                </c:pt>
                <c:pt idx="53">
                  <c:v>31</c:v>
                </c:pt>
                <c:pt idx="54">
                  <c:v>28</c:v>
                </c:pt>
                <c:pt idx="55">
                  <c:v>33</c:v>
                </c:pt>
                <c:pt idx="56">
                  <c:v>37</c:v>
                </c:pt>
                <c:pt idx="57">
                  <c:v>58</c:v>
                </c:pt>
                <c:pt idx="58">
                  <c:v>42</c:v>
                </c:pt>
                <c:pt idx="59">
                  <c:v>23</c:v>
                </c:pt>
                <c:pt idx="60">
                  <c:v>38</c:v>
                </c:pt>
                <c:pt idx="61">
                  <c:v>27</c:v>
                </c:pt>
                <c:pt idx="62">
                  <c:v>23</c:v>
                </c:pt>
                <c:pt idx="63">
                  <c:v>23</c:v>
                </c:pt>
                <c:pt idx="64">
                  <c:v>46</c:v>
                </c:pt>
                <c:pt idx="65">
                  <c:v>28</c:v>
                </c:pt>
                <c:pt idx="66">
                  <c:v>27</c:v>
                </c:pt>
              </c:numCache>
            </c:numRef>
          </c:xVal>
          <c:yVal>
            <c:numRef>
              <c:f>'8. Lithology 20 Geotec'!$BN$2:$BN$68</c:f>
              <c:numCache>
                <c:formatCode>General</c:formatCode>
                <c:ptCount val="67"/>
                <c:pt idx="0">
                  <c:v>30</c:v>
                </c:pt>
                <c:pt idx="1">
                  <c:v>29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35</c:v>
                </c:pt>
                <c:pt idx="10">
                  <c:v>35</c:v>
                </c:pt>
                <c:pt idx="11">
                  <c:v>29</c:v>
                </c:pt>
                <c:pt idx="12">
                  <c:v>24</c:v>
                </c:pt>
                <c:pt idx="13">
                  <c:v>25</c:v>
                </c:pt>
                <c:pt idx="14">
                  <c:v>24</c:v>
                </c:pt>
                <c:pt idx="15">
                  <c:v>31</c:v>
                </c:pt>
                <c:pt idx="16">
                  <c:v>27</c:v>
                </c:pt>
                <c:pt idx="17">
                  <c:v>39</c:v>
                </c:pt>
                <c:pt idx="18">
                  <c:v>31</c:v>
                </c:pt>
                <c:pt idx="19">
                  <c:v>28</c:v>
                </c:pt>
                <c:pt idx="20">
                  <c:v>36</c:v>
                </c:pt>
                <c:pt idx="21">
                  <c:v>28</c:v>
                </c:pt>
                <c:pt idx="22">
                  <c:v>35</c:v>
                </c:pt>
                <c:pt idx="23">
                  <c:v>36</c:v>
                </c:pt>
                <c:pt idx="24">
                  <c:v>39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35</c:v>
                </c:pt>
                <c:pt idx="34">
                  <c:v>35</c:v>
                </c:pt>
                <c:pt idx="35">
                  <c:v>34</c:v>
                </c:pt>
                <c:pt idx="36">
                  <c:v>31</c:v>
                </c:pt>
                <c:pt idx="37">
                  <c:v>31</c:v>
                </c:pt>
                <c:pt idx="38">
                  <c:v>41</c:v>
                </c:pt>
                <c:pt idx="39">
                  <c:v>29</c:v>
                </c:pt>
                <c:pt idx="40">
                  <c:v>40</c:v>
                </c:pt>
                <c:pt idx="41">
                  <c:v>28</c:v>
                </c:pt>
                <c:pt idx="42">
                  <c:v>37</c:v>
                </c:pt>
                <c:pt idx="43">
                  <c:v>36</c:v>
                </c:pt>
                <c:pt idx="44">
                  <c:v>27</c:v>
                </c:pt>
                <c:pt idx="45">
                  <c:v>30</c:v>
                </c:pt>
                <c:pt idx="46">
                  <c:v>37</c:v>
                </c:pt>
                <c:pt idx="47">
                  <c:v>40</c:v>
                </c:pt>
                <c:pt idx="48">
                  <c:v>28</c:v>
                </c:pt>
                <c:pt idx="49">
                  <c:v>37</c:v>
                </c:pt>
                <c:pt idx="50">
                  <c:v>39</c:v>
                </c:pt>
                <c:pt idx="51">
                  <c:v>44</c:v>
                </c:pt>
                <c:pt idx="52">
                  <c:v>33</c:v>
                </c:pt>
                <c:pt idx="53">
                  <c:v>35</c:v>
                </c:pt>
                <c:pt idx="54">
                  <c:v>33</c:v>
                </c:pt>
                <c:pt idx="55">
                  <c:v>37</c:v>
                </c:pt>
                <c:pt idx="56">
                  <c:v>40</c:v>
                </c:pt>
                <c:pt idx="57">
                  <c:v>57</c:v>
                </c:pt>
                <c:pt idx="58">
                  <c:v>44</c:v>
                </c:pt>
                <c:pt idx="59">
                  <c:v>29</c:v>
                </c:pt>
                <c:pt idx="60">
                  <c:v>41</c:v>
                </c:pt>
                <c:pt idx="61">
                  <c:v>32</c:v>
                </c:pt>
                <c:pt idx="62">
                  <c:v>29</c:v>
                </c:pt>
                <c:pt idx="63">
                  <c:v>28</c:v>
                </c:pt>
                <c:pt idx="64">
                  <c:v>48</c:v>
                </c:pt>
                <c:pt idx="65">
                  <c:v>33</c:v>
                </c:pt>
                <c:pt idx="66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8C-4123-AC1D-4943F71DD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016799"/>
        <c:axId val="1201991839"/>
      </c:scatterChart>
      <c:valAx>
        <c:axId val="120201679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91839"/>
        <c:crosses val="autoZero"/>
        <c:crossBetween val="midCat"/>
      </c:valAx>
      <c:valAx>
        <c:axId val="1201991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01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Persistence</a:t>
            </a:r>
          </a:p>
        </c:rich>
      </c:tx>
      <c:layout>
        <c:manualLayout>
          <c:xMode val="edge"/>
          <c:yMode val="edge"/>
          <c:x val="0.45016652874019986"/>
          <c:y val="2.2519797974746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Lithology 20 Geotec'!$CE$15:$CE$19</c:f>
              <c:strCache>
                <c:ptCount val="5"/>
                <c:pt idx="0">
                  <c:v>P5</c:v>
                </c:pt>
                <c:pt idx="1">
                  <c:v>P4</c:v>
                </c:pt>
                <c:pt idx="2">
                  <c:v>P3</c:v>
                </c:pt>
                <c:pt idx="3">
                  <c:v>P2</c:v>
                </c:pt>
                <c:pt idx="4">
                  <c:v>P1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'6. Litologia 30 Geotec'!$CG$14:$CG$18</c:f>
              <c:strCache>
                <c:ptCount val="5"/>
                <c:pt idx="0">
                  <c:v>P5</c:v>
                </c:pt>
                <c:pt idx="1">
                  <c:v>P4</c:v>
                </c:pt>
                <c:pt idx="2">
                  <c:v>P3</c:v>
                </c:pt>
                <c:pt idx="3">
                  <c:v>P2</c:v>
                </c:pt>
                <c:pt idx="4">
                  <c:v>P1</c:v>
                </c:pt>
              </c:strCache>
            </c:strRef>
          </c:cat>
          <c:val>
            <c:numRef>
              <c:f>'8. Lithology 20 Geotec'!$CL$15:$CL$19</c:f>
              <c:numCache>
                <c:formatCode>0%</c:formatCode>
                <c:ptCount val="5"/>
                <c:pt idx="0">
                  <c:v>5.9701492537313432E-2</c:v>
                </c:pt>
                <c:pt idx="1">
                  <c:v>0.88059701492537312</c:v>
                </c:pt>
                <c:pt idx="2">
                  <c:v>5.9701492537313432E-2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7-470D-ABCC-0C5FFEA5E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Persistence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Aperture</a:t>
            </a:r>
          </a:p>
        </c:rich>
      </c:tx>
      <c:layout>
        <c:manualLayout>
          <c:xMode val="edge"/>
          <c:yMode val="edge"/>
          <c:x val="0.45016652874019986"/>
          <c:y val="2.2519797974746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Lithology 20 Geotec'!$CR$15:$CR$19</c:f>
              <c:strCache>
                <c:ptCount val="5"/>
                <c:pt idx="0">
                  <c:v>A4</c:v>
                </c:pt>
                <c:pt idx="1">
                  <c:v>A3</c:v>
                </c:pt>
                <c:pt idx="2">
                  <c:v>A2</c:v>
                </c:pt>
                <c:pt idx="3">
                  <c:v>A1</c:v>
                </c:pt>
                <c:pt idx="4">
                  <c:v>A0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'8. Lithology 20 Geotec'!$CR$15:$CR$19</c:f>
              <c:strCache>
                <c:ptCount val="5"/>
                <c:pt idx="0">
                  <c:v>A4</c:v>
                </c:pt>
                <c:pt idx="1">
                  <c:v>A3</c:v>
                </c:pt>
                <c:pt idx="2">
                  <c:v>A2</c:v>
                </c:pt>
                <c:pt idx="3">
                  <c:v>A1</c:v>
                </c:pt>
                <c:pt idx="4">
                  <c:v>A0</c:v>
                </c:pt>
              </c:strCache>
            </c:strRef>
          </c:cat>
          <c:val>
            <c:numRef>
              <c:f>'8. Lithology 20 Geotec'!$CY$15:$CY$19</c:f>
              <c:numCache>
                <c:formatCode>0%</c:formatCode>
                <c:ptCount val="5"/>
                <c:pt idx="0">
                  <c:v>7.4626865671641784E-2</c:v>
                </c:pt>
                <c:pt idx="1">
                  <c:v>0.91044776119402981</c:v>
                </c:pt>
                <c:pt idx="2">
                  <c:v>1.4925373134328358E-2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0-4A59-9418-11A1A28BA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Aperture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RQD</a:t>
            </a:r>
          </a:p>
        </c:rich>
      </c:tx>
      <c:layout>
        <c:manualLayout>
          <c:xMode val="edge"/>
          <c:yMode val="edge"/>
          <c:x val="0.45016652874019986"/>
          <c:y val="2.2519797974746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Lithology 20 Geotec'!$DH$14:$DH$18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'8. Lithology 20 Geotec'!$DH$14:$DH$18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cat>
          <c:val>
            <c:numRef>
              <c:f>'8. Lithology 20 Geotec'!$DO$14:$DO$18</c:f>
              <c:numCache>
                <c:formatCode>0%</c:formatCode>
                <c:ptCount val="5"/>
                <c:pt idx="0">
                  <c:v>0.58208955223880599</c:v>
                </c:pt>
                <c:pt idx="1">
                  <c:v>0.22388059701492538</c:v>
                </c:pt>
                <c:pt idx="2">
                  <c:v>0.14925373134328357</c:v>
                </c:pt>
                <c:pt idx="3">
                  <c:v>2.9850746268656716E-2</c:v>
                </c:pt>
                <c:pt idx="4">
                  <c:v>1.4925373134328358E-2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4-49F3-96A9-F8978350A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RQD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Roughness</a:t>
            </a:r>
            <a:r>
              <a:rPr lang="pt-BR" baseline="0"/>
              <a:t> </a:t>
            </a:r>
            <a:endParaRPr lang="pt-BR"/>
          </a:p>
        </c:rich>
      </c:tx>
      <c:layout>
        <c:manualLayout>
          <c:xMode val="edge"/>
          <c:yMode val="edge"/>
          <c:x val="0.45016652874019986"/>
          <c:y val="2.2519797974746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Lithology 20 Geotec'!$DR$14:$DR$18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'8. Lithology 20 Geotec'!$DR$14:$DR$18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cat>
          <c:val>
            <c:numRef>
              <c:f>'8. Lithology 20 Geotec'!$DY$14:$DY$18</c:f>
              <c:numCache>
                <c:formatCode>0%</c:formatCode>
                <c:ptCount val="5"/>
                <c:pt idx="0">
                  <c:v>0</c:v>
                </c:pt>
                <c:pt idx="1">
                  <c:v>0.43283582089552236</c:v>
                </c:pt>
                <c:pt idx="2">
                  <c:v>0.56716417910447758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D-4212-B29F-8EC3C4E25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Roughness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Filling</a:t>
            </a:r>
          </a:p>
        </c:rich>
      </c:tx>
      <c:layout>
        <c:manualLayout>
          <c:xMode val="edge"/>
          <c:yMode val="edge"/>
          <c:x val="0.45016652874019986"/>
          <c:y val="2.2519797974746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Lithology 20 Geotec'!$EC$14:$EC$18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'8. Lithology 20 Geotec'!$EC$14:$EC$18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cat>
          <c:val>
            <c:numRef>
              <c:f>'8. Lithology 20 Geotec'!$EJ$14:$EJ$18</c:f>
              <c:numCache>
                <c:formatCode>0%</c:formatCode>
                <c:ptCount val="5"/>
                <c:pt idx="0">
                  <c:v>0.13432835820895522</c:v>
                </c:pt>
                <c:pt idx="1">
                  <c:v>0.86567164179104472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C-455D-B5F8-CE28857D4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Filling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Weathering</a:t>
            </a:r>
            <a:r>
              <a:rPr lang="pt-BR" baseline="0"/>
              <a:t> </a:t>
            </a:r>
            <a:endParaRPr lang="pt-BR"/>
          </a:p>
        </c:rich>
      </c:tx>
      <c:layout>
        <c:manualLayout>
          <c:xMode val="edge"/>
          <c:yMode val="edge"/>
          <c:x val="0.45016652874019986"/>
          <c:y val="2.2519797974746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Lithology 20 Geotec'!$EQ$14:$EQ$18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'8. Lithology 20 Geotec'!$EQ$14:$EQ$18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cat>
          <c:val>
            <c:numRef>
              <c:f>'8. Lithology 20 Geotec'!$EX$14:$EX$18</c:f>
              <c:numCache>
                <c:formatCode>0%</c:formatCode>
                <c:ptCount val="5"/>
                <c:pt idx="0">
                  <c:v>0.40298507462686567</c:v>
                </c:pt>
                <c:pt idx="1">
                  <c:v>0.53731343283582089</c:v>
                </c:pt>
                <c:pt idx="2">
                  <c:v>5.9701492537313432E-2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2-4325-A718-DD37C0232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Weathering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RMR</a:t>
            </a:r>
          </a:p>
        </c:rich>
      </c:tx>
      <c:layout>
        <c:manualLayout>
          <c:xMode val="edge"/>
          <c:yMode val="edge"/>
          <c:x val="0.52748467923137343"/>
          <c:y val="2.461283336247716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Lithology 20 Geotec'!$CF$63:$CF$67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'8. Lithology 20 Geotec'!$CF$63:$CF$67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'8. Lithology 20 Geotec'!$CM$63:$CM$67</c:f>
              <c:numCache>
                <c:formatCode>0%</c:formatCode>
                <c:ptCount val="5"/>
                <c:pt idx="0">
                  <c:v>4.4776119402985072E-2</c:v>
                </c:pt>
                <c:pt idx="1">
                  <c:v>0.89552238805970152</c:v>
                </c:pt>
                <c:pt idx="2">
                  <c:v>5.9701492537313432E-2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0-4211-BC55-AB504F20F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RMR76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RMR</a:t>
            </a:r>
          </a:p>
        </c:rich>
      </c:tx>
      <c:layout>
        <c:manualLayout>
          <c:xMode val="edge"/>
          <c:yMode val="edge"/>
          <c:x val="0.52748467923137343"/>
          <c:y val="2.461283336247716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Lithology 20 Geotec'!$CF$73:$CF$77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'8. Lithology 20 Geotec'!$CF$73:$CF$77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'8. Lithology 20 Geotec'!$CM$73:$CM$77</c:f>
              <c:numCache>
                <c:formatCode>0%</c:formatCode>
                <c:ptCount val="5"/>
                <c:pt idx="0">
                  <c:v>0</c:v>
                </c:pt>
                <c:pt idx="1">
                  <c:v>0.91044776119402981</c:v>
                </c:pt>
                <c:pt idx="2">
                  <c:v>8.9552238805970144E-2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5-4D64-A971-22984730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RMR76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0471460666948464E-2"/>
          <c:y val="8.5748186573205432E-2"/>
          <c:w val="0.89758920683237631"/>
          <c:h val="0.86061985364430205"/>
        </c:manualLayout>
      </c:layout>
      <c:scatterChart>
        <c:scatterStyle val="lineMarker"/>
        <c:varyColors val="0"/>
        <c:ser>
          <c:idx val="0"/>
          <c:order val="0"/>
          <c:tx>
            <c:v>Relacion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2135209141763209E-2"/>
                  <c:y val="-2.864533584084865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400" b="1" baseline="0"/>
                      <a:t>y = 0,902x + 7,4644</a:t>
                    </a:r>
                    <a:br>
                      <a:rPr lang="en-US" sz="2400" b="1" baseline="0"/>
                    </a:br>
                    <a:r>
                      <a:rPr lang="en-US" sz="2400" b="1" baseline="0"/>
                      <a:t>R² = 0,9794</a:t>
                    </a:r>
                    <a:endParaRPr lang="en-US" sz="44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'10. Lithology 10 Geotec'!$BM$2:$BM$83</c:f>
              <c:numCache>
                <c:formatCode>0.0</c:formatCode>
                <c:ptCount val="82"/>
                <c:pt idx="0">
                  <c:v>47</c:v>
                </c:pt>
                <c:pt idx="1">
                  <c:v>49</c:v>
                </c:pt>
                <c:pt idx="2">
                  <c:v>71</c:v>
                </c:pt>
                <c:pt idx="3">
                  <c:v>57</c:v>
                </c:pt>
                <c:pt idx="4">
                  <c:v>76</c:v>
                </c:pt>
                <c:pt idx="5">
                  <c:v>47</c:v>
                </c:pt>
                <c:pt idx="6">
                  <c:v>45</c:v>
                </c:pt>
                <c:pt idx="7">
                  <c:v>46</c:v>
                </c:pt>
                <c:pt idx="8">
                  <c:v>65</c:v>
                </c:pt>
                <c:pt idx="9">
                  <c:v>60</c:v>
                </c:pt>
                <c:pt idx="10">
                  <c:v>55</c:v>
                </c:pt>
                <c:pt idx="11">
                  <c:v>62</c:v>
                </c:pt>
                <c:pt idx="12">
                  <c:v>63</c:v>
                </c:pt>
                <c:pt idx="13">
                  <c:v>61</c:v>
                </c:pt>
                <c:pt idx="14">
                  <c:v>52</c:v>
                </c:pt>
                <c:pt idx="15">
                  <c:v>45</c:v>
                </c:pt>
                <c:pt idx="16">
                  <c:v>48</c:v>
                </c:pt>
                <c:pt idx="17">
                  <c:v>70</c:v>
                </c:pt>
                <c:pt idx="18">
                  <c:v>55</c:v>
                </c:pt>
                <c:pt idx="19">
                  <c:v>47</c:v>
                </c:pt>
                <c:pt idx="20">
                  <c:v>33</c:v>
                </c:pt>
                <c:pt idx="21">
                  <c:v>50</c:v>
                </c:pt>
                <c:pt idx="22">
                  <c:v>46</c:v>
                </c:pt>
                <c:pt idx="23">
                  <c:v>33</c:v>
                </c:pt>
                <c:pt idx="24">
                  <c:v>44</c:v>
                </c:pt>
                <c:pt idx="25">
                  <c:v>46</c:v>
                </c:pt>
                <c:pt idx="26">
                  <c:v>42</c:v>
                </c:pt>
                <c:pt idx="27">
                  <c:v>21</c:v>
                </c:pt>
                <c:pt idx="28">
                  <c:v>43</c:v>
                </c:pt>
                <c:pt idx="29">
                  <c:v>50</c:v>
                </c:pt>
                <c:pt idx="30">
                  <c:v>35</c:v>
                </c:pt>
                <c:pt idx="31">
                  <c:v>44</c:v>
                </c:pt>
                <c:pt idx="32">
                  <c:v>46</c:v>
                </c:pt>
                <c:pt idx="33">
                  <c:v>37</c:v>
                </c:pt>
                <c:pt idx="34">
                  <c:v>43</c:v>
                </c:pt>
                <c:pt idx="35">
                  <c:v>31</c:v>
                </c:pt>
                <c:pt idx="36">
                  <c:v>31</c:v>
                </c:pt>
                <c:pt idx="37">
                  <c:v>27</c:v>
                </c:pt>
                <c:pt idx="38">
                  <c:v>28</c:v>
                </c:pt>
                <c:pt idx="39">
                  <c:v>28</c:v>
                </c:pt>
                <c:pt idx="40">
                  <c:v>29</c:v>
                </c:pt>
                <c:pt idx="41">
                  <c:v>34</c:v>
                </c:pt>
                <c:pt idx="42">
                  <c:v>29</c:v>
                </c:pt>
                <c:pt idx="43">
                  <c:v>49</c:v>
                </c:pt>
                <c:pt idx="44">
                  <c:v>36</c:v>
                </c:pt>
                <c:pt idx="45">
                  <c:v>35</c:v>
                </c:pt>
                <c:pt idx="46">
                  <c:v>28</c:v>
                </c:pt>
                <c:pt idx="47">
                  <c:v>34</c:v>
                </c:pt>
                <c:pt idx="48">
                  <c:v>28</c:v>
                </c:pt>
                <c:pt idx="49">
                  <c:v>40</c:v>
                </c:pt>
                <c:pt idx="50">
                  <c:v>60</c:v>
                </c:pt>
                <c:pt idx="51">
                  <c:v>36</c:v>
                </c:pt>
                <c:pt idx="52">
                  <c:v>29</c:v>
                </c:pt>
                <c:pt idx="53">
                  <c:v>29</c:v>
                </c:pt>
                <c:pt idx="54">
                  <c:v>45</c:v>
                </c:pt>
                <c:pt idx="55">
                  <c:v>38</c:v>
                </c:pt>
                <c:pt idx="56">
                  <c:v>38</c:v>
                </c:pt>
                <c:pt idx="57">
                  <c:v>37</c:v>
                </c:pt>
                <c:pt idx="58">
                  <c:v>34</c:v>
                </c:pt>
                <c:pt idx="59">
                  <c:v>27</c:v>
                </c:pt>
                <c:pt idx="60">
                  <c:v>31</c:v>
                </c:pt>
                <c:pt idx="61">
                  <c:v>21</c:v>
                </c:pt>
                <c:pt idx="62">
                  <c:v>21</c:v>
                </c:pt>
                <c:pt idx="63">
                  <c:v>57</c:v>
                </c:pt>
                <c:pt idx="64">
                  <c:v>48</c:v>
                </c:pt>
                <c:pt idx="65">
                  <c:v>53</c:v>
                </c:pt>
                <c:pt idx="66">
                  <c:v>43</c:v>
                </c:pt>
                <c:pt idx="67">
                  <c:v>48</c:v>
                </c:pt>
                <c:pt idx="68">
                  <c:v>44</c:v>
                </c:pt>
                <c:pt idx="69">
                  <c:v>59</c:v>
                </c:pt>
                <c:pt idx="70">
                  <c:v>48</c:v>
                </c:pt>
                <c:pt idx="71">
                  <c:v>46</c:v>
                </c:pt>
                <c:pt idx="72">
                  <c:v>46</c:v>
                </c:pt>
                <c:pt idx="73">
                  <c:v>47</c:v>
                </c:pt>
                <c:pt idx="74">
                  <c:v>49</c:v>
                </c:pt>
                <c:pt idx="75">
                  <c:v>56</c:v>
                </c:pt>
                <c:pt idx="76">
                  <c:v>52</c:v>
                </c:pt>
                <c:pt idx="77">
                  <c:v>56</c:v>
                </c:pt>
                <c:pt idx="78">
                  <c:v>61</c:v>
                </c:pt>
                <c:pt idx="79">
                  <c:v>56</c:v>
                </c:pt>
                <c:pt idx="80">
                  <c:v>48</c:v>
                </c:pt>
                <c:pt idx="81">
                  <c:v>49</c:v>
                </c:pt>
              </c:numCache>
            </c:numRef>
          </c:xVal>
          <c:yVal>
            <c:numRef>
              <c:f>'10. Lithology 10 Geotec'!$BN$2:$BN$83</c:f>
              <c:numCache>
                <c:formatCode>General</c:formatCode>
                <c:ptCount val="82"/>
                <c:pt idx="0">
                  <c:v>55</c:v>
                </c:pt>
                <c:pt idx="1">
                  <c:v>53</c:v>
                </c:pt>
                <c:pt idx="2">
                  <c:v>72</c:v>
                </c:pt>
                <c:pt idx="3">
                  <c:v>62</c:v>
                </c:pt>
                <c:pt idx="4">
                  <c:v>75</c:v>
                </c:pt>
                <c:pt idx="5">
                  <c:v>53</c:v>
                </c:pt>
                <c:pt idx="6">
                  <c:v>52</c:v>
                </c:pt>
                <c:pt idx="7">
                  <c:v>51</c:v>
                </c:pt>
                <c:pt idx="8">
                  <c:v>67</c:v>
                </c:pt>
                <c:pt idx="9">
                  <c:v>61</c:v>
                </c:pt>
                <c:pt idx="10">
                  <c:v>59</c:v>
                </c:pt>
                <c:pt idx="11">
                  <c:v>65</c:v>
                </c:pt>
                <c:pt idx="12">
                  <c:v>66</c:v>
                </c:pt>
                <c:pt idx="13">
                  <c:v>64</c:v>
                </c:pt>
                <c:pt idx="14">
                  <c:v>55</c:v>
                </c:pt>
                <c:pt idx="15">
                  <c:v>51</c:v>
                </c:pt>
                <c:pt idx="16">
                  <c:v>52</c:v>
                </c:pt>
                <c:pt idx="17">
                  <c:v>70</c:v>
                </c:pt>
                <c:pt idx="18">
                  <c:v>60</c:v>
                </c:pt>
                <c:pt idx="19">
                  <c:v>54</c:v>
                </c:pt>
                <c:pt idx="20">
                  <c:v>38</c:v>
                </c:pt>
                <c:pt idx="21">
                  <c:v>52</c:v>
                </c:pt>
                <c:pt idx="22">
                  <c:v>48</c:v>
                </c:pt>
                <c:pt idx="23">
                  <c:v>37</c:v>
                </c:pt>
                <c:pt idx="24">
                  <c:v>47</c:v>
                </c:pt>
                <c:pt idx="25">
                  <c:v>49</c:v>
                </c:pt>
                <c:pt idx="26">
                  <c:v>45</c:v>
                </c:pt>
                <c:pt idx="27">
                  <c:v>26</c:v>
                </c:pt>
                <c:pt idx="28">
                  <c:v>44</c:v>
                </c:pt>
                <c:pt idx="29">
                  <c:v>52</c:v>
                </c:pt>
                <c:pt idx="30">
                  <c:v>40</c:v>
                </c:pt>
                <c:pt idx="31">
                  <c:v>46</c:v>
                </c:pt>
                <c:pt idx="32">
                  <c:v>47</c:v>
                </c:pt>
                <c:pt idx="33">
                  <c:v>41</c:v>
                </c:pt>
                <c:pt idx="34">
                  <c:v>45</c:v>
                </c:pt>
                <c:pt idx="35">
                  <c:v>35</c:v>
                </c:pt>
                <c:pt idx="36">
                  <c:v>36</c:v>
                </c:pt>
                <c:pt idx="37">
                  <c:v>32</c:v>
                </c:pt>
                <c:pt idx="38">
                  <c:v>31</c:v>
                </c:pt>
                <c:pt idx="39">
                  <c:v>32</c:v>
                </c:pt>
                <c:pt idx="40">
                  <c:v>33</c:v>
                </c:pt>
                <c:pt idx="41">
                  <c:v>39</c:v>
                </c:pt>
                <c:pt idx="42">
                  <c:v>34</c:v>
                </c:pt>
                <c:pt idx="43">
                  <c:v>50</c:v>
                </c:pt>
                <c:pt idx="44">
                  <c:v>41</c:v>
                </c:pt>
                <c:pt idx="45">
                  <c:v>40</c:v>
                </c:pt>
                <c:pt idx="46">
                  <c:v>33</c:v>
                </c:pt>
                <c:pt idx="47">
                  <c:v>39</c:v>
                </c:pt>
                <c:pt idx="48">
                  <c:v>34</c:v>
                </c:pt>
                <c:pt idx="49">
                  <c:v>43</c:v>
                </c:pt>
                <c:pt idx="50">
                  <c:v>58</c:v>
                </c:pt>
                <c:pt idx="51">
                  <c:v>40</c:v>
                </c:pt>
                <c:pt idx="52">
                  <c:v>33</c:v>
                </c:pt>
                <c:pt idx="53">
                  <c:v>33</c:v>
                </c:pt>
                <c:pt idx="54">
                  <c:v>48</c:v>
                </c:pt>
                <c:pt idx="55">
                  <c:v>40</c:v>
                </c:pt>
                <c:pt idx="56">
                  <c:v>42</c:v>
                </c:pt>
                <c:pt idx="57">
                  <c:v>41</c:v>
                </c:pt>
                <c:pt idx="58">
                  <c:v>38</c:v>
                </c:pt>
                <c:pt idx="59">
                  <c:v>32</c:v>
                </c:pt>
                <c:pt idx="60">
                  <c:v>35</c:v>
                </c:pt>
                <c:pt idx="61">
                  <c:v>26</c:v>
                </c:pt>
                <c:pt idx="62">
                  <c:v>25</c:v>
                </c:pt>
                <c:pt idx="63">
                  <c:v>58</c:v>
                </c:pt>
                <c:pt idx="64">
                  <c:v>50</c:v>
                </c:pt>
                <c:pt idx="65">
                  <c:v>55</c:v>
                </c:pt>
                <c:pt idx="66">
                  <c:v>46</c:v>
                </c:pt>
                <c:pt idx="67">
                  <c:v>51</c:v>
                </c:pt>
                <c:pt idx="68">
                  <c:v>46</c:v>
                </c:pt>
                <c:pt idx="69">
                  <c:v>59</c:v>
                </c:pt>
                <c:pt idx="70">
                  <c:v>50</c:v>
                </c:pt>
                <c:pt idx="71">
                  <c:v>49</c:v>
                </c:pt>
                <c:pt idx="72">
                  <c:v>49</c:v>
                </c:pt>
                <c:pt idx="73">
                  <c:v>49</c:v>
                </c:pt>
                <c:pt idx="74">
                  <c:v>49</c:v>
                </c:pt>
                <c:pt idx="75">
                  <c:v>57</c:v>
                </c:pt>
                <c:pt idx="76">
                  <c:v>53</c:v>
                </c:pt>
                <c:pt idx="77">
                  <c:v>56</c:v>
                </c:pt>
                <c:pt idx="78">
                  <c:v>59</c:v>
                </c:pt>
                <c:pt idx="79">
                  <c:v>57</c:v>
                </c:pt>
                <c:pt idx="80">
                  <c:v>49</c:v>
                </c:pt>
                <c:pt idx="8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22-4BE0-8190-352448938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016799"/>
        <c:axId val="1201991839"/>
      </c:scatterChart>
      <c:valAx>
        <c:axId val="120201679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91839"/>
        <c:crosses val="autoZero"/>
        <c:crossBetween val="midCat"/>
      </c:valAx>
      <c:valAx>
        <c:axId val="1201991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01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Persistence</a:t>
            </a:r>
          </a:p>
        </c:rich>
      </c:tx>
      <c:layout>
        <c:manualLayout>
          <c:xMode val="edge"/>
          <c:yMode val="edge"/>
          <c:x val="0.45016652874019986"/>
          <c:y val="2.2519797974746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Lithology 10 Geotec'!$CE$13:$CE$17</c:f>
              <c:strCache>
                <c:ptCount val="5"/>
                <c:pt idx="0">
                  <c:v>P5</c:v>
                </c:pt>
                <c:pt idx="1">
                  <c:v>P4</c:v>
                </c:pt>
                <c:pt idx="2">
                  <c:v>P3</c:v>
                </c:pt>
                <c:pt idx="3">
                  <c:v>P2</c:v>
                </c:pt>
                <c:pt idx="4">
                  <c:v>P1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'10. Lithology 10 Geotec'!$CE$13:$CE$17</c:f>
              <c:strCache>
                <c:ptCount val="5"/>
                <c:pt idx="0">
                  <c:v>P5</c:v>
                </c:pt>
                <c:pt idx="1">
                  <c:v>P4</c:v>
                </c:pt>
                <c:pt idx="2">
                  <c:v>P3</c:v>
                </c:pt>
                <c:pt idx="3">
                  <c:v>P2</c:v>
                </c:pt>
                <c:pt idx="4">
                  <c:v>P1</c:v>
                </c:pt>
              </c:strCache>
            </c:strRef>
          </c:cat>
          <c:val>
            <c:numRef>
              <c:f>'10. Lithology 10 Geotec'!$CL$13:$CL$17</c:f>
              <c:numCache>
                <c:formatCode>0%</c:formatCode>
                <c:ptCount val="5"/>
                <c:pt idx="0">
                  <c:v>1.2195121951219513E-2</c:v>
                </c:pt>
                <c:pt idx="1">
                  <c:v>0.12195121951219512</c:v>
                </c:pt>
                <c:pt idx="2">
                  <c:v>0.62195121951219512</c:v>
                </c:pt>
                <c:pt idx="3">
                  <c:v>0.24390243902439024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8-4898-9DD3-0C868F22F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Persistence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Aperture</a:t>
            </a:r>
          </a:p>
        </c:rich>
      </c:tx>
      <c:layout>
        <c:manualLayout>
          <c:xMode val="edge"/>
          <c:yMode val="edge"/>
          <c:x val="0.45016652874019986"/>
          <c:y val="2.2519797974746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Lithology 10 Geotec'!$CS$13:$CS$17</c:f>
              <c:strCache>
                <c:ptCount val="5"/>
                <c:pt idx="0">
                  <c:v>A4</c:v>
                </c:pt>
                <c:pt idx="1">
                  <c:v>A3</c:v>
                </c:pt>
                <c:pt idx="2">
                  <c:v>A2</c:v>
                </c:pt>
                <c:pt idx="3">
                  <c:v>A1</c:v>
                </c:pt>
                <c:pt idx="4">
                  <c:v>A0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'10. Lithology 10 Geotec'!$CS$13:$CS$17</c:f>
              <c:strCache>
                <c:ptCount val="5"/>
                <c:pt idx="0">
                  <c:v>A4</c:v>
                </c:pt>
                <c:pt idx="1">
                  <c:v>A3</c:v>
                </c:pt>
                <c:pt idx="2">
                  <c:v>A2</c:v>
                </c:pt>
                <c:pt idx="3">
                  <c:v>A1</c:v>
                </c:pt>
                <c:pt idx="4">
                  <c:v>A0</c:v>
                </c:pt>
              </c:strCache>
            </c:strRef>
          </c:cat>
          <c:val>
            <c:numRef>
              <c:f>'10. Lithology 10 Geotec'!$CZ$13:$CZ$17</c:f>
              <c:numCache>
                <c:formatCode>0%</c:formatCode>
                <c:ptCount val="5"/>
                <c:pt idx="0">
                  <c:v>7.3170731707317069E-2</c:v>
                </c:pt>
                <c:pt idx="1">
                  <c:v>0.18292682926829268</c:v>
                </c:pt>
                <c:pt idx="2">
                  <c:v>0.71951219512195119</c:v>
                </c:pt>
                <c:pt idx="3">
                  <c:v>2.4390243902439025E-2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7-4663-A3AD-7E953D410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Aperture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RQD</a:t>
            </a:r>
          </a:p>
        </c:rich>
      </c:tx>
      <c:layout>
        <c:manualLayout>
          <c:xMode val="edge"/>
          <c:yMode val="edge"/>
          <c:x val="0.50815514160858"/>
          <c:y val="2.251980990715827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Lithology 10 Geotec'!$DG$12:$DG$16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'10. Lithology 10 Geotec'!$DG$12:$DG$16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cat>
          <c:val>
            <c:numRef>
              <c:f>'10. Lithology 10 Geotec'!$DN$12:$DN$16</c:f>
              <c:numCache>
                <c:formatCode>0%</c:formatCode>
                <c:ptCount val="5"/>
                <c:pt idx="0">
                  <c:v>0.24390243902439024</c:v>
                </c:pt>
                <c:pt idx="1">
                  <c:v>0.31707317073170732</c:v>
                </c:pt>
                <c:pt idx="2">
                  <c:v>0.23170731707317074</c:v>
                </c:pt>
                <c:pt idx="3">
                  <c:v>0.12195121951219512</c:v>
                </c:pt>
                <c:pt idx="4">
                  <c:v>8.5365853658536592E-2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A-42A5-87B3-F1E7A5048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RQD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Roughness</a:t>
            </a:r>
          </a:p>
        </c:rich>
      </c:tx>
      <c:layout>
        <c:manualLayout>
          <c:xMode val="edge"/>
          <c:yMode val="edge"/>
          <c:x val="0.45895268220510588"/>
          <c:y val="2.054103946525209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Lithology 10 Geotec'!$DQ$12:$DQ$16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'10. Lithology 10 Geotec'!$DQ$12:$DQ$16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cat>
          <c:val>
            <c:numRef>
              <c:f>'10. Lithology 10 Geotec'!$DX$12:$DX$16</c:f>
              <c:numCache>
                <c:formatCode>0%</c:formatCode>
                <c:ptCount val="5"/>
                <c:pt idx="0">
                  <c:v>0</c:v>
                </c:pt>
                <c:pt idx="1">
                  <c:v>0.2073170731707317</c:v>
                </c:pt>
                <c:pt idx="2">
                  <c:v>0.58536585365853655</c:v>
                </c:pt>
                <c:pt idx="3">
                  <c:v>0.2073170731707317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F-4C16-8372-AAF8C7C4C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Roughness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Filling</a:t>
            </a:r>
          </a:p>
        </c:rich>
      </c:tx>
      <c:layout>
        <c:manualLayout>
          <c:xMode val="edge"/>
          <c:yMode val="edge"/>
          <c:x val="0.45895268220510588"/>
          <c:y val="2.054103946525209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Lithology 10 Geotec'!$EB$13:$EB$17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'10. Lithology 10 Geotec'!$EB$13:$EB$17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cat>
          <c:val>
            <c:numRef>
              <c:f>'10. Lithology 10 Geotec'!$EI$13:$EI$17</c:f>
              <c:numCache>
                <c:formatCode>0%</c:formatCode>
                <c:ptCount val="5"/>
                <c:pt idx="0">
                  <c:v>4.878048780487805E-2</c:v>
                </c:pt>
                <c:pt idx="1">
                  <c:v>0.68292682926829273</c:v>
                </c:pt>
                <c:pt idx="2">
                  <c:v>0</c:v>
                </c:pt>
                <c:pt idx="3">
                  <c:v>0.26829268292682928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A-47DF-BF7D-5289F26C9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Filling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Weathering</a:t>
            </a:r>
          </a:p>
        </c:rich>
      </c:tx>
      <c:layout>
        <c:manualLayout>
          <c:xMode val="edge"/>
          <c:yMode val="edge"/>
          <c:x val="0.45895268220510588"/>
          <c:y val="2.054103946525209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Lithology 10 Geotec'!$EO$15:$EO$19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'10. Lithology 10 Geotec'!$EO$15:$EO$19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cat>
          <c:val>
            <c:numRef>
              <c:f>'10. Lithology 10 Geotec'!$EV$15:$EV$19</c:f>
              <c:numCache>
                <c:formatCode>0%</c:formatCode>
                <c:ptCount val="5"/>
                <c:pt idx="0">
                  <c:v>0.10975609756097561</c:v>
                </c:pt>
                <c:pt idx="1">
                  <c:v>0.3902439024390244</c:v>
                </c:pt>
                <c:pt idx="2">
                  <c:v>0.25609756097560976</c:v>
                </c:pt>
                <c:pt idx="3">
                  <c:v>0.24390243902439024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7-4C8F-B732-9DE5745BF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Weathering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RMR</a:t>
            </a:r>
          </a:p>
        </c:rich>
      </c:tx>
      <c:layout>
        <c:manualLayout>
          <c:xMode val="edge"/>
          <c:yMode val="edge"/>
          <c:x val="0.47828221982789937"/>
          <c:y val="2.660789131377366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Lithology 10 Geotec'!$CH$63:$CH$67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tx>
          <c:spPr>
            <a:solidFill>
              <a:srgbClr val="0000FF"/>
            </a:solidFill>
          </c:spPr>
          <c:invertIfNegative val="0"/>
          <c:cat>
            <c:strRef>
              <c:f>'10. Lithology 10 Geotec'!$CH$63:$CH$67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'10. Lithology 10 Geotec'!$CO$63:$CO$67</c:f>
              <c:numCache>
                <c:formatCode>0%</c:formatCode>
                <c:ptCount val="5"/>
                <c:pt idx="0">
                  <c:v>0</c:v>
                </c:pt>
                <c:pt idx="1">
                  <c:v>0.36585365853658536</c:v>
                </c:pt>
                <c:pt idx="2">
                  <c:v>0.53658536585365857</c:v>
                </c:pt>
                <c:pt idx="3">
                  <c:v>9.7560975609756101E-2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B-4034-813E-A276E3158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RMR76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RMR</a:t>
            </a:r>
          </a:p>
        </c:rich>
      </c:tx>
      <c:layout>
        <c:manualLayout>
          <c:xMode val="edge"/>
          <c:yMode val="edge"/>
          <c:x val="0.49409729606473035"/>
          <c:y val="2.661127169108095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Lithology 10 Geotec'!$CH$63:$CH$67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tx>
          <c:spPr>
            <a:solidFill>
              <a:srgbClr val="0000FF"/>
            </a:solidFill>
          </c:spPr>
          <c:invertIfNegative val="0"/>
          <c:cat>
            <c:strRef>
              <c:f>'10. Lithology 10 Geotec'!$CH$63:$CH$67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'10. Lithology 10 Geotec'!$CO$72:$CO$76</c:f>
              <c:numCache>
                <c:formatCode>0%</c:formatCode>
                <c:ptCount val="5"/>
                <c:pt idx="0">
                  <c:v>0</c:v>
                </c:pt>
                <c:pt idx="1">
                  <c:v>0.3048780487804878</c:v>
                </c:pt>
                <c:pt idx="2">
                  <c:v>0.58536585365853655</c:v>
                </c:pt>
                <c:pt idx="3">
                  <c:v>0.10975609756097561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0-4526-A4DD-289BCCF12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RMR89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Persistence</a:t>
            </a:r>
          </a:p>
        </c:rich>
      </c:tx>
      <c:layout>
        <c:manualLayout>
          <c:xMode val="edge"/>
          <c:yMode val="edge"/>
          <c:x val="0.45719724482158441"/>
          <c:y val="2.45789210690409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25555597383443"/>
          <c:y val="8.8004629168756801E-2"/>
          <c:w val="0.83714397700548737"/>
          <c:h val="0.8334176955780026"/>
        </c:manualLayout>
      </c:layout>
      <c:barChart>
        <c:barDir val="col"/>
        <c:grouping val="clustered"/>
        <c:varyColors val="0"/>
        <c:ser>
          <c:idx val="0"/>
          <c:order val="0"/>
          <c:tx>
            <c:v>Lithology 40</c:v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Geotec'!$DF$7:$DF$11</c:f>
              <c:strCache>
                <c:ptCount val="5"/>
                <c:pt idx="0">
                  <c:v>P5</c:v>
                </c:pt>
                <c:pt idx="1">
                  <c:v>P4</c:v>
                </c:pt>
                <c:pt idx="2">
                  <c:v>P3</c:v>
                </c:pt>
                <c:pt idx="3">
                  <c:v>P2</c:v>
                </c:pt>
                <c:pt idx="4">
                  <c:v>P1</c:v>
                </c:pt>
              </c:strCache>
            </c:strRef>
          </c:cat>
          <c:val>
            <c:numRef>
              <c:f>'5. Litologia 40 Geotec'!$DM$7:$DM$11</c:f>
              <c:numCache>
                <c:formatCode>0%</c:formatCode>
                <c:ptCount val="5"/>
                <c:pt idx="0">
                  <c:v>0.42953020134228187</c:v>
                </c:pt>
                <c:pt idx="1">
                  <c:v>0.34228187919463088</c:v>
                </c:pt>
                <c:pt idx="2">
                  <c:v>0.17449664429530201</c:v>
                </c:pt>
                <c:pt idx="3">
                  <c:v>5.3691275167785234E-2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E-4F20-BC0A-4BD1687FC86B}"/>
            </c:ext>
          </c:extLst>
        </c:ser>
        <c:ser>
          <c:idx val="2"/>
          <c:order val="1"/>
          <c:tx>
            <c:v>Lithology 50</c:v>
          </c:tx>
          <c:spPr>
            <a:solidFill>
              <a:srgbClr val="FF99CC"/>
            </a:solidFill>
          </c:spPr>
          <c:invertIfNegative val="0"/>
          <c:val>
            <c:numRef>
              <c:f>'7. Lithology 50 Geotec'!$CL$13:$CL$17</c:f>
              <c:numCache>
                <c:formatCode>0%</c:formatCode>
                <c:ptCount val="5"/>
                <c:pt idx="0">
                  <c:v>0.62043795620437958</c:v>
                </c:pt>
                <c:pt idx="1">
                  <c:v>0.26277372262773724</c:v>
                </c:pt>
                <c:pt idx="2">
                  <c:v>0.10218978102189781</c:v>
                </c:pt>
                <c:pt idx="3">
                  <c:v>1.4598540145985401E-2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7E-4F20-BC0A-4BD1687FC86B}"/>
            </c:ext>
          </c:extLst>
        </c:ser>
        <c:ser>
          <c:idx val="1"/>
          <c:order val="2"/>
          <c:tx>
            <c:v>Lithology 30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'6. Litologia 30 Geotec'!$CN$14:$CN$18</c:f>
              <c:numCache>
                <c:formatCode>0%</c:formatCode>
                <c:ptCount val="5"/>
                <c:pt idx="0">
                  <c:v>0.31325301204819278</c:v>
                </c:pt>
                <c:pt idx="1">
                  <c:v>0.40963855421686746</c:v>
                </c:pt>
                <c:pt idx="2">
                  <c:v>0.27710843373493976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E-4F20-BC0A-4BD1687FC86B}"/>
            </c:ext>
          </c:extLst>
        </c:ser>
        <c:ser>
          <c:idx val="3"/>
          <c:order val="3"/>
          <c:tx>
            <c:v>Lithology 20</c:v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'8. Lithology 20 Geotec'!$CL$15:$CL$19</c:f>
              <c:numCache>
                <c:formatCode>0%</c:formatCode>
                <c:ptCount val="5"/>
                <c:pt idx="0">
                  <c:v>5.9701492537313432E-2</c:v>
                </c:pt>
                <c:pt idx="1">
                  <c:v>0.88059701492537312</c:v>
                </c:pt>
                <c:pt idx="2">
                  <c:v>5.9701492537313432E-2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7E-4F20-BC0A-4BD1687FC86B}"/>
            </c:ext>
          </c:extLst>
        </c:ser>
        <c:ser>
          <c:idx val="4"/>
          <c:order val="4"/>
          <c:tx>
            <c:v>Lithology 10</c:v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'10. Lithology 10 Geotec'!$CL$13:$CL$17</c:f>
              <c:numCache>
                <c:formatCode>0%</c:formatCode>
                <c:ptCount val="5"/>
                <c:pt idx="0">
                  <c:v>1.2195121951219513E-2</c:v>
                </c:pt>
                <c:pt idx="1">
                  <c:v>0.12195121951219512</c:v>
                </c:pt>
                <c:pt idx="2">
                  <c:v>0.62195121951219512</c:v>
                </c:pt>
                <c:pt idx="3">
                  <c:v>0.24390243902439024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7E-4F20-BC0A-4BD1687FC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pt-BR" sz="18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4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874933567471093"/>
          <c:y val="0.11578774826738539"/>
          <c:w val="0.18085287187822474"/>
          <c:h val="0.2639025590551181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Roughness</a:t>
            </a:r>
          </a:p>
        </c:rich>
      </c:tx>
      <c:layout>
        <c:manualLayout>
          <c:xMode val="edge"/>
          <c:yMode val="edge"/>
          <c:x val="0.45719724482158441"/>
          <c:y val="2.45789210690409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549786197977795"/>
          <c:y val="9.212276052287946E-2"/>
          <c:w val="0.83890167099954382"/>
          <c:h val="0.82929956422387996"/>
        </c:manualLayout>
      </c:layout>
      <c:barChart>
        <c:barDir val="col"/>
        <c:grouping val="clustered"/>
        <c:varyColors val="0"/>
        <c:ser>
          <c:idx val="1"/>
          <c:order val="0"/>
          <c:tx>
            <c:v>Lithology 40</c:v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Geotec'!$EJ$16:$EJ$20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cat>
          <c:val>
            <c:numRef>
              <c:f>'5. Litologia 40 Geotec'!$EQ$16:$EQ$20</c:f>
              <c:numCache>
                <c:formatCode>0%</c:formatCode>
                <c:ptCount val="5"/>
                <c:pt idx="0">
                  <c:v>4.6979865771812082E-2</c:v>
                </c:pt>
                <c:pt idx="1">
                  <c:v>0.38926174496644295</c:v>
                </c:pt>
                <c:pt idx="2">
                  <c:v>0.53020134228187921</c:v>
                </c:pt>
                <c:pt idx="3">
                  <c:v>3.3557046979865772E-2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0-45F6-8BD7-E1CA67E08FA0}"/>
            </c:ext>
          </c:extLst>
        </c:ser>
        <c:ser>
          <c:idx val="2"/>
          <c:order val="1"/>
          <c:tx>
            <c:v>Lithology 50</c:v>
          </c:tx>
          <c:spPr>
            <a:solidFill>
              <a:srgbClr val="FF99CC"/>
            </a:solidFill>
          </c:spPr>
          <c:invertIfNegative val="0"/>
          <c:cat>
            <c:strRef>
              <c:f>'5. Litologia 40 Geotec'!$EJ$16:$EJ$20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cat>
          <c:val>
            <c:numRef>
              <c:f>'7. Lithology 50 Geotec'!$DY$13:$DY$17</c:f>
              <c:numCache>
                <c:formatCode>0%</c:formatCode>
                <c:ptCount val="5"/>
                <c:pt idx="0">
                  <c:v>0.10218978102189781</c:v>
                </c:pt>
                <c:pt idx="1">
                  <c:v>0.56204379562043794</c:v>
                </c:pt>
                <c:pt idx="2">
                  <c:v>0.32116788321167883</c:v>
                </c:pt>
                <c:pt idx="3">
                  <c:v>1.4598540145985401E-2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0-45F6-8BD7-E1CA67E08FA0}"/>
            </c:ext>
          </c:extLst>
        </c:ser>
        <c:ser>
          <c:idx val="0"/>
          <c:order val="2"/>
          <c:tx>
            <c:v>Lithology 30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Geotec'!$EJ$16:$EJ$20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cat>
          <c:val>
            <c:numRef>
              <c:f>'6. Litologia 30 Geotec'!$DY$14:$DY$18</c:f>
              <c:numCache>
                <c:formatCode>0%</c:formatCode>
                <c:ptCount val="5"/>
                <c:pt idx="0">
                  <c:v>0</c:v>
                </c:pt>
                <c:pt idx="1">
                  <c:v>0.24096385542168675</c:v>
                </c:pt>
                <c:pt idx="2">
                  <c:v>0.75903614457831325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0-45F6-8BD7-E1CA67E08FA0}"/>
            </c:ext>
          </c:extLst>
        </c:ser>
        <c:ser>
          <c:idx val="3"/>
          <c:order val="3"/>
          <c:tx>
            <c:v>Lithology 20</c:v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Geotec'!$EJ$16:$EJ$20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cat>
          <c:val>
            <c:numRef>
              <c:f>'8. Lithology 20 Geotec'!$DY$14:$DY$18</c:f>
              <c:numCache>
                <c:formatCode>0%</c:formatCode>
                <c:ptCount val="5"/>
                <c:pt idx="0">
                  <c:v>0</c:v>
                </c:pt>
                <c:pt idx="1">
                  <c:v>0.43283582089552236</c:v>
                </c:pt>
                <c:pt idx="2">
                  <c:v>0.56716417910447758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70-45F6-8BD7-E1CA67E08FA0}"/>
            </c:ext>
          </c:extLst>
        </c:ser>
        <c:ser>
          <c:idx val="4"/>
          <c:order val="4"/>
          <c:tx>
            <c:v>Lithology 10</c:v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Geotec'!$EJ$16:$EJ$20</c:f>
              <c:strCache>
                <c:ptCount val="5"/>
                <c:pt idx="0">
                  <c:v>G5</c:v>
                </c:pt>
                <c:pt idx="1">
                  <c:v>G4</c:v>
                </c:pt>
                <c:pt idx="2">
                  <c:v>G3</c:v>
                </c:pt>
                <c:pt idx="3">
                  <c:v>G2</c:v>
                </c:pt>
                <c:pt idx="4">
                  <c:v>G1</c:v>
                </c:pt>
              </c:strCache>
            </c:strRef>
          </c:cat>
          <c:val>
            <c:numRef>
              <c:f>'10. Lithology 10 Geotec'!$DX$12:$DX$16</c:f>
              <c:numCache>
                <c:formatCode>0%</c:formatCode>
                <c:ptCount val="5"/>
                <c:pt idx="0">
                  <c:v>0</c:v>
                </c:pt>
                <c:pt idx="1">
                  <c:v>0.2073170731707317</c:v>
                </c:pt>
                <c:pt idx="2">
                  <c:v>0.58536585365853655</c:v>
                </c:pt>
                <c:pt idx="3">
                  <c:v>0.2073170731707317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70-45F6-8BD7-E1CA67E08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pt-BR" sz="18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4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874933567471093"/>
          <c:y val="0.11578774826738539"/>
          <c:w val="0.18085287187822474"/>
          <c:h val="0.2639025590551181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Filling</a:t>
            </a:r>
          </a:p>
        </c:rich>
      </c:tx>
      <c:layout>
        <c:manualLayout>
          <c:xMode val="edge"/>
          <c:yMode val="edge"/>
          <c:x val="0.50113959467299696"/>
          <c:y val="2.669404585848089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549786197977795"/>
          <c:y val="9.212276052287946E-2"/>
          <c:w val="0.83890167099954382"/>
          <c:h val="0.82929956422387996"/>
        </c:manualLayout>
      </c:layout>
      <c:barChart>
        <c:barDir val="col"/>
        <c:grouping val="clustered"/>
        <c:varyColors val="0"/>
        <c:ser>
          <c:idx val="1"/>
          <c:order val="0"/>
          <c:tx>
            <c:v>Lithology 40</c:v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'10. Lithology 10 Geotec'!$EB$13:$EB$17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cat>
          <c:val>
            <c:numRef>
              <c:f>'5. Litologia 40 Geotec'!$FC$16:$FC$20</c:f>
              <c:numCache>
                <c:formatCode>0%</c:formatCode>
                <c:ptCount val="5"/>
                <c:pt idx="0">
                  <c:v>0.32214765100671139</c:v>
                </c:pt>
                <c:pt idx="1">
                  <c:v>0.66442953020134232</c:v>
                </c:pt>
                <c:pt idx="2">
                  <c:v>0</c:v>
                </c:pt>
                <c:pt idx="3">
                  <c:v>1.3422818791946308E-2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5-4F8D-91F3-F24E0887FFA0}"/>
            </c:ext>
          </c:extLst>
        </c:ser>
        <c:ser>
          <c:idx val="0"/>
          <c:order val="1"/>
          <c:tx>
            <c:v>Lithology 50</c:v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'10. Lithology 10 Geotec'!$EB$13:$EB$17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cat>
          <c:val>
            <c:numRef>
              <c:f>'7. Lithology 50 Geotec'!$EJ$13:$EJ$17</c:f>
              <c:numCache>
                <c:formatCode>0%</c:formatCode>
                <c:ptCount val="5"/>
                <c:pt idx="0">
                  <c:v>0.56934306569343063</c:v>
                </c:pt>
                <c:pt idx="1">
                  <c:v>0.40145985401459855</c:v>
                </c:pt>
                <c:pt idx="2">
                  <c:v>0</c:v>
                </c:pt>
                <c:pt idx="3">
                  <c:v>2.9197080291970802E-2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5-499F-892B-766DE782D795}"/>
            </c:ext>
          </c:extLst>
        </c:ser>
        <c:ser>
          <c:idx val="2"/>
          <c:order val="2"/>
          <c:tx>
            <c:v>Lithology 30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'10. Lithology 10 Geotec'!$EB$13:$EB$17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cat>
          <c:val>
            <c:numRef>
              <c:f>'6. Litologia 30 Geotec'!$EK$14:$EK$18</c:f>
              <c:numCache>
                <c:formatCode>0%</c:formatCode>
                <c:ptCount val="5"/>
                <c:pt idx="0">
                  <c:v>2.4096385542168676E-2</c:v>
                </c:pt>
                <c:pt idx="1">
                  <c:v>0.97590361445783136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5-499F-892B-766DE782D795}"/>
            </c:ext>
          </c:extLst>
        </c:ser>
        <c:ser>
          <c:idx val="3"/>
          <c:order val="3"/>
          <c:tx>
            <c:v>Lithology 20</c:v>
          </c:tx>
          <c:spPr>
            <a:solidFill>
              <a:srgbClr val="00FF00"/>
            </a:solidFill>
          </c:spPr>
          <c:invertIfNegative val="0"/>
          <c:cat>
            <c:strRef>
              <c:f>'10. Lithology 10 Geotec'!$EB$13:$EB$17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cat>
          <c:val>
            <c:numRef>
              <c:f>'8. Lithology 20 Geotec'!$EJ$14:$EJ$18</c:f>
              <c:numCache>
                <c:formatCode>0%</c:formatCode>
                <c:ptCount val="5"/>
                <c:pt idx="0">
                  <c:v>0.13432835820895522</c:v>
                </c:pt>
                <c:pt idx="1">
                  <c:v>0.86567164179104472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75-499F-892B-766DE782D795}"/>
            </c:ext>
          </c:extLst>
        </c:ser>
        <c:ser>
          <c:idx val="4"/>
          <c:order val="4"/>
          <c:tx>
            <c:v>Lithology 10</c:v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'10. Lithology 10 Geotec'!$EB$13:$EB$17</c:f>
              <c:strCache>
                <c:ptCount val="5"/>
                <c:pt idx="0">
                  <c:v>F4</c:v>
                </c:pt>
                <c:pt idx="1">
                  <c:v>F3</c:v>
                </c:pt>
                <c:pt idx="2">
                  <c:v>F2</c:v>
                </c:pt>
                <c:pt idx="3">
                  <c:v>F1</c:v>
                </c:pt>
                <c:pt idx="4">
                  <c:v>F0</c:v>
                </c:pt>
              </c:strCache>
            </c:strRef>
          </c:cat>
          <c:val>
            <c:numRef>
              <c:f>'10. Lithology 10 Geotec'!$EI$13:$EI$17</c:f>
              <c:numCache>
                <c:formatCode>0%</c:formatCode>
                <c:ptCount val="5"/>
                <c:pt idx="0">
                  <c:v>4.878048780487805E-2</c:v>
                </c:pt>
                <c:pt idx="1">
                  <c:v>0.68292682926829273</c:v>
                </c:pt>
                <c:pt idx="2">
                  <c:v>0</c:v>
                </c:pt>
                <c:pt idx="3">
                  <c:v>0.26829268292682928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75-499F-892B-766DE782D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pt-BR" sz="18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4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874933567471093"/>
          <c:y val="0.11578774826738539"/>
          <c:w val="0.18085287187822474"/>
          <c:h val="0.2534478358272442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Weahering</a:t>
            </a:r>
          </a:p>
        </c:rich>
      </c:tx>
      <c:layout>
        <c:manualLayout>
          <c:xMode val="edge"/>
          <c:yMode val="edge"/>
          <c:x val="0.41149720097611531"/>
          <c:y val="2.66939846804863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549786197977795"/>
          <c:y val="9.212276052287946E-2"/>
          <c:w val="0.83890167099954382"/>
          <c:h val="0.82929956422387996"/>
        </c:manualLayout>
      </c:layout>
      <c:barChart>
        <c:barDir val="col"/>
        <c:grouping val="clustered"/>
        <c:varyColors val="0"/>
        <c:ser>
          <c:idx val="1"/>
          <c:order val="0"/>
          <c:tx>
            <c:v>Lithology 40</c:v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Geotec'!$FI$16:$FI$20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cat>
          <c:val>
            <c:numRef>
              <c:f>'5. Litologia 40 Geotec'!$FP$16:$FP$20</c:f>
              <c:numCache>
                <c:formatCode>0%</c:formatCode>
                <c:ptCount val="5"/>
                <c:pt idx="0">
                  <c:v>0.50335570469798663</c:v>
                </c:pt>
                <c:pt idx="1">
                  <c:v>0.3825503355704698</c:v>
                </c:pt>
                <c:pt idx="2">
                  <c:v>0.10067114093959731</c:v>
                </c:pt>
                <c:pt idx="3">
                  <c:v>1.3422818791946308E-2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F-4BBF-9390-33699DB308A2}"/>
            </c:ext>
          </c:extLst>
        </c:ser>
        <c:ser>
          <c:idx val="2"/>
          <c:order val="1"/>
          <c:tx>
            <c:v>Lithology 50</c:v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Geotec'!$FI$16:$FI$20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cat>
          <c:val>
            <c:numRef>
              <c:f>'7. Lithology 50 Geotec'!$EX$13:$EX$17</c:f>
              <c:numCache>
                <c:formatCode>0%</c:formatCode>
                <c:ptCount val="5"/>
                <c:pt idx="0">
                  <c:v>0.69343065693430661</c:v>
                </c:pt>
                <c:pt idx="1">
                  <c:v>0.27737226277372262</c:v>
                </c:pt>
                <c:pt idx="2">
                  <c:v>2.9197080291970802E-2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F-4BBF-9390-33699DB308A2}"/>
            </c:ext>
          </c:extLst>
        </c:ser>
        <c:ser>
          <c:idx val="0"/>
          <c:order val="2"/>
          <c:tx>
            <c:v>Lithology 30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Geotec'!$FI$16:$FI$20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cat>
          <c:val>
            <c:numRef>
              <c:f>'6. Litologia 30 Geotec'!$EX$14:$EX$18</c:f>
              <c:numCache>
                <c:formatCode>0%</c:formatCode>
                <c:ptCount val="5"/>
                <c:pt idx="0">
                  <c:v>0.28915662650602408</c:v>
                </c:pt>
                <c:pt idx="1">
                  <c:v>0.63855421686746983</c:v>
                </c:pt>
                <c:pt idx="2">
                  <c:v>7.2289156626506021E-2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4F-4BBF-9390-33699DB308A2}"/>
            </c:ext>
          </c:extLst>
        </c:ser>
        <c:ser>
          <c:idx val="3"/>
          <c:order val="3"/>
          <c:tx>
            <c:v>Lithology 20</c:v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Geotec'!$FI$16:$FI$20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cat>
          <c:val>
            <c:numRef>
              <c:f>'8. Lithology 20 Geotec'!$EX$14:$EX$18</c:f>
              <c:numCache>
                <c:formatCode>0%</c:formatCode>
                <c:ptCount val="5"/>
                <c:pt idx="0">
                  <c:v>0.40298507462686567</c:v>
                </c:pt>
                <c:pt idx="1">
                  <c:v>0.53731343283582089</c:v>
                </c:pt>
                <c:pt idx="2">
                  <c:v>5.9701492537313432E-2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4F-4BBF-9390-33699DB308A2}"/>
            </c:ext>
          </c:extLst>
        </c:ser>
        <c:ser>
          <c:idx val="4"/>
          <c:order val="4"/>
          <c:tx>
            <c:v>Lithology 10</c:v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Geotec'!$FI$16:$FI$20</c:f>
              <c:strCache>
                <c:ptCount val="5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  <c:pt idx="4">
                  <c:v>W0</c:v>
                </c:pt>
              </c:strCache>
            </c:strRef>
          </c:cat>
          <c:val>
            <c:numRef>
              <c:f>'10. Lithology 10 Geotec'!$EV$15:$EV$19</c:f>
              <c:numCache>
                <c:formatCode>0%</c:formatCode>
                <c:ptCount val="5"/>
                <c:pt idx="0">
                  <c:v>0.10975609756097561</c:v>
                </c:pt>
                <c:pt idx="1">
                  <c:v>0.3902439024390244</c:v>
                </c:pt>
                <c:pt idx="2">
                  <c:v>0.25609756097560976</c:v>
                </c:pt>
                <c:pt idx="3">
                  <c:v>0.24390243902439024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4F-4BBF-9390-33699DB30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pt-BR" sz="18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4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874933567471093"/>
          <c:y val="0.11578774826738539"/>
          <c:w val="0.18085287187822474"/>
          <c:h val="0.2639025590551181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 b="1"/>
            </a:pPr>
            <a:r>
              <a:rPr lang="es-PE" sz="3200" b="1"/>
              <a:t>Lithology Fractures</a:t>
            </a:r>
            <a:r>
              <a:rPr lang="es-PE" sz="3200" b="1" baseline="0"/>
              <a:t> vs Spacing </a:t>
            </a:r>
            <a:endParaRPr lang="es-PE" sz="3200" b="1"/>
          </a:p>
        </c:rich>
      </c:tx>
      <c:layout>
        <c:manualLayout>
          <c:xMode val="edge"/>
          <c:yMode val="edge"/>
          <c:x val="0.30454892537898953"/>
          <c:y val="3.34613942487958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529273609428629"/>
          <c:y val="9.2193660872117916E-2"/>
          <c:w val="0.8354393013072885"/>
          <c:h val="0.77012802566345873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98F-4E1D-9390-1DA4669B7857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3"/>
            <c:bubble3D val="0"/>
            <c:spPr>
              <a:ln w="1905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98F-4E1D-9390-1DA4669B7857}"/>
              </c:ext>
            </c:extLst>
          </c:dPt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E98F-4E1D-9390-1DA4669B7857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E98F-4E1D-9390-1DA4669B7857}"/>
            </c:ext>
          </c:extLst>
        </c:ser>
        <c:ser>
          <c:idx val="3"/>
          <c:order val="3"/>
          <c:tx>
            <c:v>Lithology 30</c:v>
          </c:tx>
          <c:spPr>
            <a:ln>
              <a:noFill/>
            </a:ln>
          </c:spPr>
          <c:marker>
            <c:symbol val="square"/>
            <c:size val="1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'6. Litologia 30 Geotec'!$X$3:$X$86</c:f>
              <c:numCache>
                <c:formatCode>0</c:formatCode>
                <c:ptCount val="84"/>
                <c:pt idx="0">
                  <c:v>51.666666666666664</c:v>
                </c:pt>
                <c:pt idx="1">
                  <c:v>13</c:v>
                </c:pt>
                <c:pt idx="2">
                  <c:v>11</c:v>
                </c:pt>
                <c:pt idx="3">
                  <c:v>14</c:v>
                </c:pt>
                <c:pt idx="4">
                  <c:v>23</c:v>
                </c:pt>
                <c:pt idx="5">
                  <c:v>34</c:v>
                </c:pt>
                <c:pt idx="6">
                  <c:v>13</c:v>
                </c:pt>
                <c:pt idx="7">
                  <c:v>51.666666666666664</c:v>
                </c:pt>
                <c:pt idx="8">
                  <c:v>122.5</c:v>
                </c:pt>
                <c:pt idx="9">
                  <c:v>64.285714285714292</c:v>
                </c:pt>
                <c:pt idx="10">
                  <c:v>120</c:v>
                </c:pt>
                <c:pt idx="11">
                  <c:v>115</c:v>
                </c:pt>
                <c:pt idx="12">
                  <c:v>76.666666666666671</c:v>
                </c:pt>
                <c:pt idx="13">
                  <c:v>62.5</c:v>
                </c:pt>
                <c:pt idx="14">
                  <c:v>110</c:v>
                </c:pt>
                <c:pt idx="15">
                  <c:v>57.5</c:v>
                </c:pt>
                <c:pt idx="16">
                  <c:v>61.428571428571431</c:v>
                </c:pt>
                <c:pt idx="17">
                  <c:v>41.428571428571431</c:v>
                </c:pt>
                <c:pt idx="18">
                  <c:v>55.714285714285715</c:v>
                </c:pt>
                <c:pt idx="19">
                  <c:v>70</c:v>
                </c:pt>
                <c:pt idx="20">
                  <c:v>36</c:v>
                </c:pt>
                <c:pt idx="21">
                  <c:v>50</c:v>
                </c:pt>
                <c:pt idx="22">
                  <c:v>32.857142857142854</c:v>
                </c:pt>
                <c:pt idx="23">
                  <c:v>14</c:v>
                </c:pt>
                <c:pt idx="24">
                  <c:v>20</c:v>
                </c:pt>
                <c:pt idx="25">
                  <c:v>20</c:v>
                </c:pt>
                <c:pt idx="26">
                  <c:v>25.714285714285715</c:v>
                </c:pt>
                <c:pt idx="27">
                  <c:v>28.75</c:v>
                </c:pt>
                <c:pt idx="28">
                  <c:v>14.285714285714286</c:v>
                </c:pt>
                <c:pt idx="29">
                  <c:v>50</c:v>
                </c:pt>
                <c:pt idx="30">
                  <c:v>10</c:v>
                </c:pt>
                <c:pt idx="31">
                  <c:v>12</c:v>
                </c:pt>
                <c:pt idx="32">
                  <c:v>6</c:v>
                </c:pt>
                <c:pt idx="33">
                  <c:v>29</c:v>
                </c:pt>
                <c:pt idx="34">
                  <c:v>22</c:v>
                </c:pt>
                <c:pt idx="35">
                  <c:v>21</c:v>
                </c:pt>
                <c:pt idx="36">
                  <c:v>8</c:v>
                </c:pt>
                <c:pt idx="37">
                  <c:v>5</c:v>
                </c:pt>
                <c:pt idx="38">
                  <c:v>7</c:v>
                </c:pt>
                <c:pt idx="39">
                  <c:v>7</c:v>
                </c:pt>
                <c:pt idx="40">
                  <c:v>50</c:v>
                </c:pt>
                <c:pt idx="41">
                  <c:v>50</c:v>
                </c:pt>
                <c:pt idx="42">
                  <c:v>7</c:v>
                </c:pt>
                <c:pt idx="43">
                  <c:v>50</c:v>
                </c:pt>
                <c:pt idx="44">
                  <c:v>11</c:v>
                </c:pt>
                <c:pt idx="45">
                  <c:v>50</c:v>
                </c:pt>
                <c:pt idx="46">
                  <c:v>10</c:v>
                </c:pt>
                <c:pt idx="47">
                  <c:v>7</c:v>
                </c:pt>
                <c:pt idx="48">
                  <c:v>50</c:v>
                </c:pt>
                <c:pt idx="49">
                  <c:v>50</c:v>
                </c:pt>
                <c:pt idx="50">
                  <c:v>28</c:v>
                </c:pt>
                <c:pt idx="51">
                  <c:v>80</c:v>
                </c:pt>
                <c:pt idx="52">
                  <c:v>96.666666666666671</c:v>
                </c:pt>
                <c:pt idx="53">
                  <c:v>123.33333333333333</c:v>
                </c:pt>
                <c:pt idx="54">
                  <c:v>36</c:v>
                </c:pt>
                <c:pt idx="55">
                  <c:v>56</c:v>
                </c:pt>
                <c:pt idx="56">
                  <c:v>105</c:v>
                </c:pt>
                <c:pt idx="57">
                  <c:v>73.333333333333329</c:v>
                </c:pt>
                <c:pt idx="58">
                  <c:v>52</c:v>
                </c:pt>
                <c:pt idx="59">
                  <c:v>86.666666666666671</c:v>
                </c:pt>
                <c:pt idx="60">
                  <c:v>60</c:v>
                </c:pt>
                <c:pt idx="61">
                  <c:v>52</c:v>
                </c:pt>
                <c:pt idx="62">
                  <c:v>56.666666666666664</c:v>
                </c:pt>
                <c:pt idx="63">
                  <c:v>36</c:v>
                </c:pt>
                <c:pt idx="64">
                  <c:v>80</c:v>
                </c:pt>
                <c:pt idx="65">
                  <c:v>70</c:v>
                </c:pt>
                <c:pt idx="66">
                  <c:v>56</c:v>
                </c:pt>
                <c:pt idx="67">
                  <c:v>44</c:v>
                </c:pt>
                <c:pt idx="68">
                  <c:v>53.333333333333336</c:v>
                </c:pt>
                <c:pt idx="71">
                  <c:v>113.33333333333331</c:v>
                </c:pt>
                <c:pt idx="72">
                  <c:v>80</c:v>
                </c:pt>
                <c:pt idx="73">
                  <c:v>105</c:v>
                </c:pt>
                <c:pt idx="74">
                  <c:v>71.666666666666671</c:v>
                </c:pt>
                <c:pt idx="75">
                  <c:v>130</c:v>
                </c:pt>
                <c:pt idx="76">
                  <c:v>73.333333333333329</c:v>
                </c:pt>
                <c:pt idx="77">
                  <c:v>64.285714285714292</c:v>
                </c:pt>
                <c:pt idx="78">
                  <c:v>130</c:v>
                </c:pt>
                <c:pt idx="79">
                  <c:v>136.66666666666666</c:v>
                </c:pt>
                <c:pt idx="80">
                  <c:v>136.66666666666666</c:v>
                </c:pt>
                <c:pt idx="81">
                  <c:v>40</c:v>
                </c:pt>
                <c:pt idx="82">
                  <c:v>57.5</c:v>
                </c:pt>
                <c:pt idx="83">
                  <c:v>55</c:v>
                </c:pt>
              </c:numCache>
            </c:numRef>
          </c:xVal>
          <c:yVal>
            <c:numRef>
              <c:f>'6. Litologia 30 Geotec'!$T$3:$T$86</c:f>
              <c:numCache>
                <c:formatCode>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 formatCode="0.00">
                  <c:v>28.000000000000004</c:v>
                </c:pt>
                <c:pt idx="9" formatCode="0.00">
                  <c:v>28.000000000000004</c:v>
                </c:pt>
                <c:pt idx="10" formatCode="0.00">
                  <c:v>0</c:v>
                </c:pt>
                <c:pt idx="11" formatCode="0.00">
                  <c:v>36</c:v>
                </c:pt>
                <c:pt idx="12" formatCode="0.00">
                  <c:v>28.000000000000004</c:v>
                </c:pt>
                <c:pt idx="13" formatCode="0.00">
                  <c:v>0</c:v>
                </c:pt>
                <c:pt idx="14" formatCode="0.00">
                  <c:v>42</c:v>
                </c:pt>
                <c:pt idx="15" formatCode="0.00">
                  <c:v>24</c:v>
                </c:pt>
                <c:pt idx="16" formatCode="0.00">
                  <c:v>22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22</c:v>
                </c:pt>
                <c:pt idx="52" formatCode="0.00">
                  <c:v>0</c:v>
                </c:pt>
                <c:pt idx="53" formatCode="0.00">
                  <c:v>38</c:v>
                </c:pt>
                <c:pt idx="54" formatCode="0.00">
                  <c:v>28.000000000000004</c:v>
                </c:pt>
                <c:pt idx="55" formatCode="0.00">
                  <c:v>0</c:v>
                </c:pt>
                <c:pt idx="56" formatCode="0.00">
                  <c:v>22</c:v>
                </c:pt>
                <c:pt idx="57" formatCode="0.00">
                  <c:v>44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20</c:v>
                </c:pt>
                <c:pt idx="72" formatCode="0.00">
                  <c:v>0</c:v>
                </c:pt>
                <c:pt idx="73" formatCode="0.00">
                  <c:v>44</c:v>
                </c:pt>
                <c:pt idx="74" formatCode="0.00">
                  <c:v>22</c:v>
                </c:pt>
                <c:pt idx="75" formatCode="0.00">
                  <c:v>30</c:v>
                </c:pt>
                <c:pt idx="76" formatCode="0.00">
                  <c:v>26</c:v>
                </c:pt>
                <c:pt idx="77" formatCode="0.00">
                  <c:v>0</c:v>
                </c:pt>
                <c:pt idx="78" formatCode="0.00">
                  <c:v>66</c:v>
                </c:pt>
                <c:pt idx="79" formatCode="0.00">
                  <c:v>36</c:v>
                </c:pt>
                <c:pt idx="80" formatCode="0.00">
                  <c:v>50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8F-4E1D-9390-1DA4669B7857}"/>
            </c:ext>
          </c:extLst>
        </c:ser>
        <c:ser>
          <c:idx val="4"/>
          <c:order val="4"/>
          <c:tx>
            <c:v>Lithology 40</c:v>
          </c:tx>
          <c:spPr>
            <a:ln>
              <a:noFill/>
            </a:ln>
          </c:spPr>
          <c:marker>
            <c:symbol val="square"/>
            <c:size val="14"/>
            <c:spPr>
              <a:solidFill>
                <a:srgbClr val="EEDFAA"/>
              </a:solidFill>
              <a:ln>
                <a:solidFill>
                  <a:srgbClr val="EEDFAA"/>
                </a:solidFill>
              </a:ln>
            </c:spPr>
          </c:marker>
          <c:xVal>
            <c:numRef>
              <c:f>'5. Litologia 40 Geotec'!$X$3:$X$152</c:f>
              <c:numCache>
                <c:formatCode>0.0</c:formatCode>
                <c:ptCount val="150"/>
                <c:pt idx="0">
                  <c:v>126.66666666666667</c:v>
                </c:pt>
                <c:pt idx="1">
                  <c:v>140</c:v>
                </c:pt>
                <c:pt idx="2">
                  <c:v>19</c:v>
                </c:pt>
                <c:pt idx="3">
                  <c:v>76.666666666666671</c:v>
                </c:pt>
                <c:pt idx="4">
                  <c:v>86</c:v>
                </c:pt>
                <c:pt idx="5">
                  <c:v>112.5</c:v>
                </c:pt>
                <c:pt idx="6">
                  <c:v>235</c:v>
                </c:pt>
                <c:pt idx="7">
                  <c:v>70</c:v>
                </c:pt>
                <c:pt idx="8">
                  <c:v>102.5</c:v>
                </c:pt>
                <c:pt idx="9">
                  <c:v>107.5</c:v>
                </c:pt>
                <c:pt idx="10">
                  <c:v>44</c:v>
                </c:pt>
                <c:pt idx="11">
                  <c:v>46</c:v>
                </c:pt>
                <c:pt idx="12">
                  <c:v>73.333333333333329</c:v>
                </c:pt>
                <c:pt idx="13">
                  <c:v>140</c:v>
                </c:pt>
                <c:pt idx="14">
                  <c:v>70</c:v>
                </c:pt>
                <c:pt idx="15">
                  <c:v>92.5</c:v>
                </c:pt>
                <c:pt idx="16">
                  <c:v>48.571428571428569</c:v>
                </c:pt>
                <c:pt idx="17">
                  <c:v>81.666666666666671</c:v>
                </c:pt>
                <c:pt idx="18">
                  <c:v>93.333333333333329</c:v>
                </c:pt>
                <c:pt idx="19">
                  <c:v>55</c:v>
                </c:pt>
                <c:pt idx="20">
                  <c:v>19</c:v>
                </c:pt>
                <c:pt idx="21">
                  <c:v>26</c:v>
                </c:pt>
                <c:pt idx="22">
                  <c:v>26</c:v>
                </c:pt>
                <c:pt idx="23">
                  <c:v>24</c:v>
                </c:pt>
                <c:pt idx="24">
                  <c:v>23</c:v>
                </c:pt>
                <c:pt idx="25">
                  <c:v>22</c:v>
                </c:pt>
                <c:pt idx="26">
                  <c:v>20</c:v>
                </c:pt>
                <c:pt idx="27">
                  <c:v>28</c:v>
                </c:pt>
                <c:pt idx="28">
                  <c:v>24</c:v>
                </c:pt>
                <c:pt idx="29">
                  <c:v>42</c:v>
                </c:pt>
                <c:pt idx="30">
                  <c:v>20</c:v>
                </c:pt>
                <c:pt idx="32">
                  <c:v>13</c:v>
                </c:pt>
                <c:pt idx="33">
                  <c:v>17</c:v>
                </c:pt>
                <c:pt idx="34">
                  <c:v>16</c:v>
                </c:pt>
                <c:pt idx="35">
                  <c:v>14</c:v>
                </c:pt>
                <c:pt idx="36">
                  <c:v>17</c:v>
                </c:pt>
                <c:pt idx="37">
                  <c:v>23</c:v>
                </c:pt>
                <c:pt idx="38">
                  <c:v>20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16.363636363636363</c:v>
                </c:pt>
                <c:pt idx="43">
                  <c:v>10.909090909090908</c:v>
                </c:pt>
                <c:pt idx="45">
                  <c:v>24</c:v>
                </c:pt>
                <c:pt idx="47">
                  <c:v>24</c:v>
                </c:pt>
                <c:pt idx="48">
                  <c:v>11</c:v>
                </c:pt>
                <c:pt idx="49">
                  <c:v>12</c:v>
                </c:pt>
                <c:pt idx="50">
                  <c:v>86.666666666666671</c:v>
                </c:pt>
                <c:pt idx="51">
                  <c:v>26</c:v>
                </c:pt>
                <c:pt idx="52">
                  <c:v>10.666666666666666</c:v>
                </c:pt>
                <c:pt idx="53">
                  <c:v>12</c:v>
                </c:pt>
                <c:pt idx="54">
                  <c:v>45.714285714285715</c:v>
                </c:pt>
                <c:pt idx="55">
                  <c:v>20</c:v>
                </c:pt>
                <c:pt idx="56">
                  <c:v>32</c:v>
                </c:pt>
                <c:pt idx="57">
                  <c:v>44</c:v>
                </c:pt>
                <c:pt idx="58">
                  <c:v>12</c:v>
                </c:pt>
                <c:pt idx="59">
                  <c:v>15</c:v>
                </c:pt>
                <c:pt idx="60">
                  <c:v>18.571428571428573</c:v>
                </c:pt>
                <c:pt idx="61">
                  <c:v>52</c:v>
                </c:pt>
                <c:pt idx="62">
                  <c:v>50</c:v>
                </c:pt>
                <c:pt idx="63">
                  <c:v>110</c:v>
                </c:pt>
                <c:pt idx="64">
                  <c:v>47.142857142857146</c:v>
                </c:pt>
                <c:pt idx="65">
                  <c:v>41.428571428571431</c:v>
                </c:pt>
                <c:pt idx="66">
                  <c:v>50</c:v>
                </c:pt>
                <c:pt idx="67">
                  <c:v>51.25</c:v>
                </c:pt>
                <c:pt idx="68">
                  <c:v>86</c:v>
                </c:pt>
                <c:pt idx="69">
                  <c:v>74</c:v>
                </c:pt>
                <c:pt idx="70">
                  <c:v>107.5</c:v>
                </c:pt>
                <c:pt idx="71">
                  <c:v>60</c:v>
                </c:pt>
                <c:pt idx="72">
                  <c:v>34</c:v>
                </c:pt>
                <c:pt idx="73">
                  <c:v>32</c:v>
                </c:pt>
                <c:pt idx="74">
                  <c:v>70</c:v>
                </c:pt>
                <c:pt idx="75">
                  <c:v>41</c:v>
                </c:pt>
                <c:pt idx="76">
                  <c:v>45</c:v>
                </c:pt>
                <c:pt idx="77">
                  <c:v>70</c:v>
                </c:pt>
                <c:pt idx="78">
                  <c:v>58.75</c:v>
                </c:pt>
                <c:pt idx="79">
                  <c:v>107.5</c:v>
                </c:pt>
                <c:pt idx="80">
                  <c:v>235</c:v>
                </c:pt>
                <c:pt idx="81">
                  <c:v>150</c:v>
                </c:pt>
                <c:pt idx="82">
                  <c:v>156.66666666666666</c:v>
                </c:pt>
                <c:pt idx="83">
                  <c:v>120</c:v>
                </c:pt>
                <c:pt idx="84">
                  <c:v>82</c:v>
                </c:pt>
                <c:pt idx="85">
                  <c:v>70</c:v>
                </c:pt>
                <c:pt idx="86">
                  <c:v>38</c:v>
                </c:pt>
                <c:pt idx="87">
                  <c:v>42</c:v>
                </c:pt>
                <c:pt idx="88">
                  <c:v>28</c:v>
                </c:pt>
                <c:pt idx="89">
                  <c:v>62.5</c:v>
                </c:pt>
                <c:pt idx="90">
                  <c:v>66</c:v>
                </c:pt>
                <c:pt idx="91">
                  <c:v>30</c:v>
                </c:pt>
                <c:pt idx="92">
                  <c:v>16</c:v>
                </c:pt>
                <c:pt idx="93">
                  <c:v>60</c:v>
                </c:pt>
                <c:pt idx="94">
                  <c:v>80</c:v>
                </c:pt>
                <c:pt idx="95">
                  <c:v>85</c:v>
                </c:pt>
                <c:pt idx="96">
                  <c:v>42</c:v>
                </c:pt>
                <c:pt idx="97">
                  <c:v>77.5</c:v>
                </c:pt>
                <c:pt idx="98">
                  <c:v>120</c:v>
                </c:pt>
                <c:pt idx="99">
                  <c:v>66.666666666666671</c:v>
                </c:pt>
                <c:pt idx="100">
                  <c:v>43.333333333333336</c:v>
                </c:pt>
                <c:pt idx="101">
                  <c:v>93.333333333333329</c:v>
                </c:pt>
                <c:pt idx="102">
                  <c:v>60</c:v>
                </c:pt>
                <c:pt idx="103">
                  <c:v>32.5</c:v>
                </c:pt>
                <c:pt idx="104">
                  <c:v>36.666666666666664</c:v>
                </c:pt>
                <c:pt idx="105">
                  <c:v>36.666666666666664</c:v>
                </c:pt>
                <c:pt idx="106">
                  <c:v>165</c:v>
                </c:pt>
                <c:pt idx="107">
                  <c:v>20</c:v>
                </c:pt>
                <c:pt idx="108">
                  <c:v>50</c:v>
                </c:pt>
                <c:pt idx="109">
                  <c:v>33.333333333333336</c:v>
                </c:pt>
                <c:pt idx="110">
                  <c:v>25</c:v>
                </c:pt>
                <c:pt idx="111">
                  <c:v>120</c:v>
                </c:pt>
                <c:pt idx="112">
                  <c:v>130</c:v>
                </c:pt>
                <c:pt idx="113">
                  <c:v>130</c:v>
                </c:pt>
                <c:pt idx="114">
                  <c:v>103.33333333333333</c:v>
                </c:pt>
                <c:pt idx="115">
                  <c:v>44</c:v>
                </c:pt>
                <c:pt idx="116">
                  <c:v>24</c:v>
                </c:pt>
                <c:pt idx="117">
                  <c:v>32</c:v>
                </c:pt>
                <c:pt idx="118">
                  <c:v>46</c:v>
                </c:pt>
                <c:pt idx="119">
                  <c:v>32</c:v>
                </c:pt>
                <c:pt idx="120">
                  <c:v>40</c:v>
                </c:pt>
                <c:pt idx="121">
                  <c:v>105</c:v>
                </c:pt>
                <c:pt idx="122">
                  <c:v>38</c:v>
                </c:pt>
                <c:pt idx="123">
                  <c:v>53.333333333333336</c:v>
                </c:pt>
                <c:pt idx="124">
                  <c:v>75</c:v>
                </c:pt>
                <c:pt idx="125">
                  <c:v>53.333333333333336</c:v>
                </c:pt>
                <c:pt idx="126">
                  <c:v>36</c:v>
                </c:pt>
                <c:pt idx="127">
                  <c:v>38</c:v>
                </c:pt>
                <c:pt idx="128">
                  <c:v>36</c:v>
                </c:pt>
                <c:pt idx="129">
                  <c:v>62.5</c:v>
                </c:pt>
                <c:pt idx="130">
                  <c:v>90</c:v>
                </c:pt>
                <c:pt idx="131">
                  <c:v>90</c:v>
                </c:pt>
                <c:pt idx="132">
                  <c:v>175</c:v>
                </c:pt>
                <c:pt idx="133">
                  <c:v>140</c:v>
                </c:pt>
                <c:pt idx="134">
                  <c:v>106.66666666666667</c:v>
                </c:pt>
                <c:pt idx="135">
                  <c:v>106.66666666666667</c:v>
                </c:pt>
                <c:pt idx="136">
                  <c:v>75</c:v>
                </c:pt>
                <c:pt idx="137">
                  <c:v>63.333333333333336</c:v>
                </c:pt>
                <c:pt idx="138">
                  <c:v>70</c:v>
                </c:pt>
                <c:pt idx="139">
                  <c:v>67.5</c:v>
                </c:pt>
                <c:pt idx="140">
                  <c:v>40</c:v>
                </c:pt>
                <c:pt idx="141">
                  <c:v>34</c:v>
                </c:pt>
                <c:pt idx="142">
                  <c:v>33.333333333333336</c:v>
                </c:pt>
                <c:pt idx="143">
                  <c:v>40</c:v>
                </c:pt>
                <c:pt idx="144">
                  <c:v>72</c:v>
                </c:pt>
                <c:pt idx="145">
                  <c:v>133.33333333333334</c:v>
                </c:pt>
                <c:pt idx="146">
                  <c:v>115</c:v>
                </c:pt>
                <c:pt idx="147">
                  <c:v>107.5</c:v>
                </c:pt>
                <c:pt idx="148">
                  <c:v>90</c:v>
                </c:pt>
                <c:pt idx="149">
                  <c:v>100</c:v>
                </c:pt>
              </c:numCache>
            </c:numRef>
          </c:xVal>
          <c:yVal>
            <c:numRef>
              <c:f>'5. Litologia 40 Geotec'!$T$3:$T$152</c:f>
              <c:numCache>
                <c:formatCode>0</c:formatCode>
                <c:ptCount val="150"/>
                <c:pt idx="0">
                  <c:v>60</c:v>
                </c:pt>
                <c:pt idx="1">
                  <c:v>100</c:v>
                </c:pt>
                <c:pt idx="2">
                  <c:v>0</c:v>
                </c:pt>
                <c:pt idx="3">
                  <c:v>22</c:v>
                </c:pt>
                <c:pt idx="4">
                  <c:v>42.000000000000007</c:v>
                </c:pt>
                <c:pt idx="5">
                  <c:v>56.000000000000007</c:v>
                </c:pt>
                <c:pt idx="6">
                  <c:v>62</c:v>
                </c:pt>
                <c:pt idx="7">
                  <c:v>32</c:v>
                </c:pt>
                <c:pt idx="8">
                  <c:v>42</c:v>
                </c:pt>
                <c:pt idx="9">
                  <c:v>50</c:v>
                </c:pt>
                <c:pt idx="10">
                  <c:v>38</c:v>
                </c:pt>
                <c:pt idx="11">
                  <c:v>22</c:v>
                </c:pt>
                <c:pt idx="12">
                  <c:v>24</c:v>
                </c:pt>
                <c:pt idx="13">
                  <c:v>28.000000000000004</c:v>
                </c:pt>
                <c:pt idx="14">
                  <c:v>44</c:v>
                </c:pt>
                <c:pt idx="15">
                  <c:v>40</c:v>
                </c:pt>
                <c:pt idx="16">
                  <c:v>0</c:v>
                </c:pt>
                <c:pt idx="17">
                  <c:v>54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22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22</c:v>
                </c:pt>
                <c:pt idx="62" formatCode="0.00">
                  <c:v>28.000000000000004</c:v>
                </c:pt>
                <c:pt idx="63" formatCode="0.00">
                  <c:v>30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20</c:v>
                </c:pt>
                <c:pt idx="67" formatCode="0.00">
                  <c:v>26</c:v>
                </c:pt>
                <c:pt idx="68" formatCode="0.00">
                  <c:v>30</c:v>
                </c:pt>
                <c:pt idx="69" formatCode="0.00">
                  <c:v>32</c:v>
                </c:pt>
                <c:pt idx="70" formatCode="0.00">
                  <c:v>56.000000000000007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20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70</c:v>
                </c:pt>
                <c:pt idx="80" formatCode="0.00">
                  <c:v>66</c:v>
                </c:pt>
                <c:pt idx="81" formatCode="0.00">
                  <c:v>74</c:v>
                </c:pt>
                <c:pt idx="82" formatCode="0.00">
                  <c:v>54</c:v>
                </c:pt>
                <c:pt idx="83" formatCode="0.00">
                  <c:v>85.714285714285779</c:v>
                </c:pt>
                <c:pt idx="84" formatCode="0.00">
                  <c:v>27.500000000000007</c:v>
                </c:pt>
                <c:pt idx="85" formatCode="0.00">
                  <c:v>40.38461538461538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64</c:v>
                </c:pt>
                <c:pt idx="95" formatCode="0.00">
                  <c:v>34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24</c:v>
                </c:pt>
                <c:pt idx="99" formatCode="0.00">
                  <c:v>22</c:v>
                </c:pt>
                <c:pt idx="100" formatCode="0.00">
                  <c:v>0</c:v>
                </c:pt>
                <c:pt idx="101" formatCode="0.00">
                  <c:v>40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62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40</c:v>
                </c:pt>
                <c:pt idx="112" formatCode="0.00">
                  <c:v>36</c:v>
                </c:pt>
                <c:pt idx="113" formatCode="0.00">
                  <c:v>46</c:v>
                </c:pt>
                <c:pt idx="114" formatCode="0.00">
                  <c:v>26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22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20</c:v>
                </c:pt>
                <c:pt idx="124" formatCode="0.00">
                  <c:v>30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20</c:v>
                </c:pt>
                <c:pt idx="131" formatCode="0.00">
                  <c:v>24</c:v>
                </c:pt>
                <c:pt idx="132" formatCode="0.00">
                  <c:v>54</c:v>
                </c:pt>
                <c:pt idx="133" formatCode="0.00">
                  <c:v>52</c:v>
                </c:pt>
                <c:pt idx="134" formatCode="0.00">
                  <c:v>24</c:v>
                </c:pt>
                <c:pt idx="135" formatCode="0.00">
                  <c:v>64</c:v>
                </c:pt>
                <c:pt idx="136" formatCode="0.00">
                  <c:v>20</c:v>
                </c:pt>
                <c:pt idx="137" formatCode="0.00">
                  <c:v>0</c:v>
                </c:pt>
                <c:pt idx="138" formatCode="0.00">
                  <c:v>22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48</c:v>
                </c:pt>
                <c:pt idx="146" formatCode="0.00">
                  <c:v>0</c:v>
                </c:pt>
                <c:pt idx="147" formatCode="0.00">
                  <c:v>36</c:v>
                </c:pt>
                <c:pt idx="148" formatCode="0.00">
                  <c:v>20</c:v>
                </c:pt>
                <c:pt idx="149" formatCode="0.00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8F-4E1D-9390-1DA4669B7857}"/>
            </c:ext>
          </c:extLst>
        </c:ser>
        <c:ser>
          <c:idx val="5"/>
          <c:order val="5"/>
          <c:tx>
            <c:v>Lithology 50</c:v>
          </c:tx>
          <c:spPr>
            <a:ln>
              <a:noFill/>
            </a:ln>
          </c:spPr>
          <c:marker>
            <c:symbol val="none"/>
          </c:marker>
          <c:xVal>
            <c:numRef>
              <c:f>'7. Lithology 50 Geotec'!$X$3:$X$139</c:f>
              <c:numCache>
                <c:formatCode>0.00</c:formatCode>
                <c:ptCount val="137"/>
                <c:pt idx="0">
                  <c:v>180</c:v>
                </c:pt>
                <c:pt idx="1">
                  <c:v>78</c:v>
                </c:pt>
                <c:pt idx="2">
                  <c:v>87.5</c:v>
                </c:pt>
                <c:pt idx="3">
                  <c:v>15.333333333333334</c:v>
                </c:pt>
                <c:pt idx="4">
                  <c:v>96.666666666666671</c:v>
                </c:pt>
                <c:pt idx="5">
                  <c:v>20.76923076923077</c:v>
                </c:pt>
                <c:pt idx="6">
                  <c:v>29</c:v>
                </c:pt>
                <c:pt idx="7">
                  <c:v>32</c:v>
                </c:pt>
                <c:pt idx="8">
                  <c:v>24</c:v>
                </c:pt>
                <c:pt idx="9">
                  <c:v>15</c:v>
                </c:pt>
                <c:pt idx="10">
                  <c:v>38</c:v>
                </c:pt>
                <c:pt idx="11">
                  <c:v>20</c:v>
                </c:pt>
                <c:pt idx="12">
                  <c:v>24</c:v>
                </c:pt>
                <c:pt idx="13">
                  <c:v>56.666666666666664</c:v>
                </c:pt>
                <c:pt idx="14">
                  <c:v>70</c:v>
                </c:pt>
                <c:pt idx="15">
                  <c:v>76.666666666666671</c:v>
                </c:pt>
                <c:pt idx="16">
                  <c:v>26</c:v>
                </c:pt>
                <c:pt idx="17">
                  <c:v>40</c:v>
                </c:pt>
                <c:pt idx="18">
                  <c:v>50</c:v>
                </c:pt>
                <c:pt idx="19">
                  <c:v>60</c:v>
                </c:pt>
                <c:pt idx="20">
                  <c:v>135</c:v>
                </c:pt>
                <c:pt idx="21">
                  <c:v>60</c:v>
                </c:pt>
                <c:pt idx="22">
                  <c:v>43.333333333333336</c:v>
                </c:pt>
                <c:pt idx="23">
                  <c:v>102.5</c:v>
                </c:pt>
                <c:pt idx="24">
                  <c:v>215</c:v>
                </c:pt>
                <c:pt idx="25">
                  <c:v>70</c:v>
                </c:pt>
                <c:pt idx="26">
                  <c:v>73.333333333333329</c:v>
                </c:pt>
                <c:pt idx="27">
                  <c:v>100</c:v>
                </c:pt>
                <c:pt idx="28">
                  <c:v>70</c:v>
                </c:pt>
                <c:pt idx="29">
                  <c:v>53.333333333333336</c:v>
                </c:pt>
                <c:pt idx="30">
                  <c:v>32</c:v>
                </c:pt>
                <c:pt idx="31">
                  <c:v>35</c:v>
                </c:pt>
                <c:pt idx="32">
                  <c:v>28</c:v>
                </c:pt>
                <c:pt idx="33">
                  <c:v>36.666666666666664</c:v>
                </c:pt>
                <c:pt idx="34">
                  <c:v>22</c:v>
                </c:pt>
                <c:pt idx="35">
                  <c:v>10</c:v>
                </c:pt>
                <c:pt idx="36">
                  <c:v>10</c:v>
                </c:pt>
                <c:pt idx="37">
                  <c:v>36</c:v>
                </c:pt>
                <c:pt idx="38">
                  <c:v>51.666666666666664</c:v>
                </c:pt>
                <c:pt idx="39">
                  <c:v>60</c:v>
                </c:pt>
                <c:pt idx="40">
                  <c:v>36.666666666666664</c:v>
                </c:pt>
                <c:pt idx="41">
                  <c:v>46</c:v>
                </c:pt>
                <c:pt idx="42">
                  <c:v>34</c:v>
                </c:pt>
                <c:pt idx="43">
                  <c:v>30</c:v>
                </c:pt>
                <c:pt idx="44">
                  <c:v>19</c:v>
                </c:pt>
                <c:pt idx="45">
                  <c:v>24</c:v>
                </c:pt>
                <c:pt idx="46">
                  <c:v>19</c:v>
                </c:pt>
                <c:pt idx="48">
                  <c:v>20</c:v>
                </c:pt>
                <c:pt idx="49">
                  <c:v>23</c:v>
                </c:pt>
                <c:pt idx="50">
                  <c:v>25</c:v>
                </c:pt>
                <c:pt idx="51">
                  <c:v>65</c:v>
                </c:pt>
                <c:pt idx="52">
                  <c:v>62.5</c:v>
                </c:pt>
                <c:pt idx="53">
                  <c:v>83.333333333333329</c:v>
                </c:pt>
                <c:pt idx="54">
                  <c:v>56</c:v>
                </c:pt>
                <c:pt idx="55">
                  <c:v>38</c:v>
                </c:pt>
                <c:pt idx="56">
                  <c:v>46</c:v>
                </c:pt>
                <c:pt idx="57">
                  <c:v>70</c:v>
                </c:pt>
                <c:pt idx="58">
                  <c:v>53.333333333333336</c:v>
                </c:pt>
                <c:pt idx="59">
                  <c:v>36</c:v>
                </c:pt>
                <c:pt idx="60">
                  <c:v>63.333333333333336</c:v>
                </c:pt>
                <c:pt idx="61">
                  <c:v>63.333333333333336</c:v>
                </c:pt>
                <c:pt idx="62">
                  <c:v>37.5</c:v>
                </c:pt>
                <c:pt idx="63">
                  <c:v>90</c:v>
                </c:pt>
                <c:pt idx="64">
                  <c:v>46.666666666666664</c:v>
                </c:pt>
                <c:pt idx="65">
                  <c:v>95</c:v>
                </c:pt>
                <c:pt idx="66">
                  <c:v>56.666666666666664</c:v>
                </c:pt>
                <c:pt idx="67">
                  <c:v>30</c:v>
                </c:pt>
                <c:pt idx="68">
                  <c:v>52.5</c:v>
                </c:pt>
                <c:pt idx="69">
                  <c:v>53.333333333333336</c:v>
                </c:pt>
                <c:pt idx="70">
                  <c:v>56.666666666666664</c:v>
                </c:pt>
                <c:pt idx="71">
                  <c:v>30</c:v>
                </c:pt>
                <c:pt idx="72">
                  <c:v>37</c:v>
                </c:pt>
                <c:pt idx="73">
                  <c:v>24</c:v>
                </c:pt>
                <c:pt idx="74">
                  <c:v>27</c:v>
                </c:pt>
                <c:pt idx="75">
                  <c:v>22</c:v>
                </c:pt>
                <c:pt idx="76">
                  <c:v>26</c:v>
                </c:pt>
                <c:pt idx="77">
                  <c:v>58</c:v>
                </c:pt>
                <c:pt idx="78">
                  <c:v>20</c:v>
                </c:pt>
                <c:pt idx="79">
                  <c:v>16</c:v>
                </c:pt>
                <c:pt idx="80" formatCode="General">
                  <c:v>50</c:v>
                </c:pt>
                <c:pt idx="81" formatCode="General">
                  <c:v>58.000000000000014</c:v>
                </c:pt>
                <c:pt idx="82" formatCode="General">
                  <c:v>80</c:v>
                </c:pt>
                <c:pt idx="83" formatCode="General">
                  <c:v>92.5</c:v>
                </c:pt>
                <c:pt idx="84" formatCode="General">
                  <c:v>112.5</c:v>
                </c:pt>
                <c:pt idx="85" formatCode="General">
                  <c:v>63.333333333333336</c:v>
                </c:pt>
                <c:pt idx="86" formatCode="General">
                  <c:v>80</c:v>
                </c:pt>
                <c:pt idx="87" formatCode="General">
                  <c:v>50</c:v>
                </c:pt>
                <c:pt idx="88" formatCode="General">
                  <c:v>90</c:v>
                </c:pt>
                <c:pt idx="89" formatCode="General">
                  <c:v>52.5</c:v>
                </c:pt>
                <c:pt idx="90" formatCode="General">
                  <c:v>73.333333333333329</c:v>
                </c:pt>
                <c:pt idx="91" formatCode="General">
                  <c:v>77.5</c:v>
                </c:pt>
                <c:pt idx="92" formatCode="General">
                  <c:v>86.666666666666671</c:v>
                </c:pt>
                <c:pt idx="93" formatCode="General">
                  <c:v>54</c:v>
                </c:pt>
                <c:pt idx="94" formatCode="General">
                  <c:v>82.5</c:v>
                </c:pt>
                <c:pt idx="95" formatCode="General">
                  <c:v>56</c:v>
                </c:pt>
                <c:pt idx="96" formatCode="General">
                  <c:v>83.333333333333329</c:v>
                </c:pt>
                <c:pt idx="97" formatCode="General">
                  <c:v>85</c:v>
                </c:pt>
                <c:pt idx="98" formatCode="General">
                  <c:v>58.571428571428569</c:v>
                </c:pt>
                <c:pt idx="99" formatCode="General">
                  <c:v>65.714285714285708</c:v>
                </c:pt>
                <c:pt idx="100" formatCode="General">
                  <c:v>51.428571428571431</c:v>
                </c:pt>
                <c:pt idx="101" formatCode="General">
                  <c:v>42.857142857142854</c:v>
                </c:pt>
                <c:pt idx="102" formatCode="General">
                  <c:v>82.5</c:v>
                </c:pt>
                <c:pt idx="103" formatCode="General">
                  <c:v>115</c:v>
                </c:pt>
                <c:pt idx="104" formatCode="General">
                  <c:v>90</c:v>
                </c:pt>
                <c:pt idx="105" formatCode="General">
                  <c:v>97.5</c:v>
                </c:pt>
                <c:pt idx="106" formatCode="General">
                  <c:v>60</c:v>
                </c:pt>
                <c:pt idx="107" formatCode="General">
                  <c:v>48.75</c:v>
                </c:pt>
                <c:pt idx="108" formatCode="General">
                  <c:v>95</c:v>
                </c:pt>
                <c:pt idx="109" formatCode="General">
                  <c:v>116.66666666666667</c:v>
                </c:pt>
                <c:pt idx="110" formatCode="General">
                  <c:v>72</c:v>
                </c:pt>
                <c:pt idx="111" formatCode="General">
                  <c:v>153.33333333333334</c:v>
                </c:pt>
                <c:pt idx="112" formatCode="General">
                  <c:v>70</c:v>
                </c:pt>
                <c:pt idx="113" formatCode="General">
                  <c:v>245</c:v>
                </c:pt>
                <c:pt idx="114" formatCode="General">
                  <c:v>25</c:v>
                </c:pt>
                <c:pt idx="115" formatCode="General">
                  <c:v>32</c:v>
                </c:pt>
                <c:pt idx="116" formatCode="General">
                  <c:v>166.66666666666666</c:v>
                </c:pt>
                <c:pt idx="117" formatCode="General">
                  <c:v>92</c:v>
                </c:pt>
                <c:pt idx="118" formatCode="General">
                  <c:v>61.25</c:v>
                </c:pt>
                <c:pt idx="119" formatCode="General">
                  <c:v>103.33333333333333</c:v>
                </c:pt>
                <c:pt idx="120" formatCode="General">
                  <c:v>77.5</c:v>
                </c:pt>
                <c:pt idx="121" formatCode="General">
                  <c:v>130</c:v>
                </c:pt>
                <c:pt idx="122" formatCode="General">
                  <c:v>87.5</c:v>
                </c:pt>
                <c:pt idx="123" formatCode="General">
                  <c:v>205</c:v>
                </c:pt>
                <c:pt idx="124" formatCode="General">
                  <c:v>77.5</c:v>
                </c:pt>
                <c:pt idx="125" formatCode="General">
                  <c:v>110</c:v>
                </c:pt>
                <c:pt idx="126" formatCode="General">
                  <c:v>175</c:v>
                </c:pt>
                <c:pt idx="127" formatCode="General">
                  <c:v>150</c:v>
                </c:pt>
                <c:pt idx="128" formatCode="General">
                  <c:v>120</c:v>
                </c:pt>
                <c:pt idx="129" formatCode="General">
                  <c:v>110</c:v>
                </c:pt>
                <c:pt idx="130" formatCode="General">
                  <c:v>93.333333333333329</c:v>
                </c:pt>
                <c:pt idx="131" formatCode="General">
                  <c:v>100</c:v>
                </c:pt>
                <c:pt idx="132" formatCode="General">
                  <c:v>86.666666666666671</c:v>
                </c:pt>
                <c:pt idx="133" formatCode="General">
                  <c:v>180</c:v>
                </c:pt>
                <c:pt idx="134" formatCode="General">
                  <c:v>123.33333333333333</c:v>
                </c:pt>
                <c:pt idx="135" formatCode="General">
                  <c:v>97.5</c:v>
                </c:pt>
                <c:pt idx="136" formatCode="General">
                  <c:v>63.333333333333336</c:v>
                </c:pt>
              </c:numCache>
            </c:numRef>
          </c:xVal>
          <c:yVal>
            <c:numRef>
              <c:f>'7. Lithology 50 Geotec'!$T$3:$T$139</c:f>
              <c:numCache>
                <c:formatCode>0</c:formatCode>
                <c:ptCount val="137"/>
                <c:pt idx="0">
                  <c:v>60</c:v>
                </c:pt>
                <c:pt idx="1">
                  <c:v>26</c:v>
                </c:pt>
                <c:pt idx="2">
                  <c:v>32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32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38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24</c:v>
                </c:pt>
                <c:pt idx="14" formatCode="0.00">
                  <c:v>42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24</c:v>
                </c:pt>
                <c:pt idx="20" formatCode="0.00">
                  <c:v>54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46</c:v>
                </c:pt>
                <c:pt idx="24" formatCode="0.00">
                  <c:v>68</c:v>
                </c:pt>
                <c:pt idx="25" formatCode="0.00">
                  <c:v>24</c:v>
                </c:pt>
                <c:pt idx="26" formatCode="0.00">
                  <c:v>0</c:v>
                </c:pt>
                <c:pt idx="27" formatCode="0.00">
                  <c:v>20</c:v>
                </c:pt>
                <c:pt idx="28" formatCode="0.00">
                  <c:v>0</c:v>
                </c:pt>
                <c:pt idx="29" formatCode="0.00">
                  <c:v>20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26</c:v>
                </c:pt>
                <c:pt idx="58" formatCode="0.00">
                  <c:v>22</c:v>
                </c:pt>
                <c:pt idx="59" formatCode="0.00">
                  <c:v>0</c:v>
                </c:pt>
                <c:pt idx="60" formatCode="0.00">
                  <c:v>22</c:v>
                </c:pt>
                <c:pt idx="61" formatCode="0.00">
                  <c:v>22</c:v>
                </c:pt>
                <c:pt idx="62" formatCode="0.00">
                  <c:v>0</c:v>
                </c:pt>
                <c:pt idx="63" formatCode="0.00">
                  <c:v>26</c:v>
                </c:pt>
                <c:pt idx="64" formatCode="0.00">
                  <c:v>0</c:v>
                </c:pt>
                <c:pt idx="65" formatCode="0.00">
                  <c:v>42</c:v>
                </c:pt>
                <c:pt idx="66" formatCode="0.00">
                  <c:v>22</c:v>
                </c:pt>
                <c:pt idx="67" formatCode="0.00">
                  <c:v>0</c:v>
                </c:pt>
                <c:pt idx="68" formatCode="0.00">
                  <c:v>20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20</c:v>
                </c:pt>
                <c:pt idx="81" formatCode="0.00">
                  <c:v>0</c:v>
                </c:pt>
                <c:pt idx="82" formatCode="0.00">
                  <c:v>22</c:v>
                </c:pt>
                <c:pt idx="83" formatCode="0.00">
                  <c:v>30</c:v>
                </c:pt>
                <c:pt idx="84" formatCode="0.00">
                  <c:v>30</c:v>
                </c:pt>
                <c:pt idx="85" formatCode="0.00">
                  <c:v>0</c:v>
                </c:pt>
                <c:pt idx="86" formatCode="0.00">
                  <c:v>22</c:v>
                </c:pt>
                <c:pt idx="87" formatCode="0.00">
                  <c:v>20</c:v>
                </c:pt>
                <c:pt idx="88" formatCode="0.00">
                  <c:v>24</c:v>
                </c:pt>
                <c:pt idx="89" formatCode="0.00">
                  <c:v>0</c:v>
                </c:pt>
                <c:pt idx="90" formatCode="0.00">
                  <c:v>20</c:v>
                </c:pt>
                <c:pt idx="91" formatCode="0.00">
                  <c:v>28.000000000000004</c:v>
                </c:pt>
                <c:pt idx="92" formatCode="0.00">
                  <c:v>24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28.000000000000004</c:v>
                </c:pt>
                <c:pt idx="97" formatCode="0.00">
                  <c:v>34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54</c:v>
                </c:pt>
                <c:pt idx="104" formatCode="0.00">
                  <c:v>52</c:v>
                </c:pt>
                <c:pt idx="105" formatCode="0.00">
                  <c:v>34</c:v>
                </c:pt>
                <c:pt idx="106" formatCode="0.00">
                  <c:v>28.000000000000004</c:v>
                </c:pt>
                <c:pt idx="107" formatCode="0.00">
                  <c:v>0</c:v>
                </c:pt>
                <c:pt idx="108" formatCode="0.00">
                  <c:v>50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88</c:v>
                </c:pt>
                <c:pt idx="112" formatCode="0.00">
                  <c:v>20</c:v>
                </c:pt>
                <c:pt idx="113" formatCode="0.00">
                  <c:v>88</c:v>
                </c:pt>
                <c:pt idx="114" formatCode="0.00">
                  <c:v>20</c:v>
                </c:pt>
                <c:pt idx="115" formatCode="0.00">
                  <c:v>0</c:v>
                </c:pt>
                <c:pt idx="116" formatCode="0.00">
                  <c:v>72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36</c:v>
                </c:pt>
                <c:pt idx="121" formatCode="0.00">
                  <c:v>32</c:v>
                </c:pt>
                <c:pt idx="122" formatCode="0.00">
                  <c:v>30</c:v>
                </c:pt>
                <c:pt idx="123" formatCode="0.00">
                  <c:v>68</c:v>
                </c:pt>
                <c:pt idx="124" formatCode="0.00">
                  <c:v>0</c:v>
                </c:pt>
                <c:pt idx="125" formatCode="0.00">
                  <c:v>40</c:v>
                </c:pt>
                <c:pt idx="126" formatCode="0.00">
                  <c:v>46</c:v>
                </c:pt>
                <c:pt idx="127" formatCode="0.00">
                  <c:v>40</c:v>
                </c:pt>
                <c:pt idx="128" formatCode="0.00">
                  <c:v>52</c:v>
                </c:pt>
                <c:pt idx="129" formatCode="0.00">
                  <c:v>38</c:v>
                </c:pt>
                <c:pt idx="130" formatCode="0.00">
                  <c:v>52</c:v>
                </c:pt>
                <c:pt idx="131" formatCode="0.00">
                  <c:v>34</c:v>
                </c:pt>
                <c:pt idx="132" formatCode="0.00">
                  <c:v>22</c:v>
                </c:pt>
                <c:pt idx="133" formatCode="0.00">
                  <c:v>66</c:v>
                </c:pt>
                <c:pt idx="134" formatCode="0.00">
                  <c:v>20</c:v>
                </c:pt>
                <c:pt idx="135" formatCode="0.00">
                  <c:v>42</c:v>
                </c:pt>
                <c:pt idx="136" formatCode="0.00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98F-4E1D-9390-1DA4669B7857}"/>
            </c:ext>
          </c:extLst>
        </c:ser>
        <c:ser>
          <c:idx val="6"/>
          <c:order val="6"/>
          <c:tx>
            <c:v>Lithology 10</c:v>
          </c:tx>
          <c:spPr>
            <a:ln>
              <a:noFill/>
            </a:ln>
          </c:spPr>
          <c:marker>
            <c:symbol val="square"/>
            <c:size val="1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'10. Lithology 10 Geotec'!$X$2:$X$83</c:f>
              <c:numCache>
                <c:formatCode>0.00</c:formatCode>
                <c:ptCount val="82"/>
                <c:pt idx="0">
                  <c:v>54</c:v>
                </c:pt>
                <c:pt idx="1">
                  <c:v>110</c:v>
                </c:pt>
                <c:pt idx="2">
                  <c:v>500</c:v>
                </c:pt>
                <c:pt idx="3">
                  <c:v>166.66666666666666</c:v>
                </c:pt>
                <c:pt idx="4">
                  <c:v>1330</c:v>
                </c:pt>
                <c:pt idx="5">
                  <c:v>87.5</c:v>
                </c:pt>
                <c:pt idx="6">
                  <c:v>47.5</c:v>
                </c:pt>
                <c:pt idx="7">
                  <c:v>103.33333333333333</c:v>
                </c:pt>
                <c:pt idx="8">
                  <c:v>305</c:v>
                </c:pt>
                <c:pt idx="9">
                  <c:v>286.66666666666669</c:v>
                </c:pt>
                <c:pt idx="10">
                  <c:v>164</c:v>
                </c:pt>
                <c:pt idx="11">
                  <c:v>240</c:v>
                </c:pt>
                <c:pt idx="12">
                  <c:v>233.33333333333334</c:v>
                </c:pt>
                <c:pt idx="13">
                  <c:v>236.66666666666666</c:v>
                </c:pt>
                <c:pt idx="14">
                  <c:v>150</c:v>
                </c:pt>
                <c:pt idx="15">
                  <c:v>72</c:v>
                </c:pt>
                <c:pt idx="16">
                  <c:v>105.71428571428571</c:v>
                </c:pt>
                <c:pt idx="17">
                  <c:v>520</c:v>
                </c:pt>
                <c:pt idx="18">
                  <c:v>123.33333333333333</c:v>
                </c:pt>
                <c:pt idx="19">
                  <c:v>73.333333333333329</c:v>
                </c:pt>
                <c:pt idx="20">
                  <c:v>49</c:v>
                </c:pt>
                <c:pt idx="21">
                  <c:v>125</c:v>
                </c:pt>
                <c:pt idx="22">
                  <c:v>146.66666666666666</c:v>
                </c:pt>
                <c:pt idx="23">
                  <c:v>32.666666666666664</c:v>
                </c:pt>
                <c:pt idx="24">
                  <c:v>124</c:v>
                </c:pt>
                <c:pt idx="25">
                  <c:v>98</c:v>
                </c:pt>
                <c:pt idx="26">
                  <c:v>120</c:v>
                </c:pt>
                <c:pt idx="27">
                  <c:v>32.666666666666664</c:v>
                </c:pt>
                <c:pt idx="28">
                  <c:v>150</c:v>
                </c:pt>
                <c:pt idx="29">
                  <c:v>126.66666666666667</c:v>
                </c:pt>
                <c:pt idx="30">
                  <c:v>46</c:v>
                </c:pt>
                <c:pt idx="31">
                  <c:v>126.66666666666667</c:v>
                </c:pt>
                <c:pt idx="32">
                  <c:v>156.66666666666666</c:v>
                </c:pt>
                <c:pt idx="33">
                  <c:v>86</c:v>
                </c:pt>
                <c:pt idx="34">
                  <c:v>125</c:v>
                </c:pt>
                <c:pt idx="35">
                  <c:v>41.666666666666664</c:v>
                </c:pt>
                <c:pt idx="36">
                  <c:v>55</c:v>
                </c:pt>
                <c:pt idx="37">
                  <c:v>43.333333333333336</c:v>
                </c:pt>
                <c:pt idx="38">
                  <c:v>24</c:v>
                </c:pt>
                <c:pt idx="39">
                  <c:v>28</c:v>
                </c:pt>
                <c:pt idx="40">
                  <c:v>33.75</c:v>
                </c:pt>
                <c:pt idx="41">
                  <c:v>74</c:v>
                </c:pt>
                <c:pt idx="42">
                  <c:v>47.142857142857146</c:v>
                </c:pt>
                <c:pt idx="43">
                  <c:v>150</c:v>
                </c:pt>
                <c:pt idx="44">
                  <c:v>65</c:v>
                </c:pt>
                <c:pt idx="45">
                  <c:v>70</c:v>
                </c:pt>
                <c:pt idx="46">
                  <c:v>28.571428571428573</c:v>
                </c:pt>
                <c:pt idx="47">
                  <c:v>71.666666666666671</c:v>
                </c:pt>
                <c:pt idx="48">
                  <c:v>53</c:v>
                </c:pt>
                <c:pt idx="49">
                  <c:v>100</c:v>
                </c:pt>
                <c:pt idx="50">
                  <c:v>485</c:v>
                </c:pt>
                <c:pt idx="51">
                  <c:v>71.428571428571431</c:v>
                </c:pt>
                <c:pt idx="52">
                  <c:v>27</c:v>
                </c:pt>
                <c:pt idx="53">
                  <c:v>25</c:v>
                </c:pt>
                <c:pt idx="54">
                  <c:v>100</c:v>
                </c:pt>
                <c:pt idx="55">
                  <c:v>146.66666666666666</c:v>
                </c:pt>
                <c:pt idx="56">
                  <c:v>100</c:v>
                </c:pt>
                <c:pt idx="57">
                  <c:v>83.333333333333329</c:v>
                </c:pt>
                <c:pt idx="58">
                  <c:v>90</c:v>
                </c:pt>
                <c:pt idx="59">
                  <c:v>60</c:v>
                </c:pt>
                <c:pt idx="60">
                  <c:v>86</c:v>
                </c:pt>
                <c:pt idx="61">
                  <c:v>29</c:v>
                </c:pt>
                <c:pt idx="62">
                  <c:v>16.666666666666668</c:v>
                </c:pt>
                <c:pt idx="63">
                  <c:v>235</c:v>
                </c:pt>
                <c:pt idx="64">
                  <c:v>170</c:v>
                </c:pt>
                <c:pt idx="65">
                  <c:v>170</c:v>
                </c:pt>
                <c:pt idx="66">
                  <c:v>100</c:v>
                </c:pt>
                <c:pt idx="67">
                  <c:v>166.66666666666666</c:v>
                </c:pt>
                <c:pt idx="68">
                  <c:v>125</c:v>
                </c:pt>
                <c:pt idx="69">
                  <c:v>250</c:v>
                </c:pt>
                <c:pt idx="70">
                  <c:v>125</c:v>
                </c:pt>
                <c:pt idx="71">
                  <c:v>102.5</c:v>
                </c:pt>
                <c:pt idx="72">
                  <c:v>100</c:v>
                </c:pt>
                <c:pt idx="73">
                  <c:v>163.33333333333334</c:v>
                </c:pt>
                <c:pt idx="74">
                  <c:v>205</c:v>
                </c:pt>
                <c:pt idx="75">
                  <c:v>230</c:v>
                </c:pt>
                <c:pt idx="76">
                  <c:v>156.66666666666666</c:v>
                </c:pt>
                <c:pt idx="77">
                  <c:v>215</c:v>
                </c:pt>
                <c:pt idx="78">
                  <c:v>480</c:v>
                </c:pt>
                <c:pt idx="79">
                  <c:v>235</c:v>
                </c:pt>
                <c:pt idx="80">
                  <c:v>156.66666666666666</c:v>
                </c:pt>
                <c:pt idx="81">
                  <c:v>153.33333333333334</c:v>
                </c:pt>
              </c:numCache>
            </c:numRef>
          </c:xVal>
          <c:yVal>
            <c:numRef>
              <c:f>'10. Lithology 10 Geotec'!$T$2:$T$83</c:f>
              <c:numCache>
                <c:formatCode>0</c:formatCode>
                <c:ptCount val="82"/>
                <c:pt idx="0">
                  <c:v>52</c:v>
                </c:pt>
                <c:pt idx="1">
                  <c:v>36</c:v>
                </c:pt>
                <c:pt idx="2">
                  <c:v>100</c:v>
                </c:pt>
                <c:pt idx="3">
                  <c:v>62</c:v>
                </c:pt>
                <c:pt idx="4">
                  <c:v>94.736842105263278</c:v>
                </c:pt>
                <c:pt idx="5">
                  <c:v>34</c:v>
                </c:pt>
                <c:pt idx="6">
                  <c:v>32</c:v>
                </c:pt>
                <c:pt idx="7">
                  <c:v>22</c:v>
                </c:pt>
                <c:pt idx="8">
                  <c:v>85.714285714285367</c:v>
                </c:pt>
                <c:pt idx="9">
                  <c:v>58.510638297872489</c:v>
                </c:pt>
                <c:pt idx="10">
                  <c:v>52.427184466019362</c:v>
                </c:pt>
                <c:pt idx="11">
                  <c:v>80</c:v>
                </c:pt>
                <c:pt idx="12">
                  <c:v>82.432432432432606</c:v>
                </c:pt>
                <c:pt idx="13">
                  <c:v>74.999999999999929</c:v>
                </c:pt>
                <c:pt idx="14">
                  <c:v>40</c:v>
                </c:pt>
                <c:pt idx="15">
                  <c:v>30</c:v>
                </c:pt>
                <c:pt idx="16">
                  <c:v>26.666666666666668</c:v>
                </c:pt>
                <c:pt idx="17">
                  <c:v>92.857142857142478</c:v>
                </c:pt>
                <c:pt idx="18">
                  <c:v>64</c:v>
                </c:pt>
                <c:pt idx="19">
                  <c:v>40</c:v>
                </c:pt>
                <c:pt idx="20">
                  <c:v>0</c:v>
                </c:pt>
                <c:pt idx="21">
                  <c:v>57.999999999999993</c:v>
                </c:pt>
                <c:pt idx="22">
                  <c:v>36</c:v>
                </c:pt>
                <c:pt idx="23">
                  <c:v>0</c:v>
                </c:pt>
                <c:pt idx="24">
                  <c:v>32.85714285714306</c:v>
                </c:pt>
                <c:pt idx="25">
                  <c:v>49.999999999999879</c:v>
                </c:pt>
                <c:pt idx="26">
                  <c:v>22</c:v>
                </c:pt>
                <c:pt idx="27">
                  <c:v>0</c:v>
                </c:pt>
                <c:pt idx="28">
                  <c:v>39.999999999999901</c:v>
                </c:pt>
                <c:pt idx="29">
                  <c:v>56.000000000000007</c:v>
                </c:pt>
                <c:pt idx="30">
                  <c:v>0</c:v>
                </c:pt>
                <c:pt idx="31">
                  <c:v>47.500000000000171</c:v>
                </c:pt>
                <c:pt idx="32">
                  <c:v>31.666666666666593</c:v>
                </c:pt>
                <c:pt idx="33">
                  <c:v>30</c:v>
                </c:pt>
                <c:pt idx="34">
                  <c:v>21.428571428571558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36</c:v>
                </c:pt>
                <c:pt idx="44">
                  <c:v>28.000000000000004</c:v>
                </c:pt>
                <c:pt idx="45">
                  <c:v>24</c:v>
                </c:pt>
                <c:pt idx="46">
                  <c:v>0</c:v>
                </c:pt>
                <c:pt idx="47">
                  <c:v>34.545454545454277</c:v>
                </c:pt>
                <c:pt idx="48">
                  <c:v>0</c:v>
                </c:pt>
                <c:pt idx="49">
                  <c:v>35.714285714285573</c:v>
                </c:pt>
                <c:pt idx="50">
                  <c:v>81</c:v>
                </c:pt>
                <c:pt idx="51">
                  <c:v>28.000000000000004</c:v>
                </c:pt>
                <c:pt idx="52">
                  <c:v>0</c:v>
                </c:pt>
                <c:pt idx="53">
                  <c:v>0</c:v>
                </c:pt>
                <c:pt idx="54">
                  <c:v>54</c:v>
                </c:pt>
                <c:pt idx="55">
                  <c:v>20</c:v>
                </c:pt>
                <c:pt idx="56">
                  <c:v>32</c:v>
                </c:pt>
                <c:pt idx="57">
                  <c:v>32</c:v>
                </c:pt>
                <c:pt idx="58">
                  <c:v>30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80</c:v>
                </c:pt>
                <c:pt idx="64">
                  <c:v>54.545454545454831</c:v>
                </c:pt>
                <c:pt idx="65">
                  <c:v>69.999999999999829</c:v>
                </c:pt>
                <c:pt idx="66">
                  <c:v>32</c:v>
                </c:pt>
                <c:pt idx="67" formatCode="0.00">
                  <c:v>88</c:v>
                </c:pt>
                <c:pt idx="68" formatCode="0.00">
                  <c:v>54</c:v>
                </c:pt>
                <c:pt idx="69" formatCode="0.00">
                  <c:v>92</c:v>
                </c:pt>
                <c:pt idx="70" formatCode="0.00">
                  <c:v>57.999999999999993</c:v>
                </c:pt>
                <c:pt idx="71" formatCode="0.00">
                  <c:v>56.000000000000007</c:v>
                </c:pt>
                <c:pt idx="72" formatCode="0.00">
                  <c:v>57.999999999999993</c:v>
                </c:pt>
                <c:pt idx="73" formatCode="0.00">
                  <c:v>57.999999999999993</c:v>
                </c:pt>
                <c:pt idx="74" formatCode="0.00">
                  <c:v>60</c:v>
                </c:pt>
                <c:pt idx="75" formatCode="0.00">
                  <c:v>84</c:v>
                </c:pt>
                <c:pt idx="76" formatCode="0.00">
                  <c:v>74</c:v>
                </c:pt>
                <c:pt idx="77" formatCode="0.00">
                  <c:v>84</c:v>
                </c:pt>
                <c:pt idx="78" formatCode="0.00">
                  <c:v>96</c:v>
                </c:pt>
                <c:pt idx="79" formatCode="0.00">
                  <c:v>92</c:v>
                </c:pt>
                <c:pt idx="80" formatCode="0.00">
                  <c:v>62</c:v>
                </c:pt>
                <c:pt idx="81" formatCode="0.00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98F-4E1D-9390-1DA4669B7857}"/>
            </c:ext>
          </c:extLst>
        </c:ser>
        <c:ser>
          <c:idx val="7"/>
          <c:order val="7"/>
          <c:tx>
            <c:v>Lithology 20</c:v>
          </c:tx>
          <c:spPr>
            <a:ln>
              <a:noFill/>
            </a:ln>
          </c:spPr>
          <c:marker>
            <c:symbol val="square"/>
            <c:size val="14"/>
            <c:spPr>
              <a:solidFill>
                <a:srgbClr val="00FF00"/>
              </a:solidFill>
              <a:ln>
                <a:solidFill>
                  <a:srgbClr val="00FF00"/>
                </a:solidFill>
              </a:ln>
            </c:spPr>
          </c:marker>
          <c:xVal>
            <c:numRef>
              <c:f>'8. Lithology 20 Geotec'!$X$2:$X$68</c:f>
              <c:numCache>
                <c:formatCode>0.00</c:formatCode>
                <c:ptCount val="67"/>
                <c:pt idx="0">
                  <c:v>33.333333333333336</c:v>
                </c:pt>
                <c:pt idx="1">
                  <c:v>21.428571428571427</c:v>
                </c:pt>
                <c:pt idx="2">
                  <c:v>40</c:v>
                </c:pt>
                <c:pt idx="3">
                  <c:v>30</c:v>
                </c:pt>
                <c:pt idx="4">
                  <c:v>34</c:v>
                </c:pt>
                <c:pt idx="5">
                  <c:v>28</c:v>
                </c:pt>
                <c:pt idx="6">
                  <c:v>22</c:v>
                </c:pt>
                <c:pt idx="7">
                  <c:v>20</c:v>
                </c:pt>
                <c:pt idx="8">
                  <c:v>22</c:v>
                </c:pt>
                <c:pt idx="9">
                  <c:v>46.666666666666664</c:v>
                </c:pt>
                <c:pt idx="10">
                  <c:v>63.333333333333336</c:v>
                </c:pt>
                <c:pt idx="11">
                  <c:v>24</c:v>
                </c:pt>
                <c:pt idx="12">
                  <c:v>20</c:v>
                </c:pt>
                <c:pt idx="13">
                  <c:v>32</c:v>
                </c:pt>
                <c:pt idx="14">
                  <c:v>24</c:v>
                </c:pt>
                <c:pt idx="15">
                  <c:v>51.666666666666664</c:v>
                </c:pt>
                <c:pt idx="16">
                  <c:v>33</c:v>
                </c:pt>
                <c:pt idx="17">
                  <c:v>94</c:v>
                </c:pt>
                <c:pt idx="18">
                  <c:v>46.25</c:v>
                </c:pt>
                <c:pt idx="19">
                  <c:v>44</c:v>
                </c:pt>
                <c:pt idx="20">
                  <c:v>43.333333333333336</c:v>
                </c:pt>
                <c:pt idx="21">
                  <c:v>67.5</c:v>
                </c:pt>
                <c:pt idx="22">
                  <c:v>100</c:v>
                </c:pt>
                <c:pt idx="23">
                  <c:v>71.428571428571431</c:v>
                </c:pt>
                <c:pt idx="24">
                  <c:v>84</c:v>
                </c:pt>
                <c:pt idx="25">
                  <c:v>35.714285714285715</c:v>
                </c:pt>
                <c:pt idx="26">
                  <c:v>42</c:v>
                </c:pt>
                <c:pt idx="27">
                  <c:v>36</c:v>
                </c:pt>
                <c:pt idx="28">
                  <c:v>34</c:v>
                </c:pt>
                <c:pt idx="29">
                  <c:v>40</c:v>
                </c:pt>
                <c:pt idx="30">
                  <c:v>66.666666666666671</c:v>
                </c:pt>
                <c:pt idx="31">
                  <c:v>50</c:v>
                </c:pt>
                <c:pt idx="32">
                  <c:v>44</c:v>
                </c:pt>
                <c:pt idx="33">
                  <c:v>37.142857142857146</c:v>
                </c:pt>
                <c:pt idx="34">
                  <c:v>66.666666666666671</c:v>
                </c:pt>
                <c:pt idx="35">
                  <c:v>83.333333333333329</c:v>
                </c:pt>
                <c:pt idx="36">
                  <c:v>46.25</c:v>
                </c:pt>
                <c:pt idx="37">
                  <c:v>54.285714285714285</c:v>
                </c:pt>
                <c:pt idx="38">
                  <c:v>115</c:v>
                </c:pt>
                <c:pt idx="39">
                  <c:v>61.666666666666664</c:v>
                </c:pt>
                <c:pt idx="40">
                  <c:v>153.33333333333334</c:v>
                </c:pt>
                <c:pt idx="41">
                  <c:v>44.444444444444443</c:v>
                </c:pt>
                <c:pt idx="42">
                  <c:v>60</c:v>
                </c:pt>
                <c:pt idx="43">
                  <c:v>83.333333333333329</c:v>
                </c:pt>
                <c:pt idx="44">
                  <c:v>42.000000000000007</c:v>
                </c:pt>
                <c:pt idx="45">
                  <c:v>83.333333333333329</c:v>
                </c:pt>
                <c:pt idx="46">
                  <c:v>146.66666666666666</c:v>
                </c:pt>
                <c:pt idx="47">
                  <c:v>160</c:v>
                </c:pt>
                <c:pt idx="48">
                  <c:v>50</c:v>
                </c:pt>
                <c:pt idx="49">
                  <c:v>75</c:v>
                </c:pt>
                <c:pt idx="50">
                  <c:v>106.66666666666667</c:v>
                </c:pt>
                <c:pt idx="51">
                  <c:v>110.00000000000001</c:v>
                </c:pt>
                <c:pt idx="52">
                  <c:v>96</c:v>
                </c:pt>
                <c:pt idx="53">
                  <c:v>71.428571428571431</c:v>
                </c:pt>
                <c:pt idx="54">
                  <c:v>68.333333333333329</c:v>
                </c:pt>
                <c:pt idx="55">
                  <c:v>122.5</c:v>
                </c:pt>
                <c:pt idx="56">
                  <c:v>146.66666666666666</c:v>
                </c:pt>
                <c:pt idx="57">
                  <c:v>500</c:v>
                </c:pt>
                <c:pt idx="58">
                  <c:v>156.66666666666666</c:v>
                </c:pt>
                <c:pt idx="59">
                  <c:v>60</c:v>
                </c:pt>
                <c:pt idx="60">
                  <c:v>133.33333333333334</c:v>
                </c:pt>
                <c:pt idx="61">
                  <c:v>86.000000000000014</c:v>
                </c:pt>
                <c:pt idx="62">
                  <c:v>62.5</c:v>
                </c:pt>
                <c:pt idx="63">
                  <c:v>68.571428571428569</c:v>
                </c:pt>
                <c:pt idx="64">
                  <c:v>140</c:v>
                </c:pt>
                <c:pt idx="65">
                  <c:v>65.714285714285708</c:v>
                </c:pt>
                <c:pt idx="66">
                  <c:v>37</c:v>
                </c:pt>
              </c:numCache>
            </c:numRef>
          </c:xVal>
          <c:yVal>
            <c:numRef>
              <c:f>'8. Lithology 20 Geotec'!$T$2:$T$68</c:f>
              <c:numCache>
                <c:formatCode>0.00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44</c:v>
                </c:pt>
                <c:pt idx="21">
                  <c:v>0</c:v>
                </c:pt>
                <c:pt idx="22">
                  <c:v>26</c:v>
                </c:pt>
                <c:pt idx="23">
                  <c:v>26</c:v>
                </c:pt>
                <c:pt idx="24">
                  <c:v>36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26</c:v>
                </c:pt>
                <c:pt idx="35">
                  <c:v>20</c:v>
                </c:pt>
                <c:pt idx="36">
                  <c:v>0</c:v>
                </c:pt>
                <c:pt idx="37">
                  <c:v>0</c:v>
                </c:pt>
                <c:pt idx="38">
                  <c:v>48</c:v>
                </c:pt>
                <c:pt idx="39">
                  <c:v>0</c:v>
                </c:pt>
                <c:pt idx="40">
                  <c:v>44</c:v>
                </c:pt>
                <c:pt idx="41">
                  <c:v>0</c:v>
                </c:pt>
                <c:pt idx="42">
                  <c:v>30</c:v>
                </c:pt>
                <c:pt idx="43">
                  <c:v>26</c:v>
                </c:pt>
                <c:pt idx="44">
                  <c:v>0</c:v>
                </c:pt>
                <c:pt idx="45">
                  <c:v>0</c:v>
                </c:pt>
                <c:pt idx="46">
                  <c:v>28.000000000000004</c:v>
                </c:pt>
                <c:pt idx="47">
                  <c:v>50</c:v>
                </c:pt>
                <c:pt idx="48">
                  <c:v>0</c:v>
                </c:pt>
                <c:pt idx="49">
                  <c:v>48</c:v>
                </c:pt>
                <c:pt idx="50">
                  <c:v>48</c:v>
                </c:pt>
                <c:pt idx="51">
                  <c:v>84</c:v>
                </c:pt>
                <c:pt idx="52">
                  <c:v>0</c:v>
                </c:pt>
                <c:pt idx="53">
                  <c:v>28.000000000000004</c:v>
                </c:pt>
                <c:pt idx="54">
                  <c:v>26</c:v>
                </c:pt>
                <c:pt idx="55">
                  <c:v>20</c:v>
                </c:pt>
                <c:pt idx="56">
                  <c:v>44</c:v>
                </c:pt>
                <c:pt idx="57">
                  <c:v>100</c:v>
                </c:pt>
                <c:pt idx="58">
                  <c:v>54</c:v>
                </c:pt>
                <c:pt idx="59">
                  <c:v>0</c:v>
                </c:pt>
                <c:pt idx="60">
                  <c:v>50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66</c:v>
                </c:pt>
                <c:pt idx="65">
                  <c:v>20</c:v>
                </c:pt>
                <c:pt idx="66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98F-4E1D-9390-1DA4669B7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s-PE" sz="2800" b="0"/>
                  <a:t>Spacing</a:t>
                </a:r>
                <a:r>
                  <a:rPr lang="es-PE" sz="2800" b="0" baseline="0"/>
                  <a:t> (mm)</a:t>
                </a:r>
                <a:endParaRPr lang="es-PE" sz="2800" b="0"/>
              </a:p>
            </c:rich>
          </c:tx>
          <c:layout>
            <c:manualLayout>
              <c:xMode val="edge"/>
              <c:yMode val="edge"/>
              <c:x val="0.45673345686104183"/>
              <c:y val="0.8830284675953967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2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2800"/>
                </a:pPr>
                <a:r>
                  <a:rPr lang="es-PE" sz="2800"/>
                  <a:t>RQD (%)</a:t>
                </a:r>
              </a:p>
            </c:rich>
          </c:tx>
          <c:layout>
            <c:manualLayout>
              <c:xMode val="edge"/>
              <c:yMode val="edge"/>
              <c:x val="3.008167398546336E-2"/>
              <c:y val="0.3914180519101779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2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9.807124470018172E-2"/>
          <c:y val="0.92553536016331295"/>
          <c:w val="0.83734553198643769"/>
          <c:h val="6.2732687260246306E-2"/>
        </c:manualLayout>
      </c:layout>
      <c:overlay val="0"/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0496816727316"/>
          <c:y val="2.9907853330319732E-2"/>
          <c:w val="0.82243733243744876"/>
          <c:h val="0.83317888624232839"/>
        </c:manualLayout>
      </c:layout>
      <c:barChart>
        <c:barDir val="col"/>
        <c:grouping val="clustered"/>
        <c:varyColors val="0"/>
        <c:ser>
          <c:idx val="1"/>
          <c:order val="0"/>
          <c:tx>
            <c:v>Lithology 40</c:v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'5. Litologia 40 Geotec'!$CH$35:$CH$41</c:f>
              <c:numCache>
                <c:formatCode>0%</c:formatCode>
                <c:ptCount val="7"/>
                <c:pt idx="0">
                  <c:v>0.22147651006711411</c:v>
                </c:pt>
                <c:pt idx="1">
                  <c:v>0.21476510067114093</c:v>
                </c:pt>
                <c:pt idx="2">
                  <c:v>0.21476510067114093</c:v>
                </c:pt>
                <c:pt idx="3">
                  <c:v>0.34899328859060402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8-4728-8786-DB5489875E13}"/>
            </c:ext>
          </c:extLst>
        </c:ser>
        <c:ser>
          <c:idx val="2"/>
          <c:order val="1"/>
          <c:tx>
            <c:v>Lithology 30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'6. Litologia 30 Geotec'!$BA$93:$BA$99</c:f>
              <c:numCache>
                <c:formatCode>0%</c:formatCode>
                <c:ptCount val="7"/>
                <c:pt idx="0">
                  <c:v>0.13253012048192772</c:v>
                </c:pt>
                <c:pt idx="1">
                  <c:v>0.86746987951807231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98-4728-8786-DB5489875E13}"/>
            </c:ext>
          </c:extLst>
        </c:ser>
        <c:ser>
          <c:idx val="3"/>
          <c:order val="2"/>
          <c:tx>
            <c:v>Lithology 50</c:v>
          </c:tx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98-4728-8786-DB5489875E13}"/>
            </c:ext>
          </c:extLst>
        </c:ser>
        <c:ser>
          <c:idx val="4"/>
          <c:order val="3"/>
          <c:tx>
            <c:v>Lithology 20</c:v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98-4728-8786-DB5489875E13}"/>
            </c:ext>
          </c:extLst>
        </c:ser>
        <c:ser>
          <c:idx val="0"/>
          <c:order val="4"/>
          <c:tx>
            <c:v>Lithology 10</c:v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'6. Litologia 30 Geotec'!$AT$93:$AT$99</c:f>
              <c:strCache>
                <c:ptCount val="7"/>
                <c:pt idx="0">
                  <c:v>R0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8-4728-8786-DB5489875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Strength</a:t>
                </a:r>
              </a:p>
            </c:rich>
          </c:tx>
          <c:layout>
            <c:manualLayout>
              <c:xMode val="edge"/>
              <c:yMode val="edge"/>
              <c:x val="0.50332487161782313"/>
              <c:y val="0.9478852983483939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pt-BR" sz="16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3213554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546437972196536"/>
          <c:y val="0.13963123945963801"/>
          <c:w val="0.17349071739501631"/>
          <c:h val="0.2239277083297112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Aperture</a:t>
            </a:r>
          </a:p>
        </c:rich>
      </c:tx>
      <c:layout>
        <c:manualLayout>
          <c:xMode val="edge"/>
          <c:yMode val="edge"/>
          <c:x val="0.45719724482158441"/>
          <c:y val="2.45789210690409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25555597383443"/>
          <c:y val="8.8004629168756801E-2"/>
          <c:w val="0.83714397700548737"/>
          <c:h val="0.8334176955780026"/>
        </c:manualLayout>
      </c:layout>
      <c:barChart>
        <c:barDir val="col"/>
        <c:grouping val="clustered"/>
        <c:varyColors val="0"/>
        <c:ser>
          <c:idx val="0"/>
          <c:order val="0"/>
          <c:tx>
            <c:v>Lithology 40</c:v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Geotec'!$DO$16:$DO$20</c:f>
              <c:strCache>
                <c:ptCount val="5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</c:strCache>
            </c:strRef>
          </c:cat>
          <c:val>
            <c:numRef>
              <c:f>'5. Litologia 40 Geotec'!$DV$16:$DV$20</c:f>
              <c:numCache>
                <c:formatCode>0%</c:formatCode>
                <c:ptCount val="5"/>
                <c:pt idx="0">
                  <c:v>0.55704697986577179</c:v>
                </c:pt>
                <c:pt idx="1">
                  <c:v>0.40939597315436244</c:v>
                </c:pt>
                <c:pt idx="2">
                  <c:v>3.3557046979865772E-2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3-4147-9E19-EA2A6031C071}"/>
            </c:ext>
          </c:extLst>
        </c:ser>
        <c:ser>
          <c:idx val="2"/>
          <c:order val="1"/>
          <c:tx>
            <c:v>Lithology 50</c:v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Geotec'!$DO$16:$DO$20</c:f>
              <c:strCache>
                <c:ptCount val="5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</c:strCache>
            </c:strRef>
          </c:cat>
          <c:val>
            <c:numRef>
              <c:f>'7. Lithology 50 Geotec'!$CZ$13:$CZ$17</c:f>
              <c:numCache>
                <c:formatCode>0%</c:formatCode>
                <c:ptCount val="5"/>
                <c:pt idx="0">
                  <c:v>0.71532846715328469</c:v>
                </c:pt>
                <c:pt idx="1">
                  <c:v>0.25547445255474455</c:v>
                </c:pt>
                <c:pt idx="2">
                  <c:v>2.9197080291970802E-2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13-4147-9E19-EA2A6031C071}"/>
            </c:ext>
          </c:extLst>
        </c:ser>
        <c:ser>
          <c:idx val="1"/>
          <c:order val="2"/>
          <c:tx>
            <c:v>Lithology 30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Geotec'!$DO$16:$DO$20</c:f>
              <c:strCache>
                <c:ptCount val="5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</c:strCache>
            </c:strRef>
          </c:cat>
          <c:val>
            <c:numRef>
              <c:f>'6. Litologia 30 Geotec'!$CZ$14:$CZ$18</c:f>
              <c:numCache>
                <c:formatCode>0%</c:formatCode>
                <c:ptCount val="5"/>
                <c:pt idx="0">
                  <c:v>0.38554216867469882</c:v>
                </c:pt>
                <c:pt idx="1">
                  <c:v>0.45783132530120479</c:v>
                </c:pt>
                <c:pt idx="2">
                  <c:v>0.15662650602409639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13-4147-9E19-EA2A6031C071}"/>
            </c:ext>
          </c:extLst>
        </c:ser>
        <c:ser>
          <c:idx val="3"/>
          <c:order val="3"/>
          <c:tx>
            <c:v>Lithology 20</c:v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Geotec'!$DO$16:$DO$20</c:f>
              <c:strCache>
                <c:ptCount val="5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</c:strCache>
            </c:strRef>
          </c:cat>
          <c:val>
            <c:numRef>
              <c:f>'8. Lithology 20 Geotec'!$CY$15:$CY$19</c:f>
              <c:numCache>
                <c:formatCode>0%</c:formatCode>
                <c:ptCount val="5"/>
                <c:pt idx="0">
                  <c:v>7.4626865671641784E-2</c:v>
                </c:pt>
                <c:pt idx="1">
                  <c:v>0.91044776119402981</c:v>
                </c:pt>
                <c:pt idx="2">
                  <c:v>1.4925373134328358E-2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13-4147-9E19-EA2A6031C071}"/>
            </c:ext>
          </c:extLst>
        </c:ser>
        <c:ser>
          <c:idx val="4"/>
          <c:order val="4"/>
          <c:tx>
            <c:v>Lithology 10</c:v>
          </c:tx>
          <c:spPr>
            <a:solidFill>
              <a:srgbClr val="0000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Geotec'!$DO$16:$DO$20</c:f>
              <c:strCache>
                <c:ptCount val="5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</c:strCache>
            </c:strRef>
          </c:cat>
          <c:val>
            <c:numRef>
              <c:f>'10. Lithology 10 Geotec'!$CZ$13:$CZ$17</c:f>
              <c:numCache>
                <c:formatCode>0%</c:formatCode>
                <c:ptCount val="5"/>
                <c:pt idx="0">
                  <c:v>7.3170731707317069E-2</c:v>
                </c:pt>
                <c:pt idx="1">
                  <c:v>0.18292682926829268</c:v>
                </c:pt>
                <c:pt idx="2">
                  <c:v>0.71951219512195119</c:v>
                </c:pt>
                <c:pt idx="3">
                  <c:v>2.4390243902439025E-2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13-4147-9E19-EA2A6031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pt-BR" sz="18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4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874933567471093"/>
          <c:y val="0.11578774826738539"/>
          <c:w val="0.18085287187822474"/>
          <c:h val="0.2713650992854684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RQD</a:t>
            </a:r>
          </a:p>
        </c:rich>
      </c:tx>
      <c:layout>
        <c:manualLayout>
          <c:xMode val="edge"/>
          <c:yMode val="edge"/>
          <c:x val="0.45719724482158441"/>
          <c:y val="2.45789210690409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25555597383443"/>
          <c:y val="8.8004629168756801E-2"/>
          <c:w val="0.83714397700548737"/>
          <c:h val="0.8334176955780026"/>
        </c:manualLayout>
      </c:layout>
      <c:barChart>
        <c:barDir val="col"/>
        <c:grouping val="clustered"/>
        <c:varyColors val="0"/>
        <c:ser>
          <c:idx val="0"/>
          <c:order val="0"/>
          <c:tx>
            <c:v>Lithology 40</c:v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Geotec'!$EA$16:$EA$20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cat>
          <c:val>
            <c:numRef>
              <c:f>'5. Litologia 40 Geotec'!$EH$16:$EH$20</c:f>
              <c:numCache>
                <c:formatCode>0%</c:formatCode>
                <c:ptCount val="5"/>
                <c:pt idx="0">
                  <c:v>0.61073825503355705</c:v>
                </c:pt>
                <c:pt idx="1">
                  <c:v>0.2348993288590604</c:v>
                </c:pt>
                <c:pt idx="2">
                  <c:v>0.12080536912751678</c:v>
                </c:pt>
                <c:pt idx="3">
                  <c:v>2.6845637583892617E-2</c:v>
                </c:pt>
                <c:pt idx="4">
                  <c:v>6.7114093959731542E-3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A-4849-8C83-80038B9B25B1}"/>
            </c:ext>
          </c:extLst>
        </c:ser>
        <c:ser>
          <c:idx val="2"/>
          <c:order val="1"/>
          <c:tx>
            <c:v>Lithology 50</c:v>
          </c:tx>
          <c:spPr>
            <a:solidFill>
              <a:srgbClr val="FF99CC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'5. Litologia 40 Geotec'!$EA$16:$EA$20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cat>
          <c:val>
            <c:numRef>
              <c:f>'7. Lithology 50 Geotec'!$DN$13:$DN$17</c:f>
              <c:numCache>
                <c:formatCode>0%</c:formatCode>
                <c:ptCount val="5"/>
                <c:pt idx="0">
                  <c:v>0.55474452554744524</c:v>
                </c:pt>
                <c:pt idx="1">
                  <c:v>0.31386861313868614</c:v>
                </c:pt>
                <c:pt idx="2">
                  <c:v>8.7591240875912413E-2</c:v>
                </c:pt>
                <c:pt idx="3">
                  <c:v>2.9197080291970802E-2</c:v>
                </c:pt>
                <c:pt idx="4">
                  <c:v>1.4598540145985401E-2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2A-4849-8C83-80038B9B25B1}"/>
            </c:ext>
          </c:extLst>
        </c:ser>
        <c:ser>
          <c:idx val="1"/>
          <c:order val="2"/>
          <c:tx>
            <c:v>Lithology 30</c:v>
          </c:tx>
          <c:spPr>
            <a:solidFill>
              <a:srgbClr val="FF0000"/>
            </a:solidFill>
          </c:spPr>
          <c:invertIfNegative val="0"/>
          <c:cat>
            <c:strRef>
              <c:f>'5. Litologia 40 Geotec'!$EA$16:$EA$20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cat>
          <c:val>
            <c:numRef>
              <c:f>'6. Litologia 30 Geotec'!$DO$14:$DO$18</c:f>
              <c:numCache>
                <c:formatCode>0%</c:formatCode>
                <c:ptCount val="5"/>
                <c:pt idx="0">
                  <c:v>0.984375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2A-4849-8C83-80038B9B25B1}"/>
            </c:ext>
          </c:extLst>
        </c:ser>
        <c:ser>
          <c:idx val="3"/>
          <c:order val="3"/>
          <c:tx>
            <c:v>Lithology 20</c:v>
          </c:tx>
          <c:spPr>
            <a:solidFill>
              <a:srgbClr val="00FF00"/>
            </a:solidFill>
          </c:spPr>
          <c:invertIfNegative val="0"/>
          <c:cat>
            <c:strRef>
              <c:f>'5. Litologia 40 Geotec'!$EA$16:$EA$20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cat>
          <c:val>
            <c:numRef>
              <c:f>'8. Lithology 20 Geotec'!$DO$14:$DO$18</c:f>
              <c:numCache>
                <c:formatCode>0%</c:formatCode>
                <c:ptCount val="5"/>
                <c:pt idx="0">
                  <c:v>0.58208955223880599</c:v>
                </c:pt>
                <c:pt idx="1">
                  <c:v>0.22388059701492538</c:v>
                </c:pt>
                <c:pt idx="2">
                  <c:v>0.14925373134328357</c:v>
                </c:pt>
                <c:pt idx="3">
                  <c:v>2.9850746268656716E-2</c:v>
                </c:pt>
                <c:pt idx="4">
                  <c:v>1.4925373134328358E-2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2A-4849-8C83-80038B9B25B1}"/>
            </c:ext>
          </c:extLst>
        </c:ser>
        <c:ser>
          <c:idx val="4"/>
          <c:order val="4"/>
          <c:tx>
            <c:v>Lithology 10</c:v>
          </c:tx>
          <c:spPr>
            <a:solidFill>
              <a:srgbClr val="0000FF"/>
            </a:solidFill>
          </c:spPr>
          <c:invertIfNegative val="0"/>
          <c:cat>
            <c:strRef>
              <c:f>'5. Litologia 40 Geotec'!$EA$16:$EA$20</c:f>
              <c:strCache>
                <c:ptCount val="5"/>
                <c:pt idx="0">
                  <c:v>&lt;25%</c:v>
                </c:pt>
                <c:pt idx="1">
                  <c:v>25-50%</c:v>
                </c:pt>
                <c:pt idx="2">
                  <c:v>50-75%</c:v>
                </c:pt>
                <c:pt idx="3">
                  <c:v>75-90%</c:v>
                </c:pt>
                <c:pt idx="4">
                  <c:v>90-100%</c:v>
                </c:pt>
              </c:strCache>
            </c:strRef>
          </c:cat>
          <c:val>
            <c:numRef>
              <c:f>'10. Lithology 10 Geotec'!$DN$12:$DN$16</c:f>
              <c:numCache>
                <c:formatCode>0%</c:formatCode>
                <c:ptCount val="5"/>
                <c:pt idx="0">
                  <c:v>0.24390243902439024</c:v>
                </c:pt>
                <c:pt idx="1">
                  <c:v>0.31707317073170732</c:v>
                </c:pt>
                <c:pt idx="2">
                  <c:v>0.23170731707317074</c:v>
                </c:pt>
                <c:pt idx="3">
                  <c:v>0.12195121951219512</c:v>
                </c:pt>
                <c:pt idx="4">
                  <c:v>8.5365853658536592E-2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2A-4849-8C83-80038B9B2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pt-BR" sz="18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4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874933567471093"/>
          <c:y val="0.11578774826738539"/>
          <c:w val="0.18085287187822474"/>
          <c:h val="0.2713650992854684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RMR76</a:t>
            </a:r>
          </a:p>
        </c:rich>
      </c:tx>
      <c:layout>
        <c:manualLayout>
          <c:xMode val="edge"/>
          <c:yMode val="edge"/>
          <c:x val="0.45719724482158441"/>
          <c:y val="2.45789210690409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25555597383443"/>
          <c:y val="8.8004629168756801E-2"/>
          <c:w val="0.83714397700548737"/>
          <c:h val="0.8334176955780026"/>
        </c:manualLayout>
      </c:layout>
      <c:barChart>
        <c:barDir val="col"/>
        <c:grouping val="clustered"/>
        <c:varyColors val="0"/>
        <c:ser>
          <c:idx val="0"/>
          <c:order val="0"/>
          <c:tx>
            <c:v>Lithology 40</c:v>
          </c:tx>
          <c:spPr>
            <a:solidFill>
              <a:srgbClr val="EEDFAA"/>
            </a:solidFill>
          </c:spPr>
          <c:invertIfNegative val="0"/>
          <c:trendline>
            <c:spPr>
              <a:ln w="25400">
                <a:solidFill>
                  <a:srgbClr val="EEDFAA"/>
                </a:solidFill>
              </a:ln>
            </c:spPr>
            <c:trendlineType val="poly"/>
            <c:order val="2"/>
            <c:dispRSqr val="0"/>
            <c:dispEq val="0"/>
          </c:trendline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'5. Litologia 40 Geotec'!$EP$72:$EP$76</c:f>
              <c:numCache>
                <c:formatCode>0%</c:formatCode>
                <c:ptCount val="5"/>
                <c:pt idx="0">
                  <c:v>0.34228187919463088</c:v>
                </c:pt>
                <c:pt idx="1">
                  <c:v>0.55033557046979864</c:v>
                </c:pt>
                <c:pt idx="2">
                  <c:v>0.10738255033557047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8-4058-BA99-6B9E7E6ED8BD}"/>
            </c:ext>
          </c:extLst>
        </c:ser>
        <c:ser>
          <c:idx val="2"/>
          <c:order val="1"/>
          <c:tx>
            <c:v>Lithology 50</c:v>
          </c:tx>
          <c:spPr>
            <a:solidFill>
              <a:srgbClr val="FF99CC"/>
            </a:solidFill>
          </c:spPr>
          <c:invertIfNegative val="0"/>
          <c:trendline>
            <c:spPr>
              <a:ln w="25400">
                <a:solidFill>
                  <a:srgbClr val="FF99CC"/>
                </a:solidFill>
              </a:ln>
            </c:spPr>
            <c:trendlineType val="poly"/>
            <c:order val="3"/>
            <c:dispRSqr val="0"/>
            <c:dispEq val="0"/>
          </c:trendline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'7. Lithology 50 Geotec'!$CO$61:$CO$65</c:f>
              <c:numCache>
                <c:formatCode>0%</c:formatCode>
                <c:ptCount val="5"/>
                <c:pt idx="0">
                  <c:v>0.44525547445255476</c:v>
                </c:pt>
                <c:pt idx="1">
                  <c:v>0.5036496350364964</c:v>
                </c:pt>
                <c:pt idx="2">
                  <c:v>5.1094890510948905E-2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8-4058-BA99-6B9E7E6ED8BD}"/>
            </c:ext>
          </c:extLst>
        </c:ser>
        <c:ser>
          <c:idx val="1"/>
          <c:order val="2"/>
          <c:tx>
            <c:v>Lithology 30</c:v>
          </c:tx>
          <c:spPr>
            <a:solidFill>
              <a:srgbClr val="FF0000"/>
            </a:solidFill>
          </c:spPr>
          <c:invertIfNegative val="0"/>
          <c:trendline>
            <c:spPr>
              <a:ln w="25400">
                <a:solidFill>
                  <a:srgbClr val="FF0000"/>
                </a:solidFill>
              </a:ln>
            </c:spPr>
            <c:trendlineType val="poly"/>
            <c:order val="3"/>
            <c:dispRSqr val="0"/>
            <c:dispEq val="0"/>
          </c:trendline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'6. Litologia 30 Geotec'!$DT$141:$DT$145</c:f>
              <c:numCache>
                <c:formatCode>0%</c:formatCode>
                <c:ptCount val="5"/>
                <c:pt idx="0">
                  <c:v>0.12048192771084337</c:v>
                </c:pt>
                <c:pt idx="1">
                  <c:v>0.87951807228915657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8-4058-BA99-6B9E7E6ED8BD}"/>
            </c:ext>
          </c:extLst>
        </c:ser>
        <c:ser>
          <c:idx val="3"/>
          <c:order val="3"/>
          <c:tx>
            <c:v>Lithology 20</c:v>
          </c:tx>
          <c:spPr>
            <a:solidFill>
              <a:srgbClr val="00FF00"/>
            </a:solidFill>
          </c:spPr>
          <c:invertIfNegative val="0"/>
          <c:trendline>
            <c:spPr>
              <a:ln w="25400">
                <a:solidFill>
                  <a:srgbClr val="00FF00"/>
                </a:solidFill>
              </a:ln>
            </c:spPr>
            <c:trendlineType val="poly"/>
            <c:order val="3"/>
            <c:dispRSqr val="0"/>
            <c:dispEq val="0"/>
          </c:trendline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'8. Lithology 20 Geotec'!$CM$63:$CM$67</c:f>
              <c:numCache>
                <c:formatCode>0%</c:formatCode>
                <c:ptCount val="5"/>
                <c:pt idx="0">
                  <c:v>4.4776119402985072E-2</c:v>
                </c:pt>
                <c:pt idx="1">
                  <c:v>0.89552238805970152</c:v>
                </c:pt>
                <c:pt idx="2">
                  <c:v>5.9701492537313432E-2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18-4058-BA99-6B9E7E6ED8BD}"/>
            </c:ext>
          </c:extLst>
        </c:ser>
        <c:ser>
          <c:idx val="4"/>
          <c:order val="4"/>
          <c:tx>
            <c:v>Lithology 10</c:v>
          </c:tx>
          <c:spPr>
            <a:solidFill>
              <a:srgbClr val="0000FF"/>
            </a:solidFill>
          </c:spPr>
          <c:invertIfNegative val="0"/>
          <c:trendline>
            <c:spPr>
              <a:ln w="25400">
                <a:solidFill>
                  <a:srgbClr val="0000FF"/>
                </a:solidFill>
              </a:ln>
            </c:spPr>
            <c:trendlineType val="poly"/>
            <c:order val="4"/>
            <c:dispRSqr val="0"/>
            <c:dispEq val="0"/>
          </c:trendline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'10. Lithology 10 Geotec'!$CO$63:$CO$67</c:f>
              <c:numCache>
                <c:formatCode>0%</c:formatCode>
                <c:ptCount val="5"/>
                <c:pt idx="0">
                  <c:v>0</c:v>
                </c:pt>
                <c:pt idx="1">
                  <c:v>0.36585365853658536</c:v>
                </c:pt>
                <c:pt idx="2">
                  <c:v>0.53658536585365857</c:v>
                </c:pt>
                <c:pt idx="3">
                  <c:v>9.7560975609756101E-2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8-4058-BA99-6B9E7E6ED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  <c:min val="0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pt-BR" sz="18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4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805160935799984"/>
          <c:y val="0.11578774826738539"/>
          <c:w val="0.22155062981178306"/>
          <c:h val="0.3947037720763373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RMR89</a:t>
            </a:r>
          </a:p>
        </c:rich>
      </c:tx>
      <c:layout>
        <c:manualLayout>
          <c:xMode val="edge"/>
          <c:yMode val="edge"/>
          <c:x val="0.45719724482158441"/>
          <c:y val="2.45789210690409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25555597383443"/>
          <c:y val="8.8004629168756801E-2"/>
          <c:w val="0.83714397700548737"/>
          <c:h val="0.8334176955780026"/>
        </c:manualLayout>
      </c:layout>
      <c:barChart>
        <c:barDir val="col"/>
        <c:grouping val="clustered"/>
        <c:varyColors val="0"/>
        <c:ser>
          <c:idx val="0"/>
          <c:order val="0"/>
          <c:tx>
            <c:v>Lithology 40</c:v>
          </c:tx>
          <c:spPr>
            <a:solidFill>
              <a:srgbClr val="EEDFAA"/>
            </a:solidFill>
          </c:spPr>
          <c:invertIfNegative val="0"/>
          <c:trendline>
            <c:spPr>
              <a:ln w="25400" cmpd="sng">
                <a:solidFill>
                  <a:srgbClr val="EEDFAA"/>
                </a:solidFill>
              </a:ln>
            </c:spPr>
            <c:trendlineType val="poly"/>
            <c:order val="3"/>
            <c:dispRSqr val="0"/>
            <c:dispEq val="0"/>
          </c:trendline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'5. Litologia 40 Geotec'!$EP$102:$EP$106</c:f>
              <c:numCache>
                <c:formatCode>0%</c:formatCode>
                <c:ptCount val="5"/>
                <c:pt idx="0">
                  <c:v>0.15436241610738255</c:v>
                </c:pt>
                <c:pt idx="1">
                  <c:v>0.71140939597315433</c:v>
                </c:pt>
                <c:pt idx="2">
                  <c:v>0.13422818791946309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4-451F-83BF-1BC0A08B612C}"/>
            </c:ext>
          </c:extLst>
        </c:ser>
        <c:ser>
          <c:idx val="2"/>
          <c:order val="1"/>
          <c:tx>
            <c:v>Lithology 50</c:v>
          </c:tx>
          <c:spPr>
            <a:solidFill>
              <a:srgbClr val="FF99CC"/>
            </a:solidFill>
          </c:spPr>
          <c:invertIfNegative val="0"/>
          <c:trendline>
            <c:spPr>
              <a:ln w="25400" cmpd="sng">
                <a:solidFill>
                  <a:srgbClr val="FF99CC"/>
                </a:solidFill>
              </a:ln>
            </c:spPr>
            <c:trendlineType val="poly"/>
            <c:order val="3"/>
            <c:dispRSqr val="0"/>
            <c:dispEq val="0"/>
          </c:trendline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'7. Lithology 50 Geotec'!$CO$94:$CO$98</c:f>
              <c:numCache>
                <c:formatCode>0%</c:formatCode>
                <c:ptCount val="5"/>
                <c:pt idx="0">
                  <c:v>0.25547445255474455</c:v>
                </c:pt>
                <c:pt idx="1">
                  <c:v>0.7007299270072993</c:v>
                </c:pt>
                <c:pt idx="2">
                  <c:v>4.3795620437956206E-2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4-451F-83BF-1BC0A08B612C}"/>
            </c:ext>
          </c:extLst>
        </c:ser>
        <c:ser>
          <c:idx val="1"/>
          <c:order val="2"/>
          <c:tx>
            <c:v>Lithology 30</c:v>
          </c:tx>
          <c:spPr>
            <a:solidFill>
              <a:srgbClr val="FF0000"/>
            </a:solidFill>
          </c:spPr>
          <c:invertIfNegative val="0"/>
          <c:trendline>
            <c:spPr>
              <a:ln w="25400" cmpd="sng">
                <a:solidFill>
                  <a:srgbClr val="FF0000"/>
                </a:solidFill>
              </a:ln>
            </c:spPr>
            <c:trendlineType val="poly"/>
            <c:order val="3"/>
            <c:dispRSqr val="0"/>
            <c:dispEq val="0"/>
          </c:trendline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'6. Litologia 30 Geotec'!$DT$152:$DT$156</c:f>
              <c:numCache>
                <c:formatCode>0%</c:formatCode>
                <c:ptCount val="5"/>
                <c:pt idx="0">
                  <c:v>0.18072289156626506</c:v>
                </c:pt>
                <c:pt idx="1">
                  <c:v>0.81927710843373491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4-451F-83BF-1BC0A08B612C}"/>
            </c:ext>
          </c:extLst>
        </c:ser>
        <c:ser>
          <c:idx val="3"/>
          <c:order val="3"/>
          <c:tx>
            <c:v>Lithology 20</c:v>
          </c:tx>
          <c:spPr>
            <a:solidFill>
              <a:srgbClr val="00FF00"/>
            </a:solidFill>
          </c:spPr>
          <c:invertIfNegative val="0"/>
          <c:trendline>
            <c:spPr>
              <a:ln w="25400" cmpd="sng">
                <a:solidFill>
                  <a:srgbClr val="00FF00"/>
                </a:solidFill>
              </a:ln>
            </c:spPr>
            <c:trendlineType val="poly"/>
            <c:order val="3"/>
            <c:dispRSqr val="0"/>
            <c:dispEq val="0"/>
          </c:trendline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'8. Lithology 20 Geotec'!$CM$73:$CM$77</c:f>
              <c:numCache>
                <c:formatCode>0%</c:formatCode>
                <c:ptCount val="5"/>
                <c:pt idx="0">
                  <c:v>0</c:v>
                </c:pt>
                <c:pt idx="1">
                  <c:v>0.91044776119402981</c:v>
                </c:pt>
                <c:pt idx="2">
                  <c:v>8.9552238805970144E-2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14-451F-83BF-1BC0A08B612C}"/>
            </c:ext>
          </c:extLst>
        </c:ser>
        <c:ser>
          <c:idx val="4"/>
          <c:order val="4"/>
          <c:tx>
            <c:v>Lithology 10</c:v>
          </c:tx>
          <c:spPr>
            <a:solidFill>
              <a:srgbClr val="0000FF"/>
            </a:solidFill>
          </c:spPr>
          <c:invertIfNegative val="0"/>
          <c:trendline>
            <c:spPr>
              <a:ln w="25400" cmpd="sng">
                <a:solidFill>
                  <a:srgbClr val="0000FF"/>
                </a:solidFill>
              </a:ln>
            </c:spPr>
            <c:trendlineType val="poly"/>
            <c:order val="4"/>
            <c:dispRSqr val="0"/>
            <c:dispEq val="0"/>
          </c:trendline>
          <c:cat>
            <c:strRef>
              <c:f>'5. Litologia 40 Geotec'!$EI$72:$EI$76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'10. Lithology 10 Geotec'!$CO$72:$CO$76</c:f>
              <c:numCache>
                <c:formatCode>0%</c:formatCode>
                <c:ptCount val="5"/>
                <c:pt idx="0">
                  <c:v>0</c:v>
                </c:pt>
                <c:pt idx="1">
                  <c:v>0.3048780487804878</c:v>
                </c:pt>
                <c:pt idx="2">
                  <c:v>0.58536585365853655</c:v>
                </c:pt>
                <c:pt idx="3">
                  <c:v>0.10975609756097561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14-451F-83BF-1BC0A08B6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  <c:min val="0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pt-BR" sz="18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4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225248166499946"/>
          <c:y val="0.11578774826738539"/>
          <c:w val="0.20734977317008846"/>
          <c:h val="0.3945774104969552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2"/>
          <c:order val="0"/>
          <c:tx>
            <c:v>Lithology 30</c:v>
          </c:tx>
          <c:spPr>
            <a:ln w="19050">
              <a:noFill/>
            </a:ln>
          </c:spP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A5FC-41D3-B988-A469007AC11E}"/>
            </c:ext>
          </c:extLst>
        </c:ser>
        <c:ser>
          <c:idx val="3"/>
          <c:order val="1"/>
          <c:tx>
            <c:v>Lithology 40</c:v>
          </c:tx>
          <c:spPr>
            <a:ln w="19050">
              <a:noFill/>
            </a:ln>
          </c:spP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5FC-41D3-B988-A469007AC11E}"/>
            </c:ext>
          </c:extLst>
        </c:ser>
        <c:ser>
          <c:idx val="0"/>
          <c:order val="2"/>
          <c:tx>
            <c:v>Lithology 30</c:v>
          </c:tx>
          <c:spPr>
            <a:ln w="19050">
              <a:noFill/>
            </a:ln>
          </c:spPr>
          <c:marker>
            <c:symbol val="circle"/>
            <c:size val="1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FC-41D3-B988-A469007AC11E}"/>
            </c:ext>
          </c:extLst>
        </c:ser>
        <c:ser>
          <c:idx val="1"/>
          <c:order val="3"/>
          <c:tx>
            <c:v>Lithology 40</c:v>
          </c:tx>
          <c:spPr>
            <a:ln w="19050">
              <a:noFill/>
            </a:ln>
          </c:spPr>
          <c:marker>
            <c:symbol val="triangle"/>
            <c:size val="1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FC-41D3-B988-A469007AC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/>
      </c:scatterChart>
      <c:valAx>
        <c:axId val="1193132496"/>
        <c:scaling>
          <c:orientation val="minMax"/>
          <c:max val="8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Strenght</a:t>
                </a:r>
                <a:r>
                  <a:rPr lang="pt-BR" sz="2000" b="1" baseline="0"/>
                  <a:t> (Bieniaswki, 1989)</a:t>
                </a:r>
                <a:endParaRPr lang="pt-BR" sz="2000" b="1"/>
              </a:p>
            </c:rich>
          </c:tx>
          <c:layout>
            <c:manualLayout>
              <c:xMode val="edge"/>
              <c:yMode val="edge"/>
              <c:x val="0.39550221767250288"/>
              <c:y val="2.470198895454790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</c:valAx>
      <c:valAx>
        <c:axId val="1193133936"/>
        <c:scaling>
          <c:logBase val="10"/>
          <c:orientation val="minMax"/>
          <c:max val="1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Sapcing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1.4375736526980773E-2"/>
          <c:y val="0.77976993269603012"/>
          <c:w val="9.4187769437822338E-2"/>
          <c:h val="6.2521473184314655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2"/>
          <c:order val="0"/>
          <c:tx>
            <c:v>Lithology 30</c:v>
          </c:tx>
          <c:spPr>
            <a:ln w="19050">
              <a:noFill/>
            </a:ln>
          </c:spPr>
          <c:marker>
            <c:symbol val="triangle"/>
            <c:size val="1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290-409C-A3E4-A56AA4FD6CD3}"/>
            </c:ext>
          </c:extLst>
        </c:ser>
        <c:ser>
          <c:idx val="0"/>
          <c:order val="1"/>
          <c:tx>
            <c:v>Litologia 40</c:v>
          </c:tx>
          <c:spPr>
            <a:ln w="19050">
              <a:noFill/>
            </a:ln>
          </c:spPr>
          <c:marker>
            <c:symbol val="diamond"/>
            <c:size val="6"/>
            <c:spPr>
              <a:solidFill>
                <a:srgbClr val="EEDFAA"/>
              </a:solidFill>
              <a:ln>
                <a:solidFill>
                  <a:srgbClr val="EEDFAA"/>
                </a:solidFill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90-409C-A3E4-A56AA4FD6CD3}"/>
            </c:ext>
          </c:extLst>
        </c:ser>
        <c:ser>
          <c:idx val="1"/>
          <c:order val="2"/>
          <c:tx>
            <c:v>Litologia 50</c:v>
          </c:tx>
          <c:spPr>
            <a:ln w="19050">
              <a:noFill/>
            </a:ln>
          </c:spPr>
          <c:marker>
            <c:symbol val="square"/>
            <c:size val="10"/>
            <c:spPr>
              <a:solidFill>
                <a:srgbClr val="FF9999"/>
              </a:solidFill>
              <a:ln>
                <a:solidFill>
                  <a:srgbClr val="FF9999"/>
                </a:solidFill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90-409C-A3E4-A56AA4FD6CD3}"/>
            </c:ext>
          </c:extLst>
        </c:ser>
        <c:ser>
          <c:idx val="3"/>
          <c:order val="3"/>
          <c:tx>
            <c:v>Litologia 20</c:v>
          </c:tx>
          <c:spPr>
            <a:ln w="19050">
              <a:noFill/>
            </a:ln>
          </c:spPr>
          <c:marker>
            <c:symbol val="x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290-409C-A3E4-A56AA4FD6CD3}"/>
            </c:ext>
          </c:extLst>
        </c:ser>
        <c:ser>
          <c:idx val="4"/>
          <c:order val="4"/>
          <c:tx>
            <c:v>Litologia 10</c:v>
          </c:tx>
          <c:spPr>
            <a:ln w="19050">
              <a:noFill/>
            </a:ln>
          </c:spPr>
          <c:marker>
            <c:symbol val="circle"/>
            <c:size val="1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290-409C-A3E4-A56AA4FD6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/>
      </c:scatterChart>
      <c:valAx>
        <c:axId val="1193132496"/>
        <c:scaling>
          <c:orientation val="minMax"/>
          <c:max val="8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Strenght</a:t>
                </a:r>
                <a:r>
                  <a:rPr lang="pt-BR" sz="2000" b="1" baseline="0"/>
                  <a:t> (Bieniaswki, 1989)</a:t>
                </a:r>
                <a:endParaRPr lang="pt-BR" sz="2000" b="1"/>
              </a:p>
            </c:rich>
          </c:tx>
          <c:layout>
            <c:manualLayout>
              <c:xMode val="edge"/>
              <c:yMode val="edge"/>
              <c:x val="0.39550221767250288"/>
              <c:y val="2.470198895454790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</c:valAx>
      <c:valAx>
        <c:axId val="11931339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Sapcing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</c:valAx>
      <c:spPr>
        <a:noFill/>
        <a:ln w="76200">
          <a:solidFill>
            <a:schemeClr val="tx1"/>
          </a:solidFill>
        </a:ln>
      </c:spPr>
    </c:plotArea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2"/>
          <c:order val="0"/>
          <c:tx>
            <c:v>Lithology 30</c:v>
          </c:tx>
          <c:spPr>
            <a:ln w="19050">
              <a:noFill/>
            </a:ln>
          </c:spP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F1C-4745-8E83-80D646BCDEB6}"/>
            </c:ext>
          </c:extLst>
        </c:ser>
        <c:ser>
          <c:idx val="3"/>
          <c:order val="1"/>
          <c:tx>
            <c:v>Lithology 40</c:v>
          </c:tx>
          <c:spPr>
            <a:ln w="19050">
              <a:noFill/>
            </a:ln>
          </c:spP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F1C-4745-8E83-80D646BCDEB6}"/>
            </c:ext>
          </c:extLst>
        </c:ser>
        <c:ser>
          <c:idx val="0"/>
          <c:order val="2"/>
          <c:tx>
            <c:v>Lithology 30</c:v>
          </c:tx>
          <c:spPr>
            <a:ln w="19050">
              <a:noFill/>
            </a:ln>
          </c:spPr>
          <c:marker>
            <c:symbol val="circle"/>
            <c:size val="1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C-4745-8E83-80D646BCDEB6}"/>
            </c:ext>
          </c:extLst>
        </c:ser>
        <c:ser>
          <c:idx val="1"/>
          <c:order val="3"/>
          <c:tx>
            <c:v>Lithology 40</c:v>
          </c:tx>
          <c:spPr>
            <a:ln w="19050">
              <a:noFill/>
            </a:ln>
          </c:spPr>
          <c:marker>
            <c:symbol val="triangle"/>
            <c:size val="1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C-4745-8E83-80D646BCD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/>
      </c:scatterChart>
      <c:valAx>
        <c:axId val="1193132496"/>
        <c:scaling>
          <c:orientation val="minMax"/>
          <c:max val="8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Strenght</a:t>
                </a:r>
                <a:r>
                  <a:rPr lang="pt-BR" sz="2000" b="1" baseline="0"/>
                  <a:t> (Bieniaswki, 1989)</a:t>
                </a:r>
                <a:endParaRPr lang="pt-BR" sz="2000" b="1"/>
              </a:p>
            </c:rich>
          </c:tx>
          <c:layout>
            <c:manualLayout>
              <c:xMode val="edge"/>
              <c:yMode val="edge"/>
              <c:x val="0.39550221767250288"/>
              <c:y val="2.470198895454790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</c:valAx>
      <c:valAx>
        <c:axId val="1193133936"/>
        <c:scaling>
          <c:logBase val="10"/>
          <c:orientation val="minMax"/>
          <c:max val="1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Sapcing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1.4375736526980773E-2"/>
          <c:y val="0.77976993269603012"/>
          <c:w val="9.4187769437822338E-2"/>
          <c:h val="6.2521473184314655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 baseline="0"/>
              <a:t>Umbuzeiro Open Pit</a:t>
            </a:r>
            <a:endParaRPr lang="es-PE" sz="2400" b="1"/>
          </a:p>
        </c:rich>
      </c:tx>
      <c:layout>
        <c:manualLayout>
          <c:xMode val="edge"/>
          <c:yMode val="edge"/>
          <c:x val="0.37186836979457344"/>
          <c:y val="3.26739415937158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9694494042704"/>
          <c:y val="0.11140472838323791"/>
          <c:w val="0.76104851202325541"/>
          <c:h val="0.73738289190401241"/>
        </c:manualLayout>
      </c:layout>
      <c:scatterChart>
        <c:scatterStyle val="lineMarker"/>
        <c:varyColors val="0"/>
        <c:ser>
          <c:idx val="8"/>
          <c:order val="3"/>
          <c:spPr>
            <a:ln w="19050">
              <a:noFill/>
            </a:ln>
          </c:spPr>
          <c:marker>
            <c:symbol val="triangle"/>
            <c:size val="15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xVal>
            <c:numRef>
              <c:f>'Logging Brejo Seco'!#REF!</c:f>
            </c:numRef>
          </c:xVal>
          <c:yVal>
            <c:numRef>
              <c:f>'Logging Brejo Seco'!#REF!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73-4F2E-9B2F-219F2A016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</c:scatterChar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273-4F2E-9B2F-219F2A016EA0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273-4F2E-9B2F-219F2A016EA0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273-4F2E-9B2F-219F2A016EA0}"/>
            </c:ext>
          </c:extLst>
        </c:ser>
        <c:ser>
          <c:idx val="3"/>
          <c:order val="4"/>
          <c:tx>
            <c:v>GEOMINAS</c:v>
          </c:tx>
          <c:marker>
            <c:symbol val="none"/>
          </c:marker>
          <c:xVal>
            <c:numRef>
              <c:f>'Logging Brejo Seco'!#REF!</c:f>
            </c:numRef>
          </c:xVal>
          <c:yVal>
            <c:numRef>
              <c:f>'Logging Brejo Seco'!#REF!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8273-4F2E-9B2F-219F2A016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Spacing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6.2209024352503681E-2"/>
          <c:y val="0.90888571563285125"/>
          <c:w val="0.87540484639221205"/>
          <c:h val="8.2225313153221111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FF vs RQD(%)</a:t>
            </a:r>
          </a:p>
        </c:rich>
      </c:tx>
      <c:layout>
        <c:manualLayout>
          <c:xMode val="edge"/>
          <c:yMode val="edge"/>
          <c:x val="0.41262201269890286"/>
          <c:y val="2.0449884578919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31"/>
              <c:pt idx="0">
                <c:v>60</c:v>
              </c:pt>
              <c:pt idx="1">
                <c:v>58</c:v>
              </c:pt>
              <c:pt idx="2">
                <c:v>56</c:v>
              </c:pt>
              <c:pt idx="3">
                <c:v>54</c:v>
              </c:pt>
              <c:pt idx="4">
                <c:v>52</c:v>
              </c:pt>
              <c:pt idx="5">
                <c:v>50</c:v>
              </c:pt>
              <c:pt idx="6">
                <c:v>48</c:v>
              </c:pt>
              <c:pt idx="7">
                <c:v>46</c:v>
              </c:pt>
              <c:pt idx="8">
                <c:v>44</c:v>
              </c:pt>
              <c:pt idx="9">
                <c:v>42</c:v>
              </c:pt>
              <c:pt idx="10">
                <c:v>40</c:v>
              </c:pt>
              <c:pt idx="11">
                <c:v>38</c:v>
              </c:pt>
              <c:pt idx="12">
                <c:v>36</c:v>
              </c:pt>
              <c:pt idx="13">
                <c:v>34</c:v>
              </c:pt>
              <c:pt idx="14">
                <c:v>32</c:v>
              </c:pt>
              <c:pt idx="15">
                <c:v>30</c:v>
              </c:pt>
              <c:pt idx="16">
                <c:v>28</c:v>
              </c:pt>
              <c:pt idx="17">
                <c:v>26</c:v>
              </c:pt>
              <c:pt idx="18">
                <c:v>24</c:v>
              </c:pt>
              <c:pt idx="19">
                <c:v>22</c:v>
              </c:pt>
              <c:pt idx="20">
                <c:v>20</c:v>
              </c:pt>
              <c:pt idx="21">
                <c:v>18</c:v>
              </c:pt>
              <c:pt idx="22">
                <c:v>16</c:v>
              </c:pt>
              <c:pt idx="23">
                <c:v>14</c:v>
              </c:pt>
              <c:pt idx="24">
                <c:v>12</c:v>
              </c:pt>
              <c:pt idx="25">
                <c:v>10</c:v>
              </c:pt>
              <c:pt idx="26">
                <c:v>8</c:v>
              </c:pt>
              <c:pt idx="27">
                <c:v>6</c:v>
              </c:pt>
              <c:pt idx="28">
                <c:v>4</c:v>
              </c:pt>
              <c:pt idx="29">
                <c:v>2</c:v>
              </c:pt>
              <c:pt idx="30">
                <c:v>0</c:v>
              </c:pt>
            </c:numLit>
          </c:xVal>
          <c:yVal>
            <c:numLit>
              <c:formatCode>General</c:formatCode>
              <c:ptCount val="31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3</c:v>
              </c:pt>
              <c:pt idx="4">
                <c:v>3</c:v>
              </c:pt>
              <c:pt idx="5">
                <c:v>4</c:v>
              </c:pt>
              <c:pt idx="6">
                <c:v>5</c:v>
              </c:pt>
              <c:pt idx="7">
                <c:v>6</c:v>
              </c:pt>
              <c:pt idx="8">
                <c:v>7</c:v>
              </c:pt>
              <c:pt idx="9">
                <c:v>8</c:v>
              </c:pt>
              <c:pt idx="10">
                <c:v>9</c:v>
              </c:pt>
              <c:pt idx="11">
                <c:v>11</c:v>
              </c:pt>
              <c:pt idx="12">
                <c:v>13</c:v>
              </c:pt>
              <c:pt idx="13">
                <c:v>15</c:v>
              </c:pt>
              <c:pt idx="14">
                <c:v>17</c:v>
              </c:pt>
              <c:pt idx="15">
                <c:v>20</c:v>
              </c:pt>
              <c:pt idx="16">
                <c:v>23</c:v>
              </c:pt>
              <c:pt idx="17">
                <c:v>27</c:v>
              </c:pt>
              <c:pt idx="18">
                <c:v>31</c:v>
              </c:pt>
              <c:pt idx="19">
                <c:v>35</c:v>
              </c:pt>
              <c:pt idx="20">
                <c:v>41</c:v>
              </c:pt>
              <c:pt idx="21">
                <c:v>46</c:v>
              </c:pt>
              <c:pt idx="22">
                <c:v>52</c:v>
              </c:pt>
              <c:pt idx="23">
                <c:v>59</c:v>
              </c:pt>
              <c:pt idx="24">
                <c:v>66</c:v>
              </c:pt>
              <c:pt idx="25">
                <c:v>74</c:v>
              </c:pt>
              <c:pt idx="26">
                <c:v>81</c:v>
              </c:pt>
              <c:pt idx="27">
                <c:v>88</c:v>
              </c:pt>
              <c:pt idx="28">
                <c:v>94</c:v>
              </c:pt>
              <c:pt idx="29">
                <c:v>98</c:v>
              </c:pt>
              <c:pt idx="30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E14-4168-B049-169F7F0E1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86488"/>
        <c:axId val="714086096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12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'Logging Brejo Seco'!#REF!</c:f>
            </c:numRef>
          </c:xVal>
          <c:yVal>
            <c:numRef>
              <c:f>'Logging Brejo Seco'!#REF!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14-4168-B049-169F7F0E1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86488"/>
        <c:axId val="714086096"/>
      </c:scatterChart>
      <c:valAx>
        <c:axId val="71408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800"/>
                  <a:t>RQD(%)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086096"/>
        <c:crosses val="autoZero"/>
        <c:crossBetween val="midCat"/>
      </c:valAx>
      <c:valAx>
        <c:axId val="7140860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FF/m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086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Grau Alteracao vs Resistencia</a:t>
            </a:r>
          </a:p>
        </c:rich>
      </c:tx>
      <c:layout>
        <c:manualLayout>
          <c:xMode val="edge"/>
          <c:yMode val="edge"/>
          <c:x val="0.21016194284439277"/>
          <c:y val="2.8111109032986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RQD vs Resistencia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xVal>
            <c:numRef>
              <c:f>'3. Blasting'!$J$603:$J$636</c:f>
              <c:numCache>
                <c:formatCode>0.0</c:formatCode>
                <c:ptCount val="34"/>
              </c:numCache>
            </c:numRef>
          </c:xVal>
          <c:yVal>
            <c:numRef>
              <c:f>'3. Blasting'!$I$603:$I$636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CC-47B6-9E76-E5D609860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923103"/>
        <c:axId val="468051663"/>
      </c:scatterChart>
      <c:valAx>
        <c:axId val="62892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 baseline="0"/>
                  <a:t>RQD (%)</a:t>
                </a:r>
                <a:endParaRPr lang="pt-BR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8051663"/>
        <c:crosses val="autoZero"/>
        <c:crossBetween val="midCat"/>
      </c:valAx>
      <c:valAx>
        <c:axId val="46805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Rating</a:t>
                </a:r>
                <a:r>
                  <a:rPr lang="pt-BR" sz="2400" baseline="0"/>
                  <a:t> 89</a:t>
                </a:r>
                <a:endParaRPr lang="pt-BR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892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RMR76 vs GSI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20533590326002"/>
          <c:y val="6.9035608369802381E-2"/>
          <c:w val="0.83628048027738866"/>
          <c:h val="0.84675254582619108"/>
        </c:manualLayout>
      </c:layout>
      <c:scatterChart>
        <c:scatterStyle val="lineMarker"/>
        <c:varyColors val="0"/>
        <c:ser>
          <c:idx val="0"/>
          <c:order val="0"/>
          <c:tx>
            <c:v>Correlation RMR76 vs GSI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76222579575752"/>
                  <c:y val="-2.0132467370286993E-2"/>
                </c:manualLayout>
              </c:layout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'3. Blasting'!$BL$4:$BL$588</c:f>
              <c:numCache>
                <c:formatCode>0</c:formatCode>
                <c:ptCount val="181"/>
                <c:pt idx="0">
                  <c:v>45</c:v>
                </c:pt>
                <c:pt idx="1">
                  <c:v>50</c:v>
                </c:pt>
                <c:pt idx="2">
                  <c:v>19</c:v>
                </c:pt>
                <c:pt idx="3">
                  <c:v>32</c:v>
                </c:pt>
                <c:pt idx="4">
                  <c:v>36</c:v>
                </c:pt>
                <c:pt idx="5">
                  <c:v>44</c:v>
                </c:pt>
                <c:pt idx="6">
                  <c:v>49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43</c:v>
                </c:pt>
                <c:pt idx="11">
                  <c:v>38</c:v>
                </c:pt>
                <c:pt idx="12">
                  <c:v>25</c:v>
                </c:pt>
                <c:pt idx="13">
                  <c:v>30</c:v>
                </c:pt>
                <c:pt idx="14">
                  <c:v>40</c:v>
                </c:pt>
                <c:pt idx="15">
                  <c:v>43</c:v>
                </c:pt>
                <c:pt idx="16">
                  <c:v>30</c:v>
                </c:pt>
                <c:pt idx="17">
                  <c:v>41</c:v>
                </c:pt>
                <c:pt idx="18">
                  <c:v>33</c:v>
                </c:pt>
                <c:pt idx="19">
                  <c:v>24</c:v>
                </c:pt>
                <c:pt idx="20">
                  <c:v>23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27</c:v>
                </c:pt>
                <c:pt idx="51">
                  <c:v>19</c:v>
                </c:pt>
                <c:pt idx="52">
                  <c:v>21</c:v>
                </c:pt>
                <c:pt idx="53">
                  <c:v>21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32</c:v>
                </c:pt>
                <c:pt idx="58">
                  <c:v>27</c:v>
                </c:pt>
                <c:pt idx="59">
                  <c:v>27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29</c:v>
                </c:pt>
                <c:pt idx="64">
                  <c:v>19</c:v>
                </c:pt>
                <c:pt idx="65">
                  <c:v>19</c:v>
                </c:pt>
                <c:pt idx="66">
                  <c:v>22</c:v>
                </c:pt>
                <c:pt idx="67">
                  <c:v>24</c:v>
                </c:pt>
                <c:pt idx="68">
                  <c:v>27</c:v>
                </c:pt>
                <c:pt idx="69">
                  <c:v>26</c:v>
                </c:pt>
                <c:pt idx="70">
                  <c:v>35</c:v>
                </c:pt>
                <c:pt idx="71">
                  <c:v>19</c:v>
                </c:pt>
                <c:pt idx="72">
                  <c:v>18</c:v>
                </c:pt>
                <c:pt idx="73">
                  <c:v>18</c:v>
                </c:pt>
                <c:pt idx="74">
                  <c:v>23</c:v>
                </c:pt>
                <c:pt idx="75">
                  <c:v>17</c:v>
                </c:pt>
                <c:pt idx="76">
                  <c:v>18</c:v>
                </c:pt>
                <c:pt idx="77">
                  <c:v>17</c:v>
                </c:pt>
                <c:pt idx="78">
                  <c:v>18</c:v>
                </c:pt>
                <c:pt idx="79">
                  <c:v>17</c:v>
                </c:pt>
                <c:pt idx="80">
                  <c:v>19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26</c:v>
                </c:pt>
                <c:pt idx="85">
                  <c:v>23</c:v>
                </c:pt>
                <c:pt idx="86">
                  <c:v>18</c:v>
                </c:pt>
                <c:pt idx="87">
                  <c:v>24</c:v>
                </c:pt>
                <c:pt idx="88">
                  <c:v>23</c:v>
                </c:pt>
                <c:pt idx="89">
                  <c:v>18</c:v>
                </c:pt>
                <c:pt idx="90">
                  <c:v>28</c:v>
                </c:pt>
                <c:pt idx="91">
                  <c:v>17</c:v>
                </c:pt>
                <c:pt idx="92">
                  <c:v>17</c:v>
                </c:pt>
                <c:pt idx="93">
                  <c:v>18</c:v>
                </c:pt>
                <c:pt idx="94">
                  <c:v>18</c:v>
                </c:pt>
                <c:pt idx="95">
                  <c:v>19</c:v>
                </c:pt>
                <c:pt idx="96">
                  <c:v>24</c:v>
                </c:pt>
                <c:pt idx="97">
                  <c:v>20</c:v>
                </c:pt>
                <c:pt idx="98">
                  <c:v>29</c:v>
                </c:pt>
                <c:pt idx="99">
                  <c:v>23</c:v>
                </c:pt>
                <c:pt idx="100">
                  <c:v>17</c:v>
                </c:pt>
                <c:pt idx="101">
                  <c:v>25</c:v>
                </c:pt>
                <c:pt idx="102">
                  <c:v>27</c:v>
                </c:pt>
                <c:pt idx="103">
                  <c:v>18</c:v>
                </c:pt>
                <c:pt idx="104">
                  <c:v>19</c:v>
                </c:pt>
                <c:pt idx="105">
                  <c:v>19</c:v>
                </c:pt>
                <c:pt idx="106">
                  <c:v>21</c:v>
                </c:pt>
                <c:pt idx="107">
                  <c:v>30</c:v>
                </c:pt>
                <c:pt idx="108">
                  <c:v>31</c:v>
                </c:pt>
                <c:pt idx="109">
                  <c:v>21</c:v>
                </c:pt>
                <c:pt idx="110">
                  <c:v>26</c:v>
                </c:pt>
                <c:pt idx="111">
                  <c:v>22</c:v>
                </c:pt>
                <c:pt idx="112">
                  <c:v>27</c:v>
                </c:pt>
                <c:pt idx="113">
                  <c:v>19</c:v>
                </c:pt>
                <c:pt idx="114">
                  <c:v>32</c:v>
                </c:pt>
                <c:pt idx="115">
                  <c:v>31</c:v>
                </c:pt>
                <c:pt idx="116">
                  <c:v>27</c:v>
                </c:pt>
                <c:pt idx="117">
                  <c:v>23</c:v>
                </c:pt>
                <c:pt idx="118">
                  <c:v>17</c:v>
                </c:pt>
                <c:pt idx="119">
                  <c:v>30</c:v>
                </c:pt>
                <c:pt idx="121">
                  <c:v>19</c:v>
                </c:pt>
                <c:pt idx="122">
                  <c:v>29</c:v>
                </c:pt>
                <c:pt idx="123">
                  <c:v>23</c:v>
                </c:pt>
                <c:pt idx="124">
                  <c:v>28</c:v>
                </c:pt>
                <c:pt idx="125">
                  <c:v>24</c:v>
                </c:pt>
                <c:pt idx="126">
                  <c:v>18</c:v>
                </c:pt>
                <c:pt idx="127">
                  <c:v>36</c:v>
                </c:pt>
                <c:pt idx="128">
                  <c:v>30</c:v>
                </c:pt>
                <c:pt idx="129">
                  <c:v>32</c:v>
                </c:pt>
                <c:pt idx="130">
                  <c:v>17</c:v>
                </c:pt>
                <c:pt idx="131">
                  <c:v>17</c:v>
                </c:pt>
                <c:pt idx="132">
                  <c:v>18</c:v>
                </c:pt>
                <c:pt idx="133">
                  <c:v>19</c:v>
                </c:pt>
                <c:pt idx="134">
                  <c:v>22</c:v>
                </c:pt>
                <c:pt idx="135">
                  <c:v>22</c:v>
                </c:pt>
                <c:pt idx="136">
                  <c:v>25</c:v>
                </c:pt>
                <c:pt idx="137">
                  <c:v>38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23</c:v>
                </c:pt>
                <c:pt idx="142">
                  <c:v>40</c:v>
                </c:pt>
                <c:pt idx="143">
                  <c:v>38</c:v>
                </c:pt>
                <c:pt idx="144">
                  <c:v>43</c:v>
                </c:pt>
                <c:pt idx="145">
                  <c:v>35</c:v>
                </c:pt>
                <c:pt idx="146">
                  <c:v>21</c:v>
                </c:pt>
                <c:pt idx="147">
                  <c:v>21</c:v>
                </c:pt>
                <c:pt idx="148">
                  <c:v>22</c:v>
                </c:pt>
                <c:pt idx="149">
                  <c:v>22</c:v>
                </c:pt>
                <c:pt idx="150">
                  <c:v>18</c:v>
                </c:pt>
                <c:pt idx="151">
                  <c:v>26</c:v>
                </c:pt>
                <c:pt idx="152">
                  <c:v>24</c:v>
                </c:pt>
                <c:pt idx="153">
                  <c:v>19</c:v>
                </c:pt>
                <c:pt idx="154">
                  <c:v>23</c:v>
                </c:pt>
                <c:pt idx="155">
                  <c:v>27</c:v>
                </c:pt>
                <c:pt idx="156">
                  <c:v>16</c:v>
                </c:pt>
                <c:pt idx="157">
                  <c:v>17</c:v>
                </c:pt>
                <c:pt idx="158">
                  <c:v>20</c:v>
                </c:pt>
                <c:pt idx="159">
                  <c:v>27</c:v>
                </c:pt>
                <c:pt idx="160">
                  <c:v>26</c:v>
                </c:pt>
                <c:pt idx="161">
                  <c:v>33</c:v>
                </c:pt>
                <c:pt idx="162">
                  <c:v>34</c:v>
                </c:pt>
                <c:pt idx="163">
                  <c:v>47</c:v>
                </c:pt>
                <c:pt idx="164">
                  <c:v>45</c:v>
                </c:pt>
                <c:pt idx="165">
                  <c:v>40</c:v>
                </c:pt>
                <c:pt idx="166">
                  <c:v>48</c:v>
                </c:pt>
                <c:pt idx="167">
                  <c:v>34</c:v>
                </c:pt>
                <c:pt idx="168">
                  <c:v>24</c:v>
                </c:pt>
                <c:pt idx="169">
                  <c:v>23</c:v>
                </c:pt>
                <c:pt idx="170">
                  <c:v>18</c:v>
                </c:pt>
                <c:pt idx="171">
                  <c:v>26</c:v>
                </c:pt>
                <c:pt idx="172">
                  <c:v>26</c:v>
                </c:pt>
                <c:pt idx="173">
                  <c:v>17</c:v>
                </c:pt>
                <c:pt idx="174">
                  <c:v>17</c:v>
                </c:pt>
                <c:pt idx="175">
                  <c:v>30</c:v>
                </c:pt>
                <c:pt idx="176">
                  <c:v>38</c:v>
                </c:pt>
                <c:pt idx="177">
                  <c:v>21</c:v>
                </c:pt>
                <c:pt idx="178">
                  <c:v>37</c:v>
                </c:pt>
                <c:pt idx="179">
                  <c:v>32</c:v>
                </c:pt>
                <c:pt idx="180">
                  <c:v>36</c:v>
                </c:pt>
              </c:numCache>
            </c:numRef>
          </c:xVal>
          <c:yVal>
            <c:numRef>
              <c:f>'3. Blasting'!$BB$4:$BB$588</c:f>
              <c:numCache>
                <c:formatCode>0.0</c:formatCode>
                <c:ptCount val="181"/>
                <c:pt idx="0">
                  <c:v>46.5</c:v>
                </c:pt>
                <c:pt idx="1">
                  <c:v>62</c:v>
                </c:pt>
                <c:pt idx="2">
                  <c:v>3</c:v>
                </c:pt>
                <c:pt idx="3">
                  <c:v>23</c:v>
                </c:pt>
                <c:pt idx="4">
                  <c:v>33</c:v>
                </c:pt>
                <c:pt idx="5">
                  <c:v>44.5</c:v>
                </c:pt>
                <c:pt idx="6">
                  <c:v>47.5</c:v>
                </c:pt>
                <c:pt idx="7">
                  <c:v>25</c:v>
                </c:pt>
                <c:pt idx="8">
                  <c:v>37.5</c:v>
                </c:pt>
                <c:pt idx="9">
                  <c:v>50.5</c:v>
                </c:pt>
                <c:pt idx="10">
                  <c:v>46</c:v>
                </c:pt>
                <c:pt idx="11">
                  <c:v>36.5</c:v>
                </c:pt>
                <c:pt idx="12">
                  <c:v>18</c:v>
                </c:pt>
                <c:pt idx="13">
                  <c:v>20</c:v>
                </c:pt>
                <c:pt idx="14">
                  <c:v>44.5</c:v>
                </c:pt>
                <c:pt idx="15">
                  <c:v>42.5</c:v>
                </c:pt>
                <c:pt idx="16">
                  <c:v>16.5</c:v>
                </c:pt>
                <c:pt idx="17">
                  <c:v>43.5</c:v>
                </c:pt>
                <c:pt idx="18">
                  <c:v>24</c:v>
                </c:pt>
                <c:pt idx="19">
                  <c:v>10.5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10.5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23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20</c:v>
                </c:pt>
                <c:pt idx="62">
                  <c:v>21.5</c:v>
                </c:pt>
                <c:pt idx="63">
                  <c:v>24</c:v>
                </c:pt>
                <c:pt idx="64">
                  <c:v>9</c:v>
                </c:pt>
                <c:pt idx="65">
                  <c:v>9</c:v>
                </c:pt>
                <c:pt idx="66">
                  <c:v>17.5</c:v>
                </c:pt>
                <c:pt idx="67">
                  <c:v>22</c:v>
                </c:pt>
                <c:pt idx="68">
                  <c:v>24</c:v>
                </c:pt>
                <c:pt idx="69">
                  <c:v>23.5</c:v>
                </c:pt>
                <c:pt idx="70">
                  <c:v>37</c:v>
                </c:pt>
                <c:pt idx="71">
                  <c:v>9</c:v>
                </c:pt>
                <c:pt idx="72">
                  <c:v>7.5</c:v>
                </c:pt>
                <c:pt idx="73">
                  <c:v>7.5</c:v>
                </c:pt>
                <c:pt idx="74">
                  <c:v>17.5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20.5</c:v>
                </c:pt>
                <c:pt idx="85">
                  <c:v>18.5</c:v>
                </c:pt>
                <c:pt idx="86">
                  <c:v>7.5</c:v>
                </c:pt>
                <c:pt idx="87">
                  <c:v>18.5</c:v>
                </c:pt>
                <c:pt idx="88">
                  <c:v>18.5</c:v>
                </c:pt>
                <c:pt idx="89">
                  <c:v>7.5</c:v>
                </c:pt>
                <c:pt idx="90">
                  <c:v>20.5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18.5</c:v>
                </c:pt>
                <c:pt idx="97">
                  <c:v>7.5</c:v>
                </c:pt>
                <c:pt idx="98">
                  <c:v>26.5</c:v>
                </c:pt>
                <c:pt idx="99">
                  <c:v>21.5</c:v>
                </c:pt>
                <c:pt idx="100">
                  <c:v>7.5</c:v>
                </c:pt>
                <c:pt idx="101">
                  <c:v>18.5</c:v>
                </c:pt>
                <c:pt idx="102">
                  <c:v>29.5</c:v>
                </c:pt>
                <c:pt idx="103">
                  <c:v>7.5</c:v>
                </c:pt>
                <c:pt idx="104">
                  <c:v>7.5</c:v>
                </c:pt>
                <c:pt idx="105">
                  <c:v>7.5</c:v>
                </c:pt>
                <c:pt idx="106">
                  <c:v>7.5</c:v>
                </c:pt>
                <c:pt idx="107">
                  <c:v>22.5</c:v>
                </c:pt>
                <c:pt idx="108">
                  <c:v>22.5</c:v>
                </c:pt>
                <c:pt idx="109">
                  <c:v>7.5</c:v>
                </c:pt>
                <c:pt idx="110">
                  <c:v>18.5</c:v>
                </c:pt>
                <c:pt idx="111">
                  <c:v>17.5</c:v>
                </c:pt>
                <c:pt idx="112">
                  <c:v>19.5</c:v>
                </c:pt>
                <c:pt idx="113">
                  <c:v>7.5</c:v>
                </c:pt>
                <c:pt idx="114">
                  <c:v>34.5</c:v>
                </c:pt>
                <c:pt idx="115">
                  <c:v>33.5</c:v>
                </c:pt>
                <c:pt idx="116">
                  <c:v>24.5</c:v>
                </c:pt>
                <c:pt idx="117">
                  <c:v>21.5</c:v>
                </c:pt>
                <c:pt idx="118">
                  <c:v>7.5</c:v>
                </c:pt>
                <c:pt idx="119">
                  <c:v>32.5</c:v>
                </c:pt>
                <c:pt idx="121">
                  <c:v>7.5</c:v>
                </c:pt>
                <c:pt idx="122">
                  <c:v>29.5</c:v>
                </c:pt>
                <c:pt idx="123">
                  <c:v>18.5</c:v>
                </c:pt>
                <c:pt idx="124">
                  <c:v>22.5</c:v>
                </c:pt>
                <c:pt idx="125">
                  <c:v>20.5</c:v>
                </c:pt>
                <c:pt idx="126">
                  <c:v>7.5</c:v>
                </c:pt>
                <c:pt idx="127">
                  <c:v>40.5</c:v>
                </c:pt>
                <c:pt idx="128">
                  <c:v>25.5</c:v>
                </c:pt>
                <c:pt idx="129">
                  <c:v>32.5</c:v>
                </c:pt>
                <c:pt idx="130">
                  <c:v>7.5</c:v>
                </c:pt>
                <c:pt idx="131">
                  <c:v>7.5</c:v>
                </c:pt>
                <c:pt idx="132">
                  <c:v>7.5</c:v>
                </c:pt>
                <c:pt idx="133">
                  <c:v>6</c:v>
                </c:pt>
                <c:pt idx="134">
                  <c:v>10.5</c:v>
                </c:pt>
                <c:pt idx="135">
                  <c:v>10.5</c:v>
                </c:pt>
                <c:pt idx="136">
                  <c:v>13.5</c:v>
                </c:pt>
                <c:pt idx="137">
                  <c:v>37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12</c:v>
                </c:pt>
                <c:pt idx="142">
                  <c:v>38</c:v>
                </c:pt>
                <c:pt idx="143">
                  <c:v>31.5</c:v>
                </c:pt>
                <c:pt idx="144">
                  <c:v>41</c:v>
                </c:pt>
                <c:pt idx="145">
                  <c:v>28</c:v>
                </c:pt>
                <c:pt idx="146">
                  <c:v>9</c:v>
                </c:pt>
                <c:pt idx="147">
                  <c:v>9</c:v>
                </c:pt>
                <c:pt idx="148">
                  <c:v>10.5</c:v>
                </c:pt>
                <c:pt idx="149">
                  <c:v>10.5</c:v>
                </c:pt>
                <c:pt idx="150">
                  <c:v>4.5</c:v>
                </c:pt>
                <c:pt idx="151">
                  <c:v>20</c:v>
                </c:pt>
                <c:pt idx="152">
                  <c:v>9</c:v>
                </c:pt>
                <c:pt idx="153">
                  <c:v>9</c:v>
                </c:pt>
                <c:pt idx="154">
                  <c:v>19</c:v>
                </c:pt>
                <c:pt idx="155">
                  <c:v>24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12</c:v>
                </c:pt>
                <c:pt idx="160">
                  <c:v>10.5</c:v>
                </c:pt>
                <c:pt idx="161">
                  <c:v>19</c:v>
                </c:pt>
                <c:pt idx="162">
                  <c:v>21</c:v>
                </c:pt>
                <c:pt idx="163">
                  <c:v>40.5</c:v>
                </c:pt>
                <c:pt idx="164">
                  <c:v>39.5</c:v>
                </c:pt>
                <c:pt idx="165">
                  <c:v>28.5</c:v>
                </c:pt>
                <c:pt idx="166">
                  <c:v>48.5</c:v>
                </c:pt>
                <c:pt idx="167">
                  <c:v>23.5</c:v>
                </c:pt>
                <c:pt idx="168">
                  <c:v>7.5</c:v>
                </c:pt>
                <c:pt idx="169">
                  <c:v>12.5</c:v>
                </c:pt>
                <c:pt idx="170">
                  <c:v>1.5</c:v>
                </c:pt>
                <c:pt idx="171">
                  <c:v>10.5</c:v>
                </c:pt>
                <c:pt idx="172">
                  <c:v>10.5</c:v>
                </c:pt>
                <c:pt idx="173">
                  <c:v>1.5</c:v>
                </c:pt>
                <c:pt idx="174">
                  <c:v>1.5</c:v>
                </c:pt>
                <c:pt idx="175">
                  <c:v>13.5</c:v>
                </c:pt>
                <c:pt idx="176">
                  <c:v>30</c:v>
                </c:pt>
                <c:pt idx="177">
                  <c:v>1.5</c:v>
                </c:pt>
                <c:pt idx="178">
                  <c:v>27</c:v>
                </c:pt>
                <c:pt idx="179">
                  <c:v>19</c:v>
                </c:pt>
                <c:pt idx="180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49-4028-A476-6B9CA63A1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01744"/>
        <c:axId val="1237509904"/>
      </c:scatterChart>
      <c:valAx>
        <c:axId val="123750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RMR76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9904"/>
        <c:crosses val="autoZero"/>
        <c:crossBetween val="midCat"/>
      </c:valAx>
      <c:valAx>
        <c:axId val="123750990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GSI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898451273988243"/>
          <c:y val="7.9026578036302086E-2"/>
          <c:w val="0.78237493569370176"/>
          <c:h val="0.86670001951150966"/>
        </c:manualLayout>
      </c:layout>
      <c:scatterChart>
        <c:scatterStyle val="lineMarker"/>
        <c:varyColors val="0"/>
        <c:ser>
          <c:idx val="2"/>
          <c:order val="0"/>
          <c:tx>
            <c:v>Logging PNM</c:v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 Blasting'!$T$4:$T$113</c:f>
              <c:numCache>
                <c:formatCode>0</c:formatCode>
                <c:ptCount val="21"/>
                <c:pt idx="0">
                  <c:v>60</c:v>
                </c:pt>
                <c:pt idx="1">
                  <c:v>100</c:v>
                </c:pt>
                <c:pt idx="2">
                  <c:v>0</c:v>
                </c:pt>
                <c:pt idx="3">
                  <c:v>22</c:v>
                </c:pt>
                <c:pt idx="4">
                  <c:v>42.000000000000007</c:v>
                </c:pt>
                <c:pt idx="5">
                  <c:v>56.000000000000007</c:v>
                </c:pt>
                <c:pt idx="6">
                  <c:v>62</c:v>
                </c:pt>
                <c:pt idx="7">
                  <c:v>32</c:v>
                </c:pt>
                <c:pt idx="8">
                  <c:v>42</c:v>
                </c:pt>
                <c:pt idx="9">
                  <c:v>50</c:v>
                </c:pt>
                <c:pt idx="10">
                  <c:v>38</c:v>
                </c:pt>
                <c:pt idx="11">
                  <c:v>22</c:v>
                </c:pt>
                <c:pt idx="12">
                  <c:v>24</c:v>
                </c:pt>
                <c:pt idx="13">
                  <c:v>28.000000000000004</c:v>
                </c:pt>
                <c:pt idx="14">
                  <c:v>44</c:v>
                </c:pt>
                <c:pt idx="15">
                  <c:v>40</c:v>
                </c:pt>
                <c:pt idx="16">
                  <c:v>0</c:v>
                </c:pt>
                <c:pt idx="17">
                  <c:v>54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'3. Blasting'!$I$4:$I$113</c:f>
              <c:numCache>
                <c:formatCode>0.00</c:formatCode>
                <c:ptCount val="21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12.5</c:v>
                </c:pt>
                <c:pt idx="11">
                  <c:v>13</c:v>
                </c:pt>
                <c:pt idx="12">
                  <c:v>13.5</c:v>
                </c:pt>
                <c:pt idx="13">
                  <c:v>14</c:v>
                </c:pt>
                <c:pt idx="14">
                  <c:v>14.5</c:v>
                </c:pt>
                <c:pt idx="15">
                  <c:v>15</c:v>
                </c:pt>
                <c:pt idx="16">
                  <c:v>15.5</c:v>
                </c:pt>
                <c:pt idx="17">
                  <c:v>16</c:v>
                </c:pt>
                <c:pt idx="18">
                  <c:v>16.5</c:v>
                </c:pt>
                <c:pt idx="19">
                  <c:v>17</c:v>
                </c:pt>
                <c:pt idx="20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6-428D-AC73-005537B42B4F}"/>
            </c:ext>
          </c:extLst>
        </c:ser>
        <c:ser>
          <c:idx val="3"/>
          <c:order val="1"/>
          <c:tx>
            <c:v>Logging GEOMINAS</c:v>
          </c:tx>
          <c:xVal>
            <c:numRef>
              <c:f>'3. Blasting'!$Z$4:$Z$113</c:f>
              <c:numCache>
                <c:formatCode>General</c:formatCode>
                <c:ptCount val="21"/>
                <c:pt idx="0">
                  <c:v>64</c:v>
                </c:pt>
                <c:pt idx="1">
                  <c:v>22</c:v>
                </c:pt>
                <c:pt idx="2">
                  <c:v>0</c:v>
                </c:pt>
                <c:pt idx="3">
                  <c:v>24</c:v>
                </c:pt>
                <c:pt idx="4">
                  <c:v>50</c:v>
                </c:pt>
                <c:pt idx="5">
                  <c:v>68</c:v>
                </c:pt>
                <c:pt idx="6">
                  <c:v>86</c:v>
                </c:pt>
                <c:pt idx="7">
                  <c:v>34</c:v>
                </c:pt>
                <c:pt idx="8">
                  <c:v>46</c:v>
                </c:pt>
                <c:pt idx="9">
                  <c:v>42</c:v>
                </c:pt>
                <c:pt idx="10">
                  <c:v>26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'3. Blasting'!$I$4:$I$113</c:f>
              <c:numCache>
                <c:formatCode>0.00</c:formatCode>
                <c:ptCount val="21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12.5</c:v>
                </c:pt>
                <c:pt idx="11">
                  <c:v>13</c:v>
                </c:pt>
                <c:pt idx="12">
                  <c:v>13.5</c:v>
                </c:pt>
                <c:pt idx="13">
                  <c:v>14</c:v>
                </c:pt>
                <c:pt idx="14">
                  <c:v>14.5</c:v>
                </c:pt>
                <c:pt idx="15">
                  <c:v>15</c:v>
                </c:pt>
                <c:pt idx="16">
                  <c:v>15.5</c:v>
                </c:pt>
                <c:pt idx="17">
                  <c:v>16</c:v>
                </c:pt>
                <c:pt idx="18">
                  <c:v>16.5</c:v>
                </c:pt>
                <c:pt idx="19">
                  <c:v>17</c:v>
                </c:pt>
                <c:pt idx="20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26-428D-AC73-005537B42B4F}"/>
            </c:ext>
          </c:extLst>
        </c:ser>
        <c:ser>
          <c:idx val="0"/>
          <c:order val="2"/>
          <c:tx>
            <c:v>Logging PNM</c:v>
          </c:tx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Blasting'!$T$4:$T$113</c:f>
              <c:numCache>
                <c:formatCode>0</c:formatCode>
                <c:ptCount val="21"/>
                <c:pt idx="0">
                  <c:v>60</c:v>
                </c:pt>
                <c:pt idx="1">
                  <c:v>100</c:v>
                </c:pt>
                <c:pt idx="2">
                  <c:v>0</c:v>
                </c:pt>
                <c:pt idx="3">
                  <c:v>22</c:v>
                </c:pt>
                <c:pt idx="4">
                  <c:v>42.000000000000007</c:v>
                </c:pt>
                <c:pt idx="5">
                  <c:v>56.000000000000007</c:v>
                </c:pt>
                <c:pt idx="6">
                  <c:v>62</c:v>
                </c:pt>
                <c:pt idx="7">
                  <c:v>32</c:v>
                </c:pt>
                <c:pt idx="8">
                  <c:v>42</c:v>
                </c:pt>
                <c:pt idx="9">
                  <c:v>50</c:v>
                </c:pt>
                <c:pt idx="10">
                  <c:v>38</c:v>
                </c:pt>
                <c:pt idx="11">
                  <c:v>22</c:v>
                </c:pt>
                <c:pt idx="12">
                  <c:v>24</c:v>
                </c:pt>
                <c:pt idx="13">
                  <c:v>28.000000000000004</c:v>
                </c:pt>
                <c:pt idx="14">
                  <c:v>44</c:v>
                </c:pt>
                <c:pt idx="15">
                  <c:v>40</c:v>
                </c:pt>
                <c:pt idx="16">
                  <c:v>0</c:v>
                </c:pt>
                <c:pt idx="17">
                  <c:v>54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'3. Blasting'!$I$4:$I$113</c:f>
              <c:numCache>
                <c:formatCode>0.00</c:formatCode>
                <c:ptCount val="21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12.5</c:v>
                </c:pt>
                <c:pt idx="11">
                  <c:v>13</c:v>
                </c:pt>
                <c:pt idx="12">
                  <c:v>13.5</c:v>
                </c:pt>
                <c:pt idx="13">
                  <c:v>14</c:v>
                </c:pt>
                <c:pt idx="14">
                  <c:v>14.5</c:v>
                </c:pt>
                <c:pt idx="15">
                  <c:v>15</c:v>
                </c:pt>
                <c:pt idx="16">
                  <c:v>15.5</c:v>
                </c:pt>
                <c:pt idx="17">
                  <c:v>16</c:v>
                </c:pt>
                <c:pt idx="18">
                  <c:v>16.5</c:v>
                </c:pt>
                <c:pt idx="19">
                  <c:v>17</c:v>
                </c:pt>
                <c:pt idx="20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26-428D-AC73-005537B42B4F}"/>
            </c:ext>
          </c:extLst>
        </c:ser>
        <c:ser>
          <c:idx val="1"/>
          <c:order val="3"/>
          <c:tx>
            <c:v>Logging GEOMINAS</c:v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 Blasting'!$Z$4:$Z$113</c:f>
              <c:numCache>
                <c:formatCode>General</c:formatCode>
                <c:ptCount val="21"/>
                <c:pt idx="0">
                  <c:v>64</c:v>
                </c:pt>
                <c:pt idx="1">
                  <c:v>22</c:v>
                </c:pt>
                <c:pt idx="2">
                  <c:v>0</c:v>
                </c:pt>
                <c:pt idx="3">
                  <c:v>24</c:v>
                </c:pt>
                <c:pt idx="4">
                  <c:v>50</c:v>
                </c:pt>
                <c:pt idx="5">
                  <c:v>68</c:v>
                </c:pt>
                <c:pt idx="6">
                  <c:v>86</c:v>
                </c:pt>
                <c:pt idx="7">
                  <c:v>34</c:v>
                </c:pt>
                <c:pt idx="8">
                  <c:v>46</c:v>
                </c:pt>
                <c:pt idx="9">
                  <c:v>42</c:v>
                </c:pt>
                <c:pt idx="10">
                  <c:v>26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'3. Blasting'!$I$4:$I$113</c:f>
              <c:numCache>
                <c:formatCode>0.00</c:formatCode>
                <c:ptCount val="21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12.5</c:v>
                </c:pt>
                <c:pt idx="11">
                  <c:v>13</c:v>
                </c:pt>
                <c:pt idx="12">
                  <c:v>13.5</c:v>
                </c:pt>
                <c:pt idx="13">
                  <c:v>14</c:v>
                </c:pt>
                <c:pt idx="14">
                  <c:v>14.5</c:v>
                </c:pt>
                <c:pt idx="15">
                  <c:v>15</c:v>
                </c:pt>
                <c:pt idx="16">
                  <c:v>15.5</c:v>
                </c:pt>
                <c:pt idx="17">
                  <c:v>16</c:v>
                </c:pt>
                <c:pt idx="18">
                  <c:v>16.5</c:v>
                </c:pt>
                <c:pt idx="19">
                  <c:v>17</c:v>
                </c:pt>
                <c:pt idx="20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26-428D-AC73-005537B42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144160"/>
        <c:axId val="288978896"/>
      </c:scatterChart>
      <c:valAx>
        <c:axId val="1107144160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RQD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978896"/>
        <c:crosses val="autoZero"/>
        <c:crossBetween val="midCat"/>
      </c:valAx>
      <c:valAx>
        <c:axId val="288978896"/>
        <c:scaling>
          <c:orientation val="maxMin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Lenght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7144160"/>
        <c:crosses val="autoZero"/>
        <c:crossBetween val="midCat"/>
        <c:majorUnit val="2"/>
        <c:minorUnit val="0.5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Geotech-02</a:t>
            </a:r>
          </a:p>
        </c:rich>
      </c:tx>
      <c:layout>
        <c:manualLayout>
          <c:xMode val="edge"/>
          <c:yMode val="edge"/>
          <c:x val="0.38278729525039629"/>
          <c:y val="2.8831710283641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904084728889641"/>
          <c:h val="0.72114905972183252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F1F-40B8-9265-88D6F9126321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1F1F-40B8-9265-88D6F9126321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1F1F-40B8-9265-88D6F9126321}"/>
            </c:ext>
          </c:extLst>
        </c:ser>
        <c:ser>
          <c:idx val="3"/>
          <c:order val="3"/>
          <c:marker>
            <c:symbol val="none"/>
          </c:marker>
          <c:xVal>
            <c:numRef>
              <c:f>'3. Blasting'!$X$114:$X$233</c:f>
              <c:numCache>
                <c:formatCode>0.00</c:formatCode>
                <c:ptCount val="40"/>
                <c:pt idx="0">
                  <c:v>26</c:v>
                </c:pt>
                <c:pt idx="1">
                  <c:v>26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20</c:v>
                </c:pt>
                <c:pt idx="6">
                  <c:v>28</c:v>
                </c:pt>
                <c:pt idx="7">
                  <c:v>2.4</c:v>
                </c:pt>
                <c:pt idx="8">
                  <c:v>42</c:v>
                </c:pt>
                <c:pt idx="9">
                  <c:v>20</c:v>
                </c:pt>
                <c:pt idx="11">
                  <c:v>13</c:v>
                </c:pt>
                <c:pt idx="12">
                  <c:v>17</c:v>
                </c:pt>
                <c:pt idx="13">
                  <c:v>16</c:v>
                </c:pt>
                <c:pt idx="14">
                  <c:v>14</c:v>
                </c:pt>
                <c:pt idx="15">
                  <c:v>17</c:v>
                </c:pt>
                <c:pt idx="16">
                  <c:v>23</c:v>
                </c:pt>
                <c:pt idx="17">
                  <c:v>20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16.363636363636363</c:v>
                </c:pt>
                <c:pt idx="22">
                  <c:v>10.909090909090908</c:v>
                </c:pt>
                <c:pt idx="24">
                  <c:v>24</c:v>
                </c:pt>
                <c:pt idx="26">
                  <c:v>24</c:v>
                </c:pt>
                <c:pt idx="27">
                  <c:v>11</c:v>
                </c:pt>
                <c:pt idx="28">
                  <c:v>12</c:v>
                </c:pt>
                <c:pt idx="29">
                  <c:v>86.666666666666671</c:v>
                </c:pt>
                <c:pt idx="30">
                  <c:v>26</c:v>
                </c:pt>
                <c:pt idx="31">
                  <c:v>10.666666666666666</c:v>
                </c:pt>
                <c:pt idx="32">
                  <c:v>12</c:v>
                </c:pt>
                <c:pt idx="33">
                  <c:v>45.714285714285715</c:v>
                </c:pt>
                <c:pt idx="34">
                  <c:v>20</c:v>
                </c:pt>
                <c:pt idx="35">
                  <c:v>32</c:v>
                </c:pt>
                <c:pt idx="36">
                  <c:v>44</c:v>
                </c:pt>
                <c:pt idx="37">
                  <c:v>12</c:v>
                </c:pt>
                <c:pt idx="38">
                  <c:v>15</c:v>
                </c:pt>
                <c:pt idx="39">
                  <c:v>18.571428571428573</c:v>
                </c:pt>
              </c:numCache>
            </c:numRef>
          </c:xVal>
          <c:yVal>
            <c:numRef>
              <c:f>'3. Blasting'!$T$114:$T$233</c:f>
              <c:numCache>
                <c:formatCode>0.00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1F-40B8-9265-88D6F9126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16960981865876"/>
          <c:y val="0.88981819271193463"/>
          <c:w val="0.73213339380026021"/>
          <c:h val="8.3687477569846042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Geotech-03</a:t>
            </a:r>
          </a:p>
        </c:rich>
      </c:tx>
      <c:layout>
        <c:manualLayout>
          <c:xMode val="edge"/>
          <c:yMode val="edge"/>
          <c:x val="0.38278729525039629"/>
          <c:y val="2.8831710283641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9637676749939579"/>
          <c:h val="0.75531322158105763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FF8-4724-8819-96016B7B53E6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FF8-4724-8819-96016B7B53E6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FF8-4724-8819-96016B7B53E6}"/>
            </c:ext>
          </c:extLst>
        </c:ser>
        <c:ser>
          <c:idx val="3"/>
          <c:order val="3"/>
          <c:marker>
            <c:symbol val="none"/>
          </c:marker>
          <c:xVal>
            <c:numRef>
              <c:f>'3. Blasting'!$X$233:$X$353</c:f>
              <c:numCache>
                <c:formatCode>0.00</c:formatCode>
                <c:ptCount val="14"/>
                <c:pt idx="0">
                  <c:v>52</c:v>
                </c:pt>
                <c:pt idx="1">
                  <c:v>50</c:v>
                </c:pt>
                <c:pt idx="2">
                  <c:v>110</c:v>
                </c:pt>
                <c:pt idx="3">
                  <c:v>47.142857142857146</c:v>
                </c:pt>
                <c:pt idx="4">
                  <c:v>41.428571428571431</c:v>
                </c:pt>
                <c:pt idx="5">
                  <c:v>50</c:v>
                </c:pt>
                <c:pt idx="6">
                  <c:v>51.25</c:v>
                </c:pt>
                <c:pt idx="7">
                  <c:v>86</c:v>
                </c:pt>
                <c:pt idx="8">
                  <c:v>74</c:v>
                </c:pt>
                <c:pt idx="9">
                  <c:v>107.5</c:v>
                </c:pt>
                <c:pt idx="10">
                  <c:v>60</c:v>
                </c:pt>
                <c:pt idx="11">
                  <c:v>34</c:v>
                </c:pt>
                <c:pt idx="12">
                  <c:v>32</c:v>
                </c:pt>
                <c:pt idx="13">
                  <c:v>70</c:v>
                </c:pt>
              </c:numCache>
            </c:numRef>
          </c:xVal>
          <c:yVal>
            <c:numRef>
              <c:f>'3. Blasting'!$T$233:$T$353</c:f>
              <c:numCache>
                <c:formatCode>0.00</c:formatCode>
                <c:ptCount val="14"/>
                <c:pt idx="0">
                  <c:v>22</c:v>
                </c:pt>
                <c:pt idx="1">
                  <c:v>28.000000000000004</c:v>
                </c:pt>
                <c:pt idx="2">
                  <c:v>30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26</c:v>
                </c:pt>
                <c:pt idx="7">
                  <c:v>30</c:v>
                </c:pt>
                <c:pt idx="8">
                  <c:v>32</c:v>
                </c:pt>
                <c:pt idx="9">
                  <c:v>56.000000000000007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F8-4724-8819-96016B7B5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16960981865876"/>
          <c:y val="0.92553528034393151"/>
          <c:w val="0.69433374422134408"/>
          <c:h val="3.55471306984892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Geotech-01</a:t>
            </a:r>
          </a:p>
        </c:rich>
      </c:tx>
      <c:layout>
        <c:manualLayout>
          <c:xMode val="edge"/>
          <c:yMode val="edge"/>
          <c:x val="0.38278729525039629"/>
          <c:y val="2.8831710283641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6773126900556887"/>
          <c:h val="0.71279697876461334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DC4-43C5-9857-CF3662385E98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DC4-43C5-9857-CF3662385E98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DC4-43C5-9857-CF3662385E98}"/>
            </c:ext>
          </c:extLst>
        </c:ser>
        <c:ser>
          <c:idx val="3"/>
          <c:order val="3"/>
          <c:tx>
            <c:v>Geotech-01</c:v>
          </c:tx>
          <c:spPr>
            <a:ln>
              <a:noFill/>
            </a:ln>
          </c:spPr>
          <c:marker>
            <c:symbol val="none"/>
          </c:marker>
          <c:xVal>
            <c:numRef>
              <c:f>'3. Blasting'!$X$4:$X$113</c:f>
              <c:numCache>
                <c:formatCode>0.00</c:formatCode>
                <c:ptCount val="21"/>
                <c:pt idx="0">
                  <c:v>126.66666666666667</c:v>
                </c:pt>
                <c:pt idx="1">
                  <c:v>140</c:v>
                </c:pt>
                <c:pt idx="2">
                  <c:v>19</c:v>
                </c:pt>
                <c:pt idx="3">
                  <c:v>76.666666666666671</c:v>
                </c:pt>
                <c:pt idx="4">
                  <c:v>86</c:v>
                </c:pt>
                <c:pt idx="5">
                  <c:v>112.5</c:v>
                </c:pt>
                <c:pt idx="6">
                  <c:v>235</c:v>
                </c:pt>
                <c:pt idx="7">
                  <c:v>70</c:v>
                </c:pt>
                <c:pt idx="8">
                  <c:v>102.5</c:v>
                </c:pt>
                <c:pt idx="9">
                  <c:v>107.5</c:v>
                </c:pt>
                <c:pt idx="10">
                  <c:v>44</c:v>
                </c:pt>
                <c:pt idx="11">
                  <c:v>46</c:v>
                </c:pt>
                <c:pt idx="12">
                  <c:v>73.333333333333329</c:v>
                </c:pt>
                <c:pt idx="13">
                  <c:v>140</c:v>
                </c:pt>
                <c:pt idx="14">
                  <c:v>70</c:v>
                </c:pt>
                <c:pt idx="15">
                  <c:v>92.5</c:v>
                </c:pt>
                <c:pt idx="16">
                  <c:v>48.571428571428569</c:v>
                </c:pt>
                <c:pt idx="17">
                  <c:v>81.666666666666671</c:v>
                </c:pt>
                <c:pt idx="18">
                  <c:v>93.333333333333329</c:v>
                </c:pt>
                <c:pt idx="19">
                  <c:v>55</c:v>
                </c:pt>
                <c:pt idx="20">
                  <c:v>19</c:v>
                </c:pt>
              </c:numCache>
            </c:numRef>
          </c:xVal>
          <c:yVal>
            <c:numRef>
              <c:f>'3. Blasting'!$T$4:$T$113</c:f>
              <c:numCache>
                <c:formatCode>0</c:formatCode>
                <c:ptCount val="21"/>
                <c:pt idx="0">
                  <c:v>60</c:v>
                </c:pt>
                <c:pt idx="1">
                  <c:v>100</c:v>
                </c:pt>
                <c:pt idx="2">
                  <c:v>0</c:v>
                </c:pt>
                <c:pt idx="3">
                  <c:v>22</c:v>
                </c:pt>
                <c:pt idx="4">
                  <c:v>42.000000000000007</c:v>
                </c:pt>
                <c:pt idx="5">
                  <c:v>56.000000000000007</c:v>
                </c:pt>
                <c:pt idx="6">
                  <c:v>62</c:v>
                </c:pt>
                <c:pt idx="7">
                  <c:v>32</c:v>
                </c:pt>
                <c:pt idx="8">
                  <c:v>42</c:v>
                </c:pt>
                <c:pt idx="9">
                  <c:v>50</c:v>
                </c:pt>
                <c:pt idx="10">
                  <c:v>38</c:v>
                </c:pt>
                <c:pt idx="11">
                  <c:v>22</c:v>
                </c:pt>
                <c:pt idx="12">
                  <c:v>24</c:v>
                </c:pt>
                <c:pt idx="13">
                  <c:v>28.000000000000004</c:v>
                </c:pt>
                <c:pt idx="14">
                  <c:v>44</c:v>
                </c:pt>
                <c:pt idx="15">
                  <c:v>40</c:v>
                </c:pt>
                <c:pt idx="16">
                  <c:v>0</c:v>
                </c:pt>
                <c:pt idx="17">
                  <c:v>54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C4-43C5-9857-CF366238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861922747139183"/>
          <c:y val="0.88358390843341794"/>
          <c:w val="0.68888412109249286"/>
          <c:h val="9.769107706694613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RMR76 vs GSI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20533590326002"/>
          <c:y val="6.9035608369802381E-2"/>
          <c:w val="0.83628048027738866"/>
          <c:h val="0.84675254582619108"/>
        </c:manualLayout>
      </c:layout>
      <c:scatterChart>
        <c:scatterStyle val="lineMarker"/>
        <c:varyColors val="0"/>
        <c:ser>
          <c:idx val="0"/>
          <c:order val="0"/>
          <c:tx>
            <c:v>Correlation RMR76 vs GSI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B05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058231851453353E-2"/>
                  <c:y val="-6.9156007342928275E-2"/>
                </c:manualLayout>
              </c:layout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'3. Blasting'!$BL$4:$BL$588</c:f>
              <c:numCache>
                <c:formatCode>0</c:formatCode>
                <c:ptCount val="181"/>
                <c:pt idx="0">
                  <c:v>45</c:v>
                </c:pt>
                <c:pt idx="1">
                  <c:v>50</c:v>
                </c:pt>
                <c:pt idx="2">
                  <c:v>19</c:v>
                </c:pt>
                <c:pt idx="3">
                  <c:v>32</c:v>
                </c:pt>
                <c:pt idx="4">
                  <c:v>36</c:v>
                </c:pt>
                <c:pt idx="5">
                  <c:v>44</c:v>
                </c:pt>
                <c:pt idx="6">
                  <c:v>49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43</c:v>
                </c:pt>
                <c:pt idx="11">
                  <c:v>38</c:v>
                </c:pt>
                <c:pt idx="12">
                  <c:v>25</c:v>
                </c:pt>
                <c:pt idx="13">
                  <c:v>30</c:v>
                </c:pt>
                <c:pt idx="14">
                  <c:v>40</c:v>
                </c:pt>
                <c:pt idx="15">
                  <c:v>43</c:v>
                </c:pt>
                <c:pt idx="16">
                  <c:v>30</c:v>
                </c:pt>
                <c:pt idx="17">
                  <c:v>41</c:v>
                </c:pt>
                <c:pt idx="18">
                  <c:v>33</c:v>
                </c:pt>
                <c:pt idx="19">
                  <c:v>24</c:v>
                </c:pt>
                <c:pt idx="20">
                  <c:v>23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27</c:v>
                </c:pt>
                <c:pt idx="51">
                  <c:v>19</c:v>
                </c:pt>
                <c:pt idx="52">
                  <c:v>21</c:v>
                </c:pt>
                <c:pt idx="53">
                  <c:v>21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32</c:v>
                </c:pt>
                <c:pt idx="58">
                  <c:v>27</c:v>
                </c:pt>
                <c:pt idx="59">
                  <c:v>27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29</c:v>
                </c:pt>
                <c:pt idx="64">
                  <c:v>19</c:v>
                </c:pt>
                <c:pt idx="65">
                  <c:v>19</c:v>
                </c:pt>
                <c:pt idx="66">
                  <c:v>22</c:v>
                </c:pt>
                <c:pt idx="67">
                  <c:v>24</c:v>
                </c:pt>
                <c:pt idx="68">
                  <c:v>27</c:v>
                </c:pt>
                <c:pt idx="69">
                  <c:v>26</c:v>
                </c:pt>
                <c:pt idx="70">
                  <c:v>35</c:v>
                </c:pt>
                <c:pt idx="71">
                  <c:v>19</c:v>
                </c:pt>
                <c:pt idx="72">
                  <c:v>18</c:v>
                </c:pt>
                <c:pt idx="73">
                  <c:v>18</c:v>
                </c:pt>
                <c:pt idx="74">
                  <c:v>23</c:v>
                </c:pt>
                <c:pt idx="75">
                  <c:v>17</c:v>
                </c:pt>
                <c:pt idx="76">
                  <c:v>18</c:v>
                </c:pt>
                <c:pt idx="77">
                  <c:v>17</c:v>
                </c:pt>
                <c:pt idx="78">
                  <c:v>18</c:v>
                </c:pt>
                <c:pt idx="79">
                  <c:v>17</c:v>
                </c:pt>
                <c:pt idx="80">
                  <c:v>19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26</c:v>
                </c:pt>
                <c:pt idx="85">
                  <c:v>23</c:v>
                </c:pt>
                <c:pt idx="86">
                  <c:v>18</c:v>
                </c:pt>
                <c:pt idx="87">
                  <c:v>24</c:v>
                </c:pt>
                <c:pt idx="88">
                  <c:v>23</c:v>
                </c:pt>
                <c:pt idx="89">
                  <c:v>18</c:v>
                </c:pt>
                <c:pt idx="90">
                  <c:v>28</c:v>
                </c:pt>
                <c:pt idx="91">
                  <c:v>17</c:v>
                </c:pt>
                <c:pt idx="92">
                  <c:v>17</c:v>
                </c:pt>
                <c:pt idx="93">
                  <c:v>18</c:v>
                </c:pt>
                <c:pt idx="94">
                  <c:v>18</c:v>
                </c:pt>
                <c:pt idx="95">
                  <c:v>19</c:v>
                </c:pt>
                <c:pt idx="96">
                  <c:v>24</c:v>
                </c:pt>
                <c:pt idx="97">
                  <c:v>20</c:v>
                </c:pt>
                <c:pt idx="98">
                  <c:v>29</c:v>
                </c:pt>
                <c:pt idx="99">
                  <c:v>23</c:v>
                </c:pt>
                <c:pt idx="100">
                  <c:v>17</c:v>
                </c:pt>
                <c:pt idx="101">
                  <c:v>25</c:v>
                </c:pt>
                <c:pt idx="102">
                  <c:v>27</c:v>
                </c:pt>
                <c:pt idx="103">
                  <c:v>18</c:v>
                </c:pt>
                <c:pt idx="104">
                  <c:v>19</c:v>
                </c:pt>
                <c:pt idx="105">
                  <c:v>19</c:v>
                </c:pt>
                <c:pt idx="106">
                  <c:v>21</c:v>
                </c:pt>
                <c:pt idx="107">
                  <c:v>30</c:v>
                </c:pt>
                <c:pt idx="108">
                  <c:v>31</c:v>
                </c:pt>
                <c:pt idx="109">
                  <c:v>21</c:v>
                </c:pt>
                <c:pt idx="110">
                  <c:v>26</c:v>
                </c:pt>
                <c:pt idx="111">
                  <c:v>22</c:v>
                </c:pt>
                <c:pt idx="112">
                  <c:v>27</c:v>
                </c:pt>
                <c:pt idx="113">
                  <c:v>19</c:v>
                </c:pt>
                <c:pt idx="114">
                  <c:v>32</c:v>
                </c:pt>
                <c:pt idx="115">
                  <c:v>31</c:v>
                </c:pt>
                <c:pt idx="116">
                  <c:v>27</c:v>
                </c:pt>
                <c:pt idx="117">
                  <c:v>23</c:v>
                </c:pt>
                <c:pt idx="118">
                  <c:v>17</c:v>
                </c:pt>
                <c:pt idx="119">
                  <c:v>30</c:v>
                </c:pt>
                <c:pt idx="121">
                  <c:v>19</c:v>
                </c:pt>
                <c:pt idx="122">
                  <c:v>29</c:v>
                </c:pt>
                <c:pt idx="123">
                  <c:v>23</c:v>
                </c:pt>
                <c:pt idx="124">
                  <c:v>28</c:v>
                </c:pt>
                <c:pt idx="125">
                  <c:v>24</c:v>
                </c:pt>
                <c:pt idx="126">
                  <c:v>18</c:v>
                </c:pt>
                <c:pt idx="127">
                  <c:v>36</c:v>
                </c:pt>
                <c:pt idx="128">
                  <c:v>30</c:v>
                </c:pt>
                <c:pt idx="129">
                  <c:v>32</c:v>
                </c:pt>
                <c:pt idx="130">
                  <c:v>17</c:v>
                </c:pt>
                <c:pt idx="131">
                  <c:v>17</c:v>
                </c:pt>
                <c:pt idx="132">
                  <c:v>18</c:v>
                </c:pt>
                <c:pt idx="133">
                  <c:v>19</c:v>
                </c:pt>
                <c:pt idx="134">
                  <c:v>22</c:v>
                </c:pt>
                <c:pt idx="135">
                  <c:v>22</c:v>
                </c:pt>
                <c:pt idx="136">
                  <c:v>25</c:v>
                </c:pt>
                <c:pt idx="137">
                  <c:v>38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23</c:v>
                </c:pt>
                <c:pt idx="142">
                  <c:v>40</c:v>
                </c:pt>
                <c:pt idx="143">
                  <c:v>38</c:v>
                </c:pt>
                <c:pt idx="144">
                  <c:v>43</c:v>
                </c:pt>
                <c:pt idx="145">
                  <c:v>35</c:v>
                </c:pt>
                <c:pt idx="146">
                  <c:v>21</c:v>
                </c:pt>
                <c:pt idx="147">
                  <c:v>21</c:v>
                </c:pt>
                <c:pt idx="148">
                  <c:v>22</c:v>
                </c:pt>
                <c:pt idx="149">
                  <c:v>22</c:v>
                </c:pt>
                <c:pt idx="150">
                  <c:v>18</c:v>
                </c:pt>
                <c:pt idx="151">
                  <c:v>26</c:v>
                </c:pt>
                <c:pt idx="152">
                  <c:v>24</c:v>
                </c:pt>
                <c:pt idx="153">
                  <c:v>19</c:v>
                </c:pt>
                <c:pt idx="154">
                  <c:v>23</c:v>
                </c:pt>
                <c:pt idx="155">
                  <c:v>27</c:v>
                </c:pt>
                <c:pt idx="156">
                  <c:v>16</c:v>
                </c:pt>
                <c:pt idx="157">
                  <c:v>17</c:v>
                </c:pt>
                <c:pt idx="158">
                  <c:v>20</c:v>
                </c:pt>
                <c:pt idx="159">
                  <c:v>27</c:v>
                </c:pt>
                <c:pt idx="160">
                  <c:v>26</c:v>
                </c:pt>
                <c:pt idx="161">
                  <c:v>33</c:v>
                </c:pt>
                <c:pt idx="162">
                  <c:v>34</c:v>
                </c:pt>
                <c:pt idx="163">
                  <c:v>47</c:v>
                </c:pt>
                <c:pt idx="164">
                  <c:v>45</c:v>
                </c:pt>
                <c:pt idx="165">
                  <c:v>40</c:v>
                </c:pt>
                <c:pt idx="166">
                  <c:v>48</c:v>
                </c:pt>
                <c:pt idx="167">
                  <c:v>34</c:v>
                </c:pt>
                <c:pt idx="168">
                  <c:v>24</c:v>
                </c:pt>
                <c:pt idx="169">
                  <c:v>23</c:v>
                </c:pt>
                <c:pt idx="170">
                  <c:v>18</c:v>
                </c:pt>
                <c:pt idx="171">
                  <c:v>26</c:v>
                </c:pt>
                <c:pt idx="172">
                  <c:v>26</c:v>
                </c:pt>
                <c:pt idx="173">
                  <c:v>17</c:v>
                </c:pt>
                <c:pt idx="174">
                  <c:v>17</c:v>
                </c:pt>
                <c:pt idx="175">
                  <c:v>30</c:v>
                </c:pt>
                <c:pt idx="176">
                  <c:v>38</c:v>
                </c:pt>
                <c:pt idx="177">
                  <c:v>21</c:v>
                </c:pt>
                <c:pt idx="178">
                  <c:v>37</c:v>
                </c:pt>
                <c:pt idx="179">
                  <c:v>32</c:v>
                </c:pt>
                <c:pt idx="180">
                  <c:v>36</c:v>
                </c:pt>
              </c:numCache>
            </c:numRef>
          </c:xVal>
          <c:yVal>
            <c:numRef>
              <c:f>'3. Blasting'!$BB$4:$BB$588</c:f>
              <c:numCache>
                <c:formatCode>0.0</c:formatCode>
                <c:ptCount val="181"/>
                <c:pt idx="0">
                  <c:v>46.5</c:v>
                </c:pt>
                <c:pt idx="1">
                  <c:v>62</c:v>
                </c:pt>
                <c:pt idx="2">
                  <c:v>3</c:v>
                </c:pt>
                <c:pt idx="3">
                  <c:v>23</c:v>
                </c:pt>
                <c:pt idx="4">
                  <c:v>33</c:v>
                </c:pt>
                <c:pt idx="5">
                  <c:v>44.5</c:v>
                </c:pt>
                <c:pt idx="6">
                  <c:v>47.5</c:v>
                </c:pt>
                <c:pt idx="7">
                  <c:v>25</c:v>
                </c:pt>
                <c:pt idx="8">
                  <c:v>37.5</c:v>
                </c:pt>
                <c:pt idx="9">
                  <c:v>50.5</c:v>
                </c:pt>
                <c:pt idx="10">
                  <c:v>46</c:v>
                </c:pt>
                <c:pt idx="11">
                  <c:v>36.5</c:v>
                </c:pt>
                <c:pt idx="12">
                  <c:v>18</c:v>
                </c:pt>
                <c:pt idx="13">
                  <c:v>20</c:v>
                </c:pt>
                <c:pt idx="14">
                  <c:v>44.5</c:v>
                </c:pt>
                <c:pt idx="15">
                  <c:v>42.5</c:v>
                </c:pt>
                <c:pt idx="16">
                  <c:v>16.5</c:v>
                </c:pt>
                <c:pt idx="17">
                  <c:v>43.5</c:v>
                </c:pt>
                <c:pt idx="18">
                  <c:v>24</c:v>
                </c:pt>
                <c:pt idx="19">
                  <c:v>10.5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10.5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23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20</c:v>
                </c:pt>
                <c:pt idx="62">
                  <c:v>21.5</c:v>
                </c:pt>
                <c:pt idx="63">
                  <c:v>24</c:v>
                </c:pt>
                <c:pt idx="64">
                  <c:v>9</c:v>
                </c:pt>
                <c:pt idx="65">
                  <c:v>9</c:v>
                </c:pt>
                <c:pt idx="66">
                  <c:v>17.5</c:v>
                </c:pt>
                <c:pt idx="67">
                  <c:v>22</c:v>
                </c:pt>
                <c:pt idx="68">
                  <c:v>24</c:v>
                </c:pt>
                <c:pt idx="69">
                  <c:v>23.5</c:v>
                </c:pt>
                <c:pt idx="70">
                  <c:v>37</c:v>
                </c:pt>
                <c:pt idx="71">
                  <c:v>9</c:v>
                </c:pt>
                <c:pt idx="72">
                  <c:v>7.5</c:v>
                </c:pt>
                <c:pt idx="73">
                  <c:v>7.5</c:v>
                </c:pt>
                <c:pt idx="74">
                  <c:v>17.5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20.5</c:v>
                </c:pt>
                <c:pt idx="85">
                  <c:v>18.5</c:v>
                </c:pt>
                <c:pt idx="86">
                  <c:v>7.5</c:v>
                </c:pt>
                <c:pt idx="87">
                  <c:v>18.5</c:v>
                </c:pt>
                <c:pt idx="88">
                  <c:v>18.5</c:v>
                </c:pt>
                <c:pt idx="89">
                  <c:v>7.5</c:v>
                </c:pt>
                <c:pt idx="90">
                  <c:v>20.5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18.5</c:v>
                </c:pt>
                <c:pt idx="97">
                  <c:v>7.5</c:v>
                </c:pt>
                <c:pt idx="98">
                  <c:v>26.5</c:v>
                </c:pt>
                <c:pt idx="99">
                  <c:v>21.5</c:v>
                </c:pt>
                <c:pt idx="100">
                  <c:v>7.5</c:v>
                </c:pt>
                <c:pt idx="101">
                  <c:v>18.5</c:v>
                </c:pt>
                <c:pt idx="102">
                  <c:v>29.5</c:v>
                </c:pt>
                <c:pt idx="103">
                  <c:v>7.5</c:v>
                </c:pt>
                <c:pt idx="104">
                  <c:v>7.5</c:v>
                </c:pt>
                <c:pt idx="105">
                  <c:v>7.5</c:v>
                </c:pt>
                <c:pt idx="106">
                  <c:v>7.5</c:v>
                </c:pt>
                <c:pt idx="107">
                  <c:v>22.5</c:v>
                </c:pt>
                <c:pt idx="108">
                  <c:v>22.5</c:v>
                </c:pt>
                <c:pt idx="109">
                  <c:v>7.5</c:v>
                </c:pt>
                <c:pt idx="110">
                  <c:v>18.5</c:v>
                </c:pt>
                <c:pt idx="111">
                  <c:v>17.5</c:v>
                </c:pt>
                <c:pt idx="112">
                  <c:v>19.5</c:v>
                </c:pt>
                <c:pt idx="113">
                  <c:v>7.5</c:v>
                </c:pt>
                <c:pt idx="114">
                  <c:v>34.5</c:v>
                </c:pt>
                <c:pt idx="115">
                  <c:v>33.5</c:v>
                </c:pt>
                <c:pt idx="116">
                  <c:v>24.5</c:v>
                </c:pt>
                <c:pt idx="117">
                  <c:v>21.5</c:v>
                </c:pt>
                <c:pt idx="118">
                  <c:v>7.5</c:v>
                </c:pt>
                <c:pt idx="119">
                  <c:v>32.5</c:v>
                </c:pt>
                <c:pt idx="121">
                  <c:v>7.5</c:v>
                </c:pt>
                <c:pt idx="122">
                  <c:v>29.5</c:v>
                </c:pt>
                <c:pt idx="123">
                  <c:v>18.5</c:v>
                </c:pt>
                <c:pt idx="124">
                  <c:v>22.5</c:v>
                </c:pt>
                <c:pt idx="125">
                  <c:v>20.5</c:v>
                </c:pt>
                <c:pt idx="126">
                  <c:v>7.5</c:v>
                </c:pt>
                <c:pt idx="127">
                  <c:v>40.5</c:v>
                </c:pt>
                <c:pt idx="128">
                  <c:v>25.5</c:v>
                </c:pt>
                <c:pt idx="129">
                  <c:v>32.5</c:v>
                </c:pt>
                <c:pt idx="130">
                  <c:v>7.5</c:v>
                </c:pt>
                <c:pt idx="131">
                  <c:v>7.5</c:v>
                </c:pt>
                <c:pt idx="132">
                  <c:v>7.5</c:v>
                </c:pt>
                <c:pt idx="133">
                  <c:v>6</c:v>
                </c:pt>
                <c:pt idx="134">
                  <c:v>10.5</c:v>
                </c:pt>
                <c:pt idx="135">
                  <c:v>10.5</c:v>
                </c:pt>
                <c:pt idx="136">
                  <c:v>13.5</c:v>
                </c:pt>
                <c:pt idx="137">
                  <c:v>37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12</c:v>
                </c:pt>
                <c:pt idx="142">
                  <c:v>38</c:v>
                </c:pt>
                <c:pt idx="143">
                  <c:v>31.5</c:v>
                </c:pt>
                <c:pt idx="144">
                  <c:v>41</c:v>
                </c:pt>
                <c:pt idx="145">
                  <c:v>28</c:v>
                </c:pt>
                <c:pt idx="146">
                  <c:v>9</c:v>
                </c:pt>
                <c:pt idx="147">
                  <c:v>9</c:v>
                </c:pt>
                <c:pt idx="148">
                  <c:v>10.5</c:v>
                </c:pt>
                <c:pt idx="149">
                  <c:v>10.5</c:v>
                </c:pt>
                <c:pt idx="150">
                  <c:v>4.5</c:v>
                </c:pt>
                <c:pt idx="151">
                  <c:v>20</c:v>
                </c:pt>
                <c:pt idx="152">
                  <c:v>9</c:v>
                </c:pt>
                <c:pt idx="153">
                  <c:v>9</c:v>
                </c:pt>
                <c:pt idx="154">
                  <c:v>19</c:v>
                </c:pt>
                <c:pt idx="155">
                  <c:v>24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12</c:v>
                </c:pt>
                <c:pt idx="160">
                  <c:v>10.5</c:v>
                </c:pt>
                <c:pt idx="161">
                  <c:v>19</c:v>
                </c:pt>
                <c:pt idx="162">
                  <c:v>21</c:v>
                </c:pt>
                <c:pt idx="163">
                  <c:v>40.5</c:v>
                </c:pt>
                <c:pt idx="164">
                  <c:v>39.5</c:v>
                </c:pt>
                <c:pt idx="165">
                  <c:v>28.5</c:v>
                </c:pt>
                <c:pt idx="166">
                  <c:v>48.5</c:v>
                </c:pt>
                <c:pt idx="167">
                  <c:v>23.5</c:v>
                </c:pt>
                <c:pt idx="168">
                  <c:v>7.5</c:v>
                </c:pt>
                <c:pt idx="169">
                  <c:v>12.5</c:v>
                </c:pt>
                <c:pt idx="170">
                  <c:v>1.5</c:v>
                </c:pt>
                <c:pt idx="171">
                  <c:v>10.5</c:v>
                </c:pt>
                <c:pt idx="172">
                  <c:v>10.5</c:v>
                </c:pt>
                <c:pt idx="173">
                  <c:v>1.5</c:v>
                </c:pt>
                <c:pt idx="174">
                  <c:v>1.5</c:v>
                </c:pt>
                <c:pt idx="175">
                  <c:v>13.5</c:v>
                </c:pt>
                <c:pt idx="176">
                  <c:v>30</c:v>
                </c:pt>
                <c:pt idx="177">
                  <c:v>1.5</c:v>
                </c:pt>
                <c:pt idx="178">
                  <c:v>27</c:v>
                </c:pt>
                <c:pt idx="179">
                  <c:v>19</c:v>
                </c:pt>
                <c:pt idx="180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A2-4876-B252-3CC3203F4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01744"/>
        <c:axId val="1237509904"/>
      </c:scatterChart>
      <c:valAx>
        <c:axId val="123750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RMR76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9904"/>
        <c:crosses val="autoZero"/>
        <c:crossBetween val="midCat"/>
      </c:valAx>
      <c:valAx>
        <c:axId val="123750990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GSI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Geotech-04</a:t>
            </a:r>
          </a:p>
        </c:rich>
      </c:tx>
      <c:layout>
        <c:manualLayout>
          <c:xMode val="edge"/>
          <c:yMode val="edge"/>
          <c:x val="0.38278729525039629"/>
          <c:y val="2.8831710283641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9637676749939579"/>
          <c:h val="0.75531322158105763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743-4830-ABC3-79A6862A5E31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743-4830-ABC3-79A6862A5E31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743-4830-ABC3-79A6862A5E31}"/>
            </c:ext>
          </c:extLst>
        </c:ser>
        <c:ser>
          <c:idx val="3"/>
          <c:order val="3"/>
          <c:marker>
            <c:symbol val="none"/>
          </c:marker>
          <c:xVal>
            <c:numRef>
              <c:f>'3. Blasting'!$X$509:$X$588</c:f>
              <c:numCache>
                <c:formatCode>General</c:formatCode>
                <c:ptCount val="48"/>
                <c:pt idx="0">
                  <c:v>60</c:v>
                </c:pt>
                <c:pt idx="1">
                  <c:v>32.5</c:v>
                </c:pt>
                <c:pt idx="2">
                  <c:v>36.666666666666664</c:v>
                </c:pt>
                <c:pt idx="3">
                  <c:v>36.666666666666664</c:v>
                </c:pt>
                <c:pt idx="4">
                  <c:v>165</c:v>
                </c:pt>
                <c:pt idx="5">
                  <c:v>20</c:v>
                </c:pt>
                <c:pt idx="6">
                  <c:v>50</c:v>
                </c:pt>
                <c:pt idx="7">
                  <c:v>33.333333333333336</c:v>
                </c:pt>
                <c:pt idx="8">
                  <c:v>25</c:v>
                </c:pt>
                <c:pt idx="9">
                  <c:v>120</c:v>
                </c:pt>
                <c:pt idx="10">
                  <c:v>130</c:v>
                </c:pt>
                <c:pt idx="11">
                  <c:v>130</c:v>
                </c:pt>
                <c:pt idx="12">
                  <c:v>103.33333333333333</c:v>
                </c:pt>
                <c:pt idx="13">
                  <c:v>44</c:v>
                </c:pt>
                <c:pt idx="14">
                  <c:v>24</c:v>
                </c:pt>
                <c:pt idx="15">
                  <c:v>32</c:v>
                </c:pt>
                <c:pt idx="16">
                  <c:v>46</c:v>
                </c:pt>
                <c:pt idx="17">
                  <c:v>32</c:v>
                </c:pt>
                <c:pt idx="18">
                  <c:v>40</c:v>
                </c:pt>
                <c:pt idx="19">
                  <c:v>105</c:v>
                </c:pt>
                <c:pt idx="20">
                  <c:v>38</c:v>
                </c:pt>
                <c:pt idx="21">
                  <c:v>53.333333333333336</c:v>
                </c:pt>
                <c:pt idx="22">
                  <c:v>75</c:v>
                </c:pt>
                <c:pt idx="23">
                  <c:v>53.333333333333336</c:v>
                </c:pt>
                <c:pt idx="24">
                  <c:v>36</c:v>
                </c:pt>
                <c:pt idx="25">
                  <c:v>38</c:v>
                </c:pt>
                <c:pt idx="26">
                  <c:v>36</c:v>
                </c:pt>
                <c:pt idx="27">
                  <c:v>62.5</c:v>
                </c:pt>
                <c:pt idx="28">
                  <c:v>90</c:v>
                </c:pt>
                <c:pt idx="29">
                  <c:v>90</c:v>
                </c:pt>
                <c:pt idx="30">
                  <c:v>175</c:v>
                </c:pt>
                <c:pt idx="31">
                  <c:v>140</c:v>
                </c:pt>
                <c:pt idx="32">
                  <c:v>106.66666666666667</c:v>
                </c:pt>
                <c:pt idx="33">
                  <c:v>106.66666666666667</c:v>
                </c:pt>
                <c:pt idx="34">
                  <c:v>75</c:v>
                </c:pt>
                <c:pt idx="35">
                  <c:v>63.333333333333336</c:v>
                </c:pt>
                <c:pt idx="36">
                  <c:v>70</c:v>
                </c:pt>
                <c:pt idx="37">
                  <c:v>67.5</c:v>
                </c:pt>
                <c:pt idx="38">
                  <c:v>40</c:v>
                </c:pt>
                <c:pt idx="39">
                  <c:v>34</c:v>
                </c:pt>
                <c:pt idx="40">
                  <c:v>33.333333333333336</c:v>
                </c:pt>
                <c:pt idx="41">
                  <c:v>40</c:v>
                </c:pt>
                <c:pt idx="42">
                  <c:v>72</c:v>
                </c:pt>
                <c:pt idx="43">
                  <c:v>133.33333333333334</c:v>
                </c:pt>
                <c:pt idx="44">
                  <c:v>115</c:v>
                </c:pt>
                <c:pt idx="45">
                  <c:v>107.5</c:v>
                </c:pt>
                <c:pt idx="46">
                  <c:v>90</c:v>
                </c:pt>
                <c:pt idx="47">
                  <c:v>100</c:v>
                </c:pt>
              </c:numCache>
            </c:numRef>
          </c:xVal>
          <c:yVal>
            <c:numRef>
              <c:f>'3. Blasting'!$T$509:$T$588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36</c:v>
                </c:pt>
                <c:pt idx="11">
                  <c:v>46</c:v>
                </c:pt>
                <c:pt idx="12">
                  <c:v>26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20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20</c:v>
                </c:pt>
                <c:pt idx="29">
                  <c:v>24</c:v>
                </c:pt>
                <c:pt idx="30">
                  <c:v>54</c:v>
                </c:pt>
                <c:pt idx="31">
                  <c:v>52</c:v>
                </c:pt>
                <c:pt idx="32">
                  <c:v>24</c:v>
                </c:pt>
                <c:pt idx="33">
                  <c:v>64</c:v>
                </c:pt>
                <c:pt idx="34">
                  <c:v>20</c:v>
                </c:pt>
                <c:pt idx="35">
                  <c:v>0</c:v>
                </c:pt>
                <c:pt idx="36">
                  <c:v>22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48</c:v>
                </c:pt>
                <c:pt idx="44">
                  <c:v>0</c:v>
                </c:pt>
                <c:pt idx="45">
                  <c:v>36</c:v>
                </c:pt>
                <c:pt idx="46">
                  <c:v>20</c:v>
                </c:pt>
                <c:pt idx="47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43-4830-ABC3-79A6862A5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2.3189808019726418E-2"/>
              <c:y val="0.4260197694450125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16960981865876"/>
          <c:y val="0.92553528034393151"/>
          <c:w val="0.85683038807021661"/>
          <c:h val="4.7526028411987435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PZ-01,03</a:t>
            </a:r>
          </a:p>
        </c:rich>
      </c:tx>
      <c:layout>
        <c:manualLayout>
          <c:xMode val="edge"/>
          <c:yMode val="edge"/>
          <c:x val="0.38278729525039629"/>
          <c:y val="2.8831710283641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9637676749939579"/>
          <c:h val="0.75531322158105763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C12-4BBB-96EB-8A93EC01BDB6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C12-4BBB-96EB-8A93EC01BDB6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C12-4BBB-96EB-8A93EC01BDB6}"/>
            </c:ext>
          </c:extLst>
        </c:ser>
        <c:ser>
          <c:idx val="3"/>
          <c:order val="3"/>
          <c:marker>
            <c:symbol val="none"/>
          </c:marker>
          <c:xVal>
            <c:numRef>
              <c:f>'3. Blasting'!$X$354:$X$474</c:f>
              <c:numCache>
                <c:formatCode>0.00</c:formatCode>
                <c:ptCount val="58"/>
                <c:pt idx="0">
                  <c:v>42</c:v>
                </c:pt>
                <c:pt idx="1">
                  <c:v>28</c:v>
                </c:pt>
                <c:pt idx="2">
                  <c:v>62.5</c:v>
                </c:pt>
                <c:pt idx="3">
                  <c:v>65</c:v>
                </c:pt>
                <c:pt idx="4">
                  <c:v>62.5</c:v>
                </c:pt>
                <c:pt idx="5">
                  <c:v>83.333333333333329</c:v>
                </c:pt>
                <c:pt idx="6">
                  <c:v>56</c:v>
                </c:pt>
                <c:pt idx="7">
                  <c:v>38</c:v>
                </c:pt>
                <c:pt idx="8">
                  <c:v>46</c:v>
                </c:pt>
                <c:pt idx="9">
                  <c:v>70</c:v>
                </c:pt>
                <c:pt idx="10">
                  <c:v>53.333333333333336</c:v>
                </c:pt>
                <c:pt idx="11">
                  <c:v>36</c:v>
                </c:pt>
                <c:pt idx="12">
                  <c:v>63.333333333333336</c:v>
                </c:pt>
                <c:pt idx="13">
                  <c:v>63.333333333333336</c:v>
                </c:pt>
                <c:pt idx="14">
                  <c:v>37.5</c:v>
                </c:pt>
                <c:pt idx="15">
                  <c:v>90</c:v>
                </c:pt>
                <c:pt idx="16">
                  <c:v>26</c:v>
                </c:pt>
                <c:pt idx="17">
                  <c:v>58</c:v>
                </c:pt>
                <c:pt idx="18">
                  <c:v>20</c:v>
                </c:pt>
                <c:pt idx="19">
                  <c:v>16</c:v>
                </c:pt>
                <c:pt idx="20">
                  <c:v>28</c:v>
                </c:pt>
                <c:pt idx="21">
                  <c:v>80</c:v>
                </c:pt>
                <c:pt idx="22">
                  <c:v>96.666666666666671</c:v>
                </c:pt>
                <c:pt idx="23">
                  <c:v>123.33333333333333</c:v>
                </c:pt>
                <c:pt idx="24">
                  <c:v>36</c:v>
                </c:pt>
                <c:pt idx="25">
                  <c:v>56</c:v>
                </c:pt>
                <c:pt idx="26">
                  <c:v>105</c:v>
                </c:pt>
                <c:pt idx="27">
                  <c:v>73.333333333333329</c:v>
                </c:pt>
                <c:pt idx="28" formatCode="General">
                  <c:v>66</c:v>
                </c:pt>
                <c:pt idx="29" formatCode="General">
                  <c:v>30</c:v>
                </c:pt>
                <c:pt idx="30" formatCode="General">
                  <c:v>16</c:v>
                </c:pt>
                <c:pt idx="31" formatCode="General">
                  <c:v>60</c:v>
                </c:pt>
                <c:pt idx="32" formatCode="General">
                  <c:v>92.5</c:v>
                </c:pt>
                <c:pt idx="33" formatCode="General">
                  <c:v>112.5</c:v>
                </c:pt>
                <c:pt idx="34" formatCode="General">
                  <c:v>63.333333333333336</c:v>
                </c:pt>
                <c:pt idx="35" formatCode="General">
                  <c:v>80</c:v>
                </c:pt>
                <c:pt idx="36" formatCode="General">
                  <c:v>50</c:v>
                </c:pt>
                <c:pt idx="37" formatCode="General">
                  <c:v>90</c:v>
                </c:pt>
                <c:pt idx="38" formatCode="General">
                  <c:v>82.5</c:v>
                </c:pt>
                <c:pt idx="39" formatCode="General">
                  <c:v>115</c:v>
                </c:pt>
                <c:pt idx="40" formatCode="General">
                  <c:v>90</c:v>
                </c:pt>
                <c:pt idx="41" formatCode="General">
                  <c:v>97.5</c:v>
                </c:pt>
                <c:pt idx="42" formatCode="General">
                  <c:v>60</c:v>
                </c:pt>
                <c:pt idx="43" formatCode="General">
                  <c:v>48.75</c:v>
                </c:pt>
                <c:pt idx="44" formatCode="General">
                  <c:v>95</c:v>
                </c:pt>
                <c:pt idx="45" formatCode="General">
                  <c:v>113.33333333333331</c:v>
                </c:pt>
                <c:pt idx="46" formatCode="General">
                  <c:v>80</c:v>
                </c:pt>
                <c:pt idx="47" formatCode="General">
                  <c:v>105</c:v>
                </c:pt>
                <c:pt idx="48" formatCode="General">
                  <c:v>71.666666666666671</c:v>
                </c:pt>
                <c:pt idx="49" formatCode="General">
                  <c:v>130</c:v>
                </c:pt>
                <c:pt idx="50" formatCode="General">
                  <c:v>73.333333333333329</c:v>
                </c:pt>
                <c:pt idx="51" formatCode="General">
                  <c:v>64.285714285714292</c:v>
                </c:pt>
                <c:pt idx="52" formatCode="General">
                  <c:v>130</c:v>
                </c:pt>
                <c:pt idx="53" formatCode="General">
                  <c:v>136.66666666666666</c:v>
                </c:pt>
                <c:pt idx="54" formatCode="General">
                  <c:v>136.66666666666666</c:v>
                </c:pt>
                <c:pt idx="55" formatCode="General">
                  <c:v>40</c:v>
                </c:pt>
                <c:pt idx="56" formatCode="General">
                  <c:v>57.5</c:v>
                </c:pt>
                <c:pt idx="57" formatCode="General">
                  <c:v>55</c:v>
                </c:pt>
              </c:numCache>
            </c:numRef>
          </c:xVal>
          <c:yVal>
            <c:numRef>
              <c:f>'3. Blasting'!$T$354:$T$473</c:f>
              <c:numCache>
                <c:formatCode>0.00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22</c:v>
                </c:pt>
                <c:pt idx="11">
                  <c:v>0</c:v>
                </c:pt>
                <c:pt idx="12">
                  <c:v>22</c:v>
                </c:pt>
                <c:pt idx="13">
                  <c:v>22</c:v>
                </c:pt>
                <c:pt idx="14">
                  <c:v>0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</c:v>
                </c:pt>
                <c:pt idx="22">
                  <c:v>0</c:v>
                </c:pt>
                <c:pt idx="23">
                  <c:v>38</c:v>
                </c:pt>
                <c:pt idx="24">
                  <c:v>28.000000000000004</c:v>
                </c:pt>
                <c:pt idx="25">
                  <c:v>0</c:v>
                </c:pt>
                <c:pt idx="26">
                  <c:v>22</c:v>
                </c:pt>
                <c:pt idx="27">
                  <c:v>44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30</c:v>
                </c:pt>
                <c:pt idx="33">
                  <c:v>30</c:v>
                </c:pt>
                <c:pt idx="34">
                  <c:v>0</c:v>
                </c:pt>
                <c:pt idx="35">
                  <c:v>22</c:v>
                </c:pt>
                <c:pt idx="36">
                  <c:v>20</c:v>
                </c:pt>
                <c:pt idx="37">
                  <c:v>24</c:v>
                </c:pt>
                <c:pt idx="38">
                  <c:v>0</c:v>
                </c:pt>
                <c:pt idx="39">
                  <c:v>54</c:v>
                </c:pt>
                <c:pt idx="40">
                  <c:v>52</c:v>
                </c:pt>
                <c:pt idx="41">
                  <c:v>34</c:v>
                </c:pt>
                <c:pt idx="42">
                  <c:v>28.000000000000004</c:v>
                </c:pt>
                <c:pt idx="43">
                  <c:v>0</c:v>
                </c:pt>
                <c:pt idx="44">
                  <c:v>50</c:v>
                </c:pt>
                <c:pt idx="45">
                  <c:v>20</c:v>
                </c:pt>
                <c:pt idx="46">
                  <c:v>0</c:v>
                </c:pt>
                <c:pt idx="47">
                  <c:v>44</c:v>
                </c:pt>
                <c:pt idx="48">
                  <c:v>22</c:v>
                </c:pt>
                <c:pt idx="49">
                  <c:v>30</c:v>
                </c:pt>
                <c:pt idx="50">
                  <c:v>26</c:v>
                </c:pt>
                <c:pt idx="51">
                  <c:v>0</c:v>
                </c:pt>
                <c:pt idx="52">
                  <c:v>66</c:v>
                </c:pt>
                <c:pt idx="53">
                  <c:v>36</c:v>
                </c:pt>
                <c:pt idx="54">
                  <c:v>50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12-4BBB-96EB-8A93EC01B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2.3189808019726418E-2"/>
              <c:y val="0.4260197694450125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16960981865876"/>
          <c:y val="0.92553528034393151"/>
          <c:w val="0.85683038807021661"/>
          <c:h val="4.7526028411987435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RMR76 vs GSI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20533590326002"/>
          <c:y val="6.9035608369802381E-2"/>
          <c:w val="0.83628048027738866"/>
          <c:h val="0.84675254582619108"/>
        </c:manualLayout>
      </c:layout>
      <c:scatterChart>
        <c:scatterStyle val="lineMarker"/>
        <c:varyColors val="0"/>
        <c:ser>
          <c:idx val="0"/>
          <c:order val="0"/>
          <c:tx>
            <c:v>Factor Potencia vs RMR76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B05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151473799126638"/>
                  <c:y val="1.2548100986289565E-2"/>
                </c:manualLayout>
              </c:layout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'3. Blasting'!$BL$4:$BL$588</c:f>
              <c:numCache>
                <c:formatCode>0</c:formatCode>
                <c:ptCount val="181"/>
                <c:pt idx="0">
                  <c:v>45</c:v>
                </c:pt>
                <c:pt idx="1">
                  <c:v>50</c:v>
                </c:pt>
                <c:pt idx="2">
                  <c:v>19</c:v>
                </c:pt>
                <c:pt idx="3">
                  <c:v>32</c:v>
                </c:pt>
                <c:pt idx="4">
                  <c:v>36</c:v>
                </c:pt>
                <c:pt idx="5">
                  <c:v>44</c:v>
                </c:pt>
                <c:pt idx="6">
                  <c:v>49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43</c:v>
                </c:pt>
                <c:pt idx="11">
                  <c:v>38</c:v>
                </c:pt>
                <c:pt idx="12">
                  <c:v>25</c:v>
                </c:pt>
                <c:pt idx="13">
                  <c:v>30</c:v>
                </c:pt>
                <c:pt idx="14">
                  <c:v>40</c:v>
                </c:pt>
                <c:pt idx="15">
                  <c:v>43</c:v>
                </c:pt>
                <c:pt idx="16">
                  <c:v>30</c:v>
                </c:pt>
                <c:pt idx="17">
                  <c:v>41</c:v>
                </c:pt>
                <c:pt idx="18">
                  <c:v>33</c:v>
                </c:pt>
                <c:pt idx="19">
                  <c:v>24</c:v>
                </c:pt>
                <c:pt idx="20">
                  <c:v>23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27</c:v>
                </c:pt>
                <c:pt idx="51">
                  <c:v>19</c:v>
                </c:pt>
                <c:pt idx="52">
                  <c:v>21</c:v>
                </c:pt>
                <c:pt idx="53">
                  <c:v>21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32</c:v>
                </c:pt>
                <c:pt idx="58">
                  <c:v>27</c:v>
                </c:pt>
                <c:pt idx="59">
                  <c:v>27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29</c:v>
                </c:pt>
                <c:pt idx="64">
                  <c:v>19</c:v>
                </c:pt>
                <c:pt idx="65">
                  <c:v>19</c:v>
                </c:pt>
                <c:pt idx="66">
                  <c:v>22</c:v>
                </c:pt>
                <c:pt idx="67">
                  <c:v>24</c:v>
                </c:pt>
                <c:pt idx="68">
                  <c:v>27</c:v>
                </c:pt>
                <c:pt idx="69">
                  <c:v>26</c:v>
                </c:pt>
                <c:pt idx="70">
                  <c:v>35</c:v>
                </c:pt>
                <c:pt idx="71">
                  <c:v>19</c:v>
                </c:pt>
                <c:pt idx="72">
                  <c:v>18</c:v>
                </c:pt>
                <c:pt idx="73">
                  <c:v>18</c:v>
                </c:pt>
                <c:pt idx="74">
                  <c:v>23</c:v>
                </c:pt>
                <c:pt idx="75">
                  <c:v>17</c:v>
                </c:pt>
                <c:pt idx="76">
                  <c:v>18</c:v>
                </c:pt>
                <c:pt idx="77">
                  <c:v>17</c:v>
                </c:pt>
                <c:pt idx="78">
                  <c:v>18</c:v>
                </c:pt>
                <c:pt idx="79">
                  <c:v>17</c:v>
                </c:pt>
                <c:pt idx="80">
                  <c:v>19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26</c:v>
                </c:pt>
                <c:pt idx="85">
                  <c:v>23</c:v>
                </c:pt>
                <c:pt idx="86">
                  <c:v>18</c:v>
                </c:pt>
                <c:pt idx="87">
                  <c:v>24</c:v>
                </c:pt>
                <c:pt idx="88">
                  <c:v>23</c:v>
                </c:pt>
                <c:pt idx="89">
                  <c:v>18</c:v>
                </c:pt>
                <c:pt idx="90">
                  <c:v>28</c:v>
                </c:pt>
                <c:pt idx="91">
                  <c:v>17</c:v>
                </c:pt>
                <c:pt idx="92">
                  <c:v>17</c:v>
                </c:pt>
                <c:pt idx="93">
                  <c:v>18</c:v>
                </c:pt>
                <c:pt idx="94">
                  <c:v>18</c:v>
                </c:pt>
                <c:pt idx="95">
                  <c:v>19</c:v>
                </c:pt>
                <c:pt idx="96">
                  <c:v>24</c:v>
                </c:pt>
                <c:pt idx="97">
                  <c:v>20</c:v>
                </c:pt>
                <c:pt idx="98">
                  <c:v>29</c:v>
                </c:pt>
                <c:pt idx="99">
                  <c:v>23</c:v>
                </c:pt>
                <c:pt idx="100">
                  <c:v>17</c:v>
                </c:pt>
                <c:pt idx="101">
                  <c:v>25</c:v>
                </c:pt>
                <c:pt idx="102">
                  <c:v>27</c:v>
                </c:pt>
                <c:pt idx="103">
                  <c:v>18</c:v>
                </c:pt>
                <c:pt idx="104">
                  <c:v>19</c:v>
                </c:pt>
                <c:pt idx="105">
                  <c:v>19</c:v>
                </c:pt>
                <c:pt idx="106">
                  <c:v>21</c:v>
                </c:pt>
                <c:pt idx="107">
                  <c:v>30</c:v>
                </c:pt>
                <c:pt idx="108">
                  <c:v>31</c:v>
                </c:pt>
                <c:pt idx="109">
                  <c:v>21</c:v>
                </c:pt>
                <c:pt idx="110">
                  <c:v>26</c:v>
                </c:pt>
                <c:pt idx="111">
                  <c:v>22</c:v>
                </c:pt>
                <c:pt idx="112">
                  <c:v>27</c:v>
                </c:pt>
                <c:pt idx="113">
                  <c:v>19</c:v>
                </c:pt>
                <c:pt idx="114">
                  <c:v>32</c:v>
                </c:pt>
                <c:pt idx="115">
                  <c:v>31</c:v>
                </c:pt>
                <c:pt idx="116">
                  <c:v>27</c:v>
                </c:pt>
                <c:pt idx="117">
                  <c:v>23</c:v>
                </c:pt>
                <c:pt idx="118">
                  <c:v>17</c:v>
                </c:pt>
                <c:pt idx="119">
                  <c:v>30</c:v>
                </c:pt>
                <c:pt idx="121">
                  <c:v>19</c:v>
                </c:pt>
                <c:pt idx="122">
                  <c:v>29</c:v>
                </c:pt>
                <c:pt idx="123">
                  <c:v>23</c:v>
                </c:pt>
                <c:pt idx="124">
                  <c:v>28</c:v>
                </c:pt>
                <c:pt idx="125">
                  <c:v>24</c:v>
                </c:pt>
                <c:pt idx="126">
                  <c:v>18</c:v>
                </c:pt>
                <c:pt idx="127">
                  <c:v>36</c:v>
                </c:pt>
                <c:pt idx="128">
                  <c:v>30</c:v>
                </c:pt>
                <c:pt idx="129">
                  <c:v>32</c:v>
                </c:pt>
                <c:pt idx="130">
                  <c:v>17</c:v>
                </c:pt>
                <c:pt idx="131">
                  <c:v>17</c:v>
                </c:pt>
                <c:pt idx="132">
                  <c:v>18</c:v>
                </c:pt>
                <c:pt idx="133">
                  <c:v>19</c:v>
                </c:pt>
                <c:pt idx="134">
                  <c:v>22</c:v>
                </c:pt>
                <c:pt idx="135">
                  <c:v>22</c:v>
                </c:pt>
                <c:pt idx="136">
                  <c:v>25</c:v>
                </c:pt>
                <c:pt idx="137">
                  <c:v>38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23</c:v>
                </c:pt>
                <c:pt idx="142">
                  <c:v>40</c:v>
                </c:pt>
                <c:pt idx="143">
                  <c:v>38</c:v>
                </c:pt>
                <c:pt idx="144">
                  <c:v>43</c:v>
                </c:pt>
                <c:pt idx="145">
                  <c:v>35</c:v>
                </c:pt>
                <c:pt idx="146">
                  <c:v>21</c:v>
                </c:pt>
                <c:pt idx="147">
                  <c:v>21</c:v>
                </c:pt>
                <c:pt idx="148">
                  <c:v>22</c:v>
                </c:pt>
                <c:pt idx="149">
                  <c:v>22</c:v>
                </c:pt>
                <c:pt idx="150">
                  <c:v>18</c:v>
                </c:pt>
                <c:pt idx="151">
                  <c:v>26</c:v>
                </c:pt>
                <c:pt idx="152">
                  <c:v>24</c:v>
                </c:pt>
                <c:pt idx="153">
                  <c:v>19</c:v>
                </c:pt>
                <c:pt idx="154">
                  <c:v>23</c:v>
                </c:pt>
                <c:pt idx="155">
                  <c:v>27</c:v>
                </c:pt>
                <c:pt idx="156">
                  <c:v>16</c:v>
                </c:pt>
                <c:pt idx="157">
                  <c:v>17</c:v>
                </c:pt>
                <c:pt idx="158">
                  <c:v>20</c:v>
                </c:pt>
                <c:pt idx="159">
                  <c:v>27</c:v>
                </c:pt>
                <c:pt idx="160">
                  <c:v>26</c:v>
                </c:pt>
                <c:pt idx="161">
                  <c:v>33</c:v>
                </c:pt>
                <c:pt idx="162">
                  <c:v>34</c:v>
                </c:pt>
                <c:pt idx="163">
                  <c:v>47</c:v>
                </c:pt>
                <c:pt idx="164">
                  <c:v>45</c:v>
                </c:pt>
                <c:pt idx="165">
                  <c:v>40</c:v>
                </c:pt>
                <c:pt idx="166">
                  <c:v>48</c:v>
                </c:pt>
                <c:pt idx="167">
                  <c:v>34</c:v>
                </c:pt>
                <c:pt idx="168">
                  <c:v>24</c:v>
                </c:pt>
                <c:pt idx="169">
                  <c:v>23</c:v>
                </c:pt>
                <c:pt idx="170">
                  <c:v>18</c:v>
                </c:pt>
                <c:pt idx="171">
                  <c:v>26</c:v>
                </c:pt>
                <c:pt idx="172">
                  <c:v>26</c:v>
                </c:pt>
                <c:pt idx="173">
                  <c:v>17</c:v>
                </c:pt>
                <c:pt idx="174">
                  <c:v>17</c:v>
                </c:pt>
                <c:pt idx="175">
                  <c:v>30</c:v>
                </c:pt>
                <c:pt idx="176">
                  <c:v>38</c:v>
                </c:pt>
                <c:pt idx="177">
                  <c:v>21</c:v>
                </c:pt>
                <c:pt idx="178">
                  <c:v>37</c:v>
                </c:pt>
                <c:pt idx="179">
                  <c:v>32</c:v>
                </c:pt>
                <c:pt idx="180">
                  <c:v>36</c:v>
                </c:pt>
              </c:numCache>
            </c:numRef>
          </c:xVal>
          <c:yVal>
            <c:numRef>
              <c:f>'3. Blasting'!$BL$4:$BL$588</c:f>
              <c:numCache>
                <c:formatCode>0</c:formatCode>
                <c:ptCount val="181"/>
                <c:pt idx="0">
                  <c:v>45</c:v>
                </c:pt>
                <c:pt idx="1">
                  <c:v>50</c:v>
                </c:pt>
                <c:pt idx="2">
                  <c:v>19</c:v>
                </c:pt>
                <c:pt idx="3">
                  <c:v>32</c:v>
                </c:pt>
                <c:pt idx="4">
                  <c:v>36</c:v>
                </c:pt>
                <c:pt idx="5">
                  <c:v>44</c:v>
                </c:pt>
                <c:pt idx="6">
                  <c:v>49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43</c:v>
                </c:pt>
                <c:pt idx="11">
                  <c:v>38</c:v>
                </c:pt>
                <c:pt idx="12">
                  <c:v>25</c:v>
                </c:pt>
                <c:pt idx="13">
                  <c:v>30</c:v>
                </c:pt>
                <c:pt idx="14">
                  <c:v>40</c:v>
                </c:pt>
                <c:pt idx="15">
                  <c:v>43</c:v>
                </c:pt>
                <c:pt idx="16">
                  <c:v>30</c:v>
                </c:pt>
                <c:pt idx="17">
                  <c:v>41</c:v>
                </c:pt>
                <c:pt idx="18">
                  <c:v>33</c:v>
                </c:pt>
                <c:pt idx="19">
                  <c:v>24</c:v>
                </c:pt>
                <c:pt idx="20">
                  <c:v>23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27</c:v>
                </c:pt>
                <c:pt idx="51">
                  <c:v>19</c:v>
                </c:pt>
                <c:pt idx="52">
                  <c:v>21</c:v>
                </c:pt>
                <c:pt idx="53">
                  <c:v>21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32</c:v>
                </c:pt>
                <c:pt idx="58">
                  <c:v>27</c:v>
                </c:pt>
                <c:pt idx="59">
                  <c:v>27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29</c:v>
                </c:pt>
                <c:pt idx="64">
                  <c:v>19</c:v>
                </c:pt>
                <c:pt idx="65">
                  <c:v>19</c:v>
                </c:pt>
                <c:pt idx="66">
                  <c:v>22</c:v>
                </c:pt>
                <c:pt idx="67">
                  <c:v>24</c:v>
                </c:pt>
                <c:pt idx="68">
                  <c:v>27</c:v>
                </c:pt>
                <c:pt idx="69">
                  <c:v>26</c:v>
                </c:pt>
                <c:pt idx="70">
                  <c:v>35</c:v>
                </c:pt>
                <c:pt idx="71">
                  <c:v>19</c:v>
                </c:pt>
                <c:pt idx="72">
                  <c:v>18</c:v>
                </c:pt>
                <c:pt idx="73">
                  <c:v>18</c:v>
                </c:pt>
                <c:pt idx="74">
                  <c:v>23</c:v>
                </c:pt>
                <c:pt idx="75">
                  <c:v>17</c:v>
                </c:pt>
                <c:pt idx="76">
                  <c:v>18</c:v>
                </c:pt>
                <c:pt idx="77">
                  <c:v>17</c:v>
                </c:pt>
                <c:pt idx="78">
                  <c:v>18</c:v>
                </c:pt>
                <c:pt idx="79">
                  <c:v>17</c:v>
                </c:pt>
                <c:pt idx="80">
                  <c:v>19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26</c:v>
                </c:pt>
                <c:pt idx="85">
                  <c:v>23</c:v>
                </c:pt>
                <c:pt idx="86">
                  <c:v>18</c:v>
                </c:pt>
                <c:pt idx="87">
                  <c:v>24</c:v>
                </c:pt>
                <c:pt idx="88">
                  <c:v>23</c:v>
                </c:pt>
                <c:pt idx="89">
                  <c:v>18</c:v>
                </c:pt>
                <c:pt idx="90">
                  <c:v>28</c:v>
                </c:pt>
                <c:pt idx="91">
                  <c:v>17</c:v>
                </c:pt>
                <c:pt idx="92">
                  <c:v>17</c:v>
                </c:pt>
                <c:pt idx="93">
                  <c:v>18</c:v>
                </c:pt>
                <c:pt idx="94">
                  <c:v>18</c:v>
                </c:pt>
                <c:pt idx="95">
                  <c:v>19</c:v>
                </c:pt>
                <c:pt idx="96">
                  <c:v>24</c:v>
                </c:pt>
                <c:pt idx="97">
                  <c:v>20</c:v>
                </c:pt>
                <c:pt idx="98">
                  <c:v>29</c:v>
                </c:pt>
                <c:pt idx="99">
                  <c:v>23</c:v>
                </c:pt>
                <c:pt idx="100">
                  <c:v>17</c:v>
                </c:pt>
                <c:pt idx="101">
                  <c:v>25</c:v>
                </c:pt>
                <c:pt idx="102">
                  <c:v>27</c:v>
                </c:pt>
                <c:pt idx="103">
                  <c:v>18</c:v>
                </c:pt>
                <c:pt idx="104">
                  <c:v>19</c:v>
                </c:pt>
                <c:pt idx="105">
                  <c:v>19</c:v>
                </c:pt>
                <c:pt idx="106">
                  <c:v>21</c:v>
                </c:pt>
                <c:pt idx="107">
                  <c:v>30</c:v>
                </c:pt>
                <c:pt idx="108">
                  <c:v>31</c:v>
                </c:pt>
                <c:pt idx="109">
                  <c:v>21</c:v>
                </c:pt>
                <c:pt idx="110">
                  <c:v>26</c:v>
                </c:pt>
                <c:pt idx="111">
                  <c:v>22</c:v>
                </c:pt>
                <c:pt idx="112">
                  <c:v>27</c:v>
                </c:pt>
                <c:pt idx="113">
                  <c:v>19</c:v>
                </c:pt>
                <c:pt idx="114">
                  <c:v>32</c:v>
                </c:pt>
                <c:pt idx="115">
                  <c:v>31</c:v>
                </c:pt>
                <c:pt idx="116">
                  <c:v>27</c:v>
                </c:pt>
                <c:pt idx="117">
                  <c:v>23</c:v>
                </c:pt>
                <c:pt idx="118">
                  <c:v>17</c:v>
                </c:pt>
                <c:pt idx="119">
                  <c:v>30</c:v>
                </c:pt>
                <c:pt idx="121">
                  <c:v>19</c:v>
                </c:pt>
                <c:pt idx="122">
                  <c:v>29</c:v>
                </c:pt>
                <c:pt idx="123">
                  <c:v>23</c:v>
                </c:pt>
                <c:pt idx="124">
                  <c:v>28</c:v>
                </c:pt>
                <c:pt idx="125">
                  <c:v>24</c:v>
                </c:pt>
                <c:pt idx="126">
                  <c:v>18</c:v>
                </c:pt>
                <c:pt idx="127">
                  <c:v>36</c:v>
                </c:pt>
                <c:pt idx="128">
                  <c:v>30</c:v>
                </c:pt>
                <c:pt idx="129">
                  <c:v>32</c:v>
                </c:pt>
                <c:pt idx="130">
                  <c:v>17</c:v>
                </c:pt>
                <c:pt idx="131">
                  <c:v>17</c:v>
                </c:pt>
                <c:pt idx="132">
                  <c:v>18</c:v>
                </c:pt>
                <c:pt idx="133">
                  <c:v>19</c:v>
                </c:pt>
                <c:pt idx="134">
                  <c:v>22</c:v>
                </c:pt>
                <c:pt idx="135">
                  <c:v>22</c:v>
                </c:pt>
                <c:pt idx="136">
                  <c:v>25</c:v>
                </c:pt>
                <c:pt idx="137">
                  <c:v>38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23</c:v>
                </c:pt>
                <c:pt idx="142">
                  <c:v>40</c:v>
                </c:pt>
                <c:pt idx="143">
                  <c:v>38</c:v>
                </c:pt>
                <c:pt idx="144">
                  <c:v>43</c:v>
                </c:pt>
                <c:pt idx="145">
                  <c:v>35</c:v>
                </c:pt>
                <c:pt idx="146">
                  <c:v>21</c:v>
                </c:pt>
                <c:pt idx="147">
                  <c:v>21</c:v>
                </c:pt>
                <c:pt idx="148">
                  <c:v>22</c:v>
                </c:pt>
                <c:pt idx="149">
                  <c:v>22</c:v>
                </c:pt>
                <c:pt idx="150">
                  <c:v>18</c:v>
                </c:pt>
                <c:pt idx="151">
                  <c:v>26</c:v>
                </c:pt>
                <c:pt idx="152">
                  <c:v>24</c:v>
                </c:pt>
                <c:pt idx="153">
                  <c:v>19</c:v>
                </c:pt>
                <c:pt idx="154">
                  <c:v>23</c:v>
                </c:pt>
                <c:pt idx="155">
                  <c:v>27</c:v>
                </c:pt>
                <c:pt idx="156">
                  <c:v>16</c:v>
                </c:pt>
                <c:pt idx="157">
                  <c:v>17</c:v>
                </c:pt>
                <c:pt idx="158">
                  <c:v>20</c:v>
                </c:pt>
                <c:pt idx="159">
                  <c:v>27</c:v>
                </c:pt>
                <c:pt idx="160">
                  <c:v>26</c:v>
                </c:pt>
                <c:pt idx="161">
                  <c:v>33</c:v>
                </c:pt>
                <c:pt idx="162">
                  <c:v>34</c:v>
                </c:pt>
                <c:pt idx="163">
                  <c:v>47</c:v>
                </c:pt>
                <c:pt idx="164">
                  <c:v>45</c:v>
                </c:pt>
                <c:pt idx="165">
                  <c:v>40</c:v>
                </c:pt>
                <c:pt idx="166">
                  <c:v>48</c:v>
                </c:pt>
                <c:pt idx="167">
                  <c:v>34</c:v>
                </c:pt>
                <c:pt idx="168">
                  <c:v>24</c:v>
                </c:pt>
                <c:pt idx="169">
                  <c:v>23</c:v>
                </c:pt>
                <c:pt idx="170">
                  <c:v>18</c:v>
                </c:pt>
                <c:pt idx="171">
                  <c:v>26</c:v>
                </c:pt>
                <c:pt idx="172">
                  <c:v>26</c:v>
                </c:pt>
                <c:pt idx="173">
                  <c:v>17</c:v>
                </c:pt>
                <c:pt idx="174">
                  <c:v>17</c:v>
                </c:pt>
                <c:pt idx="175">
                  <c:v>30</c:v>
                </c:pt>
                <c:pt idx="176">
                  <c:v>38</c:v>
                </c:pt>
                <c:pt idx="177">
                  <c:v>21</c:v>
                </c:pt>
                <c:pt idx="178">
                  <c:v>37</c:v>
                </c:pt>
                <c:pt idx="179">
                  <c:v>32</c:v>
                </c:pt>
                <c:pt idx="180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40-4A8D-8FF0-CC194B0A6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01744"/>
        <c:axId val="1237509904"/>
      </c:scatterChart>
      <c:valAx>
        <c:axId val="123750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RMR76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9904"/>
        <c:crosses val="autoZero"/>
        <c:crossBetween val="midCat"/>
      </c:valAx>
      <c:valAx>
        <c:axId val="12375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GSI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75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Persistence</a:t>
            </a:r>
          </a:p>
        </c:rich>
      </c:tx>
      <c:layout>
        <c:manualLayout>
          <c:xMode val="edge"/>
          <c:yMode val="edge"/>
          <c:x val="0.50465498266110997"/>
          <c:y val="2.25198382303379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Lithology 30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'6. Litologia 30 Geotec'!$CG$14:$CG$18</c:f>
              <c:strCache>
                <c:ptCount val="5"/>
                <c:pt idx="0">
                  <c:v>P5</c:v>
                </c:pt>
                <c:pt idx="1">
                  <c:v>P4</c:v>
                </c:pt>
                <c:pt idx="2">
                  <c:v>P3</c:v>
                </c:pt>
                <c:pt idx="3">
                  <c:v>P2</c:v>
                </c:pt>
                <c:pt idx="4">
                  <c:v>P1</c:v>
                </c:pt>
              </c:strCache>
            </c:strRef>
          </c:cat>
          <c:val>
            <c:numRef>
              <c:f>'6. Litologia 30 Geotec'!$CN$14:$CN$18</c:f>
              <c:numCache>
                <c:formatCode>0%</c:formatCode>
                <c:ptCount val="5"/>
                <c:pt idx="0">
                  <c:v>0.31325301204819278</c:v>
                </c:pt>
                <c:pt idx="1">
                  <c:v>0.40963855421686746</c:v>
                </c:pt>
                <c:pt idx="2">
                  <c:v>0.27710843373493976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1-4880-B3BE-C62130111AEE}"/>
            </c:ext>
          </c:extLst>
        </c:ser>
        <c:ser>
          <c:idx val="1"/>
          <c:order val="1"/>
          <c:tx>
            <c:v>Lithology 40</c:v>
          </c:tx>
          <c:spPr>
            <a:solidFill>
              <a:srgbClr val="EEDFAA"/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'5. Litologia 40 Geotec'!$DM$7:$DM$11</c:f>
              <c:numCache>
                <c:formatCode>0%</c:formatCode>
                <c:ptCount val="5"/>
                <c:pt idx="0">
                  <c:v>0.42953020134228187</c:v>
                </c:pt>
                <c:pt idx="1">
                  <c:v>0.34228187919463088</c:v>
                </c:pt>
                <c:pt idx="2">
                  <c:v>0.17449664429530201</c:v>
                </c:pt>
                <c:pt idx="3">
                  <c:v>5.3691275167785234E-2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1-4880-B3BE-C62130111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355439"/>
        <c:axId val="1321355919"/>
      </c:barChart>
      <c:catAx>
        <c:axId val="13213554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pt-BR" sz="1800"/>
                  <a:t>Persistence</a:t>
                </a:r>
              </a:p>
            </c:rich>
          </c:tx>
          <c:layout>
            <c:manualLayout>
              <c:xMode val="edge"/>
              <c:yMode val="edge"/>
              <c:x val="0.50303499776343807"/>
              <c:y val="0.943766506326786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919"/>
        <c:crosses val="autoZero"/>
        <c:auto val="1"/>
        <c:lblAlgn val="ctr"/>
        <c:lblOffset val="100"/>
        <c:noMultiLvlLbl val="0"/>
      </c:catAx>
      <c:valAx>
        <c:axId val="1321355919"/>
        <c:scaling>
          <c:orientation val="minMax"/>
          <c:max val="1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pt-BR" sz="1800"/>
                  <a:t>% Incidence</a:t>
                </a:r>
              </a:p>
            </c:rich>
          </c:tx>
          <c:layout>
            <c:manualLayout>
              <c:xMode val="edge"/>
              <c:yMode val="edge"/>
              <c:x val="1.4596840678849966E-2"/>
              <c:y val="0.40974621294885649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213554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4"/>
          <c:order val="0"/>
          <c:tx>
            <c:v>Lithology 30</c:v>
          </c:tx>
          <c:spPr>
            <a:ln w="19050">
              <a:noFill/>
            </a:ln>
          </c:spPr>
          <c:marker>
            <c:symbol val="star"/>
            <c:size val="18"/>
            <c:spPr>
              <a:ln>
                <a:solidFill>
                  <a:srgbClr val="FF0000"/>
                </a:solidFill>
              </a:ln>
            </c:spPr>
          </c:marker>
          <c:xVal>
            <c:numRef>
              <c:f>'6. Litologia 30 Geotec'!$BM$3:$BM$86</c:f>
              <c:numCache>
                <c:formatCode>0</c:formatCode>
                <c:ptCount val="84"/>
                <c:pt idx="0">
                  <c:v>21</c:v>
                </c:pt>
                <c:pt idx="1">
                  <c:v>22</c:v>
                </c:pt>
                <c:pt idx="2">
                  <c:v>25</c:v>
                </c:pt>
                <c:pt idx="3">
                  <c:v>25</c:v>
                </c:pt>
                <c:pt idx="4">
                  <c:v>24</c:v>
                </c:pt>
                <c:pt idx="5">
                  <c:v>33</c:v>
                </c:pt>
                <c:pt idx="6">
                  <c:v>28</c:v>
                </c:pt>
                <c:pt idx="7">
                  <c:v>27</c:v>
                </c:pt>
                <c:pt idx="8">
                  <c:v>32</c:v>
                </c:pt>
                <c:pt idx="9">
                  <c:v>30</c:v>
                </c:pt>
                <c:pt idx="10">
                  <c:v>27</c:v>
                </c:pt>
                <c:pt idx="11">
                  <c:v>40</c:v>
                </c:pt>
                <c:pt idx="12">
                  <c:v>36</c:v>
                </c:pt>
                <c:pt idx="13">
                  <c:v>28</c:v>
                </c:pt>
                <c:pt idx="14">
                  <c:v>39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22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18</c:v>
                </c:pt>
                <c:pt idx="51">
                  <c:v>25</c:v>
                </c:pt>
                <c:pt idx="52">
                  <c:v>21</c:v>
                </c:pt>
                <c:pt idx="53">
                  <c:v>30</c:v>
                </c:pt>
                <c:pt idx="54">
                  <c:v>24</c:v>
                </c:pt>
                <c:pt idx="55">
                  <c:v>18</c:v>
                </c:pt>
                <c:pt idx="56">
                  <c:v>26</c:v>
                </c:pt>
                <c:pt idx="57">
                  <c:v>28</c:v>
                </c:pt>
                <c:pt idx="58">
                  <c:v>25</c:v>
                </c:pt>
                <c:pt idx="59">
                  <c:v>28</c:v>
                </c:pt>
                <c:pt idx="60">
                  <c:v>26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28</c:v>
                </c:pt>
                <c:pt idx="65">
                  <c:v>27</c:v>
                </c:pt>
                <c:pt idx="66">
                  <c:v>26</c:v>
                </c:pt>
                <c:pt idx="67">
                  <c:v>26</c:v>
                </c:pt>
                <c:pt idx="68">
                  <c:v>25</c:v>
                </c:pt>
                <c:pt idx="69">
                  <c:v>26</c:v>
                </c:pt>
                <c:pt idx="70">
                  <c:v>26</c:v>
                </c:pt>
                <c:pt idx="72">
                  <c:v>19</c:v>
                </c:pt>
                <c:pt idx="73">
                  <c:v>29</c:v>
                </c:pt>
                <c:pt idx="74">
                  <c:v>23</c:v>
                </c:pt>
                <c:pt idx="75">
                  <c:v>28</c:v>
                </c:pt>
                <c:pt idx="76">
                  <c:v>24</c:v>
                </c:pt>
                <c:pt idx="77">
                  <c:v>18</c:v>
                </c:pt>
                <c:pt idx="78">
                  <c:v>36</c:v>
                </c:pt>
                <c:pt idx="79">
                  <c:v>30</c:v>
                </c:pt>
                <c:pt idx="80">
                  <c:v>32</c:v>
                </c:pt>
                <c:pt idx="81">
                  <c:v>17</c:v>
                </c:pt>
                <c:pt idx="82">
                  <c:v>17</c:v>
                </c:pt>
                <c:pt idx="83">
                  <c:v>18</c:v>
                </c:pt>
              </c:numCache>
            </c:numRef>
          </c:xVal>
          <c:yVal>
            <c:numRef>
              <c:f>'6. Litologia 30 Geotec'!$X$3:$X$86</c:f>
              <c:numCache>
                <c:formatCode>0</c:formatCode>
                <c:ptCount val="84"/>
                <c:pt idx="0">
                  <c:v>51.666666666666664</c:v>
                </c:pt>
                <c:pt idx="1">
                  <c:v>13</c:v>
                </c:pt>
                <c:pt idx="2">
                  <c:v>11</c:v>
                </c:pt>
                <c:pt idx="3">
                  <c:v>14</c:v>
                </c:pt>
                <c:pt idx="4">
                  <c:v>23</c:v>
                </c:pt>
                <c:pt idx="5">
                  <c:v>34</c:v>
                </c:pt>
                <c:pt idx="6">
                  <c:v>13</c:v>
                </c:pt>
                <c:pt idx="7">
                  <c:v>51.666666666666664</c:v>
                </c:pt>
                <c:pt idx="8">
                  <c:v>122.5</c:v>
                </c:pt>
                <c:pt idx="9">
                  <c:v>64.285714285714292</c:v>
                </c:pt>
                <c:pt idx="10">
                  <c:v>120</c:v>
                </c:pt>
                <c:pt idx="11">
                  <c:v>115</c:v>
                </c:pt>
                <c:pt idx="12">
                  <c:v>76.666666666666671</c:v>
                </c:pt>
                <c:pt idx="13">
                  <c:v>62.5</c:v>
                </c:pt>
                <c:pt idx="14">
                  <c:v>110</c:v>
                </c:pt>
                <c:pt idx="15">
                  <c:v>57.5</c:v>
                </c:pt>
                <c:pt idx="16">
                  <c:v>61.428571428571431</c:v>
                </c:pt>
                <c:pt idx="17">
                  <c:v>41.428571428571431</c:v>
                </c:pt>
                <c:pt idx="18">
                  <c:v>55.714285714285715</c:v>
                </c:pt>
                <c:pt idx="19">
                  <c:v>70</c:v>
                </c:pt>
                <c:pt idx="20">
                  <c:v>36</c:v>
                </c:pt>
                <c:pt idx="21">
                  <c:v>50</c:v>
                </c:pt>
                <c:pt idx="22">
                  <c:v>32.857142857142854</c:v>
                </c:pt>
                <c:pt idx="23">
                  <c:v>14</c:v>
                </c:pt>
                <c:pt idx="24">
                  <c:v>20</c:v>
                </c:pt>
                <c:pt idx="25">
                  <c:v>20</c:v>
                </c:pt>
                <c:pt idx="26">
                  <c:v>25.714285714285715</c:v>
                </c:pt>
                <c:pt idx="27">
                  <c:v>28.75</c:v>
                </c:pt>
                <c:pt idx="28">
                  <c:v>14.285714285714286</c:v>
                </c:pt>
                <c:pt idx="29">
                  <c:v>50</c:v>
                </c:pt>
                <c:pt idx="30">
                  <c:v>10</c:v>
                </c:pt>
                <c:pt idx="31">
                  <c:v>12</c:v>
                </c:pt>
                <c:pt idx="32">
                  <c:v>6</c:v>
                </c:pt>
                <c:pt idx="33">
                  <c:v>29</c:v>
                </c:pt>
                <c:pt idx="34">
                  <c:v>22</c:v>
                </c:pt>
                <c:pt idx="35">
                  <c:v>21</c:v>
                </c:pt>
                <c:pt idx="36">
                  <c:v>8</c:v>
                </c:pt>
                <c:pt idx="37">
                  <c:v>5</c:v>
                </c:pt>
                <c:pt idx="38">
                  <c:v>7</c:v>
                </c:pt>
                <c:pt idx="39">
                  <c:v>7</c:v>
                </c:pt>
                <c:pt idx="40">
                  <c:v>50</c:v>
                </c:pt>
                <c:pt idx="41">
                  <c:v>50</c:v>
                </c:pt>
                <c:pt idx="42">
                  <c:v>7</c:v>
                </c:pt>
                <c:pt idx="43">
                  <c:v>50</c:v>
                </c:pt>
                <c:pt idx="44">
                  <c:v>11</c:v>
                </c:pt>
                <c:pt idx="45">
                  <c:v>50</c:v>
                </c:pt>
                <c:pt idx="46">
                  <c:v>10</c:v>
                </c:pt>
                <c:pt idx="47">
                  <c:v>7</c:v>
                </c:pt>
                <c:pt idx="48">
                  <c:v>50</c:v>
                </c:pt>
                <c:pt idx="49">
                  <c:v>50</c:v>
                </c:pt>
                <c:pt idx="50">
                  <c:v>28</c:v>
                </c:pt>
                <c:pt idx="51">
                  <c:v>80</c:v>
                </c:pt>
                <c:pt idx="52">
                  <c:v>96.666666666666671</c:v>
                </c:pt>
                <c:pt idx="53">
                  <c:v>123.33333333333333</c:v>
                </c:pt>
                <c:pt idx="54">
                  <c:v>36</c:v>
                </c:pt>
                <c:pt idx="55">
                  <c:v>56</c:v>
                </c:pt>
                <c:pt idx="56">
                  <c:v>105</c:v>
                </c:pt>
                <c:pt idx="57">
                  <c:v>73.333333333333329</c:v>
                </c:pt>
                <c:pt idx="58">
                  <c:v>52</c:v>
                </c:pt>
                <c:pt idx="59">
                  <c:v>86.666666666666671</c:v>
                </c:pt>
                <c:pt idx="60">
                  <c:v>60</c:v>
                </c:pt>
                <c:pt idx="61">
                  <c:v>52</c:v>
                </c:pt>
                <c:pt idx="62">
                  <c:v>56.666666666666664</c:v>
                </c:pt>
                <c:pt idx="63">
                  <c:v>36</c:v>
                </c:pt>
                <c:pt idx="64">
                  <c:v>80</c:v>
                </c:pt>
                <c:pt idx="65">
                  <c:v>70</c:v>
                </c:pt>
                <c:pt idx="66">
                  <c:v>56</c:v>
                </c:pt>
                <c:pt idx="67">
                  <c:v>44</c:v>
                </c:pt>
                <c:pt idx="68">
                  <c:v>53.333333333333336</c:v>
                </c:pt>
                <c:pt idx="71">
                  <c:v>113.33333333333331</c:v>
                </c:pt>
                <c:pt idx="72">
                  <c:v>80</c:v>
                </c:pt>
                <c:pt idx="73">
                  <c:v>105</c:v>
                </c:pt>
                <c:pt idx="74">
                  <c:v>71.666666666666671</c:v>
                </c:pt>
                <c:pt idx="75">
                  <c:v>130</c:v>
                </c:pt>
                <c:pt idx="76">
                  <c:v>73.333333333333329</c:v>
                </c:pt>
                <c:pt idx="77">
                  <c:v>64.285714285714292</c:v>
                </c:pt>
                <c:pt idx="78">
                  <c:v>130</c:v>
                </c:pt>
                <c:pt idx="79">
                  <c:v>136.66666666666666</c:v>
                </c:pt>
                <c:pt idx="80">
                  <c:v>136.66666666666666</c:v>
                </c:pt>
                <c:pt idx="81">
                  <c:v>40</c:v>
                </c:pt>
                <c:pt idx="82">
                  <c:v>57.5</c:v>
                </c:pt>
                <c:pt idx="83">
                  <c:v>55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24B-44A0-98A8-03FF39BC5F5B}"/>
            </c:ext>
          </c:extLst>
        </c:ser>
        <c:ser>
          <c:idx val="0"/>
          <c:order val="1"/>
          <c:tx>
            <c:v>Lithology 40</c:v>
          </c:tx>
          <c:spPr>
            <a:ln w="19050">
              <a:noFill/>
            </a:ln>
          </c:spPr>
          <c:marker>
            <c:symbol val="diamond"/>
            <c:size val="11"/>
            <c:spPr>
              <a:solidFill>
                <a:srgbClr val="EEDFAA"/>
              </a:solidFill>
              <a:ln>
                <a:solidFill>
                  <a:srgbClr val="EEDFAA">
                    <a:alpha val="97000"/>
                  </a:srgbClr>
                </a:solidFill>
              </a:ln>
            </c:spPr>
          </c:marker>
          <c:xVal>
            <c:numRef>
              <c:f>'5. Litologia 40 Geotec'!$BM$3:$BM$152</c:f>
              <c:numCache>
                <c:formatCode>0.0</c:formatCode>
                <c:ptCount val="150"/>
                <c:pt idx="0">
                  <c:v>45</c:v>
                </c:pt>
                <c:pt idx="1">
                  <c:v>50</c:v>
                </c:pt>
                <c:pt idx="2">
                  <c:v>19</c:v>
                </c:pt>
                <c:pt idx="3">
                  <c:v>32</c:v>
                </c:pt>
                <c:pt idx="4">
                  <c:v>36</c:v>
                </c:pt>
                <c:pt idx="5">
                  <c:v>44</c:v>
                </c:pt>
                <c:pt idx="6">
                  <c:v>49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43</c:v>
                </c:pt>
                <c:pt idx="11">
                  <c:v>38</c:v>
                </c:pt>
                <c:pt idx="12">
                  <c:v>25</c:v>
                </c:pt>
                <c:pt idx="13">
                  <c:v>30</c:v>
                </c:pt>
                <c:pt idx="14">
                  <c:v>40</c:v>
                </c:pt>
                <c:pt idx="15">
                  <c:v>43</c:v>
                </c:pt>
                <c:pt idx="16">
                  <c:v>30</c:v>
                </c:pt>
                <c:pt idx="17">
                  <c:v>41</c:v>
                </c:pt>
                <c:pt idx="18">
                  <c:v>33</c:v>
                </c:pt>
                <c:pt idx="19">
                  <c:v>24</c:v>
                </c:pt>
                <c:pt idx="20">
                  <c:v>23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27</c:v>
                </c:pt>
                <c:pt idx="51">
                  <c:v>19</c:v>
                </c:pt>
                <c:pt idx="52">
                  <c:v>21</c:v>
                </c:pt>
                <c:pt idx="53">
                  <c:v>21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32</c:v>
                </c:pt>
                <c:pt idx="58">
                  <c:v>27</c:v>
                </c:pt>
                <c:pt idx="59">
                  <c:v>27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29</c:v>
                </c:pt>
                <c:pt idx="64">
                  <c:v>19</c:v>
                </c:pt>
                <c:pt idx="65">
                  <c:v>19</c:v>
                </c:pt>
                <c:pt idx="66">
                  <c:v>22</c:v>
                </c:pt>
                <c:pt idx="67">
                  <c:v>24</c:v>
                </c:pt>
                <c:pt idx="68">
                  <c:v>27</c:v>
                </c:pt>
                <c:pt idx="69">
                  <c:v>26</c:v>
                </c:pt>
                <c:pt idx="70">
                  <c:v>35</c:v>
                </c:pt>
                <c:pt idx="71">
                  <c:v>19</c:v>
                </c:pt>
                <c:pt idx="72">
                  <c:v>18</c:v>
                </c:pt>
                <c:pt idx="73">
                  <c:v>18</c:v>
                </c:pt>
                <c:pt idx="74">
                  <c:v>23</c:v>
                </c:pt>
                <c:pt idx="75">
                  <c:v>18</c:v>
                </c:pt>
                <c:pt idx="76">
                  <c:v>16</c:v>
                </c:pt>
                <c:pt idx="77">
                  <c:v>17</c:v>
                </c:pt>
                <c:pt idx="78">
                  <c:v>15</c:v>
                </c:pt>
                <c:pt idx="79">
                  <c:v>47</c:v>
                </c:pt>
                <c:pt idx="80">
                  <c:v>53</c:v>
                </c:pt>
                <c:pt idx="81">
                  <c:v>52</c:v>
                </c:pt>
                <c:pt idx="82">
                  <c:v>48</c:v>
                </c:pt>
                <c:pt idx="83">
                  <c:v>38</c:v>
                </c:pt>
                <c:pt idx="85">
                  <c:v>27</c:v>
                </c:pt>
                <c:pt idx="86">
                  <c:v>13</c:v>
                </c:pt>
                <c:pt idx="87">
                  <c:v>17</c:v>
                </c:pt>
                <c:pt idx="88">
                  <c:v>18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19</c:v>
                </c:pt>
                <c:pt idx="93">
                  <c:v>21</c:v>
                </c:pt>
                <c:pt idx="94">
                  <c:v>33</c:v>
                </c:pt>
                <c:pt idx="95">
                  <c:v>29</c:v>
                </c:pt>
                <c:pt idx="96">
                  <c:v>18</c:v>
                </c:pt>
                <c:pt idx="97">
                  <c:v>20</c:v>
                </c:pt>
                <c:pt idx="98">
                  <c:v>27</c:v>
                </c:pt>
                <c:pt idx="99">
                  <c:v>26</c:v>
                </c:pt>
                <c:pt idx="100">
                  <c:v>20</c:v>
                </c:pt>
                <c:pt idx="101">
                  <c:v>31</c:v>
                </c:pt>
                <c:pt idx="102">
                  <c:v>19</c:v>
                </c:pt>
                <c:pt idx="103">
                  <c:v>22</c:v>
                </c:pt>
                <c:pt idx="104">
                  <c:v>22</c:v>
                </c:pt>
                <c:pt idx="105">
                  <c:v>25</c:v>
                </c:pt>
                <c:pt idx="106">
                  <c:v>38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23</c:v>
                </c:pt>
                <c:pt idx="111">
                  <c:v>40</c:v>
                </c:pt>
                <c:pt idx="112">
                  <c:v>38</c:v>
                </c:pt>
                <c:pt idx="113">
                  <c:v>43</c:v>
                </c:pt>
                <c:pt idx="114">
                  <c:v>35</c:v>
                </c:pt>
                <c:pt idx="115">
                  <c:v>21</c:v>
                </c:pt>
                <c:pt idx="116">
                  <c:v>21</c:v>
                </c:pt>
                <c:pt idx="117">
                  <c:v>22</c:v>
                </c:pt>
                <c:pt idx="118">
                  <c:v>22</c:v>
                </c:pt>
                <c:pt idx="119">
                  <c:v>18</c:v>
                </c:pt>
                <c:pt idx="120">
                  <c:v>26</c:v>
                </c:pt>
                <c:pt idx="121">
                  <c:v>24</c:v>
                </c:pt>
                <c:pt idx="122">
                  <c:v>19</c:v>
                </c:pt>
                <c:pt idx="123">
                  <c:v>23</c:v>
                </c:pt>
                <c:pt idx="124">
                  <c:v>27</c:v>
                </c:pt>
                <c:pt idx="125">
                  <c:v>16</c:v>
                </c:pt>
                <c:pt idx="126">
                  <c:v>17</c:v>
                </c:pt>
                <c:pt idx="127">
                  <c:v>20</c:v>
                </c:pt>
                <c:pt idx="128">
                  <c:v>27</c:v>
                </c:pt>
                <c:pt idx="129">
                  <c:v>26</c:v>
                </c:pt>
                <c:pt idx="130">
                  <c:v>33</c:v>
                </c:pt>
                <c:pt idx="131">
                  <c:v>34</c:v>
                </c:pt>
                <c:pt idx="132">
                  <c:v>47</c:v>
                </c:pt>
                <c:pt idx="133">
                  <c:v>45</c:v>
                </c:pt>
                <c:pt idx="134">
                  <c:v>40</c:v>
                </c:pt>
                <c:pt idx="135">
                  <c:v>48</c:v>
                </c:pt>
                <c:pt idx="136">
                  <c:v>34</c:v>
                </c:pt>
                <c:pt idx="137">
                  <c:v>24</c:v>
                </c:pt>
                <c:pt idx="138">
                  <c:v>23</c:v>
                </c:pt>
                <c:pt idx="139">
                  <c:v>18</c:v>
                </c:pt>
                <c:pt idx="140">
                  <c:v>26</c:v>
                </c:pt>
                <c:pt idx="141">
                  <c:v>26</c:v>
                </c:pt>
                <c:pt idx="142">
                  <c:v>17</c:v>
                </c:pt>
                <c:pt idx="143">
                  <c:v>17</c:v>
                </c:pt>
                <c:pt idx="144">
                  <c:v>30</c:v>
                </c:pt>
                <c:pt idx="145">
                  <c:v>38</c:v>
                </c:pt>
                <c:pt idx="146">
                  <c:v>21</c:v>
                </c:pt>
                <c:pt idx="147">
                  <c:v>37</c:v>
                </c:pt>
                <c:pt idx="148">
                  <c:v>32</c:v>
                </c:pt>
                <c:pt idx="149">
                  <c:v>36</c:v>
                </c:pt>
              </c:numCache>
            </c:numRef>
          </c:xVal>
          <c:yVal>
            <c:numRef>
              <c:f>'5. Litologia 40 Geotec'!$X$3:$X$152</c:f>
              <c:numCache>
                <c:formatCode>0.0</c:formatCode>
                <c:ptCount val="150"/>
                <c:pt idx="0">
                  <c:v>126.66666666666667</c:v>
                </c:pt>
                <c:pt idx="1">
                  <c:v>140</c:v>
                </c:pt>
                <c:pt idx="2">
                  <c:v>19</c:v>
                </c:pt>
                <c:pt idx="3">
                  <c:v>76.666666666666671</c:v>
                </c:pt>
                <c:pt idx="4">
                  <c:v>86</c:v>
                </c:pt>
                <c:pt idx="5">
                  <c:v>112.5</c:v>
                </c:pt>
                <c:pt idx="6">
                  <c:v>235</c:v>
                </c:pt>
                <c:pt idx="7">
                  <c:v>70</c:v>
                </c:pt>
                <c:pt idx="8">
                  <c:v>102.5</c:v>
                </c:pt>
                <c:pt idx="9">
                  <c:v>107.5</c:v>
                </c:pt>
                <c:pt idx="10">
                  <c:v>44</c:v>
                </c:pt>
                <c:pt idx="11">
                  <c:v>46</c:v>
                </c:pt>
                <c:pt idx="12">
                  <c:v>73.333333333333329</c:v>
                </c:pt>
                <c:pt idx="13">
                  <c:v>140</c:v>
                </c:pt>
                <c:pt idx="14">
                  <c:v>70</c:v>
                </c:pt>
                <c:pt idx="15">
                  <c:v>92.5</c:v>
                </c:pt>
                <c:pt idx="16">
                  <c:v>48.571428571428569</c:v>
                </c:pt>
                <c:pt idx="17">
                  <c:v>81.666666666666671</c:v>
                </c:pt>
                <c:pt idx="18">
                  <c:v>93.333333333333329</c:v>
                </c:pt>
                <c:pt idx="19">
                  <c:v>55</c:v>
                </c:pt>
                <c:pt idx="20">
                  <c:v>19</c:v>
                </c:pt>
                <c:pt idx="21">
                  <c:v>26</c:v>
                </c:pt>
                <c:pt idx="22">
                  <c:v>26</c:v>
                </c:pt>
                <c:pt idx="23">
                  <c:v>24</c:v>
                </c:pt>
                <c:pt idx="24">
                  <c:v>23</c:v>
                </c:pt>
                <c:pt idx="25">
                  <c:v>22</c:v>
                </c:pt>
                <c:pt idx="26">
                  <c:v>20</c:v>
                </c:pt>
                <c:pt idx="27">
                  <c:v>28</c:v>
                </c:pt>
                <c:pt idx="28">
                  <c:v>24</c:v>
                </c:pt>
                <c:pt idx="29">
                  <c:v>42</c:v>
                </c:pt>
                <c:pt idx="30">
                  <c:v>20</c:v>
                </c:pt>
                <c:pt idx="32">
                  <c:v>13</c:v>
                </c:pt>
                <c:pt idx="33">
                  <c:v>17</c:v>
                </c:pt>
                <c:pt idx="34">
                  <c:v>16</c:v>
                </c:pt>
                <c:pt idx="35">
                  <c:v>14</c:v>
                </c:pt>
                <c:pt idx="36">
                  <c:v>17</c:v>
                </c:pt>
                <c:pt idx="37">
                  <c:v>23</c:v>
                </c:pt>
                <c:pt idx="38">
                  <c:v>20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16.363636363636363</c:v>
                </c:pt>
                <c:pt idx="43">
                  <c:v>10.909090909090908</c:v>
                </c:pt>
                <c:pt idx="45">
                  <c:v>24</c:v>
                </c:pt>
                <c:pt idx="47">
                  <c:v>24</c:v>
                </c:pt>
                <c:pt idx="48">
                  <c:v>11</c:v>
                </c:pt>
                <c:pt idx="49">
                  <c:v>12</c:v>
                </c:pt>
                <c:pt idx="50">
                  <c:v>86.666666666666671</c:v>
                </c:pt>
                <c:pt idx="51">
                  <c:v>26</c:v>
                </c:pt>
                <c:pt idx="52">
                  <c:v>10.666666666666666</c:v>
                </c:pt>
                <c:pt idx="53">
                  <c:v>12</c:v>
                </c:pt>
                <c:pt idx="54">
                  <c:v>45.714285714285715</c:v>
                </c:pt>
                <c:pt idx="55">
                  <c:v>20</c:v>
                </c:pt>
                <c:pt idx="56">
                  <c:v>32</c:v>
                </c:pt>
                <c:pt idx="57">
                  <c:v>44</c:v>
                </c:pt>
                <c:pt idx="58">
                  <c:v>12</c:v>
                </c:pt>
                <c:pt idx="59">
                  <c:v>15</c:v>
                </c:pt>
                <c:pt idx="60">
                  <c:v>18.571428571428573</c:v>
                </c:pt>
                <c:pt idx="61">
                  <c:v>52</c:v>
                </c:pt>
                <c:pt idx="62">
                  <c:v>50</c:v>
                </c:pt>
                <c:pt idx="63">
                  <c:v>110</c:v>
                </c:pt>
                <c:pt idx="64">
                  <c:v>47.142857142857146</c:v>
                </c:pt>
                <c:pt idx="65">
                  <c:v>41.428571428571431</c:v>
                </c:pt>
                <c:pt idx="66">
                  <c:v>50</c:v>
                </c:pt>
                <c:pt idx="67">
                  <c:v>51.25</c:v>
                </c:pt>
                <c:pt idx="68">
                  <c:v>86</c:v>
                </c:pt>
                <c:pt idx="69">
                  <c:v>74</c:v>
                </c:pt>
                <c:pt idx="70">
                  <c:v>107.5</c:v>
                </c:pt>
                <c:pt idx="71">
                  <c:v>60</c:v>
                </c:pt>
                <c:pt idx="72">
                  <c:v>34</c:v>
                </c:pt>
                <c:pt idx="73">
                  <c:v>32</c:v>
                </c:pt>
                <c:pt idx="74">
                  <c:v>70</c:v>
                </c:pt>
                <c:pt idx="75">
                  <c:v>41</c:v>
                </c:pt>
                <c:pt idx="76">
                  <c:v>45</c:v>
                </c:pt>
                <c:pt idx="77">
                  <c:v>70</c:v>
                </c:pt>
                <c:pt idx="78">
                  <c:v>58.75</c:v>
                </c:pt>
                <c:pt idx="79">
                  <c:v>107.5</c:v>
                </c:pt>
                <c:pt idx="80">
                  <c:v>235</c:v>
                </c:pt>
                <c:pt idx="81">
                  <c:v>150</c:v>
                </c:pt>
                <c:pt idx="82">
                  <c:v>156.66666666666666</c:v>
                </c:pt>
                <c:pt idx="83">
                  <c:v>120</c:v>
                </c:pt>
                <c:pt idx="84">
                  <c:v>82</c:v>
                </c:pt>
                <c:pt idx="85">
                  <c:v>70</c:v>
                </c:pt>
                <c:pt idx="86">
                  <c:v>38</c:v>
                </c:pt>
                <c:pt idx="87">
                  <c:v>42</c:v>
                </c:pt>
                <c:pt idx="88">
                  <c:v>28</c:v>
                </c:pt>
                <c:pt idx="89">
                  <c:v>62.5</c:v>
                </c:pt>
                <c:pt idx="90">
                  <c:v>66</c:v>
                </c:pt>
                <c:pt idx="91">
                  <c:v>30</c:v>
                </c:pt>
                <c:pt idx="92">
                  <c:v>16</c:v>
                </c:pt>
                <c:pt idx="93">
                  <c:v>60</c:v>
                </c:pt>
                <c:pt idx="94">
                  <c:v>80</c:v>
                </c:pt>
                <c:pt idx="95">
                  <c:v>85</c:v>
                </c:pt>
                <c:pt idx="96">
                  <c:v>42</c:v>
                </c:pt>
                <c:pt idx="97">
                  <c:v>77.5</c:v>
                </c:pt>
                <c:pt idx="98">
                  <c:v>120</c:v>
                </c:pt>
                <c:pt idx="99">
                  <c:v>66.666666666666671</c:v>
                </c:pt>
                <c:pt idx="100">
                  <c:v>43.333333333333336</c:v>
                </c:pt>
                <c:pt idx="101">
                  <c:v>93.333333333333329</c:v>
                </c:pt>
                <c:pt idx="102">
                  <c:v>60</c:v>
                </c:pt>
                <c:pt idx="103">
                  <c:v>32.5</c:v>
                </c:pt>
                <c:pt idx="104">
                  <c:v>36.666666666666664</c:v>
                </c:pt>
                <c:pt idx="105">
                  <c:v>36.666666666666664</c:v>
                </c:pt>
                <c:pt idx="106">
                  <c:v>165</c:v>
                </c:pt>
                <c:pt idx="107">
                  <c:v>20</c:v>
                </c:pt>
                <c:pt idx="108">
                  <c:v>50</c:v>
                </c:pt>
                <c:pt idx="109">
                  <c:v>33.333333333333336</c:v>
                </c:pt>
                <c:pt idx="110">
                  <c:v>25</c:v>
                </c:pt>
                <c:pt idx="111">
                  <c:v>120</c:v>
                </c:pt>
                <c:pt idx="112">
                  <c:v>130</c:v>
                </c:pt>
                <c:pt idx="113">
                  <c:v>130</c:v>
                </c:pt>
                <c:pt idx="114">
                  <c:v>103.33333333333333</c:v>
                </c:pt>
                <c:pt idx="115">
                  <c:v>44</c:v>
                </c:pt>
                <c:pt idx="116">
                  <c:v>24</c:v>
                </c:pt>
                <c:pt idx="117">
                  <c:v>32</c:v>
                </c:pt>
                <c:pt idx="118">
                  <c:v>46</c:v>
                </c:pt>
                <c:pt idx="119">
                  <c:v>32</c:v>
                </c:pt>
                <c:pt idx="120">
                  <c:v>40</c:v>
                </c:pt>
                <c:pt idx="121">
                  <c:v>105</c:v>
                </c:pt>
                <c:pt idx="122">
                  <c:v>38</c:v>
                </c:pt>
                <c:pt idx="123">
                  <c:v>53.333333333333336</c:v>
                </c:pt>
                <c:pt idx="124">
                  <c:v>75</c:v>
                </c:pt>
                <c:pt idx="125">
                  <c:v>53.333333333333336</c:v>
                </c:pt>
                <c:pt idx="126">
                  <c:v>36</c:v>
                </c:pt>
                <c:pt idx="127">
                  <c:v>38</c:v>
                </c:pt>
                <c:pt idx="128">
                  <c:v>36</c:v>
                </c:pt>
                <c:pt idx="129">
                  <c:v>62.5</c:v>
                </c:pt>
                <c:pt idx="130">
                  <c:v>90</c:v>
                </c:pt>
                <c:pt idx="131">
                  <c:v>90</c:v>
                </c:pt>
                <c:pt idx="132">
                  <c:v>175</c:v>
                </c:pt>
                <c:pt idx="133">
                  <c:v>140</c:v>
                </c:pt>
                <c:pt idx="134">
                  <c:v>106.66666666666667</c:v>
                </c:pt>
                <c:pt idx="135">
                  <c:v>106.66666666666667</c:v>
                </c:pt>
                <c:pt idx="136">
                  <c:v>75</c:v>
                </c:pt>
                <c:pt idx="137">
                  <c:v>63.333333333333336</c:v>
                </c:pt>
                <c:pt idx="138">
                  <c:v>70</c:v>
                </c:pt>
                <c:pt idx="139">
                  <c:v>67.5</c:v>
                </c:pt>
                <c:pt idx="140">
                  <c:v>40</c:v>
                </c:pt>
                <c:pt idx="141">
                  <c:v>34</c:v>
                </c:pt>
                <c:pt idx="142">
                  <c:v>33.333333333333336</c:v>
                </c:pt>
                <c:pt idx="143">
                  <c:v>40</c:v>
                </c:pt>
                <c:pt idx="144">
                  <c:v>72</c:v>
                </c:pt>
                <c:pt idx="145">
                  <c:v>133.33333333333334</c:v>
                </c:pt>
                <c:pt idx="146">
                  <c:v>115</c:v>
                </c:pt>
                <c:pt idx="147">
                  <c:v>107.5</c:v>
                </c:pt>
                <c:pt idx="148">
                  <c:v>90</c:v>
                </c:pt>
                <c:pt idx="149">
                  <c:v>100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24B-44A0-98A8-03FF39BC5F5B}"/>
            </c:ext>
          </c:extLst>
        </c:ser>
        <c:ser>
          <c:idx val="1"/>
          <c:order val="2"/>
          <c:tx>
            <c:v>Lithology 10</c:v>
          </c:tx>
          <c:spPr>
            <a:ln w="19050">
              <a:noFill/>
            </a:ln>
          </c:spPr>
          <c:marker>
            <c:symbol val="diamond"/>
            <c:size val="12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'10. Lithology 10 Geotec'!$BM$2:$BM$83</c:f>
              <c:numCache>
                <c:formatCode>0.0</c:formatCode>
                <c:ptCount val="82"/>
                <c:pt idx="0">
                  <c:v>47</c:v>
                </c:pt>
                <c:pt idx="1">
                  <c:v>49</c:v>
                </c:pt>
                <c:pt idx="2">
                  <c:v>71</c:v>
                </c:pt>
                <c:pt idx="3">
                  <c:v>57</c:v>
                </c:pt>
                <c:pt idx="4">
                  <c:v>76</c:v>
                </c:pt>
                <c:pt idx="5">
                  <c:v>47</c:v>
                </c:pt>
                <c:pt idx="6">
                  <c:v>45</c:v>
                </c:pt>
                <c:pt idx="7">
                  <c:v>46</c:v>
                </c:pt>
                <c:pt idx="8">
                  <c:v>65</c:v>
                </c:pt>
                <c:pt idx="9">
                  <c:v>60</c:v>
                </c:pt>
                <c:pt idx="10">
                  <c:v>55</c:v>
                </c:pt>
                <c:pt idx="11">
                  <c:v>62</c:v>
                </c:pt>
                <c:pt idx="12">
                  <c:v>63</c:v>
                </c:pt>
                <c:pt idx="13">
                  <c:v>61</c:v>
                </c:pt>
                <c:pt idx="14">
                  <c:v>52</c:v>
                </c:pt>
                <c:pt idx="15">
                  <c:v>45</c:v>
                </c:pt>
                <c:pt idx="16">
                  <c:v>48</c:v>
                </c:pt>
                <c:pt idx="17">
                  <c:v>70</c:v>
                </c:pt>
                <c:pt idx="18">
                  <c:v>55</c:v>
                </c:pt>
                <c:pt idx="19">
                  <c:v>47</c:v>
                </c:pt>
                <c:pt idx="20">
                  <c:v>33</c:v>
                </c:pt>
                <c:pt idx="21">
                  <c:v>50</c:v>
                </c:pt>
                <c:pt idx="22">
                  <c:v>46</c:v>
                </c:pt>
                <c:pt idx="23">
                  <c:v>33</c:v>
                </c:pt>
                <c:pt idx="24">
                  <c:v>44</c:v>
                </c:pt>
                <c:pt idx="25">
                  <c:v>46</c:v>
                </c:pt>
                <c:pt idx="26">
                  <c:v>42</c:v>
                </c:pt>
                <c:pt idx="27">
                  <c:v>21</c:v>
                </c:pt>
                <c:pt idx="28">
                  <c:v>43</c:v>
                </c:pt>
                <c:pt idx="29">
                  <c:v>50</c:v>
                </c:pt>
                <c:pt idx="30">
                  <c:v>35</c:v>
                </c:pt>
                <c:pt idx="31">
                  <c:v>44</c:v>
                </c:pt>
                <c:pt idx="32">
                  <c:v>46</c:v>
                </c:pt>
                <c:pt idx="33">
                  <c:v>37</c:v>
                </c:pt>
                <c:pt idx="34">
                  <c:v>43</c:v>
                </c:pt>
                <c:pt idx="35">
                  <c:v>31</c:v>
                </c:pt>
                <c:pt idx="36">
                  <c:v>31</c:v>
                </c:pt>
                <c:pt idx="37">
                  <c:v>27</c:v>
                </c:pt>
                <c:pt idx="38">
                  <c:v>28</c:v>
                </c:pt>
                <c:pt idx="39">
                  <c:v>28</c:v>
                </c:pt>
                <c:pt idx="40">
                  <c:v>29</c:v>
                </c:pt>
                <c:pt idx="41">
                  <c:v>34</c:v>
                </c:pt>
                <c:pt idx="42">
                  <c:v>29</c:v>
                </c:pt>
                <c:pt idx="43">
                  <c:v>49</c:v>
                </c:pt>
                <c:pt idx="44">
                  <c:v>36</c:v>
                </c:pt>
                <c:pt idx="45">
                  <c:v>35</c:v>
                </c:pt>
                <c:pt idx="46">
                  <c:v>28</c:v>
                </c:pt>
                <c:pt idx="47">
                  <c:v>34</c:v>
                </c:pt>
                <c:pt idx="48">
                  <c:v>28</c:v>
                </c:pt>
                <c:pt idx="49">
                  <c:v>40</c:v>
                </c:pt>
                <c:pt idx="50">
                  <c:v>60</c:v>
                </c:pt>
                <c:pt idx="51">
                  <c:v>36</c:v>
                </c:pt>
                <c:pt idx="52">
                  <c:v>29</c:v>
                </c:pt>
                <c:pt idx="53">
                  <c:v>29</c:v>
                </c:pt>
                <c:pt idx="54">
                  <c:v>45</c:v>
                </c:pt>
                <c:pt idx="55">
                  <c:v>38</c:v>
                </c:pt>
                <c:pt idx="56">
                  <c:v>38</c:v>
                </c:pt>
                <c:pt idx="57">
                  <c:v>37</c:v>
                </c:pt>
                <c:pt idx="58">
                  <c:v>34</c:v>
                </c:pt>
                <c:pt idx="59">
                  <c:v>27</c:v>
                </c:pt>
                <c:pt idx="60">
                  <c:v>31</c:v>
                </c:pt>
                <c:pt idx="61">
                  <c:v>21</c:v>
                </c:pt>
                <c:pt idx="62">
                  <c:v>21</c:v>
                </c:pt>
                <c:pt idx="63">
                  <c:v>57</c:v>
                </c:pt>
                <c:pt idx="64">
                  <c:v>48</c:v>
                </c:pt>
                <c:pt idx="65">
                  <c:v>53</c:v>
                </c:pt>
                <c:pt idx="66">
                  <c:v>43</c:v>
                </c:pt>
                <c:pt idx="67">
                  <c:v>48</c:v>
                </c:pt>
                <c:pt idx="68">
                  <c:v>44</c:v>
                </c:pt>
                <c:pt idx="69">
                  <c:v>59</c:v>
                </c:pt>
                <c:pt idx="70">
                  <c:v>48</c:v>
                </c:pt>
                <c:pt idx="71">
                  <c:v>46</c:v>
                </c:pt>
                <c:pt idx="72">
                  <c:v>46</c:v>
                </c:pt>
                <c:pt idx="73">
                  <c:v>47</c:v>
                </c:pt>
                <c:pt idx="74">
                  <c:v>49</c:v>
                </c:pt>
                <c:pt idx="75">
                  <c:v>56</c:v>
                </c:pt>
                <c:pt idx="76">
                  <c:v>52</c:v>
                </c:pt>
                <c:pt idx="77">
                  <c:v>56</c:v>
                </c:pt>
                <c:pt idx="78">
                  <c:v>61</c:v>
                </c:pt>
                <c:pt idx="79">
                  <c:v>56</c:v>
                </c:pt>
                <c:pt idx="80">
                  <c:v>48</c:v>
                </c:pt>
                <c:pt idx="81">
                  <c:v>49</c:v>
                </c:pt>
              </c:numCache>
            </c:numRef>
          </c:xVal>
          <c:yVal>
            <c:numRef>
              <c:f>'10. Lithology 10 Geotec'!$X$2:$X$83</c:f>
              <c:numCache>
                <c:formatCode>0.00</c:formatCode>
                <c:ptCount val="82"/>
                <c:pt idx="0">
                  <c:v>54</c:v>
                </c:pt>
                <c:pt idx="1">
                  <c:v>110</c:v>
                </c:pt>
                <c:pt idx="2">
                  <c:v>500</c:v>
                </c:pt>
                <c:pt idx="3">
                  <c:v>166.66666666666666</c:v>
                </c:pt>
                <c:pt idx="4">
                  <c:v>1330</c:v>
                </c:pt>
                <c:pt idx="5">
                  <c:v>87.5</c:v>
                </c:pt>
                <c:pt idx="6">
                  <c:v>47.5</c:v>
                </c:pt>
                <c:pt idx="7">
                  <c:v>103.33333333333333</c:v>
                </c:pt>
                <c:pt idx="8">
                  <c:v>305</c:v>
                </c:pt>
                <c:pt idx="9">
                  <c:v>286.66666666666669</c:v>
                </c:pt>
                <c:pt idx="10">
                  <c:v>164</c:v>
                </c:pt>
                <c:pt idx="11">
                  <c:v>240</c:v>
                </c:pt>
                <c:pt idx="12">
                  <c:v>233.33333333333334</c:v>
                </c:pt>
                <c:pt idx="13">
                  <c:v>236.66666666666666</c:v>
                </c:pt>
                <c:pt idx="14">
                  <c:v>150</c:v>
                </c:pt>
                <c:pt idx="15">
                  <c:v>72</c:v>
                </c:pt>
                <c:pt idx="16">
                  <c:v>105.71428571428571</c:v>
                </c:pt>
                <c:pt idx="17">
                  <c:v>520</c:v>
                </c:pt>
                <c:pt idx="18">
                  <c:v>123.33333333333333</c:v>
                </c:pt>
                <c:pt idx="19">
                  <c:v>73.333333333333329</c:v>
                </c:pt>
                <c:pt idx="20">
                  <c:v>49</c:v>
                </c:pt>
                <c:pt idx="21">
                  <c:v>125</c:v>
                </c:pt>
                <c:pt idx="22">
                  <c:v>146.66666666666666</c:v>
                </c:pt>
                <c:pt idx="23">
                  <c:v>32.666666666666664</c:v>
                </c:pt>
                <c:pt idx="24">
                  <c:v>124</c:v>
                </c:pt>
                <c:pt idx="25">
                  <c:v>98</c:v>
                </c:pt>
                <c:pt idx="26">
                  <c:v>120</c:v>
                </c:pt>
                <c:pt idx="27">
                  <c:v>32.666666666666664</c:v>
                </c:pt>
                <c:pt idx="28">
                  <c:v>150</c:v>
                </c:pt>
                <c:pt idx="29">
                  <c:v>126.66666666666667</c:v>
                </c:pt>
                <c:pt idx="30">
                  <c:v>46</c:v>
                </c:pt>
                <c:pt idx="31">
                  <c:v>126.66666666666667</c:v>
                </c:pt>
                <c:pt idx="32">
                  <c:v>156.66666666666666</c:v>
                </c:pt>
                <c:pt idx="33">
                  <c:v>86</c:v>
                </c:pt>
                <c:pt idx="34">
                  <c:v>125</c:v>
                </c:pt>
                <c:pt idx="35">
                  <c:v>41.666666666666664</c:v>
                </c:pt>
                <c:pt idx="36">
                  <c:v>55</c:v>
                </c:pt>
                <c:pt idx="37">
                  <c:v>43.333333333333336</c:v>
                </c:pt>
                <c:pt idx="38">
                  <c:v>24</c:v>
                </c:pt>
                <c:pt idx="39">
                  <c:v>28</c:v>
                </c:pt>
                <c:pt idx="40">
                  <c:v>33.75</c:v>
                </c:pt>
                <c:pt idx="41">
                  <c:v>74</c:v>
                </c:pt>
                <c:pt idx="42">
                  <c:v>47.142857142857146</c:v>
                </c:pt>
                <c:pt idx="43">
                  <c:v>150</c:v>
                </c:pt>
                <c:pt idx="44">
                  <c:v>65</c:v>
                </c:pt>
                <c:pt idx="45">
                  <c:v>70</c:v>
                </c:pt>
                <c:pt idx="46">
                  <c:v>28.571428571428573</c:v>
                </c:pt>
                <c:pt idx="47">
                  <c:v>71.666666666666671</c:v>
                </c:pt>
                <c:pt idx="48">
                  <c:v>53</c:v>
                </c:pt>
                <c:pt idx="49">
                  <c:v>100</c:v>
                </c:pt>
                <c:pt idx="50">
                  <c:v>485</c:v>
                </c:pt>
                <c:pt idx="51">
                  <c:v>71.428571428571431</c:v>
                </c:pt>
                <c:pt idx="52">
                  <c:v>27</c:v>
                </c:pt>
                <c:pt idx="53">
                  <c:v>25</c:v>
                </c:pt>
                <c:pt idx="54">
                  <c:v>100</c:v>
                </c:pt>
                <c:pt idx="55">
                  <c:v>146.66666666666666</c:v>
                </c:pt>
                <c:pt idx="56">
                  <c:v>100</c:v>
                </c:pt>
                <c:pt idx="57">
                  <c:v>83.333333333333329</c:v>
                </c:pt>
                <c:pt idx="58">
                  <c:v>90</c:v>
                </c:pt>
                <c:pt idx="59">
                  <c:v>60</c:v>
                </c:pt>
                <c:pt idx="60">
                  <c:v>86</c:v>
                </c:pt>
                <c:pt idx="61">
                  <c:v>29</c:v>
                </c:pt>
                <c:pt idx="62">
                  <c:v>16.666666666666668</c:v>
                </c:pt>
                <c:pt idx="63">
                  <c:v>235</c:v>
                </c:pt>
                <c:pt idx="64">
                  <c:v>170</c:v>
                </c:pt>
                <c:pt idx="65">
                  <c:v>170</c:v>
                </c:pt>
                <c:pt idx="66">
                  <c:v>100</c:v>
                </c:pt>
                <c:pt idx="67">
                  <c:v>166.66666666666666</c:v>
                </c:pt>
                <c:pt idx="68">
                  <c:v>125</c:v>
                </c:pt>
                <c:pt idx="69">
                  <c:v>250</c:v>
                </c:pt>
                <c:pt idx="70">
                  <c:v>125</c:v>
                </c:pt>
                <c:pt idx="71">
                  <c:v>102.5</c:v>
                </c:pt>
                <c:pt idx="72">
                  <c:v>100</c:v>
                </c:pt>
                <c:pt idx="73">
                  <c:v>163.33333333333334</c:v>
                </c:pt>
                <c:pt idx="74">
                  <c:v>205</c:v>
                </c:pt>
                <c:pt idx="75">
                  <c:v>230</c:v>
                </c:pt>
                <c:pt idx="76">
                  <c:v>156.66666666666666</c:v>
                </c:pt>
                <c:pt idx="77">
                  <c:v>215</c:v>
                </c:pt>
                <c:pt idx="78">
                  <c:v>480</c:v>
                </c:pt>
                <c:pt idx="79">
                  <c:v>235</c:v>
                </c:pt>
                <c:pt idx="80">
                  <c:v>156.66666666666666</c:v>
                </c:pt>
                <c:pt idx="81">
                  <c:v>153.33333333333334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24B-44A0-98A8-03FF39BC5F5B}"/>
            </c:ext>
          </c:extLst>
        </c:ser>
        <c:ser>
          <c:idx val="2"/>
          <c:order val="3"/>
          <c:tx>
            <c:v>Lithology 50</c:v>
          </c:tx>
          <c:spPr>
            <a:ln w="19050">
              <a:noFill/>
            </a:ln>
          </c:spPr>
          <c:marker>
            <c:symbol val="triangle"/>
            <c:size val="6"/>
            <c:spPr>
              <a:solidFill>
                <a:srgbClr val="FF99CC"/>
              </a:solidFill>
              <a:ln>
                <a:solidFill>
                  <a:srgbClr val="FF99CC"/>
                </a:solidFill>
              </a:ln>
            </c:spPr>
          </c:marker>
          <c:xVal>
            <c:numRef>
              <c:f>'7. Lithology 50 Geotec'!$BK$3:$BK$139</c:f>
              <c:numCache>
                <c:formatCode>0.0</c:formatCode>
                <c:ptCount val="137"/>
                <c:pt idx="0">
                  <c:v>44</c:v>
                </c:pt>
                <c:pt idx="1">
                  <c:v>31</c:v>
                </c:pt>
                <c:pt idx="2">
                  <c:v>34</c:v>
                </c:pt>
                <c:pt idx="3">
                  <c:v>21</c:v>
                </c:pt>
                <c:pt idx="4">
                  <c:v>34</c:v>
                </c:pt>
                <c:pt idx="5">
                  <c:v>24</c:v>
                </c:pt>
                <c:pt idx="6">
                  <c:v>35</c:v>
                </c:pt>
                <c:pt idx="7">
                  <c:v>42</c:v>
                </c:pt>
                <c:pt idx="8">
                  <c:v>16</c:v>
                </c:pt>
                <c:pt idx="9">
                  <c:v>16</c:v>
                </c:pt>
                <c:pt idx="10">
                  <c:v>29</c:v>
                </c:pt>
                <c:pt idx="11">
                  <c:v>19</c:v>
                </c:pt>
                <c:pt idx="12">
                  <c:v>19</c:v>
                </c:pt>
                <c:pt idx="13">
                  <c:v>21</c:v>
                </c:pt>
                <c:pt idx="14">
                  <c:v>26</c:v>
                </c:pt>
                <c:pt idx="15">
                  <c:v>20</c:v>
                </c:pt>
                <c:pt idx="16">
                  <c:v>16</c:v>
                </c:pt>
                <c:pt idx="17">
                  <c:v>28</c:v>
                </c:pt>
                <c:pt idx="18">
                  <c:v>22</c:v>
                </c:pt>
                <c:pt idx="19">
                  <c:v>33</c:v>
                </c:pt>
                <c:pt idx="20">
                  <c:v>44</c:v>
                </c:pt>
                <c:pt idx="21">
                  <c:v>25</c:v>
                </c:pt>
                <c:pt idx="22">
                  <c:v>22</c:v>
                </c:pt>
                <c:pt idx="23">
                  <c:v>33</c:v>
                </c:pt>
                <c:pt idx="24">
                  <c:v>48</c:v>
                </c:pt>
                <c:pt idx="25">
                  <c:v>32</c:v>
                </c:pt>
                <c:pt idx="26">
                  <c:v>22</c:v>
                </c:pt>
                <c:pt idx="27">
                  <c:v>28</c:v>
                </c:pt>
                <c:pt idx="28">
                  <c:v>22</c:v>
                </c:pt>
                <c:pt idx="29">
                  <c:v>24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18</c:v>
                </c:pt>
                <c:pt idx="37">
                  <c:v>18</c:v>
                </c:pt>
                <c:pt idx="38">
                  <c:v>17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18</c:v>
                </c:pt>
                <c:pt idx="52">
                  <c:v>17</c:v>
                </c:pt>
                <c:pt idx="53">
                  <c:v>19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26</c:v>
                </c:pt>
                <c:pt idx="58">
                  <c:v>23</c:v>
                </c:pt>
                <c:pt idx="59">
                  <c:v>18</c:v>
                </c:pt>
                <c:pt idx="60">
                  <c:v>24</c:v>
                </c:pt>
                <c:pt idx="61">
                  <c:v>23</c:v>
                </c:pt>
                <c:pt idx="62">
                  <c:v>18</c:v>
                </c:pt>
                <c:pt idx="63">
                  <c:v>28</c:v>
                </c:pt>
                <c:pt idx="64">
                  <c:v>16</c:v>
                </c:pt>
                <c:pt idx="65">
                  <c:v>28</c:v>
                </c:pt>
                <c:pt idx="66">
                  <c:v>23</c:v>
                </c:pt>
                <c:pt idx="67">
                  <c:v>17</c:v>
                </c:pt>
                <c:pt idx="68">
                  <c:v>19</c:v>
                </c:pt>
                <c:pt idx="69">
                  <c:v>15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17</c:v>
                </c:pt>
                <c:pt idx="74">
                  <c:v>16</c:v>
                </c:pt>
                <c:pt idx="75">
                  <c:v>16</c:v>
                </c:pt>
                <c:pt idx="76">
                  <c:v>17</c:v>
                </c:pt>
                <c:pt idx="77">
                  <c:v>17</c:v>
                </c:pt>
                <c:pt idx="78">
                  <c:v>18</c:v>
                </c:pt>
                <c:pt idx="79">
                  <c:v>18</c:v>
                </c:pt>
                <c:pt idx="80">
                  <c:v>22</c:v>
                </c:pt>
                <c:pt idx="81">
                  <c:v>20</c:v>
                </c:pt>
                <c:pt idx="82">
                  <c:v>27</c:v>
                </c:pt>
                <c:pt idx="83">
                  <c:v>30</c:v>
                </c:pt>
                <c:pt idx="84">
                  <c:v>31</c:v>
                </c:pt>
                <c:pt idx="85">
                  <c:v>21</c:v>
                </c:pt>
                <c:pt idx="86">
                  <c:v>26</c:v>
                </c:pt>
                <c:pt idx="87">
                  <c:v>22</c:v>
                </c:pt>
                <c:pt idx="88">
                  <c:v>27</c:v>
                </c:pt>
                <c:pt idx="89">
                  <c:v>17</c:v>
                </c:pt>
                <c:pt idx="90">
                  <c:v>22</c:v>
                </c:pt>
                <c:pt idx="91">
                  <c:v>26</c:v>
                </c:pt>
                <c:pt idx="92">
                  <c:v>25</c:v>
                </c:pt>
                <c:pt idx="93">
                  <c:v>16</c:v>
                </c:pt>
                <c:pt idx="94">
                  <c:v>19</c:v>
                </c:pt>
                <c:pt idx="95">
                  <c:v>17</c:v>
                </c:pt>
                <c:pt idx="96">
                  <c:v>25</c:v>
                </c:pt>
                <c:pt idx="97">
                  <c:v>26</c:v>
                </c:pt>
                <c:pt idx="98">
                  <c:v>16</c:v>
                </c:pt>
                <c:pt idx="99">
                  <c:v>17</c:v>
                </c:pt>
                <c:pt idx="100">
                  <c:v>15</c:v>
                </c:pt>
                <c:pt idx="101">
                  <c:v>16</c:v>
                </c:pt>
                <c:pt idx="102">
                  <c:v>19</c:v>
                </c:pt>
                <c:pt idx="103">
                  <c:v>32</c:v>
                </c:pt>
                <c:pt idx="104">
                  <c:v>31</c:v>
                </c:pt>
                <c:pt idx="105">
                  <c:v>27</c:v>
                </c:pt>
                <c:pt idx="106">
                  <c:v>23</c:v>
                </c:pt>
                <c:pt idx="107">
                  <c:v>17</c:v>
                </c:pt>
                <c:pt idx="108">
                  <c:v>30</c:v>
                </c:pt>
                <c:pt idx="109">
                  <c:v>22</c:v>
                </c:pt>
                <c:pt idx="110">
                  <c:v>28</c:v>
                </c:pt>
                <c:pt idx="111">
                  <c:v>49</c:v>
                </c:pt>
                <c:pt idx="112">
                  <c:v>29</c:v>
                </c:pt>
                <c:pt idx="113">
                  <c:v>47</c:v>
                </c:pt>
                <c:pt idx="114">
                  <c:v>20</c:v>
                </c:pt>
                <c:pt idx="115">
                  <c:v>17</c:v>
                </c:pt>
                <c:pt idx="116">
                  <c:v>35</c:v>
                </c:pt>
                <c:pt idx="117">
                  <c:v>17</c:v>
                </c:pt>
                <c:pt idx="118">
                  <c:v>14</c:v>
                </c:pt>
                <c:pt idx="119">
                  <c:v>17</c:v>
                </c:pt>
                <c:pt idx="120">
                  <c:v>24</c:v>
                </c:pt>
                <c:pt idx="121">
                  <c:v>26</c:v>
                </c:pt>
                <c:pt idx="122">
                  <c:v>20</c:v>
                </c:pt>
                <c:pt idx="123">
                  <c:v>34</c:v>
                </c:pt>
                <c:pt idx="124">
                  <c:v>14</c:v>
                </c:pt>
                <c:pt idx="125">
                  <c:v>24</c:v>
                </c:pt>
                <c:pt idx="126">
                  <c:v>38</c:v>
                </c:pt>
                <c:pt idx="127">
                  <c:v>35</c:v>
                </c:pt>
                <c:pt idx="128">
                  <c:v>36</c:v>
                </c:pt>
                <c:pt idx="129">
                  <c:v>31</c:v>
                </c:pt>
                <c:pt idx="130">
                  <c:v>33</c:v>
                </c:pt>
                <c:pt idx="131">
                  <c:v>28</c:v>
                </c:pt>
                <c:pt idx="132">
                  <c:v>31</c:v>
                </c:pt>
                <c:pt idx="133">
                  <c:v>43</c:v>
                </c:pt>
                <c:pt idx="134">
                  <c:v>29</c:v>
                </c:pt>
                <c:pt idx="135">
                  <c:v>33</c:v>
                </c:pt>
                <c:pt idx="136">
                  <c:v>22</c:v>
                </c:pt>
              </c:numCache>
            </c:numRef>
          </c:xVal>
          <c:yVal>
            <c:numRef>
              <c:f>'7. Lithology 50 Geotec'!$X$3:$X$139</c:f>
              <c:numCache>
                <c:formatCode>0.00</c:formatCode>
                <c:ptCount val="137"/>
                <c:pt idx="0">
                  <c:v>180</c:v>
                </c:pt>
                <c:pt idx="1">
                  <c:v>78</c:v>
                </c:pt>
                <c:pt idx="2">
                  <c:v>87.5</c:v>
                </c:pt>
                <c:pt idx="3">
                  <c:v>15.333333333333334</c:v>
                </c:pt>
                <c:pt idx="4">
                  <c:v>96.666666666666671</c:v>
                </c:pt>
                <c:pt idx="5">
                  <c:v>20.76923076923077</c:v>
                </c:pt>
                <c:pt idx="6">
                  <c:v>29</c:v>
                </c:pt>
                <c:pt idx="7">
                  <c:v>32</c:v>
                </c:pt>
                <c:pt idx="8">
                  <c:v>24</c:v>
                </c:pt>
                <c:pt idx="9">
                  <c:v>15</c:v>
                </c:pt>
                <c:pt idx="10">
                  <c:v>38</c:v>
                </c:pt>
                <c:pt idx="11">
                  <c:v>20</c:v>
                </c:pt>
                <c:pt idx="12">
                  <c:v>24</c:v>
                </c:pt>
                <c:pt idx="13">
                  <c:v>56.666666666666664</c:v>
                </c:pt>
                <c:pt idx="14">
                  <c:v>70</c:v>
                </c:pt>
                <c:pt idx="15">
                  <c:v>76.666666666666671</c:v>
                </c:pt>
                <c:pt idx="16">
                  <c:v>26</c:v>
                </c:pt>
                <c:pt idx="17">
                  <c:v>40</c:v>
                </c:pt>
                <c:pt idx="18">
                  <c:v>50</c:v>
                </c:pt>
                <c:pt idx="19">
                  <c:v>60</c:v>
                </c:pt>
                <c:pt idx="20">
                  <c:v>135</c:v>
                </c:pt>
                <c:pt idx="21">
                  <c:v>60</c:v>
                </c:pt>
                <c:pt idx="22">
                  <c:v>43.333333333333336</c:v>
                </c:pt>
                <c:pt idx="23">
                  <c:v>102.5</c:v>
                </c:pt>
                <c:pt idx="24">
                  <c:v>215</c:v>
                </c:pt>
                <c:pt idx="25">
                  <c:v>70</c:v>
                </c:pt>
                <c:pt idx="26">
                  <c:v>73.333333333333329</c:v>
                </c:pt>
                <c:pt idx="27">
                  <c:v>100</c:v>
                </c:pt>
                <c:pt idx="28">
                  <c:v>70</c:v>
                </c:pt>
                <c:pt idx="29">
                  <c:v>53.333333333333336</c:v>
                </c:pt>
                <c:pt idx="30">
                  <c:v>32</c:v>
                </c:pt>
                <c:pt idx="31">
                  <c:v>35</c:v>
                </c:pt>
                <c:pt idx="32">
                  <c:v>28</c:v>
                </c:pt>
                <c:pt idx="33">
                  <c:v>36.666666666666664</c:v>
                </c:pt>
                <c:pt idx="34">
                  <c:v>22</c:v>
                </c:pt>
                <c:pt idx="35">
                  <c:v>10</c:v>
                </c:pt>
                <c:pt idx="36">
                  <c:v>10</c:v>
                </c:pt>
                <c:pt idx="37">
                  <c:v>36</c:v>
                </c:pt>
                <c:pt idx="38">
                  <c:v>51.666666666666664</c:v>
                </c:pt>
                <c:pt idx="39">
                  <c:v>60</c:v>
                </c:pt>
                <c:pt idx="40">
                  <c:v>36.666666666666664</c:v>
                </c:pt>
                <c:pt idx="41">
                  <c:v>46</c:v>
                </c:pt>
                <c:pt idx="42">
                  <c:v>34</c:v>
                </c:pt>
                <c:pt idx="43">
                  <c:v>30</c:v>
                </c:pt>
                <c:pt idx="44">
                  <c:v>19</c:v>
                </c:pt>
                <c:pt idx="45">
                  <c:v>24</c:v>
                </c:pt>
                <c:pt idx="46">
                  <c:v>19</c:v>
                </c:pt>
                <c:pt idx="48">
                  <c:v>20</c:v>
                </c:pt>
                <c:pt idx="49">
                  <c:v>23</c:v>
                </c:pt>
                <c:pt idx="50">
                  <c:v>25</c:v>
                </c:pt>
                <c:pt idx="51">
                  <c:v>65</c:v>
                </c:pt>
                <c:pt idx="52">
                  <c:v>62.5</c:v>
                </c:pt>
                <c:pt idx="53">
                  <c:v>83.333333333333329</c:v>
                </c:pt>
                <c:pt idx="54">
                  <c:v>56</c:v>
                </c:pt>
                <c:pt idx="55">
                  <c:v>38</c:v>
                </c:pt>
                <c:pt idx="56">
                  <c:v>46</c:v>
                </c:pt>
                <c:pt idx="57">
                  <c:v>70</c:v>
                </c:pt>
                <c:pt idx="58">
                  <c:v>53.333333333333336</c:v>
                </c:pt>
                <c:pt idx="59">
                  <c:v>36</c:v>
                </c:pt>
                <c:pt idx="60">
                  <c:v>63.333333333333336</c:v>
                </c:pt>
                <c:pt idx="61">
                  <c:v>63.333333333333336</c:v>
                </c:pt>
                <c:pt idx="62">
                  <c:v>37.5</c:v>
                </c:pt>
                <c:pt idx="63">
                  <c:v>90</c:v>
                </c:pt>
                <c:pt idx="64">
                  <c:v>46.666666666666664</c:v>
                </c:pt>
                <c:pt idx="65">
                  <c:v>95</c:v>
                </c:pt>
                <c:pt idx="66">
                  <c:v>56.666666666666664</c:v>
                </c:pt>
                <c:pt idx="67">
                  <c:v>30</c:v>
                </c:pt>
                <c:pt idx="68">
                  <c:v>52.5</c:v>
                </c:pt>
                <c:pt idx="69">
                  <c:v>53.333333333333336</c:v>
                </c:pt>
                <c:pt idx="70">
                  <c:v>56.666666666666664</c:v>
                </c:pt>
                <c:pt idx="71">
                  <c:v>30</c:v>
                </c:pt>
                <c:pt idx="72">
                  <c:v>37</c:v>
                </c:pt>
                <c:pt idx="73">
                  <c:v>24</c:v>
                </c:pt>
                <c:pt idx="74">
                  <c:v>27</c:v>
                </c:pt>
                <c:pt idx="75">
                  <c:v>22</c:v>
                </c:pt>
                <c:pt idx="76">
                  <c:v>26</c:v>
                </c:pt>
                <c:pt idx="77">
                  <c:v>58</c:v>
                </c:pt>
                <c:pt idx="78">
                  <c:v>20</c:v>
                </c:pt>
                <c:pt idx="79">
                  <c:v>16</c:v>
                </c:pt>
                <c:pt idx="80" formatCode="General">
                  <c:v>50</c:v>
                </c:pt>
                <c:pt idx="81" formatCode="General">
                  <c:v>58.000000000000014</c:v>
                </c:pt>
                <c:pt idx="82" formatCode="General">
                  <c:v>80</c:v>
                </c:pt>
                <c:pt idx="83" formatCode="General">
                  <c:v>92.5</c:v>
                </c:pt>
                <c:pt idx="84" formatCode="General">
                  <c:v>112.5</c:v>
                </c:pt>
                <c:pt idx="85" formatCode="General">
                  <c:v>63.333333333333336</c:v>
                </c:pt>
                <c:pt idx="86" formatCode="General">
                  <c:v>80</c:v>
                </c:pt>
                <c:pt idx="87" formatCode="General">
                  <c:v>50</c:v>
                </c:pt>
                <c:pt idx="88" formatCode="General">
                  <c:v>90</c:v>
                </c:pt>
                <c:pt idx="89" formatCode="General">
                  <c:v>52.5</c:v>
                </c:pt>
                <c:pt idx="90" formatCode="General">
                  <c:v>73.333333333333329</c:v>
                </c:pt>
                <c:pt idx="91" formatCode="General">
                  <c:v>77.5</c:v>
                </c:pt>
                <c:pt idx="92" formatCode="General">
                  <c:v>86.666666666666671</c:v>
                </c:pt>
                <c:pt idx="93" formatCode="General">
                  <c:v>54</c:v>
                </c:pt>
                <c:pt idx="94" formatCode="General">
                  <c:v>82.5</c:v>
                </c:pt>
                <c:pt idx="95" formatCode="General">
                  <c:v>56</c:v>
                </c:pt>
                <c:pt idx="96" formatCode="General">
                  <c:v>83.333333333333329</c:v>
                </c:pt>
                <c:pt idx="97" formatCode="General">
                  <c:v>85</c:v>
                </c:pt>
                <c:pt idx="98" formatCode="General">
                  <c:v>58.571428571428569</c:v>
                </c:pt>
                <c:pt idx="99" formatCode="General">
                  <c:v>65.714285714285708</c:v>
                </c:pt>
                <c:pt idx="100" formatCode="General">
                  <c:v>51.428571428571431</c:v>
                </c:pt>
                <c:pt idx="101" formatCode="General">
                  <c:v>42.857142857142854</c:v>
                </c:pt>
                <c:pt idx="102" formatCode="General">
                  <c:v>82.5</c:v>
                </c:pt>
                <c:pt idx="103" formatCode="General">
                  <c:v>115</c:v>
                </c:pt>
                <c:pt idx="104" formatCode="General">
                  <c:v>90</c:v>
                </c:pt>
                <c:pt idx="105" formatCode="General">
                  <c:v>97.5</c:v>
                </c:pt>
                <c:pt idx="106" formatCode="General">
                  <c:v>60</c:v>
                </c:pt>
                <c:pt idx="107" formatCode="General">
                  <c:v>48.75</c:v>
                </c:pt>
                <c:pt idx="108" formatCode="General">
                  <c:v>95</c:v>
                </c:pt>
                <c:pt idx="109" formatCode="General">
                  <c:v>116.66666666666667</c:v>
                </c:pt>
                <c:pt idx="110" formatCode="General">
                  <c:v>72</c:v>
                </c:pt>
                <c:pt idx="111" formatCode="General">
                  <c:v>153.33333333333334</c:v>
                </c:pt>
                <c:pt idx="112" formatCode="General">
                  <c:v>70</c:v>
                </c:pt>
                <c:pt idx="113" formatCode="General">
                  <c:v>245</c:v>
                </c:pt>
                <c:pt idx="114" formatCode="General">
                  <c:v>25</c:v>
                </c:pt>
                <c:pt idx="115" formatCode="General">
                  <c:v>32</c:v>
                </c:pt>
                <c:pt idx="116" formatCode="General">
                  <c:v>166.66666666666666</c:v>
                </c:pt>
                <c:pt idx="117" formatCode="General">
                  <c:v>92</c:v>
                </c:pt>
                <c:pt idx="118" formatCode="General">
                  <c:v>61.25</c:v>
                </c:pt>
                <c:pt idx="119" formatCode="General">
                  <c:v>103.33333333333333</c:v>
                </c:pt>
                <c:pt idx="120" formatCode="General">
                  <c:v>77.5</c:v>
                </c:pt>
                <c:pt idx="121" formatCode="General">
                  <c:v>130</c:v>
                </c:pt>
                <c:pt idx="122" formatCode="General">
                  <c:v>87.5</c:v>
                </c:pt>
                <c:pt idx="123" formatCode="General">
                  <c:v>205</c:v>
                </c:pt>
                <c:pt idx="124" formatCode="General">
                  <c:v>77.5</c:v>
                </c:pt>
                <c:pt idx="125" formatCode="General">
                  <c:v>110</c:v>
                </c:pt>
                <c:pt idx="126" formatCode="General">
                  <c:v>175</c:v>
                </c:pt>
                <c:pt idx="127" formatCode="General">
                  <c:v>150</c:v>
                </c:pt>
                <c:pt idx="128" formatCode="General">
                  <c:v>120</c:v>
                </c:pt>
                <c:pt idx="129" formatCode="General">
                  <c:v>110</c:v>
                </c:pt>
                <c:pt idx="130" formatCode="General">
                  <c:v>93.333333333333329</c:v>
                </c:pt>
                <c:pt idx="131" formatCode="General">
                  <c:v>100</c:v>
                </c:pt>
                <c:pt idx="132" formatCode="General">
                  <c:v>86.666666666666671</c:v>
                </c:pt>
                <c:pt idx="133" formatCode="General">
                  <c:v>180</c:v>
                </c:pt>
                <c:pt idx="134" formatCode="General">
                  <c:v>123.33333333333333</c:v>
                </c:pt>
                <c:pt idx="135" formatCode="General">
                  <c:v>97.5</c:v>
                </c:pt>
                <c:pt idx="136" formatCode="General">
                  <c:v>63.333333333333336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1-439C-B6B8-D39A80317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/>
      </c:scatterChart>
      <c:valAx>
        <c:axId val="119313249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 b="1"/>
                  <a:t>RMR 76</a:t>
                </a:r>
              </a:p>
            </c:rich>
          </c:tx>
          <c:layout>
            <c:manualLayout>
              <c:xMode val="edge"/>
              <c:yMode val="edge"/>
              <c:x val="0.45911417747722189"/>
              <c:y val="2.6540946362306611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  <c:majorUnit val="10"/>
      </c:valAx>
      <c:valAx>
        <c:axId val="1193133936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3600" b="1"/>
                  <a:t>Spacing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5271860038647775"/>
          <c:y val="0.19122742307580656"/>
          <c:w val="0.1730528679058653"/>
          <c:h val="0.16374440966583506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1"/>
          <c:order val="2"/>
          <c:tx>
            <c:v>Lithology 10</c:v>
          </c:tx>
          <c:spPr>
            <a:ln w="19050">
              <a:noFill/>
            </a:ln>
          </c:spPr>
          <c:marker>
            <c:symbol val="diamond"/>
            <c:size val="12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C48-4C05-86B5-5552785531F0}"/>
            </c:ext>
          </c:extLst>
        </c:ser>
        <c:ser>
          <c:idx val="2"/>
          <c:order val="3"/>
          <c:tx>
            <c:v>Lithology 50</c:v>
          </c:tx>
          <c:spPr>
            <a:ln w="19050">
              <a:noFill/>
            </a:ln>
          </c:spPr>
          <c:marker>
            <c:symbol val="triangle"/>
            <c:size val="6"/>
            <c:spPr>
              <a:solidFill>
                <a:srgbClr val="FF99CC"/>
              </a:solidFill>
              <a:ln>
                <a:solidFill>
                  <a:srgbClr val="FF99CC"/>
                </a:solidFill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48-4C05-86B5-5552785531F0}"/>
            </c:ext>
          </c:extLst>
        </c:ser>
        <c:ser>
          <c:idx val="3"/>
          <c:order val="4"/>
          <c:tx>
            <c:v>Blasting Model</c:v>
          </c:tx>
          <c:spPr>
            <a:ln w="19050">
              <a:noFill/>
            </a:ln>
          </c:spPr>
          <c:xVal>
            <c:numRef>
              <c:f>'2. Logging Brejo Seco'!$BQ$3:$BQ$755</c:f>
              <c:numCache>
                <c:formatCode>0</c:formatCode>
                <c:ptCount val="75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48</c:v>
                </c:pt>
                <c:pt idx="7">
                  <c:v>64</c:v>
                </c:pt>
                <c:pt idx="8">
                  <c:v>22</c:v>
                </c:pt>
                <c:pt idx="9">
                  <c:v>43</c:v>
                </c:pt>
                <c:pt idx="10">
                  <c:v>30</c:v>
                </c:pt>
                <c:pt idx="11">
                  <c:v>33</c:v>
                </c:pt>
                <c:pt idx="12">
                  <c:v>20</c:v>
                </c:pt>
                <c:pt idx="13">
                  <c:v>31</c:v>
                </c:pt>
                <c:pt idx="14">
                  <c:v>37</c:v>
                </c:pt>
                <c:pt idx="15">
                  <c:v>47</c:v>
                </c:pt>
                <c:pt idx="16">
                  <c:v>52</c:v>
                </c:pt>
                <c:pt idx="17">
                  <c:v>32</c:v>
                </c:pt>
                <c:pt idx="18">
                  <c:v>42</c:v>
                </c:pt>
                <c:pt idx="19">
                  <c:v>49</c:v>
                </c:pt>
                <c:pt idx="20">
                  <c:v>31</c:v>
                </c:pt>
                <c:pt idx="21">
                  <c:v>23</c:v>
                </c:pt>
                <c:pt idx="22">
                  <c:v>34</c:v>
                </c:pt>
                <c:pt idx="23">
                  <c:v>44</c:v>
                </c:pt>
                <c:pt idx="24">
                  <c:v>43</c:v>
                </c:pt>
                <c:pt idx="25">
                  <c:v>37</c:v>
                </c:pt>
                <c:pt idx="26">
                  <c:v>27</c:v>
                </c:pt>
                <c:pt idx="27">
                  <c:v>31</c:v>
                </c:pt>
                <c:pt idx="28">
                  <c:v>41</c:v>
                </c:pt>
                <c:pt idx="29">
                  <c:v>42</c:v>
                </c:pt>
                <c:pt idx="30">
                  <c:v>30</c:v>
                </c:pt>
                <c:pt idx="31">
                  <c:v>41</c:v>
                </c:pt>
                <c:pt idx="32">
                  <c:v>35</c:v>
                </c:pt>
                <c:pt idx="33">
                  <c:v>23</c:v>
                </c:pt>
                <c:pt idx="34">
                  <c:v>22</c:v>
                </c:pt>
                <c:pt idx="35">
                  <c:v>21</c:v>
                </c:pt>
                <c:pt idx="36">
                  <c:v>22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34</c:v>
                </c:pt>
                <c:pt idx="41">
                  <c:v>27</c:v>
                </c:pt>
                <c:pt idx="42">
                  <c:v>28</c:v>
                </c:pt>
                <c:pt idx="43">
                  <c:v>47</c:v>
                </c:pt>
                <c:pt idx="44">
                  <c:v>52</c:v>
                </c:pt>
                <c:pt idx="45">
                  <c:v>74</c:v>
                </c:pt>
                <c:pt idx="46">
                  <c:v>57</c:v>
                </c:pt>
                <c:pt idx="47">
                  <c:v>72</c:v>
                </c:pt>
                <c:pt idx="48">
                  <c:v>47</c:v>
                </c:pt>
                <c:pt idx="49">
                  <c:v>45</c:v>
                </c:pt>
                <c:pt idx="50">
                  <c:v>46</c:v>
                </c:pt>
                <c:pt idx="51">
                  <c:v>65</c:v>
                </c:pt>
                <c:pt idx="52">
                  <c:v>66</c:v>
                </c:pt>
                <c:pt idx="53">
                  <c:v>58</c:v>
                </c:pt>
                <c:pt idx="54">
                  <c:v>65</c:v>
                </c:pt>
                <c:pt idx="55">
                  <c:v>66</c:v>
                </c:pt>
                <c:pt idx="56">
                  <c:v>64</c:v>
                </c:pt>
                <c:pt idx="57">
                  <c:v>55</c:v>
                </c:pt>
                <c:pt idx="58">
                  <c:v>48</c:v>
                </c:pt>
                <c:pt idx="59">
                  <c:v>51</c:v>
                </c:pt>
                <c:pt idx="60">
                  <c:v>73</c:v>
                </c:pt>
                <c:pt idx="61">
                  <c:v>58</c:v>
                </c:pt>
                <c:pt idx="62">
                  <c:v>50</c:v>
                </c:pt>
                <c:pt idx="63">
                  <c:v>33</c:v>
                </c:pt>
                <c:pt idx="64">
                  <c:v>50</c:v>
                </c:pt>
                <c:pt idx="65">
                  <c:v>46</c:v>
                </c:pt>
                <c:pt idx="66">
                  <c:v>33</c:v>
                </c:pt>
                <c:pt idx="67">
                  <c:v>44</c:v>
                </c:pt>
                <c:pt idx="68">
                  <c:v>46</c:v>
                </c:pt>
                <c:pt idx="69">
                  <c:v>42</c:v>
                </c:pt>
                <c:pt idx="70">
                  <c:v>19</c:v>
                </c:pt>
                <c:pt idx="71">
                  <c:v>43</c:v>
                </c:pt>
                <c:pt idx="72">
                  <c:v>50</c:v>
                </c:pt>
                <c:pt idx="73">
                  <c:v>35</c:v>
                </c:pt>
                <c:pt idx="74">
                  <c:v>44</c:v>
                </c:pt>
                <c:pt idx="75">
                  <c:v>44</c:v>
                </c:pt>
                <c:pt idx="76">
                  <c:v>35</c:v>
                </c:pt>
                <c:pt idx="77">
                  <c:v>41</c:v>
                </c:pt>
                <c:pt idx="78">
                  <c:v>29</c:v>
                </c:pt>
                <c:pt idx="79">
                  <c:v>29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32</c:v>
                </c:pt>
                <c:pt idx="85">
                  <c:v>27</c:v>
                </c:pt>
                <c:pt idx="86">
                  <c:v>47</c:v>
                </c:pt>
                <c:pt idx="87">
                  <c:v>33</c:v>
                </c:pt>
                <c:pt idx="88">
                  <c:v>32</c:v>
                </c:pt>
                <c:pt idx="89">
                  <c:v>25</c:v>
                </c:pt>
                <c:pt idx="90">
                  <c:v>31</c:v>
                </c:pt>
                <c:pt idx="91">
                  <c:v>25</c:v>
                </c:pt>
                <c:pt idx="92">
                  <c:v>38</c:v>
                </c:pt>
                <c:pt idx="93">
                  <c:v>63</c:v>
                </c:pt>
                <c:pt idx="94">
                  <c:v>34</c:v>
                </c:pt>
                <c:pt idx="95">
                  <c:v>26</c:v>
                </c:pt>
                <c:pt idx="96">
                  <c:v>26</c:v>
                </c:pt>
                <c:pt idx="97">
                  <c:v>45</c:v>
                </c:pt>
                <c:pt idx="98">
                  <c:v>36</c:v>
                </c:pt>
                <c:pt idx="99">
                  <c:v>36</c:v>
                </c:pt>
                <c:pt idx="100">
                  <c:v>35</c:v>
                </c:pt>
                <c:pt idx="101">
                  <c:v>31</c:v>
                </c:pt>
                <c:pt idx="102">
                  <c:v>23</c:v>
                </c:pt>
                <c:pt idx="103">
                  <c:v>29</c:v>
                </c:pt>
                <c:pt idx="104">
                  <c:v>18</c:v>
                </c:pt>
                <c:pt idx="105">
                  <c:v>18</c:v>
                </c:pt>
                <c:pt idx="106">
                  <c:v>57</c:v>
                </c:pt>
                <c:pt idx="107">
                  <c:v>48</c:v>
                </c:pt>
                <c:pt idx="108">
                  <c:v>53</c:v>
                </c:pt>
                <c:pt idx="109">
                  <c:v>41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32</c:v>
                </c:pt>
                <c:pt idx="122">
                  <c:v>22</c:v>
                </c:pt>
                <c:pt idx="123">
                  <c:v>22</c:v>
                </c:pt>
                <c:pt idx="124">
                  <c:v>24</c:v>
                </c:pt>
                <c:pt idx="125">
                  <c:v>32</c:v>
                </c:pt>
                <c:pt idx="126">
                  <c:v>23</c:v>
                </c:pt>
                <c:pt idx="127">
                  <c:v>19</c:v>
                </c:pt>
                <c:pt idx="128">
                  <c:v>29</c:v>
                </c:pt>
                <c:pt idx="129">
                  <c:v>23</c:v>
                </c:pt>
                <c:pt idx="130">
                  <c:v>36</c:v>
                </c:pt>
                <c:pt idx="131">
                  <c:v>47</c:v>
                </c:pt>
                <c:pt idx="132">
                  <c:v>28</c:v>
                </c:pt>
                <c:pt idx="133">
                  <c:v>28</c:v>
                </c:pt>
                <c:pt idx="134">
                  <c:v>39</c:v>
                </c:pt>
                <c:pt idx="135">
                  <c:v>54</c:v>
                </c:pt>
                <c:pt idx="136">
                  <c:v>35</c:v>
                </c:pt>
                <c:pt idx="137">
                  <c:v>24</c:v>
                </c:pt>
                <c:pt idx="138">
                  <c:v>30</c:v>
                </c:pt>
                <c:pt idx="139">
                  <c:v>24</c:v>
                </c:pt>
                <c:pt idx="140">
                  <c:v>24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19</c:v>
                </c:pt>
                <c:pt idx="147">
                  <c:v>17</c:v>
                </c:pt>
                <c:pt idx="148">
                  <c:v>17</c:v>
                </c:pt>
                <c:pt idx="149">
                  <c:v>16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17</c:v>
                </c:pt>
                <c:pt idx="161">
                  <c:v>17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17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23</c:v>
                </c:pt>
                <c:pt idx="180">
                  <c:v>24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27</c:v>
                </c:pt>
                <c:pt idx="186">
                  <c:v>17</c:v>
                </c:pt>
                <c:pt idx="187">
                  <c:v>19</c:v>
                </c:pt>
                <c:pt idx="188">
                  <c:v>19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30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28</c:v>
                </c:pt>
                <c:pt idx="206">
                  <c:v>28</c:v>
                </c:pt>
                <c:pt idx="207">
                  <c:v>24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23</c:v>
                </c:pt>
                <c:pt idx="212">
                  <c:v>21</c:v>
                </c:pt>
                <c:pt idx="213">
                  <c:v>34</c:v>
                </c:pt>
                <c:pt idx="214">
                  <c:v>24</c:v>
                </c:pt>
                <c:pt idx="215">
                  <c:v>21</c:v>
                </c:pt>
                <c:pt idx="216">
                  <c:v>30</c:v>
                </c:pt>
                <c:pt idx="217">
                  <c:v>22</c:v>
                </c:pt>
                <c:pt idx="218">
                  <c:v>30</c:v>
                </c:pt>
                <c:pt idx="219">
                  <c:v>30</c:v>
                </c:pt>
                <c:pt idx="220">
                  <c:v>33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24</c:v>
                </c:pt>
                <c:pt idx="227">
                  <c:v>23</c:v>
                </c:pt>
                <c:pt idx="228">
                  <c:v>23</c:v>
                </c:pt>
                <c:pt idx="229">
                  <c:v>30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23</c:v>
                </c:pt>
                <c:pt idx="239">
                  <c:v>24</c:v>
                </c:pt>
                <c:pt idx="240">
                  <c:v>29</c:v>
                </c:pt>
                <c:pt idx="241">
                  <c:v>19</c:v>
                </c:pt>
                <c:pt idx="242">
                  <c:v>19</c:v>
                </c:pt>
                <c:pt idx="243">
                  <c:v>22</c:v>
                </c:pt>
                <c:pt idx="244">
                  <c:v>24</c:v>
                </c:pt>
                <c:pt idx="245">
                  <c:v>27</c:v>
                </c:pt>
                <c:pt idx="246">
                  <c:v>26</c:v>
                </c:pt>
                <c:pt idx="247">
                  <c:v>35</c:v>
                </c:pt>
                <c:pt idx="248">
                  <c:v>18</c:v>
                </c:pt>
                <c:pt idx="249">
                  <c:v>17</c:v>
                </c:pt>
                <c:pt idx="250">
                  <c:v>17</c:v>
                </c:pt>
                <c:pt idx="251">
                  <c:v>22</c:v>
                </c:pt>
                <c:pt idx="252">
                  <c:v>17</c:v>
                </c:pt>
                <c:pt idx="253">
                  <c:v>15</c:v>
                </c:pt>
                <c:pt idx="254">
                  <c:v>17</c:v>
                </c:pt>
                <c:pt idx="255">
                  <c:v>15</c:v>
                </c:pt>
                <c:pt idx="256">
                  <c:v>32</c:v>
                </c:pt>
                <c:pt idx="257">
                  <c:v>29</c:v>
                </c:pt>
                <c:pt idx="258">
                  <c:v>26</c:v>
                </c:pt>
                <c:pt idx="259">
                  <c:v>28</c:v>
                </c:pt>
                <c:pt idx="260">
                  <c:v>27</c:v>
                </c:pt>
                <c:pt idx="261">
                  <c:v>23</c:v>
                </c:pt>
                <c:pt idx="262">
                  <c:v>22</c:v>
                </c:pt>
                <c:pt idx="263">
                  <c:v>35</c:v>
                </c:pt>
                <c:pt idx="264">
                  <c:v>21</c:v>
                </c:pt>
                <c:pt idx="265">
                  <c:v>36</c:v>
                </c:pt>
                <c:pt idx="266">
                  <c:v>20</c:v>
                </c:pt>
                <c:pt idx="267">
                  <c:v>29</c:v>
                </c:pt>
                <c:pt idx="268">
                  <c:v>29</c:v>
                </c:pt>
                <c:pt idx="269">
                  <c:v>20</c:v>
                </c:pt>
                <c:pt idx="270">
                  <c:v>23</c:v>
                </c:pt>
                <c:pt idx="271">
                  <c:v>32</c:v>
                </c:pt>
                <c:pt idx="272">
                  <c:v>36</c:v>
                </c:pt>
                <c:pt idx="273">
                  <c:v>20</c:v>
                </c:pt>
                <c:pt idx="274">
                  <c:v>44</c:v>
                </c:pt>
                <c:pt idx="275">
                  <c:v>44</c:v>
                </c:pt>
                <c:pt idx="276">
                  <c:v>59</c:v>
                </c:pt>
                <c:pt idx="277">
                  <c:v>48</c:v>
                </c:pt>
                <c:pt idx="278">
                  <c:v>46</c:v>
                </c:pt>
                <c:pt idx="279">
                  <c:v>46</c:v>
                </c:pt>
                <c:pt idx="280">
                  <c:v>47</c:v>
                </c:pt>
                <c:pt idx="281">
                  <c:v>49</c:v>
                </c:pt>
                <c:pt idx="282">
                  <c:v>56</c:v>
                </c:pt>
                <c:pt idx="283">
                  <c:v>52</c:v>
                </c:pt>
                <c:pt idx="284">
                  <c:v>56</c:v>
                </c:pt>
                <c:pt idx="285">
                  <c:v>61</c:v>
                </c:pt>
                <c:pt idx="286">
                  <c:v>56</c:v>
                </c:pt>
                <c:pt idx="287">
                  <c:v>48</c:v>
                </c:pt>
                <c:pt idx="288">
                  <c:v>33</c:v>
                </c:pt>
                <c:pt idx="289">
                  <c:v>38</c:v>
                </c:pt>
                <c:pt idx="290">
                  <c:v>40</c:v>
                </c:pt>
                <c:pt idx="291">
                  <c:v>28</c:v>
                </c:pt>
                <c:pt idx="292">
                  <c:v>29</c:v>
                </c:pt>
                <c:pt idx="293">
                  <c:v>27</c:v>
                </c:pt>
                <c:pt idx="294">
                  <c:v>32</c:v>
                </c:pt>
                <c:pt idx="295">
                  <c:v>37</c:v>
                </c:pt>
                <c:pt idx="296">
                  <c:v>56</c:v>
                </c:pt>
                <c:pt idx="297">
                  <c:v>42</c:v>
                </c:pt>
                <c:pt idx="298">
                  <c:v>22</c:v>
                </c:pt>
                <c:pt idx="299">
                  <c:v>38</c:v>
                </c:pt>
                <c:pt idx="300">
                  <c:v>27</c:v>
                </c:pt>
                <c:pt idx="301">
                  <c:v>21</c:v>
                </c:pt>
                <c:pt idx="302">
                  <c:v>21</c:v>
                </c:pt>
                <c:pt idx="303">
                  <c:v>44</c:v>
                </c:pt>
                <c:pt idx="304">
                  <c:v>26</c:v>
                </c:pt>
                <c:pt idx="305">
                  <c:v>25</c:v>
                </c:pt>
                <c:pt idx="306">
                  <c:v>47</c:v>
                </c:pt>
                <c:pt idx="307">
                  <c:v>43</c:v>
                </c:pt>
                <c:pt idx="308">
                  <c:v>43</c:v>
                </c:pt>
                <c:pt idx="309">
                  <c:v>51</c:v>
                </c:pt>
                <c:pt idx="310">
                  <c:v>39</c:v>
                </c:pt>
                <c:pt idx="311">
                  <c:v>31</c:v>
                </c:pt>
                <c:pt idx="312">
                  <c:v>52</c:v>
                </c:pt>
                <c:pt idx="313">
                  <c:v>48</c:v>
                </c:pt>
                <c:pt idx="314">
                  <c:v>42</c:v>
                </c:pt>
                <c:pt idx="315">
                  <c:v>24</c:v>
                </c:pt>
                <c:pt idx="316">
                  <c:v>23</c:v>
                </c:pt>
                <c:pt idx="317">
                  <c:v>18</c:v>
                </c:pt>
                <c:pt idx="318">
                  <c:v>18</c:v>
                </c:pt>
                <c:pt idx="319">
                  <c:v>19</c:v>
                </c:pt>
                <c:pt idx="320">
                  <c:v>21</c:v>
                </c:pt>
                <c:pt idx="321">
                  <c:v>21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23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23</c:v>
                </c:pt>
                <c:pt idx="349">
                  <c:v>23</c:v>
                </c:pt>
                <c:pt idx="350" formatCode="0.0">
                  <c:v>15</c:v>
                </c:pt>
                <c:pt idx="351" formatCode="0.0">
                  <c:v>15</c:v>
                </c:pt>
                <c:pt idx="352" formatCode="0.0">
                  <c:v>15</c:v>
                </c:pt>
                <c:pt idx="353" formatCode="0.0">
                  <c:v>33</c:v>
                </c:pt>
                <c:pt idx="354" formatCode="0.0">
                  <c:v>41</c:v>
                </c:pt>
                <c:pt idx="356" formatCode="0.0">
                  <c:v>30</c:v>
                </c:pt>
                <c:pt idx="357" formatCode="0.0">
                  <c:v>13</c:v>
                </c:pt>
                <c:pt idx="358" formatCode="0.0">
                  <c:v>17</c:v>
                </c:pt>
                <c:pt idx="359" formatCode="0.0">
                  <c:v>18</c:v>
                </c:pt>
                <c:pt idx="360" formatCode="0.0">
                  <c:v>17</c:v>
                </c:pt>
                <c:pt idx="361" formatCode="0.0">
                  <c:v>20</c:v>
                </c:pt>
                <c:pt idx="362" formatCode="0.0">
                  <c:v>19</c:v>
                </c:pt>
                <c:pt idx="363" formatCode="0.0">
                  <c:v>21</c:v>
                </c:pt>
                <c:pt idx="364" formatCode="0.0">
                  <c:v>17</c:v>
                </c:pt>
                <c:pt idx="365" formatCode="0.0">
                  <c:v>17</c:v>
                </c:pt>
                <c:pt idx="366" formatCode="0.0">
                  <c:v>17</c:v>
                </c:pt>
                <c:pt idx="367" formatCode="0.0">
                  <c:v>26</c:v>
                </c:pt>
                <c:pt idx="368" formatCode="0.0">
                  <c:v>23</c:v>
                </c:pt>
                <c:pt idx="369" formatCode="0.0">
                  <c:v>19</c:v>
                </c:pt>
                <c:pt idx="370" formatCode="0.0">
                  <c:v>24</c:v>
                </c:pt>
                <c:pt idx="371" formatCode="0.0">
                  <c:v>24</c:v>
                </c:pt>
                <c:pt idx="372" formatCode="0.0">
                  <c:v>19</c:v>
                </c:pt>
                <c:pt idx="373" formatCode="0.0">
                  <c:v>28</c:v>
                </c:pt>
                <c:pt idx="374" formatCode="0.0">
                  <c:v>18</c:v>
                </c:pt>
                <c:pt idx="375" formatCode="0.0">
                  <c:v>30</c:v>
                </c:pt>
                <c:pt idx="376" formatCode="0.0">
                  <c:v>23</c:v>
                </c:pt>
                <c:pt idx="377" formatCode="0.0">
                  <c:v>18</c:v>
                </c:pt>
                <c:pt idx="378" formatCode="0.0">
                  <c:v>21</c:v>
                </c:pt>
                <c:pt idx="379" formatCode="0.0">
                  <c:v>17</c:v>
                </c:pt>
                <c:pt idx="380" formatCode="0.0">
                  <c:v>18</c:v>
                </c:pt>
                <c:pt idx="381" formatCode="0.0">
                  <c:v>18</c:v>
                </c:pt>
                <c:pt idx="382" formatCode="0.0">
                  <c:v>16</c:v>
                </c:pt>
                <c:pt idx="383" formatCode="0.0">
                  <c:v>16</c:v>
                </c:pt>
                <c:pt idx="384" formatCode="0.0">
                  <c:v>16</c:v>
                </c:pt>
                <c:pt idx="385" formatCode="0.0">
                  <c:v>16</c:v>
                </c:pt>
                <c:pt idx="386" formatCode="0.0">
                  <c:v>17</c:v>
                </c:pt>
                <c:pt idx="387" formatCode="0.0">
                  <c:v>17</c:v>
                </c:pt>
                <c:pt idx="388" formatCode="0.0">
                  <c:v>17</c:v>
                </c:pt>
                <c:pt idx="389" formatCode="0.0">
                  <c:v>18</c:v>
                </c:pt>
                <c:pt idx="390" formatCode="0.0">
                  <c:v>19</c:v>
                </c:pt>
                <c:pt idx="391" formatCode="0.0">
                  <c:v>25</c:v>
                </c:pt>
                <c:pt idx="392" formatCode="0.0">
                  <c:v>18</c:v>
                </c:pt>
                <c:pt idx="393" formatCode="0.0">
                  <c:v>29</c:v>
                </c:pt>
                <c:pt idx="394" formatCode="0.0">
                  <c:v>24</c:v>
                </c:pt>
                <c:pt idx="395" formatCode="0.0">
                  <c:v>21</c:v>
                </c:pt>
                <c:pt idx="396" formatCode="0.0">
                  <c:v>23</c:v>
                </c:pt>
                <c:pt idx="397" formatCode="0.0">
                  <c:v>30</c:v>
                </c:pt>
                <c:pt idx="398" formatCode="0.0">
                  <c:v>28</c:v>
                </c:pt>
                <c:pt idx="399" formatCode="0.0">
                  <c:v>25</c:v>
                </c:pt>
                <c:pt idx="400" formatCode="0.0">
                  <c:v>28</c:v>
                </c:pt>
                <c:pt idx="401" formatCode="0.0">
                  <c:v>28</c:v>
                </c:pt>
                <c:pt idx="402" formatCode="0.0">
                  <c:v>27</c:v>
                </c:pt>
                <c:pt idx="403" formatCode="0.0">
                  <c:v>30</c:v>
                </c:pt>
                <c:pt idx="404" formatCode="0.0">
                  <c:v>27</c:v>
                </c:pt>
                <c:pt idx="405" formatCode="0.0">
                  <c:v>27</c:v>
                </c:pt>
                <c:pt idx="406" formatCode="0.0">
                  <c:v>29</c:v>
                </c:pt>
                <c:pt idx="407" formatCode="0.0">
                  <c:v>26</c:v>
                </c:pt>
                <c:pt idx="408" formatCode="0.0">
                  <c:v>26</c:v>
                </c:pt>
                <c:pt idx="409" formatCode="0.0">
                  <c:v>26</c:v>
                </c:pt>
                <c:pt idx="410" formatCode="0.0">
                  <c:v>26</c:v>
                </c:pt>
                <c:pt idx="411" formatCode="0.0">
                  <c:v>19</c:v>
                </c:pt>
                <c:pt idx="412" formatCode="0.0">
                  <c:v>20</c:v>
                </c:pt>
                <c:pt idx="413" formatCode="0.0">
                  <c:v>17</c:v>
                </c:pt>
                <c:pt idx="414" formatCode="0.0">
                  <c:v>24</c:v>
                </c:pt>
                <c:pt idx="415" formatCode="0.0">
                  <c:v>14</c:v>
                </c:pt>
                <c:pt idx="416" formatCode="0.0">
                  <c:v>20</c:v>
                </c:pt>
                <c:pt idx="417" formatCode="0.0">
                  <c:v>27</c:v>
                </c:pt>
                <c:pt idx="418" formatCode="0.0">
                  <c:v>24</c:v>
                </c:pt>
                <c:pt idx="419" formatCode="0.0">
                  <c:v>30</c:v>
                </c:pt>
                <c:pt idx="420" formatCode="0.0">
                  <c:v>36</c:v>
                </c:pt>
                <c:pt idx="421" formatCode="0.0">
                  <c:v>30</c:v>
                </c:pt>
                <c:pt idx="422" formatCode="0.0">
                  <c:v>21</c:v>
                </c:pt>
                <c:pt idx="423" formatCode="0.0">
                  <c:v>23</c:v>
                </c:pt>
                <c:pt idx="424" formatCode="0.0">
                  <c:v>28</c:v>
                </c:pt>
                <c:pt idx="425" formatCode="0.0">
                  <c:v>26</c:v>
                </c:pt>
                <c:pt idx="426" formatCode="0.0">
                  <c:v>24</c:v>
                </c:pt>
                <c:pt idx="427" formatCode="0.0">
                  <c:v>33</c:v>
                </c:pt>
                <c:pt idx="428" formatCode="0.0">
                  <c:v>27</c:v>
                </c:pt>
                <c:pt idx="429" formatCode="0.0">
                  <c:v>23</c:v>
                </c:pt>
                <c:pt idx="430" formatCode="0.0">
                  <c:v>30</c:v>
                </c:pt>
                <c:pt idx="431" formatCode="0.0">
                  <c:v>32</c:v>
                </c:pt>
                <c:pt idx="432" formatCode="0.0">
                  <c:v>32</c:v>
                </c:pt>
                <c:pt idx="433" formatCode="0.0">
                  <c:v>24</c:v>
                </c:pt>
                <c:pt idx="434" formatCode="0.0">
                  <c:v>29</c:v>
                </c:pt>
                <c:pt idx="435" formatCode="0.0">
                  <c:v>24</c:v>
                </c:pt>
                <c:pt idx="436" formatCode="0.0">
                  <c:v>29</c:v>
                </c:pt>
                <c:pt idx="437" formatCode="0.0">
                  <c:v>23</c:v>
                </c:pt>
                <c:pt idx="438" formatCode="0.0">
                  <c:v>26</c:v>
                </c:pt>
                <c:pt idx="439" formatCode="0.0">
                  <c:v>29</c:v>
                </c:pt>
                <c:pt idx="440" formatCode="0.0">
                  <c:v>30</c:v>
                </c:pt>
                <c:pt idx="441" formatCode="0.0">
                  <c:v>20</c:v>
                </c:pt>
                <c:pt idx="442" formatCode="0.0">
                  <c:v>22</c:v>
                </c:pt>
                <c:pt idx="443" formatCode="0.0">
                  <c:v>20</c:v>
                </c:pt>
                <c:pt idx="444" formatCode="0.0">
                  <c:v>28</c:v>
                </c:pt>
                <c:pt idx="445" formatCode="0.0">
                  <c:v>29</c:v>
                </c:pt>
                <c:pt idx="446" formatCode="0.0">
                  <c:v>17</c:v>
                </c:pt>
                <c:pt idx="447" formatCode="0.0">
                  <c:v>17</c:v>
                </c:pt>
                <c:pt idx="448" formatCode="0.0">
                  <c:v>17</c:v>
                </c:pt>
                <c:pt idx="449" formatCode="0.0">
                  <c:v>17</c:v>
                </c:pt>
                <c:pt idx="450" formatCode="0.0">
                  <c:v>23</c:v>
                </c:pt>
                <c:pt idx="451" formatCode="0.0">
                  <c:v>34</c:v>
                </c:pt>
                <c:pt idx="452" formatCode="0.0">
                  <c:v>35</c:v>
                </c:pt>
                <c:pt idx="453" formatCode="0.0">
                  <c:v>31</c:v>
                </c:pt>
                <c:pt idx="454" formatCode="0.0">
                  <c:v>25</c:v>
                </c:pt>
                <c:pt idx="455" formatCode="0.0">
                  <c:v>19</c:v>
                </c:pt>
                <c:pt idx="456" formatCode="0.0">
                  <c:v>34</c:v>
                </c:pt>
                <c:pt idx="458" formatCode="0.0">
                  <c:v>22</c:v>
                </c:pt>
                <c:pt idx="459" formatCode="0.0">
                  <c:v>33</c:v>
                </c:pt>
                <c:pt idx="460" formatCode="0.0">
                  <c:v>26</c:v>
                </c:pt>
                <c:pt idx="461" formatCode="0.0">
                  <c:v>30</c:v>
                </c:pt>
                <c:pt idx="462" formatCode="0.0">
                  <c:v>27</c:v>
                </c:pt>
                <c:pt idx="463" formatCode="0.0">
                  <c:v>20</c:v>
                </c:pt>
                <c:pt idx="464" formatCode="0.0">
                  <c:v>34</c:v>
                </c:pt>
                <c:pt idx="465" formatCode="0.0">
                  <c:v>32</c:v>
                </c:pt>
                <c:pt idx="466" formatCode="0.0">
                  <c:v>35</c:v>
                </c:pt>
                <c:pt idx="467" formatCode="0.0">
                  <c:v>21</c:v>
                </c:pt>
                <c:pt idx="468" formatCode="0.0">
                  <c:v>23</c:v>
                </c:pt>
                <c:pt idx="469" formatCode="0.0">
                  <c:v>24</c:v>
                </c:pt>
                <c:pt idx="470" formatCode="0.0">
                  <c:v>#N/A</c:v>
                </c:pt>
                <c:pt idx="471" formatCode="0.0">
                  <c:v>0</c:v>
                </c:pt>
                <c:pt idx="472" formatCode="0.0">
                  <c:v>0</c:v>
                </c:pt>
                <c:pt idx="473" formatCode="0.0">
                  <c:v>0</c:v>
                </c:pt>
                <c:pt idx="474" formatCode="0.0">
                  <c:v>0</c:v>
                </c:pt>
                <c:pt idx="475" formatCode="0.0">
                  <c:v>0</c:v>
                </c:pt>
                <c:pt idx="476" formatCode="0.0">
                  <c:v>0</c:v>
                </c:pt>
                <c:pt idx="477" formatCode="0.0">
                  <c:v>0</c:v>
                </c:pt>
                <c:pt idx="478" formatCode="0.0">
                  <c:v>0</c:v>
                </c:pt>
                <c:pt idx="479" formatCode="0.0">
                  <c:v>0</c:v>
                </c:pt>
                <c:pt idx="480" formatCode="0.0">
                  <c:v>0</c:v>
                </c:pt>
                <c:pt idx="481" formatCode="0.0">
                  <c:v>0</c:v>
                </c:pt>
                <c:pt idx="482" formatCode="0.0">
                  <c:v>0</c:v>
                </c:pt>
                <c:pt idx="483" formatCode="0.0">
                  <c:v>0</c:v>
                </c:pt>
                <c:pt idx="484" formatCode="0.0">
                  <c:v>0</c:v>
                </c:pt>
                <c:pt idx="485" formatCode="0.0">
                  <c:v>#N/A</c:v>
                </c:pt>
                <c:pt idx="486" formatCode="0.0">
                  <c:v>#N/A</c:v>
                </c:pt>
                <c:pt idx="487" formatCode="0.0">
                  <c:v>0</c:v>
                </c:pt>
                <c:pt idx="488" formatCode="0.0">
                  <c:v>0</c:v>
                </c:pt>
                <c:pt idx="489" formatCode="0.0">
                  <c:v>0</c:v>
                </c:pt>
                <c:pt idx="490" formatCode="0.0">
                  <c:v>0</c:v>
                </c:pt>
                <c:pt idx="491" formatCode="0.0">
                  <c:v>#N/A</c:v>
                </c:pt>
                <c:pt idx="492" formatCode="0.0">
                  <c:v>#N/A</c:v>
                </c:pt>
                <c:pt idx="493" formatCode="0.0">
                  <c:v>#N/A</c:v>
                </c:pt>
                <c:pt idx="494" formatCode="0.0">
                  <c:v>#N/A</c:v>
                </c:pt>
                <c:pt idx="495" formatCode="0.0">
                  <c:v>#N/A</c:v>
                </c:pt>
                <c:pt idx="496" formatCode="0.0">
                  <c:v>#N/A</c:v>
                </c:pt>
                <c:pt idx="497" formatCode="0.0">
                  <c:v>#N/A</c:v>
                </c:pt>
                <c:pt idx="498" formatCode="0.0">
                  <c:v>#N/A</c:v>
                </c:pt>
                <c:pt idx="499" formatCode="0.0">
                  <c:v>#N/A</c:v>
                </c:pt>
                <c:pt idx="500" formatCode="0.0">
                  <c:v>#N/A</c:v>
                </c:pt>
                <c:pt idx="501" formatCode="0.0">
                  <c:v>#N/A</c:v>
                </c:pt>
                <c:pt idx="502" formatCode="0.0">
                  <c:v>#N/A</c:v>
                </c:pt>
                <c:pt idx="503" formatCode="0.0">
                  <c:v>#N/A</c:v>
                </c:pt>
                <c:pt idx="504" formatCode="0.0">
                  <c:v>#N/A</c:v>
                </c:pt>
                <c:pt idx="505">
                  <c:v>30</c:v>
                </c:pt>
                <c:pt idx="506">
                  <c:v>19</c:v>
                </c:pt>
                <c:pt idx="507">
                  <c:v>21</c:v>
                </c:pt>
                <c:pt idx="508">
                  <c:v>19</c:v>
                </c:pt>
                <c:pt idx="509">
                  <c:v>26</c:v>
                </c:pt>
                <c:pt idx="510">
                  <c:v>31</c:v>
                </c:pt>
                <c:pt idx="511">
                  <c:v>26</c:v>
                </c:pt>
                <c:pt idx="512">
                  <c:v>32</c:v>
                </c:pt>
                <c:pt idx="513">
                  <c:v>51</c:v>
                </c:pt>
                <c:pt idx="514">
                  <c:v>24</c:v>
                </c:pt>
                <c:pt idx="515">
                  <c:v>20</c:v>
                </c:pt>
                <c:pt idx="516">
                  <c:v>19</c:v>
                </c:pt>
                <c:pt idx="517">
                  <c:v>30</c:v>
                </c:pt>
                <c:pt idx="518">
                  <c:v>43</c:v>
                </c:pt>
                <c:pt idx="519">
                  <c:v>42</c:v>
                </c:pt>
                <c:pt idx="520">
                  <c:v>51</c:v>
                </c:pt>
                <c:pt idx="521">
                  <c:v>42</c:v>
                </c:pt>
                <c:pt idx="522">
                  <c:v>28</c:v>
                </c:pt>
                <c:pt idx="523">
                  <c:v>26</c:v>
                </c:pt>
                <c:pt idx="524">
                  <c:v>27</c:v>
                </c:pt>
                <c:pt idx="525">
                  <c:v>27</c:v>
                </c:pt>
                <c:pt idx="526">
                  <c:v>21</c:v>
                </c:pt>
                <c:pt idx="527">
                  <c:v>30</c:v>
                </c:pt>
                <c:pt idx="528">
                  <c:v>27</c:v>
                </c:pt>
                <c:pt idx="529">
                  <c:v>24</c:v>
                </c:pt>
                <c:pt idx="530">
                  <c:v>30</c:v>
                </c:pt>
                <c:pt idx="531">
                  <c:v>56</c:v>
                </c:pt>
                <c:pt idx="532">
                  <c:v>38</c:v>
                </c:pt>
                <c:pt idx="533">
                  <c:v>50</c:v>
                </c:pt>
                <c:pt idx="534">
                  <c:v>27</c:v>
                </c:pt>
                <c:pt idx="535">
                  <c:v>18</c:v>
                </c:pt>
                <c:pt idx="536">
                  <c:v>37</c:v>
                </c:pt>
                <c:pt idx="537">
                  <c:v>17</c:v>
                </c:pt>
                <c:pt idx="538">
                  <c:v>14</c:v>
                </c:pt>
                <c:pt idx="539">
                  <c:v>21</c:v>
                </c:pt>
                <c:pt idx="540">
                  <c:v>29</c:v>
                </c:pt>
                <c:pt idx="541">
                  <c:v>28</c:v>
                </c:pt>
                <c:pt idx="542">
                  <c:v>25</c:v>
                </c:pt>
                <c:pt idx="543">
                  <c:v>33</c:v>
                </c:pt>
                <c:pt idx="544">
                  <c:v>19</c:v>
                </c:pt>
                <c:pt idx="545">
                  <c:v>27</c:v>
                </c:pt>
                <c:pt idx="546">
                  <c:v>38</c:v>
                </c:pt>
                <c:pt idx="547">
                  <c:v>34</c:v>
                </c:pt>
                <c:pt idx="548">
                  <c:v>39</c:v>
                </c:pt>
                <c:pt idx="549">
                  <c:v>34</c:v>
                </c:pt>
                <c:pt idx="550">
                  <c:v>37</c:v>
                </c:pt>
                <c:pt idx="551">
                  <c:v>32</c:v>
                </c:pt>
                <c:pt idx="552">
                  <c:v>35</c:v>
                </c:pt>
                <c:pt idx="553">
                  <c:v>39</c:v>
                </c:pt>
                <c:pt idx="554">
                  <c:v>30</c:v>
                </c:pt>
                <c:pt idx="555">
                  <c:v>35</c:v>
                </c:pt>
                <c:pt idx="556">
                  <c:v>24</c:v>
                </c:pt>
                <c:pt idx="557">
                  <c:v>22</c:v>
                </c:pt>
                <c:pt idx="558">
                  <c:v>27</c:v>
                </c:pt>
                <c:pt idx="559">
                  <c:v>29</c:v>
                </c:pt>
                <c:pt idx="560">
                  <c:v>17</c:v>
                </c:pt>
                <c:pt idx="561">
                  <c:v>20</c:v>
                </c:pt>
                <c:pt idx="562">
                  <c:v>20</c:v>
                </c:pt>
                <c:pt idx="563">
                  <c:v>27</c:v>
                </c:pt>
                <c:pt idx="564">
                  <c:v>28</c:v>
                </c:pt>
                <c:pt idx="565">
                  <c:v>30</c:v>
                </c:pt>
                <c:pt idx="566">
                  <c:v>31</c:v>
                </c:pt>
                <c:pt idx="567">
                  <c:v>41</c:v>
                </c:pt>
                <c:pt idx="568">
                  <c:v>41</c:v>
                </c:pt>
                <c:pt idx="569">
                  <c:v>39</c:v>
                </c:pt>
                <c:pt idx="570">
                  <c:v>48</c:v>
                </c:pt>
                <c:pt idx="571">
                  <c:v>34</c:v>
                </c:pt>
                <c:pt idx="572">
                  <c:v>22</c:v>
                </c:pt>
                <c:pt idx="573">
                  <c:v>23</c:v>
                </c:pt>
                <c:pt idx="574">
                  <c:v>20</c:v>
                </c:pt>
                <c:pt idx="575">
                  <c:v>24</c:v>
                </c:pt>
                <c:pt idx="576">
                  <c:v>27</c:v>
                </c:pt>
                <c:pt idx="577">
                  <c:v>15</c:v>
                </c:pt>
                <c:pt idx="578">
                  <c:v>15</c:v>
                </c:pt>
                <c:pt idx="579">
                  <c:v>30</c:v>
                </c:pt>
                <c:pt idx="580">
                  <c:v>42</c:v>
                </c:pt>
                <c:pt idx="581">
                  <c:v>20</c:v>
                </c:pt>
                <c:pt idx="582">
                  <c:v>36</c:v>
                </c:pt>
                <c:pt idx="583">
                  <c:v>25</c:v>
                </c:pt>
                <c:pt idx="584">
                  <c:v>27</c:v>
                </c:pt>
                <c:pt idx="585" formatCode="0.0">
                  <c:v>18</c:v>
                </c:pt>
                <c:pt idx="586" formatCode="0.0">
                  <c:v>17</c:v>
                </c:pt>
                <c:pt idx="587" formatCode="0.0">
                  <c:v>17</c:v>
                </c:pt>
                <c:pt idx="588" formatCode="0.0">
                  <c:v>17</c:v>
                </c:pt>
                <c:pt idx="589" formatCode="0.0">
                  <c:v>17</c:v>
                </c:pt>
                <c:pt idx="590" formatCode="0.0">
                  <c:v>17</c:v>
                </c:pt>
                <c:pt idx="591" formatCode="0.0">
                  <c:v>17</c:v>
                </c:pt>
                <c:pt idx="592" formatCode="0.0">
                  <c:v>17</c:v>
                </c:pt>
                <c:pt idx="593" formatCode="0.0">
                  <c:v>17</c:v>
                </c:pt>
                <c:pt idx="594" formatCode="0.0">
                  <c:v>21</c:v>
                </c:pt>
                <c:pt idx="595" formatCode="0.0">
                  <c:v>38</c:v>
                </c:pt>
                <c:pt idx="596" formatCode="0.0">
                  <c:v>40</c:v>
                </c:pt>
                <c:pt idx="597" formatCode="0.0">
                  <c:v>24</c:v>
                </c:pt>
                <c:pt idx="598" formatCode="0.0">
                  <c:v>24</c:v>
                </c:pt>
                <c:pt idx="599" formatCode="0.0">
                  <c:v>23</c:v>
                </c:pt>
                <c:pt idx="600" formatCode="0.0">
                  <c:v>44</c:v>
                </c:pt>
                <c:pt idx="601" formatCode="0.0">
                  <c:v>40</c:v>
                </c:pt>
                <c:pt idx="602" formatCode="0.0">
                  <c:v>39</c:v>
                </c:pt>
                <c:pt idx="603" formatCode="0.0">
                  <c:v>41</c:v>
                </c:pt>
                <c:pt idx="604" formatCode="0.0">
                  <c:v>24</c:v>
                </c:pt>
                <c:pt idx="605" formatCode="0.0">
                  <c:v>45</c:v>
                </c:pt>
                <c:pt idx="606" formatCode="0.0">
                  <c:v>29</c:v>
                </c:pt>
                <c:pt idx="607" formatCode="0.0">
                  <c:v>23</c:v>
                </c:pt>
                <c:pt idx="608" formatCode="0.0">
                  <c:v>23</c:v>
                </c:pt>
                <c:pt idx="609" formatCode="0.0">
                  <c:v>23</c:v>
                </c:pt>
                <c:pt idx="610" formatCode="0.0">
                  <c:v>18</c:v>
                </c:pt>
                <c:pt idx="611" formatCode="0.0">
                  <c:v>18</c:v>
                </c:pt>
                <c:pt idx="612" formatCode="0.0">
                  <c:v>18</c:v>
                </c:pt>
                <c:pt idx="613" formatCode="0.0">
                  <c:v>33</c:v>
                </c:pt>
                <c:pt idx="614" formatCode="0.0">
                  <c:v>46</c:v>
                </c:pt>
                <c:pt idx="615" formatCode="0.0">
                  <c:v>45</c:v>
                </c:pt>
                <c:pt idx="616" formatCode="0.0">
                  <c:v>48</c:v>
                </c:pt>
                <c:pt idx="617" formatCode="0.0">
                  <c:v>40</c:v>
                </c:pt>
                <c:pt idx="618" formatCode="0.0">
                  <c:v>46</c:v>
                </c:pt>
                <c:pt idx="619" formatCode="0.0">
                  <c:v>40</c:v>
                </c:pt>
                <c:pt idx="620" formatCode="0.0">
                  <c:v>31</c:v>
                </c:pt>
                <c:pt idx="621" formatCode="0.0">
                  <c:v>37</c:v>
                </c:pt>
                <c:pt idx="622" formatCode="0.0">
                  <c:v>42</c:v>
                </c:pt>
                <c:pt idx="623" formatCode="0.0">
                  <c:v>50</c:v>
                </c:pt>
                <c:pt idx="624" formatCode="0.0">
                  <c:v>24</c:v>
                </c:pt>
                <c:pt idx="625" formatCode="0.0">
                  <c:v>26</c:v>
                </c:pt>
                <c:pt idx="626" formatCode="0.0">
                  <c:v>44</c:v>
                </c:pt>
                <c:pt idx="627" formatCode="0.0">
                  <c:v>33</c:v>
                </c:pt>
                <c:pt idx="628" formatCode="0.0">
                  <c:v>40</c:v>
                </c:pt>
                <c:pt idx="629" formatCode="0.0">
                  <c:v>45</c:v>
                </c:pt>
                <c:pt idx="630" formatCode="0.0">
                  <c:v>29</c:v>
                </c:pt>
                <c:pt idx="631" formatCode="0.0">
                  <c:v>29</c:v>
                </c:pt>
                <c:pt idx="632">
                  <c:v>43</c:v>
                </c:pt>
                <c:pt idx="633">
                  <c:v>44</c:v>
                </c:pt>
                <c:pt idx="634" formatCode="0.0">
                  <c:v>35</c:v>
                </c:pt>
                <c:pt idx="635" formatCode="0.0">
                  <c:v>20</c:v>
                </c:pt>
                <c:pt idx="636" formatCode="0.0">
                  <c:v>23</c:v>
                </c:pt>
                <c:pt idx="637" formatCode="0.0">
                  <c:v>21</c:v>
                </c:pt>
                <c:pt idx="638" formatCode="0.0">
                  <c:v>30</c:v>
                </c:pt>
                <c:pt idx="639" formatCode="0.0">
                  <c:v>38</c:v>
                </c:pt>
                <c:pt idx="640" formatCode="0.0">
                  <c:v>29</c:v>
                </c:pt>
                <c:pt idx="641" formatCode="0.0">
                  <c:v>36</c:v>
                </c:pt>
                <c:pt idx="642" formatCode="0.0">
                  <c:v>29</c:v>
                </c:pt>
                <c:pt idx="643" formatCode="0.0">
                  <c:v>38</c:v>
                </c:pt>
                <c:pt idx="644" formatCode="0.0">
                  <c:v>45</c:v>
                </c:pt>
                <c:pt idx="645" formatCode="0.0">
                  <c:v>38</c:v>
                </c:pt>
                <c:pt idx="646" formatCode="0.0">
                  <c:v>37</c:v>
                </c:pt>
                <c:pt idx="647" formatCode="0.0">
                  <c:v>28</c:v>
                </c:pt>
                <c:pt idx="648" formatCode="0.0">
                  <c:v>35</c:v>
                </c:pt>
                <c:pt idx="649" formatCode="0.0">
                  <c:v>25</c:v>
                </c:pt>
                <c:pt idx="650" formatCode="0.0">
                  <c:v>42</c:v>
                </c:pt>
                <c:pt idx="651" formatCode="0.0">
                  <c:v>25</c:v>
                </c:pt>
                <c:pt idx="652" formatCode="0.0">
                  <c:v>17</c:v>
                </c:pt>
                <c:pt idx="653">
                  <c:v>46</c:v>
                </c:pt>
                <c:pt idx="654">
                  <c:v>36</c:v>
                </c:pt>
                <c:pt idx="655">
                  <c:v>42</c:v>
                </c:pt>
                <c:pt idx="656" formatCode="0.0">
                  <c:v>50</c:v>
                </c:pt>
                <c:pt idx="657" formatCode="0.0">
                  <c:v>43</c:v>
                </c:pt>
                <c:pt idx="658" formatCode="0.0">
                  <c:v>21</c:v>
                </c:pt>
                <c:pt idx="659" formatCode="0.0">
                  <c:v>21</c:v>
                </c:pt>
                <c:pt idx="660" formatCode="0.0">
                  <c:v>22</c:v>
                </c:pt>
                <c:pt idx="661" formatCode="0.0">
                  <c:v>44</c:v>
                </c:pt>
                <c:pt idx="662" formatCode="0.0">
                  <c:v>26</c:v>
                </c:pt>
                <c:pt idx="663" formatCode="0.0">
                  <c:v>21</c:v>
                </c:pt>
                <c:pt idx="664" formatCode="0.0">
                  <c:v>32</c:v>
                </c:pt>
                <c:pt idx="665" formatCode="0.0">
                  <c:v>27</c:v>
                </c:pt>
                <c:pt idx="666" formatCode="0.0">
                  <c:v>35</c:v>
                </c:pt>
                <c:pt idx="667" formatCode="0.0">
                  <c:v>34</c:v>
                </c:pt>
                <c:pt idx="668" formatCode="0.0">
                  <c:v>17</c:v>
                </c:pt>
                <c:pt idx="669" formatCode="0.0">
                  <c:v>55</c:v>
                </c:pt>
                <c:pt idx="670" formatCode="0.0">
                  <c:v>53</c:v>
                </c:pt>
                <c:pt idx="671" formatCode="0.0">
                  <c:v>58</c:v>
                </c:pt>
                <c:pt idx="672" formatCode="0.0">
                  <c:v>64</c:v>
                </c:pt>
                <c:pt idx="673" formatCode="0.0">
                  <c:v>68</c:v>
                </c:pt>
                <c:pt idx="674" formatCode="0.0">
                  <c:v>17</c:v>
                </c:pt>
                <c:pt idx="675" formatCode="0.0">
                  <c:v>17</c:v>
                </c:pt>
                <c:pt idx="676" formatCode="0.0">
                  <c:v>17</c:v>
                </c:pt>
                <c:pt idx="677" formatCode="0.0">
                  <c:v>17</c:v>
                </c:pt>
                <c:pt idx="678" formatCode="0.0">
                  <c:v>44</c:v>
                </c:pt>
                <c:pt idx="679">
                  <c:v>45</c:v>
                </c:pt>
                <c:pt idx="680">
                  <c:v>42</c:v>
                </c:pt>
                <c:pt idx="681">
                  <c:v>47</c:v>
                </c:pt>
                <c:pt idx="682">
                  <c:v>53</c:v>
                </c:pt>
                <c:pt idx="683">
                  <c:v>55</c:v>
                </c:pt>
                <c:pt idx="684">
                  <c:v>41</c:v>
                </c:pt>
                <c:pt idx="685">
                  <c:v>49</c:v>
                </c:pt>
                <c:pt idx="686">
                  <c:v>42</c:v>
                </c:pt>
                <c:pt idx="687">
                  <c:v>37</c:v>
                </c:pt>
                <c:pt idx="688">
                  <c:v>51</c:v>
                </c:pt>
                <c:pt idx="689">
                  <c:v>49</c:v>
                </c:pt>
                <c:pt idx="690">
                  <c:v>39</c:v>
                </c:pt>
                <c:pt idx="691" formatCode="0.0">
                  <c:v>30</c:v>
                </c:pt>
                <c:pt idx="692" formatCode="0.0">
                  <c:v>25</c:v>
                </c:pt>
                <c:pt idx="693" formatCode="0.0">
                  <c:v>21</c:v>
                </c:pt>
                <c:pt idx="694" formatCode="0.0">
                  <c:v>33</c:v>
                </c:pt>
                <c:pt idx="695" formatCode="0.0">
                  <c:v>29</c:v>
                </c:pt>
                <c:pt idx="696" formatCode="0.0">
                  <c:v>21</c:v>
                </c:pt>
                <c:pt idx="697" formatCode="0.0">
                  <c:v>34</c:v>
                </c:pt>
                <c:pt idx="698" formatCode="0.0">
                  <c:v>20</c:v>
                </c:pt>
                <c:pt idx="699" formatCode="0.0">
                  <c:v>37</c:v>
                </c:pt>
                <c:pt idx="700" formatCode="0.0">
                  <c:v>18</c:v>
                </c:pt>
                <c:pt idx="701" formatCode="0.0">
                  <c:v>18</c:v>
                </c:pt>
                <c:pt idx="702" formatCode="0.0">
                  <c:v>23</c:v>
                </c:pt>
                <c:pt idx="703" formatCode="0.0">
                  <c:v>26</c:v>
                </c:pt>
                <c:pt idx="704" formatCode="0.0">
                  <c:v>35</c:v>
                </c:pt>
                <c:pt idx="705" formatCode="0.0">
                  <c:v>29</c:v>
                </c:pt>
                <c:pt idx="706" formatCode="0.0">
                  <c:v>27</c:v>
                </c:pt>
                <c:pt idx="707" formatCode="0.0">
                  <c:v>28</c:v>
                </c:pt>
                <c:pt idx="708" formatCode="0.0">
                  <c:v>21</c:v>
                </c:pt>
                <c:pt idx="709" formatCode="0.0">
                  <c:v>22</c:v>
                </c:pt>
                <c:pt idx="710" formatCode="0.0">
                  <c:v>35</c:v>
                </c:pt>
                <c:pt idx="711" formatCode="0.0">
                  <c:v>22</c:v>
                </c:pt>
                <c:pt idx="712" formatCode="0.0">
                  <c:v>22</c:v>
                </c:pt>
                <c:pt idx="713" formatCode="0.0">
                  <c:v>22</c:v>
                </c:pt>
                <c:pt idx="714" formatCode="0.0">
                  <c:v>27</c:v>
                </c:pt>
                <c:pt idx="715" formatCode="0.0">
                  <c:v>29</c:v>
                </c:pt>
                <c:pt idx="716" formatCode="0.0">
                  <c:v>22</c:v>
                </c:pt>
                <c:pt idx="717" formatCode="0.0">
                  <c:v>22</c:v>
                </c:pt>
                <c:pt idx="718" formatCode="0.0">
                  <c:v>25</c:v>
                </c:pt>
                <c:pt idx="719" formatCode="0.0">
                  <c:v>23</c:v>
                </c:pt>
                <c:pt idx="720" formatCode="0.0">
                  <c:v>18</c:v>
                </c:pt>
                <c:pt idx="721" formatCode="0.0">
                  <c:v>24</c:v>
                </c:pt>
                <c:pt idx="722" formatCode="0.0">
                  <c:v>32</c:v>
                </c:pt>
                <c:pt idx="723" formatCode="0.0">
                  <c:v>24</c:v>
                </c:pt>
                <c:pt idx="724" formatCode="0.0">
                  <c:v>24</c:v>
                </c:pt>
                <c:pt idx="725" formatCode="0.0">
                  <c:v>24</c:v>
                </c:pt>
                <c:pt idx="726" formatCode="0.0">
                  <c:v>24</c:v>
                </c:pt>
                <c:pt idx="727">
                  <c:v>43</c:v>
                </c:pt>
                <c:pt idx="728">
                  <c:v>46</c:v>
                </c:pt>
                <c:pt idx="729">
                  <c:v>44</c:v>
                </c:pt>
                <c:pt idx="730" formatCode="0.0">
                  <c:v>35</c:v>
                </c:pt>
                <c:pt idx="731" formatCode="0.0">
                  <c:v>34</c:v>
                </c:pt>
                <c:pt idx="732" formatCode="0.0">
                  <c:v>24</c:v>
                </c:pt>
                <c:pt idx="733" formatCode="0.0">
                  <c:v>24</c:v>
                </c:pt>
                <c:pt idx="734" formatCode="0.0">
                  <c:v>24</c:v>
                </c:pt>
                <c:pt idx="735" formatCode="0.0">
                  <c:v>24</c:v>
                </c:pt>
                <c:pt idx="736" formatCode="0.0">
                  <c:v>17</c:v>
                </c:pt>
                <c:pt idx="737" formatCode="0.0">
                  <c:v>28</c:v>
                </c:pt>
                <c:pt idx="738" formatCode="0.0">
                  <c:v>17</c:v>
                </c:pt>
                <c:pt idx="739" formatCode="0.0">
                  <c:v>31</c:v>
                </c:pt>
                <c:pt idx="740" formatCode="0.0">
                  <c:v>25</c:v>
                </c:pt>
                <c:pt idx="741" formatCode="0.0">
                  <c:v>23</c:v>
                </c:pt>
                <c:pt idx="742" formatCode="0.0">
                  <c:v>41</c:v>
                </c:pt>
                <c:pt idx="743" formatCode="0.0">
                  <c:v>41</c:v>
                </c:pt>
                <c:pt idx="744" formatCode="0.0">
                  <c:v>36</c:v>
                </c:pt>
                <c:pt idx="745" formatCode="0.0">
                  <c:v>25</c:v>
                </c:pt>
                <c:pt idx="746" formatCode="0.0">
                  <c:v>30</c:v>
                </c:pt>
                <c:pt idx="747" formatCode="0.0">
                  <c:v>28</c:v>
                </c:pt>
                <c:pt idx="748" formatCode="0.0">
                  <c:v>30</c:v>
                </c:pt>
                <c:pt idx="749" formatCode="0.0">
                  <c:v>25</c:v>
                </c:pt>
                <c:pt idx="750" formatCode="0.0">
                  <c:v>27</c:v>
                </c:pt>
                <c:pt idx="751" formatCode="0.0">
                  <c:v>27</c:v>
                </c:pt>
                <c:pt idx="752" formatCode="0.0">
                  <c:v>23</c:v>
                </c:pt>
              </c:numCache>
            </c:numRef>
          </c:xVal>
          <c:yVal>
            <c:numRef>
              <c:f>'2. Logging Brejo Seco'!$Z$3:$Z$755</c:f>
              <c:numCache>
                <c:formatCode>0.00</c:formatCode>
                <c:ptCount val="7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126.66666666666667</c:v>
                </c:pt>
                <c:pt idx="7">
                  <c:v>420</c:v>
                </c:pt>
                <c:pt idx="8">
                  <c:v>19</c:v>
                </c:pt>
                <c:pt idx="9">
                  <c:v>180</c:v>
                </c:pt>
                <c:pt idx="10">
                  <c:v>78</c:v>
                </c:pt>
                <c:pt idx="11">
                  <c:v>87.5</c:v>
                </c:pt>
                <c:pt idx="12">
                  <c:v>15.333333333333334</c:v>
                </c:pt>
                <c:pt idx="13">
                  <c:v>76.666666666666671</c:v>
                </c:pt>
                <c:pt idx="14">
                  <c:v>86</c:v>
                </c:pt>
                <c:pt idx="15">
                  <c:v>112.5</c:v>
                </c:pt>
                <c:pt idx="16">
                  <c:v>235</c:v>
                </c:pt>
                <c:pt idx="17">
                  <c:v>70</c:v>
                </c:pt>
                <c:pt idx="18">
                  <c:v>102.5</c:v>
                </c:pt>
                <c:pt idx="19">
                  <c:v>107.5</c:v>
                </c:pt>
                <c:pt idx="20">
                  <c:v>96.666666666666671</c:v>
                </c:pt>
                <c:pt idx="21">
                  <c:v>20.76923076923077</c:v>
                </c:pt>
                <c:pt idx="22">
                  <c:v>29</c:v>
                </c:pt>
                <c:pt idx="23">
                  <c:v>32</c:v>
                </c:pt>
                <c:pt idx="24">
                  <c:v>44</c:v>
                </c:pt>
                <c:pt idx="25">
                  <c:v>46</c:v>
                </c:pt>
                <c:pt idx="26">
                  <c:v>73.333333333333329</c:v>
                </c:pt>
                <c:pt idx="27">
                  <c:v>140</c:v>
                </c:pt>
                <c:pt idx="28">
                  <c:v>70</c:v>
                </c:pt>
                <c:pt idx="29">
                  <c:v>92.5</c:v>
                </c:pt>
                <c:pt idx="30">
                  <c:v>48.571428571428569</c:v>
                </c:pt>
                <c:pt idx="31">
                  <c:v>81.666666666666671</c:v>
                </c:pt>
                <c:pt idx="32">
                  <c:v>93.333333333333329</c:v>
                </c:pt>
                <c:pt idx="33">
                  <c:v>55</c:v>
                </c:pt>
                <c:pt idx="34">
                  <c:v>19</c:v>
                </c:pt>
                <c:pt idx="35">
                  <c:v>51.666666666666664</c:v>
                </c:pt>
                <c:pt idx="36">
                  <c:v>13</c:v>
                </c:pt>
                <c:pt idx="37">
                  <c:v>11</c:v>
                </c:pt>
                <c:pt idx="38">
                  <c:v>14</c:v>
                </c:pt>
                <c:pt idx="39">
                  <c:v>23</c:v>
                </c:pt>
                <c:pt idx="40">
                  <c:v>34</c:v>
                </c:pt>
                <c:pt idx="41">
                  <c:v>13</c:v>
                </c:pt>
                <c:pt idx="42">
                  <c:v>51.666666666666664</c:v>
                </c:pt>
                <c:pt idx="43">
                  <c:v>54</c:v>
                </c:pt>
                <c:pt idx="44">
                  <c:v>110</c:v>
                </c:pt>
                <c:pt idx="45">
                  <c:v>500</c:v>
                </c:pt>
                <c:pt idx="46">
                  <c:v>166.66666666666666</c:v>
                </c:pt>
                <c:pt idx="47">
                  <c:v>665</c:v>
                </c:pt>
                <c:pt idx="48">
                  <c:v>87.5</c:v>
                </c:pt>
                <c:pt idx="49">
                  <c:v>47.5</c:v>
                </c:pt>
                <c:pt idx="50">
                  <c:v>103.33333333333333</c:v>
                </c:pt>
                <c:pt idx="51">
                  <c:v>305</c:v>
                </c:pt>
                <c:pt idx="52">
                  <c:v>286.66666666666669</c:v>
                </c:pt>
                <c:pt idx="53">
                  <c:v>164</c:v>
                </c:pt>
                <c:pt idx="54">
                  <c:v>240</c:v>
                </c:pt>
                <c:pt idx="55">
                  <c:v>233.33333333333334</c:v>
                </c:pt>
                <c:pt idx="56">
                  <c:v>236.66666666666666</c:v>
                </c:pt>
                <c:pt idx="57">
                  <c:v>150</c:v>
                </c:pt>
                <c:pt idx="58">
                  <c:v>72</c:v>
                </c:pt>
                <c:pt idx="59">
                  <c:v>105.71428571428571</c:v>
                </c:pt>
                <c:pt idx="60">
                  <c:v>520</c:v>
                </c:pt>
                <c:pt idx="61">
                  <c:v>123.33333333333333</c:v>
                </c:pt>
                <c:pt idx="62">
                  <c:v>73.333333333333329</c:v>
                </c:pt>
                <c:pt idx="63">
                  <c:v>49</c:v>
                </c:pt>
                <c:pt idx="64">
                  <c:v>125</c:v>
                </c:pt>
                <c:pt idx="65">
                  <c:v>146.66666666666666</c:v>
                </c:pt>
                <c:pt idx="66">
                  <c:v>32.666666666666664</c:v>
                </c:pt>
                <c:pt idx="67">
                  <c:v>124</c:v>
                </c:pt>
                <c:pt idx="68">
                  <c:v>98</c:v>
                </c:pt>
                <c:pt idx="69">
                  <c:v>120</c:v>
                </c:pt>
                <c:pt idx="70">
                  <c:v>32.666666666666664</c:v>
                </c:pt>
                <c:pt idx="71">
                  <c:v>150</c:v>
                </c:pt>
                <c:pt idx="72">
                  <c:v>126.66666666666667</c:v>
                </c:pt>
                <c:pt idx="73">
                  <c:v>46</c:v>
                </c:pt>
                <c:pt idx="74">
                  <c:v>126.66666666666667</c:v>
                </c:pt>
                <c:pt idx="75">
                  <c:v>156.66666666666666</c:v>
                </c:pt>
                <c:pt idx="76">
                  <c:v>86</c:v>
                </c:pt>
                <c:pt idx="77">
                  <c:v>125</c:v>
                </c:pt>
                <c:pt idx="78">
                  <c:v>41.666666666666664</c:v>
                </c:pt>
                <c:pt idx="79">
                  <c:v>55</c:v>
                </c:pt>
                <c:pt idx="80">
                  <c:v>43.333333333333336</c:v>
                </c:pt>
                <c:pt idx="81">
                  <c:v>24</c:v>
                </c:pt>
                <c:pt idx="82">
                  <c:v>28</c:v>
                </c:pt>
                <c:pt idx="83">
                  <c:v>33.75</c:v>
                </c:pt>
                <c:pt idx="84">
                  <c:v>74</c:v>
                </c:pt>
                <c:pt idx="85">
                  <c:v>47.142857142857146</c:v>
                </c:pt>
                <c:pt idx="86">
                  <c:v>150</c:v>
                </c:pt>
                <c:pt idx="87">
                  <c:v>65</c:v>
                </c:pt>
                <c:pt idx="88">
                  <c:v>70</c:v>
                </c:pt>
                <c:pt idx="89">
                  <c:v>28.571428571428573</c:v>
                </c:pt>
                <c:pt idx="90">
                  <c:v>71.666666666666671</c:v>
                </c:pt>
                <c:pt idx="91">
                  <c:v>53</c:v>
                </c:pt>
                <c:pt idx="92">
                  <c:v>100</c:v>
                </c:pt>
                <c:pt idx="93">
                  <c:v>485</c:v>
                </c:pt>
                <c:pt idx="94">
                  <c:v>71.428571428571431</c:v>
                </c:pt>
                <c:pt idx="95">
                  <c:v>27</c:v>
                </c:pt>
                <c:pt idx="96">
                  <c:v>25</c:v>
                </c:pt>
                <c:pt idx="97">
                  <c:v>100</c:v>
                </c:pt>
                <c:pt idx="98">
                  <c:v>146.66666666666666</c:v>
                </c:pt>
                <c:pt idx="99">
                  <c:v>100</c:v>
                </c:pt>
                <c:pt idx="100">
                  <c:v>83.333333333333329</c:v>
                </c:pt>
                <c:pt idx="101">
                  <c:v>90</c:v>
                </c:pt>
                <c:pt idx="102">
                  <c:v>60</c:v>
                </c:pt>
                <c:pt idx="103">
                  <c:v>86</c:v>
                </c:pt>
                <c:pt idx="104">
                  <c:v>29</c:v>
                </c:pt>
                <c:pt idx="105">
                  <c:v>16.666666666666668</c:v>
                </c:pt>
                <c:pt idx="106">
                  <c:v>235</c:v>
                </c:pt>
                <c:pt idx="107">
                  <c:v>170</c:v>
                </c:pt>
                <c:pt idx="108">
                  <c:v>170</c:v>
                </c:pt>
                <c:pt idx="109">
                  <c:v>100</c:v>
                </c:pt>
                <c:pt idx="110">
                  <c:v>25</c:v>
                </c:pt>
                <c:pt idx="111">
                  <c:v>37</c:v>
                </c:pt>
                <c:pt idx="112">
                  <c:v>37</c:v>
                </c:pt>
                <c:pt idx="113">
                  <c:v>26</c:v>
                </c:pt>
                <c:pt idx="114">
                  <c:v>26</c:v>
                </c:pt>
                <c:pt idx="115">
                  <c:v>24</c:v>
                </c:pt>
                <c:pt idx="116">
                  <c:v>23</c:v>
                </c:pt>
                <c:pt idx="117">
                  <c:v>22</c:v>
                </c:pt>
                <c:pt idx="118">
                  <c:v>20</c:v>
                </c:pt>
                <c:pt idx="119">
                  <c:v>24</c:v>
                </c:pt>
                <c:pt idx="120">
                  <c:v>15</c:v>
                </c:pt>
                <c:pt idx="121">
                  <c:v>38</c:v>
                </c:pt>
                <c:pt idx="122">
                  <c:v>20</c:v>
                </c:pt>
                <c:pt idx="123">
                  <c:v>24</c:v>
                </c:pt>
                <c:pt idx="124">
                  <c:v>56.666666666666664</c:v>
                </c:pt>
                <c:pt idx="125">
                  <c:v>70</c:v>
                </c:pt>
                <c:pt idx="126">
                  <c:v>76.666666666666671</c:v>
                </c:pt>
                <c:pt idx="127">
                  <c:v>26</c:v>
                </c:pt>
                <c:pt idx="128">
                  <c:v>40</c:v>
                </c:pt>
                <c:pt idx="129">
                  <c:v>50</c:v>
                </c:pt>
                <c:pt idx="130">
                  <c:v>60</c:v>
                </c:pt>
                <c:pt idx="131">
                  <c:v>135</c:v>
                </c:pt>
                <c:pt idx="132">
                  <c:v>60</c:v>
                </c:pt>
                <c:pt idx="133">
                  <c:v>43.333333333333336</c:v>
                </c:pt>
                <c:pt idx="134">
                  <c:v>102.5</c:v>
                </c:pt>
                <c:pt idx="135">
                  <c:v>215</c:v>
                </c:pt>
                <c:pt idx="136">
                  <c:v>70</c:v>
                </c:pt>
                <c:pt idx="137">
                  <c:v>73.333333333333329</c:v>
                </c:pt>
                <c:pt idx="138">
                  <c:v>100</c:v>
                </c:pt>
                <c:pt idx="139">
                  <c:v>70</c:v>
                </c:pt>
                <c:pt idx="140">
                  <c:v>53.333333333333336</c:v>
                </c:pt>
                <c:pt idx="141">
                  <c:v>32</c:v>
                </c:pt>
                <c:pt idx="142">
                  <c:v>35</c:v>
                </c:pt>
                <c:pt idx="143">
                  <c:v>28</c:v>
                </c:pt>
                <c:pt idx="144">
                  <c:v>36.666666666666664</c:v>
                </c:pt>
                <c:pt idx="145">
                  <c:v>22</c:v>
                </c:pt>
                <c:pt idx="146">
                  <c:v>10</c:v>
                </c:pt>
                <c:pt idx="147">
                  <c:v>10</c:v>
                </c:pt>
                <c:pt idx="148">
                  <c:v>36</c:v>
                </c:pt>
                <c:pt idx="149">
                  <c:v>51.666666666666664</c:v>
                </c:pt>
                <c:pt idx="150">
                  <c:v>60</c:v>
                </c:pt>
                <c:pt idx="151">
                  <c:v>36.666666666666664</c:v>
                </c:pt>
                <c:pt idx="152">
                  <c:v>46</c:v>
                </c:pt>
                <c:pt idx="153">
                  <c:v>34</c:v>
                </c:pt>
                <c:pt idx="154">
                  <c:v>30</c:v>
                </c:pt>
                <c:pt idx="155">
                  <c:v>19</c:v>
                </c:pt>
                <c:pt idx="156">
                  <c:v>24</c:v>
                </c:pt>
                <c:pt idx="157">
                  <c:v>19</c:v>
                </c:pt>
                <c:pt idx="159">
                  <c:v>20</c:v>
                </c:pt>
                <c:pt idx="160">
                  <c:v>23</c:v>
                </c:pt>
                <c:pt idx="161">
                  <c:v>25</c:v>
                </c:pt>
                <c:pt idx="162">
                  <c:v>28</c:v>
                </c:pt>
                <c:pt idx="163">
                  <c:v>24</c:v>
                </c:pt>
                <c:pt idx="164">
                  <c:v>42</c:v>
                </c:pt>
                <c:pt idx="165">
                  <c:v>20</c:v>
                </c:pt>
                <c:pt idx="167">
                  <c:v>13</c:v>
                </c:pt>
                <c:pt idx="168">
                  <c:v>17</c:v>
                </c:pt>
                <c:pt idx="169">
                  <c:v>16</c:v>
                </c:pt>
                <c:pt idx="170">
                  <c:v>14</c:v>
                </c:pt>
                <c:pt idx="171">
                  <c:v>17</c:v>
                </c:pt>
                <c:pt idx="172">
                  <c:v>23</c:v>
                </c:pt>
                <c:pt idx="173">
                  <c:v>20</c:v>
                </c:pt>
                <c:pt idx="174">
                  <c:v>17</c:v>
                </c:pt>
                <c:pt idx="175">
                  <c:v>18</c:v>
                </c:pt>
                <c:pt idx="176">
                  <c:v>19</c:v>
                </c:pt>
                <c:pt idx="177">
                  <c:v>16.363636363636363</c:v>
                </c:pt>
                <c:pt idx="178">
                  <c:v>10.909090909090908</c:v>
                </c:pt>
                <c:pt idx="180">
                  <c:v>24</c:v>
                </c:pt>
                <c:pt idx="182">
                  <c:v>24</c:v>
                </c:pt>
                <c:pt idx="183">
                  <c:v>11</c:v>
                </c:pt>
                <c:pt idx="184">
                  <c:v>12</c:v>
                </c:pt>
                <c:pt idx="185">
                  <c:v>86.666666666666671</c:v>
                </c:pt>
                <c:pt idx="186">
                  <c:v>26</c:v>
                </c:pt>
                <c:pt idx="187">
                  <c:v>10.666666666666666</c:v>
                </c:pt>
                <c:pt idx="188">
                  <c:v>12</c:v>
                </c:pt>
                <c:pt idx="189">
                  <c:v>45.714285714285715</c:v>
                </c:pt>
                <c:pt idx="190">
                  <c:v>20</c:v>
                </c:pt>
                <c:pt idx="191">
                  <c:v>32</c:v>
                </c:pt>
                <c:pt idx="192">
                  <c:v>44</c:v>
                </c:pt>
                <c:pt idx="193">
                  <c:v>12</c:v>
                </c:pt>
                <c:pt idx="194">
                  <c:v>15</c:v>
                </c:pt>
                <c:pt idx="195">
                  <c:v>18.571428571428573</c:v>
                </c:pt>
                <c:pt idx="196">
                  <c:v>33.333333333333336</c:v>
                </c:pt>
                <c:pt idx="197">
                  <c:v>21.428571428571427</c:v>
                </c:pt>
                <c:pt idx="198">
                  <c:v>40</c:v>
                </c:pt>
                <c:pt idx="199">
                  <c:v>30</c:v>
                </c:pt>
                <c:pt idx="200">
                  <c:v>34</c:v>
                </c:pt>
                <c:pt idx="201">
                  <c:v>28</c:v>
                </c:pt>
                <c:pt idx="202">
                  <c:v>22</c:v>
                </c:pt>
                <c:pt idx="203">
                  <c:v>20</c:v>
                </c:pt>
                <c:pt idx="204">
                  <c:v>22</c:v>
                </c:pt>
                <c:pt idx="205">
                  <c:v>46.666666666666664</c:v>
                </c:pt>
                <c:pt idx="206">
                  <c:v>63.333333333333336</c:v>
                </c:pt>
                <c:pt idx="207">
                  <c:v>24</c:v>
                </c:pt>
                <c:pt idx="208">
                  <c:v>20</c:v>
                </c:pt>
                <c:pt idx="209">
                  <c:v>32</c:v>
                </c:pt>
                <c:pt idx="210">
                  <c:v>24</c:v>
                </c:pt>
                <c:pt idx="211">
                  <c:v>51.666666666666664</c:v>
                </c:pt>
                <c:pt idx="212">
                  <c:v>33</c:v>
                </c:pt>
                <c:pt idx="213">
                  <c:v>94</c:v>
                </c:pt>
                <c:pt idx="214">
                  <c:v>46.25</c:v>
                </c:pt>
                <c:pt idx="215">
                  <c:v>44</c:v>
                </c:pt>
                <c:pt idx="216">
                  <c:v>43.333333333333336</c:v>
                </c:pt>
                <c:pt idx="217">
                  <c:v>67.5</c:v>
                </c:pt>
                <c:pt idx="218">
                  <c:v>100</c:v>
                </c:pt>
                <c:pt idx="219">
                  <c:v>71.428571428571431</c:v>
                </c:pt>
                <c:pt idx="220">
                  <c:v>84</c:v>
                </c:pt>
                <c:pt idx="221">
                  <c:v>35.714285714285715</c:v>
                </c:pt>
                <c:pt idx="222">
                  <c:v>42</c:v>
                </c:pt>
                <c:pt idx="223">
                  <c:v>36</c:v>
                </c:pt>
                <c:pt idx="224">
                  <c:v>34</c:v>
                </c:pt>
                <c:pt idx="225">
                  <c:v>40</c:v>
                </c:pt>
                <c:pt idx="226">
                  <c:v>66.666666666666671</c:v>
                </c:pt>
                <c:pt idx="227">
                  <c:v>50</c:v>
                </c:pt>
                <c:pt idx="228">
                  <c:v>44</c:v>
                </c:pt>
                <c:pt idx="229">
                  <c:v>37.142857142857146</c:v>
                </c:pt>
                <c:pt idx="230">
                  <c:v>29</c:v>
                </c:pt>
                <c:pt idx="231">
                  <c:v>22</c:v>
                </c:pt>
                <c:pt idx="232">
                  <c:v>26</c:v>
                </c:pt>
                <c:pt idx="233">
                  <c:v>25</c:v>
                </c:pt>
                <c:pt idx="234">
                  <c:v>36</c:v>
                </c:pt>
                <c:pt idx="235">
                  <c:v>42</c:v>
                </c:pt>
                <c:pt idx="236">
                  <c:v>17</c:v>
                </c:pt>
                <c:pt idx="237">
                  <c:v>27</c:v>
                </c:pt>
                <c:pt idx="238">
                  <c:v>52</c:v>
                </c:pt>
                <c:pt idx="239">
                  <c:v>50</c:v>
                </c:pt>
                <c:pt idx="240">
                  <c:v>110</c:v>
                </c:pt>
                <c:pt idx="241">
                  <c:v>47.142857142857146</c:v>
                </c:pt>
                <c:pt idx="242">
                  <c:v>41.428571428571431</c:v>
                </c:pt>
                <c:pt idx="243">
                  <c:v>50</c:v>
                </c:pt>
                <c:pt idx="244">
                  <c:v>51.25</c:v>
                </c:pt>
                <c:pt idx="245">
                  <c:v>86</c:v>
                </c:pt>
                <c:pt idx="246">
                  <c:v>74</c:v>
                </c:pt>
                <c:pt idx="247">
                  <c:v>107.5</c:v>
                </c:pt>
                <c:pt idx="248">
                  <c:v>60</c:v>
                </c:pt>
                <c:pt idx="249">
                  <c:v>34</c:v>
                </c:pt>
                <c:pt idx="250">
                  <c:v>32</c:v>
                </c:pt>
                <c:pt idx="251">
                  <c:v>70</c:v>
                </c:pt>
                <c:pt idx="252">
                  <c:v>41</c:v>
                </c:pt>
                <c:pt idx="253">
                  <c:v>45</c:v>
                </c:pt>
                <c:pt idx="254">
                  <c:v>70</c:v>
                </c:pt>
                <c:pt idx="255">
                  <c:v>58.75</c:v>
                </c:pt>
                <c:pt idx="256">
                  <c:v>122.5</c:v>
                </c:pt>
                <c:pt idx="257">
                  <c:v>64.285714285714292</c:v>
                </c:pt>
                <c:pt idx="258">
                  <c:v>120</c:v>
                </c:pt>
                <c:pt idx="259">
                  <c:v>66.666666666666671</c:v>
                </c:pt>
                <c:pt idx="260">
                  <c:v>83.333333333333329</c:v>
                </c:pt>
                <c:pt idx="261">
                  <c:v>46.25</c:v>
                </c:pt>
                <c:pt idx="262">
                  <c:v>54.285714285714285</c:v>
                </c:pt>
                <c:pt idx="263">
                  <c:v>115</c:v>
                </c:pt>
                <c:pt idx="264">
                  <c:v>61.666666666666664</c:v>
                </c:pt>
                <c:pt idx="265">
                  <c:v>153.33333333333334</c:v>
                </c:pt>
                <c:pt idx="266">
                  <c:v>44.444444444444443</c:v>
                </c:pt>
                <c:pt idx="267">
                  <c:v>60</c:v>
                </c:pt>
                <c:pt idx="268">
                  <c:v>83.333333333333329</c:v>
                </c:pt>
                <c:pt idx="269">
                  <c:v>42.000000000000007</c:v>
                </c:pt>
                <c:pt idx="270">
                  <c:v>83.333333333333329</c:v>
                </c:pt>
                <c:pt idx="271">
                  <c:v>146.66666666666666</c:v>
                </c:pt>
                <c:pt idx="272">
                  <c:v>160</c:v>
                </c:pt>
                <c:pt idx="273">
                  <c:v>50</c:v>
                </c:pt>
                <c:pt idx="274">
                  <c:v>166.66666666666666</c:v>
                </c:pt>
                <c:pt idx="275">
                  <c:v>125</c:v>
                </c:pt>
                <c:pt idx="276">
                  <c:v>250</c:v>
                </c:pt>
                <c:pt idx="277">
                  <c:v>125</c:v>
                </c:pt>
                <c:pt idx="278">
                  <c:v>102.5</c:v>
                </c:pt>
                <c:pt idx="279">
                  <c:v>100</c:v>
                </c:pt>
                <c:pt idx="280">
                  <c:v>163.33333333333334</c:v>
                </c:pt>
                <c:pt idx="281">
                  <c:v>205</c:v>
                </c:pt>
                <c:pt idx="282">
                  <c:v>230</c:v>
                </c:pt>
                <c:pt idx="283">
                  <c:v>156.66666666666666</c:v>
                </c:pt>
                <c:pt idx="284">
                  <c:v>215</c:v>
                </c:pt>
                <c:pt idx="285">
                  <c:v>480</c:v>
                </c:pt>
                <c:pt idx="286">
                  <c:v>235</c:v>
                </c:pt>
                <c:pt idx="287">
                  <c:v>156.66666666666666</c:v>
                </c:pt>
                <c:pt idx="288">
                  <c:v>75</c:v>
                </c:pt>
                <c:pt idx="289">
                  <c:v>106.66666666666667</c:v>
                </c:pt>
                <c:pt idx="290">
                  <c:v>146.66666666666669</c:v>
                </c:pt>
                <c:pt idx="291">
                  <c:v>96</c:v>
                </c:pt>
                <c:pt idx="292">
                  <c:v>71.428571428571431</c:v>
                </c:pt>
                <c:pt idx="293">
                  <c:v>68.333333333333329</c:v>
                </c:pt>
                <c:pt idx="294">
                  <c:v>122.5</c:v>
                </c:pt>
                <c:pt idx="295">
                  <c:v>146.66666666666666</c:v>
                </c:pt>
                <c:pt idx="296">
                  <c:v>500</c:v>
                </c:pt>
                <c:pt idx="297">
                  <c:v>156.66666666666666</c:v>
                </c:pt>
                <c:pt idx="298">
                  <c:v>60</c:v>
                </c:pt>
                <c:pt idx="299">
                  <c:v>133.33333333333334</c:v>
                </c:pt>
                <c:pt idx="300">
                  <c:v>86.000000000000014</c:v>
                </c:pt>
                <c:pt idx="301">
                  <c:v>62.5</c:v>
                </c:pt>
                <c:pt idx="302">
                  <c:v>68.571428571428569</c:v>
                </c:pt>
                <c:pt idx="303">
                  <c:v>140</c:v>
                </c:pt>
                <c:pt idx="304">
                  <c:v>65.714285714285708</c:v>
                </c:pt>
                <c:pt idx="305">
                  <c:v>37</c:v>
                </c:pt>
                <c:pt idx="306">
                  <c:v>153.33333333333334</c:v>
                </c:pt>
                <c:pt idx="307">
                  <c:v>107.5</c:v>
                </c:pt>
                <c:pt idx="308">
                  <c:v>115</c:v>
                </c:pt>
                <c:pt idx="309">
                  <c:v>235</c:v>
                </c:pt>
                <c:pt idx="310">
                  <c:v>76.666666666666671</c:v>
                </c:pt>
                <c:pt idx="311">
                  <c:v>62.5</c:v>
                </c:pt>
                <c:pt idx="312">
                  <c:v>150</c:v>
                </c:pt>
                <c:pt idx="313">
                  <c:v>156.66666666666666</c:v>
                </c:pt>
                <c:pt idx="314">
                  <c:v>110</c:v>
                </c:pt>
                <c:pt idx="315">
                  <c:v>57.5</c:v>
                </c:pt>
                <c:pt idx="316">
                  <c:v>61.428571428571431</c:v>
                </c:pt>
                <c:pt idx="317">
                  <c:v>41.428571428571431</c:v>
                </c:pt>
                <c:pt idx="318">
                  <c:v>55.714285714285715</c:v>
                </c:pt>
                <c:pt idx="319">
                  <c:v>70</c:v>
                </c:pt>
                <c:pt idx="320">
                  <c:v>36</c:v>
                </c:pt>
                <c:pt idx="321">
                  <c:v>50</c:v>
                </c:pt>
                <c:pt idx="322">
                  <c:v>32.857142857142854</c:v>
                </c:pt>
                <c:pt idx="323">
                  <c:v>14</c:v>
                </c:pt>
                <c:pt idx="324">
                  <c:v>20</c:v>
                </c:pt>
                <c:pt idx="325">
                  <c:v>20</c:v>
                </c:pt>
                <c:pt idx="326">
                  <c:v>25.714285714285715</c:v>
                </c:pt>
                <c:pt idx="327">
                  <c:v>28.75</c:v>
                </c:pt>
                <c:pt idx="328">
                  <c:v>14.285714285714286</c:v>
                </c:pt>
                <c:pt idx="329">
                  <c:v>50</c:v>
                </c:pt>
                <c:pt idx="330">
                  <c:v>10</c:v>
                </c:pt>
                <c:pt idx="331">
                  <c:v>12</c:v>
                </c:pt>
                <c:pt idx="332">
                  <c:v>6</c:v>
                </c:pt>
                <c:pt idx="333">
                  <c:v>29</c:v>
                </c:pt>
                <c:pt idx="334">
                  <c:v>22</c:v>
                </c:pt>
                <c:pt idx="335">
                  <c:v>21</c:v>
                </c:pt>
                <c:pt idx="336">
                  <c:v>8</c:v>
                </c:pt>
                <c:pt idx="337">
                  <c:v>5</c:v>
                </c:pt>
                <c:pt idx="338">
                  <c:v>7</c:v>
                </c:pt>
                <c:pt idx="339">
                  <c:v>7</c:v>
                </c:pt>
                <c:pt idx="340">
                  <c:v>50</c:v>
                </c:pt>
                <c:pt idx="341">
                  <c:v>50</c:v>
                </c:pt>
                <c:pt idx="342">
                  <c:v>7</c:v>
                </c:pt>
                <c:pt idx="343">
                  <c:v>50</c:v>
                </c:pt>
                <c:pt idx="344">
                  <c:v>11</c:v>
                </c:pt>
                <c:pt idx="345">
                  <c:v>50</c:v>
                </c:pt>
                <c:pt idx="346">
                  <c:v>10</c:v>
                </c:pt>
                <c:pt idx="347">
                  <c:v>7</c:v>
                </c:pt>
                <c:pt idx="348">
                  <c:v>50</c:v>
                </c:pt>
                <c:pt idx="349">
                  <c:v>50</c:v>
                </c:pt>
                <c:pt idx="350">
                  <c:v>40</c:v>
                </c:pt>
                <c:pt idx="351">
                  <c:v>36</c:v>
                </c:pt>
                <c:pt idx="352">
                  <c:v>27</c:v>
                </c:pt>
                <c:pt idx="353">
                  <c:v>183.33333333333334</c:v>
                </c:pt>
                <c:pt idx="354">
                  <c:v>120</c:v>
                </c:pt>
                <c:pt idx="355">
                  <c:v>82</c:v>
                </c:pt>
                <c:pt idx="356">
                  <c:v>70</c:v>
                </c:pt>
                <c:pt idx="357">
                  <c:v>38</c:v>
                </c:pt>
                <c:pt idx="358">
                  <c:v>42</c:v>
                </c:pt>
                <c:pt idx="359">
                  <c:v>28</c:v>
                </c:pt>
                <c:pt idx="360">
                  <c:v>62.5</c:v>
                </c:pt>
                <c:pt idx="361">
                  <c:v>65</c:v>
                </c:pt>
                <c:pt idx="362">
                  <c:v>62.5</c:v>
                </c:pt>
                <c:pt idx="363">
                  <c:v>83.333333333333329</c:v>
                </c:pt>
                <c:pt idx="364">
                  <c:v>56</c:v>
                </c:pt>
                <c:pt idx="365">
                  <c:v>38</c:v>
                </c:pt>
                <c:pt idx="366">
                  <c:v>46</c:v>
                </c:pt>
                <c:pt idx="367">
                  <c:v>70</c:v>
                </c:pt>
                <c:pt idx="368">
                  <c:v>53.333333333333336</c:v>
                </c:pt>
                <c:pt idx="369">
                  <c:v>36</c:v>
                </c:pt>
                <c:pt idx="370">
                  <c:v>63.333333333333336</c:v>
                </c:pt>
                <c:pt idx="371">
                  <c:v>63.333333333333336</c:v>
                </c:pt>
                <c:pt idx="372">
                  <c:v>37.5</c:v>
                </c:pt>
                <c:pt idx="373">
                  <c:v>90</c:v>
                </c:pt>
                <c:pt idx="374">
                  <c:v>46.666666666666664</c:v>
                </c:pt>
                <c:pt idx="375">
                  <c:v>95</c:v>
                </c:pt>
                <c:pt idx="376">
                  <c:v>56.666666666666664</c:v>
                </c:pt>
                <c:pt idx="377">
                  <c:v>30</c:v>
                </c:pt>
                <c:pt idx="378">
                  <c:v>52.5</c:v>
                </c:pt>
                <c:pt idx="379">
                  <c:v>53.333333333333336</c:v>
                </c:pt>
                <c:pt idx="380">
                  <c:v>56.666666666666664</c:v>
                </c:pt>
                <c:pt idx="381">
                  <c:v>30</c:v>
                </c:pt>
                <c:pt idx="382">
                  <c:v>37</c:v>
                </c:pt>
                <c:pt idx="383">
                  <c:v>24</c:v>
                </c:pt>
                <c:pt idx="384">
                  <c:v>27</c:v>
                </c:pt>
                <c:pt idx="385">
                  <c:v>22</c:v>
                </c:pt>
                <c:pt idx="386">
                  <c:v>26</c:v>
                </c:pt>
                <c:pt idx="387">
                  <c:v>58</c:v>
                </c:pt>
                <c:pt idx="388">
                  <c:v>20</c:v>
                </c:pt>
                <c:pt idx="389">
                  <c:v>16</c:v>
                </c:pt>
                <c:pt idx="390">
                  <c:v>28</c:v>
                </c:pt>
                <c:pt idx="391">
                  <c:v>80</c:v>
                </c:pt>
                <c:pt idx="392">
                  <c:v>50</c:v>
                </c:pt>
                <c:pt idx="393">
                  <c:v>100</c:v>
                </c:pt>
                <c:pt idx="394">
                  <c:v>50</c:v>
                </c:pt>
                <c:pt idx="395">
                  <c:v>100</c:v>
                </c:pt>
                <c:pt idx="396">
                  <c:v>41.666666666666664</c:v>
                </c:pt>
                <c:pt idx="397">
                  <c:v>100</c:v>
                </c:pt>
                <c:pt idx="398">
                  <c:v>100</c:v>
                </c:pt>
                <c:pt idx="399">
                  <c:v>50</c:v>
                </c:pt>
                <c:pt idx="400">
                  <c:v>100</c:v>
                </c:pt>
                <c:pt idx="401">
                  <c:v>100</c:v>
                </c:pt>
                <c:pt idx="402">
                  <c:v>50</c:v>
                </c:pt>
                <c:pt idx="403">
                  <c:v>100</c:v>
                </c:pt>
                <c:pt idx="404">
                  <c:v>50</c:v>
                </c:pt>
                <c:pt idx="405">
                  <c:v>50</c:v>
                </c:pt>
                <c:pt idx="406">
                  <c:v>100</c:v>
                </c:pt>
                <c:pt idx="407">
                  <c:v>50</c:v>
                </c:pt>
                <c:pt idx="408">
                  <c:v>50</c:v>
                </c:pt>
                <c:pt idx="411">
                  <c:v>125</c:v>
                </c:pt>
                <c:pt idx="412">
                  <c:v>125</c:v>
                </c:pt>
                <c:pt idx="413">
                  <c:v>100</c:v>
                </c:pt>
                <c:pt idx="414">
                  <c:v>83.333333333333329</c:v>
                </c:pt>
                <c:pt idx="415">
                  <c:v>50</c:v>
                </c:pt>
                <c:pt idx="416">
                  <c:v>100</c:v>
                </c:pt>
                <c:pt idx="417">
                  <c:v>100</c:v>
                </c:pt>
                <c:pt idx="418">
                  <c:v>50</c:v>
                </c:pt>
                <c:pt idx="419">
                  <c:v>166.66666666666666</c:v>
                </c:pt>
                <c:pt idx="420">
                  <c:v>125</c:v>
                </c:pt>
                <c:pt idx="421">
                  <c:v>125</c:v>
                </c:pt>
                <c:pt idx="422">
                  <c:v>100</c:v>
                </c:pt>
                <c:pt idx="423">
                  <c:v>125</c:v>
                </c:pt>
                <c:pt idx="424">
                  <c:v>125</c:v>
                </c:pt>
                <c:pt idx="425">
                  <c:v>100</c:v>
                </c:pt>
                <c:pt idx="426">
                  <c:v>166.66666666666666</c:v>
                </c:pt>
                <c:pt idx="427">
                  <c:v>125</c:v>
                </c:pt>
                <c:pt idx="428">
                  <c:v>125</c:v>
                </c:pt>
                <c:pt idx="429">
                  <c:v>100</c:v>
                </c:pt>
                <c:pt idx="430">
                  <c:v>125</c:v>
                </c:pt>
                <c:pt idx="431">
                  <c:v>125</c:v>
                </c:pt>
                <c:pt idx="432">
                  <c:v>125</c:v>
                </c:pt>
                <c:pt idx="433">
                  <c:v>100</c:v>
                </c:pt>
                <c:pt idx="434">
                  <c:v>125</c:v>
                </c:pt>
                <c:pt idx="435">
                  <c:v>83.333333333333329</c:v>
                </c:pt>
                <c:pt idx="436">
                  <c:v>125</c:v>
                </c:pt>
                <c:pt idx="437">
                  <c:v>125</c:v>
                </c:pt>
                <c:pt idx="438">
                  <c:v>125</c:v>
                </c:pt>
                <c:pt idx="439">
                  <c:v>125</c:v>
                </c:pt>
                <c:pt idx="440">
                  <c:v>125</c:v>
                </c:pt>
                <c:pt idx="441">
                  <c:v>100</c:v>
                </c:pt>
                <c:pt idx="442">
                  <c:v>125</c:v>
                </c:pt>
                <c:pt idx="443">
                  <c:v>100</c:v>
                </c:pt>
                <c:pt idx="444">
                  <c:v>125</c:v>
                </c:pt>
                <c:pt idx="445">
                  <c:v>125</c:v>
                </c:pt>
                <c:pt idx="446">
                  <c:v>71.428571428571431</c:v>
                </c:pt>
                <c:pt idx="447">
                  <c:v>71.428571428571431</c:v>
                </c:pt>
                <c:pt idx="448">
                  <c:v>71.428571428571431</c:v>
                </c:pt>
                <c:pt idx="449">
                  <c:v>71.428571428571431</c:v>
                </c:pt>
                <c:pt idx="450">
                  <c:v>125</c:v>
                </c:pt>
                <c:pt idx="451">
                  <c:v>125</c:v>
                </c:pt>
                <c:pt idx="452">
                  <c:v>125</c:v>
                </c:pt>
                <c:pt idx="453">
                  <c:v>125</c:v>
                </c:pt>
                <c:pt idx="454">
                  <c:v>62.5</c:v>
                </c:pt>
                <c:pt idx="455">
                  <c:v>62.5</c:v>
                </c:pt>
                <c:pt idx="456">
                  <c:v>125</c:v>
                </c:pt>
                <c:pt idx="457">
                  <c:v>100</c:v>
                </c:pt>
                <c:pt idx="458">
                  <c:v>93.75</c:v>
                </c:pt>
                <c:pt idx="459">
                  <c:v>125</c:v>
                </c:pt>
                <c:pt idx="460">
                  <c:v>83.333333333333329</c:v>
                </c:pt>
                <c:pt idx="461">
                  <c:v>125</c:v>
                </c:pt>
                <c:pt idx="462">
                  <c:v>83.333333333333329</c:v>
                </c:pt>
                <c:pt idx="463">
                  <c:v>71.428571428571431</c:v>
                </c:pt>
                <c:pt idx="464">
                  <c:v>125</c:v>
                </c:pt>
                <c:pt idx="465">
                  <c:v>125</c:v>
                </c:pt>
                <c:pt idx="466">
                  <c:v>166.66666666666666</c:v>
                </c:pt>
                <c:pt idx="467">
                  <c:v>100</c:v>
                </c:pt>
                <c:pt idx="468">
                  <c:v>125</c:v>
                </c:pt>
                <c:pt idx="469">
                  <c:v>125</c:v>
                </c:pt>
                <c:pt idx="470">
                  <c:v>60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125</c:v>
                </c:pt>
                <c:pt idx="506">
                  <c:v>71.428571428571431</c:v>
                </c:pt>
                <c:pt idx="507">
                  <c:v>100</c:v>
                </c:pt>
                <c:pt idx="508">
                  <c:v>100</c:v>
                </c:pt>
                <c:pt idx="509">
                  <c:v>50</c:v>
                </c:pt>
                <c:pt idx="510">
                  <c:v>125</c:v>
                </c:pt>
                <c:pt idx="511">
                  <c:v>50</c:v>
                </c:pt>
                <c:pt idx="512">
                  <c:v>50</c:v>
                </c:pt>
                <c:pt idx="513">
                  <c:v>125</c:v>
                </c:pt>
                <c:pt idx="514">
                  <c:v>100</c:v>
                </c:pt>
                <c:pt idx="515">
                  <c:v>50</c:v>
                </c:pt>
                <c:pt idx="516">
                  <c:v>50</c:v>
                </c:pt>
                <c:pt idx="517">
                  <c:v>125</c:v>
                </c:pt>
                <c:pt idx="518">
                  <c:v>100</c:v>
                </c:pt>
                <c:pt idx="519">
                  <c:v>125</c:v>
                </c:pt>
                <c:pt idx="520">
                  <c:v>166.66666666666666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125</c:v>
                </c:pt>
                <c:pt idx="529">
                  <c:v>125</c:v>
                </c:pt>
                <c:pt idx="530">
                  <c:v>100</c:v>
                </c:pt>
                <c:pt idx="531">
                  <c:v>166.66666666666666</c:v>
                </c:pt>
                <c:pt idx="532">
                  <c:v>100</c:v>
                </c:pt>
                <c:pt idx="533">
                  <c:v>125</c:v>
                </c:pt>
                <c:pt idx="534">
                  <c:v>125</c:v>
                </c:pt>
                <c:pt idx="535">
                  <c:v>50</c:v>
                </c:pt>
                <c:pt idx="536">
                  <c:v>166.66666666666666</c:v>
                </c:pt>
                <c:pt idx="537">
                  <c:v>100</c:v>
                </c:pt>
                <c:pt idx="538">
                  <c:v>62.5</c:v>
                </c:pt>
                <c:pt idx="539">
                  <c:v>125</c:v>
                </c:pt>
                <c:pt idx="540">
                  <c:v>125</c:v>
                </c:pt>
                <c:pt idx="541">
                  <c:v>125</c:v>
                </c:pt>
                <c:pt idx="542">
                  <c:v>125</c:v>
                </c:pt>
                <c:pt idx="543">
                  <c:v>125</c:v>
                </c:pt>
                <c:pt idx="544">
                  <c:v>125</c:v>
                </c:pt>
                <c:pt idx="545">
                  <c:v>125</c:v>
                </c:pt>
                <c:pt idx="546">
                  <c:v>125</c:v>
                </c:pt>
                <c:pt idx="547">
                  <c:v>100</c:v>
                </c:pt>
                <c:pt idx="548">
                  <c:v>125</c:v>
                </c:pt>
                <c:pt idx="549">
                  <c:v>125</c:v>
                </c:pt>
                <c:pt idx="550">
                  <c:v>125</c:v>
                </c:pt>
                <c:pt idx="551">
                  <c:v>125</c:v>
                </c:pt>
                <c:pt idx="552">
                  <c:v>125</c:v>
                </c:pt>
                <c:pt idx="553">
                  <c:v>100</c:v>
                </c:pt>
                <c:pt idx="554">
                  <c:v>125</c:v>
                </c:pt>
                <c:pt idx="555">
                  <c:v>125</c:v>
                </c:pt>
                <c:pt idx="556">
                  <c:v>83.333333333333329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50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125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125</c:v>
                </c:pt>
                <c:pt idx="570">
                  <c:v>166.66666666666666</c:v>
                </c:pt>
                <c:pt idx="571">
                  <c:v>100</c:v>
                </c:pt>
                <c:pt idx="572">
                  <c:v>50</c:v>
                </c:pt>
                <c:pt idx="573">
                  <c:v>100</c:v>
                </c:pt>
                <c:pt idx="574">
                  <c:v>125</c:v>
                </c:pt>
                <c:pt idx="575">
                  <c:v>62.5</c:v>
                </c:pt>
                <c:pt idx="576">
                  <c:v>100</c:v>
                </c:pt>
                <c:pt idx="577">
                  <c:v>50</c:v>
                </c:pt>
                <c:pt idx="578">
                  <c:v>50</c:v>
                </c:pt>
                <c:pt idx="579">
                  <c:v>100</c:v>
                </c:pt>
                <c:pt idx="580">
                  <c:v>166.66666666666666</c:v>
                </c:pt>
                <c:pt idx="581">
                  <c:v>125</c:v>
                </c:pt>
                <c:pt idx="582">
                  <c:v>125</c:v>
                </c:pt>
                <c:pt idx="583">
                  <c:v>33.333333333333336</c:v>
                </c:pt>
                <c:pt idx="584">
                  <c:v>65.536000000000001</c:v>
                </c:pt>
                <c:pt idx="585">
                  <c:v>25</c:v>
                </c:pt>
                <c:pt idx="586">
                  <c:v>20.000000000000004</c:v>
                </c:pt>
                <c:pt idx="587">
                  <c:v>19.999999999999996</c:v>
                </c:pt>
                <c:pt idx="588">
                  <c:v>14.999999999999998</c:v>
                </c:pt>
                <c:pt idx="589">
                  <c:v>21.666666666666664</c:v>
                </c:pt>
                <c:pt idx="590">
                  <c:v>16.666666666666668</c:v>
                </c:pt>
                <c:pt idx="591">
                  <c:v>20.000000000000004</c:v>
                </c:pt>
                <c:pt idx="592">
                  <c:v>20.000000000000004</c:v>
                </c:pt>
                <c:pt idx="593">
                  <c:v>55.000000000000014</c:v>
                </c:pt>
                <c:pt idx="594">
                  <c:v>29.999999999999982</c:v>
                </c:pt>
                <c:pt idx="595">
                  <c:v>100.0000000000001</c:v>
                </c:pt>
                <c:pt idx="596">
                  <c:v>162.50000000000009</c:v>
                </c:pt>
                <c:pt idx="597">
                  <c:v>19.999999999999929</c:v>
                </c:pt>
                <c:pt idx="598">
                  <c:v>10.000000000000053</c:v>
                </c:pt>
                <c:pt idx="599">
                  <c:v>22.499999999999964</c:v>
                </c:pt>
                <c:pt idx="600">
                  <c:v>112.50000000000027</c:v>
                </c:pt>
                <c:pt idx="601">
                  <c:v>128.57142857142838</c:v>
                </c:pt>
                <c:pt idx="602">
                  <c:v>80.000000000000071</c:v>
                </c:pt>
                <c:pt idx="603">
                  <c:v>83.333333333333329</c:v>
                </c:pt>
                <c:pt idx="604">
                  <c:v>22.500000000000053</c:v>
                </c:pt>
                <c:pt idx="605">
                  <c:v>100</c:v>
                </c:pt>
                <c:pt idx="606">
                  <c:v>29.999999999999982</c:v>
                </c:pt>
                <c:pt idx="607">
                  <c:v>14.999999999999947</c:v>
                </c:pt>
                <c:pt idx="608">
                  <c:v>12.5</c:v>
                </c:pt>
                <c:pt idx="609">
                  <c:v>15.000000000000034</c:v>
                </c:pt>
                <c:pt idx="610">
                  <c:v>50</c:v>
                </c:pt>
                <c:pt idx="611">
                  <c:v>32.500000000000014</c:v>
                </c:pt>
                <c:pt idx="612">
                  <c:v>39.99999999999995</c:v>
                </c:pt>
                <c:pt idx="613">
                  <c:v>129.16666666666671</c:v>
                </c:pt>
                <c:pt idx="614">
                  <c:v>266.66666666666691</c:v>
                </c:pt>
                <c:pt idx="615">
                  <c:v>199.9999999999998</c:v>
                </c:pt>
                <c:pt idx="616">
                  <c:v>320.00000000000028</c:v>
                </c:pt>
                <c:pt idx="617">
                  <c:v>150</c:v>
                </c:pt>
                <c:pt idx="618">
                  <c:v>191.66666666666643</c:v>
                </c:pt>
                <c:pt idx="619">
                  <c:v>200.00000000000017</c:v>
                </c:pt>
                <c:pt idx="620">
                  <c:v>125</c:v>
                </c:pt>
                <c:pt idx="621">
                  <c:v>145.83333333333334</c:v>
                </c:pt>
                <c:pt idx="622">
                  <c:v>138.88888888888889</c:v>
                </c:pt>
                <c:pt idx="623">
                  <c:v>316.66666666666646</c:v>
                </c:pt>
                <c:pt idx="624">
                  <c:v>100.00000000000009</c:v>
                </c:pt>
                <c:pt idx="625">
                  <c:v>79.166666666666302</c:v>
                </c:pt>
                <c:pt idx="626">
                  <c:v>136.36363636363637</c:v>
                </c:pt>
                <c:pt idx="627">
                  <c:v>95.454545454545851</c:v>
                </c:pt>
                <c:pt idx="628">
                  <c:v>121.42857142857112</c:v>
                </c:pt>
                <c:pt idx="629">
                  <c:v>144.44444444444491</c:v>
                </c:pt>
                <c:pt idx="630">
                  <c:v>92.857142857142662</c:v>
                </c:pt>
                <c:pt idx="631">
                  <c:v>99.999999999999844</c:v>
                </c:pt>
                <c:pt idx="632">
                  <c:v>157.14285714285734</c:v>
                </c:pt>
                <c:pt idx="633">
                  <c:v>143.74999999999983</c:v>
                </c:pt>
                <c:pt idx="634">
                  <c:v>134.61538461538461</c:v>
                </c:pt>
                <c:pt idx="635">
                  <c:v>35.000000000000142</c:v>
                </c:pt>
                <c:pt idx="636">
                  <c:v>32.499999999999929</c:v>
                </c:pt>
                <c:pt idx="637">
                  <c:v>12.5</c:v>
                </c:pt>
                <c:pt idx="638">
                  <c:v>66.66666666666643</c:v>
                </c:pt>
                <c:pt idx="639">
                  <c:v>116.66666666666714</c:v>
                </c:pt>
                <c:pt idx="640">
                  <c:v>34.999999999999787</c:v>
                </c:pt>
                <c:pt idx="641">
                  <c:v>128.57142857142838</c:v>
                </c:pt>
                <c:pt idx="642">
                  <c:v>30.000000000000068</c:v>
                </c:pt>
                <c:pt idx="643">
                  <c:v>116.66666666666714</c:v>
                </c:pt>
                <c:pt idx="644">
                  <c:v>139.99999999999915</c:v>
                </c:pt>
                <c:pt idx="645">
                  <c:v>120.00000000000027</c:v>
                </c:pt>
                <c:pt idx="646">
                  <c:v>91.666666666667382</c:v>
                </c:pt>
                <c:pt idx="647">
                  <c:v>32.499999999999929</c:v>
                </c:pt>
                <c:pt idx="648">
                  <c:v>116.66666666666595</c:v>
                </c:pt>
                <c:pt idx="649">
                  <c:v>30.000000000000068</c:v>
                </c:pt>
                <c:pt idx="650">
                  <c:v>140.00000000000057</c:v>
                </c:pt>
                <c:pt idx="651">
                  <c:v>60.000000000000135</c:v>
                </c:pt>
                <c:pt idx="652">
                  <c:v>56.666666666666288</c:v>
                </c:pt>
                <c:pt idx="653">
                  <c:v>118.75000000000036</c:v>
                </c:pt>
                <c:pt idx="654">
                  <c:v>91.666666666666785</c:v>
                </c:pt>
                <c:pt idx="655">
                  <c:v>149.99999999999977</c:v>
                </c:pt>
                <c:pt idx="656">
                  <c:v>129.99999999999972</c:v>
                </c:pt>
                <c:pt idx="657">
                  <c:v>83.333333333333329</c:v>
                </c:pt>
                <c:pt idx="658">
                  <c:v>55.000000000000071</c:v>
                </c:pt>
                <c:pt idx="659">
                  <c:v>50</c:v>
                </c:pt>
                <c:pt idx="660">
                  <c:v>67.000000000000171</c:v>
                </c:pt>
                <c:pt idx="661">
                  <c:v>250</c:v>
                </c:pt>
                <c:pt idx="662">
                  <c:v>87.500000000000355</c:v>
                </c:pt>
                <c:pt idx="663">
                  <c:v>14.999999999999858</c:v>
                </c:pt>
                <c:pt idx="664">
                  <c:v>118.74999999999946</c:v>
                </c:pt>
                <c:pt idx="665">
                  <c:v>55.000000000000433</c:v>
                </c:pt>
                <c:pt idx="666">
                  <c:v>119.99999999999886</c:v>
                </c:pt>
                <c:pt idx="667">
                  <c:v>77.272727272728048</c:v>
                </c:pt>
                <c:pt idx="668">
                  <c:v>29.999999999999716</c:v>
                </c:pt>
                <c:pt idx="669">
                  <c:v>187.5</c:v>
                </c:pt>
                <c:pt idx="670">
                  <c:v>190.00000000000057</c:v>
                </c:pt>
                <c:pt idx="671">
                  <c:v>221.42857142857105</c:v>
                </c:pt>
                <c:pt idx="672">
                  <c:v>307.50000000000102</c:v>
                </c:pt>
                <c:pt idx="673">
                  <c:v>472.50000000000011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50</c:v>
                </c:pt>
                <c:pt idx="678">
                  <c:v>109.99999999999996</c:v>
                </c:pt>
                <c:pt idx="679">
                  <c:v>66.666666666666728</c:v>
                </c:pt>
                <c:pt idx="680">
                  <c:v>88.888888888888857</c:v>
                </c:pt>
                <c:pt idx="681">
                  <c:v>100.00000000000004</c:v>
                </c:pt>
                <c:pt idx="682">
                  <c:v>157.49999999999997</c:v>
                </c:pt>
                <c:pt idx="683">
                  <c:v>189.99999999999994</c:v>
                </c:pt>
                <c:pt idx="684">
                  <c:v>90.000000000000028</c:v>
                </c:pt>
                <c:pt idx="685">
                  <c:v>100.00000000000004</c:v>
                </c:pt>
                <c:pt idx="686">
                  <c:v>79.999999999999716</c:v>
                </c:pt>
                <c:pt idx="687">
                  <c:v>100.00000000000023</c:v>
                </c:pt>
                <c:pt idx="688">
                  <c:v>128.57142857142838</c:v>
                </c:pt>
                <c:pt idx="689">
                  <c:v>170.00000000000011</c:v>
                </c:pt>
                <c:pt idx="690">
                  <c:v>69.999999999999929</c:v>
                </c:pt>
                <c:pt idx="691">
                  <c:v>83.999999999999986</c:v>
                </c:pt>
                <c:pt idx="692">
                  <c:v>83.333333333333329</c:v>
                </c:pt>
                <c:pt idx="693">
                  <c:v>61.000000000000036</c:v>
                </c:pt>
                <c:pt idx="694">
                  <c:v>127.99999999999987</c:v>
                </c:pt>
                <c:pt idx="695">
                  <c:v>78.666666666666885</c:v>
                </c:pt>
                <c:pt idx="696">
                  <c:v>75</c:v>
                </c:pt>
                <c:pt idx="697">
                  <c:v>163.6363636363634</c:v>
                </c:pt>
                <c:pt idx="698">
                  <c:v>50</c:v>
                </c:pt>
                <c:pt idx="699">
                  <c:v>160.83333333333331</c:v>
                </c:pt>
                <c:pt idx="700">
                  <c:v>15.000000000000034</c:v>
                </c:pt>
                <c:pt idx="701">
                  <c:v>34.999999999999964</c:v>
                </c:pt>
                <c:pt idx="702">
                  <c:v>59.999999999999964</c:v>
                </c:pt>
                <c:pt idx="703">
                  <c:v>60.526315789473792</c:v>
                </c:pt>
                <c:pt idx="704">
                  <c:v>142.85714285714286</c:v>
                </c:pt>
                <c:pt idx="705">
                  <c:v>144.44444444444431</c:v>
                </c:pt>
                <c:pt idx="706">
                  <c:v>51.999999999999957</c:v>
                </c:pt>
                <c:pt idx="707">
                  <c:v>80.000000000000327</c:v>
                </c:pt>
                <c:pt idx="708">
                  <c:v>30.000000000000068</c:v>
                </c:pt>
                <c:pt idx="709">
                  <c:v>17.500000000000071</c:v>
                </c:pt>
                <c:pt idx="710">
                  <c:v>68.181818181818187</c:v>
                </c:pt>
                <c:pt idx="711">
                  <c:v>59.999999999999908</c:v>
                </c:pt>
                <c:pt idx="712">
                  <c:v>44.999999999999929</c:v>
                </c:pt>
                <c:pt idx="713">
                  <c:v>39.999999999999858</c:v>
                </c:pt>
                <c:pt idx="714">
                  <c:v>32.500000000000284</c:v>
                </c:pt>
                <c:pt idx="715">
                  <c:v>99.999999999999389</c:v>
                </c:pt>
                <c:pt idx="716">
                  <c:v>39.999999999999858</c:v>
                </c:pt>
                <c:pt idx="717">
                  <c:v>40.000000000000213</c:v>
                </c:pt>
                <c:pt idx="718">
                  <c:v>100</c:v>
                </c:pt>
                <c:pt idx="719">
                  <c:v>75</c:v>
                </c:pt>
                <c:pt idx="720">
                  <c:v>44.999999999999929</c:v>
                </c:pt>
                <c:pt idx="721">
                  <c:v>30.000000000000068</c:v>
                </c:pt>
                <c:pt idx="722">
                  <c:v>100</c:v>
                </c:pt>
                <c:pt idx="723">
                  <c:v>53.333333333333144</c:v>
                </c:pt>
                <c:pt idx="724">
                  <c:v>56.666666666666757</c:v>
                </c:pt>
                <c:pt idx="725">
                  <c:v>36.66666666666648</c:v>
                </c:pt>
                <c:pt idx="726">
                  <c:v>46.666666666666856</c:v>
                </c:pt>
                <c:pt idx="727">
                  <c:v>143.74999999999983</c:v>
                </c:pt>
                <c:pt idx="728">
                  <c:v>135.99999999999994</c:v>
                </c:pt>
                <c:pt idx="729">
                  <c:v>131.25000000000054</c:v>
                </c:pt>
                <c:pt idx="730">
                  <c:v>89.999999999999858</c:v>
                </c:pt>
                <c:pt idx="731">
                  <c:v>125</c:v>
                </c:pt>
                <c:pt idx="732">
                  <c:v>19.999999999999929</c:v>
                </c:pt>
                <c:pt idx="733">
                  <c:v>25</c:v>
                </c:pt>
                <c:pt idx="734">
                  <c:v>116.66666666666636</c:v>
                </c:pt>
                <c:pt idx="735">
                  <c:v>5.0000000000000711</c:v>
                </c:pt>
                <c:pt idx="736">
                  <c:v>19.999999999999929</c:v>
                </c:pt>
                <c:pt idx="737">
                  <c:v>53.33333333333362</c:v>
                </c:pt>
                <c:pt idx="738">
                  <c:v>59.999999999999787</c:v>
                </c:pt>
                <c:pt idx="739">
                  <c:v>100</c:v>
                </c:pt>
                <c:pt idx="740">
                  <c:v>65.000000000000213</c:v>
                </c:pt>
                <c:pt idx="741">
                  <c:v>117.64705882352941</c:v>
                </c:pt>
                <c:pt idx="742">
                  <c:v>181.81818181818181</c:v>
                </c:pt>
                <c:pt idx="743">
                  <c:v>139.99999999999963</c:v>
                </c:pt>
                <c:pt idx="744">
                  <c:v>142.85714285714286</c:v>
                </c:pt>
                <c:pt idx="745">
                  <c:v>50</c:v>
                </c:pt>
                <c:pt idx="746">
                  <c:v>100</c:v>
                </c:pt>
                <c:pt idx="747">
                  <c:v>95.000000000000284</c:v>
                </c:pt>
                <c:pt idx="748">
                  <c:v>80.000000000000185</c:v>
                </c:pt>
                <c:pt idx="749">
                  <c:v>35.000000000000142</c:v>
                </c:pt>
                <c:pt idx="750">
                  <c:v>79.999999999999247</c:v>
                </c:pt>
                <c:pt idx="751">
                  <c:v>80.000000000000185</c:v>
                </c:pt>
                <c:pt idx="752">
                  <c:v>46.000000000000085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48-4C05-86B5-555278553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v>Lithology 30</c:v>
                </c:tx>
                <c:spPr>
                  <a:ln w="19050">
                    <a:noFill/>
                  </a:ln>
                </c:spPr>
                <c:marker>
                  <c:symbol val="star"/>
                  <c:size val="18"/>
                  <c:spPr>
                    <a:ln>
                      <a:solidFill>
                        <a:srgbClr val="FF000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'6. Litologia 30 Geotec'!$BM$3:$BM$86</c15:sqref>
                        </c15:formulaRef>
                      </c:ext>
                    </c:extLst>
                    <c:numCache>
                      <c:formatCode>0</c:formatCode>
                      <c:ptCount val="84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25</c:v>
                      </c:pt>
                      <c:pt idx="3">
                        <c:v>25</c:v>
                      </c:pt>
                      <c:pt idx="4">
                        <c:v>24</c:v>
                      </c:pt>
                      <c:pt idx="5">
                        <c:v>33</c:v>
                      </c:pt>
                      <c:pt idx="6">
                        <c:v>28</c:v>
                      </c:pt>
                      <c:pt idx="7">
                        <c:v>27</c:v>
                      </c:pt>
                      <c:pt idx="8">
                        <c:v>32</c:v>
                      </c:pt>
                      <c:pt idx="9">
                        <c:v>30</c:v>
                      </c:pt>
                      <c:pt idx="10">
                        <c:v>27</c:v>
                      </c:pt>
                      <c:pt idx="11">
                        <c:v>40</c:v>
                      </c:pt>
                      <c:pt idx="12">
                        <c:v>36</c:v>
                      </c:pt>
                      <c:pt idx="13">
                        <c:v>28</c:v>
                      </c:pt>
                      <c:pt idx="14">
                        <c:v>39</c:v>
                      </c:pt>
                      <c:pt idx="15">
                        <c:v>25</c:v>
                      </c:pt>
                      <c:pt idx="16">
                        <c:v>24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22</c:v>
                      </c:pt>
                      <c:pt idx="21">
                        <c:v>22</c:v>
                      </c:pt>
                      <c:pt idx="22">
                        <c:v>24</c:v>
                      </c:pt>
                      <c:pt idx="23">
                        <c:v>24</c:v>
                      </c:pt>
                      <c:pt idx="24">
                        <c:v>24</c:v>
                      </c:pt>
                      <c:pt idx="25">
                        <c:v>24</c:v>
                      </c:pt>
                      <c:pt idx="26">
                        <c:v>24</c:v>
                      </c:pt>
                      <c:pt idx="27">
                        <c:v>24</c:v>
                      </c:pt>
                      <c:pt idx="28">
                        <c:v>24</c:v>
                      </c:pt>
                      <c:pt idx="29">
                        <c:v>24</c:v>
                      </c:pt>
                      <c:pt idx="30">
                        <c:v>24</c:v>
                      </c:pt>
                      <c:pt idx="31">
                        <c:v>24</c:v>
                      </c:pt>
                      <c:pt idx="32">
                        <c:v>24</c:v>
                      </c:pt>
                      <c:pt idx="33">
                        <c:v>24</c:v>
                      </c:pt>
                      <c:pt idx="34">
                        <c:v>24</c:v>
                      </c:pt>
                      <c:pt idx="35">
                        <c:v>24</c:v>
                      </c:pt>
                      <c:pt idx="36">
                        <c:v>24</c:v>
                      </c:pt>
                      <c:pt idx="37">
                        <c:v>24</c:v>
                      </c:pt>
                      <c:pt idx="38">
                        <c:v>24</c:v>
                      </c:pt>
                      <c:pt idx="39">
                        <c:v>24</c:v>
                      </c:pt>
                      <c:pt idx="40">
                        <c:v>24</c:v>
                      </c:pt>
                      <c:pt idx="41">
                        <c:v>24</c:v>
                      </c:pt>
                      <c:pt idx="42">
                        <c:v>24</c:v>
                      </c:pt>
                      <c:pt idx="43">
                        <c:v>24</c:v>
                      </c:pt>
                      <c:pt idx="44">
                        <c:v>24</c:v>
                      </c:pt>
                      <c:pt idx="45">
                        <c:v>24</c:v>
                      </c:pt>
                      <c:pt idx="46">
                        <c:v>24</c:v>
                      </c:pt>
                      <c:pt idx="47">
                        <c:v>24</c:v>
                      </c:pt>
                      <c:pt idx="48">
                        <c:v>24</c:v>
                      </c:pt>
                      <c:pt idx="49">
                        <c:v>24</c:v>
                      </c:pt>
                      <c:pt idx="50">
                        <c:v>18</c:v>
                      </c:pt>
                      <c:pt idx="51">
                        <c:v>25</c:v>
                      </c:pt>
                      <c:pt idx="52">
                        <c:v>21</c:v>
                      </c:pt>
                      <c:pt idx="53">
                        <c:v>30</c:v>
                      </c:pt>
                      <c:pt idx="54">
                        <c:v>24</c:v>
                      </c:pt>
                      <c:pt idx="55">
                        <c:v>18</c:v>
                      </c:pt>
                      <c:pt idx="56">
                        <c:v>26</c:v>
                      </c:pt>
                      <c:pt idx="57">
                        <c:v>28</c:v>
                      </c:pt>
                      <c:pt idx="58">
                        <c:v>25</c:v>
                      </c:pt>
                      <c:pt idx="59">
                        <c:v>28</c:v>
                      </c:pt>
                      <c:pt idx="60">
                        <c:v>26</c:v>
                      </c:pt>
                      <c:pt idx="61">
                        <c:v>25</c:v>
                      </c:pt>
                      <c:pt idx="62">
                        <c:v>26</c:v>
                      </c:pt>
                      <c:pt idx="63">
                        <c:v>26</c:v>
                      </c:pt>
                      <c:pt idx="64">
                        <c:v>28</c:v>
                      </c:pt>
                      <c:pt idx="65">
                        <c:v>27</c:v>
                      </c:pt>
                      <c:pt idx="66">
                        <c:v>26</c:v>
                      </c:pt>
                      <c:pt idx="67">
                        <c:v>26</c:v>
                      </c:pt>
                      <c:pt idx="68">
                        <c:v>25</c:v>
                      </c:pt>
                      <c:pt idx="69">
                        <c:v>26</c:v>
                      </c:pt>
                      <c:pt idx="70">
                        <c:v>26</c:v>
                      </c:pt>
                      <c:pt idx="72">
                        <c:v>19</c:v>
                      </c:pt>
                      <c:pt idx="73">
                        <c:v>29</c:v>
                      </c:pt>
                      <c:pt idx="74">
                        <c:v>23</c:v>
                      </c:pt>
                      <c:pt idx="75">
                        <c:v>28</c:v>
                      </c:pt>
                      <c:pt idx="76">
                        <c:v>24</c:v>
                      </c:pt>
                      <c:pt idx="77">
                        <c:v>18</c:v>
                      </c:pt>
                      <c:pt idx="78">
                        <c:v>36</c:v>
                      </c:pt>
                      <c:pt idx="79">
                        <c:v>30</c:v>
                      </c:pt>
                      <c:pt idx="80">
                        <c:v>32</c:v>
                      </c:pt>
                      <c:pt idx="81">
                        <c:v>17</c:v>
                      </c:pt>
                      <c:pt idx="82">
                        <c:v>17</c:v>
                      </c:pt>
                      <c:pt idx="83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'6. Litologia 30 Geotec'!$X$3:$X$86</c15:sqref>
                        </c15:formulaRef>
                      </c:ext>
                    </c:extLst>
                    <c:numCache>
                      <c:formatCode>0</c:formatCode>
                      <c:ptCount val="84"/>
                      <c:pt idx="0">
                        <c:v>51.666666666666664</c:v>
                      </c:pt>
                      <c:pt idx="1">
                        <c:v>13</c:v>
                      </c:pt>
                      <c:pt idx="2">
                        <c:v>11</c:v>
                      </c:pt>
                      <c:pt idx="3">
                        <c:v>14</c:v>
                      </c:pt>
                      <c:pt idx="4">
                        <c:v>23</c:v>
                      </c:pt>
                      <c:pt idx="5">
                        <c:v>34</c:v>
                      </c:pt>
                      <c:pt idx="6">
                        <c:v>13</c:v>
                      </c:pt>
                      <c:pt idx="7">
                        <c:v>51.666666666666664</c:v>
                      </c:pt>
                      <c:pt idx="8">
                        <c:v>122.5</c:v>
                      </c:pt>
                      <c:pt idx="9">
                        <c:v>64.285714285714292</c:v>
                      </c:pt>
                      <c:pt idx="10">
                        <c:v>120</c:v>
                      </c:pt>
                      <c:pt idx="11">
                        <c:v>115</c:v>
                      </c:pt>
                      <c:pt idx="12">
                        <c:v>76.666666666666671</c:v>
                      </c:pt>
                      <c:pt idx="13">
                        <c:v>62.5</c:v>
                      </c:pt>
                      <c:pt idx="14">
                        <c:v>110</c:v>
                      </c:pt>
                      <c:pt idx="15">
                        <c:v>57.5</c:v>
                      </c:pt>
                      <c:pt idx="16">
                        <c:v>61.428571428571431</c:v>
                      </c:pt>
                      <c:pt idx="17">
                        <c:v>41.428571428571431</c:v>
                      </c:pt>
                      <c:pt idx="18">
                        <c:v>55.714285714285715</c:v>
                      </c:pt>
                      <c:pt idx="19">
                        <c:v>70</c:v>
                      </c:pt>
                      <c:pt idx="20">
                        <c:v>36</c:v>
                      </c:pt>
                      <c:pt idx="21">
                        <c:v>50</c:v>
                      </c:pt>
                      <c:pt idx="22">
                        <c:v>32.857142857142854</c:v>
                      </c:pt>
                      <c:pt idx="23">
                        <c:v>14</c:v>
                      </c:pt>
                      <c:pt idx="24">
                        <c:v>20</c:v>
                      </c:pt>
                      <c:pt idx="25">
                        <c:v>20</c:v>
                      </c:pt>
                      <c:pt idx="26">
                        <c:v>25.714285714285715</c:v>
                      </c:pt>
                      <c:pt idx="27">
                        <c:v>28.75</c:v>
                      </c:pt>
                      <c:pt idx="28">
                        <c:v>14.285714285714286</c:v>
                      </c:pt>
                      <c:pt idx="29">
                        <c:v>50</c:v>
                      </c:pt>
                      <c:pt idx="30">
                        <c:v>10</c:v>
                      </c:pt>
                      <c:pt idx="31">
                        <c:v>12</c:v>
                      </c:pt>
                      <c:pt idx="32">
                        <c:v>6</c:v>
                      </c:pt>
                      <c:pt idx="33">
                        <c:v>29</c:v>
                      </c:pt>
                      <c:pt idx="34">
                        <c:v>22</c:v>
                      </c:pt>
                      <c:pt idx="35">
                        <c:v>21</c:v>
                      </c:pt>
                      <c:pt idx="36">
                        <c:v>8</c:v>
                      </c:pt>
                      <c:pt idx="37">
                        <c:v>5</c:v>
                      </c:pt>
                      <c:pt idx="38">
                        <c:v>7</c:v>
                      </c:pt>
                      <c:pt idx="39">
                        <c:v>7</c:v>
                      </c:pt>
                      <c:pt idx="40">
                        <c:v>50</c:v>
                      </c:pt>
                      <c:pt idx="41">
                        <c:v>50</c:v>
                      </c:pt>
                      <c:pt idx="42">
                        <c:v>7</c:v>
                      </c:pt>
                      <c:pt idx="43">
                        <c:v>50</c:v>
                      </c:pt>
                      <c:pt idx="44">
                        <c:v>11</c:v>
                      </c:pt>
                      <c:pt idx="45">
                        <c:v>50</c:v>
                      </c:pt>
                      <c:pt idx="46">
                        <c:v>10</c:v>
                      </c:pt>
                      <c:pt idx="47">
                        <c:v>7</c:v>
                      </c:pt>
                      <c:pt idx="48">
                        <c:v>50</c:v>
                      </c:pt>
                      <c:pt idx="49">
                        <c:v>50</c:v>
                      </c:pt>
                      <c:pt idx="50">
                        <c:v>28</c:v>
                      </c:pt>
                      <c:pt idx="51">
                        <c:v>80</c:v>
                      </c:pt>
                      <c:pt idx="52">
                        <c:v>96.666666666666671</c:v>
                      </c:pt>
                      <c:pt idx="53">
                        <c:v>123.33333333333333</c:v>
                      </c:pt>
                      <c:pt idx="54">
                        <c:v>36</c:v>
                      </c:pt>
                      <c:pt idx="55">
                        <c:v>56</c:v>
                      </c:pt>
                      <c:pt idx="56">
                        <c:v>105</c:v>
                      </c:pt>
                      <c:pt idx="57">
                        <c:v>73.333333333333329</c:v>
                      </c:pt>
                      <c:pt idx="58">
                        <c:v>52</c:v>
                      </c:pt>
                      <c:pt idx="59">
                        <c:v>86.666666666666671</c:v>
                      </c:pt>
                      <c:pt idx="60">
                        <c:v>60</c:v>
                      </c:pt>
                      <c:pt idx="61">
                        <c:v>52</c:v>
                      </c:pt>
                      <c:pt idx="62">
                        <c:v>56.666666666666664</c:v>
                      </c:pt>
                      <c:pt idx="63">
                        <c:v>36</c:v>
                      </c:pt>
                      <c:pt idx="64">
                        <c:v>80</c:v>
                      </c:pt>
                      <c:pt idx="65">
                        <c:v>70</c:v>
                      </c:pt>
                      <c:pt idx="66">
                        <c:v>56</c:v>
                      </c:pt>
                      <c:pt idx="67">
                        <c:v>44</c:v>
                      </c:pt>
                      <c:pt idx="68">
                        <c:v>53.333333333333336</c:v>
                      </c:pt>
                      <c:pt idx="71">
                        <c:v>113.33333333333331</c:v>
                      </c:pt>
                      <c:pt idx="72">
                        <c:v>80</c:v>
                      </c:pt>
                      <c:pt idx="73">
                        <c:v>105</c:v>
                      </c:pt>
                      <c:pt idx="74">
                        <c:v>71.666666666666671</c:v>
                      </c:pt>
                      <c:pt idx="75">
                        <c:v>130</c:v>
                      </c:pt>
                      <c:pt idx="76">
                        <c:v>73.333333333333329</c:v>
                      </c:pt>
                      <c:pt idx="77">
                        <c:v>64.285714285714292</c:v>
                      </c:pt>
                      <c:pt idx="78">
                        <c:v>130</c:v>
                      </c:pt>
                      <c:pt idx="79">
                        <c:v>136.66666666666666</c:v>
                      </c:pt>
                      <c:pt idx="80">
                        <c:v>136.66666666666666</c:v>
                      </c:pt>
                      <c:pt idx="81">
                        <c:v>40</c:v>
                      </c:pt>
                      <c:pt idx="82">
                        <c:v>57.5</c:v>
                      </c:pt>
                      <c:pt idx="83">
                        <c:v>55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C48-4C05-86B5-5552785531F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Lithology 40</c:v>
                </c:tx>
                <c:spPr>
                  <a:ln w="19050">
                    <a:noFill/>
                  </a:ln>
                </c:spPr>
                <c:marker>
                  <c:symbol val="diamond"/>
                  <c:size val="11"/>
                  <c:spPr>
                    <a:solidFill>
                      <a:srgbClr val="EEDFAA"/>
                    </a:solidFill>
                    <a:ln>
                      <a:solidFill>
                        <a:srgbClr val="EEDFAA">
                          <a:alpha val="97000"/>
                        </a:srgbClr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Litologia 40 Geotec'!$BM$3:$BM$152</c15:sqref>
                        </c15:formulaRef>
                      </c:ext>
                    </c:extLst>
                    <c:numCache>
                      <c:formatCode>0.0</c:formatCode>
                      <c:ptCount val="150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19</c:v>
                      </c:pt>
                      <c:pt idx="3">
                        <c:v>32</c:v>
                      </c:pt>
                      <c:pt idx="4">
                        <c:v>36</c:v>
                      </c:pt>
                      <c:pt idx="5">
                        <c:v>44</c:v>
                      </c:pt>
                      <c:pt idx="6">
                        <c:v>49</c:v>
                      </c:pt>
                      <c:pt idx="7">
                        <c:v>31</c:v>
                      </c:pt>
                      <c:pt idx="8">
                        <c:v>39</c:v>
                      </c:pt>
                      <c:pt idx="9">
                        <c:v>49</c:v>
                      </c:pt>
                      <c:pt idx="10">
                        <c:v>43</c:v>
                      </c:pt>
                      <c:pt idx="11">
                        <c:v>38</c:v>
                      </c:pt>
                      <c:pt idx="12">
                        <c:v>25</c:v>
                      </c:pt>
                      <c:pt idx="13">
                        <c:v>30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30</c:v>
                      </c:pt>
                      <c:pt idx="17">
                        <c:v>41</c:v>
                      </c:pt>
                      <c:pt idx="18">
                        <c:v>33</c:v>
                      </c:pt>
                      <c:pt idx="19">
                        <c:v>24</c:v>
                      </c:pt>
                      <c:pt idx="20">
                        <c:v>23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15</c:v>
                      </c:pt>
                      <c:pt idx="26">
                        <c:v>16</c:v>
                      </c:pt>
                      <c:pt idx="27">
                        <c:v>20</c:v>
                      </c:pt>
                      <c:pt idx="28">
                        <c:v>20</c:v>
                      </c:pt>
                      <c:pt idx="29">
                        <c:v>20</c:v>
                      </c:pt>
                      <c:pt idx="30">
                        <c:v>20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20</c:v>
                      </c:pt>
                      <c:pt idx="35">
                        <c:v>18</c:v>
                      </c:pt>
                      <c:pt idx="36">
                        <c:v>18</c:v>
                      </c:pt>
                      <c:pt idx="37">
                        <c:v>18</c:v>
                      </c:pt>
                      <c:pt idx="38">
                        <c:v>18</c:v>
                      </c:pt>
                      <c:pt idx="39">
                        <c:v>25</c:v>
                      </c:pt>
                      <c:pt idx="40">
                        <c:v>25</c:v>
                      </c:pt>
                      <c:pt idx="41">
                        <c:v>25</c:v>
                      </c:pt>
                      <c:pt idx="42">
                        <c:v>25</c:v>
                      </c:pt>
                      <c:pt idx="43">
                        <c:v>25</c:v>
                      </c:pt>
                      <c:pt idx="44">
                        <c:v>25</c:v>
                      </c:pt>
                      <c:pt idx="45">
                        <c:v>25</c:v>
                      </c:pt>
                      <c:pt idx="46">
                        <c:v>25</c:v>
                      </c:pt>
                      <c:pt idx="47">
                        <c:v>25</c:v>
                      </c:pt>
                      <c:pt idx="48">
                        <c:v>25</c:v>
                      </c:pt>
                      <c:pt idx="49">
                        <c:v>25</c:v>
                      </c:pt>
                      <c:pt idx="50">
                        <c:v>27</c:v>
                      </c:pt>
                      <c:pt idx="51">
                        <c:v>19</c:v>
                      </c:pt>
                      <c:pt idx="52">
                        <c:v>21</c:v>
                      </c:pt>
                      <c:pt idx="53">
                        <c:v>21</c:v>
                      </c:pt>
                      <c:pt idx="54">
                        <c:v>27</c:v>
                      </c:pt>
                      <c:pt idx="55">
                        <c:v>27</c:v>
                      </c:pt>
                      <c:pt idx="56">
                        <c:v>27</c:v>
                      </c:pt>
                      <c:pt idx="57">
                        <c:v>32</c:v>
                      </c:pt>
                      <c:pt idx="58">
                        <c:v>27</c:v>
                      </c:pt>
                      <c:pt idx="59">
                        <c:v>27</c:v>
                      </c:pt>
                      <c:pt idx="60">
                        <c:v>23</c:v>
                      </c:pt>
                      <c:pt idx="61">
                        <c:v>23</c:v>
                      </c:pt>
                      <c:pt idx="62">
                        <c:v>24</c:v>
                      </c:pt>
                      <c:pt idx="63">
                        <c:v>29</c:v>
                      </c:pt>
                      <c:pt idx="64">
                        <c:v>19</c:v>
                      </c:pt>
                      <c:pt idx="65">
                        <c:v>19</c:v>
                      </c:pt>
                      <c:pt idx="66">
                        <c:v>22</c:v>
                      </c:pt>
                      <c:pt idx="67">
                        <c:v>24</c:v>
                      </c:pt>
                      <c:pt idx="68">
                        <c:v>27</c:v>
                      </c:pt>
                      <c:pt idx="69">
                        <c:v>26</c:v>
                      </c:pt>
                      <c:pt idx="70">
                        <c:v>35</c:v>
                      </c:pt>
                      <c:pt idx="71">
                        <c:v>19</c:v>
                      </c:pt>
                      <c:pt idx="72">
                        <c:v>18</c:v>
                      </c:pt>
                      <c:pt idx="73">
                        <c:v>18</c:v>
                      </c:pt>
                      <c:pt idx="74">
                        <c:v>23</c:v>
                      </c:pt>
                      <c:pt idx="75">
                        <c:v>18</c:v>
                      </c:pt>
                      <c:pt idx="76">
                        <c:v>16</c:v>
                      </c:pt>
                      <c:pt idx="77">
                        <c:v>17</c:v>
                      </c:pt>
                      <c:pt idx="78">
                        <c:v>15</c:v>
                      </c:pt>
                      <c:pt idx="79">
                        <c:v>47</c:v>
                      </c:pt>
                      <c:pt idx="80">
                        <c:v>53</c:v>
                      </c:pt>
                      <c:pt idx="81">
                        <c:v>52</c:v>
                      </c:pt>
                      <c:pt idx="82">
                        <c:v>48</c:v>
                      </c:pt>
                      <c:pt idx="83">
                        <c:v>38</c:v>
                      </c:pt>
                      <c:pt idx="85">
                        <c:v>27</c:v>
                      </c:pt>
                      <c:pt idx="86">
                        <c:v>13</c:v>
                      </c:pt>
                      <c:pt idx="87">
                        <c:v>17</c:v>
                      </c:pt>
                      <c:pt idx="88">
                        <c:v>18</c:v>
                      </c:pt>
                      <c:pt idx="89">
                        <c:v>17</c:v>
                      </c:pt>
                      <c:pt idx="90">
                        <c:v>18</c:v>
                      </c:pt>
                      <c:pt idx="91">
                        <c:v>19</c:v>
                      </c:pt>
                      <c:pt idx="92">
                        <c:v>19</c:v>
                      </c:pt>
                      <c:pt idx="93">
                        <c:v>21</c:v>
                      </c:pt>
                      <c:pt idx="94">
                        <c:v>33</c:v>
                      </c:pt>
                      <c:pt idx="95">
                        <c:v>29</c:v>
                      </c:pt>
                      <c:pt idx="96">
                        <c:v>18</c:v>
                      </c:pt>
                      <c:pt idx="97">
                        <c:v>20</c:v>
                      </c:pt>
                      <c:pt idx="98">
                        <c:v>27</c:v>
                      </c:pt>
                      <c:pt idx="99">
                        <c:v>26</c:v>
                      </c:pt>
                      <c:pt idx="100">
                        <c:v>20</c:v>
                      </c:pt>
                      <c:pt idx="101">
                        <c:v>31</c:v>
                      </c:pt>
                      <c:pt idx="102">
                        <c:v>19</c:v>
                      </c:pt>
                      <c:pt idx="103">
                        <c:v>22</c:v>
                      </c:pt>
                      <c:pt idx="104">
                        <c:v>22</c:v>
                      </c:pt>
                      <c:pt idx="105">
                        <c:v>25</c:v>
                      </c:pt>
                      <c:pt idx="106">
                        <c:v>38</c:v>
                      </c:pt>
                      <c:pt idx="107">
                        <c:v>19</c:v>
                      </c:pt>
                      <c:pt idx="108">
                        <c:v>19</c:v>
                      </c:pt>
                      <c:pt idx="109">
                        <c:v>19</c:v>
                      </c:pt>
                      <c:pt idx="110">
                        <c:v>23</c:v>
                      </c:pt>
                      <c:pt idx="111">
                        <c:v>40</c:v>
                      </c:pt>
                      <c:pt idx="112">
                        <c:v>38</c:v>
                      </c:pt>
                      <c:pt idx="113">
                        <c:v>43</c:v>
                      </c:pt>
                      <c:pt idx="114">
                        <c:v>35</c:v>
                      </c:pt>
                      <c:pt idx="115">
                        <c:v>21</c:v>
                      </c:pt>
                      <c:pt idx="116">
                        <c:v>21</c:v>
                      </c:pt>
                      <c:pt idx="117">
                        <c:v>22</c:v>
                      </c:pt>
                      <c:pt idx="118">
                        <c:v>22</c:v>
                      </c:pt>
                      <c:pt idx="119">
                        <c:v>18</c:v>
                      </c:pt>
                      <c:pt idx="120">
                        <c:v>26</c:v>
                      </c:pt>
                      <c:pt idx="121">
                        <c:v>24</c:v>
                      </c:pt>
                      <c:pt idx="122">
                        <c:v>19</c:v>
                      </c:pt>
                      <c:pt idx="123">
                        <c:v>23</c:v>
                      </c:pt>
                      <c:pt idx="124">
                        <c:v>27</c:v>
                      </c:pt>
                      <c:pt idx="125">
                        <c:v>16</c:v>
                      </c:pt>
                      <c:pt idx="126">
                        <c:v>17</c:v>
                      </c:pt>
                      <c:pt idx="127">
                        <c:v>20</c:v>
                      </c:pt>
                      <c:pt idx="128">
                        <c:v>27</c:v>
                      </c:pt>
                      <c:pt idx="129">
                        <c:v>26</c:v>
                      </c:pt>
                      <c:pt idx="130">
                        <c:v>33</c:v>
                      </c:pt>
                      <c:pt idx="131">
                        <c:v>34</c:v>
                      </c:pt>
                      <c:pt idx="132">
                        <c:v>47</c:v>
                      </c:pt>
                      <c:pt idx="133">
                        <c:v>45</c:v>
                      </c:pt>
                      <c:pt idx="134">
                        <c:v>40</c:v>
                      </c:pt>
                      <c:pt idx="135">
                        <c:v>48</c:v>
                      </c:pt>
                      <c:pt idx="136">
                        <c:v>34</c:v>
                      </c:pt>
                      <c:pt idx="137">
                        <c:v>24</c:v>
                      </c:pt>
                      <c:pt idx="138">
                        <c:v>23</c:v>
                      </c:pt>
                      <c:pt idx="139">
                        <c:v>18</c:v>
                      </c:pt>
                      <c:pt idx="140">
                        <c:v>26</c:v>
                      </c:pt>
                      <c:pt idx="141">
                        <c:v>26</c:v>
                      </c:pt>
                      <c:pt idx="142">
                        <c:v>17</c:v>
                      </c:pt>
                      <c:pt idx="143">
                        <c:v>17</c:v>
                      </c:pt>
                      <c:pt idx="144">
                        <c:v>30</c:v>
                      </c:pt>
                      <c:pt idx="145">
                        <c:v>38</c:v>
                      </c:pt>
                      <c:pt idx="146">
                        <c:v>21</c:v>
                      </c:pt>
                      <c:pt idx="147">
                        <c:v>37</c:v>
                      </c:pt>
                      <c:pt idx="148">
                        <c:v>32</c:v>
                      </c:pt>
                      <c:pt idx="149">
                        <c:v>36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Litologia 40 Geotec'!$X$3:$X$152</c15:sqref>
                        </c15:formulaRef>
                      </c:ext>
                    </c:extLst>
                    <c:numCache>
                      <c:formatCode>0.0</c:formatCode>
                      <c:ptCount val="150"/>
                      <c:pt idx="0">
                        <c:v>126.66666666666667</c:v>
                      </c:pt>
                      <c:pt idx="1">
                        <c:v>140</c:v>
                      </c:pt>
                      <c:pt idx="2">
                        <c:v>19</c:v>
                      </c:pt>
                      <c:pt idx="3">
                        <c:v>76.666666666666671</c:v>
                      </c:pt>
                      <c:pt idx="4">
                        <c:v>86</c:v>
                      </c:pt>
                      <c:pt idx="5">
                        <c:v>112.5</c:v>
                      </c:pt>
                      <c:pt idx="6">
                        <c:v>235</c:v>
                      </c:pt>
                      <c:pt idx="7">
                        <c:v>70</c:v>
                      </c:pt>
                      <c:pt idx="8">
                        <c:v>102.5</c:v>
                      </c:pt>
                      <c:pt idx="9">
                        <c:v>107.5</c:v>
                      </c:pt>
                      <c:pt idx="10">
                        <c:v>44</c:v>
                      </c:pt>
                      <c:pt idx="11">
                        <c:v>46</c:v>
                      </c:pt>
                      <c:pt idx="12">
                        <c:v>73.333333333333329</c:v>
                      </c:pt>
                      <c:pt idx="13">
                        <c:v>140</c:v>
                      </c:pt>
                      <c:pt idx="14">
                        <c:v>70</c:v>
                      </c:pt>
                      <c:pt idx="15">
                        <c:v>92.5</c:v>
                      </c:pt>
                      <c:pt idx="16">
                        <c:v>48.571428571428569</c:v>
                      </c:pt>
                      <c:pt idx="17">
                        <c:v>81.666666666666671</c:v>
                      </c:pt>
                      <c:pt idx="18">
                        <c:v>93.333333333333329</c:v>
                      </c:pt>
                      <c:pt idx="19">
                        <c:v>55</c:v>
                      </c:pt>
                      <c:pt idx="20">
                        <c:v>19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23</c:v>
                      </c:pt>
                      <c:pt idx="25">
                        <c:v>22</c:v>
                      </c:pt>
                      <c:pt idx="26">
                        <c:v>20</c:v>
                      </c:pt>
                      <c:pt idx="27">
                        <c:v>28</c:v>
                      </c:pt>
                      <c:pt idx="28">
                        <c:v>24</c:v>
                      </c:pt>
                      <c:pt idx="29">
                        <c:v>42</c:v>
                      </c:pt>
                      <c:pt idx="30">
                        <c:v>20</c:v>
                      </c:pt>
                      <c:pt idx="32">
                        <c:v>13</c:v>
                      </c:pt>
                      <c:pt idx="33">
                        <c:v>17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17</c:v>
                      </c:pt>
                      <c:pt idx="37">
                        <c:v>23</c:v>
                      </c:pt>
                      <c:pt idx="38">
                        <c:v>20</c:v>
                      </c:pt>
                      <c:pt idx="39">
                        <c:v>17</c:v>
                      </c:pt>
                      <c:pt idx="40">
                        <c:v>18</c:v>
                      </c:pt>
                      <c:pt idx="41">
                        <c:v>19</c:v>
                      </c:pt>
                      <c:pt idx="42">
                        <c:v>16.363636363636363</c:v>
                      </c:pt>
                      <c:pt idx="43">
                        <c:v>10.909090909090908</c:v>
                      </c:pt>
                      <c:pt idx="45">
                        <c:v>24</c:v>
                      </c:pt>
                      <c:pt idx="47">
                        <c:v>24</c:v>
                      </c:pt>
                      <c:pt idx="48">
                        <c:v>11</c:v>
                      </c:pt>
                      <c:pt idx="49">
                        <c:v>12</c:v>
                      </c:pt>
                      <c:pt idx="50">
                        <c:v>86.666666666666671</c:v>
                      </c:pt>
                      <c:pt idx="51">
                        <c:v>26</c:v>
                      </c:pt>
                      <c:pt idx="52">
                        <c:v>10.666666666666666</c:v>
                      </c:pt>
                      <c:pt idx="53">
                        <c:v>12</c:v>
                      </c:pt>
                      <c:pt idx="54">
                        <c:v>45.714285714285715</c:v>
                      </c:pt>
                      <c:pt idx="55">
                        <c:v>20</c:v>
                      </c:pt>
                      <c:pt idx="56">
                        <c:v>32</c:v>
                      </c:pt>
                      <c:pt idx="57">
                        <c:v>44</c:v>
                      </c:pt>
                      <c:pt idx="58">
                        <c:v>12</c:v>
                      </c:pt>
                      <c:pt idx="59">
                        <c:v>15</c:v>
                      </c:pt>
                      <c:pt idx="60">
                        <c:v>18.571428571428573</c:v>
                      </c:pt>
                      <c:pt idx="61">
                        <c:v>52</c:v>
                      </c:pt>
                      <c:pt idx="62">
                        <c:v>50</c:v>
                      </c:pt>
                      <c:pt idx="63">
                        <c:v>110</c:v>
                      </c:pt>
                      <c:pt idx="64">
                        <c:v>47.142857142857146</c:v>
                      </c:pt>
                      <c:pt idx="65">
                        <c:v>41.428571428571431</c:v>
                      </c:pt>
                      <c:pt idx="66">
                        <c:v>50</c:v>
                      </c:pt>
                      <c:pt idx="67">
                        <c:v>51.25</c:v>
                      </c:pt>
                      <c:pt idx="68">
                        <c:v>86</c:v>
                      </c:pt>
                      <c:pt idx="69">
                        <c:v>74</c:v>
                      </c:pt>
                      <c:pt idx="70">
                        <c:v>107.5</c:v>
                      </c:pt>
                      <c:pt idx="71">
                        <c:v>60</c:v>
                      </c:pt>
                      <c:pt idx="72">
                        <c:v>34</c:v>
                      </c:pt>
                      <c:pt idx="73">
                        <c:v>32</c:v>
                      </c:pt>
                      <c:pt idx="74">
                        <c:v>70</c:v>
                      </c:pt>
                      <c:pt idx="75">
                        <c:v>41</c:v>
                      </c:pt>
                      <c:pt idx="76">
                        <c:v>45</c:v>
                      </c:pt>
                      <c:pt idx="77">
                        <c:v>70</c:v>
                      </c:pt>
                      <c:pt idx="78">
                        <c:v>58.75</c:v>
                      </c:pt>
                      <c:pt idx="79">
                        <c:v>107.5</c:v>
                      </c:pt>
                      <c:pt idx="80">
                        <c:v>235</c:v>
                      </c:pt>
                      <c:pt idx="81">
                        <c:v>150</c:v>
                      </c:pt>
                      <c:pt idx="82">
                        <c:v>156.66666666666666</c:v>
                      </c:pt>
                      <c:pt idx="83">
                        <c:v>120</c:v>
                      </c:pt>
                      <c:pt idx="84">
                        <c:v>82</c:v>
                      </c:pt>
                      <c:pt idx="85">
                        <c:v>70</c:v>
                      </c:pt>
                      <c:pt idx="86">
                        <c:v>38</c:v>
                      </c:pt>
                      <c:pt idx="87">
                        <c:v>42</c:v>
                      </c:pt>
                      <c:pt idx="88">
                        <c:v>28</c:v>
                      </c:pt>
                      <c:pt idx="89">
                        <c:v>62.5</c:v>
                      </c:pt>
                      <c:pt idx="90">
                        <c:v>66</c:v>
                      </c:pt>
                      <c:pt idx="91">
                        <c:v>30</c:v>
                      </c:pt>
                      <c:pt idx="92">
                        <c:v>16</c:v>
                      </c:pt>
                      <c:pt idx="93">
                        <c:v>60</c:v>
                      </c:pt>
                      <c:pt idx="94">
                        <c:v>80</c:v>
                      </c:pt>
                      <c:pt idx="95">
                        <c:v>85</c:v>
                      </c:pt>
                      <c:pt idx="96">
                        <c:v>42</c:v>
                      </c:pt>
                      <c:pt idx="97">
                        <c:v>77.5</c:v>
                      </c:pt>
                      <c:pt idx="98">
                        <c:v>120</c:v>
                      </c:pt>
                      <c:pt idx="99">
                        <c:v>66.666666666666671</c:v>
                      </c:pt>
                      <c:pt idx="100">
                        <c:v>43.333333333333336</c:v>
                      </c:pt>
                      <c:pt idx="101">
                        <c:v>93.333333333333329</c:v>
                      </c:pt>
                      <c:pt idx="102">
                        <c:v>60</c:v>
                      </c:pt>
                      <c:pt idx="103">
                        <c:v>32.5</c:v>
                      </c:pt>
                      <c:pt idx="104">
                        <c:v>36.666666666666664</c:v>
                      </c:pt>
                      <c:pt idx="105">
                        <c:v>36.666666666666664</c:v>
                      </c:pt>
                      <c:pt idx="106">
                        <c:v>165</c:v>
                      </c:pt>
                      <c:pt idx="107">
                        <c:v>20</c:v>
                      </c:pt>
                      <c:pt idx="108">
                        <c:v>50</c:v>
                      </c:pt>
                      <c:pt idx="109">
                        <c:v>33.333333333333336</c:v>
                      </c:pt>
                      <c:pt idx="110">
                        <c:v>25</c:v>
                      </c:pt>
                      <c:pt idx="111">
                        <c:v>120</c:v>
                      </c:pt>
                      <c:pt idx="112">
                        <c:v>130</c:v>
                      </c:pt>
                      <c:pt idx="113">
                        <c:v>130</c:v>
                      </c:pt>
                      <c:pt idx="114">
                        <c:v>103.33333333333333</c:v>
                      </c:pt>
                      <c:pt idx="115">
                        <c:v>44</c:v>
                      </c:pt>
                      <c:pt idx="116">
                        <c:v>24</c:v>
                      </c:pt>
                      <c:pt idx="117">
                        <c:v>32</c:v>
                      </c:pt>
                      <c:pt idx="118">
                        <c:v>46</c:v>
                      </c:pt>
                      <c:pt idx="119">
                        <c:v>32</c:v>
                      </c:pt>
                      <c:pt idx="120">
                        <c:v>40</c:v>
                      </c:pt>
                      <c:pt idx="121">
                        <c:v>105</c:v>
                      </c:pt>
                      <c:pt idx="122">
                        <c:v>38</c:v>
                      </c:pt>
                      <c:pt idx="123">
                        <c:v>53.333333333333336</c:v>
                      </c:pt>
                      <c:pt idx="124">
                        <c:v>75</c:v>
                      </c:pt>
                      <c:pt idx="125">
                        <c:v>53.333333333333336</c:v>
                      </c:pt>
                      <c:pt idx="126">
                        <c:v>36</c:v>
                      </c:pt>
                      <c:pt idx="127">
                        <c:v>38</c:v>
                      </c:pt>
                      <c:pt idx="128">
                        <c:v>36</c:v>
                      </c:pt>
                      <c:pt idx="129">
                        <c:v>62.5</c:v>
                      </c:pt>
                      <c:pt idx="130">
                        <c:v>90</c:v>
                      </c:pt>
                      <c:pt idx="131">
                        <c:v>90</c:v>
                      </c:pt>
                      <c:pt idx="132">
                        <c:v>175</c:v>
                      </c:pt>
                      <c:pt idx="133">
                        <c:v>140</c:v>
                      </c:pt>
                      <c:pt idx="134">
                        <c:v>106.66666666666667</c:v>
                      </c:pt>
                      <c:pt idx="135">
                        <c:v>106.66666666666667</c:v>
                      </c:pt>
                      <c:pt idx="136">
                        <c:v>75</c:v>
                      </c:pt>
                      <c:pt idx="137">
                        <c:v>63.333333333333336</c:v>
                      </c:pt>
                      <c:pt idx="138">
                        <c:v>70</c:v>
                      </c:pt>
                      <c:pt idx="139">
                        <c:v>67.5</c:v>
                      </c:pt>
                      <c:pt idx="140">
                        <c:v>40</c:v>
                      </c:pt>
                      <c:pt idx="141">
                        <c:v>34</c:v>
                      </c:pt>
                      <c:pt idx="142">
                        <c:v>33.333333333333336</c:v>
                      </c:pt>
                      <c:pt idx="143">
                        <c:v>40</c:v>
                      </c:pt>
                      <c:pt idx="144">
                        <c:v>72</c:v>
                      </c:pt>
                      <c:pt idx="145">
                        <c:v>133.33333333333334</c:v>
                      </c:pt>
                      <c:pt idx="146">
                        <c:v>115</c:v>
                      </c:pt>
                      <c:pt idx="147">
                        <c:v>107.5</c:v>
                      </c:pt>
                      <c:pt idx="148">
                        <c:v>90</c:v>
                      </c:pt>
                      <c:pt idx="149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C48-4C05-86B5-5552785531F0}"/>
                  </c:ext>
                </c:extLst>
              </c15:ser>
            </c15:filteredScatterSeries>
          </c:ext>
        </c:extLst>
      </c:scatterChart>
      <c:valAx>
        <c:axId val="119313249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 b="1"/>
                  <a:t>RMR 76</a:t>
                </a:r>
              </a:p>
            </c:rich>
          </c:tx>
          <c:layout>
            <c:manualLayout>
              <c:xMode val="edge"/>
              <c:yMode val="edge"/>
              <c:x val="0.45911417747722189"/>
              <c:y val="2.6540946362306611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  <c:majorUnit val="10"/>
      </c:valAx>
      <c:valAx>
        <c:axId val="1193133936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3600" b="1"/>
                  <a:t>Spacing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8710269712453498"/>
          <c:y val="0.20098649440155461"/>
          <c:w val="0.17509791667715993"/>
          <c:h val="0.1130899349484701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Lithology Fractures</a:t>
            </a:r>
            <a:r>
              <a:rPr lang="es-PE" sz="2400" b="1" baseline="0"/>
              <a:t> vs Spacing </a:t>
            </a:r>
            <a:endParaRPr lang="es-PE" sz="2400" b="1"/>
          </a:p>
        </c:rich>
      </c:tx>
      <c:layout>
        <c:manualLayout>
          <c:xMode val="edge"/>
          <c:yMode val="edge"/>
          <c:x val="0.28291288953357269"/>
          <c:y val="2.88317627408769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9637676749939579"/>
          <c:h val="0.75531322158105763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0DD5-400A-9AE9-3C2ED96160F8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3"/>
            <c:bubble3D val="0"/>
            <c:spPr>
              <a:ln w="1905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DD5-400A-9AE9-3C2ED96160F8}"/>
              </c:ext>
            </c:extLst>
          </c:dPt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DD5-400A-9AE9-3C2ED96160F8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DD5-400A-9AE9-3C2ED96160F8}"/>
            </c:ext>
          </c:extLst>
        </c:ser>
        <c:ser>
          <c:idx val="3"/>
          <c:order val="3"/>
          <c:tx>
            <c:v>Lithology 30</c:v>
          </c:tx>
          <c:spPr>
            <a:ln>
              <a:noFill/>
            </a:ln>
          </c:spPr>
          <c:marker>
            <c:symbol val="square"/>
            <c:size val="1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'5. Quantificación de DESMONTE'!$AS$5:$AS$22</c:f>
              <c:numCache>
                <c:formatCode>0.00</c:formatCode>
                <c:ptCount val="18"/>
                <c:pt idx="0">
                  <c:v>51.666666666666664</c:v>
                </c:pt>
                <c:pt idx="1">
                  <c:v>13</c:v>
                </c:pt>
                <c:pt idx="2">
                  <c:v>11</c:v>
                </c:pt>
                <c:pt idx="3">
                  <c:v>14</c:v>
                </c:pt>
                <c:pt idx="4">
                  <c:v>23</c:v>
                </c:pt>
                <c:pt idx="5">
                  <c:v>34</c:v>
                </c:pt>
                <c:pt idx="6">
                  <c:v>13</c:v>
                </c:pt>
                <c:pt idx="7">
                  <c:v>51.666666666666664</c:v>
                </c:pt>
                <c:pt idx="8">
                  <c:v>54</c:v>
                </c:pt>
                <c:pt idx="9">
                  <c:v>110</c:v>
                </c:pt>
                <c:pt idx="11">
                  <c:v>166.66666666666666</c:v>
                </c:pt>
                <c:pt idx="13">
                  <c:v>87.5</c:v>
                </c:pt>
                <c:pt idx="14">
                  <c:v>47.5</c:v>
                </c:pt>
                <c:pt idx="15">
                  <c:v>103.33333333333333</c:v>
                </c:pt>
                <c:pt idx="17">
                  <c:v>286.66666666666669</c:v>
                </c:pt>
              </c:numCache>
            </c:numRef>
          </c:xVal>
          <c:yVal>
            <c:numRef>
              <c:f>'5. Quantificación de DESMONTE'!$AO$5:$AO$22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52</c:v>
                </c:pt>
                <c:pt idx="9">
                  <c:v>36</c:v>
                </c:pt>
                <c:pt idx="10">
                  <c:v>100</c:v>
                </c:pt>
                <c:pt idx="11">
                  <c:v>62</c:v>
                </c:pt>
                <c:pt idx="12">
                  <c:v>94.736842105263278</c:v>
                </c:pt>
                <c:pt idx="13">
                  <c:v>34</c:v>
                </c:pt>
                <c:pt idx="14">
                  <c:v>32</c:v>
                </c:pt>
                <c:pt idx="15">
                  <c:v>22</c:v>
                </c:pt>
                <c:pt idx="16">
                  <c:v>85.714285714285367</c:v>
                </c:pt>
                <c:pt idx="17">
                  <c:v>58.510638297872489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D5-400A-9AE9-3C2ED96160F8}"/>
            </c:ext>
          </c:extLst>
        </c:ser>
        <c:ser>
          <c:idx val="4"/>
          <c:order val="4"/>
          <c:tx>
            <c:v>Lithology 40</c:v>
          </c:tx>
          <c:spPr>
            <a:ln>
              <a:noFill/>
            </a:ln>
          </c:spPr>
          <c:marker>
            <c:symbol val="square"/>
            <c:size val="14"/>
            <c:spPr>
              <a:solidFill>
                <a:srgbClr val="EEDFAA"/>
              </a:solidFill>
              <a:ln>
                <a:solidFill>
                  <a:srgbClr val="EEDFAA"/>
                </a:solidFill>
              </a:ln>
            </c:spPr>
          </c:marker>
          <c:xVal>
            <c:numRef>
              <c:f>'5. Quantificación de DESMONTE'!$AS$28:$AS$48</c:f>
              <c:numCache>
                <c:formatCode>0.00</c:formatCode>
                <c:ptCount val="21"/>
                <c:pt idx="0">
                  <c:v>126.66666666666667</c:v>
                </c:pt>
                <c:pt idx="1">
                  <c:v>140</c:v>
                </c:pt>
                <c:pt idx="2">
                  <c:v>19</c:v>
                </c:pt>
                <c:pt idx="3">
                  <c:v>76.666666666666671</c:v>
                </c:pt>
                <c:pt idx="4">
                  <c:v>86</c:v>
                </c:pt>
                <c:pt idx="5">
                  <c:v>112.5</c:v>
                </c:pt>
                <c:pt idx="6">
                  <c:v>235</c:v>
                </c:pt>
                <c:pt idx="7">
                  <c:v>70</c:v>
                </c:pt>
                <c:pt idx="8">
                  <c:v>102.5</c:v>
                </c:pt>
                <c:pt idx="9">
                  <c:v>107.5</c:v>
                </c:pt>
                <c:pt idx="10">
                  <c:v>44</c:v>
                </c:pt>
                <c:pt idx="11">
                  <c:v>46</c:v>
                </c:pt>
                <c:pt idx="12">
                  <c:v>73.333333333333329</c:v>
                </c:pt>
                <c:pt idx="13">
                  <c:v>140</c:v>
                </c:pt>
                <c:pt idx="14">
                  <c:v>70</c:v>
                </c:pt>
                <c:pt idx="15">
                  <c:v>92.5</c:v>
                </c:pt>
                <c:pt idx="16">
                  <c:v>48.571428571428569</c:v>
                </c:pt>
                <c:pt idx="17">
                  <c:v>81.666666666666671</c:v>
                </c:pt>
                <c:pt idx="18">
                  <c:v>93.333333333333329</c:v>
                </c:pt>
                <c:pt idx="19">
                  <c:v>55</c:v>
                </c:pt>
                <c:pt idx="20">
                  <c:v>19</c:v>
                </c:pt>
              </c:numCache>
            </c:numRef>
          </c:xVal>
          <c:yVal>
            <c:numRef>
              <c:f>'5. Quantificación de DESMONTE'!$AO$28:$AO$48</c:f>
              <c:numCache>
                <c:formatCode>0</c:formatCode>
                <c:ptCount val="21"/>
                <c:pt idx="0">
                  <c:v>60</c:v>
                </c:pt>
                <c:pt idx="1">
                  <c:v>100</c:v>
                </c:pt>
                <c:pt idx="2">
                  <c:v>0</c:v>
                </c:pt>
                <c:pt idx="3">
                  <c:v>22</c:v>
                </c:pt>
                <c:pt idx="4">
                  <c:v>42.000000000000007</c:v>
                </c:pt>
                <c:pt idx="5">
                  <c:v>56.000000000000007</c:v>
                </c:pt>
                <c:pt idx="6">
                  <c:v>62</c:v>
                </c:pt>
                <c:pt idx="7">
                  <c:v>32</c:v>
                </c:pt>
                <c:pt idx="8">
                  <c:v>42</c:v>
                </c:pt>
                <c:pt idx="9">
                  <c:v>50</c:v>
                </c:pt>
                <c:pt idx="10">
                  <c:v>38</c:v>
                </c:pt>
                <c:pt idx="11">
                  <c:v>22</c:v>
                </c:pt>
                <c:pt idx="12">
                  <c:v>24</c:v>
                </c:pt>
                <c:pt idx="13">
                  <c:v>28.000000000000004</c:v>
                </c:pt>
                <c:pt idx="14">
                  <c:v>44</c:v>
                </c:pt>
                <c:pt idx="15">
                  <c:v>40</c:v>
                </c:pt>
                <c:pt idx="16">
                  <c:v>0</c:v>
                </c:pt>
                <c:pt idx="17">
                  <c:v>54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DD5-400A-9AE9-3C2ED96160F8}"/>
            </c:ext>
          </c:extLst>
        </c:ser>
        <c:ser>
          <c:idx val="5"/>
          <c:order val="5"/>
          <c:tx>
            <c:v>Lithology 50</c:v>
          </c:tx>
          <c:spPr>
            <a:ln>
              <a:noFill/>
            </a:ln>
          </c:spPr>
          <c:marker>
            <c:symbol val="square"/>
            <c:size val="15"/>
            <c:spPr>
              <a:solidFill>
                <a:srgbClr val="FF99CC"/>
              </a:solidFill>
              <a:ln>
                <a:solidFill>
                  <a:srgbClr val="FF99CC"/>
                </a:solidFill>
              </a:ln>
            </c:spPr>
          </c:marker>
          <c:xVal>
            <c:numRef>
              <c:f>'5. Quantificación de DESMONTE'!$AS$53:$AS$60</c:f>
              <c:numCache>
                <c:formatCode>0.00</c:formatCode>
                <c:ptCount val="8"/>
                <c:pt idx="0">
                  <c:v>180</c:v>
                </c:pt>
                <c:pt idx="1">
                  <c:v>78</c:v>
                </c:pt>
                <c:pt idx="2">
                  <c:v>87.5</c:v>
                </c:pt>
                <c:pt idx="3">
                  <c:v>15.333333333333334</c:v>
                </c:pt>
                <c:pt idx="4">
                  <c:v>96.666666666666671</c:v>
                </c:pt>
                <c:pt idx="5">
                  <c:v>20.76923076923077</c:v>
                </c:pt>
                <c:pt idx="6">
                  <c:v>29</c:v>
                </c:pt>
                <c:pt idx="7">
                  <c:v>0</c:v>
                </c:pt>
              </c:numCache>
            </c:numRef>
          </c:xVal>
          <c:yVal>
            <c:numRef>
              <c:f>'5. Quantificación de DESMONTE'!$AO$53:$AO$60</c:f>
              <c:numCache>
                <c:formatCode>0</c:formatCode>
                <c:ptCount val="8"/>
                <c:pt idx="0">
                  <c:v>60</c:v>
                </c:pt>
                <c:pt idx="1">
                  <c:v>26</c:v>
                </c:pt>
                <c:pt idx="2">
                  <c:v>32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DD5-400A-9AE9-3C2ED96160F8}"/>
            </c:ext>
          </c:extLst>
        </c:ser>
        <c:ser>
          <c:idx val="6"/>
          <c:order val="6"/>
          <c:tx>
            <c:v>Lithology 10</c:v>
          </c:tx>
          <c:spPr>
            <a:ln>
              <a:noFill/>
            </a:ln>
          </c:spPr>
          <c:marker>
            <c:symbol val="square"/>
            <c:size val="1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'5. Quantificación de DESMONTE'!$BN$5:$BN$64</c:f>
              <c:numCache>
                <c:formatCode>0.00</c:formatCode>
                <c:ptCount val="60"/>
                <c:pt idx="0">
                  <c:v>164</c:v>
                </c:pt>
                <c:pt idx="1">
                  <c:v>240</c:v>
                </c:pt>
                <c:pt idx="2">
                  <c:v>233.33333333333334</c:v>
                </c:pt>
                <c:pt idx="3">
                  <c:v>236.66666666666666</c:v>
                </c:pt>
                <c:pt idx="4">
                  <c:v>150</c:v>
                </c:pt>
                <c:pt idx="5">
                  <c:v>72</c:v>
                </c:pt>
                <c:pt idx="6">
                  <c:v>105.71428571428571</c:v>
                </c:pt>
                <c:pt idx="7">
                  <c:v>520</c:v>
                </c:pt>
                <c:pt idx="8">
                  <c:v>123.33333333333333</c:v>
                </c:pt>
                <c:pt idx="9">
                  <c:v>73.333333333333329</c:v>
                </c:pt>
                <c:pt idx="10">
                  <c:v>49</c:v>
                </c:pt>
                <c:pt idx="11">
                  <c:v>125</c:v>
                </c:pt>
                <c:pt idx="12">
                  <c:v>146.66666666666666</c:v>
                </c:pt>
                <c:pt idx="13">
                  <c:v>32.666666666666664</c:v>
                </c:pt>
                <c:pt idx="14">
                  <c:v>124</c:v>
                </c:pt>
                <c:pt idx="15">
                  <c:v>98</c:v>
                </c:pt>
                <c:pt idx="16">
                  <c:v>120</c:v>
                </c:pt>
                <c:pt idx="17">
                  <c:v>32.666666666666664</c:v>
                </c:pt>
                <c:pt idx="18">
                  <c:v>150</c:v>
                </c:pt>
                <c:pt idx="19">
                  <c:v>126.66666666666667</c:v>
                </c:pt>
                <c:pt idx="20">
                  <c:v>46</c:v>
                </c:pt>
                <c:pt idx="21">
                  <c:v>126.66666666666667</c:v>
                </c:pt>
                <c:pt idx="22">
                  <c:v>156.66666666666666</c:v>
                </c:pt>
                <c:pt idx="23">
                  <c:v>86</c:v>
                </c:pt>
                <c:pt idx="24">
                  <c:v>125</c:v>
                </c:pt>
                <c:pt idx="25">
                  <c:v>41.666666666666664</c:v>
                </c:pt>
                <c:pt idx="26">
                  <c:v>55</c:v>
                </c:pt>
                <c:pt idx="27">
                  <c:v>43.333333333333336</c:v>
                </c:pt>
                <c:pt idx="28">
                  <c:v>24</c:v>
                </c:pt>
                <c:pt idx="29">
                  <c:v>28</c:v>
                </c:pt>
                <c:pt idx="30">
                  <c:v>33.75</c:v>
                </c:pt>
                <c:pt idx="31">
                  <c:v>74</c:v>
                </c:pt>
                <c:pt idx="32">
                  <c:v>47.142857142857146</c:v>
                </c:pt>
                <c:pt idx="33">
                  <c:v>150</c:v>
                </c:pt>
                <c:pt idx="34">
                  <c:v>65</c:v>
                </c:pt>
                <c:pt idx="35">
                  <c:v>70</c:v>
                </c:pt>
                <c:pt idx="36">
                  <c:v>28.571428571428573</c:v>
                </c:pt>
                <c:pt idx="37">
                  <c:v>71.666666666666671</c:v>
                </c:pt>
                <c:pt idx="38">
                  <c:v>53</c:v>
                </c:pt>
                <c:pt idx="39">
                  <c:v>100</c:v>
                </c:pt>
                <c:pt idx="40">
                  <c:v>485</c:v>
                </c:pt>
                <c:pt idx="41">
                  <c:v>71.428571428571431</c:v>
                </c:pt>
                <c:pt idx="42">
                  <c:v>27</c:v>
                </c:pt>
                <c:pt idx="43">
                  <c:v>25</c:v>
                </c:pt>
                <c:pt idx="44">
                  <c:v>100</c:v>
                </c:pt>
                <c:pt idx="45">
                  <c:v>146.66666666666666</c:v>
                </c:pt>
                <c:pt idx="46">
                  <c:v>100</c:v>
                </c:pt>
                <c:pt idx="47">
                  <c:v>83.333333333333329</c:v>
                </c:pt>
                <c:pt idx="48">
                  <c:v>90</c:v>
                </c:pt>
                <c:pt idx="49">
                  <c:v>60</c:v>
                </c:pt>
                <c:pt idx="50">
                  <c:v>86</c:v>
                </c:pt>
                <c:pt idx="51">
                  <c:v>29</c:v>
                </c:pt>
                <c:pt idx="52">
                  <c:v>16.666666666666668</c:v>
                </c:pt>
                <c:pt idx="53">
                  <c:v>235</c:v>
                </c:pt>
                <c:pt idx="54">
                  <c:v>170</c:v>
                </c:pt>
                <c:pt idx="55">
                  <c:v>170</c:v>
                </c:pt>
                <c:pt idx="56">
                  <c:v>100</c:v>
                </c:pt>
                <c:pt idx="57">
                  <c:v>500</c:v>
                </c:pt>
                <c:pt idx="58">
                  <c:v>1330</c:v>
                </c:pt>
                <c:pt idx="59">
                  <c:v>305</c:v>
                </c:pt>
              </c:numCache>
            </c:numRef>
          </c:xVal>
          <c:yVal>
            <c:numRef>
              <c:f>'5. Quantificación de DESMONTE'!$BJ$5:$BJ$64</c:f>
              <c:numCache>
                <c:formatCode>0</c:formatCode>
                <c:ptCount val="60"/>
                <c:pt idx="0">
                  <c:v>52.427184466019362</c:v>
                </c:pt>
                <c:pt idx="1">
                  <c:v>80</c:v>
                </c:pt>
                <c:pt idx="2">
                  <c:v>82.432432432432606</c:v>
                </c:pt>
                <c:pt idx="3">
                  <c:v>74.999999999999929</c:v>
                </c:pt>
                <c:pt idx="4">
                  <c:v>40</c:v>
                </c:pt>
                <c:pt idx="5">
                  <c:v>30</c:v>
                </c:pt>
                <c:pt idx="6">
                  <c:v>26.666666666666668</c:v>
                </c:pt>
                <c:pt idx="7">
                  <c:v>92.857142857142478</c:v>
                </c:pt>
                <c:pt idx="8">
                  <c:v>64</c:v>
                </c:pt>
                <c:pt idx="9">
                  <c:v>40</c:v>
                </c:pt>
                <c:pt idx="10">
                  <c:v>0</c:v>
                </c:pt>
                <c:pt idx="11">
                  <c:v>57.999999999999993</c:v>
                </c:pt>
                <c:pt idx="12">
                  <c:v>36</c:v>
                </c:pt>
                <c:pt idx="13">
                  <c:v>0</c:v>
                </c:pt>
                <c:pt idx="14">
                  <c:v>32.85714285714306</c:v>
                </c:pt>
                <c:pt idx="15">
                  <c:v>49.999999999999879</c:v>
                </c:pt>
                <c:pt idx="16">
                  <c:v>22</c:v>
                </c:pt>
                <c:pt idx="17">
                  <c:v>0</c:v>
                </c:pt>
                <c:pt idx="18">
                  <c:v>39.999999999999901</c:v>
                </c:pt>
                <c:pt idx="19">
                  <c:v>56.000000000000007</c:v>
                </c:pt>
                <c:pt idx="20">
                  <c:v>0</c:v>
                </c:pt>
                <c:pt idx="21">
                  <c:v>47.500000000000171</c:v>
                </c:pt>
                <c:pt idx="22">
                  <c:v>31.666666666666593</c:v>
                </c:pt>
                <c:pt idx="23">
                  <c:v>30</c:v>
                </c:pt>
                <c:pt idx="24">
                  <c:v>21.428571428571558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36</c:v>
                </c:pt>
                <c:pt idx="34">
                  <c:v>28.000000000000004</c:v>
                </c:pt>
                <c:pt idx="35">
                  <c:v>24</c:v>
                </c:pt>
                <c:pt idx="36">
                  <c:v>0</c:v>
                </c:pt>
                <c:pt idx="37">
                  <c:v>34.545454545454277</c:v>
                </c:pt>
                <c:pt idx="38">
                  <c:v>0</c:v>
                </c:pt>
                <c:pt idx="39">
                  <c:v>35.714285714285573</c:v>
                </c:pt>
                <c:pt idx="40">
                  <c:v>81</c:v>
                </c:pt>
                <c:pt idx="41">
                  <c:v>28.000000000000004</c:v>
                </c:pt>
                <c:pt idx="42">
                  <c:v>0</c:v>
                </c:pt>
                <c:pt idx="43">
                  <c:v>0</c:v>
                </c:pt>
                <c:pt idx="44">
                  <c:v>54</c:v>
                </c:pt>
                <c:pt idx="45">
                  <c:v>20</c:v>
                </c:pt>
                <c:pt idx="46">
                  <c:v>32</c:v>
                </c:pt>
                <c:pt idx="47">
                  <c:v>32</c:v>
                </c:pt>
                <c:pt idx="48">
                  <c:v>30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80</c:v>
                </c:pt>
                <c:pt idx="54">
                  <c:v>54.545454545454831</c:v>
                </c:pt>
                <c:pt idx="55">
                  <c:v>69.999999999999829</c:v>
                </c:pt>
                <c:pt idx="56">
                  <c:v>32</c:v>
                </c:pt>
                <c:pt idx="57">
                  <c:v>100</c:v>
                </c:pt>
                <c:pt idx="58">
                  <c:v>94.736842105263278</c:v>
                </c:pt>
                <c:pt idx="59">
                  <c:v>85.714285714285367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DD5-400A-9AE9-3C2ED9616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0207767001890082"/>
          <c:y val="0.92553533419875844"/>
          <c:w val="0.85683037409857787"/>
          <c:h val="7.4464665801241614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1612012655479"/>
          <c:y val="0.16872245674225522"/>
          <c:w val="0.83034819279940808"/>
          <c:h val="0.8110291023345344"/>
        </c:manualLayout>
      </c:layout>
      <c:scatterChart>
        <c:scatterStyle val="lineMarker"/>
        <c:varyColors val="0"/>
        <c:ser>
          <c:idx val="4"/>
          <c:order val="0"/>
          <c:tx>
            <c:v>Lithology 30</c:v>
          </c:tx>
          <c:spPr>
            <a:ln w="19050">
              <a:noFill/>
            </a:ln>
          </c:spPr>
          <c:xVal>
            <c:numRef>
              <c:f>'5. Quantificación de DESMONTE'!$AT$5:$AT$22</c:f>
              <c:numCache>
                <c:formatCode>0.0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7</c:v>
                </c:pt>
                <c:pt idx="11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7">
                  <c:v>4</c:v>
                </c:pt>
              </c:numCache>
            </c:numRef>
          </c:xVal>
          <c:yVal>
            <c:numRef>
              <c:f>'5. Quantificación de DESMONTE'!$AS$5:$AS$22</c:f>
              <c:numCache>
                <c:formatCode>0.00</c:formatCode>
                <c:ptCount val="18"/>
                <c:pt idx="0">
                  <c:v>51.666666666666664</c:v>
                </c:pt>
                <c:pt idx="1">
                  <c:v>13</c:v>
                </c:pt>
                <c:pt idx="2">
                  <c:v>11</c:v>
                </c:pt>
                <c:pt idx="3">
                  <c:v>14</c:v>
                </c:pt>
                <c:pt idx="4">
                  <c:v>23</c:v>
                </c:pt>
                <c:pt idx="5">
                  <c:v>34</c:v>
                </c:pt>
                <c:pt idx="6">
                  <c:v>13</c:v>
                </c:pt>
                <c:pt idx="7">
                  <c:v>51.666666666666664</c:v>
                </c:pt>
                <c:pt idx="8">
                  <c:v>54</c:v>
                </c:pt>
                <c:pt idx="9">
                  <c:v>110</c:v>
                </c:pt>
                <c:pt idx="11">
                  <c:v>166.66666666666666</c:v>
                </c:pt>
                <c:pt idx="13">
                  <c:v>87.5</c:v>
                </c:pt>
                <c:pt idx="14">
                  <c:v>47.5</c:v>
                </c:pt>
                <c:pt idx="15">
                  <c:v>103.33333333333333</c:v>
                </c:pt>
                <c:pt idx="17">
                  <c:v>286.66666666666669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92-4E16-ABF9-CC9A035ED9B3}"/>
            </c:ext>
          </c:extLst>
        </c:ser>
        <c:ser>
          <c:idx val="0"/>
          <c:order val="1"/>
          <c:tx>
            <c:v>Lithology 40</c:v>
          </c:tx>
          <c:spPr>
            <a:ln w="19050">
              <a:noFill/>
            </a:ln>
          </c:spPr>
          <c:xVal>
            <c:numRef>
              <c:f>'5. Quantificación de DESMONTE'!$AT$28:$AT$48</c:f>
              <c:numCache>
                <c:formatCode>0.0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xVal>
          <c:yVal>
            <c:numRef>
              <c:f>'5. Quantificación de DESMONTE'!$AS$28:$AS$48</c:f>
              <c:numCache>
                <c:formatCode>0.00</c:formatCode>
                <c:ptCount val="21"/>
                <c:pt idx="0">
                  <c:v>126.66666666666667</c:v>
                </c:pt>
                <c:pt idx="1">
                  <c:v>140</c:v>
                </c:pt>
                <c:pt idx="2">
                  <c:v>19</c:v>
                </c:pt>
                <c:pt idx="3">
                  <c:v>76.666666666666671</c:v>
                </c:pt>
                <c:pt idx="4">
                  <c:v>86</c:v>
                </c:pt>
                <c:pt idx="5">
                  <c:v>112.5</c:v>
                </c:pt>
                <c:pt idx="6">
                  <c:v>235</c:v>
                </c:pt>
                <c:pt idx="7">
                  <c:v>70</c:v>
                </c:pt>
                <c:pt idx="8">
                  <c:v>102.5</c:v>
                </c:pt>
                <c:pt idx="9">
                  <c:v>107.5</c:v>
                </c:pt>
                <c:pt idx="10">
                  <c:v>44</c:v>
                </c:pt>
                <c:pt idx="11">
                  <c:v>46</c:v>
                </c:pt>
                <c:pt idx="12">
                  <c:v>73.333333333333329</c:v>
                </c:pt>
                <c:pt idx="13">
                  <c:v>140</c:v>
                </c:pt>
                <c:pt idx="14">
                  <c:v>70</c:v>
                </c:pt>
                <c:pt idx="15">
                  <c:v>92.5</c:v>
                </c:pt>
                <c:pt idx="16">
                  <c:v>48.571428571428569</c:v>
                </c:pt>
                <c:pt idx="17">
                  <c:v>81.666666666666671</c:v>
                </c:pt>
                <c:pt idx="18">
                  <c:v>93.333333333333329</c:v>
                </c:pt>
                <c:pt idx="19">
                  <c:v>55</c:v>
                </c:pt>
                <c:pt idx="2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92-4E16-ABF9-CC9A035ED9B3}"/>
            </c:ext>
          </c:extLst>
        </c:ser>
        <c:ser>
          <c:idx val="1"/>
          <c:order val="2"/>
          <c:tx>
            <c:v>Lithology 50</c:v>
          </c:tx>
          <c:spPr>
            <a:ln w="19050">
              <a:noFill/>
            </a:ln>
          </c:spPr>
          <c:xVal>
            <c:numRef>
              <c:f>'5. Quantificación de DESMONTE'!$AT$53:$AT$60</c:f>
              <c:numCache>
                <c:formatCode>0.0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xVal>
          <c:yVal>
            <c:numRef>
              <c:f>'5. Quantificación de DESMONTE'!$AS$53:$AS$60</c:f>
              <c:numCache>
                <c:formatCode>0.00</c:formatCode>
                <c:ptCount val="8"/>
                <c:pt idx="0">
                  <c:v>180</c:v>
                </c:pt>
                <c:pt idx="1">
                  <c:v>78</c:v>
                </c:pt>
                <c:pt idx="2">
                  <c:v>87.5</c:v>
                </c:pt>
                <c:pt idx="3">
                  <c:v>15.333333333333334</c:v>
                </c:pt>
                <c:pt idx="4">
                  <c:v>96.666666666666671</c:v>
                </c:pt>
                <c:pt idx="5">
                  <c:v>20.76923076923077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E92-4E16-ABF9-CC9A035ED9B3}"/>
            </c:ext>
          </c:extLst>
        </c:ser>
        <c:ser>
          <c:idx val="2"/>
          <c:order val="3"/>
          <c:tx>
            <c:v>Lithology 10</c:v>
          </c:tx>
          <c:spPr>
            <a:ln w="19050">
              <a:noFill/>
            </a:ln>
          </c:spPr>
          <c:xVal>
            <c:numRef>
              <c:f>'5. Quantificación de DESMONTE'!$BO$5:$BO$64</c:f>
              <c:numCache>
                <c:formatCode>0.0</c:formatCode>
                <c:ptCount val="60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7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4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0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2</c:v>
                </c:pt>
                <c:pt idx="57">
                  <c:v>7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'5. Quantificación de DESMONTE'!$BN$5:$BN$64</c:f>
              <c:numCache>
                <c:formatCode>0.00</c:formatCode>
                <c:ptCount val="60"/>
                <c:pt idx="0">
                  <c:v>164</c:v>
                </c:pt>
                <c:pt idx="1">
                  <c:v>240</c:v>
                </c:pt>
                <c:pt idx="2">
                  <c:v>233.33333333333334</c:v>
                </c:pt>
                <c:pt idx="3">
                  <c:v>236.66666666666666</c:v>
                </c:pt>
                <c:pt idx="4">
                  <c:v>150</c:v>
                </c:pt>
                <c:pt idx="5">
                  <c:v>72</c:v>
                </c:pt>
                <c:pt idx="6">
                  <c:v>105.71428571428571</c:v>
                </c:pt>
                <c:pt idx="7">
                  <c:v>520</c:v>
                </c:pt>
                <c:pt idx="8">
                  <c:v>123.33333333333333</c:v>
                </c:pt>
                <c:pt idx="9">
                  <c:v>73.333333333333329</c:v>
                </c:pt>
                <c:pt idx="10">
                  <c:v>49</c:v>
                </c:pt>
                <c:pt idx="11">
                  <c:v>125</c:v>
                </c:pt>
                <c:pt idx="12">
                  <c:v>146.66666666666666</c:v>
                </c:pt>
                <c:pt idx="13">
                  <c:v>32.666666666666664</c:v>
                </c:pt>
                <c:pt idx="14">
                  <c:v>124</c:v>
                </c:pt>
                <c:pt idx="15">
                  <c:v>98</c:v>
                </c:pt>
                <c:pt idx="16">
                  <c:v>120</c:v>
                </c:pt>
                <c:pt idx="17">
                  <c:v>32.666666666666664</c:v>
                </c:pt>
                <c:pt idx="18">
                  <c:v>150</c:v>
                </c:pt>
                <c:pt idx="19">
                  <c:v>126.66666666666667</c:v>
                </c:pt>
                <c:pt idx="20">
                  <c:v>46</c:v>
                </c:pt>
                <c:pt idx="21">
                  <c:v>126.66666666666667</c:v>
                </c:pt>
                <c:pt idx="22">
                  <c:v>156.66666666666666</c:v>
                </c:pt>
                <c:pt idx="23">
                  <c:v>86</c:v>
                </c:pt>
                <c:pt idx="24">
                  <c:v>125</c:v>
                </c:pt>
                <c:pt idx="25">
                  <c:v>41.666666666666664</c:v>
                </c:pt>
                <c:pt idx="26">
                  <c:v>55</c:v>
                </c:pt>
                <c:pt idx="27">
                  <c:v>43.333333333333336</c:v>
                </c:pt>
                <c:pt idx="28">
                  <c:v>24</c:v>
                </c:pt>
                <c:pt idx="29">
                  <c:v>28</c:v>
                </c:pt>
                <c:pt idx="30">
                  <c:v>33.75</c:v>
                </c:pt>
                <c:pt idx="31">
                  <c:v>74</c:v>
                </c:pt>
                <c:pt idx="32">
                  <c:v>47.142857142857146</c:v>
                </c:pt>
                <c:pt idx="33">
                  <c:v>150</c:v>
                </c:pt>
                <c:pt idx="34">
                  <c:v>65</c:v>
                </c:pt>
                <c:pt idx="35">
                  <c:v>70</c:v>
                </c:pt>
                <c:pt idx="36">
                  <c:v>28.571428571428573</c:v>
                </c:pt>
                <c:pt idx="37">
                  <c:v>71.666666666666671</c:v>
                </c:pt>
                <c:pt idx="38">
                  <c:v>53</c:v>
                </c:pt>
                <c:pt idx="39">
                  <c:v>100</c:v>
                </c:pt>
                <c:pt idx="40">
                  <c:v>485</c:v>
                </c:pt>
                <c:pt idx="41">
                  <c:v>71.428571428571431</c:v>
                </c:pt>
                <c:pt idx="42">
                  <c:v>27</c:v>
                </c:pt>
                <c:pt idx="43">
                  <c:v>25</c:v>
                </c:pt>
                <c:pt idx="44">
                  <c:v>100</c:v>
                </c:pt>
                <c:pt idx="45">
                  <c:v>146.66666666666666</c:v>
                </c:pt>
                <c:pt idx="46">
                  <c:v>100</c:v>
                </c:pt>
                <c:pt idx="47">
                  <c:v>83.333333333333329</c:v>
                </c:pt>
                <c:pt idx="48">
                  <c:v>90</c:v>
                </c:pt>
                <c:pt idx="49">
                  <c:v>60</c:v>
                </c:pt>
                <c:pt idx="50">
                  <c:v>86</c:v>
                </c:pt>
                <c:pt idx="51">
                  <c:v>29</c:v>
                </c:pt>
                <c:pt idx="52">
                  <c:v>16.666666666666668</c:v>
                </c:pt>
                <c:pt idx="53">
                  <c:v>235</c:v>
                </c:pt>
                <c:pt idx="54">
                  <c:v>170</c:v>
                </c:pt>
                <c:pt idx="55">
                  <c:v>170</c:v>
                </c:pt>
                <c:pt idx="56">
                  <c:v>100</c:v>
                </c:pt>
                <c:pt idx="57">
                  <c:v>500</c:v>
                </c:pt>
                <c:pt idx="58">
                  <c:v>1330</c:v>
                </c:pt>
                <c:pt idx="59">
                  <c:v>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E92-4E16-ABF9-CC9A035ED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32496"/>
        <c:axId val="1193133936"/>
        <c:extLst/>
      </c:scatterChart>
      <c:valAx>
        <c:axId val="1193132496"/>
        <c:scaling>
          <c:orientation val="minMax"/>
          <c:max val="8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Strenght</a:t>
                </a:r>
                <a:r>
                  <a:rPr lang="pt-BR" sz="2000" b="1" baseline="0"/>
                  <a:t> (Bieniaswki, 1989)</a:t>
                </a:r>
                <a:endParaRPr lang="pt-BR" sz="2000" b="1"/>
              </a:p>
            </c:rich>
          </c:tx>
          <c:layout>
            <c:manualLayout>
              <c:xMode val="edge"/>
              <c:yMode val="edge"/>
              <c:x val="0.39550221767250288"/>
              <c:y val="2.470198895454790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3936"/>
        <c:crosses val="max"/>
        <c:crossBetween val="midCat"/>
      </c:valAx>
      <c:valAx>
        <c:axId val="11931339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Sapcing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132496"/>
        <c:crossesAt val="0"/>
        <c:crossBetween val="midCat"/>
      </c:valAx>
      <c:spPr>
        <a:noFill/>
        <a:ln w="762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8308723931494839"/>
          <c:y val="0.18887408902954433"/>
          <c:w val="0.21007098777642816"/>
          <c:h val="0.22434517561805817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s-PE" sz="2400" b="1"/>
              <a:t>Lithology Fractures</a:t>
            </a:r>
            <a:r>
              <a:rPr lang="es-PE" sz="2400" b="1" baseline="0"/>
              <a:t> vs Spacing </a:t>
            </a:r>
            <a:endParaRPr lang="es-PE" sz="2400" b="1"/>
          </a:p>
        </c:rich>
      </c:tx>
      <c:layout>
        <c:manualLayout>
          <c:xMode val="edge"/>
          <c:yMode val="edge"/>
          <c:x val="0.28291288953357269"/>
          <c:y val="2.88317627408769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4884913687438"/>
          <c:y val="9.2193660872117916E-2"/>
          <c:w val="0.79637676749939579"/>
          <c:h val="0.75531322158105763"/>
        </c:manualLayout>
      </c:layout>
      <c:scatterChart>
        <c:scatterStyle val="smoothMarker"/>
        <c:varyColors val="0"/>
        <c:ser>
          <c:idx val="0"/>
          <c:order val="0"/>
          <c:tx>
            <c:v>RQD max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7.2000000000000011</c:v>
              </c:pt>
              <c:pt idx="2">
                <c:v>18</c:v>
              </c:pt>
              <c:pt idx="3">
                <c:v>27.6</c:v>
              </c:pt>
              <c:pt idx="4">
                <c:v>38</c:v>
              </c:pt>
              <c:pt idx="5">
                <c:v>50</c:v>
              </c:pt>
              <c:pt idx="6">
                <c:v>66.5</c:v>
              </c:pt>
              <c:pt idx="7">
                <c:v>72</c:v>
              </c:pt>
              <c:pt idx="8">
                <c:v>75.5</c:v>
              </c:pt>
              <c:pt idx="9">
                <c:v>87</c:v>
              </c:pt>
              <c:pt idx="10">
                <c:v>92.5</c:v>
              </c:pt>
              <c:pt idx="11">
                <c:v>98.8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0586-4B89-B248-ABE4F3084A11}"/>
            </c:ext>
          </c:extLst>
        </c:ser>
        <c:ser>
          <c:idx val="1"/>
          <c:order val="1"/>
          <c:tx>
            <c:v>RQD Middle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3"/>
            <c:bubble3D val="0"/>
            <c:spPr>
              <a:ln w="1905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586-4B89-B248-ABE4F3084A11}"/>
              </c:ext>
            </c:extLst>
          </c:dPt>
          <c:xVal>
            <c:numLit>
              <c:formatCode>General</c:formatCode>
              <c:ptCount val="1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80</c:v>
              </c:pt>
              <c:pt idx="7">
                <c:v>90</c:v>
              </c:pt>
              <c:pt idx="8">
                <c:v>100</c:v>
              </c:pt>
              <c:pt idx="9">
                <c:v>150</c:v>
              </c:pt>
              <c:pt idx="10">
                <c:v>200</c:v>
              </c:pt>
              <c:pt idx="11">
                <c:v>400</c:v>
              </c:pt>
              <c:pt idx="12">
                <c:v>600</c:v>
              </c:pt>
              <c:pt idx="13">
                <c:v>1000</c:v>
              </c:pt>
              <c:pt idx="14">
                <c:v>2000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4</c:v>
              </c:pt>
              <c:pt idx="2">
                <c:v>8</c:v>
              </c:pt>
              <c:pt idx="3">
                <c:v>13</c:v>
              </c:pt>
              <c:pt idx="4">
                <c:v>19</c:v>
              </c:pt>
              <c:pt idx="5">
                <c:v>24</c:v>
              </c:pt>
              <c:pt idx="6">
                <c:v>34</c:v>
              </c:pt>
              <c:pt idx="7">
                <c:v>41.9</c:v>
              </c:pt>
              <c:pt idx="8">
                <c:v>48.3</c:v>
              </c:pt>
              <c:pt idx="9">
                <c:v>68.5</c:v>
              </c:pt>
              <c:pt idx="10">
                <c:v>79</c:v>
              </c:pt>
              <c:pt idx="11">
                <c:v>95</c:v>
              </c:pt>
              <c:pt idx="12">
                <c:v>98</c:v>
              </c:pt>
              <c:pt idx="13">
                <c:v>99.5</c:v>
              </c:pt>
              <c:pt idx="14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0586-4B89-B248-ABE4F3084A11}"/>
            </c:ext>
          </c:extLst>
        </c:ser>
        <c:ser>
          <c:idx val="2"/>
          <c:order val="2"/>
          <c:tx>
            <c:v>RQD min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8"/>
              <c:pt idx="0">
                <c:v>90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400</c:v>
              </c:pt>
              <c:pt idx="5">
                <c:v>600</c:v>
              </c:pt>
              <c:pt idx="6">
                <c:v>1000</c:v>
              </c:pt>
              <c:pt idx="7">
                <c:v>2000</c:v>
              </c:pt>
            </c:numLit>
          </c:xVal>
          <c:yVal>
            <c:numLit>
              <c:formatCode>General</c:formatCode>
              <c:ptCount val="8"/>
              <c:pt idx="0">
                <c:v>0</c:v>
              </c:pt>
              <c:pt idx="1">
                <c:v>12</c:v>
              </c:pt>
              <c:pt idx="2">
                <c:v>44</c:v>
              </c:pt>
              <c:pt idx="3">
                <c:v>60</c:v>
              </c:pt>
              <c:pt idx="4">
                <c:v>86.5</c:v>
              </c:pt>
              <c:pt idx="5">
                <c:v>95</c:v>
              </c:pt>
              <c:pt idx="6">
                <c:v>99.5</c:v>
              </c:pt>
              <c:pt idx="7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586-4B89-B248-ABE4F3084A11}"/>
            </c:ext>
          </c:extLst>
        </c:ser>
        <c:ser>
          <c:idx val="3"/>
          <c:order val="3"/>
          <c:tx>
            <c:v>Lithology 30</c:v>
          </c:tx>
          <c:spPr>
            <a:ln>
              <a:noFill/>
            </a:ln>
          </c:spPr>
          <c:marker>
            <c:symbol val="square"/>
            <c:size val="1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'5. Quantificación de DESMONTE'!$AS$5:$AS$22</c:f>
              <c:numCache>
                <c:formatCode>0.00</c:formatCode>
                <c:ptCount val="18"/>
                <c:pt idx="0">
                  <c:v>51.666666666666664</c:v>
                </c:pt>
                <c:pt idx="1">
                  <c:v>13</c:v>
                </c:pt>
                <c:pt idx="2">
                  <c:v>11</c:v>
                </c:pt>
                <c:pt idx="3">
                  <c:v>14</c:v>
                </c:pt>
                <c:pt idx="4">
                  <c:v>23</c:v>
                </c:pt>
                <c:pt idx="5">
                  <c:v>34</c:v>
                </c:pt>
                <c:pt idx="6">
                  <c:v>13</c:v>
                </c:pt>
                <c:pt idx="7">
                  <c:v>51.666666666666664</c:v>
                </c:pt>
                <c:pt idx="8">
                  <c:v>54</c:v>
                </c:pt>
                <c:pt idx="9">
                  <c:v>110</c:v>
                </c:pt>
                <c:pt idx="11">
                  <c:v>166.66666666666666</c:v>
                </c:pt>
                <c:pt idx="13">
                  <c:v>87.5</c:v>
                </c:pt>
                <c:pt idx="14">
                  <c:v>47.5</c:v>
                </c:pt>
                <c:pt idx="15">
                  <c:v>103.33333333333333</c:v>
                </c:pt>
                <c:pt idx="17">
                  <c:v>286.66666666666669</c:v>
                </c:pt>
              </c:numCache>
            </c:numRef>
          </c:xVal>
          <c:yVal>
            <c:numRef>
              <c:f>'5. Quantificación de DESMONTE'!$AO$5:$AO$22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52</c:v>
                </c:pt>
                <c:pt idx="9">
                  <c:v>36</c:v>
                </c:pt>
                <c:pt idx="10">
                  <c:v>100</c:v>
                </c:pt>
                <c:pt idx="11">
                  <c:v>62</c:v>
                </c:pt>
                <c:pt idx="12">
                  <c:v>94.736842105263278</c:v>
                </c:pt>
                <c:pt idx="13">
                  <c:v>34</c:v>
                </c:pt>
                <c:pt idx="14">
                  <c:v>32</c:v>
                </c:pt>
                <c:pt idx="15">
                  <c:v>22</c:v>
                </c:pt>
                <c:pt idx="16">
                  <c:v>85.714285714285367</c:v>
                </c:pt>
                <c:pt idx="17">
                  <c:v>58.510638297872489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586-4B89-B248-ABE4F3084A11}"/>
            </c:ext>
          </c:extLst>
        </c:ser>
        <c:ser>
          <c:idx val="4"/>
          <c:order val="4"/>
          <c:tx>
            <c:v>Lithology 40</c:v>
          </c:tx>
          <c:spPr>
            <a:ln>
              <a:noFill/>
            </a:ln>
          </c:spPr>
          <c:marker>
            <c:symbol val="square"/>
            <c:size val="14"/>
            <c:spPr>
              <a:solidFill>
                <a:srgbClr val="EEDFAA"/>
              </a:solidFill>
              <a:ln>
                <a:solidFill>
                  <a:srgbClr val="EEDFAA"/>
                </a:solidFill>
              </a:ln>
            </c:spPr>
          </c:marker>
          <c:xVal>
            <c:numRef>
              <c:f>'5. Quantificación de DESMONTE'!$AS$28:$AS$48</c:f>
              <c:numCache>
                <c:formatCode>0.00</c:formatCode>
                <c:ptCount val="21"/>
                <c:pt idx="0">
                  <c:v>126.66666666666667</c:v>
                </c:pt>
                <c:pt idx="1">
                  <c:v>140</c:v>
                </c:pt>
                <c:pt idx="2">
                  <c:v>19</c:v>
                </c:pt>
                <c:pt idx="3">
                  <c:v>76.666666666666671</c:v>
                </c:pt>
                <c:pt idx="4">
                  <c:v>86</c:v>
                </c:pt>
                <c:pt idx="5">
                  <c:v>112.5</c:v>
                </c:pt>
                <c:pt idx="6">
                  <c:v>235</c:v>
                </c:pt>
                <c:pt idx="7">
                  <c:v>70</c:v>
                </c:pt>
                <c:pt idx="8">
                  <c:v>102.5</c:v>
                </c:pt>
                <c:pt idx="9">
                  <c:v>107.5</c:v>
                </c:pt>
                <c:pt idx="10">
                  <c:v>44</c:v>
                </c:pt>
                <c:pt idx="11">
                  <c:v>46</c:v>
                </c:pt>
                <c:pt idx="12">
                  <c:v>73.333333333333329</c:v>
                </c:pt>
                <c:pt idx="13">
                  <c:v>140</c:v>
                </c:pt>
                <c:pt idx="14">
                  <c:v>70</c:v>
                </c:pt>
                <c:pt idx="15">
                  <c:v>92.5</c:v>
                </c:pt>
                <c:pt idx="16">
                  <c:v>48.571428571428569</c:v>
                </c:pt>
                <c:pt idx="17">
                  <c:v>81.666666666666671</c:v>
                </c:pt>
                <c:pt idx="18">
                  <c:v>93.333333333333329</c:v>
                </c:pt>
                <c:pt idx="19">
                  <c:v>55</c:v>
                </c:pt>
                <c:pt idx="20">
                  <c:v>19</c:v>
                </c:pt>
              </c:numCache>
            </c:numRef>
          </c:xVal>
          <c:yVal>
            <c:numRef>
              <c:f>'5. Quantificación de DESMONTE'!$AO$28:$AO$48</c:f>
              <c:numCache>
                <c:formatCode>0</c:formatCode>
                <c:ptCount val="21"/>
                <c:pt idx="0">
                  <c:v>60</c:v>
                </c:pt>
                <c:pt idx="1">
                  <c:v>100</c:v>
                </c:pt>
                <c:pt idx="2">
                  <c:v>0</c:v>
                </c:pt>
                <c:pt idx="3">
                  <c:v>22</c:v>
                </c:pt>
                <c:pt idx="4">
                  <c:v>42.000000000000007</c:v>
                </c:pt>
                <c:pt idx="5">
                  <c:v>56.000000000000007</c:v>
                </c:pt>
                <c:pt idx="6">
                  <c:v>62</c:v>
                </c:pt>
                <c:pt idx="7">
                  <c:v>32</c:v>
                </c:pt>
                <c:pt idx="8">
                  <c:v>42</c:v>
                </c:pt>
                <c:pt idx="9">
                  <c:v>50</c:v>
                </c:pt>
                <c:pt idx="10">
                  <c:v>38</c:v>
                </c:pt>
                <c:pt idx="11">
                  <c:v>22</c:v>
                </c:pt>
                <c:pt idx="12">
                  <c:v>24</c:v>
                </c:pt>
                <c:pt idx="13">
                  <c:v>28.000000000000004</c:v>
                </c:pt>
                <c:pt idx="14">
                  <c:v>44</c:v>
                </c:pt>
                <c:pt idx="15">
                  <c:v>40</c:v>
                </c:pt>
                <c:pt idx="16">
                  <c:v>0</c:v>
                </c:pt>
                <c:pt idx="17">
                  <c:v>54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586-4B89-B248-ABE4F3084A11}"/>
            </c:ext>
          </c:extLst>
        </c:ser>
        <c:ser>
          <c:idx val="5"/>
          <c:order val="5"/>
          <c:tx>
            <c:v>Lithology 50</c:v>
          </c:tx>
          <c:spPr>
            <a:ln>
              <a:noFill/>
            </a:ln>
          </c:spPr>
          <c:marker>
            <c:symbol val="square"/>
            <c:size val="15"/>
            <c:spPr>
              <a:solidFill>
                <a:srgbClr val="FF99CC"/>
              </a:solidFill>
              <a:ln>
                <a:solidFill>
                  <a:srgbClr val="FF99CC"/>
                </a:solidFill>
              </a:ln>
            </c:spPr>
          </c:marker>
          <c:xVal>
            <c:numRef>
              <c:f>'5. Quantificación de DESMONTE'!$AS$53:$AS$60</c:f>
              <c:numCache>
                <c:formatCode>0.00</c:formatCode>
                <c:ptCount val="8"/>
                <c:pt idx="0">
                  <c:v>180</c:v>
                </c:pt>
                <c:pt idx="1">
                  <c:v>78</c:v>
                </c:pt>
                <c:pt idx="2">
                  <c:v>87.5</c:v>
                </c:pt>
                <c:pt idx="3">
                  <c:v>15.333333333333334</c:v>
                </c:pt>
                <c:pt idx="4">
                  <c:v>96.666666666666671</c:v>
                </c:pt>
                <c:pt idx="5">
                  <c:v>20.76923076923077</c:v>
                </c:pt>
                <c:pt idx="6">
                  <c:v>29</c:v>
                </c:pt>
                <c:pt idx="7">
                  <c:v>0</c:v>
                </c:pt>
              </c:numCache>
            </c:numRef>
          </c:xVal>
          <c:yVal>
            <c:numRef>
              <c:f>'5. Quantificación de DESMONTE'!$AO$53:$AO$60</c:f>
              <c:numCache>
                <c:formatCode>0</c:formatCode>
                <c:ptCount val="8"/>
                <c:pt idx="0">
                  <c:v>60</c:v>
                </c:pt>
                <c:pt idx="1">
                  <c:v>26</c:v>
                </c:pt>
                <c:pt idx="2">
                  <c:v>32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586-4B89-B248-ABE4F3084A11}"/>
            </c:ext>
          </c:extLst>
        </c:ser>
        <c:ser>
          <c:idx val="6"/>
          <c:order val="6"/>
          <c:tx>
            <c:v>Lithology 10</c:v>
          </c:tx>
          <c:spPr>
            <a:ln>
              <a:noFill/>
            </a:ln>
          </c:spPr>
          <c:marker>
            <c:symbol val="square"/>
            <c:size val="1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'5. Quantificación de DESMONTE'!$BN$5:$BN$61</c:f>
              <c:numCache>
                <c:formatCode>0.00</c:formatCode>
                <c:ptCount val="57"/>
                <c:pt idx="0">
                  <c:v>164</c:v>
                </c:pt>
                <c:pt idx="1">
                  <c:v>240</c:v>
                </c:pt>
                <c:pt idx="2">
                  <c:v>233.33333333333334</c:v>
                </c:pt>
                <c:pt idx="3">
                  <c:v>236.66666666666666</c:v>
                </c:pt>
                <c:pt idx="4">
                  <c:v>150</c:v>
                </c:pt>
                <c:pt idx="5">
                  <c:v>72</c:v>
                </c:pt>
                <c:pt idx="6">
                  <c:v>105.71428571428571</c:v>
                </c:pt>
                <c:pt idx="7">
                  <c:v>520</c:v>
                </c:pt>
                <c:pt idx="8">
                  <c:v>123.33333333333333</c:v>
                </c:pt>
                <c:pt idx="9">
                  <c:v>73.333333333333329</c:v>
                </c:pt>
                <c:pt idx="10">
                  <c:v>49</c:v>
                </c:pt>
                <c:pt idx="11">
                  <c:v>125</c:v>
                </c:pt>
                <c:pt idx="12">
                  <c:v>146.66666666666666</c:v>
                </c:pt>
                <c:pt idx="13">
                  <c:v>32.666666666666664</c:v>
                </c:pt>
                <c:pt idx="14">
                  <c:v>124</c:v>
                </c:pt>
                <c:pt idx="15">
                  <c:v>98</c:v>
                </c:pt>
                <c:pt idx="16">
                  <c:v>120</c:v>
                </c:pt>
                <c:pt idx="17">
                  <c:v>32.666666666666664</c:v>
                </c:pt>
                <c:pt idx="18">
                  <c:v>150</c:v>
                </c:pt>
                <c:pt idx="19">
                  <c:v>126.66666666666667</c:v>
                </c:pt>
                <c:pt idx="20">
                  <c:v>46</c:v>
                </c:pt>
                <c:pt idx="21">
                  <c:v>126.66666666666667</c:v>
                </c:pt>
                <c:pt idx="22">
                  <c:v>156.66666666666666</c:v>
                </c:pt>
                <c:pt idx="23">
                  <c:v>86</c:v>
                </c:pt>
                <c:pt idx="24">
                  <c:v>125</c:v>
                </c:pt>
                <c:pt idx="25">
                  <c:v>41.666666666666664</c:v>
                </c:pt>
                <c:pt idx="26">
                  <c:v>55</c:v>
                </c:pt>
                <c:pt idx="27">
                  <c:v>43.333333333333336</c:v>
                </c:pt>
                <c:pt idx="28">
                  <c:v>24</c:v>
                </c:pt>
                <c:pt idx="29">
                  <c:v>28</c:v>
                </c:pt>
                <c:pt idx="30">
                  <c:v>33.75</c:v>
                </c:pt>
                <c:pt idx="31">
                  <c:v>74</c:v>
                </c:pt>
                <c:pt idx="32">
                  <c:v>47.142857142857146</c:v>
                </c:pt>
                <c:pt idx="33">
                  <c:v>150</c:v>
                </c:pt>
                <c:pt idx="34">
                  <c:v>65</c:v>
                </c:pt>
                <c:pt idx="35">
                  <c:v>70</c:v>
                </c:pt>
                <c:pt idx="36">
                  <c:v>28.571428571428573</c:v>
                </c:pt>
                <c:pt idx="37">
                  <c:v>71.666666666666671</c:v>
                </c:pt>
                <c:pt idx="38">
                  <c:v>53</c:v>
                </c:pt>
                <c:pt idx="39">
                  <c:v>100</c:v>
                </c:pt>
                <c:pt idx="40">
                  <c:v>485</c:v>
                </c:pt>
                <c:pt idx="41">
                  <c:v>71.428571428571431</c:v>
                </c:pt>
                <c:pt idx="42">
                  <c:v>27</c:v>
                </c:pt>
                <c:pt idx="43">
                  <c:v>25</c:v>
                </c:pt>
                <c:pt idx="44">
                  <c:v>100</c:v>
                </c:pt>
                <c:pt idx="45">
                  <c:v>146.66666666666666</c:v>
                </c:pt>
                <c:pt idx="46">
                  <c:v>100</c:v>
                </c:pt>
                <c:pt idx="47">
                  <c:v>83.333333333333329</c:v>
                </c:pt>
                <c:pt idx="48">
                  <c:v>90</c:v>
                </c:pt>
                <c:pt idx="49">
                  <c:v>60</c:v>
                </c:pt>
                <c:pt idx="50">
                  <c:v>86</c:v>
                </c:pt>
                <c:pt idx="51">
                  <c:v>29</c:v>
                </c:pt>
                <c:pt idx="52">
                  <c:v>16.666666666666668</c:v>
                </c:pt>
                <c:pt idx="53">
                  <c:v>235</c:v>
                </c:pt>
                <c:pt idx="54">
                  <c:v>170</c:v>
                </c:pt>
                <c:pt idx="55">
                  <c:v>170</c:v>
                </c:pt>
                <c:pt idx="56">
                  <c:v>100</c:v>
                </c:pt>
              </c:numCache>
            </c:numRef>
          </c:xVal>
          <c:yVal>
            <c:numRef>
              <c:f>'5. Quantificación de DESMONTE'!$BJ$5:$BJ$61</c:f>
              <c:numCache>
                <c:formatCode>0</c:formatCode>
                <c:ptCount val="57"/>
                <c:pt idx="0">
                  <c:v>52.427184466019362</c:v>
                </c:pt>
                <c:pt idx="1">
                  <c:v>80</c:v>
                </c:pt>
                <c:pt idx="2">
                  <c:v>82.432432432432606</c:v>
                </c:pt>
                <c:pt idx="3">
                  <c:v>74.999999999999929</c:v>
                </c:pt>
                <c:pt idx="4">
                  <c:v>40</c:v>
                </c:pt>
                <c:pt idx="5">
                  <c:v>30</c:v>
                </c:pt>
                <c:pt idx="6">
                  <c:v>26.666666666666668</c:v>
                </c:pt>
                <c:pt idx="7">
                  <c:v>92.857142857142478</c:v>
                </c:pt>
                <c:pt idx="8">
                  <c:v>64</c:v>
                </c:pt>
                <c:pt idx="9">
                  <c:v>40</c:v>
                </c:pt>
                <c:pt idx="10">
                  <c:v>0</c:v>
                </c:pt>
                <c:pt idx="11">
                  <c:v>57.999999999999993</c:v>
                </c:pt>
                <c:pt idx="12">
                  <c:v>36</c:v>
                </c:pt>
                <c:pt idx="13">
                  <c:v>0</c:v>
                </c:pt>
                <c:pt idx="14">
                  <c:v>32.85714285714306</c:v>
                </c:pt>
                <c:pt idx="15">
                  <c:v>49.999999999999879</c:v>
                </c:pt>
                <c:pt idx="16">
                  <c:v>22</c:v>
                </c:pt>
                <c:pt idx="17">
                  <c:v>0</c:v>
                </c:pt>
                <c:pt idx="18">
                  <c:v>39.999999999999901</c:v>
                </c:pt>
                <c:pt idx="19">
                  <c:v>56.000000000000007</c:v>
                </c:pt>
                <c:pt idx="20">
                  <c:v>0</c:v>
                </c:pt>
                <c:pt idx="21">
                  <c:v>47.500000000000171</c:v>
                </c:pt>
                <c:pt idx="22">
                  <c:v>31.666666666666593</c:v>
                </c:pt>
                <c:pt idx="23">
                  <c:v>30</c:v>
                </c:pt>
                <c:pt idx="24">
                  <c:v>21.428571428571558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36</c:v>
                </c:pt>
                <c:pt idx="34">
                  <c:v>28.000000000000004</c:v>
                </c:pt>
                <c:pt idx="35">
                  <c:v>24</c:v>
                </c:pt>
                <c:pt idx="36">
                  <c:v>0</c:v>
                </c:pt>
                <c:pt idx="37">
                  <c:v>34.545454545454277</c:v>
                </c:pt>
                <c:pt idx="38">
                  <c:v>0</c:v>
                </c:pt>
                <c:pt idx="39">
                  <c:v>35.714285714285573</c:v>
                </c:pt>
                <c:pt idx="40">
                  <c:v>81</c:v>
                </c:pt>
                <c:pt idx="41">
                  <c:v>28.000000000000004</c:v>
                </c:pt>
                <c:pt idx="42">
                  <c:v>0</c:v>
                </c:pt>
                <c:pt idx="43">
                  <c:v>0</c:v>
                </c:pt>
                <c:pt idx="44">
                  <c:v>54</c:v>
                </c:pt>
                <c:pt idx="45">
                  <c:v>20</c:v>
                </c:pt>
                <c:pt idx="46">
                  <c:v>32</c:v>
                </c:pt>
                <c:pt idx="47">
                  <c:v>32</c:v>
                </c:pt>
                <c:pt idx="48">
                  <c:v>30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80</c:v>
                </c:pt>
                <c:pt idx="54">
                  <c:v>54.545454545454831</c:v>
                </c:pt>
                <c:pt idx="55">
                  <c:v>69.999999999999829</c:v>
                </c:pt>
                <c:pt idx="56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586-4B89-B248-ABE4F308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38584"/>
        <c:axId val="588938192"/>
        <c:extLst/>
      </c:scatterChart>
      <c:valAx>
        <c:axId val="588938584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Espaciamiento</a:t>
                </a:r>
                <a:r>
                  <a:rPr lang="es-PE" sz="1800" baseline="0"/>
                  <a:t> (mm)</a:t>
                </a:r>
                <a:endParaRPr lang="es-PE" sz="18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192"/>
        <c:crosses val="autoZero"/>
        <c:crossBetween val="midCat"/>
      </c:valAx>
      <c:valAx>
        <c:axId val="5889381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800"/>
                </a:pPr>
                <a:r>
                  <a:rPr lang="es-PE" sz="1800"/>
                  <a:t>RQD (%)</a:t>
                </a:r>
              </a:p>
            </c:rich>
          </c:tx>
          <c:layout>
            <c:manualLayout>
              <c:xMode val="edge"/>
              <c:yMode val="edge"/>
              <c:x val="3.9096112985876764E-2"/>
              <c:y val="0.47567729565719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88938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0207767001890082"/>
          <c:y val="0.92553533419875844"/>
          <c:w val="0.85683037409857787"/>
          <c:h val="7.4464665801241614E-2"/>
        </c:manualLayout>
      </c:layout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932895152078076E-2"/>
          <c:y val="3.1275095427393818E-2"/>
          <c:w val="0.86591352696269031"/>
          <c:h val="0.84273147335896248"/>
        </c:manualLayout>
      </c:layout>
      <c:scatterChart>
        <c:scatterStyle val="lineMarker"/>
        <c:varyColors val="0"/>
        <c:ser>
          <c:idx val="0"/>
          <c:order val="0"/>
          <c:tx>
            <c:v>Lithology 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00FF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0000FF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'10'!$Q$3:$Q$59</c:f>
              <c:numCache>
                <c:formatCode>General</c:formatCode>
                <c:ptCount val="57"/>
                <c:pt idx="0">
                  <c:v>43.127499999999998</c:v>
                </c:pt>
                <c:pt idx="1">
                  <c:v>43.127499999999998</c:v>
                </c:pt>
                <c:pt idx="2">
                  <c:v>43.127499999999998</c:v>
                </c:pt>
                <c:pt idx="3">
                  <c:v>43.127499999999998</c:v>
                </c:pt>
                <c:pt idx="4">
                  <c:v>43.127499999999998</c:v>
                </c:pt>
                <c:pt idx="5">
                  <c:v>38.127499999999998</c:v>
                </c:pt>
                <c:pt idx="6">
                  <c:v>43.127499999999998</c:v>
                </c:pt>
                <c:pt idx="7">
                  <c:v>43.127499999999998</c:v>
                </c:pt>
                <c:pt idx="8">
                  <c:v>43.127499999999998</c:v>
                </c:pt>
                <c:pt idx="9">
                  <c:v>38.127499999999998</c:v>
                </c:pt>
                <c:pt idx="10">
                  <c:v>28.127500000000001</c:v>
                </c:pt>
                <c:pt idx="11">
                  <c:v>43.127499999999998</c:v>
                </c:pt>
                <c:pt idx="12">
                  <c:v>43.127499999999998</c:v>
                </c:pt>
                <c:pt idx="13">
                  <c:v>33.127499999999998</c:v>
                </c:pt>
                <c:pt idx="14">
                  <c:v>43.127499999999998</c:v>
                </c:pt>
                <c:pt idx="15">
                  <c:v>38.127499999999998</c:v>
                </c:pt>
                <c:pt idx="16">
                  <c:v>38.127499999999998</c:v>
                </c:pt>
                <c:pt idx="17">
                  <c:v>28.127500000000001</c:v>
                </c:pt>
                <c:pt idx="18">
                  <c:v>38.127499999999998</c:v>
                </c:pt>
                <c:pt idx="19">
                  <c:v>43.127499999999998</c:v>
                </c:pt>
                <c:pt idx="20">
                  <c:v>33.127499999999998</c:v>
                </c:pt>
                <c:pt idx="21">
                  <c:v>43.127499999999998</c:v>
                </c:pt>
                <c:pt idx="22">
                  <c:v>43.127499999999998</c:v>
                </c:pt>
                <c:pt idx="23">
                  <c:v>33.127499999999998</c:v>
                </c:pt>
                <c:pt idx="24">
                  <c:v>38.127499999999998</c:v>
                </c:pt>
                <c:pt idx="25">
                  <c:v>28.127500000000001</c:v>
                </c:pt>
                <c:pt idx="26">
                  <c:v>28.127500000000001</c:v>
                </c:pt>
                <c:pt idx="27">
                  <c:v>28.127500000000001</c:v>
                </c:pt>
                <c:pt idx="28">
                  <c:v>28.127500000000001</c:v>
                </c:pt>
                <c:pt idx="29">
                  <c:v>28.127500000000001</c:v>
                </c:pt>
                <c:pt idx="30">
                  <c:v>28.127500000000001</c:v>
                </c:pt>
                <c:pt idx="31">
                  <c:v>33.127499999999998</c:v>
                </c:pt>
                <c:pt idx="32">
                  <c:v>28.127500000000001</c:v>
                </c:pt>
                <c:pt idx="33">
                  <c:v>43.127499999999998</c:v>
                </c:pt>
                <c:pt idx="34">
                  <c:v>33.127499999999998</c:v>
                </c:pt>
                <c:pt idx="35">
                  <c:v>33.127499999999998</c:v>
                </c:pt>
                <c:pt idx="36">
                  <c:v>28.127500000000001</c:v>
                </c:pt>
                <c:pt idx="37">
                  <c:v>33.127499999999998</c:v>
                </c:pt>
                <c:pt idx="38">
                  <c:v>28.127500000000001</c:v>
                </c:pt>
                <c:pt idx="39">
                  <c:v>53.127499999999998</c:v>
                </c:pt>
                <c:pt idx="40">
                  <c:v>43.127499999999998</c:v>
                </c:pt>
                <c:pt idx="41">
                  <c:v>33.127499999999998</c:v>
                </c:pt>
                <c:pt idx="42">
                  <c:v>28.127500000000001</c:v>
                </c:pt>
                <c:pt idx="43">
                  <c:v>28.127500000000001</c:v>
                </c:pt>
                <c:pt idx="44">
                  <c:v>58.127499999999998</c:v>
                </c:pt>
                <c:pt idx="45">
                  <c:v>38.127499999999998</c:v>
                </c:pt>
                <c:pt idx="46">
                  <c:v>53.127499999999998</c:v>
                </c:pt>
                <c:pt idx="47">
                  <c:v>33.127499999999998</c:v>
                </c:pt>
                <c:pt idx="48">
                  <c:v>33.127499999999998</c:v>
                </c:pt>
                <c:pt idx="49">
                  <c:v>28.127500000000001</c:v>
                </c:pt>
                <c:pt idx="50">
                  <c:v>28.127500000000001</c:v>
                </c:pt>
                <c:pt idx="51">
                  <c:v>28.127500000000001</c:v>
                </c:pt>
                <c:pt idx="52">
                  <c:v>28.127500000000001</c:v>
                </c:pt>
                <c:pt idx="53">
                  <c:v>43.127499999999998</c:v>
                </c:pt>
                <c:pt idx="54">
                  <c:v>43.127499999999998</c:v>
                </c:pt>
                <c:pt idx="55">
                  <c:v>43.127499999999998</c:v>
                </c:pt>
                <c:pt idx="56">
                  <c:v>53.127499999999998</c:v>
                </c:pt>
              </c:numCache>
            </c:numRef>
          </c:xVal>
          <c:yVal>
            <c:numRef>
              <c:f>'10'!$S$3:$S$59</c:f>
              <c:numCache>
                <c:formatCode>General</c:formatCode>
                <c:ptCount val="57"/>
                <c:pt idx="0">
                  <c:v>0.44852599999999998</c:v>
                </c:pt>
                <c:pt idx="1">
                  <c:v>0.44852599999999998</c:v>
                </c:pt>
                <c:pt idx="2">
                  <c:v>0.44852599999999998</c:v>
                </c:pt>
                <c:pt idx="3">
                  <c:v>0.44852599999999998</c:v>
                </c:pt>
                <c:pt idx="4">
                  <c:v>0.44852599999999998</c:v>
                </c:pt>
                <c:pt idx="5">
                  <c:v>0.39652600000000005</c:v>
                </c:pt>
                <c:pt idx="6">
                  <c:v>0.44852599999999998</c:v>
                </c:pt>
                <c:pt idx="7">
                  <c:v>0.44852599999999998</c:v>
                </c:pt>
                <c:pt idx="8">
                  <c:v>0.44852599999999998</c:v>
                </c:pt>
                <c:pt idx="9">
                  <c:v>0.39652600000000005</c:v>
                </c:pt>
                <c:pt idx="10">
                  <c:v>0.29252600000000006</c:v>
                </c:pt>
                <c:pt idx="11">
                  <c:v>0.44852599999999998</c:v>
                </c:pt>
                <c:pt idx="12">
                  <c:v>0.44852599999999998</c:v>
                </c:pt>
                <c:pt idx="13">
                  <c:v>0.344526</c:v>
                </c:pt>
                <c:pt idx="14">
                  <c:v>0.44852599999999998</c:v>
                </c:pt>
                <c:pt idx="15">
                  <c:v>0.39652600000000005</c:v>
                </c:pt>
                <c:pt idx="16">
                  <c:v>0.39652600000000005</c:v>
                </c:pt>
                <c:pt idx="17">
                  <c:v>0.29252600000000006</c:v>
                </c:pt>
                <c:pt idx="18">
                  <c:v>0.39652600000000005</c:v>
                </c:pt>
                <c:pt idx="19">
                  <c:v>0.44852599999999998</c:v>
                </c:pt>
                <c:pt idx="20">
                  <c:v>0.344526</c:v>
                </c:pt>
                <c:pt idx="21">
                  <c:v>0.44852599999999998</c:v>
                </c:pt>
                <c:pt idx="22">
                  <c:v>0.44852599999999998</c:v>
                </c:pt>
                <c:pt idx="23">
                  <c:v>0.344526</c:v>
                </c:pt>
                <c:pt idx="24">
                  <c:v>0.39652600000000005</c:v>
                </c:pt>
                <c:pt idx="25">
                  <c:v>0.29252600000000006</c:v>
                </c:pt>
                <c:pt idx="26">
                  <c:v>0.29252600000000006</c:v>
                </c:pt>
                <c:pt idx="27">
                  <c:v>0.29252600000000006</c:v>
                </c:pt>
                <c:pt idx="28">
                  <c:v>0.29252600000000006</c:v>
                </c:pt>
                <c:pt idx="29">
                  <c:v>0.29252600000000006</c:v>
                </c:pt>
                <c:pt idx="30">
                  <c:v>0.29252600000000006</c:v>
                </c:pt>
                <c:pt idx="31">
                  <c:v>0.344526</c:v>
                </c:pt>
                <c:pt idx="32">
                  <c:v>0.29252600000000006</c:v>
                </c:pt>
                <c:pt idx="33">
                  <c:v>0.44852599999999998</c:v>
                </c:pt>
                <c:pt idx="34">
                  <c:v>0.344526</c:v>
                </c:pt>
                <c:pt idx="35">
                  <c:v>0.344526</c:v>
                </c:pt>
                <c:pt idx="36">
                  <c:v>0.29252600000000006</c:v>
                </c:pt>
                <c:pt idx="37">
                  <c:v>0.344526</c:v>
                </c:pt>
                <c:pt idx="38">
                  <c:v>0.29252600000000006</c:v>
                </c:pt>
                <c:pt idx="39">
                  <c:v>0.55252600000000007</c:v>
                </c:pt>
                <c:pt idx="40">
                  <c:v>0.44852599999999998</c:v>
                </c:pt>
                <c:pt idx="41">
                  <c:v>0.344526</c:v>
                </c:pt>
                <c:pt idx="42">
                  <c:v>0.29252600000000006</c:v>
                </c:pt>
                <c:pt idx="43">
                  <c:v>0.29252600000000006</c:v>
                </c:pt>
                <c:pt idx="44">
                  <c:v>0.60452600000000001</c:v>
                </c:pt>
                <c:pt idx="45">
                  <c:v>0.39652600000000005</c:v>
                </c:pt>
                <c:pt idx="46">
                  <c:v>0.55252600000000007</c:v>
                </c:pt>
                <c:pt idx="47">
                  <c:v>0.344526</c:v>
                </c:pt>
                <c:pt idx="48">
                  <c:v>0.344526</c:v>
                </c:pt>
                <c:pt idx="49">
                  <c:v>0.29252600000000006</c:v>
                </c:pt>
                <c:pt idx="50">
                  <c:v>0.29252600000000006</c:v>
                </c:pt>
                <c:pt idx="51">
                  <c:v>0.29252600000000006</c:v>
                </c:pt>
                <c:pt idx="52">
                  <c:v>0.29252600000000006</c:v>
                </c:pt>
                <c:pt idx="53">
                  <c:v>0.44852599999999998</c:v>
                </c:pt>
                <c:pt idx="54">
                  <c:v>0.44852599999999998</c:v>
                </c:pt>
                <c:pt idx="55">
                  <c:v>0.44852599999999998</c:v>
                </c:pt>
                <c:pt idx="56">
                  <c:v>0.55252600000000007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17-4E8D-9B06-91EE0CDE4F16}"/>
            </c:ext>
          </c:extLst>
        </c:ser>
        <c:ser>
          <c:idx val="1"/>
          <c:order val="1"/>
          <c:tx>
            <c:v>Lithology 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'30'!$P$4:$P$64</c:f>
              <c:numCache>
                <c:formatCode>General</c:formatCode>
                <c:ptCount val="61"/>
                <c:pt idx="0">
                  <c:v>19.012499999999999</c:v>
                </c:pt>
                <c:pt idx="1">
                  <c:v>19.012499999999999</c:v>
                </c:pt>
                <c:pt idx="2">
                  <c:v>19.012499999999999</c:v>
                </c:pt>
                <c:pt idx="3">
                  <c:v>19.012499999999999</c:v>
                </c:pt>
                <c:pt idx="4">
                  <c:v>19.012499999999999</c:v>
                </c:pt>
                <c:pt idx="5">
                  <c:v>24.012499999999999</c:v>
                </c:pt>
                <c:pt idx="6">
                  <c:v>19.012499999999999</c:v>
                </c:pt>
                <c:pt idx="7">
                  <c:v>19.012499999999999</c:v>
                </c:pt>
                <c:pt idx="8">
                  <c:v>29.012499999999999</c:v>
                </c:pt>
                <c:pt idx="9">
                  <c:v>34.012500000000003</c:v>
                </c:pt>
                <c:pt idx="10">
                  <c:v>34.012500000000003</c:v>
                </c:pt>
                <c:pt idx="11">
                  <c:v>34.012500000000003</c:v>
                </c:pt>
                <c:pt idx="12">
                  <c:v>49.012500000000003</c:v>
                </c:pt>
                <c:pt idx="13">
                  <c:v>29.012499999999999</c:v>
                </c:pt>
                <c:pt idx="14">
                  <c:v>29.012499999999999</c:v>
                </c:pt>
                <c:pt idx="15">
                  <c:v>34.012500000000003</c:v>
                </c:pt>
                <c:pt idx="16">
                  <c:v>34.012500000000003</c:v>
                </c:pt>
                <c:pt idx="17">
                  <c:v>34.012500000000003</c:v>
                </c:pt>
                <c:pt idx="18">
                  <c:v>19.012499999999999</c:v>
                </c:pt>
                <c:pt idx="19">
                  <c:v>19.012499999999999</c:v>
                </c:pt>
                <c:pt idx="20">
                  <c:v>19.012499999999999</c:v>
                </c:pt>
                <c:pt idx="21">
                  <c:v>19.012499999999999</c:v>
                </c:pt>
                <c:pt idx="22">
                  <c:v>29.012499999999999</c:v>
                </c:pt>
                <c:pt idx="23">
                  <c:v>24.012499999999999</c:v>
                </c:pt>
                <c:pt idx="24">
                  <c:v>24.012499999999999</c:v>
                </c:pt>
                <c:pt idx="25">
                  <c:v>24.012499999999999</c:v>
                </c:pt>
                <c:pt idx="26">
                  <c:v>19.012499999999999</c:v>
                </c:pt>
                <c:pt idx="27">
                  <c:v>19.012499999999999</c:v>
                </c:pt>
                <c:pt idx="28">
                  <c:v>19.012499999999999</c:v>
                </c:pt>
                <c:pt idx="29">
                  <c:v>29.012499999999999</c:v>
                </c:pt>
                <c:pt idx="30">
                  <c:v>19.012499999999999</c:v>
                </c:pt>
                <c:pt idx="31">
                  <c:v>29.012499999999999</c:v>
                </c:pt>
                <c:pt idx="32">
                  <c:v>19.012499999999999</c:v>
                </c:pt>
                <c:pt idx="33">
                  <c:v>24.012499999999999</c:v>
                </c:pt>
                <c:pt idx="34">
                  <c:v>24.012499999999999</c:v>
                </c:pt>
                <c:pt idx="35">
                  <c:v>19.012499999999999</c:v>
                </c:pt>
                <c:pt idx="36">
                  <c:v>19.012499999999999</c:v>
                </c:pt>
                <c:pt idx="37">
                  <c:v>29.012499999999999</c:v>
                </c:pt>
                <c:pt idx="38">
                  <c:v>29.012499999999999</c:v>
                </c:pt>
                <c:pt idx="39">
                  <c:v>19.012499999999999</c:v>
                </c:pt>
                <c:pt idx="40">
                  <c:v>34.012500000000003</c:v>
                </c:pt>
                <c:pt idx="41">
                  <c:v>34.012500000000003</c:v>
                </c:pt>
                <c:pt idx="42">
                  <c:v>34.012500000000003</c:v>
                </c:pt>
                <c:pt idx="43">
                  <c:v>34.012500000000003</c:v>
                </c:pt>
                <c:pt idx="44">
                  <c:v>34.012500000000003</c:v>
                </c:pt>
                <c:pt idx="45">
                  <c:v>49.012500000000003</c:v>
                </c:pt>
                <c:pt idx="46">
                  <c:v>34.012500000000003</c:v>
                </c:pt>
                <c:pt idx="47">
                  <c:v>34.012500000000003</c:v>
                </c:pt>
                <c:pt idx="48">
                  <c:v>19.012499999999999</c:v>
                </c:pt>
                <c:pt idx="49">
                  <c:v>19.012499999999999</c:v>
                </c:pt>
                <c:pt idx="50">
                  <c:v>19.012499999999999</c:v>
                </c:pt>
                <c:pt idx="51">
                  <c:v>19.012499999999999</c:v>
                </c:pt>
                <c:pt idx="52">
                  <c:v>19.012499999999999</c:v>
                </c:pt>
                <c:pt idx="53">
                  <c:v>19.012499999999999</c:v>
                </c:pt>
                <c:pt idx="54">
                  <c:v>19.012499999999999</c:v>
                </c:pt>
                <c:pt idx="55">
                  <c:v>19.012499999999999</c:v>
                </c:pt>
                <c:pt idx="56">
                  <c:v>19.012499999999999</c:v>
                </c:pt>
                <c:pt idx="57">
                  <c:v>19.012499999999999</c:v>
                </c:pt>
                <c:pt idx="58">
                  <c:v>19.012499999999999</c:v>
                </c:pt>
                <c:pt idx="59">
                  <c:v>19.012499999999999</c:v>
                </c:pt>
                <c:pt idx="60">
                  <c:v>19.012499999999999</c:v>
                </c:pt>
              </c:numCache>
            </c:numRef>
          </c:xVal>
          <c:yVal>
            <c:numRef>
              <c:f>'30'!$R$4:$R$64</c:f>
              <c:numCache>
                <c:formatCode>General</c:formatCode>
                <c:ptCount val="61"/>
                <c:pt idx="0">
                  <c:v>0.14449499999999998</c:v>
                </c:pt>
                <c:pt idx="1">
                  <c:v>0.14449499999999998</c:v>
                </c:pt>
                <c:pt idx="2">
                  <c:v>0.14449499999999998</c:v>
                </c:pt>
                <c:pt idx="3">
                  <c:v>0.14449499999999998</c:v>
                </c:pt>
                <c:pt idx="4">
                  <c:v>0.14449499999999998</c:v>
                </c:pt>
                <c:pt idx="5">
                  <c:v>0.18249499999999999</c:v>
                </c:pt>
                <c:pt idx="6">
                  <c:v>0.14449499999999998</c:v>
                </c:pt>
                <c:pt idx="7">
                  <c:v>0.14449499999999998</c:v>
                </c:pt>
                <c:pt idx="8">
                  <c:v>0.220495</c:v>
                </c:pt>
                <c:pt idx="9">
                  <c:v>0.25849499999999997</c:v>
                </c:pt>
                <c:pt idx="10">
                  <c:v>0.25849499999999997</c:v>
                </c:pt>
                <c:pt idx="11">
                  <c:v>0.25849499999999997</c:v>
                </c:pt>
                <c:pt idx="12">
                  <c:v>0.37249499999999997</c:v>
                </c:pt>
                <c:pt idx="13">
                  <c:v>0.220495</c:v>
                </c:pt>
                <c:pt idx="14">
                  <c:v>0.220495</c:v>
                </c:pt>
                <c:pt idx="15">
                  <c:v>0.25849499999999997</c:v>
                </c:pt>
                <c:pt idx="16">
                  <c:v>0.25849499999999997</c:v>
                </c:pt>
                <c:pt idx="17">
                  <c:v>0.25849499999999997</c:v>
                </c:pt>
                <c:pt idx="18">
                  <c:v>0.14449499999999998</c:v>
                </c:pt>
                <c:pt idx="19">
                  <c:v>0.14449499999999998</c:v>
                </c:pt>
                <c:pt idx="20">
                  <c:v>0.14449499999999998</c:v>
                </c:pt>
                <c:pt idx="21">
                  <c:v>0.14449499999999998</c:v>
                </c:pt>
                <c:pt idx="22">
                  <c:v>0.220495</c:v>
                </c:pt>
                <c:pt idx="23">
                  <c:v>0.18249499999999999</c:v>
                </c:pt>
                <c:pt idx="24">
                  <c:v>0.18249499999999999</c:v>
                </c:pt>
                <c:pt idx="25">
                  <c:v>0.18249499999999999</c:v>
                </c:pt>
                <c:pt idx="26">
                  <c:v>0.14449499999999998</c:v>
                </c:pt>
                <c:pt idx="27">
                  <c:v>0.14449499999999998</c:v>
                </c:pt>
                <c:pt idx="28">
                  <c:v>0.14449499999999998</c:v>
                </c:pt>
                <c:pt idx="29">
                  <c:v>0.220495</c:v>
                </c:pt>
                <c:pt idx="30">
                  <c:v>0.14449499999999998</c:v>
                </c:pt>
                <c:pt idx="31">
                  <c:v>0.220495</c:v>
                </c:pt>
                <c:pt idx="32">
                  <c:v>0.14449499999999998</c:v>
                </c:pt>
                <c:pt idx="33">
                  <c:v>0.18249499999999999</c:v>
                </c:pt>
                <c:pt idx="34">
                  <c:v>0.18249499999999999</c:v>
                </c:pt>
                <c:pt idx="35">
                  <c:v>0.14449499999999998</c:v>
                </c:pt>
                <c:pt idx="36">
                  <c:v>0.14449499999999998</c:v>
                </c:pt>
                <c:pt idx="37">
                  <c:v>0.220495</c:v>
                </c:pt>
                <c:pt idx="38">
                  <c:v>0.220495</c:v>
                </c:pt>
                <c:pt idx="39">
                  <c:v>0.14449499999999998</c:v>
                </c:pt>
                <c:pt idx="40">
                  <c:v>0.25849499999999997</c:v>
                </c:pt>
                <c:pt idx="41">
                  <c:v>0.25849499999999997</c:v>
                </c:pt>
                <c:pt idx="42">
                  <c:v>0.25849499999999997</c:v>
                </c:pt>
                <c:pt idx="43">
                  <c:v>0.25849499999999997</c:v>
                </c:pt>
                <c:pt idx="44">
                  <c:v>0.25849499999999997</c:v>
                </c:pt>
                <c:pt idx="45">
                  <c:v>0.37249499999999997</c:v>
                </c:pt>
                <c:pt idx="46">
                  <c:v>0.25849499999999997</c:v>
                </c:pt>
                <c:pt idx="47">
                  <c:v>0.25849499999999997</c:v>
                </c:pt>
                <c:pt idx="48">
                  <c:v>0.14449499999999998</c:v>
                </c:pt>
                <c:pt idx="49">
                  <c:v>0.14449499999999998</c:v>
                </c:pt>
                <c:pt idx="50">
                  <c:v>0.14449499999999998</c:v>
                </c:pt>
                <c:pt idx="51">
                  <c:v>0.14449499999999998</c:v>
                </c:pt>
                <c:pt idx="52">
                  <c:v>0.14449499999999998</c:v>
                </c:pt>
                <c:pt idx="53">
                  <c:v>0.14449499999999998</c:v>
                </c:pt>
                <c:pt idx="54">
                  <c:v>0.14449499999999998</c:v>
                </c:pt>
                <c:pt idx="55">
                  <c:v>0.14449499999999998</c:v>
                </c:pt>
                <c:pt idx="56">
                  <c:v>0.14449499999999998</c:v>
                </c:pt>
                <c:pt idx="57">
                  <c:v>0.14449499999999998</c:v>
                </c:pt>
                <c:pt idx="58">
                  <c:v>0.14449499999999998</c:v>
                </c:pt>
                <c:pt idx="59">
                  <c:v>0.14449499999999998</c:v>
                </c:pt>
                <c:pt idx="60">
                  <c:v>0.14449499999999998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17-4E8D-9B06-91EE0CDE4F16}"/>
            </c:ext>
          </c:extLst>
        </c:ser>
        <c:ser>
          <c:idx val="2"/>
          <c:order val="2"/>
          <c:tx>
            <c:v>Lithology 40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rgbClr val="EEDFAA"/>
                </a:solidFill>
              </a:ln>
              <a:effectLst/>
            </c:spPr>
          </c:marker>
          <c:trendline>
            <c:spPr>
              <a:ln w="28575" cap="rnd" cmpd="sng">
                <a:solidFill>
                  <a:srgbClr val="EEDFAA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'40'!$P$4:$P$184</c:f>
              <c:numCache>
                <c:formatCode>General</c:formatCode>
                <c:ptCount val="181"/>
                <c:pt idx="0">
                  <c:v>37.532499999999999</c:v>
                </c:pt>
                <c:pt idx="1">
                  <c:v>37.532499999999999</c:v>
                </c:pt>
                <c:pt idx="2">
                  <c:v>22.532499999999999</c:v>
                </c:pt>
                <c:pt idx="3">
                  <c:v>27.532499999999999</c:v>
                </c:pt>
                <c:pt idx="4">
                  <c:v>27.532499999999999</c:v>
                </c:pt>
                <c:pt idx="5">
                  <c:v>37.532499999999999</c:v>
                </c:pt>
                <c:pt idx="6">
                  <c:v>37.532499999999999</c:v>
                </c:pt>
                <c:pt idx="7">
                  <c:v>27.532499999999999</c:v>
                </c:pt>
                <c:pt idx="8">
                  <c:v>32.532499999999999</c:v>
                </c:pt>
                <c:pt idx="9">
                  <c:v>37.532499999999999</c:v>
                </c:pt>
                <c:pt idx="10">
                  <c:v>32.532499999999999</c:v>
                </c:pt>
                <c:pt idx="11">
                  <c:v>27.532499999999999</c:v>
                </c:pt>
                <c:pt idx="12">
                  <c:v>22.532499999999999</c:v>
                </c:pt>
                <c:pt idx="13">
                  <c:v>32.532499999999999</c:v>
                </c:pt>
                <c:pt idx="14">
                  <c:v>27.532499999999999</c:v>
                </c:pt>
                <c:pt idx="15">
                  <c:v>32.532499999999999</c:v>
                </c:pt>
                <c:pt idx="16">
                  <c:v>27.532499999999999</c:v>
                </c:pt>
                <c:pt idx="17">
                  <c:v>27.532499999999999</c:v>
                </c:pt>
                <c:pt idx="18">
                  <c:v>27.532499999999999</c:v>
                </c:pt>
                <c:pt idx="19">
                  <c:v>22.532499999999999</c:v>
                </c:pt>
                <c:pt idx="20">
                  <c:v>22.532499999999999</c:v>
                </c:pt>
                <c:pt idx="21">
                  <c:v>22.532499999999999</c:v>
                </c:pt>
                <c:pt idx="22">
                  <c:v>22.532499999999999</c:v>
                </c:pt>
                <c:pt idx="23">
                  <c:v>22.532499999999999</c:v>
                </c:pt>
                <c:pt idx="24">
                  <c:v>22.532499999999999</c:v>
                </c:pt>
                <c:pt idx="25">
                  <c:v>22.532499999999999</c:v>
                </c:pt>
                <c:pt idx="26">
                  <c:v>22.532499999999999</c:v>
                </c:pt>
                <c:pt idx="27">
                  <c:v>22.532499999999999</c:v>
                </c:pt>
                <c:pt idx="28">
                  <c:v>22.532499999999999</c:v>
                </c:pt>
                <c:pt idx="29">
                  <c:v>22.532499999999999</c:v>
                </c:pt>
                <c:pt idx="30">
                  <c:v>22.532499999999999</c:v>
                </c:pt>
                <c:pt idx="31">
                  <c:v>22.532499999999999</c:v>
                </c:pt>
                <c:pt idx="32">
                  <c:v>22.532499999999999</c:v>
                </c:pt>
                <c:pt idx="33">
                  <c:v>22.532499999999999</c:v>
                </c:pt>
                <c:pt idx="34">
                  <c:v>22.532499999999999</c:v>
                </c:pt>
                <c:pt idx="35">
                  <c:v>22.532499999999999</c:v>
                </c:pt>
                <c:pt idx="36">
                  <c:v>22.532499999999999</c:v>
                </c:pt>
                <c:pt idx="37">
                  <c:v>22.532499999999999</c:v>
                </c:pt>
                <c:pt idx="38">
                  <c:v>22.532499999999999</c:v>
                </c:pt>
                <c:pt idx="39">
                  <c:v>22.532499999999999</c:v>
                </c:pt>
                <c:pt idx="40">
                  <c:v>22.532499999999999</c:v>
                </c:pt>
                <c:pt idx="41">
                  <c:v>22.532499999999999</c:v>
                </c:pt>
                <c:pt idx="42">
                  <c:v>22.532499999999999</c:v>
                </c:pt>
                <c:pt idx="43">
                  <c:v>22.532499999999999</c:v>
                </c:pt>
                <c:pt idx="44">
                  <c:v>22.532499999999999</c:v>
                </c:pt>
                <c:pt idx="45">
                  <c:v>22.532499999999999</c:v>
                </c:pt>
                <c:pt idx="46">
                  <c:v>22.532499999999999</c:v>
                </c:pt>
                <c:pt idx="47">
                  <c:v>22.532499999999999</c:v>
                </c:pt>
                <c:pt idx="48">
                  <c:v>22.532499999999999</c:v>
                </c:pt>
                <c:pt idx="49">
                  <c:v>22.532499999999999</c:v>
                </c:pt>
                <c:pt idx="50">
                  <c:v>22.532499999999999</c:v>
                </c:pt>
                <c:pt idx="51">
                  <c:v>22.532499999999999</c:v>
                </c:pt>
                <c:pt idx="52">
                  <c:v>22.532499999999999</c:v>
                </c:pt>
                <c:pt idx="53">
                  <c:v>22.532499999999999</c:v>
                </c:pt>
                <c:pt idx="54">
                  <c:v>22.532499999999999</c:v>
                </c:pt>
                <c:pt idx="55">
                  <c:v>22.532499999999999</c:v>
                </c:pt>
                <c:pt idx="56">
                  <c:v>22.532499999999999</c:v>
                </c:pt>
                <c:pt idx="57">
                  <c:v>27.532499999999999</c:v>
                </c:pt>
                <c:pt idx="58">
                  <c:v>22.532499999999999</c:v>
                </c:pt>
                <c:pt idx="59">
                  <c:v>22.532499999999999</c:v>
                </c:pt>
                <c:pt idx="60">
                  <c:v>22.532499999999999</c:v>
                </c:pt>
                <c:pt idx="61">
                  <c:v>22.532499999999999</c:v>
                </c:pt>
                <c:pt idx="62">
                  <c:v>22.532499999999999</c:v>
                </c:pt>
                <c:pt idx="63">
                  <c:v>27.532499999999999</c:v>
                </c:pt>
                <c:pt idx="64">
                  <c:v>22.532499999999999</c:v>
                </c:pt>
                <c:pt idx="65">
                  <c:v>22.532499999999999</c:v>
                </c:pt>
                <c:pt idx="66">
                  <c:v>22.532499999999999</c:v>
                </c:pt>
                <c:pt idx="67">
                  <c:v>22.532499999999999</c:v>
                </c:pt>
                <c:pt idx="68">
                  <c:v>22.532499999999999</c:v>
                </c:pt>
                <c:pt idx="69">
                  <c:v>22.532499999999999</c:v>
                </c:pt>
                <c:pt idx="70">
                  <c:v>32.532499999999999</c:v>
                </c:pt>
                <c:pt idx="71">
                  <c:v>22.532499999999999</c:v>
                </c:pt>
                <c:pt idx="72">
                  <c:v>22.532499999999999</c:v>
                </c:pt>
                <c:pt idx="73">
                  <c:v>22.532499999999999</c:v>
                </c:pt>
                <c:pt idx="74">
                  <c:v>22.532499999999999</c:v>
                </c:pt>
                <c:pt idx="75">
                  <c:v>22.532499999999999</c:v>
                </c:pt>
                <c:pt idx="76">
                  <c:v>22.532499999999999</c:v>
                </c:pt>
                <c:pt idx="77">
                  <c:v>22.532499999999999</c:v>
                </c:pt>
                <c:pt idx="78">
                  <c:v>22.532499999999999</c:v>
                </c:pt>
                <c:pt idx="79">
                  <c:v>22.532499999999999</c:v>
                </c:pt>
                <c:pt idx="80">
                  <c:v>22.532499999999999</c:v>
                </c:pt>
                <c:pt idx="81">
                  <c:v>22.532499999999999</c:v>
                </c:pt>
                <c:pt idx="82">
                  <c:v>22.532499999999999</c:v>
                </c:pt>
                <c:pt idx="83">
                  <c:v>22.532499999999999</c:v>
                </c:pt>
                <c:pt idx="84">
                  <c:v>22.532499999999999</c:v>
                </c:pt>
                <c:pt idx="85">
                  <c:v>22.532499999999999</c:v>
                </c:pt>
                <c:pt idx="86">
                  <c:v>22.532499999999999</c:v>
                </c:pt>
                <c:pt idx="87">
                  <c:v>22.532499999999999</c:v>
                </c:pt>
                <c:pt idx="88">
                  <c:v>22.532499999999999</c:v>
                </c:pt>
                <c:pt idx="89">
                  <c:v>22.532499999999999</c:v>
                </c:pt>
                <c:pt idx="90">
                  <c:v>22.532499999999999</c:v>
                </c:pt>
                <c:pt idx="91">
                  <c:v>22.532499999999999</c:v>
                </c:pt>
                <c:pt idx="92">
                  <c:v>22.532499999999999</c:v>
                </c:pt>
                <c:pt idx="93">
                  <c:v>22.532499999999999</c:v>
                </c:pt>
                <c:pt idx="94">
                  <c:v>22.532499999999999</c:v>
                </c:pt>
                <c:pt idx="95">
                  <c:v>22.532499999999999</c:v>
                </c:pt>
                <c:pt idx="96">
                  <c:v>22.532499999999999</c:v>
                </c:pt>
                <c:pt idx="97">
                  <c:v>22.532499999999999</c:v>
                </c:pt>
                <c:pt idx="98">
                  <c:v>27.532499999999999</c:v>
                </c:pt>
                <c:pt idx="99">
                  <c:v>22.532499999999999</c:v>
                </c:pt>
                <c:pt idx="100">
                  <c:v>22.532499999999999</c:v>
                </c:pt>
                <c:pt idx="101">
                  <c:v>27.532499999999999</c:v>
                </c:pt>
                <c:pt idx="102">
                  <c:v>22.532499999999999</c:v>
                </c:pt>
                <c:pt idx="103">
                  <c:v>22.532499999999999</c:v>
                </c:pt>
                <c:pt idx="104">
                  <c:v>22.532499999999999</c:v>
                </c:pt>
                <c:pt idx="105">
                  <c:v>22.532499999999999</c:v>
                </c:pt>
                <c:pt idx="106">
                  <c:v>22.532499999999999</c:v>
                </c:pt>
                <c:pt idx="107">
                  <c:v>27.532499999999999</c:v>
                </c:pt>
                <c:pt idx="108">
                  <c:v>32.532499999999999</c:v>
                </c:pt>
                <c:pt idx="109">
                  <c:v>22.532499999999999</c:v>
                </c:pt>
                <c:pt idx="110">
                  <c:v>22.532499999999999</c:v>
                </c:pt>
                <c:pt idx="111">
                  <c:v>22.532499999999999</c:v>
                </c:pt>
                <c:pt idx="112">
                  <c:v>22.532499999999999</c:v>
                </c:pt>
                <c:pt idx="113">
                  <c:v>22.532499999999999</c:v>
                </c:pt>
                <c:pt idx="114">
                  <c:v>32.532499999999999</c:v>
                </c:pt>
                <c:pt idx="115">
                  <c:v>27.532499999999999</c:v>
                </c:pt>
                <c:pt idx="116">
                  <c:v>22.532499999999999</c:v>
                </c:pt>
                <c:pt idx="117">
                  <c:v>22.532499999999999</c:v>
                </c:pt>
                <c:pt idx="118">
                  <c:v>22.532499999999999</c:v>
                </c:pt>
                <c:pt idx="119">
                  <c:v>27.532499999999999</c:v>
                </c:pt>
                <c:pt idx="120">
                  <c:v>27.532499999999999</c:v>
                </c:pt>
                <c:pt idx="121">
                  <c:v>22.532499999999999</c:v>
                </c:pt>
                <c:pt idx="122">
                  <c:v>27.532499999999999</c:v>
                </c:pt>
                <c:pt idx="123">
                  <c:v>22.532499999999999</c:v>
                </c:pt>
                <c:pt idx="124">
                  <c:v>27.532499999999999</c:v>
                </c:pt>
                <c:pt idx="125">
                  <c:v>22.532499999999999</c:v>
                </c:pt>
                <c:pt idx="126">
                  <c:v>22.532499999999999</c:v>
                </c:pt>
                <c:pt idx="127">
                  <c:v>32.532499999999999</c:v>
                </c:pt>
                <c:pt idx="128">
                  <c:v>32.532499999999999</c:v>
                </c:pt>
                <c:pt idx="129">
                  <c:v>32.532499999999999</c:v>
                </c:pt>
                <c:pt idx="130">
                  <c:v>22.532499999999999</c:v>
                </c:pt>
                <c:pt idx="131">
                  <c:v>22.532499999999999</c:v>
                </c:pt>
                <c:pt idx="132">
                  <c:v>22.532499999999999</c:v>
                </c:pt>
                <c:pt idx="133">
                  <c:v>22.532499999999999</c:v>
                </c:pt>
                <c:pt idx="134">
                  <c:v>22.532499999999999</c:v>
                </c:pt>
                <c:pt idx="135">
                  <c:v>22.532499999999999</c:v>
                </c:pt>
                <c:pt idx="136">
                  <c:v>22.532499999999999</c:v>
                </c:pt>
                <c:pt idx="137">
                  <c:v>32.532499999999999</c:v>
                </c:pt>
                <c:pt idx="138">
                  <c:v>22.532499999999999</c:v>
                </c:pt>
                <c:pt idx="139">
                  <c:v>22.532499999999999</c:v>
                </c:pt>
                <c:pt idx="140">
                  <c:v>22.532499999999999</c:v>
                </c:pt>
                <c:pt idx="141">
                  <c:v>22.532499999999999</c:v>
                </c:pt>
                <c:pt idx="142">
                  <c:v>32.532499999999999</c:v>
                </c:pt>
                <c:pt idx="143">
                  <c:v>32.532499999999999</c:v>
                </c:pt>
                <c:pt idx="144">
                  <c:v>37.532499999999999</c:v>
                </c:pt>
                <c:pt idx="145">
                  <c:v>32.532499999999999</c:v>
                </c:pt>
                <c:pt idx="146">
                  <c:v>22.532499999999999</c:v>
                </c:pt>
                <c:pt idx="147">
                  <c:v>22.532499999999999</c:v>
                </c:pt>
                <c:pt idx="148">
                  <c:v>22.532499999999999</c:v>
                </c:pt>
                <c:pt idx="149">
                  <c:v>22.532499999999999</c:v>
                </c:pt>
                <c:pt idx="150">
                  <c:v>22.532499999999999</c:v>
                </c:pt>
                <c:pt idx="151">
                  <c:v>22.532499999999999</c:v>
                </c:pt>
                <c:pt idx="152">
                  <c:v>27.532499999999999</c:v>
                </c:pt>
                <c:pt idx="153">
                  <c:v>22.532499999999999</c:v>
                </c:pt>
                <c:pt idx="154">
                  <c:v>22.532499999999999</c:v>
                </c:pt>
                <c:pt idx="155">
                  <c:v>22.532499999999999</c:v>
                </c:pt>
                <c:pt idx="156">
                  <c:v>22.532499999999999</c:v>
                </c:pt>
                <c:pt idx="157">
                  <c:v>22.532499999999999</c:v>
                </c:pt>
                <c:pt idx="158">
                  <c:v>22.532499999999999</c:v>
                </c:pt>
                <c:pt idx="159">
                  <c:v>22.532499999999999</c:v>
                </c:pt>
                <c:pt idx="160">
                  <c:v>22.532499999999999</c:v>
                </c:pt>
                <c:pt idx="161">
                  <c:v>27.532499999999999</c:v>
                </c:pt>
                <c:pt idx="162">
                  <c:v>27.532499999999999</c:v>
                </c:pt>
                <c:pt idx="163">
                  <c:v>37.532499999999999</c:v>
                </c:pt>
                <c:pt idx="164">
                  <c:v>37.532499999999999</c:v>
                </c:pt>
                <c:pt idx="165">
                  <c:v>32.532499999999999</c:v>
                </c:pt>
                <c:pt idx="166">
                  <c:v>37.532499999999999</c:v>
                </c:pt>
                <c:pt idx="167">
                  <c:v>27.532499999999999</c:v>
                </c:pt>
                <c:pt idx="168">
                  <c:v>22.532499999999999</c:v>
                </c:pt>
                <c:pt idx="169">
                  <c:v>22.532499999999999</c:v>
                </c:pt>
                <c:pt idx="170">
                  <c:v>22.532499999999999</c:v>
                </c:pt>
                <c:pt idx="171">
                  <c:v>22.532499999999999</c:v>
                </c:pt>
                <c:pt idx="172">
                  <c:v>22.532499999999999</c:v>
                </c:pt>
                <c:pt idx="173">
                  <c:v>22.532499999999999</c:v>
                </c:pt>
                <c:pt idx="174">
                  <c:v>22.532499999999999</c:v>
                </c:pt>
                <c:pt idx="175">
                  <c:v>27.532499999999999</c:v>
                </c:pt>
                <c:pt idx="176">
                  <c:v>32.532499999999999</c:v>
                </c:pt>
                <c:pt idx="177">
                  <c:v>27.532499999999999</c:v>
                </c:pt>
                <c:pt idx="178">
                  <c:v>32.532499999999999</c:v>
                </c:pt>
                <c:pt idx="179">
                  <c:v>27.532499999999999</c:v>
                </c:pt>
                <c:pt idx="180">
                  <c:v>47.532499999999999</c:v>
                </c:pt>
              </c:numCache>
            </c:numRef>
          </c:xVal>
          <c:yVal>
            <c:numRef>
              <c:f>'40'!$R$4:$R$184</c:f>
              <c:numCache>
                <c:formatCode>General</c:formatCode>
                <c:ptCount val="181"/>
                <c:pt idx="0">
                  <c:v>0.32127820000000001</c:v>
                </c:pt>
                <c:pt idx="1">
                  <c:v>0.32127820000000001</c:v>
                </c:pt>
                <c:pt idx="2">
                  <c:v>0.19287820000000003</c:v>
                </c:pt>
                <c:pt idx="3">
                  <c:v>0.2356782</c:v>
                </c:pt>
                <c:pt idx="4">
                  <c:v>0.2356782</c:v>
                </c:pt>
                <c:pt idx="5">
                  <c:v>0.32127820000000001</c:v>
                </c:pt>
                <c:pt idx="6">
                  <c:v>0.32127820000000001</c:v>
                </c:pt>
                <c:pt idx="7">
                  <c:v>0.2356782</c:v>
                </c:pt>
                <c:pt idx="8">
                  <c:v>0.27847820000000001</c:v>
                </c:pt>
                <c:pt idx="9">
                  <c:v>0.32127820000000001</c:v>
                </c:pt>
                <c:pt idx="10">
                  <c:v>0.27847820000000001</c:v>
                </c:pt>
                <c:pt idx="11">
                  <c:v>0.2356782</c:v>
                </c:pt>
                <c:pt idx="12">
                  <c:v>0.19287820000000003</c:v>
                </c:pt>
                <c:pt idx="13">
                  <c:v>0.27847820000000001</c:v>
                </c:pt>
                <c:pt idx="14">
                  <c:v>0.2356782</c:v>
                </c:pt>
                <c:pt idx="15">
                  <c:v>0.27847820000000001</c:v>
                </c:pt>
                <c:pt idx="16">
                  <c:v>0.2356782</c:v>
                </c:pt>
                <c:pt idx="17">
                  <c:v>0.2356782</c:v>
                </c:pt>
                <c:pt idx="18">
                  <c:v>0.2356782</c:v>
                </c:pt>
                <c:pt idx="19">
                  <c:v>0.19287820000000003</c:v>
                </c:pt>
                <c:pt idx="20">
                  <c:v>0.19287820000000003</c:v>
                </c:pt>
                <c:pt idx="21">
                  <c:v>0.19287820000000003</c:v>
                </c:pt>
                <c:pt idx="22">
                  <c:v>0.19287820000000003</c:v>
                </c:pt>
                <c:pt idx="23">
                  <c:v>0.19287820000000003</c:v>
                </c:pt>
                <c:pt idx="24">
                  <c:v>0.19287820000000003</c:v>
                </c:pt>
                <c:pt idx="25">
                  <c:v>0.19287820000000003</c:v>
                </c:pt>
                <c:pt idx="26">
                  <c:v>0.19287820000000003</c:v>
                </c:pt>
                <c:pt idx="27">
                  <c:v>0.19287820000000003</c:v>
                </c:pt>
                <c:pt idx="28">
                  <c:v>0.19287820000000003</c:v>
                </c:pt>
                <c:pt idx="29">
                  <c:v>0.19287820000000003</c:v>
                </c:pt>
                <c:pt idx="30">
                  <c:v>0.19287820000000003</c:v>
                </c:pt>
                <c:pt idx="31">
                  <c:v>0.19287820000000003</c:v>
                </c:pt>
                <c:pt idx="32">
                  <c:v>0.19287820000000003</c:v>
                </c:pt>
                <c:pt idx="33">
                  <c:v>0.19287820000000003</c:v>
                </c:pt>
                <c:pt idx="34">
                  <c:v>0.19287820000000003</c:v>
                </c:pt>
                <c:pt idx="35">
                  <c:v>0.19287820000000003</c:v>
                </c:pt>
                <c:pt idx="36">
                  <c:v>0.19287820000000003</c:v>
                </c:pt>
                <c:pt idx="37">
                  <c:v>0.19287820000000003</c:v>
                </c:pt>
                <c:pt idx="38">
                  <c:v>0.19287820000000003</c:v>
                </c:pt>
                <c:pt idx="39">
                  <c:v>0.19287820000000003</c:v>
                </c:pt>
                <c:pt idx="40">
                  <c:v>0.19287820000000003</c:v>
                </c:pt>
                <c:pt idx="41">
                  <c:v>0.19287820000000003</c:v>
                </c:pt>
                <c:pt idx="42">
                  <c:v>0.19287820000000003</c:v>
                </c:pt>
                <c:pt idx="43">
                  <c:v>0.19287820000000003</c:v>
                </c:pt>
                <c:pt idx="44">
                  <c:v>0.19287820000000003</c:v>
                </c:pt>
                <c:pt idx="45">
                  <c:v>0.19287820000000003</c:v>
                </c:pt>
                <c:pt idx="46">
                  <c:v>0.19287820000000003</c:v>
                </c:pt>
                <c:pt idx="47">
                  <c:v>0.19287820000000003</c:v>
                </c:pt>
                <c:pt idx="48">
                  <c:v>0.19287820000000003</c:v>
                </c:pt>
                <c:pt idx="49">
                  <c:v>0.19287820000000003</c:v>
                </c:pt>
                <c:pt idx="50">
                  <c:v>0.19287820000000003</c:v>
                </c:pt>
                <c:pt idx="51">
                  <c:v>0.19287820000000003</c:v>
                </c:pt>
                <c:pt idx="52">
                  <c:v>0.19287820000000003</c:v>
                </c:pt>
                <c:pt idx="53">
                  <c:v>0.19287820000000003</c:v>
                </c:pt>
                <c:pt idx="54">
                  <c:v>0.19287820000000003</c:v>
                </c:pt>
                <c:pt idx="55">
                  <c:v>0.19287820000000003</c:v>
                </c:pt>
                <c:pt idx="56">
                  <c:v>0.19287820000000003</c:v>
                </c:pt>
                <c:pt idx="57">
                  <c:v>0.2356782</c:v>
                </c:pt>
                <c:pt idx="58">
                  <c:v>0.19287820000000003</c:v>
                </c:pt>
                <c:pt idx="59">
                  <c:v>0.19287820000000003</c:v>
                </c:pt>
                <c:pt idx="60">
                  <c:v>0.19287820000000003</c:v>
                </c:pt>
                <c:pt idx="61">
                  <c:v>0.19287820000000003</c:v>
                </c:pt>
                <c:pt idx="62">
                  <c:v>0.19287820000000003</c:v>
                </c:pt>
                <c:pt idx="63">
                  <c:v>0.2356782</c:v>
                </c:pt>
                <c:pt idx="64">
                  <c:v>0.19287820000000003</c:v>
                </c:pt>
                <c:pt idx="65">
                  <c:v>0.19287820000000003</c:v>
                </c:pt>
                <c:pt idx="66">
                  <c:v>0.19287820000000003</c:v>
                </c:pt>
                <c:pt idx="67">
                  <c:v>0.19287820000000003</c:v>
                </c:pt>
                <c:pt idx="68">
                  <c:v>0.19287820000000003</c:v>
                </c:pt>
                <c:pt idx="69">
                  <c:v>0.19287820000000003</c:v>
                </c:pt>
                <c:pt idx="70">
                  <c:v>0.27847820000000001</c:v>
                </c:pt>
                <c:pt idx="71">
                  <c:v>0.19287820000000003</c:v>
                </c:pt>
                <c:pt idx="72">
                  <c:v>0.19287820000000003</c:v>
                </c:pt>
                <c:pt idx="73">
                  <c:v>0.19287820000000003</c:v>
                </c:pt>
                <c:pt idx="74">
                  <c:v>0.19287820000000003</c:v>
                </c:pt>
                <c:pt idx="75">
                  <c:v>0.19287820000000003</c:v>
                </c:pt>
                <c:pt idx="76">
                  <c:v>0.19287820000000003</c:v>
                </c:pt>
                <c:pt idx="77">
                  <c:v>0.19287820000000003</c:v>
                </c:pt>
                <c:pt idx="78">
                  <c:v>0.19287820000000003</c:v>
                </c:pt>
                <c:pt idx="79">
                  <c:v>0.19287820000000003</c:v>
                </c:pt>
                <c:pt idx="80">
                  <c:v>0.19287820000000003</c:v>
                </c:pt>
                <c:pt idx="81">
                  <c:v>0.19287820000000003</c:v>
                </c:pt>
                <c:pt idx="82">
                  <c:v>0.19287820000000003</c:v>
                </c:pt>
                <c:pt idx="83">
                  <c:v>0.19287820000000003</c:v>
                </c:pt>
                <c:pt idx="84">
                  <c:v>0.19287820000000003</c:v>
                </c:pt>
                <c:pt idx="85">
                  <c:v>0.19287820000000003</c:v>
                </c:pt>
                <c:pt idx="86">
                  <c:v>0.19287820000000003</c:v>
                </c:pt>
                <c:pt idx="87">
                  <c:v>0.19287820000000003</c:v>
                </c:pt>
                <c:pt idx="88">
                  <c:v>0.19287820000000003</c:v>
                </c:pt>
                <c:pt idx="89">
                  <c:v>0.19287820000000003</c:v>
                </c:pt>
                <c:pt idx="90">
                  <c:v>0.19287820000000003</c:v>
                </c:pt>
                <c:pt idx="91">
                  <c:v>0.19287820000000003</c:v>
                </c:pt>
                <c:pt idx="92">
                  <c:v>0.19287820000000003</c:v>
                </c:pt>
                <c:pt idx="93">
                  <c:v>0.19287820000000003</c:v>
                </c:pt>
                <c:pt idx="94">
                  <c:v>0.19287820000000003</c:v>
                </c:pt>
                <c:pt idx="95">
                  <c:v>0.19287820000000003</c:v>
                </c:pt>
                <c:pt idx="96">
                  <c:v>0.19287820000000003</c:v>
                </c:pt>
                <c:pt idx="97">
                  <c:v>0.19287820000000003</c:v>
                </c:pt>
                <c:pt idx="98">
                  <c:v>0.2356782</c:v>
                </c:pt>
                <c:pt idx="99">
                  <c:v>0.19287820000000003</c:v>
                </c:pt>
                <c:pt idx="100">
                  <c:v>0.19287820000000003</c:v>
                </c:pt>
                <c:pt idx="101">
                  <c:v>0.2356782</c:v>
                </c:pt>
                <c:pt idx="102">
                  <c:v>0.19287820000000003</c:v>
                </c:pt>
                <c:pt idx="103">
                  <c:v>0.19287820000000003</c:v>
                </c:pt>
                <c:pt idx="104">
                  <c:v>0.19287820000000003</c:v>
                </c:pt>
                <c:pt idx="105">
                  <c:v>0.19287820000000003</c:v>
                </c:pt>
                <c:pt idx="106">
                  <c:v>0.19287820000000003</c:v>
                </c:pt>
                <c:pt idx="107">
                  <c:v>0.2356782</c:v>
                </c:pt>
                <c:pt idx="108">
                  <c:v>0.27847820000000001</c:v>
                </c:pt>
                <c:pt idx="109">
                  <c:v>0.19287820000000003</c:v>
                </c:pt>
                <c:pt idx="110">
                  <c:v>0.19287820000000003</c:v>
                </c:pt>
                <c:pt idx="111">
                  <c:v>0.19287820000000003</c:v>
                </c:pt>
                <c:pt idx="112">
                  <c:v>0.19287820000000003</c:v>
                </c:pt>
                <c:pt idx="113">
                  <c:v>0.19287820000000003</c:v>
                </c:pt>
                <c:pt idx="114">
                  <c:v>0.27847820000000001</c:v>
                </c:pt>
                <c:pt idx="115">
                  <c:v>0.2356782</c:v>
                </c:pt>
                <c:pt idx="116">
                  <c:v>0.19287820000000003</c:v>
                </c:pt>
                <c:pt idx="117">
                  <c:v>0.19287820000000003</c:v>
                </c:pt>
                <c:pt idx="118">
                  <c:v>0.19287820000000003</c:v>
                </c:pt>
                <c:pt idx="119">
                  <c:v>0.2356782</c:v>
                </c:pt>
                <c:pt idx="120">
                  <c:v>0.2356782</c:v>
                </c:pt>
                <c:pt idx="121">
                  <c:v>0.19287820000000003</c:v>
                </c:pt>
                <c:pt idx="122">
                  <c:v>0.2356782</c:v>
                </c:pt>
                <c:pt idx="123">
                  <c:v>0.19287820000000003</c:v>
                </c:pt>
                <c:pt idx="124">
                  <c:v>0.2356782</c:v>
                </c:pt>
                <c:pt idx="125">
                  <c:v>0.19287820000000003</c:v>
                </c:pt>
                <c:pt idx="126">
                  <c:v>0.19287820000000003</c:v>
                </c:pt>
                <c:pt idx="127">
                  <c:v>0.27847820000000001</c:v>
                </c:pt>
                <c:pt idx="128">
                  <c:v>0.27847820000000001</c:v>
                </c:pt>
                <c:pt idx="129">
                  <c:v>0.27847820000000001</c:v>
                </c:pt>
                <c:pt idx="130">
                  <c:v>0.19287820000000003</c:v>
                </c:pt>
                <c:pt idx="131">
                  <c:v>0.19287820000000003</c:v>
                </c:pt>
                <c:pt idx="132">
                  <c:v>0.19287820000000003</c:v>
                </c:pt>
                <c:pt idx="133">
                  <c:v>0.19287820000000003</c:v>
                </c:pt>
                <c:pt idx="134">
                  <c:v>0.19287820000000003</c:v>
                </c:pt>
                <c:pt idx="135">
                  <c:v>0.19287820000000003</c:v>
                </c:pt>
                <c:pt idx="136">
                  <c:v>0.19287820000000003</c:v>
                </c:pt>
                <c:pt idx="137">
                  <c:v>0.27847820000000001</c:v>
                </c:pt>
                <c:pt idx="138">
                  <c:v>0.19287820000000003</c:v>
                </c:pt>
                <c:pt idx="139">
                  <c:v>0.19287820000000003</c:v>
                </c:pt>
                <c:pt idx="140">
                  <c:v>0.19287820000000003</c:v>
                </c:pt>
                <c:pt idx="141">
                  <c:v>0.19287820000000003</c:v>
                </c:pt>
                <c:pt idx="142">
                  <c:v>0.27847820000000001</c:v>
                </c:pt>
                <c:pt idx="143">
                  <c:v>0.27847820000000001</c:v>
                </c:pt>
                <c:pt idx="144">
                  <c:v>0.32127820000000001</c:v>
                </c:pt>
                <c:pt idx="145">
                  <c:v>0.27847820000000001</c:v>
                </c:pt>
                <c:pt idx="146">
                  <c:v>0.19287820000000003</c:v>
                </c:pt>
                <c:pt idx="147">
                  <c:v>0.19287820000000003</c:v>
                </c:pt>
                <c:pt idx="148">
                  <c:v>0.19287820000000003</c:v>
                </c:pt>
                <c:pt idx="149">
                  <c:v>0.19287820000000003</c:v>
                </c:pt>
                <c:pt idx="150">
                  <c:v>0.19287820000000003</c:v>
                </c:pt>
                <c:pt idx="151">
                  <c:v>0.19287820000000003</c:v>
                </c:pt>
                <c:pt idx="152">
                  <c:v>0.2356782</c:v>
                </c:pt>
                <c:pt idx="153">
                  <c:v>0.19287820000000003</c:v>
                </c:pt>
                <c:pt idx="154">
                  <c:v>0.19287820000000003</c:v>
                </c:pt>
                <c:pt idx="155">
                  <c:v>0.19287820000000003</c:v>
                </c:pt>
                <c:pt idx="156">
                  <c:v>0.19287820000000003</c:v>
                </c:pt>
                <c:pt idx="157">
                  <c:v>0.19287820000000003</c:v>
                </c:pt>
                <c:pt idx="158">
                  <c:v>0.19287820000000003</c:v>
                </c:pt>
                <c:pt idx="159">
                  <c:v>0.19287820000000003</c:v>
                </c:pt>
                <c:pt idx="160">
                  <c:v>0.19287820000000003</c:v>
                </c:pt>
                <c:pt idx="161">
                  <c:v>0.2356782</c:v>
                </c:pt>
                <c:pt idx="162">
                  <c:v>0.2356782</c:v>
                </c:pt>
                <c:pt idx="163">
                  <c:v>0.32127820000000001</c:v>
                </c:pt>
                <c:pt idx="164">
                  <c:v>0.32127820000000001</c:v>
                </c:pt>
                <c:pt idx="165">
                  <c:v>0.27847820000000001</c:v>
                </c:pt>
                <c:pt idx="166">
                  <c:v>0.32127820000000001</c:v>
                </c:pt>
                <c:pt idx="167">
                  <c:v>0.2356782</c:v>
                </c:pt>
                <c:pt idx="168">
                  <c:v>0.19287820000000003</c:v>
                </c:pt>
                <c:pt idx="169">
                  <c:v>0.19287820000000003</c:v>
                </c:pt>
                <c:pt idx="170">
                  <c:v>0.19287820000000003</c:v>
                </c:pt>
                <c:pt idx="171">
                  <c:v>0.19287820000000003</c:v>
                </c:pt>
                <c:pt idx="172">
                  <c:v>0.19287820000000003</c:v>
                </c:pt>
                <c:pt idx="173">
                  <c:v>0.19287820000000003</c:v>
                </c:pt>
                <c:pt idx="174">
                  <c:v>0.19287820000000003</c:v>
                </c:pt>
                <c:pt idx="175">
                  <c:v>0.2356782</c:v>
                </c:pt>
                <c:pt idx="176">
                  <c:v>0.27847820000000001</c:v>
                </c:pt>
                <c:pt idx="177">
                  <c:v>0.2356782</c:v>
                </c:pt>
                <c:pt idx="178">
                  <c:v>0.27847820000000001</c:v>
                </c:pt>
                <c:pt idx="179">
                  <c:v>0.2356782</c:v>
                </c:pt>
                <c:pt idx="180">
                  <c:v>0.40687820000000002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17-4E8D-9B06-91EE0CDE4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24720"/>
        <c:axId val="306721840"/>
      </c:scatterChart>
      <c:valAx>
        <c:axId val="30672472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Blastability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721840"/>
        <c:crosses val="autoZero"/>
        <c:crossBetween val="midCat"/>
        <c:majorUnit val="10"/>
      </c:valAx>
      <c:valAx>
        <c:axId val="30672184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Power Factor (Kg Anfo 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724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5559877946330667"/>
          <c:y val="0.53865207932192138"/>
          <c:w val="0.17673806922824792"/>
          <c:h val="0.2434194875023628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932895152078076E-2"/>
          <c:y val="3.1275095427393818E-2"/>
          <c:w val="0.86591352696269031"/>
          <c:h val="0.84273147335896248"/>
        </c:manualLayout>
      </c:layout>
      <c:scatterChart>
        <c:scatterStyle val="lineMarker"/>
        <c:varyColors val="0"/>
        <c:ser>
          <c:idx val="0"/>
          <c:order val="0"/>
          <c:tx>
            <c:v>Lithology 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00FF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0000FF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'10'!$H$3:$H$59</c:f>
              <c:numCache>
                <c:formatCode>0</c:formatCode>
                <c:ptCount val="57"/>
                <c:pt idx="0">
                  <c:v>52.427184466019362</c:v>
                </c:pt>
                <c:pt idx="1">
                  <c:v>80</c:v>
                </c:pt>
                <c:pt idx="2">
                  <c:v>82.432432432432606</c:v>
                </c:pt>
                <c:pt idx="3">
                  <c:v>74.999999999999929</c:v>
                </c:pt>
                <c:pt idx="4">
                  <c:v>40</c:v>
                </c:pt>
                <c:pt idx="5">
                  <c:v>30</c:v>
                </c:pt>
                <c:pt idx="6">
                  <c:v>26.666666666666668</c:v>
                </c:pt>
                <c:pt idx="7">
                  <c:v>92.857142857142478</c:v>
                </c:pt>
                <c:pt idx="8">
                  <c:v>64</c:v>
                </c:pt>
                <c:pt idx="9">
                  <c:v>40</c:v>
                </c:pt>
                <c:pt idx="10">
                  <c:v>0</c:v>
                </c:pt>
                <c:pt idx="11">
                  <c:v>57.999999999999993</c:v>
                </c:pt>
                <c:pt idx="12">
                  <c:v>36</c:v>
                </c:pt>
                <c:pt idx="13">
                  <c:v>0</c:v>
                </c:pt>
                <c:pt idx="14">
                  <c:v>32.85714285714306</c:v>
                </c:pt>
                <c:pt idx="15">
                  <c:v>49.999999999999879</c:v>
                </c:pt>
                <c:pt idx="16">
                  <c:v>22</c:v>
                </c:pt>
                <c:pt idx="17">
                  <c:v>0</c:v>
                </c:pt>
                <c:pt idx="18">
                  <c:v>39.999999999999901</c:v>
                </c:pt>
                <c:pt idx="19">
                  <c:v>56.000000000000007</c:v>
                </c:pt>
                <c:pt idx="20">
                  <c:v>0</c:v>
                </c:pt>
                <c:pt idx="21">
                  <c:v>47.500000000000171</c:v>
                </c:pt>
                <c:pt idx="22">
                  <c:v>31.666666666666593</c:v>
                </c:pt>
                <c:pt idx="23">
                  <c:v>30</c:v>
                </c:pt>
                <c:pt idx="24">
                  <c:v>21.428571428571558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36</c:v>
                </c:pt>
                <c:pt idx="34">
                  <c:v>28.000000000000004</c:v>
                </c:pt>
                <c:pt idx="35">
                  <c:v>24</c:v>
                </c:pt>
                <c:pt idx="36">
                  <c:v>0</c:v>
                </c:pt>
                <c:pt idx="37">
                  <c:v>34.545454545454277</c:v>
                </c:pt>
                <c:pt idx="38">
                  <c:v>0</c:v>
                </c:pt>
                <c:pt idx="39">
                  <c:v>35.714285714285573</c:v>
                </c:pt>
                <c:pt idx="40">
                  <c:v>81</c:v>
                </c:pt>
                <c:pt idx="41">
                  <c:v>28.000000000000004</c:v>
                </c:pt>
                <c:pt idx="42">
                  <c:v>0</c:v>
                </c:pt>
                <c:pt idx="43">
                  <c:v>0</c:v>
                </c:pt>
                <c:pt idx="44">
                  <c:v>54</c:v>
                </c:pt>
                <c:pt idx="45">
                  <c:v>20</c:v>
                </c:pt>
                <c:pt idx="46">
                  <c:v>32</c:v>
                </c:pt>
                <c:pt idx="47">
                  <c:v>32</c:v>
                </c:pt>
                <c:pt idx="48">
                  <c:v>30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80</c:v>
                </c:pt>
                <c:pt idx="54">
                  <c:v>54.545454545454831</c:v>
                </c:pt>
                <c:pt idx="55">
                  <c:v>69.999999999999829</c:v>
                </c:pt>
                <c:pt idx="56">
                  <c:v>32</c:v>
                </c:pt>
              </c:numCache>
            </c:numRef>
          </c:xVal>
          <c:yVal>
            <c:numRef>
              <c:f>'10'!$S$3:$S$59</c:f>
              <c:numCache>
                <c:formatCode>General</c:formatCode>
                <c:ptCount val="57"/>
                <c:pt idx="0">
                  <c:v>0.44852599999999998</c:v>
                </c:pt>
                <c:pt idx="1">
                  <c:v>0.44852599999999998</c:v>
                </c:pt>
                <c:pt idx="2">
                  <c:v>0.44852599999999998</c:v>
                </c:pt>
                <c:pt idx="3">
                  <c:v>0.44852599999999998</c:v>
                </c:pt>
                <c:pt idx="4">
                  <c:v>0.44852599999999998</c:v>
                </c:pt>
                <c:pt idx="5">
                  <c:v>0.39652600000000005</c:v>
                </c:pt>
                <c:pt idx="6">
                  <c:v>0.44852599999999998</c:v>
                </c:pt>
                <c:pt idx="7">
                  <c:v>0.44852599999999998</c:v>
                </c:pt>
                <c:pt idx="8">
                  <c:v>0.44852599999999998</c:v>
                </c:pt>
                <c:pt idx="9">
                  <c:v>0.39652600000000005</c:v>
                </c:pt>
                <c:pt idx="10">
                  <c:v>0.29252600000000006</c:v>
                </c:pt>
                <c:pt idx="11">
                  <c:v>0.44852599999999998</c:v>
                </c:pt>
                <c:pt idx="12">
                  <c:v>0.44852599999999998</c:v>
                </c:pt>
                <c:pt idx="13">
                  <c:v>0.344526</c:v>
                </c:pt>
                <c:pt idx="14">
                  <c:v>0.44852599999999998</c:v>
                </c:pt>
                <c:pt idx="15">
                  <c:v>0.39652600000000005</c:v>
                </c:pt>
                <c:pt idx="16">
                  <c:v>0.39652600000000005</c:v>
                </c:pt>
                <c:pt idx="17">
                  <c:v>0.29252600000000006</c:v>
                </c:pt>
                <c:pt idx="18">
                  <c:v>0.39652600000000005</c:v>
                </c:pt>
                <c:pt idx="19">
                  <c:v>0.44852599999999998</c:v>
                </c:pt>
                <c:pt idx="20">
                  <c:v>0.344526</c:v>
                </c:pt>
                <c:pt idx="21">
                  <c:v>0.44852599999999998</c:v>
                </c:pt>
                <c:pt idx="22">
                  <c:v>0.44852599999999998</c:v>
                </c:pt>
                <c:pt idx="23">
                  <c:v>0.344526</c:v>
                </c:pt>
                <c:pt idx="24">
                  <c:v>0.39652600000000005</c:v>
                </c:pt>
                <c:pt idx="25">
                  <c:v>0.29252600000000006</c:v>
                </c:pt>
                <c:pt idx="26">
                  <c:v>0.29252600000000006</c:v>
                </c:pt>
                <c:pt idx="27">
                  <c:v>0.29252600000000006</c:v>
                </c:pt>
                <c:pt idx="28">
                  <c:v>0.29252600000000006</c:v>
                </c:pt>
                <c:pt idx="29">
                  <c:v>0.29252600000000006</c:v>
                </c:pt>
                <c:pt idx="30">
                  <c:v>0.29252600000000006</c:v>
                </c:pt>
                <c:pt idx="31">
                  <c:v>0.344526</c:v>
                </c:pt>
                <c:pt idx="32">
                  <c:v>0.29252600000000006</c:v>
                </c:pt>
                <c:pt idx="33">
                  <c:v>0.44852599999999998</c:v>
                </c:pt>
                <c:pt idx="34">
                  <c:v>0.344526</c:v>
                </c:pt>
                <c:pt idx="35">
                  <c:v>0.344526</c:v>
                </c:pt>
                <c:pt idx="36">
                  <c:v>0.29252600000000006</c:v>
                </c:pt>
                <c:pt idx="37">
                  <c:v>0.344526</c:v>
                </c:pt>
                <c:pt idx="38">
                  <c:v>0.29252600000000006</c:v>
                </c:pt>
                <c:pt idx="39">
                  <c:v>0.55252600000000007</c:v>
                </c:pt>
                <c:pt idx="40">
                  <c:v>0.44852599999999998</c:v>
                </c:pt>
                <c:pt idx="41">
                  <c:v>0.344526</c:v>
                </c:pt>
                <c:pt idx="42">
                  <c:v>0.29252600000000006</c:v>
                </c:pt>
                <c:pt idx="43">
                  <c:v>0.29252600000000006</c:v>
                </c:pt>
                <c:pt idx="44">
                  <c:v>0.60452600000000001</c:v>
                </c:pt>
                <c:pt idx="45">
                  <c:v>0.39652600000000005</c:v>
                </c:pt>
                <c:pt idx="46">
                  <c:v>0.55252600000000007</c:v>
                </c:pt>
                <c:pt idx="47">
                  <c:v>0.344526</c:v>
                </c:pt>
                <c:pt idx="48">
                  <c:v>0.344526</c:v>
                </c:pt>
                <c:pt idx="49">
                  <c:v>0.29252600000000006</c:v>
                </c:pt>
                <c:pt idx="50">
                  <c:v>0.29252600000000006</c:v>
                </c:pt>
                <c:pt idx="51">
                  <c:v>0.29252600000000006</c:v>
                </c:pt>
                <c:pt idx="52">
                  <c:v>0.29252600000000006</c:v>
                </c:pt>
                <c:pt idx="53">
                  <c:v>0.44852599999999998</c:v>
                </c:pt>
                <c:pt idx="54">
                  <c:v>0.44852599999999998</c:v>
                </c:pt>
                <c:pt idx="55">
                  <c:v>0.44852599999999998</c:v>
                </c:pt>
                <c:pt idx="56">
                  <c:v>0.55252600000000007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9-4231-8E0B-5B9CF88C7939}"/>
            </c:ext>
          </c:extLst>
        </c:ser>
        <c:ser>
          <c:idx val="1"/>
          <c:order val="1"/>
          <c:tx>
            <c:v>Lithology 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'30'!$G$4:$G$64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52</c:v>
                </c:pt>
                <c:pt idx="9">
                  <c:v>36</c:v>
                </c:pt>
                <c:pt idx="10">
                  <c:v>100</c:v>
                </c:pt>
                <c:pt idx="11">
                  <c:v>62</c:v>
                </c:pt>
                <c:pt idx="12">
                  <c:v>94.736842105263278</c:v>
                </c:pt>
                <c:pt idx="13">
                  <c:v>34</c:v>
                </c:pt>
                <c:pt idx="14">
                  <c:v>32</c:v>
                </c:pt>
                <c:pt idx="15">
                  <c:v>22</c:v>
                </c:pt>
                <c:pt idx="16">
                  <c:v>85.714285714285367</c:v>
                </c:pt>
                <c:pt idx="17">
                  <c:v>58.510638297872489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28.000000000000004</c:v>
                </c:pt>
                <c:pt idx="23">
                  <c:v>28.000000000000004</c:v>
                </c:pt>
                <c:pt idx="24">
                  <c:v>0</c:v>
                </c:pt>
                <c:pt idx="25">
                  <c:v>26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  <c:pt idx="29">
                  <c:v>48</c:v>
                </c:pt>
                <c:pt idx="30">
                  <c:v>0</c:v>
                </c:pt>
                <c:pt idx="31">
                  <c:v>44</c:v>
                </c:pt>
                <c:pt idx="32">
                  <c:v>0</c:v>
                </c:pt>
                <c:pt idx="33">
                  <c:v>30</c:v>
                </c:pt>
                <c:pt idx="34">
                  <c:v>26</c:v>
                </c:pt>
                <c:pt idx="35">
                  <c:v>0</c:v>
                </c:pt>
                <c:pt idx="36">
                  <c:v>0</c:v>
                </c:pt>
                <c:pt idx="37">
                  <c:v>28.000000000000004</c:v>
                </c:pt>
                <c:pt idx="38">
                  <c:v>50</c:v>
                </c:pt>
                <c:pt idx="39">
                  <c:v>0</c:v>
                </c:pt>
                <c:pt idx="40">
                  <c:v>88</c:v>
                </c:pt>
                <c:pt idx="41">
                  <c:v>54</c:v>
                </c:pt>
                <c:pt idx="42">
                  <c:v>92</c:v>
                </c:pt>
                <c:pt idx="43">
                  <c:v>57.999999999999993</c:v>
                </c:pt>
                <c:pt idx="44">
                  <c:v>56.000000000000007</c:v>
                </c:pt>
                <c:pt idx="45">
                  <c:v>57.999999999999993</c:v>
                </c:pt>
                <c:pt idx="46">
                  <c:v>57.999999999999993</c:v>
                </c:pt>
                <c:pt idx="47">
                  <c:v>60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xVal>
          <c:yVal>
            <c:numRef>
              <c:f>'30'!$R$4:$R$64</c:f>
              <c:numCache>
                <c:formatCode>General</c:formatCode>
                <c:ptCount val="61"/>
                <c:pt idx="0">
                  <c:v>0.14449499999999998</c:v>
                </c:pt>
                <c:pt idx="1">
                  <c:v>0.14449499999999998</c:v>
                </c:pt>
                <c:pt idx="2">
                  <c:v>0.14449499999999998</c:v>
                </c:pt>
                <c:pt idx="3">
                  <c:v>0.14449499999999998</c:v>
                </c:pt>
                <c:pt idx="4">
                  <c:v>0.14449499999999998</c:v>
                </c:pt>
                <c:pt idx="5">
                  <c:v>0.18249499999999999</c:v>
                </c:pt>
                <c:pt idx="6">
                  <c:v>0.14449499999999998</c:v>
                </c:pt>
                <c:pt idx="7">
                  <c:v>0.14449499999999998</c:v>
                </c:pt>
                <c:pt idx="8">
                  <c:v>0.220495</c:v>
                </c:pt>
                <c:pt idx="9">
                  <c:v>0.25849499999999997</c:v>
                </c:pt>
                <c:pt idx="10">
                  <c:v>0.25849499999999997</c:v>
                </c:pt>
                <c:pt idx="11">
                  <c:v>0.25849499999999997</c:v>
                </c:pt>
                <c:pt idx="12">
                  <c:v>0.37249499999999997</c:v>
                </c:pt>
                <c:pt idx="13">
                  <c:v>0.220495</c:v>
                </c:pt>
                <c:pt idx="14">
                  <c:v>0.220495</c:v>
                </c:pt>
                <c:pt idx="15">
                  <c:v>0.25849499999999997</c:v>
                </c:pt>
                <c:pt idx="16">
                  <c:v>0.25849499999999997</c:v>
                </c:pt>
                <c:pt idx="17">
                  <c:v>0.25849499999999997</c:v>
                </c:pt>
                <c:pt idx="18">
                  <c:v>0.14449499999999998</c:v>
                </c:pt>
                <c:pt idx="19">
                  <c:v>0.14449499999999998</c:v>
                </c:pt>
                <c:pt idx="20">
                  <c:v>0.14449499999999998</c:v>
                </c:pt>
                <c:pt idx="21">
                  <c:v>0.14449499999999998</c:v>
                </c:pt>
                <c:pt idx="22">
                  <c:v>0.220495</c:v>
                </c:pt>
                <c:pt idx="23">
                  <c:v>0.18249499999999999</c:v>
                </c:pt>
                <c:pt idx="24">
                  <c:v>0.18249499999999999</c:v>
                </c:pt>
                <c:pt idx="25">
                  <c:v>0.18249499999999999</c:v>
                </c:pt>
                <c:pt idx="26">
                  <c:v>0.14449499999999998</c:v>
                </c:pt>
                <c:pt idx="27">
                  <c:v>0.14449499999999998</c:v>
                </c:pt>
                <c:pt idx="28">
                  <c:v>0.14449499999999998</c:v>
                </c:pt>
                <c:pt idx="29">
                  <c:v>0.220495</c:v>
                </c:pt>
                <c:pt idx="30">
                  <c:v>0.14449499999999998</c:v>
                </c:pt>
                <c:pt idx="31">
                  <c:v>0.220495</c:v>
                </c:pt>
                <c:pt idx="32">
                  <c:v>0.14449499999999998</c:v>
                </c:pt>
                <c:pt idx="33">
                  <c:v>0.18249499999999999</c:v>
                </c:pt>
                <c:pt idx="34">
                  <c:v>0.18249499999999999</c:v>
                </c:pt>
                <c:pt idx="35">
                  <c:v>0.14449499999999998</c:v>
                </c:pt>
                <c:pt idx="36">
                  <c:v>0.14449499999999998</c:v>
                </c:pt>
                <c:pt idx="37">
                  <c:v>0.220495</c:v>
                </c:pt>
                <c:pt idx="38">
                  <c:v>0.220495</c:v>
                </c:pt>
                <c:pt idx="39">
                  <c:v>0.14449499999999998</c:v>
                </c:pt>
                <c:pt idx="40">
                  <c:v>0.25849499999999997</c:v>
                </c:pt>
                <c:pt idx="41">
                  <c:v>0.25849499999999997</c:v>
                </c:pt>
                <c:pt idx="42">
                  <c:v>0.25849499999999997</c:v>
                </c:pt>
                <c:pt idx="43">
                  <c:v>0.25849499999999997</c:v>
                </c:pt>
                <c:pt idx="44">
                  <c:v>0.25849499999999997</c:v>
                </c:pt>
                <c:pt idx="45">
                  <c:v>0.37249499999999997</c:v>
                </c:pt>
                <c:pt idx="46">
                  <c:v>0.25849499999999997</c:v>
                </c:pt>
                <c:pt idx="47">
                  <c:v>0.25849499999999997</c:v>
                </c:pt>
                <c:pt idx="48">
                  <c:v>0.14449499999999998</c:v>
                </c:pt>
                <c:pt idx="49">
                  <c:v>0.14449499999999998</c:v>
                </c:pt>
                <c:pt idx="50">
                  <c:v>0.14449499999999998</c:v>
                </c:pt>
                <c:pt idx="51">
                  <c:v>0.14449499999999998</c:v>
                </c:pt>
                <c:pt idx="52">
                  <c:v>0.14449499999999998</c:v>
                </c:pt>
                <c:pt idx="53">
                  <c:v>0.14449499999999998</c:v>
                </c:pt>
                <c:pt idx="54">
                  <c:v>0.14449499999999998</c:v>
                </c:pt>
                <c:pt idx="55">
                  <c:v>0.14449499999999998</c:v>
                </c:pt>
                <c:pt idx="56">
                  <c:v>0.14449499999999998</c:v>
                </c:pt>
                <c:pt idx="57">
                  <c:v>0.14449499999999998</c:v>
                </c:pt>
                <c:pt idx="58">
                  <c:v>0.14449499999999998</c:v>
                </c:pt>
                <c:pt idx="59">
                  <c:v>0.14449499999999998</c:v>
                </c:pt>
                <c:pt idx="60">
                  <c:v>0.14449499999999998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69-4231-8E0B-5B9CF88C7939}"/>
            </c:ext>
          </c:extLst>
        </c:ser>
        <c:ser>
          <c:idx val="2"/>
          <c:order val="2"/>
          <c:tx>
            <c:v>Lithology 40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EEDFAA"/>
                </a:solidFill>
              </a:ln>
              <a:effectLst/>
            </c:spPr>
          </c:marker>
          <c:trendline>
            <c:spPr>
              <a:ln w="34925" cap="rnd">
                <a:solidFill>
                  <a:srgbClr val="EEDFAA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'40'!$G$4:$G$184</c:f>
              <c:numCache>
                <c:formatCode>General</c:formatCode>
                <c:ptCount val="181"/>
                <c:pt idx="0">
                  <c:v>60</c:v>
                </c:pt>
                <c:pt idx="1">
                  <c:v>100</c:v>
                </c:pt>
                <c:pt idx="2">
                  <c:v>0</c:v>
                </c:pt>
                <c:pt idx="3">
                  <c:v>22</c:v>
                </c:pt>
                <c:pt idx="4">
                  <c:v>42.000000000000007</c:v>
                </c:pt>
                <c:pt idx="5">
                  <c:v>56.000000000000007</c:v>
                </c:pt>
                <c:pt idx="6">
                  <c:v>62</c:v>
                </c:pt>
                <c:pt idx="7">
                  <c:v>32</c:v>
                </c:pt>
                <c:pt idx="8">
                  <c:v>42</c:v>
                </c:pt>
                <c:pt idx="9">
                  <c:v>50</c:v>
                </c:pt>
                <c:pt idx="10">
                  <c:v>38</c:v>
                </c:pt>
                <c:pt idx="11">
                  <c:v>22</c:v>
                </c:pt>
                <c:pt idx="12">
                  <c:v>24</c:v>
                </c:pt>
                <c:pt idx="13">
                  <c:v>28.000000000000004</c:v>
                </c:pt>
                <c:pt idx="14">
                  <c:v>44</c:v>
                </c:pt>
                <c:pt idx="15">
                  <c:v>40</c:v>
                </c:pt>
                <c:pt idx="16">
                  <c:v>0</c:v>
                </c:pt>
                <c:pt idx="17">
                  <c:v>54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22</c:v>
                </c:pt>
                <c:pt idx="62">
                  <c:v>28.000000000000004</c:v>
                </c:pt>
                <c:pt idx="63">
                  <c:v>30</c:v>
                </c:pt>
                <c:pt idx="64">
                  <c:v>0</c:v>
                </c:pt>
                <c:pt idx="65">
                  <c:v>0</c:v>
                </c:pt>
                <c:pt idx="66">
                  <c:v>20</c:v>
                </c:pt>
                <c:pt idx="67">
                  <c:v>26</c:v>
                </c:pt>
                <c:pt idx="68">
                  <c:v>30</c:v>
                </c:pt>
                <c:pt idx="69">
                  <c:v>32</c:v>
                </c:pt>
                <c:pt idx="70">
                  <c:v>56.000000000000007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26</c:v>
                </c:pt>
                <c:pt idx="85">
                  <c:v>22</c:v>
                </c:pt>
                <c:pt idx="86">
                  <c:v>0</c:v>
                </c:pt>
                <c:pt idx="87">
                  <c:v>22</c:v>
                </c:pt>
                <c:pt idx="88">
                  <c:v>22</c:v>
                </c:pt>
                <c:pt idx="89">
                  <c:v>0</c:v>
                </c:pt>
                <c:pt idx="90">
                  <c:v>26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22</c:v>
                </c:pt>
                <c:pt idx="97">
                  <c:v>0</c:v>
                </c:pt>
                <c:pt idx="98">
                  <c:v>38</c:v>
                </c:pt>
                <c:pt idx="99">
                  <c:v>28.000000000000004</c:v>
                </c:pt>
                <c:pt idx="100">
                  <c:v>0</c:v>
                </c:pt>
                <c:pt idx="101">
                  <c:v>22</c:v>
                </c:pt>
                <c:pt idx="102">
                  <c:v>44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30</c:v>
                </c:pt>
                <c:pt idx="108">
                  <c:v>30</c:v>
                </c:pt>
                <c:pt idx="109">
                  <c:v>0</c:v>
                </c:pt>
                <c:pt idx="110">
                  <c:v>22</c:v>
                </c:pt>
                <c:pt idx="111">
                  <c:v>20</c:v>
                </c:pt>
                <c:pt idx="112">
                  <c:v>24</c:v>
                </c:pt>
                <c:pt idx="113">
                  <c:v>0</c:v>
                </c:pt>
                <c:pt idx="114">
                  <c:v>54</c:v>
                </c:pt>
                <c:pt idx="115">
                  <c:v>52</c:v>
                </c:pt>
                <c:pt idx="116">
                  <c:v>34</c:v>
                </c:pt>
                <c:pt idx="117">
                  <c:v>28.000000000000004</c:v>
                </c:pt>
                <c:pt idx="118">
                  <c:v>0</c:v>
                </c:pt>
                <c:pt idx="119">
                  <c:v>50</c:v>
                </c:pt>
                <c:pt idx="120">
                  <c:v>20</c:v>
                </c:pt>
                <c:pt idx="121">
                  <c:v>0</c:v>
                </c:pt>
                <c:pt idx="122">
                  <c:v>44</c:v>
                </c:pt>
                <c:pt idx="123">
                  <c:v>22</c:v>
                </c:pt>
                <c:pt idx="124">
                  <c:v>30</c:v>
                </c:pt>
                <c:pt idx="125">
                  <c:v>26</c:v>
                </c:pt>
                <c:pt idx="126">
                  <c:v>0</c:v>
                </c:pt>
                <c:pt idx="127">
                  <c:v>66</c:v>
                </c:pt>
                <c:pt idx="128">
                  <c:v>36</c:v>
                </c:pt>
                <c:pt idx="129">
                  <c:v>50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62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40</c:v>
                </c:pt>
                <c:pt idx="143">
                  <c:v>36</c:v>
                </c:pt>
                <c:pt idx="144">
                  <c:v>46</c:v>
                </c:pt>
                <c:pt idx="145">
                  <c:v>26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22</c:v>
                </c:pt>
                <c:pt idx="152">
                  <c:v>0</c:v>
                </c:pt>
                <c:pt idx="153">
                  <c:v>0</c:v>
                </c:pt>
                <c:pt idx="154">
                  <c:v>20</c:v>
                </c:pt>
                <c:pt idx="155">
                  <c:v>30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20</c:v>
                </c:pt>
                <c:pt idx="162">
                  <c:v>24</c:v>
                </c:pt>
                <c:pt idx="163">
                  <c:v>54</c:v>
                </c:pt>
                <c:pt idx="164">
                  <c:v>52</c:v>
                </c:pt>
                <c:pt idx="165">
                  <c:v>24</c:v>
                </c:pt>
                <c:pt idx="166">
                  <c:v>64</c:v>
                </c:pt>
                <c:pt idx="167">
                  <c:v>20</c:v>
                </c:pt>
                <c:pt idx="168">
                  <c:v>0</c:v>
                </c:pt>
                <c:pt idx="169">
                  <c:v>22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48</c:v>
                </c:pt>
                <c:pt idx="177">
                  <c:v>0</c:v>
                </c:pt>
                <c:pt idx="178">
                  <c:v>36</c:v>
                </c:pt>
                <c:pt idx="179">
                  <c:v>20</c:v>
                </c:pt>
                <c:pt idx="180">
                  <c:v>36</c:v>
                </c:pt>
              </c:numCache>
            </c:numRef>
          </c:xVal>
          <c:yVal>
            <c:numRef>
              <c:f>'40'!$R$4:$R$184</c:f>
              <c:numCache>
                <c:formatCode>General</c:formatCode>
                <c:ptCount val="181"/>
                <c:pt idx="0">
                  <c:v>0.32127820000000001</c:v>
                </c:pt>
                <c:pt idx="1">
                  <c:v>0.32127820000000001</c:v>
                </c:pt>
                <c:pt idx="2">
                  <c:v>0.19287820000000003</c:v>
                </c:pt>
                <c:pt idx="3">
                  <c:v>0.2356782</c:v>
                </c:pt>
                <c:pt idx="4">
                  <c:v>0.2356782</c:v>
                </c:pt>
                <c:pt idx="5">
                  <c:v>0.32127820000000001</c:v>
                </c:pt>
                <c:pt idx="6">
                  <c:v>0.32127820000000001</c:v>
                </c:pt>
                <c:pt idx="7">
                  <c:v>0.2356782</c:v>
                </c:pt>
                <c:pt idx="8">
                  <c:v>0.27847820000000001</c:v>
                </c:pt>
                <c:pt idx="9">
                  <c:v>0.32127820000000001</c:v>
                </c:pt>
                <c:pt idx="10">
                  <c:v>0.27847820000000001</c:v>
                </c:pt>
                <c:pt idx="11">
                  <c:v>0.2356782</c:v>
                </c:pt>
                <c:pt idx="12">
                  <c:v>0.19287820000000003</c:v>
                </c:pt>
                <c:pt idx="13">
                  <c:v>0.27847820000000001</c:v>
                </c:pt>
                <c:pt idx="14">
                  <c:v>0.2356782</c:v>
                </c:pt>
                <c:pt idx="15">
                  <c:v>0.27847820000000001</c:v>
                </c:pt>
                <c:pt idx="16">
                  <c:v>0.2356782</c:v>
                </c:pt>
                <c:pt idx="17">
                  <c:v>0.2356782</c:v>
                </c:pt>
                <c:pt idx="18">
                  <c:v>0.2356782</c:v>
                </c:pt>
                <c:pt idx="19">
                  <c:v>0.19287820000000003</c:v>
                </c:pt>
                <c:pt idx="20">
                  <c:v>0.19287820000000003</c:v>
                </c:pt>
                <c:pt idx="21">
                  <c:v>0.19287820000000003</c:v>
                </c:pt>
                <c:pt idx="22">
                  <c:v>0.19287820000000003</c:v>
                </c:pt>
                <c:pt idx="23">
                  <c:v>0.19287820000000003</c:v>
                </c:pt>
                <c:pt idx="24">
                  <c:v>0.19287820000000003</c:v>
                </c:pt>
                <c:pt idx="25">
                  <c:v>0.19287820000000003</c:v>
                </c:pt>
                <c:pt idx="26">
                  <c:v>0.19287820000000003</c:v>
                </c:pt>
                <c:pt idx="27">
                  <c:v>0.19287820000000003</c:v>
                </c:pt>
                <c:pt idx="28">
                  <c:v>0.19287820000000003</c:v>
                </c:pt>
                <c:pt idx="29">
                  <c:v>0.19287820000000003</c:v>
                </c:pt>
                <c:pt idx="30">
                  <c:v>0.19287820000000003</c:v>
                </c:pt>
                <c:pt idx="31">
                  <c:v>0.19287820000000003</c:v>
                </c:pt>
                <c:pt idx="32">
                  <c:v>0.19287820000000003</c:v>
                </c:pt>
                <c:pt idx="33">
                  <c:v>0.19287820000000003</c:v>
                </c:pt>
                <c:pt idx="34">
                  <c:v>0.19287820000000003</c:v>
                </c:pt>
                <c:pt idx="35">
                  <c:v>0.19287820000000003</c:v>
                </c:pt>
                <c:pt idx="36">
                  <c:v>0.19287820000000003</c:v>
                </c:pt>
                <c:pt idx="37">
                  <c:v>0.19287820000000003</c:v>
                </c:pt>
                <c:pt idx="38">
                  <c:v>0.19287820000000003</c:v>
                </c:pt>
                <c:pt idx="39">
                  <c:v>0.19287820000000003</c:v>
                </c:pt>
                <c:pt idx="40">
                  <c:v>0.19287820000000003</c:v>
                </c:pt>
                <c:pt idx="41">
                  <c:v>0.19287820000000003</c:v>
                </c:pt>
                <c:pt idx="42">
                  <c:v>0.19287820000000003</c:v>
                </c:pt>
                <c:pt idx="43">
                  <c:v>0.19287820000000003</c:v>
                </c:pt>
                <c:pt idx="44">
                  <c:v>0.19287820000000003</c:v>
                </c:pt>
                <c:pt idx="45">
                  <c:v>0.19287820000000003</c:v>
                </c:pt>
                <c:pt idx="46">
                  <c:v>0.19287820000000003</c:v>
                </c:pt>
                <c:pt idx="47">
                  <c:v>0.19287820000000003</c:v>
                </c:pt>
                <c:pt idx="48">
                  <c:v>0.19287820000000003</c:v>
                </c:pt>
                <c:pt idx="49">
                  <c:v>0.19287820000000003</c:v>
                </c:pt>
                <c:pt idx="50">
                  <c:v>0.19287820000000003</c:v>
                </c:pt>
                <c:pt idx="51">
                  <c:v>0.19287820000000003</c:v>
                </c:pt>
                <c:pt idx="52">
                  <c:v>0.19287820000000003</c:v>
                </c:pt>
                <c:pt idx="53">
                  <c:v>0.19287820000000003</c:v>
                </c:pt>
                <c:pt idx="54">
                  <c:v>0.19287820000000003</c:v>
                </c:pt>
                <c:pt idx="55">
                  <c:v>0.19287820000000003</c:v>
                </c:pt>
                <c:pt idx="56">
                  <c:v>0.19287820000000003</c:v>
                </c:pt>
                <c:pt idx="57">
                  <c:v>0.2356782</c:v>
                </c:pt>
                <c:pt idx="58">
                  <c:v>0.19287820000000003</c:v>
                </c:pt>
                <c:pt idx="59">
                  <c:v>0.19287820000000003</c:v>
                </c:pt>
                <c:pt idx="60">
                  <c:v>0.19287820000000003</c:v>
                </c:pt>
                <c:pt idx="61">
                  <c:v>0.19287820000000003</c:v>
                </c:pt>
                <c:pt idx="62">
                  <c:v>0.19287820000000003</c:v>
                </c:pt>
                <c:pt idx="63">
                  <c:v>0.2356782</c:v>
                </c:pt>
                <c:pt idx="64">
                  <c:v>0.19287820000000003</c:v>
                </c:pt>
                <c:pt idx="65">
                  <c:v>0.19287820000000003</c:v>
                </c:pt>
                <c:pt idx="66">
                  <c:v>0.19287820000000003</c:v>
                </c:pt>
                <c:pt idx="67">
                  <c:v>0.19287820000000003</c:v>
                </c:pt>
                <c:pt idx="68">
                  <c:v>0.19287820000000003</c:v>
                </c:pt>
                <c:pt idx="69">
                  <c:v>0.19287820000000003</c:v>
                </c:pt>
                <c:pt idx="70">
                  <c:v>0.27847820000000001</c:v>
                </c:pt>
                <c:pt idx="71">
                  <c:v>0.19287820000000003</c:v>
                </c:pt>
                <c:pt idx="72">
                  <c:v>0.19287820000000003</c:v>
                </c:pt>
                <c:pt idx="73">
                  <c:v>0.19287820000000003</c:v>
                </c:pt>
                <c:pt idx="74">
                  <c:v>0.19287820000000003</c:v>
                </c:pt>
                <c:pt idx="75">
                  <c:v>0.19287820000000003</c:v>
                </c:pt>
                <c:pt idx="76">
                  <c:v>0.19287820000000003</c:v>
                </c:pt>
                <c:pt idx="77">
                  <c:v>0.19287820000000003</c:v>
                </c:pt>
                <c:pt idx="78">
                  <c:v>0.19287820000000003</c:v>
                </c:pt>
                <c:pt idx="79">
                  <c:v>0.19287820000000003</c:v>
                </c:pt>
                <c:pt idx="80">
                  <c:v>0.19287820000000003</c:v>
                </c:pt>
                <c:pt idx="81">
                  <c:v>0.19287820000000003</c:v>
                </c:pt>
                <c:pt idx="82">
                  <c:v>0.19287820000000003</c:v>
                </c:pt>
                <c:pt idx="83">
                  <c:v>0.19287820000000003</c:v>
                </c:pt>
                <c:pt idx="84">
                  <c:v>0.19287820000000003</c:v>
                </c:pt>
                <c:pt idx="85">
                  <c:v>0.19287820000000003</c:v>
                </c:pt>
                <c:pt idx="86">
                  <c:v>0.19287820000000003</c:v>
                </c:pt>
                <c:pt idx="87">
                  <c:v>0.19287820000000003</c:v>
                </c:pt>
                <c:pt idx="88">
                  <c:v>0.19287820000000003</c:v>
                </c:pt>
                <c:pt idx="89">
                  <c:v>0.19287820000000003</c:v>
                </c:pt>
                <c:pt idx="90">
                  <c:v>0.19287820000000003</c:v>
                </c:pt>
                <c:pt idx="91">
                  <c:v>0.19287820000000003</c:v>
                </c:pt>
                <c:pt idx="92">
                  <c:v>0.19287820000000003</c:v>
                </c:pt>
                <c:pt idx="93">
                  <c:v>0.19287820000000003</c:v>
                </c:pt>
                <c:pt idx="94">
                  <c:v>0.19287820000000003</c:v>
                </c:pt>
                <c:pt idx="95">
                  <c:v>0.19287820000000003</c:v>
                </c:pt>
                <c:pt idx="96">
                  <c:v>0.19287820000000003</c:v>
                </c:pt>
                <c:pt idx="97">
                  <c:v>0.19287820000000003</c:v>
                </c:pt>
                <c:pt idx="98">
                  <c:v>0.2356782</c:v>
                </c:pt>
                <c:pt idx="99">
                  <c:v>0.19287820000000003</c:v>
                </c:pt>
                <c:pt idx="100">
                  <c:v>0.19287820000000003</c:v>
                </c:pt>
                <c:pt idx="101">
                  <c:v>0.2356782</c:v>
                </c:pt>
                <c:pt idx="102">
                  <c:v>0.19287820000000003</c:v>
                </c:pt>
                <c:pt idx="103">
                  <c:v>0.19287820000000003</c:v>
                </c:pt>
                <c:pt idx="104">
                  <c:v>0.19287820000000003</c:v>
                </c:pt>
                <c:pt idx="105">
                  <c:v>0.19287820000000003</c:v>
                </c:pt>
                <c:pt idx="106">
                  <c:v>0.19287820000000003</c:v>
                </c:pt>
                <c:pt idx="107">
                  <c:v>0.2356782</c:v>
                </c:pt>
                <c:pt idx="108">
                  <c:v>0.27847820000000001</c:v>
                </c:pt>
                <c:pt idx="109">
                  <c:v>0.19287820000000003</c:v>
                </c:pt>
                <c:pt idx="110">
                  <c:v>0.19287820000000003</c:v>
                </c:pt>
                <c:pt idx="111">
                  <c:v>0.19287820000000003</c:v>
                </c:pt>
                <c:pt idx="112">
                  <c:v>0.19287820000000003</c:v>
                </c:pt>
                <c:pt idx="113">
                  <c:v>0.19287820000000003</c:v>
                </c:pt>
                <c:pt idx="114">
                  <c:v>0.27847820000000001</c:v>
                </c:pt>
                <c:pt idx="115">
                  <c:v>0.2356782</c:v>
                </c:pt>
                <c:pt idx="116">
                  <c:v>0.19287820000000003</c:v>
                </c:pt>
                <c:pt idx="117">
                  <c:v>0.19287820000000003</c:v>
                </c:pt>
                <c:pt idx="118">
                  <c:v>0.19287820000000003</c:v>
                </c:pt>
                <c:pt idx="119">
                  <c:v>0.2356782</c:v>
                </c:pt>
                <c:pt idx="120">
                  <c:v>0.2356782</c:v>
                </c:pt>
                <c:pt idx="121">
                  <c:v>0.19287820000000003</c:v>
                </c:pt>
                <c:pt idx="122">
                  <c:v>0.2356782</c:v>
                </c:pt>
                <c:pt idx="123">
                  <c:v>0.19287820000000003</c:v>
                </c:pt>
                <c:pt idx="124">
                  <c:v>0.2356782</c:v>
                </c:pt>
                <c:pt idx="125">
                  <c:v>0.19287820000000003</c:v>
                </c:pt>
                <c:pt idx="126">
                  <c:v>0.19287820000000003</c:v>
                </c:pt>
                <c:pt idx="127">
                  <c:v>0.27847820000000001</c:v>
                </c:pt>
                <c:pt idx="128">
                  <c:v>0.27847820000000001</c:v>
                </c:pt>
                <c:pt idx="129">
                  <c:v>0.27847820000000001</c:v>
                </c:pt>
                <c:pt idx="130">
                  <c:v>0.19287820000000003</c:v>
                </c:pt>
                <c:pt idx="131">
                  <c:v>0.19287820000000003</c:v>
                </c:pt>
                <c:pt idx="132">
                  <c:v>0.19287820000000003</c:v>
                </c:pt>
                <c:pt idx="133">
                  <c:v>0.19287820000000003</c:v>
                </c:pt>
                <c:pt idx="134">
                  <c:v>0.19287820000000003</c:v>
                </c:pt>
                <c:pt idx="135">
                  <c:v>0.19287820000000003</c:v>
                </c:pt>
                <c:pt idx="136">
                  <c:v>0.19287820000000003</c:v>
                </c:pt>
                <c:pt idx="137">
                  <c:v>0.27847820000000001</c:v>
                </c:pt>
                <c:pt idx="138">
                  <c:v>0.19287820000000003</c:v>
                </c:pt>
                <c:pt idx="139">
                  <c:v>0.19287820000000003</c:v>
                </c:pt>
                <c:pt idx="140">
                  <c:v>0.19287820000000003</c:v>
                </c:pt>
                <c:pt idx="141">
                  <c:v>0.19287820000000003</c:v>
                </c:pt>
                <c:pt idx="142">
                  <c:v>0.27847820000000001</c:v>
                </c:pt>
                <c:pt idx="143">
                  <c:v>0.27847820000000001</c:v>
                </c:pt>
                <c:pt idx="144">
                  <c:v>0.32127820000000001</c:v>
                </c:pt>
                <c:pt idx="145">
                  <c:v>0.27847820000000001</c:v>
                </c:pt>
                <c:pt idx="146">
                  <c:v>0.19287820000000003</c:v>
                </c:pt>
                <c:pt idx="147">
                  <c:v>0.19287820000000003</c:v>
                </c:pt>
                <c:pt idx="148">
                  <c:v>0.19287820000000003</c:v>
                </c:pt>
                <c:pt idx="149">
                  <c:v>0.19287820000000003</c:v>
                </c:pt>
                <c:pt idx="150">
                  <c:v>0.19287820000000003</c:v>
                </c:pt>
                <c:pt idx="151">
                  <c:v>0.19287820000000003</c:v>
                </c:pt>
                <c:pt idx="152">
                  <c:v>0.2356782</c:v>
                </c:pt>
                <c:pt idx="153">
                  <c:v>0.19287820000000003</c:v>
                </c:pt>
                <c:pt idx="154">
                  <c:v>0.19287820000000003</c:v>
                </c:pt>
                <c:pt idx="155">
                  <c:v>0.19287820000000003</c:v>
                </c:pt>
                <c:pt idx="156">
                  <c:v>0.19287820000000003</c:v>
                </c:pt>
                <c:pt idx="157">
                  <c:v>0.19287820000000003</c:v>
                </c:pt>
                <c:pt idx="158">
                  <c:v>0.19287820000000003</c:v>
                </c:pt>
                <c:pt idx="159">
                  <c:v>0.19287820000000003</c:v>
                </c:pt>
                <c:pt idx="160">
                  <c:v>0.19287820000000003</c:v>
                </c:pt>
                <c:pt idx="161">
                  <c:v>0.2356782</c:v>
                </c:pt>
                <c:pt idx="162">
                  <c:v>0.2356782</c:v>
                </c:pt>
                <c:pt idx="163">
                  <c:v>0.32127820000000001</c:v>
                </c:pt>
                <c:pt idx="164">
                  <c:v>0.32127820000000001</c:v>
                </c:pt>
                <c:pt idx="165">
                  <c:v>0.27847820000000001</c:v>
                </c:pt>
                <c:pt idx="166">
                  <c:v>0.32127820000000001</c:v>
                </c:pt>
                <c:pt idx="167">
                  <c:v>0.2356782</c:v>
                </c:pt>
                <c:pt idx="168">
                  <c:v>0.19287820000000003</c:v>
                </c:pt>
                <c:pt idx="169">
                  <c:v>0.19287820000000003</c:v>
                </c:pt>
                <c:pt idx="170">
                  <c:v>0.19287820000000003</c:v>
                </c:pt>
                <c:pt idx="171">
                  <c:v>0.19287820000000003</c:v>
                </c:pt>
                <c:pt idx="172">
                  <c:v>0.19287820000000003</c:v>
                </c:pt>
                <c:pt idx="173">
                  <c:v>0.19287820000000003</c:v>
                </c:pt>
                <c:pt idx="174">
                  <c:v>0.19287820000000003</c:v>
                </c:pt>
                <c:pt idx="175">
                  <c:v>0.2356782</c:v>
                </c:pt>
                <c:pt idx="176">
                  <c:v>0.27847820000000001</c:v>
                </c:pt>
                <c:pt idx="177">
                  <c:v>0.2356782</c:v>
                </c:pt>
                <c:pt idx="178">
                  <c:v>0.27847820000000001</c:v>
                </c:pt>
                <c:pt idx="179">
                  <c:v>0.2356782</c:v>
                </c:pt>
                <c:pt idx="180">
                  <c:v>0.40687820000000002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269-4231-8E0B-5B9CF88C7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24720"/>
        <c:axId val="306721840"/>
      </c:scatterChart>
      <c:valAx>
        <c:axId val="30672472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RQD (%)</a:t>
                </a:r>
              </a:p>
            </c:rich>
          </c:tx>
          <c:layout>
            <c:manualLayout>
              <c:xMode val="edge"/>
              <c:yMode val="edge"/>
              <c:x val="0.49623196164319805"/>
              <c:y val="0.93146952261232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721840"/>
        <c:crosses val="autoZero"/>
        <c:crossBetween val="midCat"/>
      </c:valAx>
      <c:valAx>
        <c:axId val="30672184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Power Factor (Kg Anfo /m3)</a:t>
                </a:r>
              </a:p>
            </c:rich>
          </c:tx>
          <c:layout>
            <c:manualLayout>
              <c:xMode val="edge"/>
              <c:yMode val="edge"/>
              <c:x val="2.5032062446313868E-3"/>
              <c:y val="0.316755583986123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724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2041394078291487"/>
          <c:y val="0.59707045638638356"/>
          <c:w val="0.20782774219039363"/>
          <c:h val="0.2209016755753254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932895152078076E-2"/>
          <c:y val="0.20017552468048253"/>
          <c:w val="0.86591352696269031"/>
          <c:h val="0.6738311168349928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00FF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0000FF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'10'!$K$3:$K$59</c:f>
              <c:numCache>
                <c:formatCode>0</c:formatCode>
                <c:ptCount val="57"/>
                <c:pt idx="0">
                  <c:v>55</c:v>
                </c:pt>
                <c:pt idx="1">
                  <c:v>60</c:v>
                </c:pt>
                <c:pt idx="2">
                  <c:v>61</c:v>
                </c:pt>
                <c:pt idx="3">
                  <c:v>59</c:v>
                </c:pt>
                <c:pt idx="4">
                  <c:v>50</c:v>
                </c:pt>
                <c:pt idx="5">
                  <c:v>45</c:v>
                </c:pt>
                <c:pt idx="6">
                  <c:v>46</c:v>
                </c:pt>
                <c:pt idx="7">
                  <c:v>70</c:v>
                </c:pt>
                <c:pt idx="8">
                  <c:v>53</c:v>
                </c:pt>
                <c:pt idx="9">
                  <c:v>47</c:v>
                </c:pt>
                <c:pt idx="10">
                  <c:v>29</c:v>
                </c:pt>
                <c:pt idx="11">
                  <c:v>48</c:v>
                </c:pt>
                <c:pt idx="12">
                  <c:v>46</c:v>
                </c:pt>
                <c:pt idx="13">
                  <c:v>30</c:v>
                </c:pt>
                <c:pt idx="14">
                  <c:v>42</c:v>
                </c:pt>
                <c:pt idx="15">
                  <c:v>44</c:v>
                </c:pt>
                <c:pt idx="16">
                  <c:v>40</c:v>
                </c:pt>
                <c:pt idx="17">
                  <c:v>19</c:v>
                </c:pt>
                <c:pt idx="18">
                  <c:v>41</c:v>
                </c:pt>
                <c:pt idx="19">
                  <c:v>48</c:v>
                </c:pt>
                <c:pt idx="20">
                  <c:v>33</c:v>
                </c:pt>
                <c:pt idx="21">
                  <c:v>42</c:v>
                </c:pt>
                <c:pt idx="22">
                  <c:v>44</c:v>
                </c:pt>
                <c:pt idx="23">
                  <c:v>35</c:v>
                </c:pt>
                <c:pt idx="24">
                  <c:v>41</c:v>
                </c:pt>
                <c:pt idx="25">
                  <c:v>29</c:v>
                </c:pt>
                <c:pt idx="26">
                  <c:v>29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26</c:v>
                </c:pt>
                <c:pt idx="31">
                  <c:v>32</c:v>
                </c:pt>
                <c:pt idx="32">
                  <c:v>27</c:v>
                </c:pt>
                <c:pt idx="33">
                  <c:v>47</c:v>
                </c:pt>
                <c:pt idx="34">
                  <c:v>33</c:v>
                </c:pt>
                <c:pt idx="35">
                  <c:v>32</c:v>
                </c:pt>
                <c:pt idx="36">
                  <c:v>25</c:v>
                </c:pt>
                <c:pt idx="37">
                  <c:v>31</c:v>
                </c:pt>
                <c:pt idx="38">
                  <c:v>25</c:v>
                </c:pt>
                <c:pt idx="39">
                  <c:v>38</c:v>
                </c:pt>
                <c:pt idx="40">
                  <c:v>63</c:v>
                </c:pt>
                <c:pt idx="41">
                  <c:v>34</c:v>
                </c:pt>
                <c:pt idx="42">
                  <c:v>26</c:v>
                </c:pt>
                <c:pt idx="43">
                  <c:v>26</c:v>
                </c:pt>
                <c:pt idx="44">
                  <c:v>45</c:v>
                </c:pt>
                <c:pt idx="45">
                  <c:v>36</c:v>
                </c:pt>
                <c:pt idx="46">
                  <c:v>36</c:v>
                </c:pt>
                <c:pt idx="47">
                  <c:v>35</c:v>
                </c:pt>
                <c:pt idx="48">
                  <c:v>31</c:v>
                </c:pt>
                <c:pt idx="49">
                  <c:v>23</c:v>
                </c:pt>
                <c:pt idx="50">
                  <c:v>29</c:v>
                </c:pt>
                <c:pt idx="51">
                  <c:v>18</c:v>
                </c:pt>
                <c:pt idx="52">
                  <c:v>18</c:v>
                </c:pt>
                <c:pt idx="53">
                  <c:v>57</c:v>
                </c:pt>
                <c:pt idx="54">
                  <c:v>48</c:v>
                </c:pt>
                <c:pt idx="55">
                  <c:v>53</c:v>
                </c:pt>
                <c:pt idx="56" formatCode="0.0">
                  <c:v>41</c:v>
                </c:pt>
              </c:numCache>
            </c:numRef>
          </c:xVal>
          <c:yVal>
            <c:numRef>
              <c:f>'10'!$S$3:$S$59</c:f>
              <c:numCache>
                <c:formatCode>General</c:formatCode>
                <c:ptCount val="57"/>
                <c:pt idx="0">
                  <c:v>0.44852599999999998</c:v>
                </c:pt>
                <c:pt idx="1">
                  <c:v>0.44852599999999998</c:v>
                </c:pt>
                <c:pt idx="2">
                  <c:v>0.44852599999999998</c:v>
                </c:pt>
                <c:pt idx="3">
                  <c:v>0.44852599999999998</c:v>
                </c:pt>
                <c:pt idx="4">
                  <c:v>0.44852599999999998</c:v>
                </c:pt>
                <c:pt idx="5">
                  <c:v>0.39652600000000005</c:v>
                </c:pt>
                <c:pt idx="6">
                  <c:v>0.44852599999999998</c:v>
                </c:pt>
                <c:pt idx="7">
                  <c:v>0.44852599999999998</c:v>
                </c:pt>
                <c:pt idx="8">
                  <c:v>0.44852599999999998</c:v>
                </c:pt>
                <c:pt idx="9">
                  <c:v>0.39652600000000005</c:v>
                </c:pt>
                <c:pt idx="10">
                  <c:v>0.29252600000000006</c:v>
                </c:pt>
                <c:pt idx="11">
                  <c:v>0.44852599999999998</c:v>
                </c:pt>
                <c:pt idx="12">
                  <c:v>0.44852599999999998</c:v>
                </c:pt>
                <c:pt idx="13">
                  <c:v>0.344526</c:v>
                </c:pt>
                <c:pt idx="14">
                  <c:v>0.44852599999999998</c:v>
                </c:pt>
                <c:pt idx="15">
                  <c:v>0.39652600000000005</c:v>
                </c:pt>
                <c:pt idx="16">
                  <c:v>0.39652600000000005</c:v>
                </c:pt>
                <c:pt idx="17">
                  <c:v>0.29252600000000006</c:v>
                </c:pt>
                <c:pt idx="18">
                  <c:v>0.39652600000000005</c:v>
                </c:pt>
                <c:pt idx="19">
                  <c:v>0.44852599999999998</c:v>
                </c:pt>
                <c:pt idx="20">
                  <c:v>0.344526</c:v>
                </c:pt>
                <c:pt idx="21">
                  <c:v>0.44852599999999998</c:v>
                </c:pt>
                <c:pt idx="22">
                  <c:v>0.44852599999999998</c:v>
                </c:pt>
                <c:pt idx="23">
                  <c:v>0.344526</c:v>
                </c:pt>
                <c:pt idx="24">
                  <c:v>0.39652600000000005</c:v>
                </c:pt>
                <c:pt idx="25">
                  <c:v>0.29252600000000006</c:v>
                </c:pt>
                <c:pt idx="26">
                  <c:v>0.29252600000000006</c:v>
                </c:pt>
                <c:pt idx="27">
                  <c:v>0.29252600000000006</c:v>
                </c:pt>
                <c:pt idx="28">
                  <c:v>0.29252600000000006</c:v>
                </c:pt>
                <c:pt idx="29">
                  <c:v>0.29252600000000006</c:v>
                </c:pt>
                <c:pt idx="30">
                  <c:v>0.29252600000000006</c:v>
                </c:pt>
                <c:pt idx="31">
                  <c:v>0.344526</c:v>
                </c:pt>
                <c:pt idx="32">
                  <c:v>0.29252600000000006</c:v>
                </c:pt>
                <c:pt idx="33">
                  <c:v>0.44852599999999998</c:v>
                </c:pt>
                <c:pt idx="34">
                  <c:v>0.344526</c:v>
                </c:pt>
                <c:pt idx="35">
                  <c:v>0.344526</c:v>
                </c:pt>
                <c:pt idx="36">
                  <c:v>0.29252600000000006</c:v>
                </c:pt>
                <c:pt idx="37">
                  <c:v>0.344526</c:v>
                </c:pt>
                <c:pt idx="38">
                  <c:v>0.29252600000000006</c:v>
                </c:pt>
                <c:pt idx="39">
                  <c:v>0.55252600000000007</c:v>
                </c:pt>
                <c:pt idx="40">
                  <c:v>0.44852599999999998</c:v>
                </c:pt>
                <c:pt idx="41">
                  <c:v>0.344526</c:v>
                </c:pt>
                <c:pt idx="42">
                  <c:v>0.29252600000000006</c:v>
                </c:pt>
                <c:pt idx="43">
                  <c:v>0.29252600000000006</c:v>
                </c:pt>
                <c:pt idx="44">
                  <c:v>0.60452600000000001</c:v>
                </c:pt>
                <c:pt idx="45">
                  <c:v>0.39652600000000005</c:v>
                </c:pt>
                <c:pt idx="46">
                  <c:v>0.55252600000000007</c:v>
                </c:pt>
                <c:pt idx="47">
                  <c:v>0.344526</c:v>
                </c:pt>
                <c:pt idx="48">
                  <c:v>0.344526</c:v>
                </c:pt>
                <c:pt idx="49">
                  <c:v>0.29252600000000006</c:v>
                </c:pt>
                <c:pt idx="50">
                  <c:v>0.29252600000000006</c:v>
                </c:pt>
                <c:pt idx="51">
                  <c:v>0.29252600000000006</c:v>
                </c:pt>
                <c:pt idx="52">
                  <c:v>0.29252600000000006</c:v>
                </c:pt>
                <c:pt idx="53">
                  <c:v>0.44852599999999998</c:v>
                </c:pt>
                <c:pt idx="54">
                  <c:v>0.44852599999999998</c:v>
                </c:pt>
                <c:pt idx="55">
                  <c:v>0.44852599999999998</c:v>
                </c:pt>
                <c:pt idx="56">
                  <c:v>0.55252600000000007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09-4969-BBE1-7BCFF5F30BB6}"/>
            </c:ext>
          </c:extLst>
        </c:ser>
        <c:ser>
          <c:idx val="1"/>
          <c:order val="1"/>
          <c:tx>
            <c:v>Lithology 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'30'!$J$4:$J$64</c:f>
              <c:numCache>
                <c:formatCode>0</c:formatCode>
                <c:ptCount val="61"/>
                <c:pt idx="0">
                  <c:v>22</c:v>
                </c:pt>
                <c:pt idx="1">
                  <c:v>23</c:v>
                </c:pt>
                <c:pt idx="2">
                  <c:v>26</c:v>
                </c:pt>
                <c:pt idx="3">
                  <c:v>26</c:v>
                </c:pt>
                <c:pt idx="4">
                  <c:v>25</c:v>
                </c:pt>
                <c:pt idx="5">
                  <c:v>39</c:v>
                </c:pt>
                <c:pt idx="6">
                  <c:v>27</c:v>
                </c:pt>
                <c:pt idx="7">
                  <c:v>28</c:v>
                </c:pt>
                <c:pt idx="8">
                  <c:v>47</c:v>
                </c:pt>
                <c:pt idx="9">
                  <c:v>52</c:v>
                </c:pt>
                <c:pt idx="10">
                  <c:v>74</c:v>
                </c:pt>
                <c:pt idx="11">
                  <c:v>57</c:v>
                </c:pt>
                <c:pt idx="12">
                  <c:v>76</c:v>
                </c:pt>
                <c:pt idx="13">
                  <c:v>45</c:v>
                </c:pt>
                <c:pt idx="14">
                  <c:v>45</c:v>
                </c:pt>
                <c:pt idx="15">
                  <c:v>46</c:v>
                </c:pt>
                <c:pt idx="16">
                  <c:v>65</c:v>
                </c:pt>
                <c:pt idx="17">
                  <c:v>60</c:v>
                </c:pt>
                <c:pt idx="18">
                  <c:v>18</c:v>
                </c:pt>
                <c:pt idx="19">
                  <c:v>16</c:v>
                </c:pt>
                <c:pt idx="20">
                  <c:v>17</c:v>
                </c:pt>
                <c:pt idx="21">
                  <c:v>15</c:v>
                </c:pt>
                <c:pt idx="22">
                  <c:v>32</c:v>
                </c:pt>
                <c:pt idx="23">
                  <c:v>31</c:v>
                </c:pt>
                <c:pt idx="24">
                  <c:v>28</c:v>
                </c:pt>
                <c:pt idx="25">
                  <c:v>30</c:v>
                </c:pt>
                <c:pt idx="26">
                  <c:v>29</c:v>
                </c:pt>
                <c:pt idx="27">
                  <c:v>25</c:v>
                </c:pt>
                <c:pt idx="28">
                  <c:v>24</c:v>
                </c:pt>
                <c:pt idx="29">
                  <c:v>37</c:v>
                </c:pt>
                <c:pt idx="30">
                  <c:v>23</c:v>
                </c:pt>
                <c:pt idx="31">
                  <c:v>38</c:v>
                </c:pt>
                <c:pt idx="32">
                  <c:v>22</c:v>
                </c:pt>
                <c:pt idx="33">
                  <c:v>31</c:v>
                </c:pt>
                <c:pt idx="34">
                  <c:v>31</c:v>
                </c:pt>
                <c:pt idx="35">
                  <c:v>22</c:v>
                </c:pt>
                <c:pt idx="36">
                  <c:v>25</c:v>
                </c:pt>
                <c:pt idx="37">
                  <c:v>34</c:v>
                </c:pt>
                <c:pt idx="38">
                  <c:v>38</c:v>
                </c:pt>
                <c:pt idx="39">
                  <c:v>22</c:v>
                </c:pt>
                <c:pt idx="40">
                  <c:v>48</c:v>
                </c:pt>
                <c:pt idx="41">
                  <c:v>44</c:v>
                </c:pt>
                <c:pt idx="42">
                  <c:v>59</c:v>
                </c:pt>
                <c:pt idx="43">
                  <c:v>48</c:v>
                </c:pt>
                <c:pt idx="44">
                  <c:v>46</c:v>
                </c:pt>
                <c:pt idx="45">
                  <c:v>46</c:v>
                </c:pt>
                <c:pt idx="46">
                  <c:v>47</c:v>
                </c:pt>
                <c:pt idx="47">
                  <c:v>49</c:v>
                </c:pt>
                <c:pt idx="48">
                  <c:v>25</c:v>
                </c:pt>
                <c:pt idx="49">
                  <c:v>28</c:v>
                </c:pt>
                <c:pt idx="50">
                  <c:v>26</c:v>
                </c:pt>
                <c:pt idx="51">
                  <c:v>25</c:v>
                </c:pt>
                <c:pt idx="52">
                  <c:v>26</c:v>
                </c:pt>
                <c:pt idx="53">
                  <c:v>26</c:v>
                </c:pt>
                <c:pt idx="54">
                  <c:v>29</c:v>
                </c:pt>
                <c:pt idx="55">
                  <c:v>28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27</c:v>
                </c:pt>
                <c:pt idx="60">
                  <c:v>27</c:v>
                </c:pt>
              </c:numCache>
            </c:numRef>
          </c:xVal>
          <c:yVal>
            <c:numRef>
              <c:f>'30'!$R$4:$R$64</c:f>
              <c:numCache>
                <c:formatCode>General</c:formatCode>
                <c:ptCount val="61"/>
                <c:pt idx="0">
                  <c:v>0.14449499999999998</c:v>
                </c:pt>
                <c:pt idx="1">
                  <c:v>0.14449499999999998</c:v>
                </c:pt>
                <c:pt idx="2">
                  <c:v>0.14449499999999998</c:v>
                </c:pt>
                <c:pt idx="3">
                  <c:v>0.14449499999999998</c:v>
                </c:pt>
                <c:pt idx="4">
                  <c:v>0.14449499999999998</c:v>
                </c:pt>
                <c:pt idx="5">
                  <c:v>0.18249499999999999</c:v>
                </c:pt>
                <c:pt idx="6">
                  <c:v>0.14449499999999998</c:v>
                </c:pt>
                <c:pt idx="7">
                  <c:v>0.14449499999999998</c:v>
                </c:pt>
                <c:pt idx="8">
                  <c:v>0.220495</c:v>
                </c:pt>
                <c:pt idx="9">
                  <c:v>0.25849499999999997</c:v>
                </c:pt>
                <c:pt idx="10">
                  <c:v>0.25849499999999997</c:v>
                </c:pt>
                <c:pt idx="11">
                  <c:v>0.25849499999999997</c:v>
                </c:pt>
                <c:pt idx="12">
                  <c:v>0.37249499999999997</c:v>
                </c:pt>
                <c:pt idx="13">
                  <c:v>0.220495</c:v>
                </c:pt>
                <c:pt idx="14">
                  <c:v>0.220495</c:v>
                </c:pt>
                <c:pt idx="15">
                  <c:v>0.25849499999999997</c:v>
                </c:pt>
                <c:pt idx="16">
                  <c:v>0.25849499999999997</c:v>
                </c:pt>
                <c:pt idx="17">
                  <c:v>0.25849499999999997</c:v>
                </c:pt>
                <c:pt idx="18">
                  <c:v>0.14449499999999998</c:v>
                </c:pt>
                <c:pt idx="19">
                  <c:v>0.14449499999999998</c:v>
                </c:pt>
                <c:pt idx="20">
                  <c:v>0.14449499999999998</c:v>
                </c:pt>
                <c:pt idx="21">
                  <c:v>0.14449499999999998</c:v>
                </c:pt>
                <c:pt idx="22">
                  <c:v>0.220495</c:v>
                </c:pt>
                <c:pt idx="23">
                  <c:v>0.18249499999999999</c:v>
                </c:pt>
                <c:pt idx="24">
                  <c:v>0.18249499999999999</c:v>
                </c:pt>
                <c:pt idx="25">
                  <c:v>0.18249499999999999</c:v>
                </c:pt>
                <c:pt idx="26">
                  <c:v>0.14449499999999998</c:v>
                </c:pt>
                <c:pt idx="27">
                  <c:v>0.14449499999999998</c:v>
                </c:pt>
                <c:pt idx="28">
                  <c:v>0.14449499999999998</c:v>
                </c:pt>
                <c:pt idx="29">
                  <c:v>0.220495</c:v>
                </c:pt>
                <c:pt idx="30">
                  <c:v>0.14449499999999998</c:v>
                </c:pt>
                <c:pt idx="31">
                  <c:v>0.220495</c:v>
                </c:pt>
                <c:pt idx="32">
                  <c:v>0.14449499999999998</c:v>
                </c:pt>
                <c:pt idx="33">
                  <c:v>0.18249499999999999</c:v>
                </c:pt>
                <c:pt idx="34">
                  <c:v>0.18249499999999999</c:v>
                </c:pt>
                <c:pt idx="35">
                  <c:v>0.14449499999999998</c:v>
                </c:pt>
                <c:pt idx="36">
                  <c:v>0.14449499999999998</c:v>
                </c:pt>
                <c:pt idx="37">
                  <c:v>0.220495</c:v>
                </c:pt>
                <c:pt idx="38">
                  <c:v>0.220495</c:v>
                </c:pt>
                <c:pt idx="39">
                  <c:v>0.14449499999999998</c:v>
                </c:pt>
                <c:pt idx="40">
                  <c:v>0.25849499999999997</c:v>
                </c:pt>
                <c:pt idx="41">
                  <c:v>0.25849499999999997</c:v>
                </c:pt>
                <c:pt idx="42">
                  <c:v>0.25849499999999997</c:v>
                </c:pt>
                <c:pt idx="43">
                  <c:v>0.25849499999999997</c:v>
                </c:pt>
                <c:pt idx="44">
                  <c:v>0.25849499999999997</c:v>
                </c:pt>
                <c:pt idx="45">
                  <c:v>0.37249499999999997</c:v>
                </c:pt>
                <c:pt idx="46">
                  <c:v>0.25849499999999997</c:v>
                </c:pt>
                <c:pt idx="47">
                  <c:v>0.25849499999999997</c:v>
                </c:pt>
                <c:pt idx="48">
                  <c:v>0.14449499999999998</c:v>
                </c:pt>
                <c:pt idx="49">
                  <c:v>0.14449499999999998</c:v>
                </c:pt>
                <c:pt idx="50">
                  <c:v>0.14449499999999998</c:v>
                </c:pt>
                <c:pt idx="51">
                  <c:v>0.14449499999999998</c:v>
                </c:pt>
                <c:pt idx="52">
                  <c:v>0.14449499999999998</c:v>
                </c:pt>
                <c:pt idx="53">
                  <c:v>0.14449499999999998</c:v>
                </c:pt>
                <c:pt idx="54">
                  <c:v>0.14449499999999998</c:v>
                </c:pt>
                <c:pt idx="55">
                  <c:v>0.14449499999999998</c:v>
                </c:pt>
                <c:pt idx="56">
                  <c:v>0.14449499999999998</c:v>
                </c:pt>
                <c:pt idx="57">
                  <c:v>0.14449499999999998</c:v>
                </c:pt>
                <c:pt idx="58">
                  <c:v>0.14449499999999998</c:v>
                </c:pt>
                <c:pt idx="59">
                  <c:v>0.14449499999999998</c:v>
                </c:pt>
                <c:pt idx="60">
                  <c:v>0.14449499999999998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09-4969-BBE1-7BCFF5F30BB6}"/>
            </c:ext>
          </c:extLst>
        </c:ser>
        <c:ser>
          <c:idx val="2"/>
          <c:order val="2"/>
          <c:tx>
            <c:v>Lithology 40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EEDFAA"/>
                </a:solidFill>
              </a:ln>
              <a:effectLst/>
            </c:spPr>
          </c:marker>
          <c:trendline>
            <c:spPr>
              <a:ln w="34925" cap="rnd">
                <a:solidFill>
                  <a:srgbClr val="EEDFAA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'40'!$J$4:$J$184</c:f>
              <c:numCache>
                <c:formatCode>0</c:formatCode>
                <c:ptCount val="181"/>
                <c:pt idx="0">
                  <c:v>45</c:v>
                </c:pt>
                <c:pt idx="1">
                  <c:v>50</c:v>
                </c:pt>
                <c:pt idx="2">
                  <c:v>19</c:v>
                </c:pt>
                <c:pt idx="3">
                  <c:v>32</c:v>
                </c:pt>
                <c:pt idx="4">
                  <c:v>36</c:v>
                </c:pt>
                <c:pt idx="5">
                  <c:v>44</c:v>
                </c:pt>
                <c:pt idx="6">
                  <c:v>49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43</c:v>
                </c:pt>
                <c:pt idx="11">
                  <c:v>38</c:v>
                </c:pt>
                <c:pt idx="12">
                  <c:v>25</c:v>
                </c:pt>
                <c:pt idx="13">
                  <c:v>30</c:v>
                </c:pt>
                <c:pt idx="14">
                  <c:v>40</c:v>
                </c:pt>
                <c:pt idx="15">
                  <c:v>43</c:v>
                </c:pt>
                <c:pt idx="16">
                  <c:v>30</c:v>
                </c:pt>
                <c:pt idx="17">
                  <c:v>41</c:v>
                </c:pt>
                <c:pt idx="18">
                  <c:v>33</c:v>
                </c:pt>
                <c:pt idx="19">
                  <c:v>24</c:v>
                </c:pt>
                <c:pt idx="20">
                  <c:v>23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27</c:v>
                </c:pt>
                <c:pt idx="51">
                  <c:v>19</c:v>
                </c:pt>
                <c:pt idx="52">
                  <c:v>21</c:v>
                </c:pt>
                <c:pt idx="53">
                  <c:v>21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32</c:v>
                </c:pt>
                <c:pt idx="58">
                  <c:v>27</c:v>
                </c:pt>
                <c:pt idx="59">
                  <c:v>27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29</c:v>
                </c:pt>
                <c:pt idx="64">
                  <c:v>19</c:v>
                </c:pt>
                <c:pt idx="65">
                  <c:v>19</c:v>
                </c:pt>
                <c:pt idx="66">
                  <c:v>22</c:v>
                </c:pt>
                <c:pt idx="67">
                  <c:v>24</c:v>
                </c:pt>
                <c:pt idx="68">
                  <c:v>27</c:v>
                </c:pt>
                <c:pt idx="69">
                  <c:v>26</c:v>
                </c:pt>
                <c:pt idx="70">
                  <c:v>35</c:v>
                </c:pt>
                <c:pt idx="71">
                  <c:v>19</c:v>
                </c:pt>
                <c:pt idx="72">
                  <c:v>18</c:v>
                </c:pt>
                <c:pt idx="73">
                  <c:v>18</c:v>
                </c:pt>
                <c:pt idx="74">
                  <c:v>23</c:v>
                </c:pt>
                <c:pt idx="75">
                  <c:v>17</c:v>
                </c:pt>
                <c:pt idx="76">
                  <c:v>18</c:v>
                </c:pt>
                <c:pt idx="77">
                  <c:v>17</c:v>
                </c:pt>
                <c:pt idx="78">
                  <c:v>18</c:v>
                </c:pt>
                <c:pt idx="79">
                  <c:v>17</c:v>
                </c:pt>
                <c:pt idx="80">
                  <c:v>19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26</c:v>
                </c:pt>
                <c:pt idx="85">
                  <c:v>23</c:v>
                </c:pt>
                <c:pt idx="86">
                  <c:v>18</c:v>
                </c:pt>
                <c:pt idx="87">
                  <c:v>24</c:v>
                </c:pt>
                <c:pt idx="88">
                  <c:v>23</c:v>
                </c:pt>
                <c:pt idx="89">
                  <c:v>18</c:v>
                </c:pt>
                <c:pt idx="90">
                  <c:v>28</c:v>
                </c:pt>
                <c:pt idx="91">
                  <c:v>17</c:v>
                </c:pt>
                <c:pt idx="92">
                  <c:v>17</c:v>
                </c:pt>
                <c:pt idx="93">
                  <c:v>18</c:v>
                </c:pt>
                <c:pt idx="94">
                  <c:v>18</c:v>
                </c:pt>
                <c:pt idx="95">
                  <c:v>19</c:v>
                </c:pt>
                <c:pt idx="96">
                  <c:v>24</c:v>
                </c:pt>
                <c:pt idx="97">
                  <c:v>20</c:v>
                </c:pt>
                <c:pt idx="98">
                  <c:v>29</c:v>
                </c:pt>
                <c:pt idx="99">
                  <c:v>23</c:v>
                </c:pt>
                <c:pt idx="100">
                  <c:v>17</c:v>
                </c:pt>
                <c:pt idx="101">
                  <c:v>25</c:v>
                </c:pt>
                <c:pt idx="102">
                  <c:v>27</c:v>
                </c:pt>
                <c:pt idx="103">
                  <c:v>18</c:v>
                </c:pt>
                <c:pt idx="104">
                  <c:v>19</c:v>
                </c:pt>
                <c:pt idx="105">
                  <c:v>19</c:v>
                </c:pt>
                <c:pt idx="106">
                  <c:v>21</c:v>
                </c:pt>
                <c:pt idx="107">
                  <c:v>30</c:v>
                </c:pt>
                <c:pt idx="108">
                  <c:v>31</c:v>
                </c:pt>
                <c:pt idx="109">
                  <c:v>21</c:v>
                </c:pt>
                <c:pt idx="110">
                  <c:v>26</c:v>
                </c:pt>
                <c:pt idx="111">
                  <c:v>22</c:v>
                </c:pt>
                <c:pt idx="112">
                  <c:v>27</c:v>
                </c:pt>
                <c:pt idx="113">
                  <c:v>19</c:v>
                </c:pt>
                <c:pt idx="114">
                  <c:v>32</c:v>
                </c:pt>
                <c:pt idx="115">
                  <c:v>31</c:v>
                </c:pt>
                <c:pt idx="116">
                  <c:v>27</c:v>
                </c:pt>
                <c:pt idx="117">
                  <c:v>23</c:v>
                </c:pt>
                <c:pt idx="118">
                  <c:v>17</c:v>
                </c:pt>
                <c:pt idx="119">
                  <c:v>30</c:v>
                </c:pt>
                <c:pt idx="121">
                  <c:v>19</c:v>
                </c:pt>
                <c:pt idx="122">
                  <c:v>29</c:v>
                </c:pt>
                <c:pt idx="123">
                  <c:v>23</c:v>
                </c:pt>
                <c:pt idx="124">
                  <c:v>28</c:v>
                </c:pt>
                <c:pt idx="125">
                  <c:v>24</c:v>
                </c:pt>
                <c:pt idx="126">
                  <c:v>18</c:v>
                </c:pt>
                <c:pt idx="127">
                  <c:v>36</c:v>
                </c:pt>
                <c:pt idx="128">
                  <c:v>30</c:v>
                </c:pt>
                <c:pt idx="129">
                  <c:v>32</c:v>
                </c:pt>
                <c:pt idx="130">
                  <c:v>17</c:v>
                </c:pt>
                <c:pt idx="131">
                  <c:v>17</c:v>
                </c:pt>
                <c:pt idx="132">
                  <c:v>18</c:v>
                </c:pt>
                <c:pt idx="133">
                  <c:v>19</c:v>
                </c:pt>
                <c:pt idx="134">
                  <c:v>22</c:v>
                </c:pt>
                <c:pt idx="135">
                  <c:v>22</c:v>
                </c:pt>
                <c:pt idx="136">
                  <c:v>25</c:v>
                </c:pt>
                <c:pt idx="137">
                  <c:v>38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23</c:v>
                </c:pt>
                <c:pt idx="142">
                  <c:v>40</c:v>
                </c:pt>
                <c:pt idx="143">
                  <c:v>38</c:v>
                </c:pt>
                <c:pt idx="144">
                  <c:v>43</c:v>
                </c:pt>
                <c:pt idx="145">
                  <c:v>35</c:v>
                </c:pt>
                <c:pt idx="146">
                  <c:v>21</c:v>
                </c:pt>
                <c:pt idx="147">
                  <c:v>21</c:v>
                </c:pt>
                <c:pt idx="148">
                  <c:v>22</c:v>
                </c:pt>
                <c:pt idx="149">
                  <c:v>22</c:v>
                </c:pt>
                <c:pt idx="150">
                  <c:v>18</c:v>
                </c:pt>
                <c:pt idx="151">
                  <c:v>26</c:v>
                </c:pt>
                <c:pt idx="152">
                  <c:v>24</c:v>
                </c:pt>
                <c:pt idx="153">
                  <c:v>19</c:v>
                </c:pt>
                <c:pt idx="154">
                  <c:v>23</c:v>
                </c:pt>
                <c:pt idx="155">
                  <c:v>27</c:v>
                </c:pt>
                <c:pt idx="156">
                  <c:v>16</c:v>
                </c:pt>
                <c:pt idx="157">
                  <c:v>17</c:v>
                </c:pt>
                <c:pt idx="158">
                  <c:v>20</c:v>
                </c:pt>
                <c:pt idx="159">
                  <c:v>27</c:v>
                </c:pt>
                <c:pt idx="160">
                  <c:v>26</c:v>
                </c:pt>
                <c:pt idx="161">
                  <c:v>33</c:v>
                </c:pt>
                <c:pt idx="162">
                  <c:v>34</c:v>
                </c:pt>
                <c:pt idx="163">
                  <c:v>47</c:v>
                </c:pt>
                <c:pt idx="164">
                  <c:v>45</c:v>
                </c:pt>
                <c:pt idx="165">
                  <c:v>40</c:v>
                </c:pt>
                <c:pt idx="166">
                  <c:v>48</c:v>
                </c:pt>
                <c:pt idx="167">
                  <c:v>34</c:v>
                </c:pt>
                <c:pt idx="168">
                  <c:v>24</c:v>
                </c:pt>
                <c:pt idx="169">
                  <c:v>23</c:v>
                </c:pt>
                <c:pt idx="170">
                  <c:v>18</c:v>
                </c:pt>
                <c:pt idx="171">
                  <c:v>26</c:v>
                </c:pt>
                <c:pt idx="172">
                  <c:v>26</c:v>
                </c:pt>
                <c:pt idx="173">
                  <c:v>17</c:v>
                </c:pt>
                <c:pt idx="174">
                  <c:v>17</c:v>
                </c:pt>
                <c:pt idx="175">
                  <c:v>30</c:v>
                </c:pt>
                <c:pt idx="176">
                  <c:v>38</c:v>
                </c:pt>
                <c:pt idx="177">
                  <c:v>21</c:v>
                </c:pt>
                <c:pt idx="178">
                  <c:v>37</c:v>
                </c:pt>
                <c:pt idx="179">
                  <c:v>32</c:v>
                </c:pt>
                <c:pt idx="180">
                  <c:v>36</c:v>
                </c:pt>
              </c:numCache>
            </c:numRef>
          </c:xVal>
          <c:yVal>
            <c:numRef>
              <c:f>'40'!$R$4:$R$184</c:f>
              <c:numCache>
                <c:formatCode>General</c:formatCode>
                <c:ptCount val="181"/>
                <c:pt idx="0">
                  <c:v>0.32127820000000001</c:v>
                </c:pt>
                <c:pt idx="1">
                  <c:v>0.32127820000000001</c:v>
                </c:pt>
                <c:pt idx="2">
                  <c:v>0.19287820000000003</c:v>
                </c:pt>
                <c:pt idx="3">
                  <c:v>0.2356782</c:v>
                </c:pt>
                <c:pt idx="4">
                  <c:v>0.2356782</c:v>
                </c:pt>
                <c:pt idx="5">
                  <c:v>0.32127820000000001</c:v>
                </c:pt>
                <c:pt idx="6">
                  <c:v>0.32127820000000001</c:v>
                </c:pt>
                <c:pt idx="7">
                  <c:v>0.2356782</c:v>
                </c:pt>
                <c:pt idx="8">
                  <c:v>0.27847820000000001</c:v>
                </c:pt>
                <c:pt idx="9">
                  <c:v>0.32127820000000001</c:v>
                </c:pt>
                <c:pt idx="10">
                  <c:v>0.27847820000000001</c:v>
                </c:pt>
                <c:pt idx="11">
                  <c:v>0.2356782</c:v>
                </c:pt>
                <c:pt idx="12">
                  <c:v>0.19287820000000003</c:v>
                </c:pt>
                <c:pt idx="13">
                  <c:v>0.27847820000000001</c:v>
                </c:pt>
                <c:pt idx="14">
                  <c:v>0.2356782</c:v>
                </c:pt>
                <c:pt idx="15">
                  <c:v>0.27847820000000001</c:v>
                </c:pt>
                <c:pt idx="16">
                  <c:v>0.2356782</c:v>
                </c:pt>
                <c:pt idx="17">
                  <c:v>0.2356782</c:v>
                </c:pt>
                <c:pt idx="18">
                  <c:v>0.2356782</c:v>
                </c:pt>
                <c:pt idx="19">
                  <c:v>0.19287820000000003</c:v>
                </c:pt>
                <c:pt idx="20">
                  <c:v>0.19287820000000003</c:v>
                </c:pt>
                <c:pt idx="21">
                  <c:v>0.19287820000000003</c:v>
                </c:pt>
                <c:pt idx="22">
                  <c:v>0.19287820000000003</c:v>
                </c:pt>
                <c:pt idx="23">
                  <c:v>0.19287820000000003</c:v>
                </c:pt>
                <c:pt idx="24">
                  <c:v>0.19287820000000003</c:v>
                </c:pt>
                <c:pt idx="25">
                  <c:v>0.19287820000000003</c:v>
                </c:pt>
                <c:pt idx="26">
                  <c:v>0.19287820000000003</c:v>
                </c:pt>
                <c:pt idx="27">
                  <c:v>0.19287820000000003</c:v>
                </c:pt>
                <c:pt idx="28">
                  <c:v>0.19287820000000003</c:v>
                </c:pt>
                <c:pt idx="29">
                  <c:v>0.19287820000000003</c:v>
                </c:pt>
                <c:pt idx="30">
                  <c:v>0.19287820000000003</c:v>
                </c:pt>
                <c:pt idx="31">
                  <c:v>0.19287820000000003</c:v>
                </c:pt>
                <c:pt idx="32">
                  <c:v>0.19287820000000003</c:v>
                </c:pt>
                <c:pt idx="33">
                  <c:v>0.19287820000000003</c:v>
                </c:pt>
                <c:pt idx="34">
                  <c:v>0.19287820000000003</c:v>
                </c:pt>
                <c:pt idx="35">
                  <c:v>0.19287820000000003</c:v>
                </c:pt>
                <c:pt idx="36">
                  <c:v>0.19287820000000003</c:v>
                </c:pt>
                <c:pt idx="37">
                  <c:v>0.19287820000000003</c:v>
                </c:pt>
                <c:pt idx="38">
                  <c:v>0.19287820000000003</c:v>
                </c:pt>
                <c:pt idx="39">
                  <c:v>0.19287820000000003</c:v>
                </c:pt>
                <c:pt idx="40">
                  <c:v>0.19287820000000003</c:v>
                </c:pt>
                <c:pt idx="41">
                  <c:v>0.19287820000000003</c:v>
                </c:pt>
                <c:pt idx="42">
                  <c:v>0.19287820000000003</c:v>
                </c:pt>
                <c:pt idx="43">
                  <c:v>0.19287820000000003</c:v>
                </c:pt>
                <c:pt idx="44">
                  <c:v>0.19287820000000003</c:v>
                </c:pt>
                <c:pt idx="45">
                  <c:v>0.19287820000000003</c:v>
                </c:pt>
                <c:pt idx="46">
                  <c:v>0.19287820000000003</c:v>
                </c:pt>
                <c:pt idx="47">
                  <c:v>0.19287820000000003</c:v>
                </c:pt>
                <c:pt idx="48">
                  <c:v>0.19287820000000003</c:v>
                </c:pt>
                <c:pt idx="49">
                  <c:v>0.19287820000000003</c:v>
                </c:pt>
                <c:pt idx="50">
                  <c:v>0.19287820000000003</c:v>
                </c:pt>
                <c:pt idx="51">
                  <c:v>0.19287820000000003</c:v>
                </c:pt>
                <c:pt idx="52">
                  <c:v>0.19287820000000003</c:v>
                </c:pt>
                <c:pt idx="53">
                  <c:v>0.19287820000000003</c:v>
                </c:pt>
                <c:pt idx="54">
                  <c:v>0.19287820000000003</c:v>
                </c:pt>
                <c:pt idx="55">
                  <c:v>0.19287820000000003</c:v>
                </c:pt>
                <c:pt idx="56">
                  <c:v>0.19287820000000003</c:v>
                </c:pt>
                <c:pt idx="57">
                  <c:v>0.2356782</c:v>
                </c:pt>
                <c:pt idx="58">
                  <c:v>0.19287820000000003</c:v>
                </c:pt>
                <c:pt idx="59">
                  <c:v>0.19287820000000003</c:v>
                </c:pt>
                <c:pt idx="60">
                  <c:v>0.19287820000000003</c:v>
                </c:pt>
                <c:pt idx="61">
                  <c:v>0.19287820000000003</c:v>
                </c:pt>
                <c:pt idx="62">
                  <c:v>0.19287820000000003</c:v>
                </c:pt>
                <c:pt idx="63">
                  <c:v>0.2356782</c:v>
                </c:pt>
                <c:pt idx="64">
                  <c:v>0.19287820000000003</c:v>
                </c:pt>
                <c:pt idx="65">
                  <c:v>0.19287820000000003</c:v>
                </c:pt>
                <c:pt idx="66">
                  <c:v>0.19287820000000003</c:v>
                </c:pt>
                <c:pt idx="67">
                  <c:v>0.19287820000000003</c:v>
                </c:pt>
                <c:pt idx="68">
                  <c:v>0.19287820000000003</c:v>
                </c:pt>
                <c:pt idx="69">
                  <c:v>0.19287820000000003</c:v>
                </c:pt>
                <c:pt idx="70">
                  <c:v>0.27847820000000001</c:v>
                </c:pt>
                <c:pt idx="71">
                  <c:v>0.19287820000000003</c:v>
                </c:pt>
                <c:pt idx="72">
                  <c:v>0.19287820000000003</c:v>
                </c:pt>
                <c:pt idx="73">
                  <c:v>0.19287820000000003</c:v>
                </c:pt>
                <c:pt idx="74">
                  <c:v>0.19287820000000003</c:v>
                </c:pt>
                <c:pt idx="75">
                  <c:v>0.19287820000000003</c:v>
                </c:pt>
                <c:pt idx="76">
                  <c:v>0.19287820000000003</c:v>
                </c:pt>
                <c:pt idx="77">
                  <c:v>0.19287820000000003</c:v>
                </c:pt>
                <c:pt idx="78">
                  <c:v>0.19287820000000003</c:v>
                </c:pt>
                <c:pt idx="79">
                  <c:v>0.19287820000000003</c:v>
                </c:pt>
                <c:pt idx="80">
                  <c:v>0.19287820000000003</c:v>
                </c:pt>
                <c:pt idx="81">
                  <c:v>0.19287820000000003</c:v>
                </c:pt>
                <c:pt idx="82">
                  <c:v>0.19287820000000003</c:v>
                </c:pt>
                <c:pt idx="83">
                  <c:v>0.19287820000000003</c:v>
                </c:pt>
                <c:pt idx="84">
                  <c:v>0.19287820000000003</c:v>
                </c:pt>
                <c:pt idx="85">
                  <c:v>0.19287820000000003</c:v>
                </c:pt>
                <c:pt idx="86">
                  <c:v>0.19287820000000003</c:v>
                </c:pt>
                <c:pt idx="87">
                  <c:v>0.19287820000000003</c:v>
                </c:pt>
                <c:pt idx="88">
                  <c:v>0.19287820000000003</c:v>
                </c:pt>
                <c:pt idx="89">
                  <c:v>0.19287820000000003</c:v>
                </c:pt>
                <c:pt idx="90">
                  <c:v>0.19287820000000003</c:v>
                </c:pt>
                <c:pt idx="91">
                  <c:v>0.19287820000000003</c:v>
                </c:pt>
                <c:pt idx="92">
                  <c:v>0.19287820000000003</c:v>
                </c:pt>
                <c:pt idx="93">
                  <c:v>0.19287820000000003</c:v>
                </c:pt>
                <c:pt idx="94">
                  <c:v>0.19287820000000003</c:v>
                </c:pt>
                <c:pt idx="95">
                  <c:v>0.19287820000000003</c:v>
                </c:pt>
                <c:pt idx="96">
                  <c:v>0.19287820000000003</c:v>
                </c:pt>
                <c:pt idx="97">
                  <c:v>0.19287820000000003</c:v>
                </c:pt>
                <c:pt idx="98">
                  <c:v>0.2356782</c:v>
                </c:pt>
                <c:pt idx="99">
                  <c:v>0.19287820000000003</c:v>
                </c:pt>
                <c:pt idx="100">
                  <c:v>0.19287820000000003</c:v>
                </c:pt>
                <c:pt idx="101">
                  <c:v>0.2356782</c:v>
                </c:pt>
                <c:pt idx="102">
                  <c:v>0.19287820000000003</c:v>
                </c:pt>
                <c:pt idx="103">
                  <c:v>0.19287820000000003</c:v>
                </c:pt>
                <c:pt idx="104">
                  <c:v>0.19287820000000003</c:v>
                </c:pt>
                <c:pt idx="105">
                  <c:v>0.19287820000000003</c:v>
                </c:pt>
                <c:pt idx="106">
                  <c:v>0.19287820000000003</c:v>
                </c:pt>
                <c:pt idx="107">
                  <c:v>0.2356782</c:v>
                </c:pt>
                <c:pt idx="108">
                  <c:v>0.27847820000000001</c:v>
                </c:pt>
                <c:pt idx="109">
                  <c:v>0.19287820000000003</c:v>
                </c:pt>
                <c:pt idx="110">
                  <c:v>0.19287820000000003</c:v>
                </c:pt>
                <c:pt idx="111">
                  <c:v>0.19287820000000003</c:v>
                </c:pt>
                <c:pt idx="112">
                  <c:v>0.19287820000000003</c:v>
                </c:pt>
                <c:pt idx="113">
                  <c:v>0.19287820000000003</c:v>
                </c:pt>
                <c:pt idx="114">
                  <c:v>0.27847820000000001</c:v>
                </c:pt>
                <c:pt idx="115">
                  <c:v>0.2356782</c:v>
                </c:pt>
                <c:pt idx="116">
                  <c:v>0.19287820000000003</c:v>
                </c:pt>
                <c:pt idx="117">
                  <c:v>0.19287820000000003</c:v>
                </c:pt>
                <c:pt idx="118">
                  <c:v>0.19287820000000003</c:v>
                </c:pt>
                <c:pt idx="119">
                  <c:v>0.2356782</c:v>
                </c:pt>
                <c:pt idx="120">
                  <c:v>0.2356782</c:v>
                </c:pt>
                <c:pt idx="121">
                  <c:v>0.19287820000000003</c:v>
                </c:pt>
                <c:pt idx="122">
                  <c:v>0.2356782</c:v>
                </c:pt>
                <c:pt idx="123">
                  <c:v>0.19287820000000003</c:v>
                </c:pt>
                <c:pt idx="124">
                  <c:v>0.2356782</c:v>
                </c:pt>
                <c:pt idx="125">
                  <c:v>0.19287820000000003</c:v>
                </c:pt>
                <c:pt idx="126">
                  <c:v>0.19287820000000003</c:v>
                </c:pt>
                <c:pt idx="127">
                  <c:v>0.27847820000000001</c:v>
                </c:pt>
                <c:pt idx="128">
                  <c:v>0.27847820000000001</c:v>
                </c:pt>
                <c:pt idx="129">
                  <c:v>0.27847820000000001</c:v>
                </c:pt>
                <c:pt idx="130">
                  <c:v>0.19287820000000003</c:v>
                </c:pt>
                <c:pt idx="131">
                  <c:v>0.19287820000000003</c:v>
                </c:pt>
                <c:pt idx="132">
                  <c:v>0.19287820000000003</c:v>
                </c:pt>
                <c:pt idx="133">
                  <c:v>0.19287820000000003</c:v>
                </c:pt>
                <c:pt idx="134">
                  <c:v>0.19287820000000003</c:v>
                </c:pt>
                <c:pt idx="135">
                  <c:v>0.19287820000000003</c:v>
                </c:pt>
                <c:pt idx="136">
                  <c:v>0.19287820000000003</c:v>
                </c:pt>
                <c:pt idx="137">
                  <c:v>0.27847820000000001</c:v>
                </c:pt>
                <c:pt idx="138">
                  <c:v>0.19287820000000003</c:v>
                </c:pt>
                <c:pt idx="139">
                  <c:v>0.19287820000000003</c:v>
                </c:pt>
                <c:pt idx="140">
                  <c:v>0.19287820000000003</c:v>
                </c:pt>
                <c:pt idx="141">
                  <c:v>0.19287820000000003</c:v>
                </c:pt>
                <c:pt idx="142">
                  <c:v>0.27847820000000001</c:v>
                </c:pt>
                <c:pt idx="143">
                  <c:v>0.27847820000000001</c:v>
                </c:pt>
                <c:pt idx="144">
                  <c:v>0.32127820000000001</c:v>
                </c:pt>
                <c:pt idx="145">
                  <c:v>0.27847820000000001</c:v>
                </c:pt>
                <c:pt idx="146">
                  <c:v>0.19287820000000003</c:v>
                </c:pt>
                <c:pt idx="147">
                  <c:v>0.19287820000000003</c:v>
                </c:pt>
                <c:pt idx="148">
                  <c:v>0.19287820000000003</c:v>
                </c:pt>
                <c:pt idx="149">
                  <c:v>0.19287820000000003</c:v>
                </c:pt>
                <c:pt idx="150">
                  <c:v>0.19287820000000003</c:v>
                </c:pt>
                <c:pt idx="151">
                  <c:v>0.19287820000000003</c:v>
                </c:pt>
                <c:pt idx="152">
                  <c:v>0.2356782</c:v>
                </c:pt>
                <c:pt idx="153">
                  <c:v>0.19287820000000003</c:v>
                </c:pt>
                <c:pt idx="154">
                  <c:v>0.19287820000000003</c:v>
                </c:pt>
                <c:pt idx="155">
                  <c:v>0.19287820000000003</c:v>
                </c:pt>
                <c:pt idx="156">
                  <c:v>0.19287820000000003</c:v>
                </c:pt>
                <c:pt idx="157">
                  <c:v>0.19287820000000003</c:v>
                </c:pt>
                <c:pt idx="158">
                  <c:v>0.19287820000000003</c:v>
                </c:pt>
                <c:pt idx="159">
                  <c:v>0.19287820000000003</c:v>
                </c:pt>
                <c:pt idx="160">
                  <c:v>0.19287820000000003</c:v>
                </c:pt>
                <c:pt idx="161">
                  <c:v>0.2356782</c:v>
                </c:pt>
                <c:pt idx="162">
                  <c:v>0.2356782</c:v>
                </c:pt>
                <c:pt idx="163">
                  <c:v>0.32127820000000001</c:v>
                </c:pt>
                <c:pt idx="164">
                  <c:v>0.32127820000000001</c:v>
                </c:pt>
                <c:pt idx="165">
                  <c:v>0.27847820000000001</c:v>
                </c:pt>
                <c:pt idx="166">
                  <c:v>0.32127820000000001</c:v>
                </c:pt>
                <c:pt idx="167">
                  <c:v>0.2356782</c:v>
                </c:pt>
                <c:pt idx="168">
                  <c:v>0.19287820000000003</c:v>
                </c:pt>
                <c:pt idx="169">
                  <c:v>0.19287820000000003</c:v>
                </c:pt>
                <c:pt idx="170">
                  <c:v>0.19287820000000003</c:v>
                </c:pt>
                <c:pt idx="171">
                  <c:v>0.19287820000000003</c:v>
                </c:pt>
                <c:pt idx="172">
                  <c:v>0.19287820000000003</c:v>
                </c:pt>
                <c:pt idx="173">
                  <c:v>0.19287820000000003</c:v>
                </c:pt>
                <c:pt idx="174">
                  <c:v>0.19287820000000003</c:v>
                </c:pt>
                <c:pt idx="175">
                  <c:v>0.2356782</c:v>
                </c:pt>
                <c:pt idx="176">
                  <c:v>0.27847820000000001</c:v>
                </c:pt>
                <c:pt idx="177">
                  <c:v>0.2356782</c:v>
                </c:pt>
                <c:pt idx="178">
                  <c:v>0.27847820000000001</c:v>
                </c:pt>
                <c:pt idx="179">
                  <c:v>0.2356782</c:v>
                </c:pt>
                <c:pt idx="180">
                  <c:v>0.40687820000000002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09-4969-BBE1-7BCFF5F30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24720"/>
        <c:axId val="306721840"/>
      </c:scatterChart>
      <c:valAx>
        <c:axId val="30672472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RMR</a:t>
                </a:r>
                <a:r>
                  <a:rPr lang="pt-BR" sz="1600" b="1"/>
                  <a:t>76</a:t>
                </a:r>
                <a:endParaRPr lang="pt-BR" sz="1400" b="1"/>
              </a:p>
            </c:rich>
          </c:tx>
          <c:layout>
            <c:manualLayout>
              <c:xMode val="edge"/>
              <c:yMode val="edge"/>
              <c:x val="0.49623196164319805"/>
              <c:y val="0.93146952261232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721840"/>
        <c:crosses val="autoZero"/>
        <c:crossBetween val="midCat"/>
      </c:valAx>
      <c:valAx>
        <c:axId val="30672184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/>
                  <a:t>Power Factor (Kg Anfo /m3)</a:t>
                </a:r>
              </a:p>
            </c:rich>
          </c:tx>
          <c:layout>
            <c:manualLayout>
              <c:xMode val="edge"/>
              <c:yMode val="edge"/>
              <c:x val="1.2631706972745861E-2"/>
              <c:y val="0.32222637743898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72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RMR89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r>
            <a:rPr lang="pt-BR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RMR89</a:t>
          </a:r>
        </a:p>
      </cx:txPr>
    </cx:title>
    <cx:plotArea>
      <cx:plotAreaRegion>
        <cx:series layoutId="boxWhisker" uniqueId="{00000001-B328-4779-BCC4-991BF7C05F93}" formatIdx="0">
          <cx:tx>
            <cx:txData>
              <cx:f/>
              <cx:v>RMR89</cx:v>
            </cx:txData>
          </cx:tx>
          <cx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pt-B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RQD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r>
            <a:rPr lang="pt-BR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RQD (%)</a:t>
          </a:r>
        </a:p>
      </cx:txPr>
    </cx:title>
    <cx:plotArea>
      <cx:plotAreaRegion>
        <cx:series layoutId="boxWhisker" uniqueId="{00000001-B328-4779-BCC4-991BF7C05F93}" formatIdx="0">
          <cx:tx>
            <cx:txData>
              <cx:f/>
              <cx:v>RMR89</cx:v>
            </cx:txData>
          </cx:tx>
          <cx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pt-B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Lithology 40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Lithology 40</a:t>
          </a:r>
        </a:p>
      </cx:txPr>
    </cx:title>
    <cx:plotArea>
      <cx:plotAreaRegion>
        <cx:series layoutId="boxWhisker" uniqueId="{C38CB323-95D5-49BA-AC2B-0F5F57A7DDF9}">
          <cx:tx>
            <cx:txData>
              <cx:f/>
              <cx:v>Lithology 40</cx:v>
            </cx:txData>
          </cx:tx>
          <cx:spPr>
            <a:solidFill>
              <a:srgbClr val="EEDFAA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x:spPr>
          <cx:dataId val="0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RMR76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</a:defRPr>
              </a:pPr>
              <a:r>
                <a:rPr lang="pt-BR" sz="16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RMR76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/>
          </a:pPr>
          <a:endParaRPr lang="pt-BR" sz="16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528CC8B7-1F74-410E-B7C5-C620EFED226C}">
          <cx:spPr>
            <a:solidFill>
              <a:srgbClr val="FF000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_xlchart.v1.10</cx:f>
      </cx:numDim>
    </cx:data>
    <cx:data id="2">
      <cx:numDim type="val">
        <cx:f>_xlchart.v1.11</cx:f>
      </cx:numDim>
    </cx:data>
    <cx:data id="3">
      <cx:numDim type="val">
        <cx:f>_xlchart.v1.8</cx:f>
      </cx:numDim>
    </cx:data>
  </cx:chartData>
  <cx:chart>
    <cx:title pos="t" align="ctr" overlay="0">
      <cx:tx>
        <cx:txData>
          <cx:v>Geotechnical Domain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Geotechnical Domain</a:t>
          </a:r>
        </a:p>
      </cx:txPr>
    </cx:title>
    <cx:plotArea>
      <cx:plotAreaRegion>
        <cx:series layoutId="boxWhisker" uniqueId="{33108CF7-BE4F-4B17-B6CC-10D6781AEE94}">
          <cx:tx>
            <cx:txData>
              <cx:f/>
              <cx:v>DG-1</cx:v>
            </cx:txData>
          </cx:tx>
          <cx:spPr>
            <a:solidFill>
              <a:srgbClr val="C00000"/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139-4236-A957-F1788EA84405}">
          <cx:tx>
            <cx:txData>
              <cx:f/>
              <cx:v>DG-2</cx:v>
            </cx:txData>
          </cx:tx>
          <cx:spPr>
            <a:solidFill>
              <a:srgbClr val="FF0000"/>
            </a:solidFill>
            <a:ln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2-3139-4236-A957-F1788EA84405}">
          <cx:tx>
            <cx:txData>
              <cx:f/>
              <cx:v>DG-3</cx:v>
            </cx:txData>
          </cx:tx>
          <cx:spPr>
            <a:solidFill>
              <a:srgbClr val="00FF00"/>
            </a:solidFill>
            <a:ln>
              <a:solidFill>
                <a:schemeClr val="tx1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3-3139-4236-A957-F1788EA84405}">
          <cx:tx>
            <cx:txData>
              <cx:f/>
              <cx:v>DG-4</cx:v>
            </cx:txData>
          </cx:tx>
          <cx:spPr>
            <a:solidFill>
              <a:srgbClr val="0000FF"/>
            </a:solidFill>
            <a:ln>
              <a:solidFill>
                <a:schemeClr val="tx1"/>
              </a:solidFill>
            </a:ln>
          </cx:spPr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0"/>
        <cx:title>
          <cx:tx>
            <cx:txData>
              <cx:v>RMR76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/>
              </a:pPr>
              <a:r>
                <a:rPr lang="pt-BR" sz="1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RMR76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pt-B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_xlchart.v1.6</cx:f>
      </cx:numDim>
    </cx:data>
    <cx:data id="2">
      <cx:numDim type="val">
        <cx:f>_xlchart.v1.7</cx:f>
      </cx:numDim>
    </cx:data>
    <cx:data id="3">
      <cx:numDim type="val">
        <cx:f>_xlchart.v1.4</cx:f>
      </cx:numDim>
    </cx:data>
  </cx:chartData>
  <cx:chart>
    <cx:title pos="t" align="ctr" overlay="0">
      <cx:tx>
        <cx:txData>
          <cx:v>Geotechnical Domain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Geotechnical Domain</a:t>
          </a:r>
        </a:p>
      </cx:txPr>
    </cx:title>
    <cx:plotArea>
      <cx:plotAreaRegion>
        <cx:series layoutId="boxWhisker" uniqueId="{33108CF7-BE4F-4B17-B6CC-10D6781AEE94}">
          <cx:tx>
            <cx:txData>
              <cx:f/>
              <cx:v>DG-1</cx:v>
            </cx:txData>
          </cx:tx>
          <cx:spPr>
            <a:solidFill>
              <a:srgbClr val="C00000"/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139-4236-A957-F1788EA84405}">
          <cx:tx>
            <cx:txData>
              <cx:f/>
              <cx:v>DG-2</cx:v>
            </cx:txData>
          </cx:tx>
          <cx:spPr>
            <a:solidFill>
              <a:srgbClr val="FF0000"/>
            </a:solidFill>
            <a:ln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2-3139-4236-A957-F1788EA84405}">
          <cx:tx>
            <cx:txData>
              <cx:f/>
              <cx:v>DG-3</cx:v>
            </cx:txData>
          </cx:tx>
          <cx:spPr>
            <a:solidFill>
              <a:srgbClr val="00FF00"/>
            </a:solidFill>
            <a:ln>
              <a:solidFill>
                <a:schemeClr val="tx1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3-3139-4236-A957-F1788EA84405}">
          <cx:tx>
            <cx:txData>
              <cx:f/>
              <cx:v>DG-4</cx:v>
            </cx:txData>
          </cx:tx>
          <cx:spPr>
            <a:solidFill>
              <a:srgbClr val="0000FF"/>
            </a:solidFill>
            <a:ln>
              <a:solidFill>
                <a:schemeClr val="tx1"/>
              </a:solidFill>
            </a:ln>
          </cx:spPr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0"/>
        <cx:title>
          <cx:tx>
            <cx:txData>
              <cx:v>RMR89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/>
              </a:pPr>
              <a:r>
                <a:rPr lang="pt-BR" sz="1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RMR89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pt-B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_xlchart.v1.12</cx:f>
      </cx:numDim>
    </cx:data>
    <cx:data id="2">
      <cx:numDim type="val">
        <cx:f>_xlchart.v1.13</cx:f>
      </cx:numDim>
    </cx:data>
    <cx:data id="3">
      <cx:numDim type="val">
        <cx:f>_xlchart.v1.16</cx:f>
      </cx:numDim>
    </cx:data>
  </cx:chartData>
  <cx:chart>
    <cx:title pos="t" align="ctr" overlay="0">
      <cx:tx>
        <cx:txData>
          <cx:v>Resistencia Compressao Simple (UCS)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Resistencia Compressao Simple (UCS)</a:t>
          </a:r>
        </a:p>
      </cx:txPr>
    </cx:title>
    <cx:plotArea>
      <cx:plotAreaRegion>
        <cx:series layoutId="boxWhisker" uniqueId="{00000001-1454-42B3-B1C9-B97081A499DD}" formatIdx="1">
          <cx:tx>
            <cx:txData>
              <cx:f/>
              <cx:v>Litologia 40</cx:v>
            </cx:txData>
          </cx:tx>
          <cx:spPr>
            <a:solidFill>
              <a:srgbClr val="FFCC99"/>
            </a:solidFill>
            <a:ln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2-1454-42B3-B1C9-B97081A499DD}">
          <cx:tx>
            <cx:txData>
              <cx:f/>
              <cx:v>Litologia 10</cx:v>
            </cx:txData>
          </cx:tx>
          <cx:spPr>
            <a:solidFill>
              <a:srgbClr val="0000FF"/>
            </a:solidFill>
            <a:ln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3-1454-42B3-B1C9-B97081A499DD}">
          <cx:tx>
            <cx:txData>
              <cx:f/>
              <cx:v>Litologia 11</cx:v>
            </cx:txData>
          </cx:tx>
          <cx:spPr>
            <a:solidFill>
              <a:srgbClr val="008000"/>
            </a:solidFill>
            <a:ln>
              <a:solidFill>
                <a:schemeClr val="tx1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4-1454-42B3-B1C9-B97081A499DD}">
          <cx:tx>
            <cx:txData>
              <cx:f>_xlchart.v1.15</cx:f>
              <cx:v>Litologia 30</cx:v>
            </cx:txData>
          </cx:tx>
          <cx:spPr>
            <a:solidFill>
              <a:srgbClr val="FF0101"/>
            </a:solidFill>
            <a:ln>
              <a:solidFill>
                <a:schemeClr val="tx1"/>
              </a:solidFill>
            </a:ln>
          </cx:spPr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Resistencia Compressao Simple (UCS)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/>
              </a:pPr>
              <a:r>
                <a:rPr lang="pt-B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Resistencia Compressao Simple (UCS)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pt-B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ln>
      <a:solidFill>
        <a:schemeClr val="tx1"/>
      </a:solidFill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RMR89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r>
            <a:rPr lang="pt-BR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RMR89</a:t>
          </a:r>
        </a:p>
      </cx:txPr>
    </cx:title>
    <cx:plotArea>
      <cx:plotAreaRegion>
        <cx:series layoutId="boxWhisker" uniqueId="{00000001-B328-4779-BCC4-991BF7C05F93}" formatIdx="0">
          <cx:tx>
            <cx:txData>
              <cx:f/>
              <cx:v>RMR89</cx:v>
            </cx:txData>
          </cx:tx>
          <cx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pt-B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txData>
          <cx:v>RQD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r>
            <a:rPr lang="pt-BR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RQD (%)</a:t>
          </a:r>
        </a:p>
      </cx:txPr>
    </cx:title>
    <cx:plotArea>
      <cx:plotAreaRegion>
        <cx:series layoutId="boxWhisker" uniqueId="{00000001-B328-4779-BCC4-991BF7C05F93}">
          <cx:tx>
            <cx:txData>
              <cx:f/>
              <cx:v>RMR89</cx:v>
            </cx:txData>
          </cx:tx>
          <cx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RMR89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/>
              </a:pPr>
              <a:r>
                <a:rPr lang="pt-B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RMR89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pt-BR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pt-B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_xlchart.v1.19</cx:f>
      </cx:numDim>
    </cx:data>
    <cx:data id="2">
      <cx:numDim type="val">
        <cx:f>_xlchart.v1.20</cx:f>
      </cx:numDim>
    </cx:data>
    <cx:data id="3">
      <cx:numDim type="val">
        <cx:f>_xlchart.v1.21</cx:f>
      </cx:numDim>
    </cx:data>
  </cx:chartData>
  <cx:chart>
    <cx:title pos="t" align="ctr" overlay="0">
      <cx:tx>
        <cx:txData>
          <cx:v>Uniaxial Compressive Strength (UCS)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Uniaxial Compressive Strength (UCS)</a:t>
          </a:r>
        </a:p>
      </cx:txPr>
    </cx:title>
    <cx:plotArea>
      <cx:plotAreaRegion>
        <cx:series layoutId="boxWhisker" uniqueId="{00000001-1454-42B3-B1C9-B97081A499DD}" formatIdx="1">
          <cx:tx>
            <cx:txData>
              <cx:f/>
              <cx:v>Lihology 40</cx:v>
            </cx:txData>
          </cx:tx>
          <cx:spPr>
            <a:solidFill>
              <a:srgbClr val="FFCC99"/>
            </a:solidFill>
            <a:ln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2-1454-42B3-B1C9-B97081A499DD}">
          <cx:tx>
            <cx:txData>
              <cx:f/>
              <cx:v>Lithology 10</cx:v>
            </cx:txData>
          </cx:tx>
          <cx:spPr>
            <a:solidFill>
              <a:srgbClr val="0000FF"/>
            </a:solidFill>
            <a:ln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3-1454-42B3-B1C9-B97081A499DD}">
          <cx:tx>
            <cx:txData>
              <cx:f/>
              <cx:v>Lithology 11</cx:v>
            </cx:txData>
          </cx:tx>
          <cx:spPr>
            <a:solidFill>
              <a:srgbClr val="008000"/>
            </a:solidFill>
            <a:ln>
              <a:solidFill>
                <a:schemeClr val="tx1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4-1454-42B3-B1C9-B97081A499DD}">
          <cx:tx>
            <cx:txData>
              <cx:f/>
              <cx:v>Lithology 30</cx:v>
            </cx:txData>
          </cx:tx>
          <cx:spPr>
            <a:solidFill>
              <a:srgbClr val="FF0101"/>
            </a:solidFill>
            <a:ln>
              <a:solidFill>
                <a:schemeClr val="tx1"/>
              </a:solidFill>
            </a:ln>
          </cx:spPr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Uniaxial Compressive Strenght (UCS)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/>
              </a:pPr>
              <a:r>
                <a:rPr lang="pt-BR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Uniaxial Compressive Strenght (UCS)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/>
            </a:pPr>
            <a:endParaRPr lang="pt-BR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endParaRPr lang="pt-BR" sz="18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  <cx:data id="1">
      <cx:numDim type="val">
        <cx:f>_xlchart.v1.23</cx:f>
      </cx:numDim>
    </cx:data>
    <cx:data id="2">
      <cx:numDim type="val">
        <cx:f>_xlchart.v1.24</cx:f>
      </cx:numDim>
    </cx:data>
    <cx:data id="3">
      <cx:numDim type="val">
        <cx:f>_xlchart.v1.25</cx:f>
      </cx:numDim>
    </cx:data>
  </cx:chartData>
  <cx:chart>
    <cx:title pos="t" align="ctr" overlay="0">
      <cx:tx>
        <cx:txData>
          <cx:v>Uniaxial Compressive Strength (UCS)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Uniaxial Compressive Strength (UCS)</a:t>
          </a:r>
        </a:p>
      </cx:txPr>
    </cx:title>
    <cx:plotArea>
      <cx:plotAreaRegion>
        <cx:series layoutId="boxWhisker" uniqueId="{00000001-1454-42B3-B1C9-B97081A499DD}" formatIdx="1">
          <cx:tx>
            <cx:txData>
              <cx:f/>
              <cx:v>Lihology 40</cx:v>
            </cx:txData>
          </cx:tx>
          <cx:spPr>
            <a:solidFill>
              <a:srgbClr val="FFCC99"/>
            </a:solidFill>
            <a:ln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2-1454-42B3-B1C9-B97081A499DD}">
          <cx:tx>
            <cx:txData>
              <cx:f/>
              <cx:v>Lithology 10</cx:v>
            </cx:txData>
          </cx:tx>
          <cx:spPr>
            <a:solidFill>
              <a:srgbClr val="0000FF"/>
            </a:solidFill>
            <a:ln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3-1454-42B3-B1C9-B97081A499DD}">
          <cx:tx>
            <cx:txData>
              <cx:f/>
              <cx:v>Lithology 11</cx:v>
            </cx:txData>
          </cx:tx>
          <cx:spPr>
            <a:solidFill>
              <a:srgbClr val="008000"/>
            </a:solidFill>
            <a:ln>
              <a:solidFill>
                <a:schemeClr val="tx1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4-1454-42B3-B1C9-B97081A499DD}">
          <cx:tx>
            <cx:txData>
              <cx:f/>
              <cx:v>Lithology 30</cx:v>
            </cx:txData>
          </cx:tx>
          <cx:spPr>
            <a:solidFill>
              <a:srgbClr val="FF0101"/>
            </a:solidFill>
            <a:ln>
              <a:solidFill>
                <a:schemeClr val="tx1"/>
              </a:solidFill>
            </a:ln>
          </cx:spPr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Uniaxial Compressive Strenght (UCS)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pt-BR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Uniaxial Compressive Strenght (UCS)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/>
            </a:pPr>
            <a:endParaRPr lang="pt-BR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pt-BR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13" Type="http://schemas.openxmlformats.org/officeDocument/2006/relationships/chart" Target="../charts/chart7.xml"/><Relationship Id="rId18" Type="http://schemas.openxmlformats.org/officeDocument/2006/relationships/chart" Target="../charts/chart12.xml"/><Relationship Id="rId3" Type="http://schemas.openxmlformats.org/officeDocument/2006/relationships/image" Target="../media/image10.png"/><Relationship Id="rId21" Type="http://schemas.openxmlformats.org/officeDocument/2006/relationships/chart" Target="../charts/chart15.xml"/><Relationship Id="rId7" Type="http://schemas.openxmlformats.org/officeDocument/2006/relationships/chart" Target="../charts/chart4.xml"/><Relationship Id="rId12" Type="http://schemas.openxmlformats.org/officeDocument/2006/relationships/chart" Target="../charts/chart6.xml"/><Relationship Id="rId17" Type="http://schemas.openxmlformats.org/officeDocument/2006/relationships/chart" Target="../charts/chart11.xml"/><Relationship Id="rId2" Type="http://schemas.openxmlformats.org/officeDocument/2006/relationships/image" Target="../media/image9.png"/><Relationship Id="rId16" Type="http://schemas.openxmlformats.org/officeDocument/2006/relationships/chart" Target="../charts/chart10.xml"/><Relationship Id="rId20" Type="http://schemas.openxmlformats.org/officeDocument/2006/relationships/chart" Target="../charts/chart14.xml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11" Type="http://schemas.openxmlformats.org/officeDocument/2006/relationships/chart" Target="../charts/chart5.xml"/><Relationship Id="rId5" Type="http://schemas.openxmlformats.org/officeDocument/2006/relationships/chart" Target="../charts/chart3.xml"/><Relationship Id="rId15" Type="http://schemas.openxmlformats.org/officeDocument/2006/relationships/chart" Target="../charts/chart9.xml"/><Relationship Id="rId10" Type="http://schemas.openxmlformats.org/officeDocument/2006/relationships/image" Target="../media/image12.png"/><Relationship Id="rId19" Type="http://schemas.openxmlformats.org/officeDocument/2006/relationships/chart" Target="../charts/chart13.xml"/><Relationship Id="rId4" Type="http://schemas.openxmlformats.org/officeDocument/2006/relationships/chart" Target="../charts/chart2.xml"/><Relationship Id="rId9" Type="http://schemas.microsoft.com/office/2014/relationships/chartEx" Target="../charts/chartEx2.xml"/><Relationship Id="rId14" Type="http://schemas.openxmlformats.org/officeDocument/2006/relationships/chart" Target="../charts/chart8.xml"/><Relationship Id="rId22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13" Type="http://schemas.openxmlformats.org/officeDocument/2006/relationships/chart" Target="../charts/chart31.xml"/><Relationship Id="rId3" Type="http://schemas.openxmlformats.org/officeDocument/2006/relationships/chart" Target="../charts/chart23.xml"/><Relationship Id="rId7" Type="http://schemas.openxmlformats.org/officeDocument/2006/relationships/chart" Target="../charts/chart26.xml"/><Relationship Id="rId12" Type="http://schemas.openxmlformats.org/officeDocument/2006/relationships/image" Target="../media/image15.png"/><Relationship Id="rId2" Type="http://schemas.openxmlformats.org/officeDocument/2006/relationships/chart" Target="../charts/chart22.xml"/><Relationship Id="rId1" Type="http://schemas.microsoft.com/office/2014/relationships/chartEx" Target="../charts/chartEx3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5" Type="http://schemas.openxmlformats.org/officeDocument/2006/relationships/chart" Target="../charts/chart33.xml"/><Relationship Id="rId10" Type="http://schemas.openxmlformats.org/officeDocument/2006/relationships/chart" Target="../charts/chart29.xml"/><Relationship Id="rId4" Type="http://schemas.openxmlformats.org/officeDocument/2006/relationships/image" Target="../media/image14.png"/><Relationship Id="rId9" Type="http://schemas.openxmlformats.org/officeDocument/2006/relationships/chart" Target="../charts/chart28.xml"/><Relationship Id="rId1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13" Type="http://schemas.openxmlformats.org/officeDocument/2006/relationships/chart" Target="../charts/chart44.xml"/><Relationship Id="rId3" Type="http://schemas.openxmlformats.org/officeDocument/2006/relationships/image" Target="../media/image16.png"/><Relationship Id="rId7" Type="http://schemas.openxmlformats.org/officeDocument/2006/relationships/chart" Target="../charts/chart38.xml"/><Relationship Id="rId12" Type="http://schemas.openxmlformats.org/officeDocument/2006/relationships/chart" Target="../charts/chart43.xml"/><Relationship Id="rId2" Type="http://schemas.openxmlformats.org/officeDocument/2006/relationships/chart" Target="../charts/chart34.xml"/><Relationship Id="rId1" Type="http://schemas.microsoft.com/office/2014/relationships/chartEx" Target="../charts/chartEx4.xml"/><Relationship Id="rId6" Type="http://schemas.openxmlformats.org/officeDocument/2006/relationships/chart" Target="../charts/chart37.xml"/><Relationship Id="rId11" Type="http://schemas.openxmlformats.org/officeDocument/2006/relationships/chart" Target="../charts/chart42.xml"/><Relationship Id="rId5" Type="http://schemas.openxmlformats.org/officeDocument/2006/relationships/chart" Target="../charts/chart36.xml"/><Relationship Id="rId15" Type="http://schemas.openxmlformats.org/officeDocument/2006/relationships/chart" Target="../charts/chart46.xml"/><Relationship Id="rId10" Type="http://schemas.openxmlformats.org/officeDocument/2006/relationships/chart" Target="../charts/chart41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Relationship Id="rId14" Type="http://schemas.openxmlformats.org/officeDocument/2006/relationships/chart" Target="../charts/chart45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3" Type="http://schemas.openxmlformats.org/officeDocument/2006/relationships/chart" Target="../charts/chart49.xml"/><Relationship Id="rId7" Type="http://schemas.openxmlformats.org/officeDocument/2006/relationships/chart" Target="../charts/chart53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5" Type="http://schemas.openxmlformats.org/officeDocument/2006/relationships/chart" Target="../charts/chart51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3.xml"/><Relationship Id="rId3" Type="http://schemas.openxmlformats.org/officeDocument/2006/relationships/chart" Target="../charts/chart58.xml"/><Relationship Id="rId7" Type="http://schemas.openxmlformats.org/officeDocument/2006/relationships/chart" Target="../charts/chart62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6" Type="http://schemas.openxmlformats.org/officeDocument/2006/relationships/chart" Target="../charts/chart61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Relationship Id="rId9" Type="http://schemas.openxmlformats.org/officeDocument/2006/relationships/chart" Target="../charts/chart64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2.xml"/><Relationship Id="rId3" Type="http://schemas.openxmlformats.org/officeDocument/2006/relationships/chart" Target="../charts/chart67.xml"/><Relationship Id="rId7" Type="http://schemas.openxmlformats.org/officeDocument/2006/relationships/chart" Target="../charts/chart71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5" Type="http://schemas.openxmlformats.org/officeDocument/2006/relationships/chart" Target="../charts/chart69.xml"/><Relationship Id="rId4" Type="http://schemas.openxmlformats.org/officeDocument/2006/relationships/chart" Target="../charts/chart68.xml"/><Relationship Id="rId9" Type="http://schemas.openxmlformats.org/officeDocument/2006/relationships/chart" Target="../charts/chart73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1.xml"/><Relationship Id="rId3" Type="http://schemas.openxmlformats.org/officeDocument/2006/relationships/chart" Target="../charts/chart76.xml"/><Relationship Id="rId7" Type="http://schemas.openxmlformats.org/officeDocument/2006/relationships/chart" Target="../charts/chart80.xml"/><Relationship Id="rId12" Type="http://schemas.microsoft.com/office/2014/relationships/chartEx" Target="../charts/chartEx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Relationship Id="rId6" Type="http://schemas.openxmlformats.org/officeDocument/2006/relationships/chart" Target="../charts/chart79.xml"/><Relationship Id="rId11" Type="http://schemas.microsoft.com/office/2014/relationships/chartEx" Target="../charts/chartEx5.xml"/><Relationship Id="rId5" Type="http://schemas.openxmlformats.org/officeDocument/2006/relationships/chart" Target="../charts/chart78.xml"/><Relationship Id="rId10" Type="http://schemas.openxmlformats.org/officeDocument/2006/relationships/chart" Target="../charts/chart83.xml"/><Relationship Id="rId4" Type="http://schemas.openxmlformats.org/officeDocument/2006/relationships/chart" Target="../charts/chart77.xml"/><Relationship Id="rId9" Type="http://schemas.openxmlformats.org/officeDocument/2006/relationships/chart" Target="../charts/chart8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9.png"/><Relationship Id="rId7" Type="http://schemas.openxmlformats.org/officeDocument/2006/relationships/chart" Target="../charts/chart86.xml"/><Relationship Id="rId2" Type="http://schemas.openxmlformats.org/officeDocument/2006/relationships/image" Target="../media/image18.png"/><Relationship Id="rId1" Type="http://schemas.microsoft.com/office/2014/relationships/chartEx" Target="../charts/chartEx7.xml"/><Relationship Id="rId6" Type="http://schemas.openxmlformats.org/officeDocument/2006/relationships/chart" Target="../charts/chart85.xml"/><Relationship Id="rId5" Type="http://schemas.openxmlformats.org/officeDocument/2006/relationships/chart" Target="../charts/chart84.xml"/><Relationship Id="rId4" Type="http://schemas.openxmlformats.org/officeDocument/2006/relationships/image" Target="../media/image11.png"/><Relationship Id="rId9" Type="http://schemas.openxmlformats.org/officeDocument/2006/relationships/image" Target="../media/image21.png"/></Relationships>
</file>

<file path=xl/drawings/_rels/drawing23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openxmlformats.org/officeDocument/2006/relationships/chart" Target="../charts/chart92.xml"/><Relationship Id="rId18" Type="http://schemas.openxmlformats.org/officeDocument/2006/relationships/chart" Target="../charts/chart97.xml"/><Relationship Id="rId3" Type="http://schemas.openxmlformats.org/officeDocument/2006/relationships/image" Target="../media/image10.png"/><Relationship Id="rId7" Type="http://schemas.openxmlformats.org/officeDocument/2006/relationships/chart" Target="../charts/chart89.xml"/><Relationship Id="rId12" Type="http://schemas.openxmlformats.org/officeDocument/2006/relationships/chart" Target="../charts/chart91.xml"/><Relationship Id="rId17" Type="http://schemas.openxmlformats.org/officeDocument/2006/relationships/chart" Target="../charts/chart96.xml"/><Relationship Id="rId2" Type="http://schemas.openxmlformats.org/officeDocument/2006/relationships/image" Target="../media/image9.png"/><Relationship Id="rId16" Type="http://schemas.openxmlformats.org/officeDocument/2006/relationships/chart" Target="../charts/chart95.xml"/><Relationship Id="rId20" Type="http://schemas.openxmlformats.org/officeDocument/2006/relationships/image" Target="../media/image22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11" Type="http://schemas.openxmlformats.org/officeDocument/2006/relationships/chart" Target="../charts/chart90.xml"/><Relationship Id="rId5" Type="http://schemas.openxmlformats.org/officeDocument/2006/relationships/chart" Target="../charts/chart88.xml"/><Relationship Id="rId15" Type="http://schemas.openxmlformats.org/officeDocument/2006/relationships/chart" Target="../charts/chart94.xml"/><Relationship Id="rId10" Type="http://schemas.openxmlformats.org/officeDocument/2006/relationships/image" Target="../media/image12.png"/><Relationship Id="rId19" Type="http://schemas.openxmlformats.org/officeDocument/2006/relationships/chart" Target="../charts/chart98.xml"/><Relationship Id="rId4" Type="http://schemas.openxmlformats.org/officeDocument/2006/relationships/chart" Target="../charts/chart87.xml"/><Relationship Id="rId9" Type="http://schemas.microsoft.com/office/2014/relationships/chartEx" Target="../charts/chartEx9.xml"/><Relationship Id="rId14" Type="http://schemas.openxmlformats.org/officeDocument/2006/relationships/chart" Target="../charts/chart93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0.xml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chart" Target="../charts/chart99.xml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9" Type="http://schemas.openxmlformats.org/officeDocument/2006/relationships/chart" Target="../charts/chart101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4.xml"/><Relationship Id="rId2" Type="http://schemas.openxmlformats.org/officeDocument/2006/relationships/chart" Target="../charts/chart103.xml"/><Relationship Id="rId1" Type="http://schemas.openxmlformats.org/officeDocument/2006/relationships/chart" Target="../charts/chart102.xml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13" Type="http://schemas.openxmlformats.org/officeDocument/2006/relationships/image" Target="../media/image37.png"/><Relationship Id="rId3" Type="http://schemas.openxmlformats.org/officeDocument/2006/relationships/chart" Target="../charts/chart106.xml"/><Relationship Id="rId7" Type="http://schemas.openxmlformats.org/officeDocument/2006/relationships/image" Target="../media/image32.png"/><Relationship Id="rId12" Type="http://schemas.microsoft.com/office/2014/relationships/chartEx" Target="../charts/chartEx10.xml"/><Relationship Id="rId2" Type="http://schemas.openxmlformats.org/officeDocument/2006/relationships/image" Target="../media/image29.png"/><Relationship Id="rId1" Type="http://schemas.openxmlformats.org/officeDocument/2006/relationships/chart" Target="../charts/chart105.xml"/><Relationship Id="rId6" Type="http://schemas.openxmlformats.org/officeDocument/2006/relationships/chart" Target="../charts/chart107.xml"/><Relationship Id="rId11" Type="http://schemas.openxmlformats.org/officeDocument/2006/relationships/image" Target="../media/image36.png"/><Relationship Id="rId5" Type="http://schemas.openxmlformats.org/officeDocument/2006/relationships/image" Target="../media/image31.png"/><Relationship Id="rId10" Type="http://schemas.openxmlformats.org/officeDocument/2006/relationships/image" Target="../media/image35.png"/><Relationship Id="rId4" Type="http://schemas.openxmlformats.org/officeDocument/2006/relationships/image" Target="../media/image30.png"/><Relationship Id="rId9" Type="http://schemas.openxmlformats.org/officeDocument/2006/relationships/image" Target="../media/image34.png"/></Relationships>
</file>

<file path=xl/drawings/_rels/drawing30.xml.rels><?xml version="1.0" encoding="UTF-8" standalone="yes"?>
<Relationships xmlns="http://schemas.openxmlformats.org/package/2006/relationships"><Relationship Id="rId2" Type="http://schemas.microsoft.com/office/2014/relationships/chartEx" Target="../charts/chartEx11.xml"/><Relationship Id="rId1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428625</xdr:colOff>
      <xdr:row>1</xdr:row>
      <xdr:rowOff>47626</xdr:rowOff>
    </xdr:from>
    <xdr:to>
      <xdr:col>23</xdr:col>
      <xdr:colOff>114300</xdr:colOff>
      <xdr:row>27</xdr:row>
      <xdr:rowOff>104776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70B09C-8F7D-0AF3-1A78-6A084434F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76</xdr:col>
      <xdr:colOff>4444</xdr:colOff>
      <xdr:row>90</xdr:row>
      <xdr:rowOff>77471</xdr:rowOff>
    </xdr:from>
    <xdr:to>
      <xdr:col>91</xdr:col>
      <xdr:colOff>248099</xdr:colOff>
      <xdr:row>120</xdr:row>
      <xdr:rowOff>135261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ED31DF6-568A-460E-BA4F-08C38EF61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97274" y="17031971"/>
          <a:ext cx="12100377" cy="5500380"/>
        </a:xfrm>
        <a:prstGeom prst="rect">
          <a:avLst/>
        </a:prstGeom>
      </xdr:spPr>
    </xdr:pic>
    <xdr:clientData/>
  </xdr:twoCellAnchor>
  <xdr:twoCellAnchor editAs="oneCell">
    <xdr:from>
      <xdr:col>76</xdr:col>
      <xdr:colOff>152400</xdr:colOff>
      <xdr:row>59</xdr:row>
      <xdr:rowOff>93664</xdr:rowOff>
    </xdr:from>
    <xdr:to>
      <xdr:col>91</xdr:col>
      <xdr:colOff>17317</xdr:colOff>
      <xdr:row>91</xdr:row>
      <xdr:rowOff>83637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143425EF-33C8-4F97-80CA-7E910021B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91991" y="10986800"/>
          <a:ext cx="11814464" cy="5451104"/>
        </a:xfrm>
        <a:prstGeom prst="rect">
          <a:avLst/>
        </a:prstGeom>
      </xdr:spPr>
    </xdr:pic>
    <xdr:clientData/>
  </xdr:twoCellAnchor>
  <xdr:twoCellAnchor editAs="oneCell">
    <xdr:from>
      <xdr:col>122</xdr:col>
      <xdr:colOff>111694</xdr:colOff>
      <xdr:row>799</xdr:row>
      <xdr:rowOff>60960</xdr:rowOff>
    </xdr:from>
    <xdr:to>
      <xdr:col>138</xdr:col>
      <xdr:colOff>193945</xdr:colOff>
      <xdr:row>834</xdr:row>
      <xdr:rowOff>70014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187B66-ED62-4358-901A-062055D18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279094" y="121523760"/>
          <a:ext cx="12274250" cy="5346734"/>
        </a:xfrm>
        <a:prstGeom prst="rect">
          <a:avLst/>
        </a:prstGeom>
      </xdr:spPr>
    </xdr:pic>
    <xdr:clientData/>
  </xdr:twoCellAnchor>
  <xdr:oneCellAnchor>
    <xdr:from>
      <xdr:col>112</xdr:col>
      <xdr:colOff>300990</xdr:colOff>
      <xdr:row>868</xdr:row>
      <xdr:rowOff>104140</xdr:rowOff>
    </xdr:from>
    <xdr:ext cx="8627655" cy="9916159"/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E1E247-01F3-495D-85B8-33229662A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82</xdr:col>
      <xdr:colOff>511810</xdr:colOff>
      <xdr:row>866</xdr:row>
      <xdr:rowOff>91440</xdr:rowOff>
    </xdr:from>
    <xdr:to>
      <xdr:col>93</xdr:col>
      <xdr:colOff>106680</xdr:colOff>
      <xdr:row>896</xdr:row>
      <xdr:rowOff>105410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45FFBFC-0441-45CD-88A4-294948B67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129</xdr:col>
      <xdr:colOff>45026</xdr:colOff>
      <xdr:row>866</xdr:row>
      <xdr:rowOff>54725</xdr:rowOff>
    </xdr:from>
    <xdr:to>
      <xdr:col>141</xdr:col>
      <xdr:colOff>323173</xdr:colOff>
      <xdr:row>904</xdr:row>
      <xdr:rowOff>73822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EBC33AD-FECD-4F2C-BDA4-EC42154E88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8680" b="17802"/>
        <a:stretch/>
      </xdr:blipFill>
      <xdr:spPr>
        <a:xfrm>
          <a:off x="125546426" y="131423525"/>
          <a:ext cx="9422150" cy="5748435"/>
        </a:xfrm>
        <a:prstGeom prst="rect">
          <a:avLst/>
        </a:prstGeom>
      </xdr:spPr>
    </xdr:pic>
    <xdr:clientData/>
  </xdr:twoCellAnchor>
  <xdr:twoCellAnchor>
    <xdr:from>
      <xdr:col>91</xdr:col>
      <xdr:colOff>396240</xdr:colOff>
      <xdr:row>60</xdr:row>
      <xdr:rowOff>137160</xdr:rowOff>
    </xdr:from>
    <xdr:to>
      <xdr:col>100</xdr:col>
      <xdr:colOff>76200</xdr:colOff>
      <xdr:row>95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B04B311-F238-45E0-AA75-B8144C615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147</xdr:col>
      <xdr:colOff>152400</xdr:colOff>
      <xdr:row>801</xdr:row>
      <xdr:rowOff>2540</xdr:rowOff>
    </xdr:from>
    <xdr:to>
      <xdr:col>151</xdr:col>
      <xdr:colOff>10160</xdr:colOff>
      <xdr:row>834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9FEE4197-D5F0-4503-9C2F-2E9337A432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333200" y="153288365"/>
              <a:ext cx="2905760" cy="6334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139</xdr:col>
      <xdr:colOff>665480</xdr:colOff>
      <xdr:row>799</xdr:row>
      <xdr:rowOff>78740</xdr:rowOff>
    </xdr:from>
    <xdr:to>
      <xdr:col>145</xdr:col>
      <xdr:colOff>622300</xdr:colOff>
      <xdr:row>833</xdr:row>
      <xdr:rowOff>5080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D60198E1-20A7-43FE-890A-AAF3DA048A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50280" y="152983565"/>
              <a:ext cx="4528820" cy="6403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92</xdr:col>
      <xdr:colOff>161462</xdr:colOff>
      <xdr:row>37</xdr:row>
      <xdr:rowOff>50050</xdr:rowOff>
    </xdr:from>
    <xdr:to>
      <xdr:col>103</xdr:col>
      <xdr:colOff>743642</xdr:colOff>
      <xdr:row>59</xdr:row>
      <xdr:rowOff>132561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AE8099AC-A006-4298-BAE7-1AC8D9268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47235" y="7133186"/>
          <a:ext cx="9337559" cy="388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95</xdr:col>
      <xdr:colOff>281940</xdr:colOff>
      <xdr:row>865</xdr:row>
      <xdr:rowOff>41910</xdr:rowOff>
    </xdr:from>
    <xdr:to>
      <xdr:col>108</xdr:col>
      <xdr:colOff>133350</xdr:colOff>
      <xdr:row>905</xdr:row>
      <xdr:rowOff>76200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5D92BA0-AAD4-490E-BBEB-F053EA6D9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233</xdr:col>
      <xdr:colOff>365760</xdr:colOff>
      <xdr:row>681</xdr:row>
      <xdr:rowOff>45720</xdr:rowOff>
    </xdr:from>
    <xdr:to>
      <xdr:col>243</xdr:col>
      <xdr:colOff>240029</xdr:colOff>
      <xdr:row>754</xdr:row>
      <xdr:rowOff>25716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A82B396-237E-464A-9432-C7C211A4F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83</xdr:col>
      <xdr:colOff>175084</xdr:colOff>
      <xdr:row>795</xdr:row>
      <xdr:rowOff>20520</xdr:rowOff>
    </xdr:from>
    <xdr:ext cx="6480000" cy="8280000"/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9F12569-B6FC-4C6A-9FC1-BE5538447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92</xdr:col>
      <xdr:colOff>61566</xdr:colOff>
      <xdr:row>795</xdr:row>
      <xdr:rowOff>25977</xdr:rowOff>
    </xdr:from>
    <xdr:ext cx="6480000" cy="8280000"/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9CB58F7-0F67-48E7-914A-D887E64A3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110</xdr:col>
      <xdr:colOff>361950</xdr:colOff>
      <xdr:row>819</xdr:row>
      <xdr:rowOff>110491</xdr:rowOff>
    </xdr:from>
    <xdr:ext cx="6480000" cy="8280000"/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31BFD422-87CC-4358-8034-3E64A49AD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100</xdr:col>
      <xdr:colOff>647700</xdr:colOff>
      <xdr:row>795</xdr:row>
      <xdr:rowOff>19050</xdr:rowOff>
    </xdr:from>
    <xdr:ext cx="6553200" cy="8286750"/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6C11C9C1-6988-4937-9052-08453615A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110</xdr:col>
      <xdr:colOff>-1</xdr:colOff>
      <xdr:row>795</xdr:row>
      <xdr:rowOff>15239</xdr:rowOff>
    </xdr:from>
    <xdr:ext cx="6552000" cy="8352000"/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7ACFB08C-97A1-4687-B4E2-0E3CBAB27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twoCellAnchor>
    <xdr:from>
      <xdr:col>83</xdr:col>
      <xdr:colOff>589280</xdr:colOff>
      <xdr:row>143</xdr:row>
      <xdr:rowOff>25400</xdr:rowOff>
    </xdr:from>
    <xdr:to>
      <xdr:col>99</xdr:col>
      <xdr:colOff>203200</xdr:colOff>
      <xdr:row>208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925A6EB-48D2-409E-8573-84ECDE929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oneCellAnchor>
    <xdr:from>
      <xdr:col>25</xdr:col>
      <xdr:colOff>759230</xdr:colOff>
      <xdr:row>1020</xdr:row>
      <xdr:rowOff>74382</xdr:rowOff>
    </xdr:from>
    <xdr:ext cx="7810500" cy="9429750"/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655EFB4-4915-494F-BDA3-88034C5D6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31</xdr:col>
      <xdr:colOff>1120775</xdr:colOff>
      <xdr:row>1020</xdr:row>
      <xdr:rowOff>78425</xdr:rowOff>
    </xdr:from>
    <xdr:ext cx="7187045" cy="9417392"/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3C50BB9-C161-4694-837C-98A8405B7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19</xdr:col>
      <xdr:colOff>650125</xdr:colOff>
      <xdr:row>1020</xdr:row>
      <xdr:rowOff>184700</xdr:rowOff>
    </xdr:from>
    <xdr:ext cx="7269828" cy="9459536"/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D65F0CE-5776-4F2A-93A2-2EB2C7B25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twoCellAnchor>
    <xdr:from>
      <xdr:col>36</xdr:col>
      <xdr:colOff>1437409</xdr:colOff>
      <xdr:row>1020</xdr:row>
      <xdr:rowOff>71957</xdr:rowOff>
    </xdr:from>
    <xdr:to>
      <xdr:col>44</xdr:col>
      <xdr:colOff>70572</xdr:colOff>
      <xdr:row>1082</xdr:row>
      <xdr:rowOff>134474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B644395-68B9-4097-BB15-AAA648108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39</xdr:col>
      <xdr:colOff>1140831</xdr:colOff>
      <xdr:row>1044</xdr:row>
      <xdr:rowOff>170414</xdr:rowOff>
    </xdr:from>
    <xdr:to>
      <xdr:col>44</xdr:col>
      <xdr:colOff>109437</xdr:colOff>
      <xdr:row>1048</xdr:row>
      <xdr:rowOff>188162</xdr:rowOff>
    </xdr:to>
    <xdr:sp macro="" textlink="">
      <xdr:nvSpPr>
        <xdr:cNvPr id="16" name="CaixaDeTexto 9">
          <a:extLst>
            <a:ext uri="{FF2B5EF4-FFF2-40B4-BE49-F238E27FC236}">
              <a16:creationId xmlns:a16="http://schemas.microsoft.com/office/drawing/2014/main" id="{37AC4E27-B20A-CAE8-CBC4-C243C0E4AD01}"/>
            </a:ext>
          </a:extLst>
        </xdr:cNvPr>
        <xdr:cNvSpPr txBox="1"/>
      </xdr:nvSpPr>
      <xdr:spPr>
        <a:xfrm rot="2637867">
          <a:off x="48308631" y="199776314"/>
          <a:ext cx="4188306" cy="779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4400" b="1" kern="1200"/>
            <a:t>BLASTING</a:t>
          </a:r>
        </a:p>
      </xdr:txBody>
    </xdr:sp>
    <xdr:clientData/>
  </xdr:twoCellAnchor>
  <xdr:twoCellAnchor>
    <xdr:from>
      <xdr:col>39</xdr:col>
      <xdr:colOff>599208</xdr:colOff>
      <xdr:row>1065</xdr:row>
      <xdr:rowOff>10132</xdr:rowOff>
    </xdr:from>
    <xdr:to>
      <xdr:col>42</xdr:col>
      <xdr:colOff>756423</xdr:colOff>
      <xdr:row>1072</xdr:row>
      <xdr:rowOff>159150</xdr:rowOff>
    </xdr:to>
    <xdr:sp macro="" textlink="">
      <xdr:nvSpPr>
        <xdr:cNvPr id="19" name="CaixaDeTexto 10">
          <a:extLst>
            <a:ext uri="{FF2B5EF4-FFF2-40B4-BE49-F238E27FC236}">
              <a16:creationId xmlns:a16="http://schemas.microsoft.com/office/drawing/2014/main" id="{18E68D03-C906-3ABE-7445-20C465E7DEB5}"/>
            </a:ext>
          </a:extLst>
        </xdr:cNvPr>
        <xdr:cNvSpPr txBox="1"/>
      </xdr:nvSpPr>
      <xdr:spPr>
        <a:xfrm rot="2637867">
          <a:off x="47767008" y="203616532"/>
          <a:ext cx="3357615" cy="1482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4400" b="1" kern="1200"/>
            <a:t>RIPPING/PRE-BLASTING</a:t>
          </a:r>
        </a:p>
      </xdr:txBody>
    </xdr:sp>
    <xdr:clientData/>
  </xdr:twoCellAnchor>
  <xdr:twoCellAnchor>
    <xdr:from>
      <xdr:col>37</xdr:col>
      <xdr:colOff>1193980</xdr:colOff>
      <xdr:row>1073</xdr:row>
      <xdr:rowOff>147298</xdr:rowOff>
    </xdr:from>
    <xdr:to>
      <xdr:col>40</xdr:col>
      <xdr:colOff>408523</xdr:colOff>
      <xdr:row>1077</xdr:row>
      <xdr:rowOff>166409</xdr:rowOff>
    </xdr:to>
    <xdr:sp macro="" textlink="">
      <xdr:nvSpPr>
        <xdr:cNvPr id="21" name="CaixaDeTexto 11">
          <a:extLst>
            <a:ext uri="{FF2B5EF4-FFF2-40B4-BE49-F238E27FC236}">
              <a16:creationId xmlns:a16="http://schemas.microsoft.com/office/drawing/2014/main" id="{605C6A7B-6C00-EFF8-DF24-F6A238E6714E}"/>
            </a:ext>
          </a:extLst>
        </xdr:cNvPr>
        <xdr:cNvSpPr txBox="1"/>
      </xdr:nvSpPr>
      <xdr:spPr>
        <a:xfrm rot="2637867">
          <a:off x="45923380" y="205277698"/>
          <a:ext cx="2948343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4400" b="1" kern="1200"/>
            <a:t>DIGGING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0.40292</cdr:x>
      <cdr:y>0.17073</cdr:y>
    </cdr:from>
    <cdr:to>
      <cdr:x>0.96352</cdr:x>
      <cdr:y>0.73982</cdr:y>
    </cdr:to>
    <cdr:sp macro="" textlink="">
      <cdr:nvSpPr>
        <cdr:cNvPr id="18" name="Forma Livre: Forma 17">
          <a:extLst xmlns:a="http://schemas.openxmlformats.org/drawingml/2006/main">
            <a:ext uri="{FF2B5EF4-FFF2-40B4-BE49-F238E27FC236}">
              <a16:creationId xmlns:a16="http://schemas.microsoft.com/office/drawing/2014/main" id="{14291726-13B0-50C2-F4A4-1876627CFC84}"/>
            </a:ext>
          </a:extLst>
        </cdr:cNvPr>
        <cdr:cNvSpPr/>
      </cdr:nvSpPr>
      <cdr:spPr>
        <a:xfrm xmlns:a="http://schemas.openxmlformats.org/drawingml/2006/main">
          <a:off x="4741528" y="1920318"/>
          <a:ext cx="6597032" cy="6400722"/>
        </a:xfrm>
        <a:custGeom xmlns:a="http://schemas.openxmlformats.org/drawingml/2006/main">
          <a:avLst/>
          <a:gdLst>
            <a:gd name="connsiteX0" fmla="*/ 0 w 4073236"/>
            <a:gd name="connsiteY0" fmla="*/ 0 h 3769943"/>
            <a:gd name="connsiteX1" fmla="*/ 235527 w 4073236"/>
            <a:gd name="connsiteY1" fmla="*/ 900545 h 3769943"/>
            <a:gd name="connsiteX2" fmla="*/ 706581 w 4073236"/>
            <a:gd name="connsiteY2" fmla="*/ 2036618 h 3769943"/>
            <a:gd name="connsiteX3" fmla="*/ 1468581 w 4073236"/>
            <a:gd name="connsiteY3" fmla="*/ 3103418 h 3769943"/>
            <a:gd name="connsiteX4" fmla="*/ 2757054 w 4073236"/>
            <a:gd name="connsiteY4" fmla="*/ 3685309 h 3769943"/>
            <a:gd name="connsiteX5" fmla="*/ 4073236 w 4073236"/>
            <a:gd name="connsiteY5" fmla="*/ 3754582 h 3769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073236" h="3769943">
              <a:moveTo>
                <a:pt x="0" y="0"/>
              </a:moveTo>
              <a:cubicBezTo>
                <a:pt x="58882" y="280554"/>
                <a:pt x="117764" y="561109"/>
                <a:pt x="235527" y="900545"/>
              </a:cubicBezTo>
              <a:cubicBezTo>
                <a:pt x="353291" y="1239981"/>
                <a:pt x="501072" y="1669473"/>
                <a:pt x="706581" y="2036618"/>
              </a:cubicBezTo>
              <a:cubicBezTo>
                <a:pt x="912090" y="2403764"/>
                <a:pt x="1126836" y="2828636"/>
                <a:pt x="1468581" y="3103418"/>
              </a:cubicBezTo>
              <a:cubicBezTo>
                <a:pt x="1810326" y="3378200"/>
                <a:pt x="2322945" y="3576782"/>
                <a:pt x="2757054" y="3685309"/>
              </a:cubicBezTo>
              <a:cubicBezTo>
                <a:pt x="3191163" y="3793836"/>
                <a:pt x="3632199" y="3774209"/>
                <a:pt x="4073236" y="3754582"/>
              </a:cubicBezTo>
            </a:path>
          </a:pathLst>
        </a:custGeom>
        <a:noFill xmlns:a="http://schemas.openxmlformats.org/drawingml/2006/main"/>
        <a:ln xmlns:a="http://schemas.openxmlformats.org/drawingml/2006/main" w="6350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0.32243</cdr:x>
      <cdr:y>0.1664</cdr:y>
    </cdr:from>
    <cdr:to>
      <cdr:x>0.80934</cdr:x>
      <cdr:y>0.97279</cdr:y>
    </cdr:to>
    <cdr:sp macro="" textlink="">
      <cdr:nvSpPr>
        <cdr:cNvPr id="17" name="Forma Livre: Forma 16">
          <a:extLst xmlns:a="http://schemas.openxmlformats.org/drawingml/2006/main">
            <a:ext uri="{FF2B5EF4-FFF2-40B4-BE49-F238E27FC236}">
              <a16:creationId xmlns:a16="http://schemas.microsoft.com/office/drawing/2014/main" id="{6D7CBAF6-E463-2A80-1D11-56C91B49F672}"/>
            </a:ext>
          </a:extLst>
        </cdr:cNvPr>
        <cdr:cNvSpPr/>
      </cdr:nvSpPr>
      <cdr:spPr>
        <a:xfrm xmlns:a="http://schemas.openxmlformats.org/drawingml/2006/main">
          <a:off x="3794257" y="1948864"/>
          <a:ext cx="5729869" cy="9444584"/>
        </a:xfrm>
        <a:custGeom xmlns:a="http://schemas.openxmlformats.org/drawingml/2006/main">
          <a:avLst/>
          <a:gdLst>
            <a:gd name="connsiteX0" fmla="*/ 0 w 4128655"/>
            <a:gd name="connsiteY0" fmla="*/ 0 h 5597236"/>
            <a:gd name="connsiteX1" fmla="*/ 332510 w 4128655"/>
            <a:gd name="connsiteY1" fmla="*/ 2022763 h 5597236"/>
            <a:gd name="connsiteX2" fmla="*/ 831273 w 4128655"/>
            <a:gd name="connsiteY2" fmla="*/ 3574472 h 5597236"/>
            <a:gd name="connsiteX3" fmla="*/ 1662546 w 4128655"/>
            <a:gd name="connsiteY3" fmla="*/ 4682836 h 5597236"/>
            <a:gd name="connsiteX4" fmla="*/ 2784764 w 4128655"/>
            <a:gd name="connsiteY4" fmla="*/ 5306291 h 5597236"/>
            <a:gd name="connsiteX5" fmla="*/ 4128655 w 4128655"/>
            <a:gd name="connsiteY5" fmla="*/ 5597236 h 55972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28655" h="5597236">
              <a:moveTo>
                <a:pt x="0" y="0"/>
              </a:moveTo>
              <a:cubicBezTo>
                <a:pt x="96982" y="713509"/>
                <a:pt x="193965" y="1427018"/>
                <a:pt x="332510" y="2022763"/>
              </a:cubicBezTo>
              <a:cubicBezTo>
                <a:pt x="471055" y="2618508"/>
                <a:pt x="609600" y="3131127"/>
                <a:pt x="831273" y="3574472"/>
              </a:cubicBezTo>
              <a:cubicBezTo>
                <a:pt x="1052946" y="4017817"/>
                <a:pt x="1336964" y="4394199"/>
                <a:pt x="1662546" y="4682836"/>
              </a:cubicBezTo>
              <a:cubicBezTo>
                <a:pt x="1988128" y="4971473"/>
                <a:pt x="2373746" y="5153891"/>
                <a:pt x="2784764" y="5306291"/>
              </a:cubicBezTo>
              <a:cubicBezTo>
                <a:pt x="3195782" y="5458691"/>
                <a:pt x="3918528" y="5546436"/>
                <a:pt x="4128655" y="5597236"/>
              </a:cubicBezTo>
            </a:path>
          </a:pathLst>
        </a:cu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85445</xdr:colOff>
      <xdr:row>2</xdr:row>
      <xdr:rowOff>18210</xdr:rowOff>
    </xdr:from>
    <xdr:ext cx="7810500" cy="9429750"/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2E091D-1C9E-45F4-9BEB-C2C342053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16</xdr:col>
      <xdr:colOff>259772</xdr:colOff>
      <xdr:row>1</xdr:row>
      <xdr:rowOff>1</xdr:rowOff>
    </xdr:from>
    <xdr:to>
      <xdr:col>29</xdr:col>
      <xdr:colOff>185529</xdr:colOff>
      <xdr:row>30</xdr:row>
      <xdr:rowOff>173183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CD310C-8ECC-F9C6-68CC-C35741BAE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80863" y="190501"/>
          <a:ext cx="7580393" cy="56976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382905</xdr:colOff>
      <xdr:row>5</xdr:row>
      <xdr:rowOff>112395</xdr:rowOff>
    </xdr:from>
    <xdr:to>
      <xdr:col>23</xdr:col>
      <xdr:colOff>531495</xdr:colOff>
      <xdr:row>61</xdr:row>
      <xdr:rowOff>6985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D24019-5FF1-4EAD-9E4D-155678594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47595</xdr:colOff>
      <xdr:row>5</xdr:row>
      <xdr:rowOff>173269</xdr:rowOff>
    </xdr:from>
    <xdr:to>
      <xdr:col>45</xdr:col>
      <xdr:colOff>191740</xdr:colOff>
      <xdr:row>61</xdr:row>
      <xdr:rowOff>83272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1CC7C0-1148-47F0-9982-68A413B53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545856</xdr:colOff>
      <xdr:row>63</xdr:row>
      <xdr:rowOff>76200</xdr:rowOff>
    </xdr:from>
    <xdr:to>
      <xdr:col>45</xdr:col>
      <xdr:colOff>105752</xdr:colOff>
      <xdr:row>118</xdr:row>
      <xdr:rowOff>180513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F01BA9-525D-48D5-A1AB-1AFAC8111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357187</xdr:colOff>
      <xdr:row>63</xdr:row>
      <xdr:rowOff>71438</xdr:rowOff>
    </xdr:from>
    <xdr:to>
      <xdr:col>23</xdr:col>
      <xdr:colOff>505777</xdr:colOff>
      <xdr:row>118</xdr:row>
      <xdr:rowOff>160338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8BBAA33-3A63-4DF4-AEAA-A75626D46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624841</xdr:colOff>
      <xdr:row>1</xdr:row>
      <xdr:rowOff>33020</xdr:rowOff>
    </xdr:from>
    <xdr:to>
      <xdr:col>81</xdr:col>
      <xdr:colOff>214681</xdr:colOff>
      <xdr:row>32</xdr:row>
      <xdr:rowOff>51260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C6CCBB8-D5BF-F689-2284-F87661B6D5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69766" y="223520"/>
              <a:ext cx="4523790" cy="7238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88</xdr:col>
      <xdr:colOff>23784</xdr:colOff>
      <xdr:row>1</xdr:row>
      <xdr:rowOff>368300</xdr:rowOff>
    </xdr:from>
    <xdr:to>
      <xdr:col>99</xdr:col>
      <xdr:colOff>533400</xdr:colOff>
      <xdr:row>30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9CF005-0300-DA01-8C21-2B0943FC5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72</xdr:col>
      <xdr:colOff>497840</xdr:colOff>
      <xdr:row>65</xdr:row>
      <xdr:rowOff>172720</xdr:rowOff>
    </xdr:from>
    <xdr:to>
      <xdr:col>94</xdr:col>
      <xdr:colOff>191770</xdr:colOff>
      <xdr:row>136</xdr:row>
      <xdr:rowOff>22860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736973D-A430-488C-9EC9-D8757E9B4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92</xdr:col>
      <xdr:colOff>45720</xdr:colOff>
      <xdr:row>65</xdr:row>
      <xdr:rowOff>101600</xdr:rowOff>
    </xdr:from>
    <xdr:to>
      <xdr:col>110</xdr:col>
      <xdr:colOff>464185</xdr:colOff>
      <xdr:row>120</xdr:row>
      <xdr:rowOff>125520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6064ED0-D5FE-C2CD-9B86-792B51BBF6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2594" b="11773"/>
        <a:stretch/>
      </xdr:blipFill>
      <xdr:spPr>
        <a:xfrm>
          <a:off x="63901320" y="13792200"/>
          <a:ext cx="11389360" cy="9842578"/>
        </a:xfrm>
        <a:prstGeom prst="rect">
          <a:avLst/>
        </a:prstGeom>
      </xdr:spPr>
    </xdr:pic>
    <xdr:clientData/>
  </xdr:twoCellAnchor>
  <xdr:twoCellAnchor>
    <xdr:from>
      <xdr:col>97</xdr:col>
      <xdr:colOff>88731</xdr:colOff>
      <xdr:row>66</xdr:row>
      <xdr:rowOff>15240</xdr:rowOff>
    </xdr:from>
    <xdr:to>
      <xdr:col>104</xdr:col>
      <xdr:colOff>579121</xdr:colOff>
      <xdr:row>71</xdr:row>
      <xdr:rowOff>63869</xdr:rowOff>
    </xdr:to>
    <xdr:sp macro="" textlink="">
      <xdr:nvSpPr>
        <xdr:cNvPr id="9" name="CaixaDeTexto 6">
          <a:extLst>
            <a:ext uri="{FF2B5EF4-FFF2-40B4-BE49-F238E27FC236}">
              <a16:creationId xmlns:a16="http://schemas.microsoft.com/office/drawing/2014/main" id="{907EE2CA-8DF0-56FA-6577-5AEE23CC225B}"/>
            </a:ext>
          </a:extLst>
        </xdr:cNvPr>
        <xdr:cNvSpPr txBox="1"/>
      </xdr:nvSpPr>
      <xdr:spPr>
        <a:xfrm>
          <a:off x="66992331" y="13883640"/>
          <a:ext cx="4757590" cy="937629"/>
        </a:xfrm>
        <a:prstGeom prst="rect">
          <a:avLst/>
        </a:prstGeom>
        <a:solidFill>
          <a:srgbClr val="EEDFAA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5400" b="1" kern="1200">
              <a:solidFill>
                <a:schemeClr val="tx1"/>
              </a:solidFill>
            </a:rPr>
            <a:t>LITHOLOGY 40</a:t>
          </a:r>
        </a:p>
      </xdr:txBody>
    </xdr:sp>
    <xdr:clientData/>
  </xdr:twoCellAnchor>
  <xdr:twoCellAnchor>
    <xdr:from>
      <xdr:col>101</xdr:col>
      <xdr:colOff>152400</xdr:colOff>
      <xdr:row>23</xdr:row>
      <xdr:rowOff>0</xdr:rowOff>
    </xdr:from>
    <xdr:to>
      <xdr:col>113</xdr:col>
      <xdr:colOff>52416</xdr:colOff>
      <xdr:row>55</xdr:row>
      <xdr:rowOff>107950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8271AC-CA6A-41CF-B8B1-B7EA7E143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113</xdr:col>
      <xdr:colOff>377190</xdr:colOff>
      <xdr:row>23</xdr:row>
      <xdr:rowOff>22860</xdr:rowOff>
    </xdr:from>
    <xdr:to>
      <xdr:col>125</xdr:col>
      <xdr:colOff>277206</xdr:colOff>
      <xdr:row>55</xdr:row>
      <xdr:rowOff>130810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8E63DF3-AB3B-4A2C-AA49-FA73C0EEB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125</xdr:col>
      <xdr:colOff>582930</xdr:colOff>
      <xdr:row>23</xdr:row>
      <xdr:rowOff>15240</xdr:rowOff>
    </xdr:from>
    <xdr:to>
      <xdr:col>137</xdr:col>
      <xdr:colOff>482946</xdr:colOff>
      <xdr:row>55</xdr:row>
      <xdr:rowOff>123190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4059C2D-2CD1-4959-9F04-66017C108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138</xdr:col>
      <xdr:colOff>271895</xdr:colOff>
      <xdr:row>23</xdr:row>
      <xdr:rowOff>50223</xdr:rowOff>
    </xdr:from>
    <xdr:to>
      <xdr:col>150</xdr:col>
      <xdr:colOff>171911</xdr:colOff>
      <xdr:row>55</xdr:row>
      <xdr:rowOff>158173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91D9D4A-1161-4D5F-B7FA-91E959F94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150</xdr:col>
      <xdr:colOff>495300</xdr:colOff>
      <xdr:row>23</xdr:row>
      <xdr:rowOff>76200</xdr:rowOff>
    </xdr:from>
    <xdr:to>
      <xdr:col>162</xdr:col>
      <xdr:colOff>395316</xdr:colOff>
      <xdr:row>55</xdr:row>
      <xdr:rowOff>184150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8D5AACF-B7A0-47CC-93A2-80E689258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163</xdr:col>
      <xdr:colOff>495300</xdr:colOff>
      <xdr:row>23</xdr:row>
      <xdr:rowOff>19050</xdr:rowOff>
    </xdr:from>
    <xdr:to>
      <xdr:col>175</xdr:col>
      <xdr:colOff>395316</xdr:colOff>
      <xdr:row>55</xdr:row>
      <xdr:rowOff>127000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B641364-E6E4-4D74-A12C-BC3F50F7C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110</xdr:col>
      <xdr:colOff>472440</xdr:colOff>
      <xdr:row>65</xdr:row>
      <xdr:rowOff>99060</xdr:rowOff>
    </xdr:from>
    <xdr:to>
      <xdr:col>132</xdr:col>
      <xdr:colOff>377190</xdr:colOff>
      <xdr:row>135</xdr:row>
      <xdr:rowOff>127000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EB25B78-D837-4B8C-8D5B-920C5164E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81</xdr:col>
      <xdr:colOff>330200</xdr:colOff>
      <xdr:row>76</xdr:row>
      <xdr:rowOff>25400</xdr:rowOff>
    </xdr:from>
    <xdr:to>
      <xdr:col>90</xdr:col>
      <xdr:colOff>0</xdr:colOff>
      <xdr:row>104</xdr:row>
      <xdr:rowOff>25400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0AB7B37B-6B2F-F777-E10F-FC861A120784}"/>
            </a:ext>
          </a:extLst>
        </xdr:cNvPr>
        <xdr:cNvSpPr/>
      </xdr:nvSpPr>
      <xdr:spPr>
        <a:xfrm>
          <a:off x="57480200" y="15671800"/>
          <a:ext cx="5156200" cy="4978400"/>
        </a:xfrm>
        <a:prstGeom prst="ellipse">
          <a:avLst/>
        </a:prstGeom>
        <a:noFill/>
        <a:ln w="38100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82</xdr:col>
      <xdr:colOff>406400</xdr:colOff>
      <xdr:row>85</xdr:row>
      <xdr:rowOff>127000</xdr:rowOff>
    </xdr:from>
    <xdr:ext cx="3882922" cy="781111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A82149F3-621D-65C8-C375-27A0627D3E34}"/>
            </a:ext>
          </a:extLst>
        </xdr:cNvPr>
        <xdr:cNvSpPr txBox="1"/>
      </xdr:nvSpPr>
      <xdr:spPr>
        <a:xfrm>
          <a:off x="58166000" y="17373600"/>
          <a:ext cx="3882922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4400" b="0" i="1" kern="1200">
              <a:solidFill>
                <a:schemeClr val="accent2"/>
              </a:solidFill>
            </a:rPr>
            <a:t>Need more data</a:t>
          </a:r>
        </a:p>
      </xdr:txBody>
    </xdr:sp>
    <xdr:clientData/>
  </xdr:oneCellAnchor>
  <xdr:twoCellAnchor editAs="oneCell">
    <xdr:from>
      <xdr:col>91</xdr:col>
      <xdr:colOff>579120</xdr:colOff>
      <xdr:row>120</xdr:row>
      <xdr:rowOff>101600</xdr:rowOff>
    </xdr:from>
    <xdr:to>
      <xdr:col>110</xdr:col>
      <xdr:colOff>478271</xdr:colOff>
      <xdr:row>140</xdr:row>
      <xdr:rowOff>1726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34E35C89-FE3F-FBCD-54FF-7DA34B77F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622957" y="24081273"/>
          <a:ext cx="11426267" cy="3622751"/>
        </a:xfrm>
        <a:prstGeom prst="rect">
          <a:avLst/>
        </a:prstGeom>
      </xdr:spPr>
    </xdr:pic>
    <xdr:clientData/>
  </xdr:twoCellAnchor>
  <xdr:twoCellAnchor>
    <xdr:from>
      <xdr:col>89</xdr:col>
      <xdr:colOff>38100</xdr:colOff>
      <xdr:row>87</xdr:row>
      <xdr:rowOff>95250</xdr:rowOff>
    </xdr:from>
    <xdr:to>
      <xdr:col>95</xdr:col>
      <xdr:colOff>285750</xdr:colOff>
      <xdr:row>87</xdr:row>
      <xdr:rowOff>133350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CFD0006B-AE9F-8EF4-C38C-5398349E04BF}"/>
            </a:ext>
          </a:extLst>
        </xdr:cNvPr>
        <xdr:cNvCxnSpPr/>
      </xdr:nvCxnSpPr>
      <xdr:spPr>
        <a:xfrm flipV="1">
          <a:off x="62007750" y="18154650"/>
          <a:ext cx="3905250" cy="38100"/>
        </a:xfrm>
        <a:prstGeom prst="straightConnector1">
          <a:avLst/>
        </a:prstGeom>
        <a:ln w="762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43543</xdr:colOff>
      <xdr:row>64</xdr:row>
      <xdr:rowOff>0</xdr:rowOff>
    </xdr:from>
    <xdr:to>
      <xdr:col>162</xdr:col>
      <xdr:colOff>553159</xdr:colOff>
      <xdr:row>96</xdr:row>
      <xdr:rowOff>107950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357E3A1-29A1-42F9-BC17-F4424CC7B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151</xdr:col>
      <xdr:colOff>0</xdr:colOff>
      <xdr:row>101</xdr:row>
      <xdr:rowOff>0</xdr:rowOff>
    </xdr:from>
    <xdr:to>
      <xdr:col>162</xdr:col>
      <xdr:colOff>509616</xdr:colOff>
      <xdr:row>133</xdr:row>
      <xdr:rowOff>107950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7235E94-7C65-4C65-A513-AC27E80D4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85</xdr:col>
      <xdr:colOff>489412</xdr:colOff>
      <xdr:row>35</xdr:row>
      <xdr:rowOff>68754</xdr:rowOff>
    </xdr:from>
    <xdr:to>
      <xdr:col>94</xdr:col>
      <xdr:colOff>437283</xdr:colOff>
      <xdr:row>65</xdr:row>
      <xdr:rowOff>55766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29742F-5CCD-FAEF-732B-B5F131651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0.50157</cdr:x>
      <cdr:y>0.17242</cdr:y>
    </cdr:from>
    <cdr:to>
      <cdr:x>0.96328</cdr:x>
      <cdr:y>0.72898</cdr:y>
    </cdr:to>
    <cdr:sp macro="" textlink="">
      <cdr:nvSpPr>
        <cdr:cNvPr id="18" name="Forma Livre: Forma 17">
          <a:extLst xmlns:a="http://schemas.openxmlformats.org/drawingml/2006/main">
            <a:ext uri="{FF2B5EF4-FFF2-40B4-BE49-F238E27FC236}">
              <a16:creationId xmlns:a16="http://schemas.microsoft.com/office/drawing/2014/main" id="{14291726-13B0-50C2-F4A4-1876627CFC84}"/>
            </a:ext>
          </a:extLst>
        </cdr:cNvPr>
        <cdr:cNvSpPr/>
      </cdr:nvSpPr>
      <cdr:spPr>
        <a:xfrm xmlns:a="http://schemas.openxmlformats.org/drawingml/2006/main">
          <a:off x="6678881" y="2150757"/>
          <a:ext cx="6148119" cy="6942443"/>
        </a:xfrm>
        <a:custGeom xmlns:a="http://schemas.openxmlformats.org/drawingml/2006/main">
          <a:avLst/>
          <a:gdLst>
            <a:gd name="connsiteX0" fmla="*/ 0 w 4073236"/>
            <a:gd name="connsiteY0" fmla="*/ 0 h 3769943"/>
            <a:gd name="connsiteX1" fmla="*/ 235527 w 4073236"/>
            <a:gd name="connsiteY1" fmla="*/ 900545 h 3769943"/>
            <a:gd name="connsiteX2" fmla="*/ 706581 w 4073236"/>
            <a:gd name="connsiteY2" fmla="*/ 2036618 h 3769943"/>
            <a:gd name="connsiteX3" fmla="*/ 1468581 w 4073236"/>
            <a:gd name="connsiteY3" fmla="*/ 3103418 h 3769943"/>
            <a:gd name="connsiteX4" fmla="*/ 2757054 w 4073236"/>
            <a:gd name="connsiteY4" fmla="*/ 3685309 h 3769943"/>
            <a:gd name="connsiteX5" fmla="*/ 4073236 w 4073236"/>
            <a:gd name="connsiteY5" fmla="*/ 3754582 h 3769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073236" h="3769943">
              <a:moveTo>
                <a:pt x="0" y="0"/>
              </a:moveTo>
              <a:cubicBezTo>
                <a:pt x="58882" y="280554"/>
                <a:pt x="117764" y="561109"/>
                <a:pt x="235527" y="900545"/>
              </a:cubicBezTo>
              <a:cubicBezTo>
                <a:pt x="353291" y="1239981"/>
                <a:pt x="501072" y="1669473"/>
                <a:pt x="706581" y="2036618"/>
              </a:cubicBezTo>
              <a:cubicBezTo>
                <a:pt x="912090" y="2403764"/>
                <a:pt x="1126836" y="2828636"/>
                <a:pt x="1468581" y="3103418"/>
              </a:cubicBezTo>
              <a:cubicBezTo>
                <a:pt x="1810326" y="3378200"/>
                <a:pt x="2322945" y="3576782"/>
                <a:pt x="2757054" y="3685309"/>
              </a:cubicBezTo>
              <a:cubicBezTo>
                <a:pt x="3191163" y="3793836"/>
                <a:pt x="3632199" y="3774209"/>
                <a:pt x="4073236" y="3754582"/>
              </a:cubicBezTo>
            </a:path>
          </a:pathLst>
        </a:custGeom>
        <a:noFill xmlns:a="http://schemas.openxmlformats.org/drawingml/2006/main"/>
        <a:ln xmlns:a="http://schemas.openxmlformats.org/drawingml/2006/main" w="6350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0.39027</cdr:x>
      <cdr:y>0.16567</cdr:y>
    </cdr:from>
    <cdr:to>
      <cdr:x>0.85027</cdr:x>
      <cdr:y>0.97206</cdr:y>
    </cdr:to>
    <cdr:sp macro="" textlink="">
      <cdr:nvSpPr>
        <cdr:cNvPr id="17" name="Forma Livre: Forma 16">
          <a:extLst xmlns:a="http://schemas.openxmlformats.org/drawingml/2006/main">
            <a:ext uri="{FF2B5EF4-FFF2-40B4-BE49-F238E27FC236}">
              <a16:creationId xmlns:a16="http://schemas.microsoft.com/office/drawing/2014/main" id="{6D7CBAF6-E463-2A80-1D11-56C91B49F672}"/>
            </a:ext>
          </a:extLst>
        </cdr:cNvPr>
        <cdr:cNvSpPr/>
      </cdr:nvSpPr>
      <cdr:spPr>
        <a:xfrm xmlns:a="http://schemas.openxmlformats.org/drawingml/2006/main">
          <a:off x="4564665" y="1217063"/>
          <a:ext cx="5380162" cy="5924021"/>
        </a:xfrm>
        <a:custGeom xmlns:a="http://schemas.openxmlformats.org/drawingml/2006/main">
          <a:avLst/>
          <a:gdLst>
            <a:gd name="connsiteX0" fmla="*/ 0 w 4128655"/>
            <a:gd name="connsiteY0" fmla="*/ 0 h 5597236"/>
            <a:gd name="connsiteX1" fmla="*/ 332510 w 4128655"/>
            <a:gd name="connsiteY1" fmla="*/ 2022763 h 5597236"/>
            <a:gd name="connsiteX2" fmla="*/ 831273 w 4128655"/>
            <a:gd name="connsiteY2" fmla="*/ 3574472 h 5597236"/>
            <a:gd name="connsiteX3" fmla="*/ 1662546 w 4128655"/>
            <a:gd name="connsiteY3" fmla="*/ 4682836 h 5597236"/>
            <a:gd name="connsiteX4" fmla="*/ 2784764 w 4128655"/>
            <a:gd name="connsiteY4" fmla="*/ 5306291 h 5597236"/>
            <a:gd name="connsiteX5" fmla="*/ 4128655 w 4128655"/>
            <a:gd name="connsiteY5" fmla="*/ 5597236 h 55972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28655" h="5597236">
              <a:moveTo>
                <a:pt x="0" y="0"/>
              </a:moveTo>
              <a:cubicBezTo>
                <a:pt x="96982" y="713509"/>
                <a:pt x="193965" y="1427018"/>
                <a:pt x="332510" y="2022763"/>
              </a:cubicBezTo>
              <a:cubicBezTo>
                <a:pt x="471055" y="2618508"/>
                <a:pt x="609600" y="3131127"/>
                <a:pt x="831273" y="3574472"/>
              </a:cubicBezTo>
              <a:cubicBezTo>
                <a:pt x="1052946" y="4017817"/>
                <a:pt x="1336964" y="4394199"/>
                <a:pt x="1662546" y="4682836"/>
              </a:cubicBezTo>
              <a:cubicBezTo>
                <a:pt x="1988128" y="4971473"/>
                <a:pt x="2373746" y="5153891"/>
                <a:pt x="2784764" y="5306291"/>
              </a:cubicBezTo>
              <a:cubicBezTo>
                <a:pt x="3195782" y="5458691"/>
                <a:pt x="3918528" y="5546436"/>
                <a:pt x="4128655" y="5597236"/>
              </a:cubicBezTo>
            </a:path>
          </a:pathLst>
        </a:cu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0.66738</cdr:x>
      <cdr:y>0.45571</cdr:y>
    </cdr:from>
    <cdr:to>
      <cdr:x>0.85539</cdr:x>
      <cdr:y>0.51417</cdr:y>
    </cdr:to>
    <cdr:sp macro="" textlink="">
      <cdr:nvSpPr>
        <cdr:cNvPr id="2" name="CaixaDeTexto 5">
          <a:extLst xmlns:a="http://schemas.openxmlformats.org/drawingml/2006/main">
            <a:ext uri="{FF2B5EF4-FFF2-40B4-BE49-F238E27FC236}">
              <a16:creationId xmlns:a16="http://schemas.microsoft.com/office/drawing/2014/main" id="{8E4FE7E8-5E88-E16A-E3B2-8CF3489665C7}"/>
            </a:ext>
          </a:extLst>
        </cdr:cNvPr>
        <cdr:cNvSpPr txBox="1"/>
      </cdr:nvSpPr>
      <cdr:spPr>
        <a:xfrm xmlns:a="http://schemas.openxmlformats.org/drawingml/2006/main" rot="2637867">
          <a:off x="8886783" y="6089650"/>
          <a:ext cx="2503570" cy="7811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4400" b="1" kern="1200"/>
            <a:t>BLASTING</a:t>
          </a:r>
        </a:p>
      </cdr:txBody>
    </cdr:sp>
  </cdr:relSizeAnchor>
  <cdr:relSizeAnchor xmlns:cdr="http://schemas.openxmlformats.org/drawingml/2006/chartDrawing">
    <cdr:from>
      <cdr:x>0.52843</cdr:x>
      <cdr:y>0.60426</cdr:y>
    </cdr:from>
    <cdr:to>
      <cdr:x>0.68876</cdr:x>
      <cdr:y>0.66271</cdr:y>
    </cdr:to>
    <cdr:sp macro="" textlink="">
      <cdr:nvSpPr>
        <cdr:cNvPr id="3" name="CaixaDeTexto 6">
          <a:extLst xmlns:a="http://schemas.openxmlformats.org/drawingml/2006/main">
            <a:ext uri="{FF2B5EF4-FFF2-40B4-BE49-F238E27FC236}">
              <a16:creationId xmlns:a16="http://schemas.microsoft.com/office/drawing/2014/main" id="{EE138C91-F77E-4641-A92E-498F5A10DDE2}"/>
            </a:ext>
          </a:extLst>
        </cdr:cNvPr>
        <cdr:cNvSpPr txBox="1"/>
      </cdr:nvSpPr>
      <cdr:spPr>
        <a:xfrm xmlns:a="http://schemas.openxmlformats.org/drawingml/2006/main" rot="2637867">
          <a:off x="7036526" y="8074661"/>
          <a:ext cx="2135008" cy="7811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4400" b="1" kern="1200"/>
            <a:t>RIPPING</a:t>
          </a:r>
        </a:p>
      </cdr:txBody>
    </cdr:sp>
  </cdr:relSizeAnchor>
  <cdr:relSizeAnchor xmlns:cdr="http://schemas.openxmlformats.org/drawingml/2006/chartDrawing">
    <cdr:from>
      <cdr:x>0.32713</cdr:x>
      <cdr:y>0.6992</cdr:y>
    </cdr:from>
    <cdr:to>
      <cdr:x>0.49921</cdr:x>
      <cdr:y>0.75766</cdr:y>
    </cdr:to>
    <cdr:sp macro="" textlink="">
      <cdr:nvSpPr>
        <cdr:cNvPr id="4" name="CaixaDeTexto 7">
          <a:extLst xmlns:a="http://schemas.openxmlformats.org/drawingml/2006/main">
            <a:ext uri="{FF2B5EF4-FFF2-40B4-BE49-F238E27FC236}">
              <a16:creationId xmlns:a16="http://schemas.microsoft.com/office/drawing/2014/main" id="{7B8FAF09-48FF-4894-8211-10F08E7689CC}"/>
            </a:ext>
          </a:extLst>
        </cdr:cNvPr>
        <cdr:cNvSpPr txBox="1"/>
      </cdr:nvSpPr>
      <cdr:spPr>
        <a:xfrm xmlns:a="http://schemas.openxmlformats.org/drawingml/2006/main" rot="2637867">
          <a:off x="4356100" y="9343392"/>
          <a:ext cx="2291397" cy="7811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4400" b="1" kern="1200"/>
            <a:t>DIGGING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0.50157</cdr:x>
      <cdr:y>0.17242</cdr:y>
    </cdr:from>
    <cdr:to>
      <cdr:x>0.96328</cdr:x>
      <cdr:y>0.72898</cdr:y>
    </cdr:to>
    <cdr:sp macro="" textlink="">
      <cdr:nvSpPr>
        <cdr:cNvPr id="18" name="Forma Livre: Forma 17">
          <a:extLst xmlns:a="http://schemas.openxmlformats.org/drawingml/2006/main">
            <a:ext uri="{FF2B5EF4-FFF2-40B4-BE49-F238E27FC236}">
              <a16:creationId xmlns:a16="http://schemas.microsoft.com/office/drawing/2014/main" id="{14291726-13B0-50C2-F4A4-1876627CFC84}"/>
            </a:ext>
          </a:extLst>
        </cdr:cNvPr>
        <cdr:cNvSpPr/>
      </cdr:nvSpPr>
      <cdr:spPr>
        <a:xfrm xmlns:a="http://schemas.openxmlformats.org/drawingml/2006/main">
          <a:off x="6678881" y="2150757"/>
          <a:ext cx="6148119" cy="6942443"/>
        </a:xfrm>
        <a:custGeom xmlns:a="http://schemas.openxmlformats.org/drawingml/2006/main">
          <a:avLst/>
          <a:gdLst>
            <a:gd name="connsiteX0" fmla="*/ 0 w 4073236"/>
            <a:gd name="connsiteY0" fmla="*/ 0 h 3769943"/>
            <a:gd name="connsiteX1" fmla="*/ 235527 w 4073236"/>
            <a:gd name="connsiteY1" fmla="*/ 900545 h 3769943"/>
            <a:gd name="connsiteX2" fmla="*/ 706581 w 4073236"/>
            <a:gd name="connsiteY2" fmla="*/ 2036618 h 3769943"/>
            <a:gd name="connsiteX3" fmla="*/ 1468581 w 4073236"/>
            <a:gd name="connsiteY3" fmla="*/ 3103418 h 3769943"/>
            <a:gd name="connsiteX4" fmla="*/ 2757054 w 4073236"/>
            <a:gd name="connsiteY4" fmla="*/ 3685309 h 3769943"/>
            <a:gd name="connsiteX5" fmla="*/ 4073236 w 4073236"/>
            <a:gd name="connsiteY5" fmla="*/ 3754582 h 3769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073236" h="3769943">
              <a:moveTo>
                <a:pt x="0" y="0"/>
              </a:moveTo>
              <a:cubicBezTo>
                <a:pt x="58882" y="280554"/>
                <a:pt x="117764" y="561109"/>
                <a:pt x="235527" y="900545"/>
              </a:cubicBezTo>
              <a:cubicBezTo>
                <a:pt x="353291" y="1239981"/>
                <a:pt x="501072" y="1669473"/>
                <a:pt x="706581" y="2036618"/>
              </a:cubicBezTo>
              <a:cubicBezTo>
                <a:pt x="912090" y="2403764"/>
                <a:pt x="1126836" y="2828636"/>
                <a:pt x="1468581" y="3103418"/>
              </a:cubicBezTo>
              <a:cubicBezTo>
                <a:pt x="1810326" y="3378200"/>
                <a:pt x="2322945" y="3576782"/>
                <a:pt x="2757054" y="3685309"/>
              </a:cubicBezTo>
              <a:cubicBezTo>
                <a:pt x="3191163" y="3793836"/>
                <a:pt x="3632199" y="3774209"/>
                <a:pt x="4073236" y="3754582"/>
              </a:cubicBezTo>
            </a:path>
          </a:pathLst>
        </a:custGeom>
        <a:noFill xmlns:a="http://schemas.openxmlformats.org/drawingml/2006/main"/>
        <a:ln xmlns:a="http://schemas.openxmlformats.org/drawingml/2006/main" w="6350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0.39027</cdr:x>
      <cdr:y>0.16567</cdr:y>
    </cdr:from>
    <cdr:to>
      <cdr:x>0.85027</cdr:x>
      <cdr:y>0.97206</cdr:y>
    </cdr:to>
    <cdr:sp macro="" textlink="">
      <cdr:nvSpPr>
        <cdr:cNvPr id="17" name="Forma Livre: Forma 16">
          <a:extLst xmlns:a="http://schemas.openxmlformats.org/drawingml/2006/main">
            <a:ext uri="{FF2B5EF4-FFF2-40B4-BE49-F238E27FC236}">
              <a16:creationId xmlns:a16="http://schemas.microsoft.com/office/drawing/2014/main" id="{6D7CBAF6-E463-2A80-1D11-56C91B49F672}"/>
            </a:ext>
          </a:extLst>
        </cdr:cNvPr>
        <cdr:cNvSpPr/>
      </cdr:nvSpPr>
      <cdr:spPr>
        <a:xfrm xmlns:a="http://schemas.openxmlformats.org/drawingml/2006/main">
          <a:off x="4564665" y="1217063"/>
          <a:ext cx="5380162" cy="5924021"/>
        </a:xfrm>
        <a:custGeom xmlns:a="http://schemas.openxmlformats.org/drawingml/2006/main">
          <a:avLst/>
          <a:gdLst>
            <a:gd name="connsiteX0" fmla="*/ 0 w 4128655"/>
            <a:gd name="connsiteY0" fmla="*/ 0 h 5597236"/>
            <a:gd name="connsiteX1" fmla="*/ 332510 w 4128655"/>
            <a:gd name="connsiteY1" fmla="*/ 2022763 h 5597236"/>
            <a:gd name="connsiteX2" fmla="*/ 831273 w 4128655"/>
            <a:gd name="connsiteY2" fmla="*/ 3574472 h 5597236"/>
            <a:gd name="connsiteX3" fmla="*/ 1662546 w 4128655"/>
            <a:gd name="connsiteY3" fmla="*/ 4682836 h 5597236"/>
            <a:gd name="connsiteX4" fmla="*/ 2784764 w 4128655"/>
            <a:gd name="connsiteY4" fmla="*/ 5306291 h 5597236"/>
            <a:gd name="connsiteX5" fmla="*/ 4128655 w 4128655"/>
            <a:gd name="connsiteY5" fmla="*/ 5597236 h 55972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28655" h="5597236">
              <a:moveTo>
                <a:pt x="0" y="0"/>
              </a:moveTo>
              <a:cubicBezTo>
                <a:pt x="96982" y="713509"/>
                <a:pt x="193965" y="1427018"/>
                <a:pt x="332510" y="2022763"/>
              </a:cubicBezTo>
              <a:cubicBezTo>
                <a:pt x="471055" y="2618508"/>
                <a:pt x="609600" y="3131127"/>
                <a:pt x="831273" y="3574472"/>
              </a:cubicBezTo>
              <a:cubicBezTo>
                <a:pt x="1052946" y="4017817"/>
                <a:pt x="1336964" y="4394199"/>
                <a:pt x="1662546" y="4682836"/>
              </a:cubicBezTo>
              <a:cubicBezTo>
                <a:pt x="1988128" y="4971473"/>
                <a:pt x="2373746" y="5153891"/>
                <a:pt x="2784764" y="5306291"/>
              </a:cubicBezTo>
              <a:cubicBezTo>
                <a:pt x="3195782" y="5458691"/>
                <a:pt x="3918528" y="5546436"/>
                <a:pt x="4128655" y="5597236"/>
              </a:cubicBezTo>
            </a:path>
          </a:pathLst>
        </a:cu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0.66738</cdr:x>
      <cdr:y>0.45571</cdr:y>
    </cdr:from>
    <cdr:to>
      <cdr:x>0.85539</cdr:x>
      <cdr:y>0.51417</cdr:y>
    </cdr:to>
    <cdr:sp macro="" textlink="">
      <cdr:nvSpPr>
        <cdr:cNvPr id="2" name="CaixaDeTexto 5">
          <a:extLst xmlns:a="http://schemas.openxmlformats.org/drawingml/2006/main">
            <a:ext uri="{FF2B5EF4-FFF2-40B4-BE49-F238E27FC236}">
              <a16:creationId xmlns:a16="http://schemas.microsoft.com/office/drawing/2014/main" id="{8E4FE7E8-5E88-E16A-E3B2-8CF3489665C7}"/>
            </a:ext>
          </a:extLst>
        </cdr:cNvPr>
        <cdr:cNvSpPr txBox="1"/>
      </cdr:nvSpPr>
      <cdr:spPr>
        <a:xfrm xmlns:a="http://schemas.openxmlformats.org/drawingml/2006/main" rot="2637867">
          <a:off x="8886783" y="6089650"/>
          <a:ext cx="2503570" cy="7811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4400" b="1" kern="1200"/>
            <a:t>BLASTING</a:t>
          </a:r>
        </a:p>
      </cdr:txBody>
    </cdr:sp>
  </cdr:relSizeAnchor>
  <cdr:relSizeAnchor xmlns:cdr="http://schemas.openxmlformats.org/drawingml/2006/chartDrawing">
    <cdr:from>
      <cdr:x>0.52843</cdr:x>
      <cdr:y>0.60426</cdr:y>
    </cdr:from>
    <cdr:to>
      <cdr:x>0.68876</cdr:x>
      <cdr:y>0.66271</cdr:y>
    </cdr:to>
    <cdr:sp macro="" textlink="">
      <cdr:nvSpPr>
        <cdr:cNvPr id="3" name="CaixaDeTexto 6">
          <a:extLst xmlns:a="http://schemas.openxmlformats.org/drawingml/2006/main">
            <a:ext uri="{FF2B5EF4-FFF2-40B4-BE49-F238E27FC236}">
              <a16:creationId xmlns:a16="http://schemas.microsoft.com/office/drawing/2014/main" id="{EE138C91-F77E-4641-A92E-498F5A10DDE2}"/>
            </a:ext>
          </a:extLst>
        </cdr:cNvPr>
        <cdr:cNvSpPr txBox="1"/>
      </cdr:nvSpPr>
      <cdr:spPr>
        <a:xfrm xmlns:a="http://schemas.openxmlformats.org/drawingml/2006/main" rot="2637867">
          <a:off x="7036526" y="8074661"/>
          <a:ext cx="2135008" cy="7811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4400" b="1" kern="1200"/>
            <a:t>RIPPING</a:t>
          </a:r>
        </a:p>
      </cdr:txBody>
    </cdr:sp>
  </cdr:relSizeAnchor>
  <cdr:relSizeAnchor xmlns:cdr="http://schemas.openxmlformats.org/drawingml/2006/chartDrawing">
    <cdr:from>
      <cdr:x>0.32713</cdr:x>
      <cdr:y>0.6992</cdr:y>
    </cdr:from>
    <cdr:to>
      <cdr:x>0.49921</cdr:x>
      <cdr:y>0.75766</cdr:y>
    </cdr:to>
    <cdr:sp macro="" textlink="">
      <cdr:nvSpPr>
        <cdr:cNvPr id="4" name="CaixaDeTexto 7">
          <a:extLst xmlns:a="http://schemas.openxmlformats.org/drawingml/2006/main">
            <a:ext uri="{FF2B5EF4-FFF2-40B4-BE49-F238E27FC236}">
              <a16:creationId xmlns:a16="http://schemas.microsoft.com/office/drawing/2014/main" id="{7B8FAF09-48FF-4894-8211-10F08E7689CC}"/>
            </a:ext>
          </a:extLst>
        </cdr:cNvPr>
        <cdr:cNvSpPr txBox="1"/>
      </cdr:nvSpPr>
      <cdr:spPr>
        <a:xfrm xmlns:a="http://schemas.openxmlformats.org/drawingml/2006/main" rot="2637867">
          <a:off x="4356100" y="9343392"/>
          <a:ext cx="2291397" cy="7811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4400" b="1" kern="1200"/>
            <a:t>DIGGING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285750</xdr:colOff>
      <xdr:row>2</xdr:row>
      <xdr:rowOff>88900</xdr:rowOff>
    </xdr:from>
    <xdr:to>
      <xdr:col>82</xdr:col>
      <xdr:colOff>88950</xdr:colOff>
      <xdr:row>38</xdr:row>
      <xdr:rowOff>117300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27C68D7-B8B8-E4A9-AE7F-FF26F565E2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49275" y="1422400"/>
              <a:ext cx="4527600" cy="7619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70</xdr:col>
      <xdr:colOff>38100</xdr:colOff>
      <xdr:row>63</xdr:row>
      <xdr:rowOff>114300</xdr:rowOff>
    </xdr:from>
    <xdr:to>
      <xdr:col>92</xdr:col>
      <xdr:colOff>124460</xdr:colOff>
      <xdr:row>136</xdr:row>
      <xdr:rowOff>76440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2E00FD-5ADB-4DBE-B917-B3C5D5431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92</xdr:col>
      <xdr:colOff>186690</xdr:colOff>
      <xdr:row>63</xdr:row>
      <xdr:rowOff>152399</xdr:rowOff>
    </xdr:from>
    <xdr:to>
      <xdr:col>106</xdr:col>
      <xdr:colOff>150494</xdr:colOff>
      <xdr:row>103</xdr:row>
      <xdr:rowOff>56587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1394D6B-721B-18BD-BF72-A1E04779D4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8189"/>
        <a:stretch/>
      </xdr:blipFill>
      <xdr:spPr>
        <a:xfrm>
          <a:off x="61318140" y="13735049"/>
          <a:ext cx="8498205" cy="7524551"/>
        </a:xfrm>
        <a:prstGeom prst="rect">
          <a:avLst/>
        </a:prstGeom>
      </xdr:spPr>
    </xdr:pic>
    <xdr:clientData/>
  </xdr:twoCellAnchor>
  <xdr:twoCellAnchor>
    <xdr:from>
      <xdr:col>96</xdr:col>
      <xdr:colOff>16535</xdr:colOff>
      <xdr:row>63</xdr:row>
      <xdr:rowOff>76199</xdr:rowOff>
    </xdr:from>
    <xdr:to>
      <xdr:col>102</xdr:col>
      <xdr:colOff>401321</xdr:colOff>
      <xdr:row>68</xdr:row>
      <xdr:rowOff>27146</xdr:rowOff>
    </xdr:to>
    <xdr:sp macro="" textlink="">
      <xdr:nvSpPr>
        <xdr:cNvPr id="5" name="CaixaDeTexto 7">
          <a:extLst>
            <a:ext uri="{FF2B5EF4-FFF2-40B4-BE49-F238E27FC236}">
              <a16:creationId xmlns:a16="http://schemas.microsoft.com/office/drawing/2014/main" id="{7F746F34-AD23-4911-B636-F459D5007FEE}"/>
            </a:ext>
          </a:extLst>
        </xdr:cNvPr>
        <xdr:cNvSpPr txBox="1"/>
      </xdr:nvSpPr>
      <xdr:spPr>
        <a:xfrm>
          <a:off x="63605435" y="13639799"/>
          <a:ext cx="4042386" cy="903447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4800" b="1" kern="1200">
              <a:solidFill>
                <a:schemeClr val="tx1"/>
              </a:solidFill>
            </a:rPr>
            <a:t>LITHOLOGY 30</a:t>
          </a:r>
        </a:p>
      </xdr:txBody>
    </xdr:sp>
    <xdr:clientData/>
  </xdr:twoCellAnchor>
  <xdr:oneCellAnchor>
    <xdr:from>
      <xdr:col>81</xdr:col>
      <xdr:colOff>225384</xdr:colOff>
      <xdr:row>80</xdr:row>
      <xdr:rowOff>171450</xdr:rowOff>
    </xdr:from>
    <xdr:ext cx="2503570" cy="78111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B43CA50-9308-4D5E-BEAF-DDE1D53ADB41}"/>
            </a:ext>
          </a:extLst>
        </xdr:cNvPr>
        <xdr:cNvSpPr txBox="1"/>
      </xdr:nvSpPr>
      <xdr:spPr>
        <a:xfrm rot="2637867">
          <a:off x="54670284" y="16973550"/>
          <a:ext cx="2503570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4400" b="1" kern="1200"/>
            <a:t>BLASTING</a:t>
          </a:r>
        </a:p>
      </xdr:txBody>
    </xdr:sp>
    <xdr:clientData/>
  </xdr:oneCellAnchor>
  <xdr:oneCellAnchor>
    <xdr:from>
      <xdr:col>77</xdr:col>
      <xdr:colOff>593816</xdr:colOff>
      <xdr:row>88</xdr:row>
      <xdr:rowOff>177166</xdr:rowOff>
    </xdr:from>
    <xdr:ext cx="2135008" cy="781111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98679BD-44D0-4030-A7EC-1A2B9B768E6D}"/>
            </a:ext>
          </a:extLst>
        </xdr:cNvPr>
        <xdr:cNvSpPr txBox="1"/>
      </xdr:nvSpPr>
      <xdr:spPr>
        <a:xfrm rot="2637867">
          <a:off x="52600316" y="18503266"/>
          <a:ext cx="2135008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4400" b="1" kern="1200"/>
            <a:t>RIPPING</a:t>
          </a:r>
        </a:p>
      </xdr:txBody>
    </xdr:sp>
    <xdr:clientData/>
  </xdr:oneCellAnchor>
  <xdr:oneCellAnchor>
    <xdr:from>
      <xdr:col>73</xdr:col>
      <xdr:colOff>600075</xdr:colOff>
      <xdr:row>96</xdr:row>
      <xdr:rowOff>133353</xdr:rowOff>
    </xdr:from>
    <xdr:ext cx="2291397" cy="78111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EDE74E4F-623B-4770-B7A6-BDCC75568797}"/>
            </a:ext>
          </a:extLst>
        </xdr:cNvPr>
        <xdr:cNvSpPr txBox="1"/>
      </xdr:nvSpPr>
      <xdr:spPr>
        <a:xfrm rot="2637867">
          <a:off x="50168175" y="19983453"/>
          <a:ext cx="2291397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4400" b="1" kern="1200"/>
            <a:t>DIGGING</a:t>
          </a:r>
        </a:p>
      </xdr:txBody>
    </xdr:sp>
    <xdr:clientData/>
  </xdr:oneCellAnchor>
  <xdr:twoCellAnchor>
    <xdr:from>
      <xdr:col>83</xdr:col>
      <xdr:colOff>68127</xdr:colOff>
      <xdr:row>22</xdr:row>
      <xdr:rowOff>91</xdr:rowOff>
    </xdr:from>
    <xdr:to>
      <xdr:col>94</xdr:col>
      <xdr:colOff>589808</xdr:colOff>
      <xdr:row>54</xdr:row>
      <xdr:rowOff>102326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04EFF6B-DC4C-435D-B3C1-F6DCE4CE8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95</xdr:col>
      <xdr:colOff>529590</xdr:colOff>
      <xdr:row>21</xdr:row>
      <xdr:rowOff>186690</xdr:rowOff>
    </xdr:from>
    <xdr:to>
      <xdr:col>107</xdr:col>
      <xdr:colOff>435956</xdr:colOff>
      <xdr:row>54</xdr:row>
      <xdr:rowOff>106045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5E64BE8-636E-4CF7-9EE1-BC446014F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108</xdr:col>
      <xdr:colOff>337343</xdr:colOff>
      <xdr:row>22</xdr:row>
      <xdr:rowOff>71119</xdr:rowOff>
    </xdr:from>
    <xdr:to>
      <xdr:col>120</xdr:col>
      <xdr:colOff>249265</xdr:colOff>
      <xdr:row>54</xdr:row>
      <xdr:rowOff>167005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B7EAE69-1565-4CEB-8654-89538C30B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121</xdr:col>
      <xdr:colOff>111125</xdr:colOff>
      <xdr:row>22</xdr:row>
      <xdr:rowOff>79375</xdr:rowOff>
    </xdr:from>
    <xdr:to>
      <xdr:col>133</xdr:col>
      <xdr:colOff>24952</xdr:colOff>
      <xdr:row>55</xdr:row>
      <xdr:rowOff>2541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F574067-36C9-4983-9AF3-152201053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133</xdr:col>
      <xdr:colOff>190500</xdr:colOff>
      <xdr:row>22</xdr:row>
      <xdr:rowOff>57150</xdr:rowOff>
    </xdr:from>
    <xdr:to>
      <xdr:col>145</xdr:col>
      <xdr:colOff>96707</xdr:colOff>
      <xdr:row>54</xdr:row>
      <xdr:rowOff>170816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4196AB21-4DCA-42D5-93FF-67D27EB0E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145</xdr:col>
      <xdr:colOff>219075</xdr:colOff>
      <xdr:row>22</xdr:row>
      <xdr:rowOff>39052</xdr:rowOff>
    </xdr:from>
    <xdr:to>
      <xdr:col>157</xdr:col>
      <xdr:colOff>121472</xdr:colOff>
      <xdr:row>54</xdr:row>
      <xdr:rowOff>164148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183F8C68-8759-45AB-AAB1-B47ABB361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106</xdr:col>
      <xdr:colOff>114300</xdr:colOff>
      <xdr:row>63</xdr:row>
      <xdr:rowOff>152400</xdr:rowOff>
    </xdr:from>
    <xdr:to>
      <xdr:col>128</xdr:col>
      <xdr:colOff>206375</xdr:colOff>
      <xdr:row>136</xdr:row>
      <xdr:rowOff>114540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B6FE4289-80FE-4014-9629-B98CE455C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131</xdr:col>
      <xdr:colOff>533400</xdr:colOff>
      <xdr:row>62</xdr:row>
      <xdr:rowOff>0</xdr:rowOff>
    </xdr:from>
    <xdr:to>
      <xdr:col>154</xdr:col>
      <xdr:colOff>15875</xdr:colOff>
      <xdr:row>134</xdr:row>
      <xdr:rowOff>152640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98830866-22AC-4042-9082-7E64BC7B8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126</xdr:col>
      <xdr:colOff>114300</xdr:colOff>
      <xdr:row>138</xdr:row>
      <xdr:rowOff>0</xdr:rowOff>
    </xdr:from>
    <xdr:to>
      <xdr:col>138</xdr:col>
      <xdr:colOff>14316</xdr:colOff>
      <xdr:row>170</xdr:row>
      <xdr:rowOff>107950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FBCF0FD-61B2-4325-A4CC-532400EBA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139</xdr:col>
      <xdr:colOff>0</xdr:colOff>
      <xdr:row>137</xdr:row>
      <xdr:rowOff>114300</xdr:rowOff>
    </xdr:from>
    <xdr:to>
      <xdr:col>150</xdr:col>
      <xdr:colOff>509616</xdr:colOff>
      <xdr:row>170</xdr:row>
      <xdr:rowOff>31750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7DFA131-33EA-42F6-9614-62F8CE94E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54</xdr:col>
      <xdr:colOff>469900</xdr:colOff>
      <xdr:row>87</xdr:row>
      <xdr:rowOff>25400</xdr:rowOff>
    </xdr:from>
    <xdr:to>
      <xdr:col>66</xdr:col>
      <xdr:colOff>369916</xdr:colOff>
      <xdr:row>124</xdr:row>
      <xdr:rowOff>69850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A554491-5F52-4CA6-8BAC-86253B899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73</xdr:col>
      <xdr:colOff>190500</xdr:colOff>
      <xdr:row>1</xdr:row>
      <xdr:rowOff>171450</xdr:rowOff>
    </xdr:from>
    <xdr:to>
      <xdr:col>80</xdr:col>
      <xdr:colOff>495300</xdr:colOff>
      <xdr:row>12</xdr:row>
      <xdr:rowOff>134835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3CFB963D-85D8-4B34-9E16-2DA3E339E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0.44307</cdr:x>
      <cdr:y>0.17209</cdr:y>
    </cdr:from>
    <cdr:to>
      <cdr:x>0.96565</cdr:x>
      <cdr:y>0.7294</cdr:y>
    </cdr:to>
    <cdr:sp macro="" textlink="">
      <cdr:nvSpPr>
        <cdr:cNvPr id="18" name="Forma Livre: Forma 17">
          <a:extLst xmlns:a="http://schemas.openxmlformats.org/drawingml/2006/main">
            <a:ext uri="{FF2B5EF4-FFF2-40B4-BE49-F238E27FC236}">
              <a16:creationId xmlns:a16="http://schemas.microsoft.com/office/drawing/2014/main" id="{14291726-13B0-50C2-F4A4-1876627CFC84}"/>
            </a:ext>
          </a:extLst>
        </cdr:cNvPr>
        <cdr:cNvSpPr/>
      </cdr:nvSpPr>
      <cdr:spPr>
        <a:xfrm xmlns:a="http://schemas.openxmlformats.org/drawingml/2006/main">
          <a:off x="5978620" y="2229294"/>
          <a:ext cx="7051580" cy="7219505"/>
        </a:xfrm>
        <a:custGeom xmlns:a="http://schemas.openxmlformats.org/drawingml/2006/main">
          <a:avLst/>
          <a:gdLst>
            <a:gd name="connsiteX0" fmla="*/ 0 w 4073236"/>
            <a:gd name="connsiteY0" fmla="*/ 0 h 3769943"/>
            <a:gd name="connsiteX1" fmla="*/ 235527 w 4073236"/>
            <a:gd name="connsiteY1" fmla="*/ 900545 h 3769943"/>
            <a:gd name="connsiteX2" fmla="*/ 706581 w 4073236"/>
            <a:gd name="connsiteY2" fmla="*/ 2036618 h 3769943"/>
            <a:gd name="connsiteX3" fmla="*/ 1468581 w 4073236"/>
            <a:gd name="connsiteY3" fmla="*/ 3103418 h 3769943"/>
            <a:gd name="connsiteX4" fmla="*/ 2757054 w 4073236"/>
            <a:gd name="connsiteY4" fmla="*/ 3685309 h 3769943"/>
            <a:gd name="connsiteX5" fmla="*/ 4073236 w 4073236"/>
            <a:gd name="connsiteY5" fmla="*/ 3754582 h 3769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073236" h="3769943">
              <a:moveTo>
                <a:pt x="0" y="0"/>
              </a:moveTo>
              <a:cubicBezTo>
                <a:pt x="58882" y="280554"/>
                <a:pt x="117764" y="561109"/>
                <a:pt x="235527" y="900545"/>
              </a:cubicBezTo>
              <a:cubicBezTo>
                <a:pt x="353291" y="1239981"/>
                <a:pt x="501072" y="1669473"/>
                <a:pt x="706581" y="2036618"/>
              </a:cubicBezTo>
              <a:cubicBezTo>
                <a:pt x="912090" y="2403764"/>
                <a:pt x="1126836" y="2828636"/>
                <a:pt x="1468581" y="3103418"/>
              </a:cubicBezTo>
              <a:cubicBezTo>
                <a:pt x="1810326" y="3378200"/>
                <a:pt x="2322945" y="3576782"/>
                <a:pt x="2757054" y="3685309"/>
              </a:cubicBezTo>
              <a:cubicBezTo>
                <a:pt x="3191163" y="3793836"/>
                <a:pt x="3632199" y="3774209"/>
                <a:pt x="4073236" y="3754582"/>
              </a:cubicBezTo>
            </a:path>
          </a:pathLst>
        </a:custGeom>
        <a:noFill xmlns:a="http://schemas.openxmlformats.org/drawingml/2006/main"/>
        <a:ln xmlns:a="http://schemas.openxmlformats.org/drawingml/2006/main" w="6350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0.34509</cdr:x>
      <cdr:y>0.17155</cdr:y>
    </cdr:from>
    <cdr:to>
      <cdr:x>0.832</cdr:x>
      <cdr:y>0.97794</cdr:y>
    </cdr:to>
    <cdr:sp macro="" textlink="">
      <cdr:nvSpPr>
        <cdr:cNvPr id="17" name="Forma Livre: Forma 16">
          <a:extLst xmlns:a="http://schemas.openxmlformats.org/drawingml/2006/main">
            <a:ext uri="{FF2B5EF4-FFF2-40B4-BE49-F238E27FC236}">
              <a16:creationId xmlns:a16="http://schemas.microsoft.com/office/drawing/2014/main" id="{6D7CBAF6-E463-2A80-1D11-56C91B49F672}"/>
            </a:ext>
          </a:extLst>
        </cdr:cNvPr>
        <cdr:cNvSpPr/>
      </cdr:nvSpPr>
      <cdr:spPr>
        <a:xfrm xmlns:a="http://schemas.openxmlformats.org/drawingml/2006/main">
          <a:off x="4656606" y="2222329"/>
          <a:ext cx="6570194" cy="10446170"/>
        </a:xfrm>
        <a:custGeom xmlns:a="http://schemas.openxmlformats.org/drawingml/2006/main">
          <a:avLst/>
          <a:gdLst>
            <a:gd name="connsiteX0" fmla="*/ 0 w 4128655"/>
            <a:gd name="connsiteY0" fmla="*/ 0 h 5597236"/>
            <a:gd name="connsiteX1" fmla="*/ 332510 w 4128655"/>
            <a:gd name="connsiteY1" fmla="*/ 2022763 h 5597236"/>
            <a:gd name="connsiteX2" fmla="*/ 831273 w 4128655"/>
            <a:gd name="connsiteY2" fmla="*/ 3574472 h 5597236"/>
            <a:gd name="connsiteX3" fmla="*/ 1662546 w 4128655"/>
            <a:gd name="connsiteY3" fmla="*/ 4682836 h 5597236"/>
            <a:gd name="connsiteX4" fmla="*/ 2784764 w 4128655"/>
            <a:gd name="connsiteY4" fmla="*/ 5306291 h 5597236"/>
            <a:gd name="connsiteX5" fmla="*/ 4128655 w 4128655"/>
            <a:gd name="connsiteY5" fmla="*/ 5597236 h 55972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28655" h="5597236">
              <a:moveTo>
                <a:pt x="0" y="0"/>
              </a:moveTo>
              <a:cubicBezTo>
                <a:pt x="96982" y="713509"/>
                <a:pt x="193965" y="1427018"/>
                <a:pt x="332510" y="2022763"/>
              </a:cubicBezTo>
              <a:cubicBezTo>
                <a:pt x="471055" y="2618508"/>
                <a:pt x="609600" y="3131127"/>
                <a:pt x="831273" y="3574472"/>
              </a:cubicBezTo>
              <a:cubicBezTo>
                <a:pt x="1052946" y="4017817"/>
                <a:pt x="1336964" y="4394199"/>
                <a:pt x="1662546" y="4682836"/>
              </a:cubicBezTo>
              <a:cubicBezTo>
                <a:pt x="1988128" y="4971473"/>
                <a:pt x="2373746" y="5153891"/>
                <a:pt x="2784764" y="5306291"/>
              </a:cubicBezTo>
              <a:cubicBezTo>
                <a:pt x="3195782" y="5458691"/>
                <a:pt x="3918528" y="5546436"/>
                <a:pt x="4128655" y="5597236"/>
              </a:cubicBezTo>
            </a:path>
          </a:pathLst>
        </a:cu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0</xdr:colOff>
      <xdr:row>3</xdr:row>
      <xdr:rowOff>0</xdr:rowOff>
    </xdr:from>
    <xdr:to>
      <xdr:col>74</xdr:col>
      <xdr:colOff>304800</xdr:colOff>
      <xdr:row>23</xdr:row>
      <xdr:rowOff>57863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6C4975-077E-4B5B-B01C-3AD2C62CB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80</xdr:col>
      <xdr:colOff>180109</xdr:colOff>
      <xdr:row>21</xdr:row>
      <xdr:rowOff>27709</xdr:rowOff>
    </xdr:from>
    <xdr:to>
      <xdr:col>92</xdr:col>
      <xdr:colOff>92190</xdr:colOff>
      <xdr:row>54</xdr:row>
      <xdr:rowOff>151716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EF2450D-EC6D-4690-BD15-57B7CB36C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94</xdr:col>
      <xdr:colOff>206087</xdr:colOff>
      <xdr:row>21</xdr:row>
      <xdr:rowOff>6927</xdr:rowOff>
    </xdr:from>
    <xdr:to>
      <xdr:col>106</xdr:col>
      <xdr:colOff>112453</xdr:colOff>
      <xdr:row>53</xdr:row>
      <xdr:rowOff>179820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2BD1172-9145-4464-B7C5-50BE25140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107</xdr:col>
      <xdr:colOff>124690</xdr:colOff>
      <xdr:row>21</xdr:row>
      <xdr:rowOff>27710</xdr:rowOff>
    </xdr:from>
    <xdr:to>
      <xdr:col>119</xdr:col>
      <xdr:colOff>31056</xdr:colOff>
      <xdr:row>54</xdr:row>
      <xdr:rowOff>20494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75C1367-FE53-488C-A074-7D3D63A49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119</xdr:col>
      <xdr:colOff>247650</xdr:colOff>
      <xdr:row>21</xdr:row>
      <xdr:rowOff>76200</xdr:rowOff>
    </xdr:from>
    <xdr:to>
      <xdr:col>131</xdr:col>
      <xdr:colOff>154016</xdr:colOff>
      <xdr:row>54</xdr:row>
      <xdr:rowOff>68984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6FFA694-E268-491B-8091-ED3C135FF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131</xdr:col>
      <xdr:colOff>342900</xdr:colOff>
      <xdr:row>21</xdr:row>
      <xdr:rowOff>38100</xdr:rowOff>
    </xdr:from>
    <xdr:to>
      <xdr:col>143</xdr:col>
      <xdr:colOff>249266</xdr:colOff>
      <xdr:row>54</xdr:row>
      <xdr:rowOff>30884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9D39865-FBE6-43D4-9CA5-DF23D2AD3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143</xdr:col>
      <xdr:colOff>482600</xdr:colOff>
      <xdr:row>21</xdr:row>
      <xdr:rowOff>25400</xdr:rowOff>
    </xdr:from>
    <xdr:to>
      <xdr:col>155</xdr:col>
      <xdr:colOff>388966</xdr:colOff>
      <xdr:row>54</xdr:row>
      <xdr:rowOff>18184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F9506B7-11DA-4742-9188-A5BF0E8CF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94</xdr:col>
      <xdr:colOff>138545</xdr:colOff>
      <xdr:row>56</xdr:row>
      <xdr:rowOff>96982</xdr:rowOff>
    </xdr:from>
    <xdr:to>
      <xdr:col>106</xdr:col>
      <xdr:colOff>50626</xdr:colOff>
      <xdr:row>90</xdr:row>
      <xdr:rowOff>13171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C4D7E85-0906-4F3D-8173-655318A9A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107</xdr:col>
      <xdr:colOff>85898</xdr:colOff>
      <xdr:row>56</xdr:row>
      <xdr:rowOff>99753</xdr:rowOff>
    </xdr:from>
    <xdr:to>
      <xdr:col>118</xdr:col>
      <xdr:colOff>607579</xdr:colOff>
      <xdr:row>90</xdr:row>
      <xdr:rowOff>13171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E32E50C-2BDD-48D6-850D-061D3C1F0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2</xdr:row>
      <xdr:rowOff>0</xdr:rowOff>
    </xdr:from>
    <xdr:to>
      <xdr:col>79</xdr:col>
      <xdr:colOff>76201</xdr:colOff>
      <xdr:row>30</xdr:row>
      <xdr:rowOff>20784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8EEF3D-509D-4A10-99F5-FC9D04167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80</xdr:col>
      <xdr:colOff>145472</xdr:colOff>
      <xdr:row>23</xdr:row>
      <xdr:rowOff>188768</xdr:rowOff>
    </xdr:from>
    <xdr:to>
      <xdr:col>92</xdr:col>
      <xdr:colOff>57553</xdr:colOff>
      <xdr:row>57</xdr:row>
      <xdr:rowOff>122275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7066F81-4E01-4F57-A056-60C41F848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93</xdr:col>
      <xdr:colOff>361950</xdr:colOff>
      <xdr:row>24</xdr:row>
      <xdr:rowOff>38100</xdr:rowOff>
    </xdr:from>
    <xdr:to>
      <xdr:col>105</xdr:col>
      <xdr:colOff>274031</xdr:colOff>
      <xdr:row>57</xdr:row>
      <xdr:rowOff>169727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85D8B0C-C348-40E3-BC7B-173E7824F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106</xdr:col>
      <xdr:colOff>57150</xdr:colOff>
      <xdr:row>24</xdr:row>
      <xdr:rowOff>95250</xdr:rowOff>
    </xdr:from>
    <xdr:to>
      <xdr:col>117</xdr:col>
      <xdr:colOff>578831</xdr:colOff>
      <xdr:row>58</xdr:row>
      <xdr:rowOff>36377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9301FEA-C1E3-406E-99EB-86013BF48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118</xdr:col>
      <xdr:colOff>419100</xdr:colOff>
      <xdr:row>24</xdr:row>
      <xdr:rowOff>76200</xdr:rowOff>
    </xdr:from>
    <xdr:to>
      <xdr:col>130</xdr:col>
      <xdr:colOff>331181</xdr:colOff>
      <xdr:row>58</xdr:row>
      <xdr:rowOff>17327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75010CE-5E9E-4315-B811-0D11D5DDA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132</xdr:col>
      <xdr:colOff>0</xdr:colOff>
      <xdr:row>25</xdr:row>
      <xdr:rowOff>0</xdr:rowOff>
    </xdr:from>
    <xdr:to>
      <xdr:col>143</xdr:col>
      <xdr:colOff>521681</xdr:colOff>
      <xdr:row>58</xdr:row>
      <xdr:rowOff>131627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AC5108C-1FE7-40ED-8E90-021C0D4C6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144</xdr:col>
      <xdr:colOff>355600</xdr:colOff>
      <xdr:row>25</xdr:row>
      <xdr:rowOff>0</xdr:rowOff>
    </xdr:from>
    <xdr:to>
      <xdr:col>156</xdr:col>
      <xdr:colOff>267681</xdr:colOff>
      <xdr:row>58</xdr:row>
      <xdr:rowOff>131627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8FB14C4-7FC7-4AFB-973A-02F4B4EBC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92</xdr:col>
      <xdr:colOff>438150</xdr:colOff>
      <xdr:row>59</xdr:row>
      <xdr:rowOff>152400</xdr:rowOff>
    </xdr:from>
    <xdr:to>
      <xdr:col>104</xdr:col>
      <xdr:colOff>350231</xdr:colOff>
      <xdr:row>91</xdr:row>
      <xdr:rowOff>124007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54296F9-53E7-46FF-83AD-4C693251B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105</xdr:col>
      <xdr:colOff>571500</xdr:colOff>
      <xdr:row>59</xdr:row>
      <xdr:rowOff>114300</xdr:rowOff>
    </xdr:from>
    <xdr:to>
      <xdr:col>117</xdr:col>
      <xdr:colOff>483581</xdr:colOff>
      <xdr:row>91</xdr:row>
      <xdr:rowOff>85907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399A581-4E66-4238-A214-49DEDFB77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10389</xdr:colOff>
      <xdr:row>1</xdr:row>
      <xdr:rowOff>96980</xdr:rowOff>
    </xdr:from>
    <xdr:to>
      <xdr:col>79</xdr:col>
      <xdr:colOff>86590</xdr:colOff>
      <xdr:row>30</xdr:row>
      <xdr:rowOff>65809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543CC8-96FD-7C09-A783-B858B2F82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80</xdr:col>
      <xdr:colOff>95250</xdr:colOff>
      <xdr:row>23</xdr:row>
      <xdr:rowOff>19050</xdr:rowOff>
    </xdr:from>
    <xdr:to>
      <xdr:col>92</xdr:col>
      <xdr:colOff>7331</xdr:colOff>
      <xdr:row>56</xdr:row>
      <xdr:rowOff>150677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02922B9-D20B-4C5E-8926-D01471316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92</xdr:col>
      <xdr:colOff>118110</xdr:colOff>
      <xdr:row>23</xdr:row>
      <xdr:rowOff>49530</xdr:rowOff>
    </xdr:from>
    <xdr:to>
      <xdr:col>104</xdr:col>
      <xdr:colOff>30191</xdr:colOff>
      <xdr:row>56</xdr:row>
      <xdr:rowOff>181157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51850D3-BAF4-4E84-A456-3B12D3DC2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104</xdr:col>
      <xdr:colOff>102870</xdr:colOff>
      <xdr:row>23</xdr:row>
      <xdr:rowOff>49530</xdr:rowOff>
    </xdr:from>
    <xdr:to>
      <xdr:col>116</xdr:col>
      <xdr:colOff>14951</xdr:colOff>
      <xdr:row>56</xdr:row>
      <xdr:rowOff>173537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5CB4E10-D1B6-4CEC-9961-3172422B1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116</xdr:col>
      <xdr:colOff>148590</xdr:colOff>
      <xdr:row>23</xdr:row>
      <xdr:rowOff>30480</xdr:rowOff>
    </xdr:from>
    <xdr:to>
      <xdr:col>128</xdr:col>
      <xdr:colOff>60671</xdr:colOff>
      <xdr:row>56</xdr:row>
      <xdr:rowOff>154487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786840D-B9CC-4B45-8E07-8CD08D0F7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129</xdr:col>
      <xdr:colOff>560070</xdr:colOff>
      <xdr:row>23</xdr:row>
      <xdr:rowOff>0</xdr:rowOff>
    </xdr:from>
    <xdr:to>
      <xdr:col>141</xdr:col>
      <xdr:colOff>472151</xdr:colOff>
      <xdr:row>56</xdr:row>
      <xdr:rowOff>131627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3B73B7E-F91B-4767-BD37-CBB3576B9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142</xdr:col>
      <xdr:colOff>121920</xdr:colOff>
      <xdr:row>23</xdr:row>
      <xdr:rowOff>57150</xdr:rowOff>
    </xdr:from>
    <xdr:to>
      <xdr:col>154</xdr:col>
      <xdr:colOff>34001</xdr:colOff>
      <xdr:row>57</xdr:row>
      <xdr:rowOff>5897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7775DCF-9E3D-4EF5-B3C3-F235CD922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95</xdr:col>
      <xdr:colOff>233795</xdr:colOff>
      <xdr:row>58</xdr:row>
      <xdr:rowOff>124691</xdr:rowOff>
    </xdr:from>
    <xdr:to>
      <xdr:col>107</xdr:col>
      <xdr:colOff>145876</xdr:colOff>
      <xdr:row>92</xdr:row>
      <xdr:rowOff>13171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C5DC36A-133D-4D6F-9F6E-5D95E2E88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107</xdr:col>
      <xdr:colOff>419100</xdr:colOff>
      <xdr:row>58</xdr:row>
      <xdr:rowOff>152400</xdr:rowOff>
    </xdr:from>
    <xdr:to>
      <xdr:col>119</xdr:col>
      <xdr:colOff>331181</xdr:colOff>
      <xdr:row>92</xdr:row>
      <xdr:rowOff>30489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8DBCB8C-382F-4128-AE21-F5A2C5E24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366486</xdr:colOff>
      <xdr:row>1</xdr:row>
      <xdr:rowOff>19957</xdr:rowOff>
    </xdr:from>
    <xdr:to>
      <xdr:col>12</xdr:col>
      <xdr:colOff>276662</xdr:colOff>
      <xdr:row>34</xdr:row>
      <xdr:rowOff>80917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E111EE-315D-4E9C-BB0C-AFB53D558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387927</xdr:colOff>
      <xdr:row>35</xdr:row>
      <xdr:rowOff>69273</xdr:rowOff>
    </xdr:from>
    <xdr:to>
      <xdr:col>12</xdr:col>
      <xdr:colOff>298103</xdr:colOff>
      <xdr:row>68</xdr:row>
      <xdr:rowOff>130233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4B14660-BEA6-4E33-8858-982633B5A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535132</xdr:colOff>
      <xdr:row>35</xdr:row>
      <xdr:rowOff>78509</xdr:rowOff>
    </xdr:from>
    <xdr:to>
      <xdr:col>24</xdr:col>
      <xdr:colOff>445308</xdr:colOff>
      <xdr:row>68</xdr:row>
      <xdr:rowOff>139469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BB7D407-4574-4FA6-B8EE-83C1C166B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19050</xdr:colOff>
      <xdr:row>35</xdr:row>
      <xdr:rowOff>95250</xdr:rowOff>
    </xdr:from>
    <xdr:to>
      <xdr:col>36</xdr:col>
      <xdr:colOff>538826</xdr:colOff>
      <xdr:row>68</xdr:row>
      <xdr:rowOff>156210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FEBF917-9EA1-4070-AD41-4B8C0DB06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50</xdr:col>
      <xdr:colOff>462395</xdr:colOff>
      <xdr:row>1</xdr:row>
      <xdr:rowOff>38908</xdr:rowOff>
    </xdr:from>
    <xdr:ext cx="11419840" cy="13868400"/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3CFED46-3968-42E4-9240-1634496B1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>
    <xdr:from>
      <xdr:col>36</xdr:col>
      <xdr:colOff>168593</xdr:colOff>
      <xdr:row>72</xdr:row>
      <xdr:rowOff>31433</xdr:rowOff>
    </xdr:from>
    <xdr:to>
      <xdr:col>49</xdr:col>
      <xdr:colOff>261937</xdr:colOff>
      <xdr:row>109</xdr:row>
      <xdr:rowOff>95250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460469A-C09B-475E-975A-F4B27937E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368300</xdr:colOff>
      <xdr:row>1</xdr:row>
      <xdr:rowOff>25400</xdr:rowOff>
    </xdr:from>
    <xdr:to>
      <xdr:col>24</xdr:col>
      <xdr:colOff>278476</xdr:colOff>
      <xdr:row>34</xdr:row>
      <xdr:rowOff>86360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D8EB934-DA8A-4AE1-8872-2ED5BE288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27709</xdr:colOff>
      <xdr:row>0</xdr:row>
      <xdr:rowOff>110836</xdr:rowOff>
    </xdr:from>
    <xdr:to>
      <xdr:col>36</xdr:col>
      <xdr:colOff>547485</xdr:colOff>
      <xdr:row>33</xdr:row>
      <xdr:rowOff>171796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F0F211E-C783-4FF0-ABE7-37E5A0B44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171450</xdr:colOff>
      <xdr:row>0</xdr:row>
      <xdr:rowOff>171450</xdr:rowOff>
    </xdr:from>
    <xdr:to>
      <xdr:col>49</xdr:col>
      <xdr:colOff>81626</xdr:colOff>
      <xdr:row>34</xdr:row>
      <xdr:rowOff>41910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B9387820-82C0-4608-9BCC-957939207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133350</xdr:colOff>
      <xdr:row>35</xdr:row>
      <xdr:rowOff>114300</xdr:rowOff>
    </xdr:from>
    <xdr:to>
      <xdr:col>49</xdr:col>
      <xdr:colOff>43526</xdr:colOff>
      <xdr:row>68</xdr:row>
      <xdr:rowOff>175260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100D35A-20B7-44CB-B718-625D0EA4A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346622</xdr:colOff>
      <xdr:row>72</xdr:row>
      <xdr:rowOff>17922</xdr:rowOff>
    </xdr:from>
    <xdr:to>
      <xdr:col>26</xdr:col>
      <xdr:colOff>355283</xdr:colOff>
      <xdr:row>110</xdr:row>
      <xdr:rowOff>127200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Gráfico 19">
              <a:extLst>
                <a:ext uri="{FF2B5EF4-FFF2-40B4-BE49-F238E27FC236}">
                  <a16:creationId xmlns:a16="http://schemas.microsoft.com/office/drawing/2014/main" id="{B7B06271-B405-88D6-5C06-86409F764D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6522" y="13733922"/>
              <a:ext cx="4733061" cy="73863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26</xdr:col>
      <xdr:colOff>547689</xdr:colOff>
      <xdr:row>71</xdr:row>
      <xdr:rowOff>140709</xdr:rowOff>
    </xdr:from>
    <xdr:to>
      <xdr:col>34</xdr:col>
      <xdr:colOff>565874</xdr:colOff>
      <xdr:row>110</xdr:row>
      <xdr:rowOff>51694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84397915-506B-4DA7-8B19-5A958EC727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01989" y="13666209"/>
              <a:ext cx="4742585" cy="7378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59390</xdr:colOff>
      <xdr:row>39</xdr:row>
      <xdr:rowOff>39109</xdr:rowOff>
    </xdr:from>
    <xdr:to>
      <xdr:col>12</xdr:col>
      <xdr:colOff>741933</xdr:colOff>
      <xdr:row>57</xdr:row>
      <xdr:rowOff>37428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F731B7-C18D-7AEA-FCD0-955FD7F38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4802" y="7188462"/>
          <a:ext cx="3043398" cy="3741084"/>
        </a:xfrm>
        <a:prstGeom prst="rect">
          <a:avLst/>
        </a:prstGeom>
        <a:ln w="76200">
          <a:solidFill>
            <a:schemeClr val="tx1"/>
          </a:solidFill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180975</xdr:colOff>
      <xdr:row>1</xdr:row>
      <xdr:rowOff>180974</xdr:rowOff>
    </xdr:from>
    <xdr:ext cx="11182350" cy="4600747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F0CE281-AB90-B46B-884C-A71288E56CC2}"/>
            </a:ext>
          </a:extLst>
        </xdr:cNvPr>
        <xdr:cNvSpPr txBox="1"/>
      </xdr:nvSpPr>
      <xdr:spPr>
        <a:xfrm>
          <a:off x="942975" y="371474"/>
          <a:ext cx="11182350" cy="4600747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7200">
              <a:solidFill>
                <a:srgbClr val="FFFF00"/>
              </a:solidFill>
            </a:rPr>
            <a:t>BLASTING</a:t>
          </a:r>
          <a:r>
            <a:rPr lang="pt-BR" sz="7200" baseline="0">
              <a:solidFill>
                <a:srgbClr val="FFFF00"/>
              </a:solidFill>
            </a:rPr>
            <a:t> MODEL</a:t>
          </a:r>
        </a:p>
        <a:p>
          <a:r>
            <a:rPr lang="pt-BR" sz="7200" baseline="0">
              <a:solidFill>
                <a:srgbClr val="FFFF00"/>
              </a:solidFill>
            </a:rPr>
            <a:t>Índice Lilly</a:t>
          </a:r>
        </a:p>
        <a:p>
          <a:r>
            <a:rPr lang="pt-BR" sz="7200" baseline="0">
              <a:solidFill>
                <a:srgbClr val="FFFF00"/>
              </a:solidFill>
            </a:rPr>
            <a:t>Caracterizaçao Geomecanica</a:t>
          </a:r>
        </a:p>
        <a:p>
          <a:endParaRPr lang="pt-BR" sz="7200">
            <a:solidFill>
              <a:srgbClr val="FFFF00"/>
            </a:solidFill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373155</xdr:colOff>
      <xdr:row>0</xdr:row>
      <xdr:rowOff>149037</xdr:rowOff>
    </xdr:from>
    <xdr:to>
      <xdr:col>12</xdr:col>
      <xdr:colOff>313458</xdr:colOff>
      <xdr:row>36</xdr:row>
      <xdr:rowOff>8659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9F77D65B-9C2F-4D76-9F49-FF862E0E39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4805" y="149037"/>
              <a:ext cx="5255253" cy="67176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190500</xdr:colOff>
      <xdr:row>2</xdr:row>
      <xdr:rowOff>134002</xdr:rowOff>
    </xdr:from>
    <xdr:to>
      <xdr:col>36</xdr:col>
      <xdr:colOff>125705</xdr:colOff>
      <xdr:row>42</xdr:row>
      <xdr:rowOff>159748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0A1D9E5-4DCA-4DF0-BF40-84DD99E0C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3300" y="515002"/>
          <a:ext cx="10908005" cy="8445846"/>
        </a:xfrm>
        <a:prstGeom prst="rect">
          <a:avLst/>
        </a:prstGeom>
      </xdr:spPr>
    </xdr:pic>
    <xdr:clientData/>
  </xdr:twoCellAnchor>
  <xdr:twoCellAnchor editAs="oneCell">
    <xdr:from>
      <xdr:col>49</xdr:col>
      <xdr:colOff>258274</xdr:colOff>
      <xdr:row>61</xdr:row>
      <xdr:rowOff>104168</xdr:rowOff>
    </xdr:from>
    <xdr:to>
      <xdr:col>62</xdr:col>
      <xdr:colOff>221841</xdr:colOff>
      <xdr:row>104</xdr:row>
      <xdr:rowOff>29528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1D184C2-C846-992C-570C-176280687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95399" y="12510481"/>
          <a:ext cx="8012192" cy="8116860"/>
        </a:xfrm>
        <a:prstGeom prst="rect">
          <a:avLst/>
        </a:prstGeom>
      </xdr:spPr>
    </xdr:pic>
    <xdr:clientData/>
  </xdr:twoCellAnchor>
  <xdr:twoCellAnchor editAs="oneCell">
    <xdr:from>
      <xdr:col>16</xdr:col>
      <xdr:colOff>221932</xdr:colOff>
      <xdr:row>59</xdr:row>
      <xdr:rowOff>71437</xdr:rowOff>
    </xdr:from>
    <xdr:to>
      <xdr:col>31</xdr:col>
      <xdr:colOff>416503</xdr:colOff>
      <xdr:row>109</xdr:row>
      <xdr:rowOff>51434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3AB58A5-83BC-4D52-BC8A-3481BA0950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79" t="1512" b="545"/>
        <a:stretch/>
      </xdr:blipFill>
      <xdr:spPr>
        <a:xfrm>
          <a:off x="10127932" y="12096750"/>
          <a:ext cx="9481446" cy="9504997"/>
        </a:xfrm>
        <a:prstGeom prst="rect">
          <a:avLst/>
        </a:prstGeom>
      </xdr:spPr>
    </xdr:pic>
    <xdr:clientData/>
  </xdr:twoCellAnchor>
  <xdr:twoCellAnchor>
    <xdr:from>
      <xdr:col>1</xdr:col>
      <xdr:colOff>400662</xdr:colOff>
      <xdr:row>47</xdr:row>
      <xdr:rowOff>53687</xdr:rowOff>
    </xdr:from>
    <xdr:to>
      <xdr:col>16</xdr:col>
      <xdr:colOff>232063</xdr:colOff>
      <xdr:row>85</xdr:row>
      <xdr:rowOff>161059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EA34EE2A-C985-B6A9-A3FC-666500F36E85}"/>
            </a:ext>
          </a:extLst>
        </xdr:cNvPr>
        <xdr:cNvGrpSpPr/>
      </xdr:nvGrpSpPr>
      <xdr:grpSpPr>
        <a:xfrm>
          <a:off x="995975" y="9793000"/>
          <a:ext cx="8761088" cy="7346372"/>
          <a:chOff x="14878662" y="10874087"/>
          <a:chExt cx="8975401" cy="7346372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202FC500-843F-4082-90D6-44FD76FF066B}"/>
              </a:ext>
            </a:extLst>
          </xdr:cNvPr>
          <xdr:cNvGraphicFramePr>
            <a:graphicFrameLocks/>
          </xdr:cNvGraphicFramePr>
        </xdr:nvGraphicFramePr>
        <xdr:xfrm>
          <a:off x="14878662" y="10874087"/>
          <a:ext cx="8975401" cy="73463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587AAFE9-3966-DD08-B7AD-327A9161F500}"/>
              </a:ext>
            </a:extLst>
          </xdr:cNvPr>
          <xdr:cNvSpPr txBox="1"/>
        </xdr:nvSpPr>
        <xdr:spPr>
          <a:xfrm>
            <a:off x="18596263" y="16949305"/>
            <a:ext cx="906530" cy="468013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2400" b="1"/>
              <a:t>Cavar</a:t>
            </a: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461D4B65-2290-4EB4-B53C-09E057729AED}"/>
              </a:ext>
            </a:extLst>
          </xdr:cNvPr>
          <xdr:cNvSpPr txBox="1"/>
        </xdr:nvSpPr>
        <xdr:spPr>
          <a:xfrm>
            <a:off x="19607644" y="15558654"/>
            <a:ext cx="1177637" cy="468013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2400" b="1"/>
              <a:t>Rasgar</a:t>
            </a:r>
          </a:p>
        </xdr:txBody>
      </xdr: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77397257-F59C-4593-8C33-9760F0786FF6}"/>
              </a:ext>
            </a:extLst>
          </xdr:cNvPr>
          <xdr:cNvSpPr txBox="1"/>
        </xdr:nvSpPr>
        <xdr:spPr>
          <a:xfrm>
            <a:off x="20620757" y="14497050"/>
            <a:ext cx="2909456" cy="40543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pt-BR" sz="2000" b="1"/>
              <a:t>Desmonte para relaxar</a:t>
            </a: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7DF8FA1A-123E-4F38-B5F5-9A9FE5831E41}"/>
              </a:ext>
            </a:extLst>
          </xdr:cNvPr>
          <xdr:cNvSpPr txBox="1"/>
        </xdr:nvSpPr>
        <xdr:spPr>
          <a:xfrm>
            <a:off x="20480479" y="12702887"/>
            <a:ext cx="2909456" cy="40543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pt-BR" sz="2000" b="1"/>
              <a:t>Desmonte para fraturar</a:t>
            </a:r>
          </a:p>
        </xdr:txBody>
      </xdr:sp>
    </xdr:grpSp>
    <xdr:clientData/>
  </xdr:twoCellAnchor>
  <xdr:twoCellAnchor>
    <xdr:from>
      <xdr:col>31</xdr:col>
      <xdr:colOff>317500</xdr:colOff>
      <xdr:row>59</xdr:row>
      <xdr:rowOff>146050</xdr:rowOff>
    </xdr:from>
    <xdr:to>
      <xdr:col>46</xdr:col>
      <xdr:colOff>460686</xdr:colOff>
      <xdr:row>100</xdr:row>
      <xdr:rowOff>161290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D4F38B0-052C-41B6-89A2-405D3A559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404472</xdr:colOff>
      <xdr:row>47</xdr:row>
      <xdr:rowOff>57497</xdr:rowOff>
    </xdr:from>
    <xdr:to>
      <xdr:col>16</xdr:col>
      <xdr:colOff>228253</xdr:colOff>
      <xdr:row>85</xdr:row>
      <xdr:rowOff>153439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490BEDB-031E-46F9-9847-B94E26682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457180</xdr:colOff>
      <xdr:row>79</xdr:row>
      <xdr:rowOff>30084</xdr:rowOff>
    </xdr:from>
    <xdr:to>
      <xdr:col>9</xdr:col>
      <xdr:colOff>146030</xdr:colOff>
      <xdr:row>81</xdr:row>
      <xdr:rowOff>114828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DCD506D-1701-4002-AB57-94AA649D337E}"/>
            </a:ext>
          </a:extLst>
        </xdr:cNvPr>
        <xdr:cNvSpPr txBox="1"/>
      </xdr:nvSpPr>
      <xdr:spPr>
        <a:xfrm>
          <a:off x="4724380" y="15879684"/>
          <a:ext cx="908050" cy="46574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2400" b="1"/>
            <a:t>Cavar</a:t>
          </a:r>
        </a:p>
      </xdr:txBody>
    </xdr:sp>
    <xdr:clientData/>
  </xdr:twoCellAnchor>
  <xdr:twoCellAnchor>
    <xdr:from>
      <xdr:col>9</xdr:col>
      <xdr:colOff>252742</xdr:colOff>
      <xdr:row>71</xdr:row>
      <xdr:rowOff>160705</xdr:rowOff>
    </xdr:from>
    <xdr:to>
      <xdr:col>11</xdr:col>
      <xdr:colOff>212584</xdr:colOff>
      <xdr:row>74</xdr:row>
      <xdr:rowOff>60664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9BDDF71E-4BBE-4485-A478-BC208E0A1949}"/>
            </a:ext>
          </a:extLst>
        </xdr:cNvPr>
        <xdr:cNvSpPr txBox="1"/>
      </xdr:nvSpPr>
      <xdr:spPr>
        <a:xfrm>
          <a:off x="5739142" y="14486305"/>
          <a:ext cx="1179042" cy="471459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400" b="1"/>
            <a:t>Rasgar</a:t>
          </a:r>
        </a:p>
      </xdr:txBody>
    </xdr:sp>
    <xdr:clientData/>
  </xdr:twoCellAnchor>
  <xdr:twoCellAnchor>
    <xdr:from>
      <xdr:col>11</xdr:col>
      <xdr:colOff>42415</xdr:colOff>
      <xdr:row>66</xdr:row>
      <xdr:rowOff>58142</xdr:rowOff>
    </xdr:from>
    <xdr:to>
      <xdr:col>15</xdr:col>
      <xdr:colOff>517951</xdr:colOff>
      <xdr:row>68</xdr:row>
      <xdr:rowOff>76544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5C50EA77-6849-410C-9786-9A1A4BAEFBD6}"/>
            </a:ext>
          </a:extLst>
        </xdr:cNvPr>
        <xdr:cNvSpPr txBox="1"/>
      </xdr:nvSpPr>
      <xdr:spPr>
        <a:xfrm>
          <a:off x="6748015" y="13431242"/>
          <a:ext cx="2913936" cy="39940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2000" b="1"/>
            <a:t>Desmonte para relaxar</a:t>
          </a:r>
        </a:p>
      </xdr:txBody>
    </xdr:sp>
    <xdr:clientData/>
  </xdr:twoCellAnchor>
  <xdr:twoCellAnchor>
    <xdr:from>
      <xdr:col>10</xdr:col>
      <xdr:colOff>517511</xdr:colOff>
      <xdr:row>56</xdr:row>
      <xdr:rowOff>170374</xdr:rowOff>
    </xdr:from>
    <xdr:to>
      <xdr:col>15</xdr:col>
      <xdr:colOff>373922</xdr:colOff>
      <xdr:row>59</xdr:row>
      <xdr:rowOff>181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C057F68C-DCA8-43D6-86F0-4A162F80660E}"/>
            </a:ext>
          </a:extLst>
        </xdr:cNvPr>
        <xdr:cNvSpPr txBox="1"/>
      </xdr:nvSpPr>
      <xdr:spPr>
        <a:xfrm>
          <a:off x="6613511" y="11638474"/>
          <a:ext cx="2904411" cy="40130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2000" b="1"/>
            <a:t>Desmonte para fraturar</a:t>
          </a:r>
        </a:p>
      </xdr:txBody>
    </xdr:sp>
    <xdr:clientData/>
  </xdr:twoCellAnchor>
  <xdr:twoCellAnchor>
    <xdr:from>
      <xdr:col>40</xdr:col>
      <xdr:colOff>22840</xdr:colOff>
      <xdr:row>94</xdr:row>
      <xdr:rowOff>28179</xdr:rowOff>
    </xdr:from>
    <xdr:to>
      <xdr:col>41</xdr:col>
      <xdr:colOff>323195</xdr:colOff>
      <xdr:row>96</xdr:row>
      <xdr:rowOff>114828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1E1377E1-A303-48D9-B5C3-B84B4F865FDB}"/>
            </a:ext>
          </a:extLst>
        </xdr:cNvPr>
        <xdr:cNvSpPr txBox="1"/>
      </xdr:nvSpPr>
      <xdr:spPr>
        <a:xfrm>
          <a:off x="24406840" y="18735279"/>
          <a:ext cx="909955" cy="467649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2400" b="1"/>
            <a:t>Cavar</a:t>
          </a:r>
        </a:p>
      </xdr:txBody>
    </xdr:sp>
    <xdr:clientData/>
  </xdr:twoCellAnchor>
  <xdr:twoCellAnchor>
    <xdr:from>
      <xdr:col>42</xdr:col>
      <xdr:colOff>123202</xdr:colOff>
      <xdr:row>85</xdr:row>
      <xdr:rowOff>174040</xdr:rowOff>
    </xdr:from>
    <xdr:to>
      <xdr:col>44</xdr:col>
      <xdr:colOff>84949</xdr:colOff>
      <xdr:row>88</xdr:row>
      <xdr:rowOff>83524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D8C563A-ACD6-4F38-BBEF-74B58DE71154}"/>
            </a:ext>
          </a:extLst>
        </xdr:cNvPr>
        <xdr:cNvSpPr txBox="1"/>
      </xdr:nvSpPr>
      <xdr:spPr>
        <a:xfrm>
          <a:off x="25726402" y="17166640"/>
          <a:ext cx="1180947" cy="48098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400" b="1"/>
            <a:t>Rasgar</a:t>
          </a:r>
        </a:p>
      </xdr:txBody>
    </xdr:sp>
    <xdr:clientData/>
  </xdr:twoCellAnchor>
  <xdr:twoCellAnchor>
    <xdr:from>
      <xdr:col>43</xdr:col>
      <xdr:colOff>518665</xdr:colOff>
      <xdr:row>80</xdr:row>
      <xdr:rowOff>81002</xdr:rowOff>
    </xdr:from>
    <xdr:to>
      <xdr:col>48</xdr:col>
      <xdr:colOff>390316</xdr:colOff>
      <xdr:row>82</xdr:row>
      <xdr:rowOff>91784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3684FE89-C8D4-4A61-A996-220BC97DDD0B}"/>
            </a:ext>
          </a:extLst>
        </xdr:cNvPr>
        <xdr:cNvSpPr txBox="1"/>
      </xdr:nvSpPr>
      <xdr:spPr>
        <a:xfrm>
          <a:off x="26731465" y="16121102"/>
          <a:ext cx="2919651" cy="39178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2000" b="1"/>
            <a:t>Desmonte para relaxar</a:t>
          </a:r>
        </a:p>
      </xdr:txBody>
    </xdr:sp>
    <xdr:clientData/>
  </xdr:twoCellAnchor>
  <xdr:twoCellAnchor>
    <xdr:from>
      <xdr:col>43</xdr:col>
      <xdr:colOff>389876</xdr:colOff>
      <xdr:row>71</xdr:row>
      <xdr:rowOff>2734</xdr:rowOff>
    </xdr:from>
    <xdr:to>
      <xdr:col>48</xdr:col>
      <xdr:colOff>244382</xdr:colOff>
      <xdr:row>73</xdr:row>
      <xdr:rowOff>15421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8C56BF9D-C8CD-4E57-8533-7EA6530F684F}"/>
            </a:ext>
          </a:extLst>
        </xdr:cNvPr>
        <xdr:cNvSpPr txBox="1"/>
      </xdr:nvSpPr>
      <xdr:spPr>
        <a:xfrm>
          <a:off x="26602676" y="14328334"/>
          <a:ext cx="2902506" cy="39368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2000" b="1"/>
            <a:t>Desmonte para fraturar</a:t>
          </a:r>
        </a:p>
      </xdr:txBody>
    </xdr:sp>
    <xdr:clientData/>
  </xdr:twoCellAnchor>
  <xdr:twoCellAnchor editAs="oneCell">
    <xdr:from>
      <xdr:col>45</xdr:col>
      <xdr:colOff>198120</xdr:colOff>
      <xdr:row>89</xdr:row>
      <xdr:rowOff>85850</xdr:rowOff>
    </xdr:from>
    <xdr:to>
      <xdr:col>48</xdr:col>
      <xdr:colOff>304800</xdr:colOff>
      <xdr:row>99</xdr:row>
      <xdr:rowOff>68658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D86335A0-DEAA-AE29-406D-C865C5F2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630120" y="17169890"/>
          <a:ext cx="1935480" cy="1811608"/>
        </a:xfrm>
        <a:prstGeom prst="rect">
          <a:avLst/>
        </a:prstGeom>
      </xdr:spPr>
    </xdr:pic>
    <xdr:clientData/>
  </xdr:twoCellAnchor>
  <xdr:twoCellAnchor editAs="oneCell">
    <xdr:from>
      <xdr:col>36</xdr:col>
      <xdr:colOff>583986</xdr:colOff>
      <xdr:row>5</xdr:row>
      <xdr:rowOff>172252</xdr:rowOff>
    </xdr:from>
    <xdr:to>
      <xdr:col>41</xdr:col>
      <xdr:colOff>473357</xdr:colOff>
      <xdr:row>34</xdr:row>
      <xdr:rowOff>162660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E69996F2-3DD7-38C4-5BD5-4207E94AE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529586" y="1097538"/>
          <a:ext cx="2937371" cy="5357065"/>
        </a:xfrm>
        <a:prstGeom prst="rect">
          <a:avLst/>
        </a:prstGeom>
      </xdr:spPr>
    </xdr:pic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0.11166</cdr:x>
      <cdr:y>0.08508</cdr:y>
    </cdr:from>
    <cdr:to>
      <cdr:x>0.17233</cdr:x>
      <cdr:y>0.15686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F383DAF-DCF3-F8DE-CAAE-D1A81774F7E5}"/>
            </a:ext>
          </a:extLst>
        </cdr:cNvPr>
        <cdr:cNvSpPr txBox="1"/>
      </cdr:nvSpPr>
      <cdr:spPr>
        <a:xfrm xmlns:a="http://schemas.openxmlformats.org/drawingml/2006/main">
          <a:off x="981635" y="573491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2000"/>
            <a:t>R0</a:t>
          </a:r>
        </a:p>
      </cdr:txBody>
    </cdr:sp>
  </cdr:relSizeAnchor>
  <cdr:relSizeAnchor xmlns:cdr="http://schemas.openxmlformats.org/drawingml/2006/chartDrawing">
    <cdr:from>
      <cdr:x>0.21252</cdr:x>
      <cdr:y>0.08287</cdr:y>
    </cdr:from>
    <cdr:to>
      <cdr:x>0.27319</cdr:x>
      <cdr:y>0.15464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1E993705-4280-39C4-2F17-B1C01BD6D9A2}"/>
            </a:ext>
          </a:extLst>
        </cdr:cNvPr>
        <cdr:cNvSpPr txBox="1"/>
      </cdr:nvSpPr>
      <cdr:spPr>
        <a:xfrm xmlns:a="http://schemas.openxmlformats.org/drawingml/2006/main">
          <a:off x="1868394" y="558565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R1</a:t>
          </a:r>
        </a:p>
      </cdr:txBody>
    </cdr:sp>
  </cdr:relSizeAnchor>
  <cdr:relSizeAnchor xmlns:cdr="http://schemas.openxmlformats.org/drawingml/2006/chartDrawing">
    <cdr:from>
      <cdr:x>0.31615</cdr:x>
      <cdr:y>0.08021</cdr:y>
    </cdr:from>
    <cdr:to>
      <cdr:x>0.37682</cdr:x>
      <cdr:y>0.15198</cdr:y>
    </cdr:to>
    <cdr:sp macro="" textlink="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E10C1519-3473-3F92-99F7-FD6DD0B4F1CD}"/>
            </a:ext>
          </a:extLst>
        </cdr:cNvPr>
        <cdr:cNvSpPr txBox="1"/>
      </cdr:nvSpPr>
      <cdr:spPr>
        <a:xfrm xmlns:a="http://schemas.openxmlformats.org/drawingml/2006/main">
          <a:off x="2779432" y="540647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R2</a:t>
          </a:r>
        </a:p>
      </cdr:txBody>
    </cdr:sp>
  </cdr:relSizeAnchor>
  <cdr:relSizeAnchor xmlns:cdr="http://schemas.openxmlformats.org/drawingml/2006/chartDrawing">
    <cdr:from>
      <cdr:x>0.52072</cdr:x>
      <cdr:y>0.08468</cdr:y>
    </cdr:from>
    <cdr:to>
      <cdr:x>0.58139</cdr:x>
      <cdr:y>0.15645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3A8C276D-C3E1-0F83-CA80-96C15C51269E}"/>
            </a:ext>
          </a:extLst>
        </cdr:cNvPr>
        <cdr:cNvSpPr txBox="1"/>
      </cdr:nvSpPr>
      <cdr:spPr>
        <a:xfrm xmlns:a="http://schemas.openxmlformats.org/drawingml/2006/main">
          <a:off x="4577977" y="570753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R3</a:t>
          </a:r>
        </a:p>
      </cdr:txBody>
    </cdr:sp>
  </cdr:relSizeAnchor>
  <cdr:relSizeAnchor xmlns:cdr="http://schemas.openxmlformats.org/drawingml/2006/chartDrawing">
    <cdr:from>
      <cdr:x>0.11166</cdr:x>
      <cdr:y>0.08508</cdr:y>
    </cdr:from>
    <cdr:to>
      <cdr:x>0.17233</cdr:x>
      <cdr:y>0.15686</cdr:y>
    </cdr:to>
    <cdr:sp macro="" textlink="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BF383DAF-DCF3-F8DE-CAAE-D1A81774F7E5}"/>
            </a:ext>
          </a:extLst>
        </cdr:cNvPr>
        <cdr:cNvSpPr txBox="1"/>
      </cdr:nvSpPr>
      <cdr:spPr>
        <a:xfrm xmlns:a="http://schemas.openxmlformats.org/drawingml/2006/main">
          <a:off x="981635" y="573491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2000" b="1"/>
            <a:t>R0</a:t>
          </a:r>
        </a:p>
      </cdr:txBody>
    </cdr:sp>
  </cdr:relSizeAnchor>
  <cdr:relSizeAnchor xmlns:cdr="http://schemas.openxmlformats.org/drawingml/2006/chartDrawing">
    <cdr:from>
      <cdr:x>0.21252</cdr:x>
      <cdr:y>0.08287</cdr:y>
    </cdr:from>
    <cdr:to>
      <cdr:x>0.27319</cdr:x>
      <cdr:y>0.15464</cdr:y>
    </cdr:to>
    <cdr:sp macro="" textlink="">
      <cdr:nvSpPr>
        <cdr:cNvPr id="7" name="CaixaDeTexto 1">
          <a:extLst xmlns:a="http://schemas.openxmlformats.org/drawingml/2006/main">
            <a:ext uri="{FF2B5EF4-FFF2-40B4-BE49-F238E27FC236}">
              <a16:creationId xmlns:a16="http://schemas.microsoft.com/office/drawing/2014/main" id="{1E993705-4280-39C4-2F17-B1C01BD6D9A2}"/>
            </a:ext>
          </a:extLst>
        </cdr:cNvPr>
        <cdr:cNvSpPr txBox="1"/>
      </cdr:nvSpPr>
      <cdr:spPr>
        <a:xfrm xmlns:a="http://schemas.openxmlformats.org/drawingml/2006/main">
          <a:off x="1868394" y="558565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R1</a:t>
          </a:r>
        </a:p>
      </cdr:txBody>
    </cdr:sp>
  </cdr:relSizeAnchor>
  <cdr:relSizeAnchor xmlns:cdr="http://schemas.openxmlformats.org/drawingml/2006/chartDrawing">
    <cdr:from>
      <cdr:x>0.31615</cdr:x>
      <cdr:y>0.08021</cdr:y>
    </cdr:from>
    <cdr:to>
      <cdr:x>0.37682</cdr:x>
      <cdr:y>0.15198</cdr:y>
    </cdr:to>
    <cdr:sp macro="" textlink="">
      <cdr:nvSpPr>
        <cdr:cNvPr id="8" name="CaixaDeTexto 1">
          <a:extLst xmlns:a="http://schemas.openxmlformats.org/drawingml/2006/main">
            <a:ext uri="{FF2B5EF4-FFF2-40B4-BE49-F238E27FC236}">
              <a16:creationId xmlns:a16="http://schemas.microsoft.com/office/drawing/2014/main" id="{E10C1519-3473-3F92-99F7-FD6DD0B4F1CD}"/>
            </a:ext>
          </a:extLst>
        </cdr:cNvPr>
        <cdr:cNvSpPr txBox="1"/>
      </cdr:nvSpPr>
      <cdr:spPr>
        <a:xfrm xmlns:a="http://schemas.openxmlformats.org/drawingml/2006/main">
          <a:off x="2779432" y="540647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R2</a:t>
          </a:r>
        </a:p>
      </cdr:txBody>
    </cdr:sp>
  </cdr:relSizeAnchor>
  <cdr:relSizeAnchor xmlns:cdr="http://schemas.openxmlformats.org/drawingml/2006/chartDrawing">
    <cdr:from>
      <cdr:x>0.52072</cdr:x>
      <cdr:y>0.08468</cdr:y>
    </cdr:from>
    <cdr:to>
      <cdr:x>0.58139</cdr:x>
      <cdr:y>0.15645</cdr:y>
    </cdr:to>
    <cdr:sp macro="" textlink="">
      <cdr:nvSpPr>
        <cdr:cNvPr id="9" name="CaixaDeTexto 1">
          <a:extLst xmlns:a="http://schemas.openxmlformats.org/drawingml/2006/main">
            <a:ext uri="{FF2B5EF4-FFF2-40B4-BE49-F238E27FC236}">
              <a16:creationId xmlns:a16="http://schemas.microsoft.com/office/drawing/2014/main" id="{3A8C276D-C3E1-0F83-CA80-96C15C51269E}"/>
            </a:ext>
          </a:extLst>
        </cdr:cNvPr>
        <cdr:cNvSpPr txBox="1"/>
      </cdr:nvSpPr>
      <cdr:spPr>
        <a:xfrm xmlns:a="http://schemas.openxmlformats.org/drawingml/2006/main">
          <a:off x="4577977" y="570753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R3</a:t>
          </a:r>
        </a:p>
      </cdr:txBody>
    </cdr:sp>
  </cdr:relSizeAnchor>
  <cdr:relSizeAnchor xmlns:cdr="http://schemas.openxmlformats.org/drawingml/2006/chartDrawing">
    <cdr:from>
      <cdr:x>0.83479</cdr:x>
      <cdr:y>0.08734</cdr:y>
    </cdr:from>
    <cdr:to>
      <cdr:x>0.89546</cdr:x>
      <cdr:y>0.15911</cdr:y>
    </cdr:to>
    <cdr:sp macro="" textlink="">
      <cdr:nvSpPr>
        <cdr:cNvPr id="10" name="CaixaDeTexto 1">
          <a:extLst xmlns:a="http://schemas.openxmlformats.org/drawingml/2006/main">
            <a:ext uri="{FF2B5EF4-FFF2-40B4-BE49-F238E27FC236}">
              <a16:creationId xmlns:a16="http://schemas.microsoft.com/office/drawing/2014/main" id="{640783A4-B927-425D-923D-5DCAE2FB9F4C}"/>
            </a:ext>
          </a:extLst>
        </cdr:cNvPr>
        <cdr:cNvSpPr txBox="1"/>
      </cdr:nvSpPr>
      <cdr:spPr>
        <a:xfrm xmlns:a="http://schemas.openxmlformats.org/drawingml/2006/main">
          <a:off x="7339106" y="588683"/>
          <a:ext cx="533385" cy="48376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R4</a:t>
          </a:r>
        </a:p>
      </cdr:txBody>
    </cdr:sp>
  </cdr:relSizeAnchor>
  <cdr:relSizeAnchor xmlns:cdr="http://schemas.openxmlformats.org/drawingml/2006/chartDrawing">
    <cdr:from>
      <cdr:x>0.42654</cdr:x>
      <cdr:y>0.07911</cdr:y>
    </cdr:from>
    <cdr:to>
      <cdr:x>0.48721</cdr:x>
      <cdr:y>0.15088</cdr:y>
    </cdr:to>
    <cdr:sp macro="" textlink="">
      <cdr:nvSpPr>
        <cdr:cNvPr id="11" name="CaixaDeTexto 1">
          <a:extLst xmlns:a="http://schemas.openxmlformats.org/drawingml/2006/main">
            <a:ext uri="{FF2B5EF4-FFF2-40B4-BE49-F238E27FC236}">
              <a16:creationId xmlns:a16="http://schemas.microsoft.com/office/drawing/2014/main" id="{0F470E2D-A46E-1EBD-33A7-005042A082EC}"/>
            </a:ext>
          </a:extLst>
        </cdr:cNvPr>
        <cdr:cNvSpPr txBox="1"/>
      </cdr:nvSpPr>
      <cdr:spPr>
        <a:xfrm xmlns:a="http://schemas.openxmlformats.org/drawingml/2006/main">
          <a:off x="3749964" y="535709"/>
          <a:ext cx="53338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0.62353</cdr:x>
      <cdr:y>0.08525</cdr:y>
    </cdr:from>
    <cdr:to>
      <cdr:x>0.77665</cdr:x>
      <cdr:y>0.15702</cdr:y>
    </cdr:to>
    <cdr:sp macro="" textlink="">
      <cdr:nvSpPr>
        <cdr:cNvPr id="12" name="CaixaDeTexto 1">
          <a:extLst xmlns:a="http://schemas.openxmlformats.org/drawingml/2006/main">
            <a:ext uri="{FF2B5EF4-FFF2-40B4-BE49-F238E27FC236}">
              <a16:creationId xmlns:a16="http://schemas.microsoft.com/office/drawing/2014/main" id="{43885973-FB3F-1903-11E5-A17D385558A2}"/>
            </a:ext>
          </a:extLst>
        </cdr:cNvPr>
        <cdr:cNvSpPr txBox="1"/>
      </cdr:nvSpPr>
      <cdr:spPr>
        <a:xfrm xmlns:a="http://schemas.openxmlformats.org/drawingml/2006/main">
          <a:off x="5481782" y="577273"/>
          <a:ext cx="134616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0.91822</cdr:x>
      <cdr:y>0.08525</cdr:y>
    </cdr:from>
    <cdr:to>
      <cdr:x>0.98782</cdr:x>
      <cdr:y>0.15702</cdr:y>
    </cdr:to>
    <cdr:sp macro="" textlink="">
      <cdr:nvSpPr>
        <cdr:cNvPr id="13" name="CaixaDeTexto 1">
          <a:extLst xmlns:a="http://schemas.openxmlformats.org/drawingml/2006/main">
            <a:ext uri="{FF2B5EF4-FFF2-40B4-BE49-F238E27FC236}">
              <a16:creationId xmlns:a16="http://schemas.microsoft.com/office/drawing/2014/main" id="{FD4BA332-2A60-2DFE-37A8-B4C03F033FE6}"/>
            </a:ext>
          </a:extLst>
        </cdr:cNvPr>
        <cdr:cNvSpPr txBox="1"/>
      </cdr:nvSpPr>
      <cdr:spPr>
        <a:xfrm xmlns:a="http://schemas.openxmlformats.org/drawingml/2006/main">
          <a:off x="8072581" y="577272"/>
          <a:ext cx="61187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0.39027</cdr:x>
      <cdr:y>0.16567</cdr:y>
    </cdr:from>
    <cdr:to>
      <cdr:x>0.85027</cdr:x>
      <cdr:y>0.97206</cdr:y>
    </cdr:to>
    <cdr:sp macro="" textlink="">
      <cdr:nvSpPr>
        <cdr:cNvPr id="17" name="Forma Livre: Forma 16">
          <a:extLst xmlns:a="http://schemas.openxmlformats.org/drawingml/2006/main">
            <a:ext uri="{FF2B5EF4-FFF2-40B4-BE49-F238E27FC236}">
              <a16:creationId xmlns:a16="http://schemas.microsoft.com/office/drawing/2014/main" id="{6D7CBAF6-E463-2A80-1D11-56C91B49F672}"/>
            </a:ext>
          </a:extLst>
        </cdr:cNvPr>
        <cdr:cNvSpPr/>
      </cdr:nvSpPr>
      <cdr:spPr>
        <a:xfrm xmlns:a="http://schemas.openxmlformats.org/drawingml/2006/main">
          <a:off x="4564665" y="1217063"/>
          <a:ext cx="5380162" cy="5924021"/>
        </a:xfrm>
        <a:custGeom xmlns:a="http://schemas.openxmlformats.org/drawingml/2006/main">
          <a:avLst/>
          <a:gdLst>
            <a:gd name="connsiteX0" fmla="*/ 0 w 4128655"/>
            <a:gd name="connsiteY0" fmla="*/ 0 h 5597236"/>
            <a:gd name="connsiteX1" fmla="*/ 332510 w 4128655"/>
            <a:gd name="connsiteY1" fmla="*/ 2022763 h 5597236"/>
            <a:gd name="connsiteX2" fmla="*/ 831273 w 4128655"/>
            <a:gd name="connsiteY2" fmla="*/ 3574472 h 5597236"/>
            <a:gd name="connsiteX3" fmla="*/ 1662546 w 4128655"/>
            <a:gd name="connsiteY3" fmla="*/ 4682836 h 5597236"/>
            <a:gd name="connsiteX4" fmla="*/ 2784764 w 4128655"/>
            <a:gd name="connsiteY4" fmla="*/ 5306291 h 5597236"/>
            <a:gd name="connsiteX5" fmla="*/ 4128655 w 4128655"/>
            <a:gd name="connsiteY5" fmla="*/ 5597236 h 55972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28655" h="5597236">
              <a:moveTo>
                <a:pt x="0" y="0"/>
              </a:moveTo>
              <a:cubicBezTo>
                <a:pt x="96982" y="713509"/>
                <a:pt x="193965" y="1427018"/>
                <a:pt x="332510" y="2022763"/>
              </a:cubicBezTo>
              <a:cubicBezTo>
                <a:pt x="471055" y="2618508"/>
                <a:pt x="609600" y="3131127"/>
                <a:pt x="831273" y="3574472"/>
              </a:cubicBezTo>
              <a:cubicBezTo>
                <a:pt x="1052946" y="4017817"/>
                <a:pt x="1336964" y="4394199"/>
                <a:pt x="1662546" y="4682836"/>
              </a:cubicBezTo>
              <a:cubicBezTo>
                <a:pt x="1988128" y="4971473"/>
                <a:pt x="2373746" y="5153891"/>
                <a:pt x="2784764" y="5306291"/>
              </a:cubicBezTo>
              <a:cubicBezTo>
                <a:pt x="3195782" y="5458691"/>
                <a:pt x="3918528" y="5546436"/>
                <a:pt x="4128655" y="5597236"/>
              </a:cubicBezTo>
            </a:path>
          </a:pathLst>
        </a:cu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0.51222</cdr:x>
      <cdr:y>0.16966</cdr:y>
    </cdr:from>
    <cdr:to>
      <cdr:x>0.98051</cdr:x>
      <cdr:y>0.71617</cdr:y>
    </cdr:to>
    <cdr:sp macro="" textlink="">
      <cdr:nvSpPr>
        <cdr:cNvPr id="18" name="Forma Livre: Forma 17">
          <a:extLst xmlns:a="http://schemas.openxmlformats.org/drawingml/2006/main">
            <a:ext uri="{FF2B5EF4-FFF2-40B4-BE49-F238E27FC236}">
              <a16:creationId xmlns:a16="http://schemas.microsoft.com/office/drawing/2014/main" id="{14291726-13B0-50C2-F4A4-1876627CFC84}"/>
            </a:ext>
          </a:extLst>
        </cdr:cNvPr>
        <cdr:cNvSpPr/>
      </cdr:nvSpPr>
      <cdr:spPr>
        <a:xfrm xmlns:a="http://schemas.openxmlformats.org/drawingml/2006/main">
          <a:off x="4597364" y="1246389"/>
          <a:ext cx="4203123" cy="4014873"/>
        </a:xfrm>
        <a:custGeom xmlns:a="http://schemas.openxmlformats.org/drawingml/2006/main">
          <a:avLst/>
          <a:gdLst>
            <a:gd name="connsiteX0" fmla="*/ 0 w 4073236"/>
            <a:gd name="connsiteY0" fmla="*/ 0 h 3769943"/>
            <a:gd name="connsiteX1" fmla="*/ 235527 w 4073236"/>
            <a:gd name="connsiteY1" fmla="*/ 900545 h 3769943"/>
            <a:gd name="connsiteX2" fmla="*/ 706581 w 4073236"/>
            <a:gd name="connsiteY2" fmla="*/ 2036618 h 3769943"/>
            <a:gd name="connsiteX3" fmla="*/ 1468581 w 4073236"/>
            <a:gd name="connsiteY3" fmla="*/ 3103418 h 3769943"/>
            <a:gd name="connsiteX4" fmla="*/ 2757054 w 4073236"/>
            <a:gd name="connsiteY4" fmla="*/ 3685309 h 3769943"/>
            <a:gd name="connsiteX5" fmla="*/ 4073236 w 4073236"/>
            <a:gd name="connsiteY5" fmla="*/ 3754582 h 3769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073236" h="3769943">
              <a:moveTo>
                <a:pt x="0" y="0"/>
              </a:moveTo>
              <a:cubicBezTo>
                <a:pt x="58882" y="280554"/>
                <a:pt x="117764" y="561109"/>
                <a:pt x="235527" y="900545"/>
              </a:cubicBezTo>
              <a:cubicBezTo>
                <a:pt x="353291" y="1239981"/>
                <a:pt x="501072" y="1669473"/>
                <a:pt x="706581" y="2036618"/>
              </a:cubicBezTo>
              <a:cubicBezTo>
                <a:pt x="912090" y="2403764"/>
                <a:pt x="1126836" y="2828636"/>
                <a:pt x="1468581" y="3103418"/>
              </a:cubicBezTo>
              <a:cubicBezTo>
                <a:pt x="1810326" y="3378200"/>
                <a:pt x="2322945" y="3576782"/>
                <a:pt x="2757054" y="3685309"/>
              </a:cubicBezTo>
              <a:cubicBezTo>
                <a:pt x="3191163" y="3793836"/>
                <a:pt x="3632199" y="3774209"/>
                <a:pt x="4073236" y="3754582"/>
              </a:cubicBezTo>
            </a:path>
          </a:pathLst>
        </a:custGeom>
        <a:noFill xmlns:a="http://schemas.openxmlformats.org/drawingml/2006/main"/>
        <a:ln xmlns:a="http://schemas.openxmlformats.org/drawingml/2006/main" w="6350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0.54309</cdr:x>
      <cdr:y>0.32735</cdr:y>
    </cdr:from>
    <cdr:to>
      <cdr:x>0.96758</cdr:x>
      <cdr:y>0.35729</cdr:y>
    </cdr:to>
    <cdr:cxnSp macro="">
      <cdr:nvCxnSpPr>
        <cdr:cNvPr id="20" name="Conector reto 19">
          <a:extLst xmlns:a="http://schemas.openxmlformats.org/drawingml/2006/main">
            <a:ext uri="{FF2B5EF4-FFF2-40B4-BE49-F238E27FC236}">
              <a16:creationId xmlns:a16="http://schemas.microsoft.com/office/drawing/2014/main" id="{9769C4B4-4EC6-F568-B6A8-F4CD6DF5A830}"/>
            </a:ext>
          </a:extLst>
        </cdr:cNvPr>
        <cdr:cNvCxnSpPr/>
      </cdr:nvCxnSpPr>
      <cdr:spPr>
        <a:xfrm xmlns:a="http://schemas.openxmlformats.org/drawingml/2006/main">
          <a:off x="4874455" y="2272145"/>
          <a:ext cx="3810000" cy="207818"/>
        </a:xfrm>
        <a:prstGeom xmlns:a="http://schemas.openxmlformats.org/drawingml/2006/main" prst="line">
          <a:avLst/>
        </a:prstGeom>
        <a:ln xmlns:a="http://schemas.openxmlformats.org/drawingml/2006/main" w="63500">
          <a:solidFill>
            <a:schemeClr val="accent1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0.51836</cdr:x>
      <cdr:y>0.17209</cdr:y>
    </cdr:from>
    <cdr:to>
      <cdr:x>0.98665</cdr:x>
      <cdr:y>0.7186</cdr:y>
    </cdr:to>
    <cdr:sp macro="" textlink="">
      <cdr:nvSpPr>
        <cdr:cNvPr id="18" name="Forma Livre: Forma 17">
          <a:extLst xmlns:a="http://schemas.openxmlformats.org/drawingml/2006/main">
            <a:ext uri="{FF2B5EF4-FFF2-40B4-BE49-F238E27FC236}">
              <a16:creationId xmlns:a16="http://schemas.microsoft.com/office/drawing/2014/main" id="{14291726-13B0-50C2-F4A4-1876627CFC84}"/>
            </a:ext>
          </a:extLst>
        </cdr:cNvPr>
        <cdr:cNvSpPr/>
      </cdr:nvSpPr>
      <cdr:spPr>
        <a:xfrm xmlns:a="http://schemas.openxmlformats.org/drawingml/2006/main">
          <a:off x="4821347" y="1348043"/>
          <a:ext cx="4355639" cy="4281009"/>
        </a:xfrm>
        <a:custGeom xmlns:a="http://schemas.openxmlformats.org/drawingml/2006/main">
          <a:avLst/>
          <a:gdLst>
            <a:gd name="connsiteX0" fmla="*/ 0 w 4073236"/>
            <a:gd name="connsiteY0" fmla="*/ 0 h 3769943"/>
            <a:gd name="connsiteX1" fmla="*/ 235527 w 4073236"/>
            <a:gd name="connsiteY1" fmla="*/ 900545 h 3769943"/>
            <a:gd name="connsiteX2" fmla="*/ 706581 w 4073236"/>
            <a:gd name="connsiteY2" fmla="*/ 2036618 h 3769943"/>
            <a:gd name="connsiteX3" fmla="*/ 1468581 w 4073236"/>
            <a:gd name="connsiteY3" fmla="*/ 3103418 h 3769943"/>
            <a:gd name="connsiteX4" fmla="*/ 2757054 w 4073236"/>
            <a:gd name="connsiteY4" fmla="*/ 3685309 h 3769943"/>
            <a:gd name="connsiteX5" fmla="*/ 4073236 w 4073236"/>
            <a:gd name="connsiteY5" fmla="*/ 3754582 h 3769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073236" h="3769943">
              <a:moveTo>
                <a:pt x="0" y="0"/>
              </a:moveTo>
              <a:cubicBezTo>
                <a:pt x="58882" y="280554"/>
                <a:pt x="117764" y="561109"/>
                <a:pt x="235527" y="900545"/>
              </a:cubicBezTo>
              <a:cubicBezTo>
                <a:pt x="353291" y="1239981"/>
                <a:pt x="501072" y="1669473"/>
                <a:pt x="706581" y="2036618"/>
              </a:cubicBezTo>
              <a:cubicBezTo>
                <a:pt x="912090" y="2403764"/>
                <a:pt x="1126836" y="2828636"/>
                <a:pt x="1468581" y="3103418"/>
              </a:cubicBezTo>
              <a:cubicBezTo>
                <a:pt x="1810326" y="3378200"/>
                <a:pt x="2322945" y="3576782"/>
                <a:pt x="2757054" y="3685309"/>
              </a:cubicBezTo>
              <a:cubicBezTo>
                <a:pt x="3191163" y="3793836"/>
                <a:pt x="3632199" y="3774209"/>
                <a:pt x="4073236" y="3754582"/>
              </a:cubicBezTo>
            </a:path>
          </a:pathLst>
        </a:custGeom>
        <a:noFill xmlns:a="http://schemas.openxmlformats.org/drawingml/2006/main"/>
        <a:ln xmlns:a="http://schemas.openxmlformats.org/drawingml/2006/main" w="6350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0.11166</cdr:x>
      <cdr:y>0.08508</cdr:y>
    </cdr:from>
    <cdr:to>
      <cdr:x>0.17233</cdr:x>
      <cdr:y>0.15686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F383DAF-DCF3-F8DE-CAAE-D1A81774F7E5}"/>
            </a:ext>
          </a:extLst>
        </cdr:cNvPr>
        <cdr:cNvSpPr txBox="1"/>
      </cdr:nvSpPr>
      <cdr:spPr>
        <a:xfrm xmlns:a="http://schemas.openxmlformats.org/drawingml/2006/main">
          <a:off x="981635" y="573491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2000"/>
            <a:t>R0</a:t>
          </a:r>
        </a:p>
      </cdr:txBody>
    </cdr:sp>
  </cdr:relSizeAnchor>
  <cdr:relSizeAnchor xmlns:cdr="http://schemas.openxmlformats.org/drawingml/2006/chartDrawing">
    <cdr:from>
      <cdr:x>0.21252</cdr:x>
      <cdr:y>0.08287</cdr:y>
    </cdr:from>
    <cdr:to>
      <cdr:x>0.27319</cdr:x>
      <cdr:y>0.15464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1E993705-4280-39C4-2F17-B1C01BD6D9A2}"/>
            </a:ext>
          </a:extLst>
        </cdr:cNvPr>
        <cdr:cNvSpPr txBox="1"/>
      </cdr:nvSpPr>
      <cdr:spPr>
        <a:xfrm xmlns:a="http://schemas.openxmlformats.org/drawingml/2006/main">
          <a:off x="1868394" y="558565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R1</a:t>
          </a:r>
        </a:p>
      </cdr:txBody>
    </cdr:sp>
  </cdr:relSizeAnchor>
  <cdr:relSizeAnchor xmlns:cdr="http://schemas.openxmlformats.org/drawingml/2006/chartDrawing">
    <cdr:from>
      <cdr:x>0.31615</cdr:x>
      <cdr:y>0.08021</cdr:y>
    </cdr:from>
    <cdr:to>
      <cdr:x>0.37682</cdr:x>
      <cdr:y>0.15198</cdr:y>
    </cdr:to>
    <cdr:sp macro="" textlink="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E10C1519-3473-3F92-99F7-FD6DD0B4F1CD}"/>
            </a:ext>
          </a:extLst>
        </cdr:cNvPr>
        <cdr:cNvSpPr txBox="1"/>
      </cdr:nvSpPr>
      <cdr:spPr>
        <a:xfrm xmlns:a="http://schemas.openxmlformats.org/drawingml/2006/main">
          <a:off x="2779432" y="540647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R2</a:t>
          </a:r>
        </a:p>
      </cdr:txBody>
    </cdr:sp>
  </cdr:relSizeAnchor>
  <cdr:relSizeAnchor xmlns:cdr="http://schemas.openxmlformats.org/drawingml/2006/chartDrawing">
    <cdr:from>
      <cdr:x>0.52072</cdr:x>
      <cdr:y>0.08468</cdr:y>
    </cdr:from>
    <cdr:to>
      <cdr:x>0.58139</cdr:x>
      <cdr:y>0.15645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3A8C276D-C3E1-0F83-CA80-96C15C51269E}"/>
            </a:ext>
          </a:extLst>
        </cdr:cNvPr>
        <cdr:cNvSpPr txBox="1"/>
      </cdr:nvSpPr>
      <cdr:spPr>
        <a:xfrm xmlns:a="http://schemas.openxmlformats.org/drawingml/2006/main">
          <a:off x="4577977" y="570753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R3</a:t>
          </a:r>
        </a:p>
      </cdr:txBody>
    </cdr:sp>
  </cdr:relSizeAnchor>
  <cdr:relSizeAnchor xmlns:cdr="http://schemas.openxmlformats.org/drawingml/2006/chartDrawing">
    <cdr:from>
      <cdr:x>0.11166</cdr:x>
      <cdr:y>0.08508</cdr:y>
    </cdr:from>
    <cdr:to>
      <cdr:x>0.17233</cdr:x>
      <cdr:y>0.15686</cdr:y>
    </cdr:to>
    <cdr:sp macro="" textlink="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BF383DAF-DCF3-F8DE-CAAE-D1A81774F7E5}"/>
            </a:ext>
          </a:extLst>
        </cdr:cNvPr>
        <cdr:cNvSpPr txBox="1"/>
      </cdr:nvSpPr>
      <cdr:spPr>
        <a:xfrm xmlns:a="http://schemas.openxmlformats.org/drawingml/2006/main">
          <a:off x="981635" y="573491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2000" b="1"/>
            <a:t>R0</a:t>
          </a:r>
        </a:p>
      </cdr:txBody>
    </cdr:sp>
  </cdr:relSizeAnchor>
  <cdr:relSizeAnchor xmlns:cdr="http://schemas.openxmlformats.org/drawingml/2006/chartDrawing">
    <cdr:from>
      <cdr:x>0.21252</cdr:x>
      <cdr:y>0.08287</cdr:y>
    </cdr:from>
    <cdr:to>
      <cdr:x>0.27319</cdr:x>
      <cdr:y>0.15464</cdr:y>
    </cdr:to>
    <cdr:sp macro="" textlink="">
      <cdr:nvSpPr>
        <cdr:cNvPr id="7" name="CaixaDeTexto 1">
          <a:extLst xmlns:a="http://schemas.openxmlformats.org/drawingml/2006/main">
            <a:ext uri="{FF2B5EF4-FFF2-40B4-BE49-F238E27FC236}">
              <a16:creationId xmlns:a16="http://schemas.microsoft.com/office/drawing/2014/main" id="{1E993705-4280-39C4-2F17-B1C01BD6D9A2}"/>
            </a:ext>
          </a:extLst>
        </cdr:cNvPr>
        <cdr:cNvSpPr txBox="1"/>
      </cdr:nvSpPr>
      <cdr:spPr>
        <a:xfrm xmlns:a="http://schemas.openxmlformats.org/drawingml/2006/main">
          <a:off x="2029111" y="681987"/>
          <a:ext cx="579269" cy="59063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R1</a:t>
          </a:r>
        </a:p>
      </cdr:txBody>
    </cdr:sp>
  </cdr:relSizeAnchor>
  <cdr:relSizeAnchor xmlns:cdr="http://schemas.openxmlformats.org/drawingml/2006/chartDrawing">
    <cdr:from>
      <cdr:x>0.31615</cdr:x>
      <cdr:y>0.08021</cdr:y>
    </cdr:from>
    <cdr:to>
      <cdr:x>0.37682</cdr:x>
      <cdr:y>0.15198</cdr:y>
    </cdr:to>
    <cdr:sp macro="" textlink="">
      <cdr:nvSpPr>
        <cdr:cNvPr id="8" name="CaixaDeTexto 1">
          <a:extLst xmlns:a="http://schemas.openxmlformats.org/drawingml/2006/main">
            <a:ext uri="{FF2B5EF4-FFF2-40B4-BE49-F238E27FC236}">
              <a16:creationId xmlns:a16="http://schemas.microsoft.com/office/drawing/2014/main" id="{E10C1519-3473-3F92-99F7-FD6DD0B4F1CD}"/>
            </a:ext>
          </a:extLst>
        </cdr:cNvPr>
        <cdr:cNvSpPr txBox="1"/>
      </cdr:nvSpPr>
      <cdr:spPr>
        <a:xfrm xmlns:a="http://schemas.openxmlformats.org/drawingml/2006/main">
          <a:off x="3018556" y="660096"/>
          <a:ext cx="579269" cy="59063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R2</a:t>
          </a:r>
        </a:p>
      </cdr:txBody>
    </cdr:sp>
  </cdr:relSizeAnchor>
  <cdr:relSizeAnchor xmlns:cdr="http://schemas.openxmlformats.org/drawingml/2006/chartDrawing">
    <cdr:from>
      <cdr:x>0.52072</cdr:x>
      <cdr:y>0.08468</cdr:y>
    </cdr:from>
    <cdr:to>
      <cdr:x>0.58139</cdr:x>
      <cdr:y>0.15645</cdr:y>
    </cdr:to>
    <cdr:sp macro="" textlink="">
      <cdr:nvSpPr>
        <cdr:cNvPr id="9" name="CaixaDeTexto 1">
          <a:extLst xmlns:a="http://schemas.openxmlformats.org/drawingml/2006/main">
            <a:ext uri="{FF2B5EF4-FFF2-40B4-BE49-F238E27FC236}">
              <a16:creationId xmlns:a16="http://schemas.microsoft.com/office/drawing/2014/main" id="{3A8C276D-C3E1-0F83-CA80-96C15C51269E}"/>
            </a:ext>
          </a:extLst>
        </cdr:cNvPr>
        <cdr:cNvSpPr txBox="1"/>
      </cdr:nvSpPr>
      <cdr:spPr>
        <a:xfrm xmlns:a="http://schemas.openxmlformats.org/drawingml/2006/main">
          <a:off x="4971762" y="696883"/>
          <a:ext cx="579268" cy="59063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R3</a:t>
          </a:r>
        </a:p>
      </cdr:txBody>
    </cdr:sp>
  </cdr:relSizeAnchor>
  <cdr:relSizeAnchor xmlns:cdr="http://schemas.openxmlformats.org/drawingml/2006/chartDrawing">
    <cdr:from>
      <cdr:x>0.83479</cdr:x>
      <cdr:y>0.08734</cdr:y>
    </cdr:from>
    <cdr:to>
      <cdr:x>0.89546</cdr:x>
      <cdr:y>0.15911</cdr:y>
    </cdr:to>
    <cdr:sp macro="" textlink="">
      <cdr:nvSpPr>
        <cdr:cNvPr id="10" name="CaixaDeTexto 1">
          <a:extLst xmlns:a="http://schemas.openxmlformats.org/drawingml/2006/main">
            <a:ext uri="{FF2B5EF4-FFF2-40B4-BE49-F238E27FC236}">
              <a16:creationId xmlns:a16="http://schemas.microsoft.com/office/drawing/2014/main" id="{640783A4-B927-425D-923D-5DCAE2FB9F4C}"/>
            </a:ext>
          </a:extLst>
        </cdr:cNvPr>
        <cdr:cNvSpPr txBox="1"/>
      </cdr:nvSpPr>
      <cdr:spPr>
        <a:xfrm xmlns:a="http://schemas.openxmlformats.org/drawingml/2006/main">
          <a:off x="7970458" y="718773"/>
          <a:ext cx="579269" cy="59063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R4</a:t>
          </a:r>
        </a:p>
      </cdr:txBody>
    </cdr:sp>
  </cdr:relSizeAnchor>
  <cdr:relSizeAnchor xmlns:cdr="http://schemas.openxmlformats.org/drawingml/2006/chartDrawing">
    <cdr:from>
      <cdr:x>0.42654</cdr:x>
      <cdr:y>0.07911</cdr:y>
    </cdr:from>
    <cdr:to>
      <cdr:x>0.48721</cdr:x>
      <cdr:y>0.15088</cdr:y>
    </cdr:to>
    <cdr:sp macro="" textlink="">
      <cdr:nvSpPr>
        <cdr:cNvPr id="11" name="CaixaDeTexto 1">
          <a:extLst xmlns:a="http://schemas.openxmlformats.org/drawingml/2006/main">
            <a:ext uri="{FF2B5EF4-FFF2-40B4-BE49-F238E27FC236}">
              <a16:creationId xmlns:a16="http://schemas.microsoft.com/office/drawing/2014/main" id="{0F470E2D-A46E-1EBD-33A7-005042A082EC}"/>
            </a:ext>
          </a:extLst>
        </cdr:cNvPr>
        <cdr:cNvSpPr txBox="1"/>
      </cdr:nvSpPr>
      <cdr:spPr>
        <a:xfrm xmlns:a="http://schemas.openxmlformats.org/drawingml/2006/main">
          <a:off x="3749964" y="535709"/>
          <a:ext cx="53338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0.62353</cdr:x>
      <cdr:y>0.08525</cdr:y>
    </cdr:from>
    <cdr:to>
      <cdr:x>0.77665</cdr:x>
      <cdr:y>0.15702</cdr:y>
    </cdr:to>
    <cdr:sp macro="" textlink="">
      <cdr:nvSpPr>
        <cdr:cNvPr id="12" name="CaixaDeTexto 1">
          <a:extLst xmlns:a="http://schemas.openxmlformats.org/drawingml/2006/main">
            <a:ext uri="{FF2B5EF4-FFF2-40B4-BE49-F238E27FC236}">
              <a16:creationId xmlns:a16="http://schemas.microsoft.com/office/drawing/2014/main" id="{43885973-FB3F-1903-11E5-A17D385558A2}"/>
            </a:ext>
          </a:extLst>
        </cdr:cNvPr>
        <cdr:cNvSpPr txBox="1"/>
      </cdr:nvSpPr>
      <cdr:spPr>
        <a:xfrm xmlns:a="http://schemas.openxmlformats.org/drawingml/2006/main">
          <a:off x="5481782" y="577273"/>
          <a:ext cx="134616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0.91822</cdr:x>
      <cdr:y>0.08525</cdr:y>
    </cdr:from>
    <cdr:to>
      <cdr:x>0.98782</cdr:x>
      <cdr:y>0.15702</cdr:y>
    </cdr:to>
    <cdr:sp macro="" textlink="">
      <cdr:nvSpPr>
        <cdr:cNvPr id="13" name="CaixaDeTexto 1">
          <a:extLst xmlns:a="http://schemas.openxmlformats.org/drawingml/2006/main">
            <a:ext uri="{FF2B5EF4-FFF2-40B4-BE49-F238E27FC236}">
              <a16:creationId xmlns:a16="http://schemas.microsoft.com/office/drawing/2014/main" id="{FD4BA332-2A60-2DFE-37A8-B4C03F033FE6}"/>
            </a:ext>
          </a:extLst>
        </cdr:cNvPr>
        <cdr:cNvSpPr txBox="1"/>
      </cdr:nvSpPr>
      <cdr:spPr>
        <a:xfrm xmlns:a="http://schemas.openxmlformats.org/drawingml/2006/main">
          <a:off x="8072581" y="577272"/>
          <a:ext cx="61187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0.39027</cdr:x>
      <cdr:y>0.16567</cdr:y>
    </cdr:from>
    <cdr:to>
      <cdr:x>0.85027</cdr:x>
      <cdr:y>0.97206</cdr:y>
    </cdr:to>
    <cdr:sp macro="" textlink="">
      <cdr:nvSpPr>
        <cdr:cNvPr id="17" name="Forma Livre: Forma 16">
          <a:extLst xmlns:a="http://schemas.openxmlformats.org/drawingml/2006/main">
            <a:ext uri="{FF2B5EF4-FFF2-40B4-BE49-F238E27FC236}">
              <a16:creationId xmlns:a16="http://schemas.microsoft.com/office/drawing/2014/main" id="{6D7CBAF6-E463-2A80-1D11-56C91B49F672}"/>
            </a:ext>
          </a:extLst>
        </cdr:cNvPr>
        <cdr:cNvSpPr/>
      </cdr:nvSpPr>
      <cdr:spPr>
        <a:xfrm xmlns:a="http://schemas.openxmlformats.org/drawingml/2006/main">
          <a:off x="4564665" y="1217063"/>
          <a:ext cx="5380162" cy="5924021"/>
        </a:xfrm>
        <a:custGeom xmlns:a="http://schemas.openxmlformats.org/drawingml/2006/main">
          <a:avLst/>
          <a:gdLst>
            <a:gd name="connsiteX0" fmla="*/ 0 w 4128655"/>
            <a:gd name="connsiteY0" fmla="*/ 0 h 5597236"/>
            <a:gd name="connsiteX1" fmla="*/ 332510 w 4128655"/>
            <a:gd name="connsiteY1" fmla="*/ 2022763 h 5597236"/>
            <a:gd name="connsiteX2" fmla="*/ 831273 w 4128655"/>
            <a:gd name="connsiteY2" fmla="*/ 3574472 h 5597236"/>
            <a:gd name="connsiteX3" fmla="*/ 1662546 w 4128655"/>
            <a:gd name="connsiteY3" fmla="*/ 4682836 h 5597236"/>
            <a:gd name="connsiteX4" fmla="*/ 2784764 w 4128655"/>
            <a:gd name="connsiteY4" fmla="*/ 5306291 h 5597236"/>
            <a:gd name="connsiteX5" fmla="*/ 4128655 w 4128655"/>
            <a:gd name="connsiteY5" fmla="*/ 5597236 h 55972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28655" h="5597236">
              <a:moveTo>
                <a:pt x="0" y="0"/>
              </a:moveTo>
              <a:cubicBezTo>
                <a:pt x="96982" y="713509"/>
                <a:pt x="193965" y="1427018"/>
                <a:pt x="332510" y="2022763"/>
              </a:cubicBezTo>
              <a:cubicBezTo>
                <a:pt x="471055" y="2618508"/>
                <a:pt x="609600" y="3131127"/>
                <a:pt x="831273" y="3574472"/>
              </a:cubicBezTo>
              <a:cubicBezTo>
                <a:pt x="1052946" y="4017817"/>
                <a:pt x="1336964" y="4394199"/>
                <a:pt x="1662546" y="4682836"/>
              </a:cubicBezTo>
              <a:cubicBezTo>
                <a:pt x="1988128" y="4971473"/>
                <a:pt x="2373746" y="5153891"/>
                <a:pt x="2784764" y="5306291"/>
              </a:cubicBezTo>
              <a:cubicBezTo>
                <a:pt x="3195782" y="5458691"/>
                <a:pt x="3918528" y="5546436"/>
                <a:pt x="4128655" y="5597236"/>
              </a:cubicBezTo>
            </a:path>
          </a:pathLst>
        </a:cu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0.54309</cdr:x>
      <cdr:y>0.32735</cdr:y>
    </cdr:from>
    <cdr:to>
      <cdr:x>0.96758</cdr:x>
      <cdr:y>0.35729</cdr:y>
    </cdr:to>
    <cdr:cxnSp macro="">
      <cdr:nvCxnSpPr>
        <cdr:cNvPr id="20" name="Conector reto 19">
          <a:extLst xmlns:a="http://schemas.openxmlformats.org/drawingml/2006/main">
            <a:ext uri="{FF2B5EF4-FFF2-40B4-BE49-F238E27FC236}">
              <a16:creationId xmlns:a16="http://schemas.microsoft.com/office/drawing/2014/main" id="{9769C4B4-4EC6-F568-B6A8-F4CD6DF5A830}"/>
            </a:ext>
          </a:extLst>
        </cdr:cNvPr>
        <cdr:cNvCxnSpPr/>
      </cdr:nvCxnSpPr>
      <cdr:spPr>
        <a:xfrm xmlns:a="http://schemas.openxmlformats.org/drawingml/2006/main">
          <a:off x="4874455" y="2272145"/>
          <a:ext cx="3810000" cy="207818"/>
        </a:xfrm>
        <a:prstGeom xmlns:a="http://schemas.openxmlformats.org/drawingml/2006/main" prst="line">
          <a:avLst/>
        </a:prstGeom>
        <a:ln xmlns:a="http://schemas.openxmlformats.org/drawingml/2006/main" w="63500">
          <a:solidFill>
            <a:schemeClr val="accent1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0.11166</cdr:x>
      <cdr:y>0.08508</cdr:y>
    </cdr:from>
    <cdr:to>
      <cdr:x>0.17233</cdr:x>
      <cdr:y>0.15686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F383DAF-DCF3-F8DE-CAAE-D1A81774F7E5}"/>
            </a:ext>
          </a:extLst>
        </cdr:cNvPr>
        <cdr:cNvSpPr txBox="1"/>
      </cdr:nvSpPr>
      <cdr:spPr>
        <a:xfrm xmlns:a="http://schemas.openxmlformats.org/drawingml/2006/main">
          <a:off x="981635" y="573491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2000"/>
            <a:t>R0</a:t>
          </a:r>
        </a:p>
      </cdr:txBody>
    </cdr:sp>
  </cdr:relSizeAnchor>
  <cdr:relSizeAnchor xmlns:cdr="http://schemas.openxmlformats.org/drawingml/2006/chartDrawing">
    <cdr:from>
      <cdr:x>0.21252</cdr:x>
      <cdr:y>0.08287</cdr:y>
    </cdr:from>
    <cdr:to>
      <cdr:x>0.27319</cdr:x>
      <cdr:y>0.15464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1E993705-4280-39C4-2F17-B1C01BD6D9A2}"/>
            </a:ext>
          </a:extLst>
        </cdr:cNvPr>
        <cdr:cNvSpPr txBox="1"/>
      </cdr:nvSpPr>
      <cdr:spPr>
        <a:xfrm xmlns:a="http://schemas.openxmlformats.org/drawingml/2006/main">
          <a:off x="1868394" y="558565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R1</a:t>
          </a:r>
        </a:p>
      </cdr:txBody>
    </cdr:sp>
  </cdr:relSizeAnchor>
  <cdr:relSizeAnchor xmlns:cdr="http://schemas.openxmlformats.org/drawingml/2006/chartDrawing">
    <cdr:from>
      <cdr:x>0.31615</cdr:x>
      <cdr:y>0.08021</cdr:y>
    </cdr:from>
    <cdr:to>
      <cdr:x>0.37682</cdr:x>
      <cdr:y>0.15198</cdr:y>
    </cdr:to>
    <cdr:sp macro="" textlink="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E10C1519-3473-3F92-99F7-FD6DD0B4F1CD}"/>
            </a:ext>
          </a:extLst>
        </cdr:cNvPr>
        <cdr:cNvSpPr txBox="1"/>
      </cdr:nvSpPr>
      <cdr:spPr>
        <a:xfrm xmlns:a="http://schemas.openxmlformats.org/drawingml/2006/main">
          <a:off x="2779432" y="540647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R2</a:t>
          </a:r>
        </a:p>
      </cdr:txBody>
    </cdr:sp>
  </cdr:relSizeAnchor>
  <cdr:relSizeAnchor xmlns:cdr="http://schemas.openxmlformats.org/drawingml/2006/chartDrawing">
    <cdr:from>
      <cdr:x>0.52072</cdr:x>
      <cdr:y>0.08468</cdr:y>
    </cdr:from>
    <cdr:to>
      <cdr:x>0.58139</cdr:x>
      <cdr:y>0.15645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3A8C276D-C3E1-0F83-CA80-96C15C51269E}"/>
            </a:ext>
          </a:extLst>
        </cdr:cNvPr>
        <cdr:cNvSpPr txBox="1"/>
      </cdr:nvSpPr>
      <cdr:spPr>
        <a:xfrm xmlns:a="http://schemas.openxmlformats.org/drawingml/2006/main">
          <a:off x="4577977" y="570753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R3</a:t>
          </a:r>
        </a:p>
      </cdr:txBody>
    </cdr:sp>
  </cdr:relSizeAnchor>
  <cdr:relSizeAnchor xmlns:cdr="http://schemas.openxmlformats.org/drawingml/2006/chartDrawing">
    <cdr:from>
      <cdr:x>0.11166</cdr:x>
      <cdr:y>0.08508</cdr:y>
    </cdr:from>
    <cdr:to>
      <cdr:x>0.17233</cdr:x>
      <cdr:y>0.15686</cdr:y>
    </cdr:to>
    <cdr:sp macro="" textlink="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BF383DAF-DCF3-F8DE-CAAE-D1A81774F7E5}"/>
            </a:ext>
          </a:extLst>
        </cdr:cNvPr>
        <cdr:cNvSpPr txBox="1"/>
      </cdr:nvSpPr>
      <cdr:spPr>
        <a:xfrm xmlns:a="http://schemas.openxmlformats.org/drawingml/2006/main">
          <a:off x="981635" y="573491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2000" b="1"/>
            <a:t>R0</a:t>
          </a:r>
        </a:p>
      </cdr:txBody>
    </cdr:sp>
  </cdr:relSizeAnchor>
  <cdr:relSizeAnchor xmlns:cdr="http://schemas.openxmlformats.org/drawingml/2006/chartDrawing">
    <cdr:from>
      <cdr:x>0.21252</cdr:x>
      <cdr:y>0.08287</cdr:y>
    </cdr:from>
    <cdr:to>
      <cdr:x>0.27319</cdr:x>
      <cdr:y>0.15464</cdr:y>
    </cdr:to>
    <cdr:sp macro="" textlink="">
      <cdr:nvSpPr>
        <cdr:cNvPr id="7" name="CaixaDeTexto 1">
          <a:extLst xmlns:a="http://schemas.openxmlformats.org/drawingml/2006/main">
            <a:ext uri="{FF2B5EF4-FFF2-40B4-BE49-F238E27FC236}">
              <a16:creationId xmlns:a16="http://schemas.microsoft.com/office/drawing/2014/main" id="{1E993705-4280-39C4-2F17-B1C01BD6D9A2}"/>
            </a:ext>
          </a:extLst>
        </cdr:cNvPr>
        <cdr:cNvSpPr txBox="1"/>
      </cdr:nvSpPr>
      <cdr:spPr>
        <a:xfrm xmlns:a="http://schemas.openxmlformats.org/drawingml/2006/main">
          <a:off x="1868394" y="558565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R1</a:t>
          </a:r>
        </a:p>
      </cdr:txBody>
    </cdr:sp>
  </cdr:relSizeAnchor>
  <cdr:relSizeAnchor xmlns:cdr="http://schemas.openxmlformats.org/drawingml/2006/chartDrawing">
    <cdr:from>
      <cdr:x>0.31615</cdr:x>
      <cdr:y>0.08021</cdr:y>
    </cdr:from>
    <cdr:to>
      <cdr:x>0.37682</cdr:x>
      <cdr:y>0.15198</cdr:y>
    </cdr:to>
    <cdr:sp macro="" textlink="">
      <cdr:nvSpPr>
        <cdr:cNvPr id="8" name="CaixaDeTexto 1">
          <a:extLst xmlns:a="http://schemas.openxmlformats.org/drawingml/2006/main">
            <a:ext uri="{FF2B5EF4-FFF2-40B4-BE49-F238E27FC236}">
              <a16:creationId xmlns:a16="http://schemas.microsoft.com/office/drawing/2014/main" id="{E10C1519-3473-3F92-99F7-FD6DD0B4F1CD}"/>
            </a:ext>
          </a:extLst>
        </cdr:cNvPr>
        <cdr:cNvSpPr txBox="1"/>
      </cdr:nvSpPr>
      <cdr:spPr>
        <a:xfrm xmlns:a="http://schemas.openxmlformats.org/drawingml/2006/main">
          <a:off x="2779432" y="540647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R2</a:t>
          </a:r>
        </a:p>
      </cdr:txBody>
    </cdr:sp>
  </cdr:relSizeAnchor>
  <cdr:relSizeAnchor xmlns:cdr="http://schemas.openxmlformats.org/drawingml/2006/chartDrawing">
    <cdr:from>
      <cdr:x>0.52072</cdr:x>
      <cdr:y>0.08468</cdr:y>
    </cdr:from>
    <cdr:to>
      <cdr:x>0.58139</cdr:x>
      <cdr:y>0.15645</cdr:y>
    </cdr:to>
    <cdr:sp macro="" textlink="">
      <cdr:nvSpPr>
        <cdr:cNvPr id="9" name="CaixaDeTexto 1">
          <a:extLst xmlns:a="http://schemas.openxmlformats.org/drawingml/2006/main">
            <a:ext uri="{FF2B5EF4-FFF2-40B4-BE49-F238E27FC236}">
              <a16:creationId xmlns:a16="http://schemas.microsoft.com/office/drawing/2014/main" id="{3A8C276D-C3E1-0F83-CA80-96C15C51269E}"/>
            </a:ext>
          </a:extLst>
        </cdr:cNvPr>
        <cdr:cNvSpPr txBox="1"/>
      </cdr:nvSpPr>
      <cdr:spPr>
        <a:xfrm xmlns:a="http://schemas.openxmlformats.org/drawingml/2006/main">
          <a:off x="4577977" y="570753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R3</a:t>
          </a:r>
        </a:p>
      </cdr:txBody>
    </cdr:sp>
  </cdr:relSizeAnchor>
  <cdr:relSizeAnchor xmlns:cdr="http://schemas.openxmlformats.org/drawingml/2006/chartDrawing">
    <cdr:from>
      <cdr:x>0.83479</cdr:x>
      <cdr:y>0.08734</cdr:y>
    </cdr:from>
    <cdr:to>
      <cdr:x>0.89546</cdr:x>
      <cdr:y>0.15911</cdr:y>
    </cdr:to>
    <cdr:sp macro="" textlink="">
      <cdr:nvSpPr>
        <cdr:cNvPr id="10" name="CaixaDeTexto 1">
          <a:extLst xmlns:a="http://schemas.openxmlformats.org/drawingml/2006/main">
            <a:ext uri="{FF2B5EF4-FFF2-40B4-BE49-F238E27FC236}">
              <a16:creationId xmlns:a16="http://schemas.microsoft.com/office/drawing/2014/main" id="{640783A4-B927-425D-923D-5DCAE2FB9F4C}"/>
            </a:ext>
          </a:extLst>
        </cdr:cNvPr>
        <cdr:cNvSpPr txBox="1"/>
      </cdr:nvSpPr>
      <cdr:spPr>
        <a:xfrm xmlns:a="http://schemas.openxmlformats.org/drawingml/2006/main">
          <a:off x="7339106" y="588683"/>
          <a:ext cx="533385" cy="48376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R4</a:t>
          </a:r>
        </a:p>
      </cdr:txBody>
    </cdr:sp>
  </cdr:relSizeAnchor>
  <cdr:relSizeAnchor xmlns:cdr="http://schemas.openxmlformats.org/drawingml/2006/chartDrawing">
    <cdr:from>
      <cdr:x>0.42654</cdr:x>
      <cdr:y>0.07911</cdr:y>
    </cdr:from>
    <cdr:to>
      <cdr:x>0.48721</cdr:x>
      <cdr:y>0.15088</cdr:y>
    </cdr:to>
    <cdr:sp macro="" textlink="">
      <cdr:nvSpPr>
        <cdr:cNvPr id="11" name="CaixaDeTexto 1">
          <a:extLst xmlns:a="http://schemas.openxmlformats.org/drawingml/2006/main">
            <a:ext uri="{FF2B5EF4-FFF2-40B4-BE49-F238E27FC236}">
              <a16:creationId xmlns:a16="http://schemas.microsoft.com/office/drawing/2014/main" id="{0F470E2D-A46E-1EBD-33A7-005042A082EC}"/>
            </a:ext>
          </a:extLst>
        </cdr:cNvPr>
        <cdr:cNvSpPr txBox="1"/>
      </cdr:nvSpPr>
      <cdr:spPr>
        <a:xfrm xmlns:a="http://schemas.openxmlformats.org/drawingml/2006/main">
          <a:off x="3749964" y="535709"/>
          <a:ext cx="53338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0.62353</cdr:x>
      <cdr:y>0.08525</cdr:y>
    </cdr:from>
    <cdr:to>
      <cdr:x>0.77665</cdr:x>
      <cdr:y>0.15702</cdr:y>
    </cdr:to>
    <cdr:sp macro="" textlink="">
      <cdr:nvSpPr>
        <cdr:cNvPr id="12" name="CaixaDeTexto 1">
          <a:extLst xmlns:a="http://schemas.openxmlformats.org/drawingml/2006/main">
            <a:ext uri="{FF2B5EF4-FFF2-40B4-BE49-F238E27FC236}">
              <a16:creationId xmlns:a16="http://schemas.microsoft.com/office/drawing/2014/main" id="{43885973-FB3F-1903-11E5-A17D385558A2}"/>
            </a:ext>
          </a:extLst>
        </cdr:cNvPr>
        <cdr:cNvSpPr txBox="1"/>
      </cdr:nvSpPr>
      <cdr:spPr>
        <a:xfrm xmlns:a="http://schemas.openxmlformats.org/drawingml/2006/main">
          <a:off x="5481782" y="577273"/>
          <a:ext cx="134616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0.91822</cdr:x>
      <cdr:y>0.08525</cdr:y>
    </cdr:from>
    <cdr:to>
      <cdr:x>0.98782</cdr:x>
      <cdr:y>0.15702</cdr:y>
    </cdr:to>
    <cdr:sp macro="" textlink="">
      <cdr:nvSpPr>
        <cdr:cNvPr id="13" name="CaixaDeTexto 1">
          <a:extLst xmlns:a="http://schemas.openxmlformats.org/drawingml/2006/main">
            <a:ext uri="{FF2B5EF4-FFF2-40B4-BE49-F238E27FC236}">
              <a16:creationId xmlns:a16="http://schemas.microsoft.com/office/drawing/2014/main" id="{FD4BA332-2A60-2DFE-37A8-B4C03F033FE6}"/>
            </a:ext>
          </a:extLst>
        </cdr:cNvPr>
        <cdr:cNvSpPr txBox="1"/>
      </cdr:nvSpPr>
      <cdr:spPr>
        <a:xfrm xmlns:a="http://schemas.openxmlformats.org/drawingml/2006/main">
          <a:off x="8072581" y="577272"/>
          <a:ext cx="61187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0.39027</cdr:x>
      <cdr:y>0.16567</cdr:y>
    </cdr:from>
    <cdr:to>
      <cdr:x>0.85027</cdr:x>
      <cdr:y>0.97206</cdr:y>
    </cdr:to>
    <cdr:sp macro="" textlink="">
      <cdr:nvSpPr>
        <cdr:cNvPr id="17" name="Forma Livre: Forma 16">
          <a:extLst xmlns:a="http://schemas.openxmlformats.org/drawingml/2006/main">
            <a:ext uri="{FF2B5EF4-FFF2-40B4-BE49-F238E27FC236}">
              <a16:creationId xmlns:a16="http://schemas.microsoft.com/office/drawing/2014/main" id="{6D7CBAF6-E463-2A80-1D11-56C91B49F672}"/>
            </a:ext>
          </a:extLst>
        </cdr:cNvPr>
        <cdr:cNvSpPr/>
      </cdr:nvSpPr>
      <cdr:spPr>
        <a:xfrm xmlns:a="http://schemas.openxmlformats.org/drawingml/2006/main">
          <a:off x="4564665" y="1217063"/>
          <a:ext cx="5380162" cy="5924021"/>
        </a:xfrm>
        <a:custGeom xmlns:a="http://schemas.openxmlformats.org/drawingml/2006/main">
          <a:avLst/>
          <a:gdLst>
            <a:gd name="connsiteX0" fmla="*/ 0 w 4128655"/>
            <a:gd name="connsiteY0" fmla="*/ 0 h 5597236"/>
            <a:gd name="connsiteX1" fmla="*/ 332510 w 4128655"/>
            <a:gd name="connsiteY1" fmla="*/ 2022763 h 5597236"/>
            <a:gd name="connsiteX2" fmla="*/ 831273 w 4128655"/>
            <a:gd name="connsiteY2" fmla="*/ 3574472 h 5597236"/>
            <a:gd name="connsiteX3" fmla="*/ 1662546 w 4128655"/>
            <a:gd name="connsiteY3" fmla="*/ 4682836 h 5597236"/>
            <a:gd name="connsiteX4" fmla="*/ 2784764 w 4128655"/>
            <a:gd name="connsiteY4" fmla="*/ 5306291 h 5597236"/>
            <a:gd name="connsiteX5" fmla="*/ 4128655 w 4128655"/>
            <a:gd name="connsiteY5" fmla="*/ 5597236 h 55972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28655" h="5597236">
              <a:moveTo>
                <a:pt x="0" y="0"/>
              </a:moveTo>
              <a:cubicBezTo>
                <a:pt x="96982" y="713509"/>
                <a:pt x="193965" y="1427018"/>
                <a:pt x="332510" y="2022763"/>
              </a:cubicBezTo>
              <a:cubicBezTo>
                <a:pt x="471055" y="2618508"/>
                <a:pt x="609600" y="3131127"/>
                <a:pt x="831273" y="3574472"/>
              </a:cubicBezTo>
              <a:cubicBezTo>
                <a:pt x="1052946" y="4017817"/>
                <a:pt x="1336964" y="4394199"/>
                <a:pt x="1662546" y="4682836"/>
              </a:cubicBezTo>
              <a:cubicBezTo>
                <a:pt x="1988128" y="4971473"/>
                <a:pt x="2373746" y="5153891"/>
                <a:pt x="2784764" y="5306291"/>
              </a:cubicBezTo>
              <a:cubicBezTo>
                <a:pt x="3195782" y="5458691"/>
                <a:pt x="3918528" y="5546436"/>
                <a:pt x="4128655" y="5597236"/>
              </a:cubicBezTo>
            </a:path>
          </a:pathLst>
        </a:cu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0.51222</cdr:x>
      <cdr:y>0.16966</cdr:y>
    </cdr:from>
    <cdr:to>
      <cdr:x>0.98051</cdr:x>
      <cdr:y>0.71617</cdr:y>
    </cdr:to>
    <cdr:sp macro="" textlink="">
      <cdr:nvSpPr>
        <cdr:cNvPr id="18" name="Forma Livre: Forma 17">
          <a:extLst xmlns:a="http://schemas.openxmlformats.org/drawingml/2006/main">
            <a:ext uri="{FF2B5EF4-FFF2-40B4-BE49-F238E27FC236}">
              <a16:creationId xmlns:a16="http://schemas.microsoft.com/office/drawing/2014/main" id="{14291726-13B0-50C2-F4A4-1876627CFC84}"/>
            </a:ext>
          </a:extLst>
        </cdr:cNvPr>
        <cdr:cNvSpPr/>
      </cdr:nvSpPr>
      <cdr:spPr>
        <a:xfrm xmlns:a="http://schemas.openxmlformats.org/drawingml/2006/main">
          <a:off x="4597364" y="1246389"/>
          <a:ext cx="4203123" cy="4014873"/>
        </a:xfrm>
        <a:custGeom xmlns:a="http://schemas.openxmlformats.org/drawingml/2006/main">
          <a:avLst/>
          <a:gdLst>
            <a:gd name="connsiteX0" fmla="*/ 0 w 4073236"/>
            <a:gd name="connsiteY0" fmla="*/ 0 h 3769943"/>
            <a:gd name="connsiteX1" fmla="*/ 235527 w 4073236"/>
            <a:gd name="connsiteY1" fmla="*/ 900545 h 3769943"/>
            <a:gd name="connsiteX2" fmla="*/ 706581 w 4073236"/>
            <a:gd name="connsiteY2" fmla="*/ 2036618 h 3769943"/>
            <a:gd name="connsiteX3" fmla="*/ 1468581 w 4073236"/>
            <a:gd name="connsiteY3" fmla="*/ 3103418 h 3769943"/>
            <a:gd name="connsiteX4" fmla="*/ 2757054 w 4073236"/>
            <a:gd name="connsiteY4" fmla="*/ 3685309 h 3769943"/>
            <a:gd name="connsiteX5" fmla="*/ 4073236 w 4073236"/>
            <a:gd name="connsiteY5" fmla="*/ 3754582 h 3769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073236" h="3769943">
              <a:moveTo>
                <a:pt x="0" y="0"/>
              </a:moveTo>
              <a:cubicBezTo>
                <a:pt x="58882" y="280554"/>
                <a:pt x="117764" y="561109"/>
                <a:pt x="235527" y="900545"/>
              </a:cubicBezTo>
              <a:cubicBezTo>
                <a:pt x="353291" y="1239981"/>
                <a:pt x="501072" y="1669473"/>
                <a:pt x="706581" y="2036618"/>
              </a:cubicBezTo>
              <a:cubicBezTo>
                <a:pt x="912090" y="2403764"/>
                <a:pt x="1126836" y="2828636"/>
                <a:pt x="1468581" y="3103418"/>
              </a:cubicBezTo>
              <a:cubicBezTo>
                <a:pt x="1810326" y="3378200"/>
                <a:pt x="2322945" y="3576782"/>
                <a:pt x="2757054" y="3685309"/>
              </a:cubicBezTo>
              <a:cubicBezTo>
                <a:pt x="3191163" y="3793836"/>
                <a:pt x="3632199" y="3774209"/>
                <a:pt x="4073236" y="3754582"/>
              </a:cubicBezTo>
            </a:path>
          </a:pathLst>
        </a:custGeom>
        <a:noFill xmlns:a="http://schemas.openxmlformats.org/drawingml/2006/main"/>
        <a:ln xmlns:a="http://schemas.openxmlformats.org/drawingml/2006/main" w="6350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0.54309</cdr:x>
      <cdr:y>0.32735</cdr:y>
    </cdr:from>
    <cdr:to>
      <cdr:x>0.96758</cdr:x>
      <cdr:y>0.35729</cdr:y>
    </cdr:to>
    <cdr:cxnSp macro="">
      <cdr:nvCxnSpPr>
        <cdr:cNvPr id="20" name="Conector reto 19">
          <a:extLst xmlns:a="http://schemas.openxmlformats.org/drawingml/2006/main">
            <a:ext uri="{FF2B5EF4-FFF2-40B4-BE49-F238E27FC236}">
              <a16:creationId xmlns:a16="http://schemas.microsoft.com/office/drawing/2014/main" id="{9769C4B4-4EC6-F568-B6A8-F4CD6DF5A830}"/>
            </a:ext>
          </a:extLst>
        </cdr:cNvPr>
        <cdr:cNvCxnSpPr/>
      </cdr:nvCxnSpPr>
      <cdr:spPr>
        <a:xfrm xmlns:a="http://schemas.openxmlformats.org/drawingml/2006/main">
          <a:off x="4874455" y="2272145"/>
          <a:ext cx="3810000" cy="207818"/>
        </a:xfrm>
        <a:prstGeom xmlns:a="http://schemas.openxmlformats.org/drawingml/2006/main" prst="line">
          <a:avLst/>
        </a:prstGeom>
        <a:ln xmlns:a="http://schemas.openxmlformats.org/drawingml/2006/main" w="63500">
          <a:solidFill>
            <a:schemeClr val="accent1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89</xdr:col>
      <xdr:colOff>417137</xdr:colOff>
      <xdr:row>119</xdr:row>
      <xdr:rowOff>171450</xdr:rowOff>
    </xdr:from>
    <xdr:to>
      <xdr:col>104</xdr:col>
      <xdr:colOff>645034</xdr:colOff>
      <xdr:row>193</xdr:row>
      <xdr:rowOff>72938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0D8E84E-784D-4710-856F-0663BA87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01187" y="5791200"/>
          <a:ext cx="12229397" cy="5806988"/>
        </a:xfrm>
        <a:prstGeom prst="rect">
          <a:avLst/>
        </a:prstGeom>
      </xdr:spPr>
    </xdr:pic>
    <xdr:clientData/>
  </xdr:twoCellAnchor>
  <xdr:twoCellAnchor editAs="oneCell">
    <xdr:from>
      <xdr:col>76</xdr:col>
      <xdr:colOff>176893</xdr:colOff>
      <xdr:row>116</xdr:row>
      <xdr:rowOff>70109</xdr:rowOff>
    </xdr:from>
    <xdr:to>
      <xdr:col>88</xdr:col>
      <xdr:colOff>367690</xdr:colOff>
      <xdr:row>185</xdr:row>
      <xdr:rowOff>85310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EBB57922-F682-484B-83D0-5168B3933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06250" y="5118359"/>
          <a:ext cx="9334797" cy="4968201"/>
        </a:xfrm>
        <a:prstGeom prst="rect">
          <a:avLst/>
        </a:prstGeom>
      </xdr:spPr>
    </xdr:pic>
    <xdr:clientData/>
  </xdr:twoCellAnchor>
  <xdr:twoCellAnchor editAs="oneCell">
    <xdr:from>
      <xdr:col>39</xdr:col>
      <xdr:colOff>187894</xdr:colOff>
      <xdr:row>641</xdr:row>
      <xdr:rowOff>60960</xdr:rowOff>
    </xdr:from>
    <xdr:to>
      <xdr:col>49</xdr:col>
      <xdr:colOff>270145</xdr:colOff>
      <xdr:row>675</xdr:row>
      <xdr:rowOff>149890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E061D65-17DF-4C52-B5D6-1DF6CD9E1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872854" y="114574320"/>
          <a:ext cx="12319971" cy="6314471"/>
        </a:xfrm>
        <a:prstGeom prst="rect">
          <a:avLst/>
        </a:prstGeom>
      </xdr:spPr>
    </xdr:pic>
    <xdr:clientData/>
  </xdr:twoCellAnchor>
  <xdr:oneCellAnchor>
    <xdr:from>
      <xdr:col>58</xdr:col>
      <xdr:colOff>758190</xdr:colOff>
      <xdr:row>637</xdr:row>
      <xdr:rowOff>27940</xdr:rowOff>
    </xdr:from>
    <xdr:ext cx="8627655" cy="9916159"/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74238D-A87B-47D1-B9D2-2EBA3A2FE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70</xdr:col>
      <xdr:colOff>435610</xdr:colOff>
      <xdr:row>648</xdr:row>
      <xdr:rowOff>91440</xdr:rowOff>
    </xdr:from>
    <xdr:to>
      <xdr:col>81</xdr:col>
      <xdr:colOff>30480</xdr:colOff>
      <xdr:row>677</xdr:row>
      <xdr:rowOff>181610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5FEBB3D-D25B-4AB4-91CE-DB8BD238D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50</xdr:col>
      <xdr:colOff>807026</xdr:colOff>
      <xdr:row>640</xdr:row>
      <xdr:rowOff>24245</xdr:rowOff>
    </xdr:from>
    <xdr:to>
      <xdr:col>58</xdr:col>
      <xdr:colOff>174587</xdr:colOff>
      <xdr:row>677</xdr:row>
      <xdr:rowOff>130068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F7B108C-1F1D-43EB-A62F-0A38A43876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8680" b="17802"/>
        <a:stretch/>
      </xdr:blipFill>
      <xdr:spPr>
        <a:xfrm>
          <a:off x="53903186" y="114354725"/>
          <a:ext cx="9509781" cy="6880003"/>
        </a:xfrm>
        <a:prstGeom prst="rect">
          <a:avLst/>
        </a:prstGeom>
      </xdr:spPr>
    </xdr:pic>
    <xdr:clientData/>
  </xdr:twoCellAnchor>
  <xdr:twoCellAnchor>
    <xdr:from>
      <xdr:col>86</xdr:col>
      <xdr:colOff>396240</xdr:colOff>
      <xdr:row>61</xdr:row>
      <xdr:rowOff>137160</xdr:rowOff>
    </xdr:from>
    <xdr:to>
      <xdr:col>95</xdr:col>
      <xdr:colOff>76200</xdr:colOff>
      <xdr:row>96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2D1CD5C-A15D-47D6-BC3F-4D9569676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777240</xdr:colOff>
      <xdr:row>635</xdr:row>
      <xdr:rowOff>154940</xdr:rowOff>
    </xdr:from>
    <xdr:to>
      <xdr:col>49</xdr:col>
      <xdr:colOff>604520</xdr:colOff>
      <xdr:row>662</xdr:row>
      <xdr:rowOff>142240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1D4A1F80-BDAB-41F4-803D-4049B7B0E5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88640" y="44636690"/>
              <a:ext cx="2894330" cy="522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42</xdr:col>
      <xdr:colOff>101600</xdr:colOff>
      <xdr:row>635</xdr:row>
      <xdr:rowOff>139700</xdr:rowOff>
    </xdr:from>
    <xdr:to>
      <xdr:col>46</xdr:col>
      <xdr:colOff>317500</xdr:colOff>
      <xdr:row>662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68FF6419-1F71-4599-8408-357B075DA2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79150" y="44621450"/>
              <a:ext cx="4368800" cy="522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104</xdr:col>
      <xdr:colOff>391967</xdr:colOff>
      <xdr:row>119</xdr:row>
      <xdr:rowOff>53860</xdr:rowOff>
    </xdr:from>
    <xdr:to>
      <xdr:col>116</xdr:col>
      <xdr:colOff>172141</xdr:colOff>
      <xdr:row>184</xdr:row>
      <xdr:rowOff>149707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9861693-129F-4AF9-AE57-17A978B6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2767" y="10836160"/>
          <a:ext cx="9381374" cy="4286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434340</xdr:colOff>
      <xdr:row>641</xdr:row>
      <xdr:rowOff>41910</xdr:rowOff>
    </xdr:from>
    <xdr:to>
      <xdr:col>33</xdr:col>
      <xdr:colOff>514350</xdr:colOff>
      <xdr:row>681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B174ED9-1AB7-4FB6-9863-1166E5894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365760</xdr:colOff>
      <xdr:row>735</xdr:row>
      <xdr:rowOff>121920</xdr:rowOff>
    </xdr:from>
    <xdr:to>
      <xdr:col>32</xdr:col>
      <xdr:colOff>849629</xdr:colOff>
      <xdr:row>805</xdr:row>
      <xdr:rowOff>101916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F66C323-5BB7-4E1C-BE60-5BD6AD95A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18</xdr:col>
      <xdr:colOff>251284</xdr:colOff>
      <xdr:row>684</xdr:row>
      <xdr:rowOff>96720</xdr:rowOff>
    </xdr:from>
    <xdr:ext cx="6480000" cy="8280000"/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5BC65DE-3D77-4E63-8CD0-5DB2E06F8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23</xdr:col>
      <xdr:colOff>137766</xdr:colOff>
      <xdr:row>684</xdr:row>
      <xdr:rowOff>102177</xdr:rowOff>
    </xdr:from>
    <xdr:ext cx="6480000" cy="8280000"/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F7B5CA1-0F88-4035-9533-273706F17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6</xdr:col>
      <xdr:colOff>1885950</xdr:colOff>
      <xdr:row>684</xdr:row>
      <xdr:rowOff>110491</xdr:rowOff>
    </xdr:from>
    <xdr:ext cx="6480000" cy="8280000"/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8F02014-4ABC-4D09-9D49-DDE63DC34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twoCellAnchor>
    <xdr:from>
      <xdr:col>89</xdr:col>
      <xdr:colOff>1</xdr:colOff>
      <xdr:row>9</xdr:row>
      <xdr:rowOff>96114</xdr:rowOff>
    </xdr:from>
    <xdr:to>
      <xdr:col>96</xdr:col>
      <xdr:colOff>533401</xdr:colOff>
      <xdr:row>120</xdr:row>
      <xdr:rowOff>152400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86DF1086-293E-44FC-9A34-DB442D368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oneCellAnchor>
    <xdr:from>
      <xdr:col>28</xdr:col>
      <xdr:colOff>1028700</xdr:colOff>
      <xdr:row>684</xdr:row>
      <xdr:rowOff>95250</xdr:rowOff>
    </xdr:from>
    <xdr:ext cx="6553200" cy="8286750"/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64AC00F-B4F9-4135-892A-B32D3C6EB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34</xdr:col>
      <xdr:colOff>-1</xdr:colOff>
      <xdr:row>684</xdr:row>
      <xdr:rowOff>91439</xdr:rowOff>
    </xdr:from>
    <xdr:ext cx="6552000" cy="8352000"/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FAE7D1E-39B0-4985-99D3-C99D40493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twoCellAnchor>
    <xdr:from>
      <xdr:col>86</xdr:col>
      <xdr:colOff>666750</xdr:colOff>
      <xdr:row>626</xdr:row>
      <xdr:rowOff>95250</xdr:rowOff>
    </xdr:from>
    <xdr:to>
      <xdr:col>96</xdr:col>
      <xdr:colOff>351471</xdr:colOff>
      <xdr:row>647</xdr:row>
      <xdr:rowOff>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83857C8-A405-4718-9D8B-6D3F0E96C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76</xdr:col>
      <xdr:colOff>235281</xdr:colOff>
      <xdr:row>9</xdr:row>
      <xdr:rowOff>155121</xdr:rowOff>
    </xdr:from>
    <xdr:to>
      <xdr:col>87</xdr:col>
      <xdr:colOff>747299</xdr:colOff>
      <xdr:row>116</xdr:row>
      <xdr:rowOff>86541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B1B9CD45-0593-3142-1B69-38A7CD424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3824" t="4034"/>
        <a:stretch/>
      </xdr:blipFill>
      <xdr:spPr>
        <a:xfrm>
          <a:off x="88164638" y="1202871"/>
          <a:ext cx="8894018" cy="393192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18</xdr:col>
      <xdr:colOff>519776</xdr:colOff>
      <xdr:row>43</xdr:row>
      <xdr:rowOff>50800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5FF669-38C6-4656-B0ED-BDF627C0F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447931</xdr:colOff>
      <xdr:row>1</xdr:row>
      <xdr:rowOff>118471</xdr:rowOff>
    </xdr:from>
    <xdr:to>
      <xdr:col>27</xdr:col>
      <xdr:colOff>513799</xdr:colOff>
      <xdr:row>21</xdr:row>
      <xdr:rowOff>24720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1071FC-52ED-EEAB-BC57-5CB7447F6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82038" y="295364"/>
          <a:ext cx="5263797" cy="3444106"/>
        </a:xfrm>
        <a:prstGeom prst="rect">
          <a:avLst/>
        </a:prstGeom>
      </xdr:spPr>
    </xdr:pic>
    <xdr:clientData/>
  </xdr:twoCellAnchor>
  <xdr:twoCellAnchor editAs="oneCell">
    <xdr:from>
      <xdr:col>19</xdr:col>
      <xdr:colOff>421821</xdr:colOff>
      <xdr:row>20</xdr:row>
      <xdr:rowOff>163286</xdr:rowOff>
    </xdr:from>
    <xdr:to>
      <xdr:col>27</xdr:col>
      <xdr:colOff>554544</xdr:colOff>
      <xdr:row>41</xdr:row>
      <xdr:rowOff>112169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46428FC-27EB-AB0F-8E46-00B33502F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55928" y="3701143"/>
          <a:ext cx="5330652" cy="3663633"/>
        </a:xfrm>
        <a:prstGeom prst="rect">
          <a:avLst/>
        </a:prstGeom>
      </xdr:spPr>
    </xdr:pic>
    <xdr:clientData/>
  </xdr:twoCellAnchor>
  <xdr:twoCellAnchor editAs="oneCell">
    <xdr:from>
      <xdr:col>19</xdr:col>
      <xdr:colOff>439238</xdr:colOff>
      <xdr:row>39</xdr:row>
      <xdr:rowOff>83548</xdr:rowOff>
    </xdr:from>
    <xdr:to>
      <xdr:col>27</xdr:col>
      <xdr:colOff>502227</xdr:colOff>
      <xdr:row>58</xdr:row>
      <xdr:rowOff>67375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6CC6151-E3B3-3313-9BDB-9A15A4457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55829" y="6837639"/>
          <a:ext cx="5206489" cy="3274281"/>
        </a:xfrm>
        <a:prstGeom prst="rect">
          <a:avLst/>
        </a:prstGeom>
      </xdr:spPr>
    </xdr:pic>
    <xdr:clientData/>
  </xdr:twoCellAnchor>
  <xdr:twoCellAnchor editAs="oneCell">
    <xdr:from>
      <xdr:col>28</xdr:col>
      <xdr:colOff>287543</xdr:colOff>
      <xdr:row>1</xdr:row>
      <xdr:rowOff>169210</xdr:rowOff>
    </xdr:from>
    <xdr:to>
      <xdr:col>36</xdr:col>
      <xdr:colOff>325941</xdr:colOff>
      <xdr:row>21</xdr:row>
      <xdr:rowOff>23534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11AB841-5579-01D5-EB9F-C94F58F5B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61143" y="359710"/>
          <a:ext cx="4915198" cy="3664324"/>
        </a:xfrm>
        <a:prstGeom prst="rect">
          <a:avLst/>
        </a:prstGeom>
      </xdr:spPr>
    </xdr:pic>
    <xdr:clientData/>
  </xdr:twoCellAnchor>
  <xdr:twoCellAnchor editAs="oneCell">
    <xdr:from>
      <xdr:col>28</xdr:col>
      <xdr:colOff>250339</xdr:colOff>
      <xdr:row>18</xdr:row>
      <xdr:rowOff>161030</xdr:rowOff>
    </xdr:from>
    <xdr:to>
      <xdr:col>36</xdr:col>
      <xdr:colOff>336177</xdr:colOff>
      <xdr:row>36</xdr:row>
      <xdr:rowOff>895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009D8B1-7B3C-5CB5-E483-E0D1683E6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23939" y="3590030"/>
          <a:ext cx="4962638" cy="3268865"/>
        </a:xfrm>
        <a:prstGeom prst="rect">
          <a:avLst/>
        </a:prstGeom>
      </xdr:spPr>
    </xdr:pic>
    <xdr:clientData/>
  </xdr:twoCellAnchor>
  <xdr:twoCellAnchor editAs="oneCell">
    <xdr:from>
      <xdr:col>28</xdr:col>
      <xdr:colOff>267651</xdr:colOff>
      <xdr:row>35</xdr:row>
      <xdr:rowOff>154522</xdr:rowOff>
    </xdr:from>
    <xdr:to>
      <xdr:col>36</xdr:col>
      <xdr:colOff>381616</xdr:colOff>
      <xdr:row>45</xdr:row>
      <xdr:rowOff>133354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700313F-D9BE-4EEB-7FB1-F99E658F71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3527"/>
        <a:stretch/>
      </xdr:blipFill>
      <xdr:spPr>
        <a:xfrm rot="5400000">
          <a:off x="19194718" y="5268555"/>
          <a:ext cx="1883832" cy="4990765"/>
        </a:xfrm>
        <a:prstGeom prst="rect">
          <a:avLst/>
        </a:prstGeom>
      </xdr:spPr>
    </xdr:pic>
    <xdr:clientData/>
  </xdr:twoCellAnchor>
  <xdr:twoCellAnchor>
    <xdr:from>
      <xdr:col>36</xdr:col>
      <xdr:colOff>495300</xdr:colOff>
      <xdr:row>0</xdr:row>
      <xdr:rowOff>91441</xdr:rowOff>
    </xdr:from>
    <xdr:to>
      <xdr:col>56</xdr:col>
      <xdr:colOff>242455</xdr:colOff>
      <xdr:row>62</xdr:row>
      <xdr:rowOff>155863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5CB9644-B555-471D-BD36-A51DAE370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50</xdr:col>
      <xdr:colOff>471128</xdr:colOff>
      <xdr:row>35</xdr:row>
      <xdr:rowOff>53340</xdr:rowOff>
    </xdr:from>
    <xdr:ext cx="2503570" cy="781111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95A4F595-D5A6-45AA-8C06-4769B726C0F9}"/>
            </a:ext>
          </a:extLst>
        </xdr:cNvPr>
        <xdr:cNvSpPr txBox="1"/>
      </xdr:nvSpPr>
      <xdr:spPr>
        <a:xfrm rot="2637867">
          <a:off x="31255928" y="6720840"/>
          <a:ext cx="2503570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4400" b="1" kern="1200"/>
            <a:t>BLASTING</a:t>
          </a:r>
        </a:p>
      </xdr:txBody>
    </xdr:sp>
    <xdr:clientData/>
  </xdr:oneCellAnchor>
  <xdr:oneCellAnchor>
    <xdr:from>
      <xdr:col>46</xdr:col>
      <xdr:colOff>341550</xdr:colOff>
      <xdr:row>43</xdr:row>
      <xdr:rowOff>133260</xdr:rowOff>
    </xdr:from>
    <xdr:ext cx="3272789" cy="146989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2BF642A5-08F3-4A61-BDF1-D20CBB3A8949}"/>
            </a:ext>
          </a:extLst>
        </xdr:cNvPr>
        <xdr:cNvSpPr txBox="1"/>
      </xdr:nvSpPr>
      <xdr:spPr>
        <a:xfrm rot="2637867">
          <a:off x="28687950" y="8324760"/>
          <a:ext cx="3272789" cy="1469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4400" b="1" kern="1200"/>
            <a:t>RIPPING/PRE-BLASTING</a:t>
          </a:r>
        </a:p>
      </xdr:txBody>
    </xdr:sp>
    <xdr:clientData/>
  </xdr:oneCellAnchor>
  <xdr:oneCellAnchor>
    <xdr:from>
      <xdr:col>43</xdr:col>
      <xdr:colOff>236219</xdr:colOff>
      <xdr:row>51</xdr:row>
      <xdr:rowOff>22863</xdr:rowOff>
    </xdr:from>
    <xdr:ext cx="2291397" cy="781111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26B0C5A6-EC6B-4035-9A76-4E1E925C4D88}"/>
            </a:ext>
          </a:extLst>
        </xdr:cNvPr>
        <xdr:cNvSpPr txBox="1"/>
      </xdr:nvSpPr>
      <xdr:spPr>
        <a:xfrm rot="2637867">
          <a:off x="26753819" y="9738363"/>
          <a:ext cx="2291397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4400" b="1" kern="1200"/>
            <a:t>DIGGING</a:t>
          </a:r>
        </a:p>
      </xdr:txBody>
    </xdr:sp>
    <xdr:clientData/>
  </xdr:oneCellAnchor>
  <xdr:twoCellAnchor>
    <xdr:from>
      <xdr:col>56</xdr:col>
      <xdr:colOff>533400</xdr:colOff>
      <xdr:row>0</xdr:row>
      <xdr:rowOff>55418</xdr:rowOff>
    </xdr:from>
    <xdr:to>
      <xdr:col>78</xdr:col>
      <xdr:colOff>25400</xdr:colOff>
      <xdr:row>62</xdr:row>
      <xdr:rowOff>32798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7A86C06-0B92-4AB3-8BA5-DB1B3797C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0.40292</cdr:x>
      <cdr:y>0.17073</cdr:y>
    </cdr:from>
    <cdr:to>
      <cdr:x>0.96352</cdr:x>
      <cdr:y>0.73982</cdr:y>
    </cdr:to>
    <cdr:sp macro="" textlink="">
      <cdr:nvSpPr>
        <cdr:cNvPr id="18" name="Forma Livre: Forma 17">
          <a:extLst xmlns:a="http://schemas.openxmlformats.org/drawingml/2006/main">
            <a:ext uri="{FF2B5EF4-FFF2-40B4-BE49-F238E27FC236}">
              <a16:creationId xmlns:a16="http://schemas.microsoft.com/office/drawing/2014/main" id="{14291726-13B0-50C2-F4A4-1876627CFC84}"/>
            </a:ext>
          </a:extLst>
        </cdr:cNvPr>
        <cdr:cNvSpPr/>
      </cdr:nvSpPr>
      <cdr:spPr>
        <a:xfrm xmlns:a="http://schemas.openxmlformats.org/drawingml/2006/main">
          <a:off x="4741528" y="1920318"/>
          <a:ext cx="6597032" cy="6400722"/>
        </a:xfrm>
        <a:custGeom xmlns:a="http://schemas.openxmlformats.org/drawingml/2006/main">
          <a:avLst/>
          <a:gdLst>
            <a:gd name="connsiteX0" fmla="*/ 0 w 4073236"/>
            <a:gd name="connsiteY0" fmla="*/ 0 h 3769943"/>
            <a:gd name="connsiteX1" fmla="*/ 235527 w 4073236"/>
            <a:gd name="connsiteY1" fmla="*/ 900545 h 3769943"/>
            <a:gd name="connsiteX2" fmla="*/ 706581 w 4073236"/>
            <a:gd name="connsiteY2" fmla="*/ 2036618 h 3769943"/>
            <a:gd name="connsiteX3" fmla="*/ 1468581 w 4073236"/>
            <a:gd name="connsiteY3" fmla="*/ 3103418 h 3769943"/>
            <a:gd name="connsiteX4" fmla="*/ 2757054 w 4073236"/>
            <a:gd name="connsiteY4" fmla="*/ 3685309 h 3769943"/>
            <a:gd name="connsiteX5" fmla="*/ 4073236 w 4073236"/>
            <a:gd name="connsiteY5" fmla="*/ 3754582 h 3769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073236" h="3769943">
              <a:moveTo>
                <a:pt x="0" y="0"/>
              </a:moveTo>
              <a:cubicBezTo>
                <a:pt x="58882" y="280554"/>
                <a:pt x="117764" y="561109"/>
                <a:pt x="235527" y="900545"/>
              </a:cubicBezTo>
              <a:cubicBezTo>
                <a:pt x="353291" y="1239981"/>
                <a:pt x="501072" y="1669473"/>
                <a:pt x="706581" y="2036618"/>
              </a:cubicBezTo>
              <a:cubicBezTo>
                <a:pt x="912090" y="2403764"/>
                <a:pt x="1126836" y="2828636"/>
                <a:pt x="1468581" y="3103418"/>
              </a:cubicBezTo>
              <a:cubicBezTo>
                <a:pt x="1810326" y="3378200"/>
                <a:pt x="2322945" y="3576782"/>
                <a:pt x="2757054" y="3685309"/>
              </a:cubicBezTo>
              <a:cubicBezTo>
                <a:pt x="3191163" y="3793836"/>
                <a:pt x="3632199" y="3774209"/>
                <a:pt x="4073236" y="3754582"/>
              </a:cubicBezTo>
            </a:path>
          </a:pathLst>
        </a:custGeom>
        <a:noFill xmlns:a="http://schemas.openxmlformats.org/drawingml/2006/main"/>
        <a:ln xmlns:a="http://schemas.openxmlformats.org/drawingml/2006/main" w="6350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0.32243</cdr:x>
      <cdr:y>0.1664</cdr:y>
    </cdr:from>
    <cdr:to>
      <cdr:x>0.80934</cdr:x>
      <cdr:y>0.97279</cdr:y>
    </cdr:to>
    <cdr:sp macro="" textlink="">
      <cdr:nvSpPr>
        <cdr:cNvPr id="17" name="Forma Livre: Forma 16">
          <a:extLst xmlns:a="http://schemas.openxmlformats.org/drawingml/2006/main">
            <a:ext uri="{FF2B5EF4-FFF2-40B4-BE49-F238E27FC236}">
              <a16:creationId xmlns:a16="http://schemas.microsoft.com/office/drawing/2014/main" id="{6D7CBAF6-E463-2A80-1D11-56C91B49F672}"/>
            </a:ext>
          </a:extLst>
        </cdr:cNvPr>
        <cdr:cNvSpPr/>
      </cdr:nvSpPr>
      <cdr:spPr>
        <a:xfrm xmlns:a="http://schemas.openxmlformats.org/drawingml/2006/main">
          <a:off x="3794257" y="1948864"/>
          <a:ext cx="5729869" cy="9444584"/>
        </a:xfrm>
        <a:custGeom xmlns:a="http://schemas.openxmlformats.org/drawingml/2006/main">
          <a:avLst/>
          <a:gdLst>
            <a:gd name="connsiteX0" fmla="*/ 0 w 4128655"/>
            <a:gd name="connsiteY0" fmla="*/ 0 h 5597236"/>
            <a:gd name="connsiteX1" fmla="*/ 332510 w 4128655"/>
            <a:gd name="connsiteY1" fmla="*/ 2022763 h 5597236"/>
            <a:gd name="connsiteX2" fmla="*/ 831273 w 4128655"/>
            <a:gd name="connsiteY2" fmla="*/ 3574472 h 5597236"/>
            <a:gd name="connsiteX3" fmla="*/ 1662546 w 4128655"/>
            <a:gd name="connsiteY3" fmla="*/ 4682836 h 5597236"/>
            <a:gd name="connsiteX4" fmla="*/ 2784764 w 4128655"/>
            <a:gd name="connsiteY4" fmla="*/ 5306291 h 5597236"/>
            <a:gd name="connsiteX5" fmla="*/ 4128655 w 4128655"/>
            <a:gd name="connsiteY5" fmla="*/ 5597236 h 55972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28655" h="5597236">
              <a:moveTo>
                <a:pt x="0" y="0"/>
              </a:moveTo>
              <a:cubicBezTo>
                <a:pt x="96982" y="713509"/>
                <a:pt x="193965" y="1427018"/>
                <a:pt x="332510" y="2022763"/>
              </a:cubicBezTo>
              <a:cubicBezTo>
                <a:pt x="471055" y="2618508"/>
                <a:pt x="609600" y="3131127"/>
                <a:pt x="831273" y="3574472"/>
              </a:cubicBezTo>
              <a:cubicBezTo>
                <a:pt x="1052946" y="4017817"/>
                <a:pt x="1336964" y="4394199"/>
                <a:pt x="1662546" y="4682836"/>
              </a:cubicBezTo>
              <a:cubicBezTo>
                <a:pt x="1988128" y="4971473"/>
                <a:pt x="2373746" y="5153891"/>
                <a:pt x="2784764" y="5306291"/>
              </a:cubicBezTo>
              <a:cubicBezTo>
                <a:pt x="3195782" y="5458691"/>
                <a:pt x="3918528" y="5546436"/>
                <a:pt x="4128655" y="5597236"/>
              </a:cubicBezTo>
            </a:path>
          </a:pathLst>
        </a:cu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0.40292</cdr:x>
      <cdr:y>0.17073</cdr:y>
    </cdr:from>
    <cdr:to>
      <cdr:x>0.96352</cdr:x>
      <cdr:y>0.73982</cdr:y>
    </cdr:to>
    <cdr:sp macro="" textlink="">
      <cdr:nvSpPr>
        <cdr:cNvPr id="18" name="Forma Livre: Forma 17">
          <a:extLst xmlns:a="http://schemas.openxmlformats.org/drawingml/2006/main">
            <a:ext uri="{FF2B5EF4-FFF2-40B4-BE49-F238E27FC236}">
              <a16:creationId xmlns:a16="http://schemas.microsoft.com/office/drawing/2014/main" id="{14291726-13B0-50C2-F4A4-1876627CFC84}"/>
            </a:ext>
          </a:extLst>
        </cdr:cNvPr>
        <cdr:cNvSpPr/>
      </cdr:nvSpPr>
      <cdr:spPr>
        <a:xfrm xmlns:a="http://schemas.openxmlformats.org/drawingml/2006/main">
          <a:off x="4741528" y="1920318"/>
          <a:ext cx="6597032" cy="6400722"/>
        </a:xfrm>
        <a:custGeom xmlns:a="http://schemas.openxmlformats.org/drawingml/2006/main">
          <a:avLst/>
          <a:gdLst>
            <a:gd name="connsiteX0" fmla="*/ 0 w 4073236"/>
            <a:gd name="connsiteY0" fmla="*/ 0 h 3769943"/>
            <a:gd name="connsiteX1" fmla="*/ 235527 w 4073236"/>
            <a:gd name="connsiteY1" fmla="*/ 900545 h 3769943"/>
            <a:gd name="connsiteX2" fmla="*/ 706581 w 4073236"/>
            <a:gd name="connsiteY2" fmla="*/ 2036618 h 3769943"/>
            <a:gd name="connsiteX3" fmla="*/ 1468581 w 4073236"/>
            <a:gd name="connsiteY3" fmla="*/ 3103418 h 3769943"/>
            <a:gd name="connsiteX4" fmla="*/ 2757054 w 4073236"/>
            <a:gd name="connsiteY4" fmla="*/ 3685309 h 3769943"/>
            <a:gd name="connsiteX5" fmla="*/ 4073236 w 4073236"/>
            <a:gd name="connsiteY5" fmla="*/ 3754582 h 3769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073236" h="3769943">
              <a:moveTo>
                <a:pt x="0" y="0"/>
              </a:moveTo>
              <a:cubicBezTo>
                <a:pt x="58882" y="280554"/>
                <a:pt x="117764" y="561109"/>
                <a:pt x="235527" y="900545"/>
              </a:cubicBezTo>
              <a:cubicBezTo>
                <a:pt x="353291" y="1239981"/>
                <a:pt x="501072" y="1669473"/>
                <a:pt x="706581" y="2036618"/>
              </a:cubicBezTo>
              <a:cubicBezTo>
                <a:pt x="912090" y="2403764"/>
                <a:pt x="1126836" y="2828636"/>
                <a:pt x="1468581" y="3103418"/>
              </a:cubicBezTo>
              <a:cubicBezTo>
                <a:pt x="1810326" y="3378200"/>
                <a:pt x="2322945" y="3576782"/>
                <a:pt x="2757054" y="3685309"/>
              </a:cubicBezTo>
              <a:cubicBezTo>
                <a:pt x="3191163" y="3793836"/>
                <a:pt x="3632199" y="3774209"/>
                <a:pt x="4073236" y="3754582"/>
              </a:cubicBezTo>
            </a:path>
          </a:pathLst>
        </a:custGeom>
        <a:noFill xmlns:a="http://schemas.openxmlformats.org/drawingml/2006/main"/>
        <a:ln xmlns:a="http://schemas.openxmlformats.org/drawingml/2006/main" w="6350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0.32243</cdr:x>
      <cdr:y>0.1664</cdr:y>
    </cdr:from>
    <cdr:to>
      <cdr:x>0.80934</cdr:x>
      <cdr:y>0.97279</cdr:y>
    </cdr:to>
    <cdr:sp macro="" textlink="">
      <cdr:nvSpPr>
        <cdr:cNvPr id="17" name="Forma Livre: Forma 16">
          <a:extLst xmlns:a="http://schemas.openxmlformats.org/drawingml/2006/main">
            <a:ext uri="{FF2B5EF4-FFF2-40B4-BE49-F238E27FC236}">
              <a16:creationId xmlns:a16="http://schemas.microsoft.com/office/drawing/2014/main" id="{6D7CBAF6-E463-2A80-1D11-56C91B49F672}"/>
            </a:ext>
          </a:extLst>
        </cdr:cNvPr>
        <cdr:cNvSpPr/>
      </cdr:nvSpPr>
      <cdr:spPr>
        <a:xfrm xmlns:a="http://schemas.openxmlformats.org/drawingml/2006/main">
          <a:off x="3794257" y="1948864"/>
          <a:ext cx="5729869" cy="9444584"/>
        </a:xfrm>
        <a:custGeom xmlns:a="http://schemas.openxmlformats.org/drawingml/2006/main">
          <a:avLst/>
          <a:gdLst>
            <a:gd name="connsiteX0" fmla="*/ 0 w 4128655"/>
            <a:gd name="connsiteY0" fmla="*/ 0 h 5597236"/>
            <a:gd name="connsiteX1" fmla="*/ 332510 w 4128655"/>
            <a:gd name="connsiteY1" fmla="*/ 2022763 h 5597236"/>
            <a:gd name="connsiteX2" fmla="*/ 831273 w 4128655"/>
            <a:gd name="connsiteY2" fmla="*/ 3574472 h 5597236"/>
            <a:gd name="connsiteX3" fmla="*/ 1662546 w 4128655"/>
            <a:gd name="connsiteY3" fmla="*/ 4682836 h 5597236"/>
            <a:gd name="connsiteX4" fmla="*/ 2784764 w 4128655"/>
            <a:gd name="connsiteY4" fmla="*/ 5306291 h 5597236"/>
            <a:gd name="connsiteX5" fmla="*/ 4128655 w 4128655"/>
            <a:gd name="connsiteY5" fmla="*/ 5597236 h 55972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28655" h="5597236">
              <a:moveTo>
                <a:pt x="0" y="0"/>
              </a:moveTo>
              <a:cubicBezTo>
                <a:pt x="96982" y="713509"/>
                <a:pt x="193965" y="1427018"/>
                <a:pt x="332510" y="2022763"/>
              </a:cubicBezTo>
              <a:cubicBezTo>
                <a:pt x="471055" y="2618508"/>
                <a:pt x="609600" y="3131127"/>
                <a:pt x="831273" y="3574472"/>
              </a:cubicBezTo>
              <a:cubicBezTo>
                <a:pt x="1052946" y="4017817"/>
                <a:pt x="1336964" y="4394199"/>
                <a:pt x="1662546" y="4682836"/>
              </a:cubicBezTo>
              <a:cubicBezTo>
                <a:pt x="1988128" y="4971473"/>
                <a:pt x="2373746" y="5153891"/>
                <a:pt x="2784764" y="5306291"/>
              </a:cubicBezTo>
              <a:cubicBezTo>
                <a:pt x="3195782" y="5458691"/>
                <a:pt x="3918528" y="5546436"/>
                <a:pt x="4128655" y="5597236"/>
              </a:cubicBezTo>
            </a:path>
          </a:pathLst>
        </a:cu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0.64304</cdr:x>
      <cdr:y>0.49069</cdr:y>
    </cdr:from>
    <cdr:to>
      <cdr:x>0.85585</cdr:x>
      <cdr:y>0.55739</cdr:y>
    </cdr:to>
    <cdr:sp macro="" textlink="">
      <cdr:nvSpPr>
        <cdr:cNvPr id="2" name="CaixaDeTexto 9">
          <a:extLst xmlns:a="http://schemas.openxmlformats.org/drawingml/2006/main">
            <a:ext uri="{FF2B5EF4-FFF2-40B4-BE49-F238E27FC236}">
              <a16:creationId xmlns:a16="http://schemas.microsoft.com/office/drawing/2014/main" id="{95A4F595-D5A6-45AA-8C06-4769B726C0F9}"/>
            </a:ext>
          </a:extLst>
        </cdr:cNvPr>
        <cdr:cNvSpPr txBox="1"/>
      </cdr:nvSpPr>
      <cdr:spPr>
        <a:xfrm xmlns:a="http://schemas.openxmlformats.org/drawingml/2006/main" rot="2637867">
          <a:off x="8245823" y="5254752"/>
          <a:ext cx="2728903" cy="7142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4400" b="1" kern="1200"/>
            <a:t>BLASTING</a:t>
          </a:r>
        </a:p>
      </cdr:txBody>
    </cdr:sp>
  </cdr:relSizeAnchor>
  <cdr:relSizeAnchor xmlns:cdr="http://schemas.openxmlformats.org/drawingml/2006/chartDrawing">
    <cdr:from>
      <cdr:x>0.42442</cdr:x>
      <cdr:y>0.63249</cdr:y>
    </cdr:from>
    <cdr:to>
      <cdr:x>0.70263</cdr:x>
      <cdr:y>0.75799</cdr:y>
    </cdr:to>
    <cdr:sp macro="" textlink="">
      <cdr:nvSpPr>
        <cdr:cNvPr id="3" name="CaixaDeTexto 10">
          <a:extLst xmlns:a="http://schemas.openxmlformats.org/drawingml/2006/main">
            <a:ext uri="{FF2B5EF4-FFF2-40B4-BE49-F238E27FC236}">
              <a16:creationId xmlns:a16="http://schemas.microsoft.com/office/drawing/2014/main" id="{2BF642A5-08F3-4A61-BDF1-D20CBB3A8949}"/>
            </a:ext>
          </a:extLst>
        </cdr:cNvPr>
        <cdr:cNvSpPr txBox="1"/>
      </cdr:nvSpPr>
      <cdr:spPr>
        <a:xfrm xmlns:a="http://schemas.openxmlformats.org/drawingml/2006/main" rot="2637867">
          <a:off x="4992926" y="7407820"/>
          <a:ext cx="3272789" cy="146989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4400" b="1" kern="1200"/>
            <a:t>RIPPING/PRE-BLASTING</a:t>
          </a:r>
        </a:p>
      </cdr:txBody>
    </cdr:sp>
  </cdr:relSizeAnchor>
  <cdr:relSizeAnchor xmlns:cdr="http://schemas.openxmlformats.org/drawingml/2006/chartDrawing">
    <cdr:from>
      <cdr:x>0.26017</cdr:x>
      <cdr:y>0.75253</cdr:y>
    </cdr:from>
    <cdr:to>
      <cdr:x>0.45496</cdr:x>
      <cdr:y>0.81923</cdr:y>
    </cdr:to>
    <cdr:sp macro="" textlink="">
      <cdr:nvSpPr>
        <cdr:cNvPr id="4" name="CaixaDeTexto 11">
          <a:extLst xmlns:a="http://schemas.openxmlformats.org/drawingml/2006/main">
            <a:ext uri="{FF2B5EF4-FFF2-40B4-BE49-F238E27FC236}">
              <a16:creationId xmlns:a16="http://schemas.microsoft.com/office/drawing/2014/main" id="{26B0C5A6-EC6B-4035-9A76-4E1E925C4D88}"/>
            </a:ext>
          </a:extLst>
        </cdr:cNvPr>
        <cdr:cNvSpPr txBox="1"/>
      </cdr:nvSpPr>
      <cdr:spPr>
        <a:xfrm xmlns:a="http://schemas.openxmlformats.org/drawingml/2006/main" rot="2637867">
          <a:off x="3060700" y="8813803"/>
          <a:ext cx="2291397" cy="7811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4400" b="1" kern="1200"/>
            <a:t>DIGGING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534959</xdr:colOff>
      <xdr:row>1</xdr:row>
      <xdr:rowOff>268950</xdr:rowOff>
    </xdr:from>
    <xdr:ext cx="8035636" cy="889505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7B00D7-1643-47D1-B009-EDBCB7E08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39</xdr:col>
      <xdr:colOff>190499</xdr:colOff>
      <xdr:row>1</xdr:row>
      <xdr:rowOff>630556</xdr:rowOff>
    </xdr:from>
    <xdr:to>
      <xdr:col>54</xdr:col>
      <xdr:colOff>49840</xdr:colOff>
      <xdr:row>2</xdr:row>
      <xdr:rowOff>4121467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DF1E6C-615B-49FE-A3A5-FB59DC073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325756</xdr:colOff>
      <xdr:row>2</xdr:row>
      <xdr:rowOff>2805794</xdr:rowOff>
    </xdr:from>
    <xdr:to>
      <xdr:col>46</xdr:col>
      <xdr:colOff>4446</xdr:colOff>
      <xdr:row>2</xdr:row>
      <xdr:rowOff>3279158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B720354-B663-4579-8AE2-C4B212F9D4E8}"/>
            </a:ext>
          </a:extLst>
        </xdr:cNvPr>
        <xdr:cNvSpPr txBox="1"/>
      </xdr:nvSpPr>
      <xdr:spPr>
        <a:xfrm>
          <a:off x="27567256" y="7425419"/>
          <a:ext cx="916940" cy="47336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2400" b="1"/>
            <a:t>Cavar</a:t>
          </a:r>
        </a:p>
      </xdr:txBody>
    </xdr:sp>
    <xdr:clientData/>
  </xdr:twoCellAnchor>
  <xdr:twoCellAnchor>
    <xdr:from>
      <xdr:col>47</xdr:col>
      <xdr:colOff>594393</xdr:colOff>
      <xdr:row>2</xdr:row>
      <xdr:rowOff>1816274</xdr:rowOff>
    </xdr:from>
    <xdr:to>
      <xdr:col>49</xdr:col>
      <xdr:colOff>518675</xdr:colOff>
      <xdr:row>2</xdr:row>
      <xdr:rowOff>2301068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4F8AC59-A11D-4289-95DE-910821D5493E}"/>
            </a:ext>
          </a:extLst>
        </xdr:cNvPr>
        <xdr:cNvSpPr txBox="1"/>
      </xdr:nvSpPr>
      <xdr:spPr>
        <a:xfrm>
          <a:off x="29693268" y="6435899"/>
          <a:ext cx="1162532" cy="48479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400" b="1"/>
            <a:t>Rasgar</a:t>
          </a:r>
        </a:p>
      </xdr:txBody>
    </xdr:sp>
    <xdr:clientData/>
  </xdr:twoCellAnchor>
  <xdr:twoCellAnchor>
    <xdr:from>
      <xdr:col>48</xdr:col>
      <xdr:colOff>526306</xdr:colOff>
      <xdr:row>1</xdr:row>
      <xdr:rowOff>4314989</xdr:rowOff>
    </xdr:from>
    <xdr:to>
      <xdr:col>53</xdr:col>
      <xdr:colOff>339537</xdr:colOff>
      <xdr:row>2</xdr:row>
      <xdr:rowOff>279551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5C3824D-A3D7-4400-A23E-5208AA4233BB}"/>
            </a:ext>
          </a:extLst>
        </xdr:cNvPr>
        <xdr:cNvSpPr txBox="1"/>
      </xdr:nvSpPr>
      <xdr:spPr>
        <a:xfrm>
          <a:off x="30244306" y="4505489"/>
          <a:ext cx="2908856" cy="39368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2000" b="1"/>
            <a:t>Desmonte para relaxar</a:t>
          </a:r>
        </a:p>
      </xdr:txBody>
    </xdr:sp>
    <xdr:clientData/>
  </xdr:twoCellAnchor>
  <xdr:twoCellAnchor>
    <xdr:from>
      <xdr:col>48</xdr:col>
      <xdr:colOff>92717</xdr:colOff>
      <xdr:row>1</xdr:row>
      <xdr:rowOff>2373631</xdr:rowOff>
    </xdr:from>
    <xdr:to>
      <xdr:col>52</xdr:col>
      <xdr:colOff>483163</xdr:colOff>
      <xdr:row>1</xdr:row>
      <xdr:rowOff>2778748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7A7F277-C34B-4CFE-9369-957C5E5650CF}"/>
            </a:ext>
          </a:extLst>
        </xdr:cNvPr>
        <xdr:cNvSpPr txBox="1"/>
      </xdr:nvSpPr>
      <xdr:spPr>
        <a:xfrm>
          <a:off x="29810717" y="2564131"/>
          <a:ext cx="2866946" cy="40511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2000" b="1"/>
            <a:t>Desmonte para fraturar</a:t>
          </a:r>
        </a:p>
      </xdr:txBody>
    </xdr:sp>
    <xdr:clientData/>
  </xdr:twoCellAnchor>
  <xdr:oneCellAnchor>
    <xdr:from>
      <xdr:col>9</xdr:col>
      <xdr:colOff>119063</xdr:colOff>
      <xdr:row>1</xdr:row>
      <xdr:rowOff>335280</xdr:rowOff>
    </xdr:from>
    <xdr:ext cx="8035636" cy="8895051"/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7E1C35B-FD8F-447C-934E-5AEDFEE72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0.51836</cdr:x>
      <cdr:y>0.17209</cdr:y>
    </cdr:from>
    <cdr:to>
      <cdr:x>0.98665</cdr:x>
      <cdr:y>0.7186</cdr:y>
    </cdr:to>
    <cdr:sp macro="" textlink="">
      <cdr:nvSpPr>
        <cdr:cNvPr id="18" name="Forma Livre: Forma 17">
          <a:extLst xmlns:a="http://schemas.openxmlformats.org/drawingml/2006/main">
            <a:ext uri="{FF2B5EF4-FFF2-40B4-BE49-F238E27FC236}">
              <a16:creationId xmlns:a16="http://schemas.microsoft.com/office/drawing/2014/main" id="{14291726-13B0-50C2-F4A4-1876627CFC84}"/>
            </a:ext>
          </a:extLst>
        </cdr:cNvPr>
        <cdr:cNvSpPr/>
      </cdr:nvSpPr>
      <cdr:spPr>
        <a:xfrm xmlns:a="http://schemas.openxmlformats.org/drawingml/2006/main">
          <a:off x="4821347" y="1348043"/>
          <a:ext cx="4355639" cy="4281009"/>
        </a:xfrm>
        <a:custGeom xmlns:a="http://schemas.openxmlformats.org/drawingml/2006/main">
          <a:avLst/>
          <a:gdLst>
            <a:gd name="connsiteX0" fmla="*/ 0 w 4073236"/>
            <a:gd name="connsiteY0" fmla="*/ 0 h 3769943"/>
            <a:gd name="connsiteX1" fmla="*/ 235527 w 4073236"/>
            <a:gd name="connsiteY1" fmla="*/ 900545 h 3769943"/>
            <a:gd name="connsiteX2" fmla="*/ 706581 w 4073236"/>
            <a:gd name="connsiteY2" fmla="*/ 2036618 h 3769943"/>
            <a:gd name="connsiteX3" fmla="*/ 1468581 w 4073236"/>
            <a:gd name="connsiteY3" fmla="*/ 3103418 h 3769943"/>
            <a:gd name="connsiteX4" fmla="*/ 2757054 w 4073236"/>
            <a:gd name="connsiteY4" fmla="*/ 3685309 h 3769943"/>
            <a:gd name="connsiteX5" fmla="*/ 4073236 w 4073236"/>
            <a:gd name="connsiteY5" fmla="*/ 3754582 h 37699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073236" h="3769943">
              <a:moveTo>
                <a:pt x="0" y="0"/>
              </a:moveTo>
              <a:cubicBezTo>
                <a:pt x="58882" y="280554"/>
                <a:pt x="117764" y="561109"/>
                <a:pt x="235527" y="900545"/>
              </a:cubicBezTo>
              <a:cubicBezTo>
                <a:pt x="353291" y="1239981"/>
                <a:pt x="501072" y="1669473"/>
                <a:pt x="706581" y="2036618"/>
              </a:cubicBezTo>
              <a:cubicBezTo>
                <a:pt x="912090" y="2403764"/>
                <a:pt x="1126836" y="2828636"/>
                <a:pt x="1468581" y="3103418"/>
              </a:cubicBezTo>
              <a:cubicBezTo>
                <a:pt x="1810326" y="3378200"/>
                <a:pt x="2322945" y="3576782"/>
                <a:pt x="2757054" y="3685309"/>
              </a:cubicBezTo>
              <a:cubicBezTo>
                <a:pt x="3191163" y="3793836"/>
                <a:pt x="3632199" y="3774209"/>
                <a:pt x="4073236" y="3754582"/>
              </a:cubicBezTo>
            </a:path>
          </a:pathLst>
        </a:custGeom>
        <a:noFill xmlns:a="http://schemas.openxmlformats.org/drawingml/2006/main"/>
        <a:ln xmlns:a="http://schemas.openxmlformats.org/drawingml/2006/main" w="6350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0.11166</cdr:x>
      <cdr:y>0.08508</cdr:y>
    </cdr:from>
    <cdr:to>
      <cdr:x>0.17233</cdr:x>
      <cdr:y>0.15686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F383DAF-DCF3-F8DE-CAAE-D1A81774F7E5}"/>
            </a:ext>
          </a:extLst>
        </cdr:cNvPr>
        <cdr:cNvSpPr txBox="1"/>
      </cdr:nvSpPr>
      <cdr:spPr>
        <a:xfrm xmlns:a="http://schemas.openxmlformats.org/drawingml/2006/main">
          <a:off x="981635" y="573491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2000"/>
            <a:t>R0</a:t>
          </a:r>
        </a:p>
      </cdr:txBody>
    </cdr:sp>
  </cdr:relSizeAnchor>
  <cdr:relSizeAnchor xmlns:cdr="http://schemas.openxmlformats.org/drawingml/2006/chartDrawing">
    <cdr:from>
      <cdr:x>0.21252</cdr:x>
      <cdr:y>0.08287</cdr:y>
    </cdr:from>
    <cdr:to>
      <cdr:x>0.27319</cdr:x>
      <cdr:y>0.15464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1E993705-4280-39C4-2F17-B1C01BD6D9A2}"/>
            </a:ext>
          </a:extLst>
        </cdr:cNvPr>
        <cdr:cNvSpPr txBox="1"/>
      </cdr:nvSpPr>
      <cdr:spPr>
        <a:xfrm xmlns:a="http://schemas.openxmlformats.org/drawingml/2006/main">
          <a:off x="1868394" y="558565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R1</a:t>
          </a:r>
        </a:p>
      </cdr:txBody>
    </cdr:sp>
  </cdr:relSizeAnchor>
  <cdr:relSizeAnchor xmlns:cdr="http://schemas.openxmlformats.org/drawingml/2006/chartDrawing">
    <cdr:from>
      <cdr:x>0.31615</cdr:x>
      <cdr:y>0.08021</cdr:y>
    </cdr:from>
    <cdr:to>
      <cdr:x>0.37682</cdr:x>
      <cdr:y>0.15198</cdr:y>
    </cdr:to>
    <cdr:sp macro="" textlink="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E10C1519-3473-3F92-99F7-FD6DD0B4F1CD}"/>
            </a:ext>
          </a:extLst>
        </cdr:cNvPr>
        <cdr:cNvSpPr txBox="1"/>
      </cdr:nvSpPr>
      <cdr:spPr>
        <a:xfrm xmlns:a="http://schemas.openxmlformats.org/drawingml/2006/main">
          <a:off x="2779432" y="540647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R2</a:t>
          </a:r>
        </a:p>
      </cdr:txBody>
    </cdr:sp>
  </cdr:relSizeAnchor>
  <cdr:relSizeAnchor xmlns:cdr="http://schemas.openxmlformats.org/drawingml/2006/chartDrawing">
    <cdr:from>
      <cdr:x>0.52072</cdr:x>
      <cdr:y>0.08468</cdr:y>
    </cdr:from>
    <cdr:to>
      <cdr:x>0.58139</cdr:x>
      <cdr:y>0.15645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3A8C276D-C3E1-0F83-CA80-96C15C51269E}"/>
            </a:ext>
          </a:extLst>
        </cdr:cNvPr>
        <cdr:cNvSpPr txBox="1"/>
      </cdr:nvSpPr>
      <cdr:spPr>
        <a:xfrm xmlns:a="http://schemas.openxmlformats.org/drawingml/2006/main">
          <a:off x="4577977" y="570753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/>
            <a:t>R3</a:t>
          </a:r>
        </a:p>
      </cdr:txBody>
    </cdr:sp>
  </cdr:relSizeAnchor>
  <cdr:relSizeAnchor xmlns:cdr="http://schemas.openxmlformats.org/drawingml/2006/chartDrawing">
    <cdr:from>
      <cdr:x>0.11166</cdr:x>
      <cdr:y>0.08508</cdr:y>
    </cdr:from>
    <cdr:to>
      <cdr:x>0.17233</cdr:x>
      <cdr:y>0.15686</cdr:y>
    </cdr:to>
    <cdr:sp macro="" textlink="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BF383DAF-DCF3-F8DE-CAAE-D1A81774F7E5}"/>
            </a:ext>
          </a:extLst>
        </cdr:cNvPr>
        <cdr:cNvSpPr txBox="1"/>
      </cdr:nvSpPr>
      <cdr:spPr>
        <a:xfrm xmlns:a="http://schemas.openxmlformats.org/drawingml/2006/main">
          <a:off x="981635" y="573491"/>
          <a:ext cx="533400" cy="4837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2000" b="1"/>
            <a:t>R0</a:t>
          </a:r>
        </a:p>
      </cdr:txBody>
    </cdr:sp>
  </cdr:relSizeAnchor>
  <cdr:relSizeAnchor xmlns:cdr="http://schemas.openxmlformats.org/drawingml/2006/chartDrawing">
    <cdr:from>
      <cdr:x>0.21252</cdr:x>
      <cdr:y>0.08287</cdr:y>
    </cdr:from>
    <cdr:to>
      <cdr:x>0.27319</cdr:x>
      <cdr:y>0.15464</cdr:y>
    </cdr:to>
    <cdr:sp macro="" textlink="">
      <cdr:nvSpPr>
        <cdr:cNvPr id="7" name="CaixaDeTexto 1">
          <a:extLst xmlns:a="http://schemas.openxmlformats.org/drawingml/2006/main">
            <a:ext uri="{FF2B5EF4-FFF2-40B4-BE49-F238E27FC236}">
              <a16:creationId xmlns:a16="http://schemas.microsoft.com/office/drawing/2014/main" id="{1E993705-4280-39C4-2F17-B1C01BD6D9A2}"/>
            </a:ext>
          </a:extLst>
        </cdr:cNvPr>
        <cdr:cNvSpPr txBox="1"/>
      </cdr:nvSpPr>
      <cdr:spPr>
        <a:xfrm xmlns:a="http://schemas.openxmlformats.org/drawingml/2006/main">
          <a:off x="2029111" y="681987"/>
          <a:ext cx="579269" cy="59063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R1</a:t>
          </a:r>
        </a:p>
      </cdr:txBody>
    </cdr:sp>
  </cdr:relSizeAnchor>
  <cdr:relSizeAnchor xmlns:cdr="http://schemas.openxmlformats.org/drawingml/2006/chartDrawing">
    <cdr:from>
      <cdr:x>0.31615</cdr:x>
      <cdr:y>0.08021</cdr:y>
    </cdr:from>
    <cdr:to>
      <cdr:x>0.37682</cdr:x>
      <cdr:y>0.15198</cdr:y>
    </cdr:to>
    <cdr:sp macro="" textlink="">
      <cdr:nvSpPr>
        <cdr:cNvPr id="8" name="CaixaDeTexto 1">
          <a:extLst xmlns:a="http://schemas.openxmlformats.org/drawingml/2006/main">
            <a:ext uri="{FF2B5EF4-FFF2-40B4-BE49-F238E27FC236}">
              <a16:creationId xmlns:a16="http://schemas.microsoft.com/office/drawing/2014/main" id="{E10C1519-3473-3F92-99F7-FD6DD0B4F1CD}"/>
            </a:ext>
          </a:extLst>
        </cdr:cNvPr>
        <cdr:cNvSpPr txBox="1"/>
      </cdr:nvSpPr>
      <cdr:spPr>
        <a:xfrm xmlns:a="http://schemas.openxmlformats.org/drawingml/2006/main">
          <a:off x="3018556" y="660096"/>
          <a:ext cx="579269" cy="59063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R2</a:t>
          </a:r>
        </a:p>
      </cdr:txBody>
    </cdr:sp>
  </cdr:relSizeAnchor>
  <cdr:relSizeAnchor xmlns:cdr="http://schemas.openxmlformats.org/drawingml/2006/chartDrawing">
    <cdr:from>
      <cdr:x>0.52072</cdr:x>
      <cdr:y>0.08468</cdr:y>
    </cdr:from>
    <cdr:to>
      <cdr:x>0.58139</cdr:x>
      <cdr:y>0.15645</cdr:y>
    </cdr:to>
    <cdr:sp macro="" textlink="">
      <cdr:nvSpPr>
        <cdr:cNvPr id="9" name="CaixaDeTexto 1">
          <a:extLst xmlns:a="http://schemas.openxmlformats.org/drawingml/2006/main">
            <a:ext uri="{FF2B5EF4-FFF2-40B4-BE49-F238E27FC236}">
              <a16:creationId xmlns:a16="http://schemas.microsoft.com/office/drawing/2014/main" id="{3A8C276D-C3E1-0F83-CA80-96C15C51269E}"/>
            </a:ext>
          </a:extLst>
        </cdr:cNvPr>
        <cdr:cNvSpPr txBox="1"/>
      </cdr:nvSpPr>
      <cdr:spPr>
        <a:xfrm xmlns:a="http://schemas.openxmlformats.org/drawingml/2006/main">
          <a:off x="4971762" y="696883"/>
          <a:ext cx="579268" cy="59063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R3</a:t>
          </a:r>
        </a:p>
      </cdr:txBody>
    </cdr:sp>
  </cdr:relSizeAnchor>
  <cdr:relSizeAnchor xmlns:cdr="http://schemas.openxmlformats.org/drawingml/2006/chartDrawing">
    <cdr:from>
      <cdr:x>0.83479</cdr:x>
      <cdr:y>0.08734</cdr:y>
    </cdr:from>
    <cdr:to>
      <cdr:x>0.89546</cdr:x>
      <cdr:y>0.15911</cdr:y>
    </cdr:to>
    <cdr:sp macro="" textlink="">
      <cdr:nvSpPr>
        <cdr:cNvPr id="10" name="CaixaDeTexto 1">
          <a:extLst xmlns:a="http://schemas.openxmlformats.org/drawingml/2006/main">
            <a:ext uri="{FF2B5EF4-FFF2-40B4-BE49-F238E27FC236}">
              <a16:creationId xmlns:a16="http://schemas.microsoft.com/office/drawing/2014/main" id="{640783A4-B927-425D-923D-5DCAE2FB9F4C}"/>
            </a:ext>
          </a:extLst>
        </cdr:cNvPr>
        <cdr:cNvSpPr txBox="1"/>
      </cdr:nvSpPr>
      <cdr:spPr>
        <a:xfrm xmlns:a="http://schemas.openxmlformats.org/drawingml/2006/main">
          <a:off x="7970458" y="718773"/>
          <a:ext cx="579269" cy="59063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000" b="1"/>
            <a:t>R4</a:t>
          </a:r>
        </a:p>
      </cdr:txBody>
    </cdr:sp>
  </cdr:relSizeAnchor>
  <cdr:relSizeAnchor xmlns:cdr="http://schemas.openxmlformats.org/drawingml/2006/chartDrawing">
    <cdr:from>
      <cdr:x>0.42654</cdr:x>
      <cdr:y>0.07911</cdr:y>
    </cdr:from>
    <cdr:to>
      <cdr:x>0.48721</cdr:x>
      <cdr:y>0.15088</cdr:y>
    </cdr:to>
    <cdr:sp macro="" textlink="">
      <cdr:nvSpPr>
        <cdr:cNvPr id="11" name="CaixaDeTexto 1">
          <a:extLst xmlns:a="http://schemas.openxmlformats.org/drawingml/2006/main">
            <a:ext uri="{FF2B5EF4-FFF2-40B4-BE49-F238E27FC236}">
              <a16:creationId xmlns:a16="http://schemas.microsoft.com/office/drawing/2014/main" id="{0F470E2D-A46E-1EBD-33A7-005042A082EC}"/>
            </a:ext>
          </a:extLst>
        </cdr:cNvPr>
        <cdr:cNvSpPr txBox="1"/>
      </cdr:nvSpPr>
      <cdr:spPr>
        <a:xfrm xmlns:a="http://schemas.openxmlformats.org/drawingml/2006/main">
          <a:off x="3749964" y="535709"/>
          <a:ext cx="53338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0.62353</cdr:x>
      <cdr:y>0.08525</cdr:y>
    </cdr:from>
    <cdr:to>
      <cdr:x>0.77665</cdr:x>
      <cdr:y>0.15702</cdr:y>
    </cdr:to>
    <cdr:sp macro="" textlink="">
      <cdr:nvSpPr>
        <cdr:cNvPr id="12" name="CaixaDeTexto 1">
          <a:extLst xmlns:a="http://schemas.openxmlformats.org/drawingml/2006/main">
            <a:ext uri="{FF2B5EF4-FFF2-40B4-BE49-F238E27FC236}">
              <a16:creationId xmlns:a16="http://schemas.microsoft.com/office/drawing/2014/main" id="{43885973-FB3F-1903-11E5-A17D385558A2}"/>
            </a:ext>
          </a:extLst>
        </cdr:cNvPr>
        <cdr:cNvSpPr txBox="1"/>
      </cdr:nvSpPr>
      <cdr:spPr>
        <a:xfrm xmlns:a="http://schemas.openxmlformats.org/drawingml/2006/main">
          <a:off x="5481782" y="577273"/>
          <a:ext cx="134616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0.91822</cdr:x>
      <cdr:y>0.08525</cdr:y>
    </cdr:from>
    <cdr:to>
      <cdr:x>0.98782</cdr:x>
      <cdr:y>0.15702</cdr:y>
    </cdr:to>
    <cdr:sp macro="" textlink="">
      <cdr:nvSpPr>
        <cdr:cNvPr id="13" name="CaixaDeTexto 1">
          <a:extLst xmlns:a="http://schemas.openxmlformats.org/drawingml/2006/main">
            <a:ext uri="{FF2B5EF4-FFF2-40B4-BE49-F238E27FC236}">
              <a16:creationId xmlns:a16="http://schemas.microsoft.com/office/drawing/2014/main" id="{FD4BA332-2A60-2DFE-37A8-B4C03F033FE6}"/>
            </a:ext>
          </a:extLst>
        </cdr:cNvPr>
        <cdr:cNvSpPr txBox="1"/>
      </cdr:nvSpPr>
      <cdr:spPr>
        <a:xfrm xmlns:a="http://schemas.openxmlformats.org/drawingml/2006/main">
          <a:off x="8072581" y="577272"/>
          <a:ext cx="611875" cy="4859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2000" b="1"/>
        </a:p>
      </cdr:txBody>
    </cdr:sp>
  </cdr:relSizeAnchor>
  <cdr:relSizeAnchor xmlns:cdr="http://schemas.openxmlformats.org/drawingml/2006/chartDrawing">
    <cdr:from>
      <cdr:x>0.44121</cdr:x>
      <cdr:y>0.84631</cdr:y>
    </cdr:from>
    <cdr:to>
      <cdr:x>0.54309</cdr:x>
      <cdr:y>0.97804</cdr:y>
    </cdr:to>
    <cdr:sp macro="" textlink="">
      <cdr:nvSpPr>
        <cdr:cNvPr id="14" name="CaixaDeTexto 13">
          <a:extLst xmlns:a="http://schemas.openxmlformats.org/drawingml/2006/main">
            <a:ext uri="{FF2B5EF4-FFF2-40B4-BE49-F238E27FC236}">
              <a16:creationId xmlns:a16="http://schemas.microsoft.com/office/drawing/2014/main" id="{C5C3F6FE-98EA-6760-0499-F67DCCA623FE}"/>
            </a:ext>
          </a:extLst>
        </cdr:cNvPr>
        <cdr:cNvSpPr txBox="1"/>
      </cdr:nvSpPr>
      <cdr:spPr>
        <a:xfrm xmlns:a="http://schemas.openxmlformats.org/drawingml/2006/main">
          <a:off x="3960055" y="58743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0.41188</cdr:x>
      <cdr:y>0.82435</cdr:y>
    </cdr:from>
    <cdr:to>
      <cdr:x>0.51376</cdr:x>
      <cdr:y>0.95609</cdr:y>
    </cdr:to>
    <cdr:sp macro="" textlink="">
      <cdr:nvSpPr>
        <cdr:cNvPr id="15" name="CaixaDeTexto 14">
          <a:extLst xmlns:a="http://schemas.openxmlformats.org/drawingml/2006/main">
            <a:ext uri="{FF2B5EF4-FFF2-40B4-BE49-F238E27FC236}">
              <a16:creationId xmlns:a16="http://schemas.microsoft.com/office/drawing/2014/main" id="{2FC53B9C-A33F-6987-8D26-CD04C6A69B01}"/>
            </a:ext>
          </a:extLst>
        </cdr:cNvPr>
        <cdr:cNvSpPr txBox="1"/>
      </cdr:nvSpPr>
      <cdr:spPr>
        <a:xfrm xmlns:a="http://schemas.openxmlformats.org/drawingml/2006/main">
          <a:off x="3696819" y="572192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0.39027</cdr:x>
      <cdr:y>0.16567</cdr:y>
    </cdr:from>
    <cdr:to>
      <cdr:x>0.85027</cdr:x>
      <cdr:y>0.97206</cdr:y>
    </cdr:to>
    <cdr:sp macro="" textlink="">
      <cdr:nvSpPr>
        <cdr:cNvPr id="17" name="Forma Livre: Forma 16">
          <a:extLst xmlns:a="http://schemas.openxmlformats.org/drawingml/2006/main">
            <a:ext uri="{FF2B5EF4-FFF2-40B4-BE49-F238E27FC236}">
              <a16:creationId xmlns:a16="http://schemas.microsoft.com/office/drawing/2014/main" id="{6D7CBAF6-E463-2A80-1D11-56C91B49F672}"/>
            </a:ext>
          </a:extLst>
        </cdr:cNvPr>
        <cdr:cNvSpPr/>
      </cdr:nvSpPr>
      <cdr:spPr>
        <a:xfrm xmlns:a="http://schemas.openxmlformats.org/drawingml/2006/main">
          <a:off x="4564665" y="1217063"/>
          <a:ext cx="5380162" cy="5924021"/>
        </a:xfrm>
        <a:custGeom xmlns:a="http://schemas.openxmlformats.org/drawingml/2006/main">
          <a:avLst/>
          <a:gdLst>
            <a:gd name="connsiteX0" fmla="*/ 0 w 4128655"/>
            <a:gd name="connsiteY0" fmla="*/ 0 h 5597236"/>
            <a:gd name="connsiteX1" fmla="*/ 332510 w 4128655"/>
            <a:gd name="connsiteY1" fmla="*/ 2022763 h 5597236"/>
            <a:gd name="connsiteX2" fmla="*/ 831273 w 4128655"/>
            <a:gd name="connsiteY2" fmla="*/ 3574472 h 5597236"/>
            <a:gd name="connsiteX3" fmla="*/ 1662546 w 4128655"/>
            <a:gd name="connsiteY3" fmla="*/ 4682836 h 5597236"/>
            <a:gd name="connsiteX4" fmla="*/ 2784764 w 4128655"/>
            <a:gd name="connsiteY4" fmla="*/ 5306291 h 5597236"/>
            <a:gd name="connsiteX5" fmla="*/ 4128655 w 4128655"/>
            <a:gd name="connsiteY5" fmla="*/ 5597236 h 55972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28655" h="5597236">
              <a:moveTo>
                <a:pt x="0" y="0"/>
              </a:moveTo>
              <a:cubicBezTo>
                <a:pt x="96982" y="713509"/>
                <a:pt x="193965" y="1427018"/>
                <a:pt x="332510" y="2022763"/>
              </a:cubicBezTo>
              <a:cubicBezTo>
                <a:pt x="471055" y="2618508"/>
                <a:pt x="609600" y="3131127"/>
                <a:pt x="831273" y="3574472"/>
              </a:cubicBezTo>
              <a:cubicBezTo>
                <a:pt x="1052946" y="4017817"/>
                <a:pt x="1336964" y="4394199"/>
                <a:pt x="1662546" y="4682836"/>
              </a:cubicBezTo>
              <a:cubicBezTo>
                <a:pt x="1988128" y="4971473"/>
                <a:pt x="2373746" y="5153891"/>
                <a:pt x="2784764" y="5306291"/>
              </a:cubicBezTo>
              <a:cubicBezTo>
                <a:pt x="3195782" y="5458691"/>
                <a:pt x="3918528" y="5546436"/>
                <a:pt x="4128655" y="5597236"/>
              </a:cubicBezTo>
            </a:path>
          </a:pathLst>
        </a:cu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0.54309</cdr:x>
      <cdr:y>0.32735</cdr:y>
    </cdr:from>
    <cdr:to>
      <cdr:x>0.96758</cdr:x>
      <cdr:y>0.35729</cdr:y>
    </cdr:to>
    <cdr:cxnSp macro="">
      <cdr:nvCxnSpPr>
        <cdr:cNvPr id="20" name="Conector reto 19">
          <a:extLst xmlns:a="http://schemas.openxmlformats.org/drawingml/2006/main">
            <a:ext uri="{FF2B5EF4-FFF2-40B4-BE49-F238E27FC236}">
              <a16:creationId xmlns:a16="http://schemas.microsoft.com/office/drawing/2014/main" id="{9769C4B4-4EC6-F568-B6A8-F4CD6DF5A830}"/>
            </a:ext>
          </a:extLst>
        </cdr:cNvPr>
        <cdr:cNvCxnSpPr/>
      </cdr:nvCxnSpPr>
      <cdr:spPr>
        <a:xfrm xmlns:a="http://schemas.openxmlformats.org/drawingml/2006/main">
          <a:off x="4874455" y="2272145"/>
          <a:ext cx="3810000" cy="207818"/>
        </a:xfrm>
        <a:prstGeom xmlns:a="http://schemas.openxmlformats.org/drawingml/2006/main" prst="line">
          <a:avLst/>
        </a:prstGeom>
        <a:ln xmlns:a="http://schemas.openxmlformats.org/drawingml/2006/main" w="63500">
          <a:solidFill>
            <a:schemeClr val="accent1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326014</xdr:colOff>
      <xdr:row>78</xdr:row>
      <xdr:rowOff>19221</xdr:rowOff>
    </xdr:from>
    <xdr:to>
      <xdr:col>45</xdr:col>
      <xdr:colOff>574705</xdr:colOff>
      <xdr:row>114</xdr:row>
      <xdr:rowOff>124604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2962CF-EA63-78B6-5017-F2F1F1B73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52832</xdr:colOff>
      <xdr:row>117</xdr:row>
      <xdr:rowOff>135307</xdr:rowOff>
    </xdr:from>
    <xdr:to>
      <xdr:col>15</xdr:col>
      <xdr:colOff>239979</xdr:colOff>
      <xdr:row>143</xdr:row>
      <xdr:rowOff>168421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1A176C-01CB-FE80-706E-C0BB73F8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046" y="22995307"/>
          <a:ext cx="10283647" cy="4986114"/>
        </a:xfrm>
        <a:prstGeom prst="rect">
          <a:avLst/>
        </a:prstGeom>
      </xdr:spPr>
    </xdr:pic>
    <xdr:clientData/>
  </xdr:twoCellAnchor>
  <xdr:twoCellAnchor>
    <xdr:from>
      <xdr:col>38</xdr:col>
      <xdr:colOff>381000</xdr:colOff>
      <xdr:row>17</xdr:row>
      <xdr:rowOff>25400</xdr:rowOff>
    </xdr:from>
    <xdr:to>
      <xdr:col>52</xdr:col>
      <xdr:colOff>76200</xdr:colOff>
      <xdr:row>18</xdr:row>
      <xdr:rowOff>171450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BB970D5-AEFF-4F44-104A-B0A205E02291}"/>
            </a:ext>
          </a:extLst>
        </xdr:cNvPr>
        <xdr:cNvSpPr/>
      </xdr:nvSpPr>
      <xdr:spPr>
        <a:xfrm>
          <a:off x="26504900" y="3606800"/>
          <a:ext cx="8229600" cy="323850"/>
        </a:xfrm>
        <a:prstGeom prst="rect">
          <a:avLst/>
        </a:prstGeom>
        <a:noFill/>
        <a:ln w="381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368300</xdr:colOff>
      <xdr:row>14</xdr:row>
      <xdr:rowOff>19050</xdr:rowOff>
    </xdr:from>
    <xdr:to>
      <xdr:col>52</xdr:col>
      <xdr:colOff>95250</xdr:colOff>
      <xdr:row>17</xdr:row>
      <xdr:rowOff>12700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2C26860-6503-4C93-8C97-14C4143FC3CC}"/>
            </a:ext>
          </a:extLst>
        </xdr:cNvPr>
        <xdr:cNvSpPr/>
      </xdr:nvSpPr>
      <xdr:spPr>
        <a:xfrm>
          <a:off x="26492200" y="3067050"/>
          <a:ext cx="8261350" cy="527050"/>
        </a:xfrm>
        <a:prstGeom prst="rect">
          <a:avLst/>
        </a:prstGeom>
        <a:noFill/>
        <a:ln w="381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187816</xdr:colOff>
      <xdr:row>78</xdr:row>
      <xdr:rowOff>38274</xdr:rowOff>
    </xdr:from>
    <xdr:to>
      <xdr:col>30</xdr:col>
      <xdr:colOff>26585</xdr:colOff>
      <xdr:row>114</xdr:row>
      <xdr:rowOff>152229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256D80E-EAAE-4D2C-A73C-CC6250735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93346</xdr:colOff>
      <xdr:row>5</xdr:row>
      <xdr:rowOff>88583</xdr:rowOff>
    </xdr:from>
    <xdr:to>
      <xdr:col>58</xdr:col>
      <xdr:colOff>493416</xdr:colOff>
      <xdr:row>75</xdr:row>
      <xdr:rowOff>76200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F727B8C-FDB7-09D1-62D0-A4DEE8BE5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19146" y="1574483"/>
          <a:ext cx="22955270" cy="13322617"/>
        </a:xfrm>
        <a:prstGeom prst="rect">
          <a:avLst/>
        </a:prstGeom>
      </xdr:spPr>
    </xdr:pic>
    <xdr:clientData/>
  </xdr:twoCellAnchor>
  <xdr:twoCellAnchor>
    <xdr:from>
      <xdr:col>16</xdr:col>
      <xdr:colOff>504132</xdr:colOff>
      <xdr:row>79</xdr:row>
      <xdr:rowOff>69273</xdr:rowOff>
    </xdr:from>
    <xdr:to>
      <xdr:col>19</xdr:col>
      <xdr:colOff>378316</xdr:colOff>
      <xdr:row>110</xdr:row>
      <xdr:rowOff>17319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E7E54D4-B242-2D8B-6EC7-6FDB4EC71BC8}"/>
            </a:ext>
          </a:extLst>
        </xdr:cNvPr>
        <xdr:cNvSpPr/>
      </xdr:nvSpPr>
      <xdr:spPr>
        <a:xfrm>
          <a:off x="12782723" y="14304818"/>
          <a:ext cx="2160184" cy="5316683"/>
        </a:xfrm>
        <a:prstGeom prst="rect">
          <a:avLst/>
        </a:prstGeom>
        <a:solidFill>
          <a:srgbClr val="FF0000">
            <a:alpha val="2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378316</xdr:colOff>
      <xdr:row>79</xdr:row>
      <xdr:rowOff>51955</xdr:rowOff>
    </xdr:from>
    <xdr:to>
      <xdr:col>22</xdr:col>
      <xdr:colOff>449147</xdr:colOff>
      <xdr:row>110</xdr:row>
      <xdr:rowOff>21129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453E92D0-69BA-4B80-A9E6-51EEDA90CD55}"/>
            </a:ext>
          </a:extLst>
        </xdr:cNvPr>
        <xdr:cNvSpPr/>
      </xdr:nvSpPr>
      <xdr:spPr>
        <a:xfrm>
          <a:off x="14942907" y="14287500"/>
          <a:ext cx="1889240" cy="5337811"/>
        </a:xfrm>
        <a:prstGeom prst="rect">
          <a:avLst/>
        </a:prstGeom>
        <a:solidFill>
          <a:schemeClr val="accent2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455727</xdr:colOff>
      <xdr:row>79</xdr:row>
      <xdr:rowOff>51956</xdr:rowOff>
    </xdr:from>
    <xdr:to>
      <xdr:col>25</xdr:col>
      <xdr:colOff>522403</xdr:colOff>
      <xdr:row>110</xdr:row>
      <xdr:rowOff>21649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CA3292AF-15F2-43AD-BE07-F4D14E558FC3}"/>
            </a:ext>
          </a:extLst>
        </xdr:cNvPr>
        <xdr:cNvSpPr/>
      </xdr:nvSpPr>
      <xdr:spPr>
        <a:xfrm>
          <a:off x="16838727" y="14287501"/>
          <a:ext cx="1885085" cy="5338330"/>
        </a:xfrm>
        <a:prstGeom prst="rect">
          <a:avLst/>
        </a:prstGeom>
        <a:solidFill>
          <a:srgbClr val="00B050">
            <a:alpha val="2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527079</xdr:colOff>
      <xdr:row>79</xdr:row>
      <xdr:rowOff>69273</xdr:rowOff>
    </xdr:from>
    <xdr:to>
      <xdr:col>28</xdr:col>
      <xdr:colOff>74383</xdr:colOff>
      <xdr:row>110</xdr:row>
      <xdr:rowOff>17838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5CD2101F-20D0-4A13-8103-58F6165B5D42}"/>
            </a:ext>
          </a:extLst>
        </xdr:cNvPr>
        <xdr:cNvSpPr/>
      </xdr:nvSpPr>
      <xdr:spPr>
        <a:xfrm>
          <a:off x="18728488" y="14304818"/>
          <a:ext cx="1365713" cy="5317202"/>
        </a:xfrm>
        <a:prstGeom prst="rect">
          <a:avLst/>
        </a:prstGeom>
        <a:solidFill>
          <a:srgbClr val="0070C0">
            <a:alpha val="2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69274</xdr:colOff>
      <xdr:row>79</xdr:row>
      <xdr:rowOff>67368</xdr:rowOff>
    </xdr:from>
    <xdr:to>
      <xdr:col>29</xdr:col>
      <xdr:colOff>278391</xdr:colOff>
      <xdr:row>110</xdr:row>
      <xdr:rowOff>17838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A034A7C2-1125-4D2F-A0DA-15F79EEDB8FA}"/>
            </a:ext>
          </a:extLst>
        </xdr:cNvPr>
        <xdr:cNvSpPr/>
      </xdr:nvSpPr>
      <xdr:spPr>
        <a:xfrm>
          <a:off x="20089092" y="14302913"/>
          <a:ext cx="815254" cy="5319107"/>
        </a:xfrm>
        <a:prstGeom prst="rect">
          <a:avLst/>
        </a:prstGeom>
        <a:solidFill>
          <a:srgbClr val="0000FF">
            <a:alpha val="2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26</xdr:col>
      <xdr:colOff>87370</xdr:colOff>
      <xdr:row>99</xdr:row>
      <xdr:rowOff>170497</xdr:rowOff>
    </xdr:from>
    <xdr:to>
      <xdr:col>28</xdr:col>
      <xdr:colOff>315995</xdr:colOff>
      <xdr:row>107</xdr:row>
      <xdr:rowOff>107112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2C749EF7-D99E-8C9E-419F-AA2E6A9C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894915" y="17869679"/>
          <a:ext cx="1438993" cy="1323974"/>
        </a:xfrm>
        <a:prstGeom prst="rect">
          <a:avLst/>
        </a:prstGeom>
      </xdr:spPr>
    </xdr:pic>
    <xdr:clientData/>
  </xdr:twoCellAnchor>
  <xdr:twoCellAnchor>
    <xdr:from>
      <xdr:col>1</xdr:col>
      <xdr:colOff>536863</xdr:colOff>
      <xdr:row>71</xdr:row>
      <xdr:rowOff>0</xdr:rowOff>
    </xdr:from>
    <xdr:to>
      <xdr:col>15</xdr:col>
      <xdr:colOff>51953</xdr:colOff>
      <xdr:row>116</xdr:row>
      <xdr:rowOff>103909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26837C3-AF7B-4A94-AD55-373E1A61A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354330</xdr:colOff>
      <xdr:row>80</xdr:row>
      <xdr:rowOff>17319</xdr:rowOff>
    </xdr:from>
    <xdr:to>
      <xdr:col>5</xdr:col>
      <xdr:colOff>294409</xdr:colOff>
      <xdr:row>110</xdr:row>
      <xdr:rowOff>134736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2255CF0B-5D08-4CD9-A3E3-52AE84B2E015}"/>
            </a:ext>
          </a:extLst>
        </xdr:cNvPr>
        <xdr:cNvSpPr/>
      </xdr:nvSpPr>
      <xdr:spPr>
        <a:xfrm>
          <a:off x="2172739" y="14426046"/>
          <a:ext cx="1810443" cy="5312872"/>
        </a:xfrm>
        <a:prstGeom prst="rect">
          <a:avLst/>
        </a:prstGeom>
        <a:solidFill>
          <a:srgbClr val="FF0000">
            <a:alpha val="2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284711</xdr:colOff>
      <xdr:row>80</xdr:row>
      <xdr:rowOff>38448</xdr:rowOff>
    </xdr:from>
    <xdr:to>
      <xdr:col>7</xdr:col>
      <xdr:colOff>588818</xdr:colOff>
      <xdr:row>110</xdr:row>
      <xdr:rowOff>133697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5CE10FB3-FC96-4E2A-9CA5-18288FA1C9E1}"/>
            </a:ext>
          </a:extLst>
        </xdr:cNvPr>
        <xdr:cNvSpPr/>
      </xdr:nvSpPr>
      <xdr:spPr>
        <a:xfrm>
          <a:off x="3973484" y="14447175"/>
          <a:ext cx="1862743" cy="5290704"/>
        </a:xfrm>
        <a:prstGeom prst="rect">
          <a:avLst/>
        </a:prstGeom>
        <a:solidFill>
          <a:schemeClr val="accent2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581025</xdr:colOff>
      <xdr:row>80</xdr:row>
      <xdr:rowOff>44162</xdr:rowOff>
    </xdr:from>
    <xdr:to>
      <xdr:col>9</xdr:col>
      <xdr:colOff>606136</xdr:colOff>
      <xdr:row>110</xdr:row>
      <xdr:rowOff>160366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361D5E30-3DD4-49F6-BC85-5048FC064DC0}"/>
            </a:ext>
          </a:extLst>
        </xdr:cNvPr>
        <xdr:cNvSpPr/>
      </xdr:nvSpPr>
      <xdr:spPr>
        <a:xfrm>
          <a:off x="5828434" y="14452889"/>
          <a:ext cx="1826202" cy="5311659"/>
        </a:xfrm>
        <a:prstGeom prst="rect">
          <a:avLst/>
        </a:prstGeom>
        <a:solidFill>
          <a:schemeClr val="accent4">
            <a:lumMod val="60000"/>
            <a:lumOff val="40000"/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625360</xdr:colOff>
      <xdr:row>80</xdr:row>
      <xdr:rowOff>13608</xdr:rowOff>
    </xdr:from>
    <xdr:to>
      <xdr:col>11</xdr:col>
      <xdr:colOff>511926</xdr:colOff>
      <xdr:row>110</xdr:row>
      <xdr:rowOff>149111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0BE9A521-DAF1-4F36-8CBB-F19C89762C72}"/>
            </a:ext>
          </a:extLst>
        </xdr:cNvPr>
        <xdr:cNvSpPr/>
      </xdr:nvSpPr>
      <xdr:spPr>
        <a:xfrm>
          <a:off x="7687467" y="14722929"/>
          <a:ext cx="1818780" cy="5442289"/>
        </a:xfrm>
        <a:prstGeom prst="rect">
          <a:avLst/>
        </a:prstGeom>
        <a:solidFill>
          <a:schemeClr val="accent6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489450</xdr:colOff>
      <xdr:row>80</xdr:row>
      <xdr:rowOff>14636</xdr:rowOff>
    </xdr:from>
    <xdr:to>
      <xdr:col>14</xdr:col>
      <xdr:colOff>530370</xdr:colOff>
      <xdr:row>110</xdr:row>
      <xdr:rowOff>107980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C6825612-2A76-4069-9922-3E95B3BE4776}"/>
            </a:ext>
          </a:extLst>
        </xdr:cNvPr>
        <xdr:cNvSpPr/>
      </xdr:nvSpPr>
      <xdr:spPr>
        <a:xfrm>
          <a:off x="9514388" y="15802324"/>
          <a:ext cx="1898295" cy="5808344"/>
        </a:xfrm>
        <a:prstGeom prst="rect">
          <a:avLst/>
        </a:prstGeom>
        <a:solidFill>
          <a:schemeClr val="accent5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11</xdr:col>
      <xdr:colOff>482224</xdr:colOff>
      <xdr:row>100</xdr:row>
      <xdr:rowOff>94904</xdr:rowOff>
    </xdr:from>
    <xdr:to>
      <xdr:col>14</xdr:col>
      <xdr:colOff>260032</xdr:colOff>
      <xdr:row>109</xdr:row>
      <xdr:rowOff>32050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5AF5ADD7-35C4-4C50-9643-17419278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07162" y="19692592"/>
          <a:ext cx="1637088" cy="1653551"/>
        </a:xfrm>
        <a:prstGeom prst="rect">
          <a:avLst/>
        </a:prstGeom>
      </xdr:spPr>
    </xdr:pic>
    <xdr:clientData/>
  </xdr:twoCellAnchor>
  <xdr:twoCellAnchor editAs="oneCell">
    <xdr:from>
      <xdr:col>3</xdr:col>
      <xdr:colOff>335035</xdr:colOff>
      <xdr:row>73</xdr:row>
      <xdr:rowOff>30925</xdr:rowOff>
    </xdr:from>
    <xdr:to>
      <xdr:col>4</xdr:col>
      <xdr:colOff>2525</xdr:colOff>
      <xdr:row>78</xdr:row>
      <xdr:rowOff>67466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CFE6D06-69F4-29D4-D7B2-C2A4965D20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83480" b="-3443"/>
        <a:stretch/>
      </xdr:blipFill>
      <xdr:spPr>
        <a:xfrm>
          <a:off x="2171999" y="13501996"/>
          <a:ext cx="665710" cy="922911"/>
        </a:xfrm>
        <a:prstGeom prst="rect">
          <a:avLst/>
        </a:prstGeom>
      </xdr:spPr>
    </xdr:pic>
    <xdr:clientData/>
  </xdr:twoCellAnchor>
  <xdr:twoCellAnchor editAs="oneCell">
    <xdr:from>
      <xdr:col>5</xdr:col>
      <xdr:colOff>346364</xdr:colOff>
      <xdr:row>73</xdr:row>
      <xdr:rowOff>48245</xdr:rowOff>
    </xdr:from>
    <xdr:to>
      <xdr:col>6</xdr:col>
      <xdr:colOff>241851</xdr:colOff>
      <xdr:row>78</xdr:row>
      <xdr:rowOff>9320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4059113A-8054-A2FB-24F1-308FB03E4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47507" y="13519316"/>
          <a:ext cx="641975" cy="843635"/>
        </a:xfrm>
        <a:prstGeom prst="rect">
          <a:avLst/>
        </a:prstGeom>
      </xdr:spPr>
    </xdr:pic>
    <xdr:clientData/>
  </xdr:twoCellAnchor>
  <xdr:twoCellAnchor editAs="oneCell">
    <xdr:from>
      <xdr:col>7</xdr:col>
      <xdr:colOff>625929</xdr:colOff>
      <xdr:row>73</xdr:row>
      <xdr:rowOff>69372</xdr:rowOff>
    </xdr:from>
    <xdr:to>
      <xdr:col>8</xdr:col>
      <xdr:colOff>377326</xdr:colOff>
      <xdr:row>78</xdr:row>
      <xdr:rowOff>58928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D33CC569-92DD-92E6-B19F-8558D839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91893" y="13540443"/>
          <a:ext cx="608647" cy="877831"/>
        </a:xfrm>
        <a:prstGeom prst="rect">
          <a:avLst/>
        </a:prstGeom>
      </xdr:spPr>
    </xdr:pic>
    <xdr:clientData/>
  </xdr:twoCellAnchor>
  <xdr:twoCellAnchor editAs="oneCell">
    <xdr:from>
      <xdr:col>9</xdr:col>
      <xdr:colOff>633449</xdr:colOff>
      <xdr:row>73</xdr:row>
      <xdr:rowOff>34637</xdr:rowOff>
    </xdr:from>
    <xdr:to>
      <xdr:col>10</xdr:col>
      <xdr:colOff>349527</xdr:colOff>
      <xdr:row>78</xdr:row>
      <xdr:rowOff>35624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C6357EC2-BDE3-A9CC-AAA8-E0C2F1123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95556" y="13505708"/>
          <a:ext cx="680280" cy="885452"/>
        </a:xfrm>
        <a:prstGeom prst="rect">
          <a:avLst/>
        </a:prstGeom>
      </xdr:spPr>
    </xdr:pic>
    <xdr:clientData/>
  </xdr:twoCellAnchor>
  <xdr:twoCellAnchor editAs="oneCell">
    <xdr:from>
      <xdr:col>11</xdr:col>
      <xdr:colOff>529343</xdr:colOff>
      <xdr:row>73</xdr:row>
      <xdr:rowOff>28549</xdr:rowOff>
    </xdr:from>
    <xdr:to>
      <xdr:col>12</xdr:col>
      <xdr:colOff>611007</xdr:colOff>
      <xdr:row>78</xdr:row>
      <xdr:rowOff>31442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B419174C-C208-3284-3966-A31416F23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3664" y="13499620"/>
          <a:ext cx="693986" cy="889263"/>
        </a:xfrm>
        <a:prstGeom prst="rect">
          <a:avLst/>
        </a:prstGeom>
      </xdr:spPr>
    </xdr:pic>
    <xdr:clientData/>
  </xdr:twoCellAnchor>
  <xdr:oneCellAnchor>
    <xdr:from>
      <xdr:col>3</xdr:col>
      <xdr:colOff>971823</xdr:colOff>
      <xdr:row>71</xdr:row>
      <xdr:rowOff>130356</xdr:rowOff>
    </xdr:from>
    <xdr:ext cx="1214078" cy="1187954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A047C862-401D-7FD9-4198-53044BFE536E}"/>
            </a:ext>
          </a:extLst>
        </xdr:cNvPr>
        <xdr:cNvSpPr txBox="1"/>
      </xdr:nvSpPr>
      <xdr:spPr>
        <a:xfrm>
          <a:off x="2790232" y="12980447"/>
          <a:ext cx="1214078" cy="11879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pt-BR" sz="1000" b="1"/>
            <a:t>DISINTEGRATED</a:t>
          </a:r>
        </a:p>
        <a:p>
          <a:pPr algn="l"/>
          <a:r>
            <a:rPr lang="pt-BR" sz="1000"/>
            <a:t>Poorly interlocked, heavily broken rock mass with a mixture of angular</a:t>
          </a:r>
          <a:r>
            <a:rPr lang="pt-BR" sz="1000" baseline="0"/>
            <a:t> and rounded rock pieces</a:t>
          </a:r>
          <a:endParaRPr lang="pt-BR" sz="1000"/>
        </a:p>
      </xdr:txBody>
    </xdr:sp>
    <xdr:clientData/>
  </xdr:oneCellAnchor>
  <xdr:oneCellAnchor>
    <xdr:from>
      <xdr:col>6</xdr:col>
      <xdr:colOff>229516</xdr:colOff>
      <xdr:row>71</xdr:row>
      <xdr:rowOff>166699</xdr:rowOff>
    </xdr:from>
    <xdr:ext cx="1294484" cy="1031436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50D08FF0-AB84-4F0F-B179-A8A28D75CE1F}"/>
            </a:ext>
          </a:extLst>
        </xdr:cNvPr>
        <xdr:cNvSpPr txBox="1"/>
      </xdr:nvSpPr>
      <xdr:spPr>
        <a:xfrm>
          <a:off x="4662971" y="13016790"/>
          <a:ext cx="1294484" cy="10314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pt-BR" sz="1000" b="1"/>
            <a:t>BLOCKY/DISTURBED:</a:t>
          </a:r>
        </a:p>
        <a:p>
          <a:pPr algn="l"/>
          <a:r>
            <a:rPr lang="pt-BR" sz="1000"/>
            <a:t>Folded</a:t>
          </a:r>
          <a:r>
            <a:rPr lang="pt-BR" sz="1000" baseline="0"/>
            <a:t> and/or faulted with angular blocks formed by many intersecting discontinuity sets</a:t>
          </a:r>
          <a:endParaRPr lang="pt-BR" sz="1000"/>
        </a:p>
      </xdr:txBody>
    </xdr:sp>
    <xdr:clientData/>
  </xdr:oneCellAnchor>
  <xdr:oneCellAnchor>
    <xdr:from>
      <xdr:col>8</xdr:col>
      <xdr:colOff>361678</xdr:colOff>
      <xdr:row>71</xdr:row>
      <xdr:rowOff>145572</xdr:rowOff>
    </xdr:from>
    <xdr:ext cx="1279739" cy="1344471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A6BAAF4E-9B25-4FDF-AA24-3F6D4EE6FA08}"/>
            </a:ext>
          </a:extLst>
        </xdr:cNvPr>
        <xdr:cNvSpPr txBox="1"/>
      </xdr:nvSpPr>
      <xdr:spPr>
        <a:xfrm>
          <a:off x="6474996" y="12995663"/>
          <a:ext cx="1279739" cy="13444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pt-BR" sz="1000" b="1"/>
            <a:t>VERY BLOCKY</a:t>
          </a:r>
        </a:p>
        <a:p>
          <a:pPr algn="l"/>
          <a:r>
            <a:rPr lang="pt-BR" sz="1000"/>
            <a:t>Inerlocked, partially</a:t>
          </a:r>
          <a:r>
            <a:rPr lang="pt-BR" sz="1000" baseline="0"/>
            <a:t> disturbed rock mass with multifaceted angular blocks formed by fout or moure discontinuity sets</a:t>
          </a:r>
          <a:endParaRPr lang="pt-BR" sz="1000"/>
        </a:p>
      </xdr:txBody>
    </xdr:sp>
    <xdr:clientData/>
  </xdr:oneCellAnchor>
  <xdr:oneCellAnchor>
    <xdr:from>
      <xdr:col>10</xdr:col>
      <xdr:colOff>357399</xdr:colOff>
      <xdr:row>71</xdr:row>
      <xdr:rowOff>145199</xdr:rowOff>
    </xdr:from>
    <xdr:ext cx="1148987" cy="1344471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53FC9BB9-1142-4A91-A667-66C38E7E7A82}"/>
            </a:ext>
          </a:extLst>
        </xdr:cNvPr>
        <xdr:cNvSpPr txBox="1"/>
      </xdr:nvSpPr>
      <xdr:spPr>
        <a:xfrm>
          <a:off x="8375717" y="12995290"/>
          <a:ext cx="1148987" cy="13444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pt-BR" sz="1000" b="1"/>
            <a:t>BLOCKY</a:t>
          </a:r>
        </a:p>
        <a:p>
          <a:pPr algn="l"/>
          <a:r>
            <a:rPr lang="pt-BR" sz="1000"/>
            <a:t>Very well interlocked undisturbed rock mass consisting of cubical blocks formed by three discontinuity</a:t>
          </a:r>
          <a:r>
            <a:rPr lang="pt-BR" sz="1000" baseline="0"/>
            <a:t> sets</a:t>
          </a:r>
          <a:endParaRPr lang="pt-BR" sz="1000"/>
        </a:p>
      </xdr:txBody>
    </xdr:sp>
    <xdr:clientData/>
  </xdr:oneCellAnchor>
  <xdr:oneCellAnchor>
    <xdr:from>
      <xdr:col>12</xdr:col>
      <xdr:colOff>592999</xdr:colOff>
      <xdr:row>72</xdr:row>
      <xdr:rowOff>26447</xdr:rowOff>
    </xdr:from>
    <xdr:ext cx="1277364" cy="1187954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E8DDC997-205F-4CC8-83C8-48088A6089B2}"/>
            </a:ext>
          </a:extLst>
        </xdr:cNvPr>
        <xdr:cNvSpPr txBox="1"/>
      </xdr:nvSpPr>
      <xdr:spPr>
        <a:xfrm>
          <a:off x="10187272" y="13049720"/>
          <a:ext cx="1277364" cy="11879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pt-BR" sz="1000" b="1"/>
            <a:t>INTACT OR MASSIVE</a:t>
          </a:r>
        </a:p>
        <a:p>
          <a:pPr algn="l"/>
          <a:r>
            <a:rPr lang="pt-BR" sz="1000"/>
            <a:t>Intact</a:t>
          </a:r>
          <a:r>
            <a:rPr lang="pt-BR" sz="1000" baseline="0"/>
            <a:t> rock specimens or massive in istu rock with very few widely soaced discontinuities</a:t>
          </a:r>
          <a:endParaRPr lang="pt-BR" sz="1000"/>
        </a:p>
      </xdr:txBody>
    </xdr:sp>
    <xdr:clientData/>
  </xdr:oneCellAnchor>
  <xdr:twoCellAnchor>
    <xdr:from>
      <xdr:col>15</xdr:col>
      <xdr:colOff>410266</xdr:colOff>
      <xdr:row>116</xdr:row>
      <xdr:rowOff>150670</xdr:rowOff>
    </xdr:from>
    <xdr:to>
      <xdr:col>26</xdr:col>
      <xdr:colOff>137505</xdr:colOff>
      <xdr:row>164</xdr:row>
      <xdr:rowOff>42777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2" name="Gráfico 31">
              <a:extLst>
                <a:ext uri="{FF2B5EF4-FFF2-40B4-BE49-F238E27FC236}">
                  <a16:creationId xmlns:a16="http://schemas.microsoft.com/office/drawing/2014/main" id="{EC2BB536-3664-4976-9F2E-70FEA5E7EF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16441" y="22820170"/>
              <a:ext cx="6680489" cy="90361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61</xdr:col>
      <xdr:colOff>417194</xdr:colOff>
      <xdr:row>6</xdr:row>
      <xdr:rowOff>79177</xdr:rowOff>
    </xdr:from>
    <xdr:to>
      <xdr:col>82</xdr:col>
      <xdr:colOff>571499</xdr:colOff>
      <xdr:row>143</xdr:row>
      <xdr:rowOff>174111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3D339538-EF1C-EE2F-786F-D921C8098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726994" y="1755577"/>
          <a:ext cx="12955905" cy="2619343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</xdr:colOff>
      <xdr:row>1</xdr:row>
      <xdr:rowOff>53340</xdr:rowOff>
    </xdr:from>
    <xdr:to>
      <xdr:col>15</xdr:col>
      <xdr:colOff>444547</xdr:colOff>
      <xdr:row>20</xdr:row>
      <xdr:rowOff>22860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3E613A-D428-2DB0-7E7F-8D690E88E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2180" y="236220"/>
          <a:ext cx="5290867" cy="3505200"/>
        </a:xfrm>
        <a:prstGeom prst="rect">
          <a:avLst/>
        </a:prstGeom>
      </xdr:spPr>
    </xdr:pic>
    <xdr:clientData/>
  </xdr:twoCellAnchor>
  <xdr:twoCellAnchor>
    <xdr:from>
      <xdr:col>16</xdr:col>
      <xdr:colOff>272143</xdr:colOff>
      <xdr:row>1</xdr:row>
      <xdr:rowOff>32657</xdr:rowOff>
    </xdr:from>
    <xdr:to>
      <xdr:col>24</xdr:col>
      <xdr:colOff>23058</xdr:colOff>
      <xdr:row>29</xdr:row>
      <xdr:rowOff>28624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69CEB616-98B7-4759-AC1E-B24FD06853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87818" y="223157"/>
              <a:ext cx="4475315" cy="54156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auiniquel-my.sharepoint.com/personal/vlovera_brnickel_com/Documents/Documentos/A.%20Projeto%20Brejo%20Seco%2010y/D.%20Ensayos%20de%20Laboratorio%20Geominas/Resistencia%20Piaui-UCS-Silica%20SRK.xlsx" TargetMode="External"/><Relationship Id="rId1" Type="http://schemas.openxmlformats.org/officeDocument/2006/relationships/externalLinkPath" Target="/personal/vlovera_brnickel_com/Documents/Documentos/A.%20Projeto%20Brejo%20Seco%2010y/D.%20Ensayos%20de%20Laboratorio%20Geominas/Resistencia%20Piaui-UCS-Silica%20S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CS"/>
      <sheetName val="Estadisticas"/>
      <sheetName val="PLT-lump"/>
      <sheetName val="Silica content"/>
      <sheetName val="Charts"/>
      <sheetName val="Histogram"/>
      <sheetName val="Resistencia Piaui-UCS-Silica SR"/>
      <sheetName val="Laboratorio UCS"/>
    </sheetNames>
    <sheetDataSet>
      <sheetData sheetId="0"/>
      <sheetData sheetId="1">
        <row r="3">
          <cell r="D3">
            <v>49.09</v>
          </cell>
        </row>
        <row r="4">
          <cell r="D4">
            <v>52.2</v>
          </cell>
        </row>
        <row r="5">
          <cell r="D5">
            <v>43.23</v>
          </cell>
          <cell r="J5">
            <v>49.09</v>
          </cell>
        </row>
        <row r="6">
          <cell r="D6">
            <v>14.59</v>
          </cell>
          <cell r="J6">
            <v>52.2</v>
          </cell>
        </row>
        <row r="7">
          <cell r="D7">
            <v>9.44</v>
          </cell>
          <cell r="J7">
            <v>43.23</v>
          </cell>
        </row>
        <row r="8">
          <cell r="D8">
            <v>21.83</v>
          </cell>
          <cell r="J8">
            <v>14.59</v>
          </cell>
        </row>
        <row r="9">
          <cell r="D9">
            <v>40.24</v>
          </cell>
          <cell r="J9">
            <v>9.44</v>
          </cell>
        </row>
        <row r="10">
          <cell r="D10">
            <v>76.87</v>
          </cell>
          <cell r="J10">
            <v>21.83</v>
          </cell>
        </row>
        <row r="11">
          <cell r="D11">
            <v>74.900000000000006</v>
          </cell>
          <cell r="J11">
            <v>40.24</v>
          </cell>
        </row>
        <row r="12">
          <cell r="D12">
            <v>29.77</v>
          </cell>
          <cell r="J12">
            <v>76.87</v>
          </cell>
        </row>
        <row r="13">
          <cell r="D13">
            <v>17.809999999999999</v>
          </cell>
          <cell r="J13">
            <v>74.900000000000006</v>
          </cell>
        </row>
        <row r="14">
          <cell r="D14">
            <v>9.41</v>
          </cell>
          <cell r="J14">
            <v>29.77</v>
          </cell>
        </row>
        <row r="15">
          <cell r="D15">
            <v>8.81</v>
          </cell>
          <cell r="J15">
            <v>17.809999999999999</v>
          </cell>
        </row>
        <row r="16">
          <cell r="D16">
            <v>12.23</v>
          </cell>
          <cell r="J16">
            <v>9.41</v>
          </cell>
        </row>
        <row r="17">
          <cell r="D17">
            <v>9.83</v>
          </cell>
          <cell r="J17">
            <v>8.81</v>
          </cell>
        </row>
        <row r="18">
          <cell r="D18">
            <v>38.18</v>
          </cell>
          <cell r="J18">
            <v>12.23</v>
          </cell>
        </row>
        <row r="19">
          <cell r="D19">
            <v>23.54</v>
          </cell>
          <cell r="J19">
            <v>9.83</v>
          </cell>
        </row>
        <row r="20">
          <cell r="J20">
            <v>38.18</v>
          </cell>
        </row>
        <row r="21">
          <cell r="J21">
            <v>23.54</v>
          </cell>
        </row>
        <row r="22">
          <cell r="J22">
            <v>147.82849088242475</v>
          </cell>
        </row>
        <row r="23">
          <cell r="D23">
            <v>20.338999999999999</v>
          </cell>
          <cell r="J23">
            <v>154.97299264615643</v>
          </cell>
        </row>
        <row r="24">
          <cell r="D24">
            <v>22.234000000000002</v>
          </cell>
          <cell r="J24">
            <v>123.25284267962728</v>
          </cell>
        </row>
        <row r="25">
          <cell r="D25">
            <v>23.440999999999999</v>
          </cell>
          <cell r="J25">
            <v>43.553540710450463</v>
          </cell>
        </row>
        <row r="26">
          <cell r="D26">
            <v>20.242000000000001</v>
          </cell>
          <cell r="J26">
            <v>87.594344112178845</v>
          </cell>
        </row>
        <row r="27">
          <cell r="D27">
            <v>19.262</v>
          </cell>
          <cell r="J27">
            <v>95.452479275222458</v>
          </cell>
        </row>
        <row r="28">
          <cell r="D28">
            <v>45.363</v>
          </cell>
        </row>
        <row r="29">
          <cell r="D29">
            <v>15.886078328540382</v>
          </cell>
          <cell r="J29">
            <v>73.296724753760785</v>
          </cell>
        </row>
        <row r="30">
          <cell r="J30">
            <v>88.785870039116176</v>
          </cell>
        </row>
        <row r="31">
          <cell r="D31">
            <v>18.989999999999998</v>
          </cell>
          <cell r="J31">
            <v>43.708308642889541</v>
          </cell>
        </row>
        <row r="32">
          <cell r="D32">
            <v>14.026999999999999</v>
          </cell>
          <cell r="J32">
            <v>32.899501767682708</v>
          </cell>
        </row>
        <row r="33">
          <cell r="D33">
            <v>17.919</v>
          </cell>
          <cell r="J33">
            <v>120.67891711550155</v>
          </cell>
        </row>
        <row r="34">
          <cell r="D34">
            <v>24.824999999999999</v>
          </cell>
        </row>
        <row r="35">
          <cell r="D35">
            <v>30.609000000000002</v>
          </cell>
        </row>
        <row r="36">
          <cell r="D36">
            <v>29.696999999999999</v>
          </cell>
          <cell r="J36">
            <v>102.55000851633557</v>
          </cell>
        </row>
        <row r="37">
          <cell r="D37">
            <v>27.922999999999998</v>
          </cell>
          <cell r="J37">
            <v>58.611054466168078</v>
          </cell>
        </row>
        <row r="38">
          <cell r="D38">
            <v>25.420999999999999</v>
          </cell>
          <cell r="J38">
            <v>25.037196708056651</v>
          </cell>
        </row>
        <row r="39">
          <cell r="D39">
            <v>27.713000000000001</v>
          </cell>
          <cell r="J39">
            <v>41.126087116560157</v>
          </cell>
        </row>
        <row r="40">
          <cell r="D40">
            <v>24.745999999999999</v>
          </cell>
          <cell r="J40">
            <v>65.514159364216653</v>
          </cell>
        </row>
        <row r="41">
          <cell r="D41">
            <v>31.963000000000001</v>
          </cell>
          <cell r="J41">
            <v>122.47730594798662</v>
          </cell>
        </row>
        <row r="42">
          <cell r="D42">
            <v>23.995999999999999</v>
          </cell>
        </row>
        <row r="43">
          <cell r="D43">
            <v>34.517000000000003</v>
          </cell>
        </row>
        <row r="44">
          <cell r="D44">
            <v>20.637</v>
          </cell>
        </row>
        <row r="45">
          <cell r="D45">
            <v>32.048999999999999</v>
          </cell>
        </row>
        <row r="46">
          <cell r="D46">
            <v>33.167000000000002</v>
          </cell>
        </row>
        <row r="47">
          <cell r="D47">
            <v>33.317999999999998</v>
          </cell>
        </row>
        <row r="48">
          <cell r="D48">
            <v>27.585999999999999</v>
          </cell>
        </row>
        <row r="49">
          <cell r="D49">
            <v>25.19</v>
          </cell>
        </row>
        <row r="50">
          <cell r="D50">
            <v>36.198999999999998</v>
          </cell>
        </row>
        <row r="51">
          <cell r="D51">
            <v>31.866</v>
          </cell>
        </row>
        <row r="52">
          <cell r="D52">
            <v>30.808</v>
          </cell>
        </row>
        <row r="53">
          <cell r="D53">
            <v>27.613</v>
          </cell>
        </row>
        <row r="54">
          <cell r="D54">
            <v>47.908000000000001</v>
          </cell>
        </row>
        <row r="55">
          <cell r="D55">
            <v>41.149000000000001</v>
          </cell>
        </row>
        <row r="56">
          <cell r="D56">
            <v>34.609000000000002</v>
          </cell>
        </row>
        <row r="57">
          <cell r="D57">
            <v>22.001999999999999</v>
          </cell>
        </row>
        <row r="58">
          <cell r="D58">
            <v>37.195999999999998</v>
          </cell>
        </row>
        <row r="59">
          <cell r="D59">
            <v>36.085000000000001</v>
          </cell>
        </row>
        <row r="60">
          <cell r="D60">
            <v>28.895</v>
          </cell>
        </row>
        <row r="61">
          <cell r="D61">
            <v>22.896999999999998</v>
          </cell>
        </row>
        <row r="62">
          <cell r="D62">
            <v>19.841999999999999</v>
          </cell>
        </row>
        <row r="63">
          <cell r="D63">
            <v>30.266999999999999</v>
          </cell>
        </row>
        <row r="64">
          <cell r="D64">
            <v>22.815000000000001</v>
          </cell>
        </row>
        <row r="69">
          <cell r="D69" t="str">
            <v>Litologia 30</v>
          </cell>
        </row>
        <row r="70">
          <cell r="D70">
            <v>0.75</v>
          </cell>
        </row>
        <row r="71">
          <cell r="D71">
            <v>2.94</v>
          </cell>
        </row>
        <row r="72">
          <cell r="D72">
            <v>4.4000000000000004</v>
          </cell>
        </row>
        <row r="73">
          <cell r="D73">
            <v>6.25</v>
          </cell>
        </row>
        <row r="74">
          <cell r="D74">
            <v>0.85</v>
          </cell>
        </row>
        <row r="75">
          <cell r="D75">
            <v>4.3600000000000003</v>
          </cell>
        </row>
        <row r="76">
          <cell r="D76">
            <v>1.1100000000000001</v>
          </cell>
        </row>
        <row r="77">
          <cell r="D77">
            <v>1.43</v>
          </cell>
        </row>
        <row r="78">
          <cell r="D78">
            <v>5.22</v>
          </cell>
        </row>
        <row r="79">
          <cell r="D79">
            <v>17.5</v>
          </cell>
        </row>
        <row r="80">
          <cell r="D80"/>
        </row>
        <row r="81">
          <cell r="D81">
            <v>2.06</v>
          </cell>
        </row>
        <row r="82">
          <cell r="D82">
            <v>5.27</v>
          </cell>
        </row>
        <row r="83">
          <cell r="D83">
            <v>19.651094103757472</v>
          </cell>
        </row>
        <row r="84">
          <cell r="D84">
            <v>31.307855335645677</v>
          </cell>
        </row>
        <row r="85">
          <cell r="D85"/>
        </row>
        <row r="86">
          <cell r="D86"/>
        </row>
        <row r="87">
          <cell r="D87"/>
        </row>
        <row r="88">
          <cell r="D88">
            <v>51.999404832031729</v>
          </cell>
        </row>
        <row r="89">
          <cell r="D89"/>
        </row>
        <row r="90">
          <cell r="D90"/>
        </row>
        <row r="91">
          <cell r="D91"/>
        </row>
        <row r="92">
          <cell r="D92"/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ctor Vergara" id="{DC5E380F-6FB4-4F58-A417-A7E158D1BBA5}" userId="S::vlovera@brnickel.com::0269006a-502b-4392-9de0-341dfbc3706a" providerId="AD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2" dT="2025-02-12T20:18:48.60" personId="{DC5E380F-6FB4-4F58-A417-A7E158D1BBA5}" id="{89988F9A-8145-4970-96CC-0D30E401DCC1}">
    <text>Legenda de Bieniaswki (1989)</text>
  </threadedComment>
  <threadedComment ref="AJ2" dT="2025-02-12T17:19:25.69" personId="{DC5E380F-6FB4-4F58-A417-A7E158D1BBA5}" id="{3AB748B1-BDAB-4ACE-8929-61247FD39057}">
    <text xml:space="preserve">Ver Legenda Blastability Index
</text>
  </threadedComment>
  <threadedComment ref="BG2" dT="2025-02-12T20:19:20.49" personId="{DC5E380F-6FB4-4F58-A417-A7E158D1BBA5}" id="{E4F18BB0-BFC4-4161-A443-F48C040A480B}">
    <text xml:space="preserve">Formula empirica - GSI e  RMR76 - Roca baja 
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482EADE-60CF-457B-9AA5-C8B81A15E3CA}">
  <we:reference id="5dafa561-eb8c-4f8b-a8ff-86b8a387add4" version="1.0.0.0" store="EXCatalog" storeType="EXCatalog"/>
  <we:alternateReferences>
    <we:reference id="WA200005171" version="1.0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700C2E8-37AC-468F-A973-F222712E35A9}">
  <we:reference id="cec2c794-cfc7-4347-a54b-1ced872b6768" version="1.0.0.11" store="EXCatalog" storeType="EXCatalog"/>
  <we:alternateReferences>
    <we:reference id="WA200005502" version="1.0.0.11" store="" storeType="OMEX"/>
  </we:alternateReferences>
  <we:properties>
    <we:property name="docId" value="&quot;KGnWWUmuy3WrPfgrz5_w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85F6-BFBF-4C12-A26F-B3E3CA9692A2}">
  <sheetPr codeName="Planilha1">
    <tabColor rgb="FFFFFF00"/>
  </sheetPr>
  <dimension ref="A1:L24"/>
  <sheetViews>
    <sheetView zoomScale="85" zoomScaleNormal="85" workbookViewId="0">
      <selection activeCell="G22" sqref="G22"/>
    </sheetView>
  </sheetViews>
  <sheetFormatPr defaultColWidth="8.85546875" defaultRowHeight="15" x14ac:dyDescent="0.25"/>
  <cols>
    <col min="1" max="1" width="11" bestFit="1" customWidth="1"/>
    <col min="2" max="2" width="15" customWidth="1"/>
    <col min="3" max="3" width="12.140625" customWidth="1"/>
    <col min="4" max="4" width="12.28515625" customWidth="1"/>
    <col min="5" max="5" width="15.7109375" bestFit="1" customWidth="1"/>
    <col min="6" max="6" width="15.140625" bestFit="1" customWidth="1"/>
    <col min="7" max="7" width="8.7109375" customWidth="1"/>
    <col min="8" max="8" width="13.28515625" customWidth="1"/>
    <col min="9" max="9" width="13.7109375" customWidth="1"/>
    <col min="10" max="10" width="11.7109375" customWidth="1"/>
    <col min="11" max="11" width="12.28515625" customWidth="1"/>
  </cols>
  <sheetData>
    <row r="1" spans="1:12" x14ac:dyDescent="0.25">
      <c r="A1" s="197" t="s">
        <v>705</v>
      </c>
      <c r="B1" s="198" t="s">
        <v>697</v>
      </c>
      <c r="C1" s="198" t="s">
        <v>704</v>
      </c>
      <c r="D1" s="198" t="s">
        <v>706</v>
      </c>
      <c r="E1" s="198" t="s">
        <v>703</v>
      </c>
      <c r="F1" s="198" t="s">
        <v>332</v>
      </c>
      <c r="G1" s="198" t="s">
        <v>331</v>
      </c>
      <c r="H1" s="199" t="s">
        <v>701</v>
      </c>
      <c r="I1" s="199" t="s">
        <v>698</v>
      </c>
      <c r="J1" s="199" t="s">
        <v>699</v>
      </c>
      <c r="K1" s="200" t="s">
        <v>700</v>
      </c>
    </row>
    <row r="2" spans="1:12" x14ac:dyDescent="0.25">
      <c r="A2" s="211" t="s">
        <v>328</v>
      </c>
      <c r="B2" s="221" t="s">
        <v>10</v>
      </c>
      <c r="C2" s="212" t="s">
        <v>695</v>
      </c>
      <c r="D2" s="212" t="s">
        <v>707</v>
      </c>
      <c r="E2" s="212">
        <v>60</v>
      </c>
      <c r="F2" s="212">
        <v>0</v>
      </c>
      <c r="G2" s="212">
        <v>90</v>
      </c>
      <c r="H2" s="212" t="s">
        <v>702</v>
      </c>
      <c r="I2" s="226">
        <v>9063816.7019999996</v>
      </c>
      <c r="J2" s="226">
        <v>173695.42499999999</v>
      </c>
      <c r="K2" s="227">
        <v>481.37</v>
      </c>
    </row>
    <row r="3" spans="1:12" x14ac:dyDescent="0.25">
      <c r="A3" s="211" t="s">
        <v>328</v>
      </c>
      <c r="B3" s="221" t="s">
        <v>245</v>
      </c>
      <c r="C3" s="212" t="s">
        <v>695</v>
      </c>
      <c r="D3" s="212" t="s">
        <v>708</v>
      </c>
      <c r="E3" s="212">
        <v>60</v>
      </c>
      <c r="F3" s="212">
        <v>270</v>
      </c>
      <c r="G3" s="212">
        <v>60</v>
      </c>
      <c r="H3" s="212" t="s">
        <v>702</v>
      </c>
      <c r="I3" s="226">
        <v>9063476.4250000007</v>
      </c>
      <c r="J3" s="226">
        <v>174445.89</v>
      </c>
      <c r="K3" s="227">
        <v>506.97199999999998</v>
      </c>
    </row>
    <row r="4" spans="1:12" x14ac:dyDescent="0.25">
      <c r="A4" s="211" t="s">
        <v>328</v>
      </c>
      <c r="B4" s="221" t="s">
        <v>130</v>
      </c>
      <c r="C4" s="212" t="s">
        <v>695</v>
      </c>
      <c r="D4" s="212" t="s">
        <v>708</v>
      </c>
      <c r="E4" s="212">
        <v>60</v>
      </c>
      <c r="F4" s="212">
        <v>210</v>
      </c>
      <c r="G4" s="212">
        <v>60</v>
      </c>
      <c r="H4" s="212" t="s">
        <v>702</v>
      </c>
      <c r="I4" s="226">
        <v>9063223.7550000008</v>
      </c>
      <c r="J4" s="226">
        <v>174709.899</v>
      </c>
      <c r="K4" s="227">
        <v>495.89</v>
      </c>
    </row>
    <row r="5" spans="1:12" x14ac:dyDescent="0.25">
      <c r="A5" s="211" t="s">
        <v>328</v>
      </c>
      <c r="B5" s="221" t="s">
        <v>266</v>
      </c>
      <c r="C5" s="212" t="s">
        <v>695</v>
      </c>
      <c r="D5" s="212" t="s">
        <v>708</v>
      </c>
      <c r="E5" s="212">
        <v>40</v>
      </c>
      <c r="F5" s="212">
        <v>150</v>
      </c>
      <c r="G5" s="212">
        <v>60</v>
      </c>
      <c r="H5" s="212" t="s">
        <v>702</v>
      </c>
      <c r="I5" s="226">
        <v>9063631</v>
      </c>
      <c r="J5" s="226">
        <v>174188.99</v>
      </c>
      <c r="K5" s="227">
        <v>499.14299999999997</v>
      </c>
    </row>
    <row r="6" spans="1:12" x14ac:dyDescent="0.25">
      <c r="A6" s="211" t="s">
        <v>328</v>
      </c>
      <c r="B6" s="221" t="s">
        <v>134</v>
      </c>
      <c r="C6" s="212" t="s">
        <v>695</v>
      </c>
      <c r="D6" s="212" t="s">
        <v>707</v>
      </c>
      <c r="E6" s="212">
        <v>30</v>
      </c>
      <c r="F6" s="212">
        <v>0</v>
      </c>
      <c r="G6" s="212">
        <v>90</v>
      </c>
      <c r="H6" s="212" t="s">
        <v>702</v>
      </c>
      <c r="I6" s="226">
        <v>9063713.7670000009</v>
      </c>
      <c r="J6" s="226">
        <v>173859.73199999999</v>
      </c>
      <c r="K6" s="227">
        <v>491.76799999999997</v>
      </c>
    </row>
    <row r="7" spans="1:12" x14ac:dyDescent="0.25">
      <c r="A7" s="211" t="s">
        <v>328</v>
      </c>
      <c r="B7" s="221" t="s">
        <v>132</v>
      </c>
      <c r="C7" s="212" t="s">
        <v>695</v>
      </c>
      <c r="D7" s="212" t="s">
        <v>707</v>
      </c>
      <c r="E7" s="212">
        <v>30</v>
      </c>
      <c r="F7" s="212">
        <v>0</v>
      </c>
      <c r="G7" s="212">
        <v>90</v>
      </c>
      <c r="H7" s="212" t="s">
        <v>702</v>
      </c>
      <c r="I7" s="226">
        <v>9063323.4979999997</v>
      </c>
      <c r="J7" s="226">
        <v>174430.17800000001</v>
      </c>
      <c r="K7" s="227">
        <v>506.68</v>
      </c>
    </row>
    <row r="8" spans="1:12" x14ac:dyDescent="0.25">
      <c r="A8" s="213" t="s">
        <v>328</v>
      </c>
      <c r="B8" s="219" t="s">
        <v>657</v>
      </c>
      <c r="C8" s="214" t="s">
        <v>696</v>
      </c>
      <c r="D8" s="215" t="s">
        <v>707</v>
      </c>
      <c r="E8" s="215">
        <v>80</v>
      </c>
      <c r="F8" s="215">
        <v>0</v>
      </c>
      <c r="G8" s="215">
        <v>90</v>
      </c>
      <c r="H8" s="215" t="s">
        <v>702</v>
      </c>
      <c r="I8" s="228">
        <v>9063705.6699999999</v>
      </c>
      <c r="J8" s="228">
        <v>173847.33</v>
      </c>
      <c r="K8" s="229">
        <v>491.89</v>
      </c>
      <c r="L8" s="201"/>
    </row>
    <row r="9" spans="1:12" x14ac:dyDescent="0.25">
      <c r="A9" s="213" t="s">
        <v>328</v>
      </c>
      <c r="B9" s="219" t="s">
        <v>658</v>
      </c>
      <c r="C9" s="214" t="s">
        <v>696</v>
      </c>
      <c r="D9" s="215" t="s">
        <v>707</v>
      </c>
      <c r="E9" s="215">
        <v>80</v>
      </c>
      <c r="F9" s="215">
        <v>0</v>
      </c>
      <c r="G9" s="215">
        <v>90</v>
      </c>
      <c r="H9" s="215" t="s">
        <v>702</v>
      </c>
      <c r="I9" s="228">
        <v>9063617.2799999993</v>
      </c>
      <c r="J9" s="228">
        <v>174185.92</v>
      </c>
      <c r="K9" s="229">
        <v>500.07</v>
      </c>
    </row>
    <row r="10" spans="1:12" x14ac:dyDescent="0.25">
      <c r="A10" s="213" t="s">
        <v>328</v>
      </c>
      <c r="B10" s="219" t="s">
        <v>659</v>
      </c>
      <c r="C10" s="214" t="s">
        <v>696</v>
      </c>
      <c r="D10" s="215" t="s">
        <v>707</v>
      </c>
      <c r="E10" s="215">
        <v>80</v>
      </c>
      <c r="F10" s="215">
        <v>0</v>
      </c>
      <c r="G10" s="215">
        <v>90</v>
      </c>
      <c r="H10" s="215" t="s">
        <v>702</v>
      </c>
      <c r="I10" s="228">
        <v>9063205.1899999995</v>
      </c>
      <c r="J10" s="228">
        <v>174676.02</v>
      </c>
      <c r="K10" s="229">
        <v>497.19</v>
      </c>
    </row>
    <row r="11" spans="1:12" x14ac:dyDescent="0.25">
      <c r="A11" s="213" t="s">
        <v>328</v>
      </c>
      <c r="B11" s="219" t="s">
        <v>660</v>
      </c>
      <c r="C11" s="214" t="s">
        <v>696</v>
      </c>
      <c r="D11" s="215" t="s">
        <v>707</v>
      </c>
      <c r="E11" s="215">
        <v>40</v>
      </c>
      <c r="F11" s="215">
        <v>0</v>
      </c>
      <c r="G11" s="215">
        <v>90</v>
      </c>
      <c r="H11" s="215" t="s">
        <v>702</v>
      </c>
      <c r="I11" s="228">
        <v>9063848.9700000007</v>
      </c>
      <c r="J11" s="228">
        <v>174695.82</v>
      </c>
      <c r="K11" s="229">
        <v>408.64</v>
      </c>
    </row>
    <row r="12" spans="1:12" x14ac:dyDescent="0.25">
      <c r="A12" s="213" t="s">
        <v>328</v>
      </c>
      <c r="B12" s="219" t="s">
        <v>661</v>
      </c>
      <c r="C12" s="214" t="s">
        <v>696</v>
      </c>
      <c r="D12" s="215" t="s">
        <v>707</v>
      </c>
      <c r="E12" s="215">
        <v>40</v>
      </c>
      <c r="F12" s="215">
        <v>0</v>
      </c>
      <c r="G12" s="215">
        <v>90</v>
      </c>
      <c r="H12" s="215" t="s">
        <v>702</v>
      </c>
      <c r="I12" s="228">
        <v>9064232.4600000009</v>
      </c>
      <c r="J12" s="228">
        <v>174392.73</v>
      </c>
      <c r="K12" s="229">
        <v>391.9</v>
      </c>
    </row>
    <row r="13" spans="1:12" x14ac:dyDescent="0.25">
      <c r="A13" s="213" t="s">
        <v>328</v>
      </c>
      <c r="B13" s="219" t="s">
        <v>662</v>
      </c>
      <c r="C13" s="214" t="s">
        <v>696</v>
      </c>
      <c r="D13" s="215" t="s">
        <v>707</v>
      </c>
      <c r="E13" s="215">
        <v>40</v>
      </c>
      <c r="F13" s="215">
        <v>0</v>
      </c>
      <c r="G13" s="215">
        <v>90</v>
      </c>
      <c r="H13" s="215" t="s">
        <v>702</v>
      </c>
      <c r="I13" s="228">
        <v>9064178.8100000005</v>
      </c>
      <c r="J13" s="228">
        <v>174342.87</v>
      </c>
      <c r="K13" s="229">
        <v>395.06</v>
      </c>
    </row>
    <row r="14" spans="1:12" x14ac:dyDescent="0.25">
      <c r="A14" s="213" t="s">
        <v>328</v>
      </c>
      <c r="B14" s="219" t="s">
        <v>663</v>
      </c>
      <c r="C14" s="214" t="s">
        <v>696</v>
      </c>
      <c r="D14" s="215" t="s">
        <v>707</v>
      </c>
      <c r="E14" s="215">
        <v>40</v>
      </c>
      <c r="F14" s="215">
        <v>0</v>
      </c>
      <c r="G14" s="215">
        <v>90</v>
      </c>
      <c r="H14" s="215" t="s">
        <v>702</v>
      </c>
      <c r="I14" s="228">
        <v>9064277.4800000004</v>
      </c>
      <c r="J14" s="228">
        <v>174038.67</v>
      </c>
      <c r="K14" s="229">
        <v>399.03</v>
      </c>
    </row>
    <row r="15" spans="1:12" x14ac:dyDescent="0.25">
      <c r="A15" s="213" t="s">
        <v>328</v>
      </c>
      <c r="B15" s="219" t="s">
        <v>664</v>
      </c>
      <c r="C15" s="214" t="s">
        <v>696</v>
      </c>
      <c r="D15" s="215" t="s">
        <v>707</v>
      </c>
      <c r="E15" s="215">
        <v>40</v>
      </c>
      <c r="F15" s="215">
        <v>0</v>
      </c>
      <c r="G15" s="215">
        <v>90</v>
      </c>
      <c r="H15" s="215" t="s">
        <v>702</v>
      </c>
      <c r="I15" s="228">
        <v>9064320.5899999999</v>
      </c>
      <c r="J15" s="228">
        <v>173742.07</v>
      </c>
      <c r="K15" s="229">
        <v>402.83</v>
      </c>
    </row>
    <row r="16" spans="1:12" x14ac:dyDescent="0.25">
      <c r="A16" s="213" t="s">
        <v>328</v>
      </c>
      <c r="B16" s="219" t="s">
        <v>688</v>
      </c>
      <c r="C16" s="214" t="s">
        <v>696</v>
      </c>
      <c r="D16" s="215" t="s">
        <v>707</v>
      </c>
      <c r="E16" s="215">
        <v>40</v>
      </c>
      <c r="F16" s="215">
        <v>0</v>
      </c>
      <c r="G16" s="215">
        <v>90</v>
      </c>
      <c r="H16" s="215" t="s">
        <v>702</v>
      </c>
      <c r="I16" s="228">
        <v>9063903.7100000009</v>
      </c>
      <c r="J16" s="228">
        <v>172744.45</v>
      </c>
      <c r="K16" s="229">
        <v>407.64</v>
      </c>
    </row>
    <row r="17" spans="1:12" x14ac:dyDescent="0.25">
      <c r="A17" s="213" t="s">
        <v>328</v>
      </c>
      <c r="B17" s="219" t="s">
        <v>689</v>
      </c>
      <c r="C17" s="214" t="s">
        <v>696</v>
      </c>
      <c r="D17" s="215" t="s">
        <v>707</v>
      </c>
      <c r="E17" s="215">
        <v>40</v>
      </c>
      <c r="F17" s="215">
        <v>0</v>
      </c>
      <c r="G17" s="215">
        <v>90</v>
      </c>
      <c r="H17" s="215" t="s">
        <v>702</v>
      </c>
      <c r="I17" s="228">
        <v>9063714.3000000007</v>
      </c>
      <c r="J17" s="228">
        <v>172846.76</v>
      </c>
      <c r="K17" s="229">
        <v>422.07</v>
      </c>
    </row>
    <row r="18" spans="1:12" x14ac:dyDescent="0.25">
      <c r="A18" s="213" t="s">
        <v>328</v>
      </c>
      <c r="B18" s="219" t="s">
        <v>690</v>
      </c>
      <c r="C18" s="214" t="s">
        <v>696</v>
      </c>
      <c r="D18" s="215" t="s">
        <v>707</v>
      </c>
      <c r="E18" s="215">
        <v>40</v>
      </c>
      <c r="F18" s="215">
        <v>72</v>
      </c>
      <c r="G18" s="215">
        <v>90</v>
      </c>
      <c r="H18" s="215" t="s">
        <v>702</v>
      </c>
      <c r="I18" s="228">
        <v>9063905.6400000006</v>
      </c>
      <c r="J18" s="228">
        <v>172648</v>
      </c>
      <c r="K18" s="229">
        <v>406.94</v>
      </c>
    </row>
    <row r="19" spans="1:12" x14ac:dyDescent="0.25">
      <c r="A19" s="213" t="s">
        <v>328</v>
      </c>
      <c r="B19" s="219" t="s">
        <v>691</v>
      </c>
      <c r="C19" s="214" t="s">
        <v>696</v>
      </c>
      <c r="D19" s="215" t="s">
        <v>707</v>
      </c>
      <c r="E19" s="215">
        <v>40</v>
      </c>
      <c r="F19" s="215">
        <v>0</v>
      </c>
      <c r="G19" s="215">
        <v>90</v>
      </c>
      <c r="H19" s="215" t="s">
        <v>702</v>
      </c>
      <c r="I19" s="228">
        <v>9063806.7200000007</v>
      </c>
      <c r="J19" s="228">
        <v>172649.98</v>
      </c>
      <c r="K19" s="229">
        <v>411.67</v>
      </c>
    </row>
    <row r="20" spans="1:12" x14ac:dyDescent="0.25">
      <c r="A20" s="213" t="s">
        <v>328</v>
      </c>
      <c r="B20" s="219" t="s">
        <v>692</v>
      </c>
      <c r="C20" s="214" t="s">
        <v>696</v>
      </c>
      <c r="D20" s="215" t="s">
        <v>707</v>
      </c>
      <c r="E20" s="215">
        <v>40</v>
      </c>
      <c r="F20" s="215">
        <v>0</v>
      </c>
      <c r="G20" s="215">
        <v>90</v>
      </c>
      <c r="H20" s="215" t="s">
        <v>702</v>
      </c>
      <c r="I20" s="228">
        <v>9063685.3200000003</v>
      </c>
      <c r="J20" s="228">
        <v>172450.47</v>
      </c>
      <c r="K20" s="229">
        <v>419.83</v>
      </c>
    </row>
    <row r="21" spans="1:12" x14ac:dyDescent="0.25">
      <c r="A21" s="213" t="s">
        <v>328</v>
      </c>
      <c r="B21" s="219" t="s">
        <v>693</v>
      </c>
      <c r="C21" s="214" t="s">
        <v>696</v>
      </c>
      <c r="D21" s="215" t="s">
        <v>707</v>
      </c>
      <c r="E21" s="215">
        <v>40</v>
      </c>
      <c r="F21" s="215">
        <v>0</v>
      </c>
      <c r="G21" s="215">
        <v>90</v>
      </c>
      <c r="H21" s="215" t="s">
        <v>702</v>
      </c>
      <c r="I21" s="228">
        <v>9063625.5399999991</v>
      </c>
      <c r="J21" s="228">
        <v>172346.77</v>
      </c>
      <c r="K21" s="229">
        <v>410.93</v>
      </c>
    </row>
    <row r="22" spans="1:12" ht="15.75" thickBot="1" x14ac:dyDescent="0.3">
      <c r="A22" s="216" t="s">
        <v>328</v>
      </c>
      <c r="B22" s="220" t="s">
        <v>694</v>
      </c>
      <c r="C22" s="217" t="s">
        <v>696</v>
      </c>
      <c r="D22" s="218" t="s">
        <v>707</v>
      </c>
      <c r="E22" s="218">
        <v>40</v>
      </c>
      <c r="F22" s="218">
        <v>0</v>
      </c>
      <c r="G22" s="218">
        <v>90</v>
      </c>
      <c r="H22" s="218" t="s">
        <v>702</v>
      </c>
      <c r="I22" s="230">
        <v>9063497.9399999995</v>
      </c>
      <c r="J22" s="230">
        <v>172350.38</v>
      </c>
      <c r="K22" s="231">
        <v>431</v>
      </c>
      <c r="L22" s="201"/>
    </row>
    <row r="23" spans="1:12" ht="15.75" thickBot="1" x14ac:dyDescent="0.3">
      <c r="E23" s="210">
        <f>+SUM(E2:E22)</f>
        <v>1000</v>
      </c>
    </row>
    <row r="24" spans="1:12" x14ac:dyDescent="0.25">
      <c r="E24" s="209">
        <f>1000-40*7</f>
        <v>720</v>
      </c>
    </row>
  </sheetData>
  <phoneticPr fontId="21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303F-F4A5-4BFE-9771-B763D6396D70}">
  <sheetPr codeName="Planilha2">
    <tabColor rgb="FF00B050"/>
  </sheetPr>
  <dimension ref="A1:DF1019"/>
  <sheetViews>
    <sheetView tabSelected="1" zoomScale="55" zoomScaleNormal="55" workbookViewId="0">
      <pane ySplit="2" topLeftCell="A3" activePane="bottomLeft" state="frozen"/>
      <selection pane="bottomLeft" activeCell="J47" sqref="A38:J47"/>
    </sheetView>
  </sheetViews>
  <sheetFormatPr defaultColWidth="11.42578125" defaultRowHeight="15" outlineLevelCol="3" x14ac:dyDescent="0.25"/>
  <cols>
    <col min="1" max="1" width="15.7109375" customWidth="1"/>
    <col min="3" max="3" width="17" customWidth="1"/>
    <col min="4" max="4" width="16.140625" customWidth="1"/>
    <col min="5" max="5" width="12.85546875" customWidth="1"/>
    <col min="6" max="6" width="13.42578125" customWidth="1"/>
    <col min="7" max="7" width="24" customWidth="1"/>
    <col min="8" max="8" width="22.28515625" bestFit="1" customWidth="1"/>
    <col min="9" max="9" width="32.7109375" customWidth="1"/>
    <col min="10" max="10" width="49.28515625" customWidth="1"/>
    <col min="11" max="11" width="14.7109375" customWidth="1" outlineLevel="1"/>
    <col min="12" max="12" width="15.28515625" customWidth="1" outlineLevel="1"/>
    <col min="13" max="13" width="10.28515625" customWidth="1" outlineLevel="2"/>
    <col min="14" max="15" width="16.85546875" customWidth="1" outlineLevel="2"/>
    <col min="16" max="16" width="15.140625" customWidth="1" outlineLevel="2"/>
    <col min="17" max="17" width="16.140625" customWidth="1" outlineLevel="3"/>
    <col min="18" max="19" width="15.7109375" customWidth="1" outlineLevel="3"/>
    <col min="20" max="20" width="14.85546875" customWidth="1" outlineLevel="2"/>
    <col min="21" max="26" width="19.7109375" customWidth="1" outlineLevel="2"/>
    <col min="27" max="27" width="23.140625" customWidth="1" outlineLevel="2"/>
    <col min="28" max="28" width="18.85546875" customWidth="1" outlineLevel="2"/>
    <col min="29" max="29" width="22.42578125" customWidth="1" outlineLevel="2"/>
    <col min="30" max="30" width="17" customWidth="1" outlineLevel="2"/>
    <col min="31" max="31" width="13.5703125" customWidth="1" outlineLevel="1"/>
    <col min="32" max="33" width="19.7109375" customWidth="1" outlineLevel="1"/>
    <col min="34" max="34" width="22.7109375" customWidth="1" outlineLevel="1"/>
    <col min="35" max="35" width="21.85546875" customWidth="1" outlineLevel="1"/>
    <col min="36" max="37" width="26.7109375" customWidth="1" outlineLevel="1"/>
    <col min="38" max="38" width="19.7109375" customWidth="1" outlineLevel="1"/>
    <col min="39" max="39" width="16.7109375" customWidth="1"/>
    <col min="40" max="40" width="19.28515625" customWidth="1"/>
    <col min="41" max="41" width="14" customWidth="1"/>
    <col min="42" max="42" width="14.140625" customWidth="1"/>
    <col min="43" max="43" width="15.28515625" customWidth="1"/>
    <col min="44" max="44" width="14.7109375" customWidth="1"/>
    <col min="45" max="45" width="23.7109375" customWidth="1"/>
    <col min="46" max="46" width="36.140625" style="1" customWidth="1"/>
    <col min="47" max="47" width="10.28515625" customWidth="1"/>
    <col min="48" max="48" width="18.28515625" customWidth="1"/>
    <col min="49" max="49" width="17.28515625" customWidth="1"/>
    <col min="50" max="50" width="11.42578125" customWidth="1"/>
    <col min="51" max="51" width="15.28515625" customWidth="1"/>
    <col min="52" max="52" width="11.42578125" customWidth="1"/>
    <col min="53" max="55" width="17.140625" customWidth="1"/>
    <col min="56" max="56" width="18.85546875" customWidth="1"/>
    <col min="57" max="57" width="17.140625" customWidth="1"/>
    <col min="58" max="58" width="18" customWidth="1"/>
    <col min="59" max="59" width="21.85546875" customWidth="1"/>
    <col min="60" max="70" width="18" customWidth="1"/>
    <col min="71" max="71" width="15.7109375" customWidth="1"/>
    <col min="72" max="72" width="94.42578125" bestFit="1" customWidth="1"/>
  </cols>
  <sheetData>
    <row r="1" spans="1:72" ht="23.25" x14ac:dyDescent="0.35">
      <c r="U1">
        <f>2.2/2.6*100</f>
        <v>84.615384615384613</v>
      </c>
      <c r="AE1" s="34" t="s">
        <v>187</v>
      </c>
      <c r="AF1" t="s">
        <v>349</v>
      </c>
    </row>
    <row r="2" spans="1:72" ht="62.1" customHeight="1" x14ac:dyDescent="0.25">
      <c r="A2" s="2" t="s">
        <v>0</v>
      </c>
      <c r="B2" s="46" t="s">
        <v>1</v>
      </c>
      <c r="C2" s="46" t="s">
        <v>137</v>
      </c>
      <c r="D2" s="46" t="s">
        <v>2</v>
      </c>
      <c r="E2" s="46" t="s">
        <v>754</v>
      </c>
      <c r="F2" s="134" t="s">
        <v>635</v>
      </c>
      <c r="G2" s="30" t="s">
        <v>633</v>
      </c>
      <c r="H2" s="243" t="s">
        <v>755</v>
      </c>
      <c r="I2" s="243" t="s">
        <v>766</v>
      </c>
      <c r="J2" s="243" t="s">
        <v>767</v>
      </c>
      <c r="K2" s="48" t="s">
        <v>3</v>
      </c>
      <c r="L2" s="48" t="s">
        <v>4</v>
      </c>
      <c r="M2" s="46" t="s">
        <v>5</v>
      </c>
      <c r="N2" s="46" t="s">
        <v>740</v>
      </c>
      <c r="O2" s="46" t="s">
        <v>742</v>
      </c>
      <c r="P2" s="46" t="s">
        <v>345</v>
      </c>
      <c r="Q2" s="45" t="s">
        <v>339</v>
      </c>
      <c r="R2" s="45" t="s">
        <v>285</v>
      </c>
      <c r="S2" s="45" t="s">
        <v>286</v>
      </c>
      <c r="T2" s="83" t="s">
        <v>576</v>
      </c>
      <c r="U2" s="83" t="s">
        <v>575</v>
      </c>
      <c r="V2" s="83" t="s">
        <v>11</v>
      </c>
      <c r="W2" s="83" t="s">
        <v>577</v>
      </c>
      <c r="X2" s="83" t="s">
        <v>578</v>
      </c>
      <c r="Y2" s="83" t="s">
        <v>579</v>
      </c>
      <c r="Z2" s="83" t="s">
        <v>285</v>
      </c>
      <c r="AA2" s="45" t="s">
        <v>340</v>
      </c>
      <c r="AB2" s="45" t="s">
        <v>7</v>
      </c>
      <c r="AC2" s="45" t="s">
        <v>8</v>
      </c>
      <c r="AD2" s="45" t="s">
        <v>9</v>
      </c>
      <c r="AE2" s="46" t="s">
        <v>188</v>
      </c>
      <c r="AF2" s="46" t="s">
        <v>347</v>
      </c>
      <c r="AG2" s="46" t="s">
        <v>350</v>
      </c>
      <c r="AH2" s="46" t="s">
        <v>741</v>
      </c>
      <c r="AI2" s="188" t="s">
        <v>665</v>
      </c>
      <c r="AJ2" s="188" t="s">
        <v>687</v>
      </c>
      <c r="AK2" s="188" t="s">
        <v>709</v>
      </c>
      <c r="AL2" s="30" t="s">
        <v>751</v>
      </c>
      <c r="AM2" s="46" t="s">
        <v>344</v>
      </c>
      <c r="AN2" s="46" t="s">
        <v>189</v>
      </c>
      <c r="AO2" s="46" t="s">
        <v>190</v>
      </c>
      <c r="AP2" s="46" t="s">
        <v>191</v>
      </c>
      <c r="AQ2" s="46" t="s">
        <v>192</v>
      </c>
      <c r="AR2" s="46" t="s">
        <v>113</v>
      </c>
      <c r="AS2" s="46" t="s">
        <v>193</v>
      </c>
      <c r="AT2" s="47" t="s">
        <v>226</v>
      </c>
      <c r="AU2" s="46"/>
      <c r="AV2" s="46" t="s">
        <v>189</v>
      </c>
      <c r="AW2" s="46" t="s">
        <v>190</v>
      </c>
      <c r="AX2" s="46" t="s">
        <v>191</v>
      </c>
      <c r="AY2" s="46" t="s">
        <v>192</v>
      </c>
      <c r="AZ2" s="46" t="s">
        <v>572</v>
      </c>
      <c r="BA2" s="46" t="s">
        <v>649</v>
      </c>
      <c r="BB2" s="51" t="s">
        <v>300</v>
      </c>
      <c r="BC2" s="51" t="s">
        <v>301</v>
      </c>
      <c r="BD2" s="51" t="s">
        <v>302</v>
      </c>
      <c r="BE2" s="51" t="s">
        <v>303</v>
      </c>
      <c r="BF2" s="52" t="s">
        <v>304</v>
      </c>
      <c r="BG2" s="46" t="s">
        <v>346</v>
      </c>
      <c r="BH2" s="74" t="s">
        <v>565</v>
      </c>
      <c r="BI2" s="74" t="s">
        <v>566</v>
      </c>
      <c r="BJ2" s="74" t="s">
        <v>564</v>
      </c>
      <c r="BK2" s="74" t="s">
        <v>567</v>
      </c>
      <c r="BL2" s="74" t="s">
        <v>568</v>
      </c>
      <c r="BM2" s="74" t="s">
        <v>569</v>
      </c>
      <c r="BN2" s="74" t="s">
        <v>570</v>
      </c>
      <c r="BO2" s="74" t="s">
        <v>571</v>
      </c>
      <c r="BP2" s="74" t="s">
        <v>304</v>
      </c>
      <c r="BQ2" s="46" t="s">
        <v>194</v>
      </c>
      <c r="BR2" s="46" t="s">
        <v>12</v>
      </c>
      <c r="BS2" s="46" t="s">
        <v>732</v>
      </c>
      <c r="BT2" s="46" t="s">
        <v>327</v>
      </c>
    </row>
    <row r="3" spans="1:72" x14ac:dyDescent="0.25">
      <c r="A3" s="18" t="s">
        <v>6</v>
      </c>
      <c r="B3" s="18">
        <v>2024</v>
      </c>
      <c r="C3" s="18" t="s">
        <v>138</v>
      </c>
      <c r="D3" s="18" t="s">
        <v>10</v>
      </c>
      <c r="E3" s="18">
        <v>60</v>
      </c>
      <c r="F3" s="18">
        <v>60</v>
      </c>
      <c r="G3" s="18" t="s">
        <v>136</v>
      </c>
      <c r="H3" s="248">
        <f t="shared" ref="H3:H9" si="0">+F3</f>
        <v>60</v>
      </c>
      <c r="I3" s="135"/>
      <c r="J3" s="18" t="s">
        <v>157</v>
      </c>
      <c r="K3" s="31">
        <v>0</v>
      </c>
      <c r="L3" s="31">
        <v>0.5</v>
      </c>
      <c r="M3" s="4">
        <f>+L3-K3</f>
        <v>0.5</v>
      </c>
      <c r="N3" s="5">
        <v>0.98</v>
      </c>
      <c r="O3" s="5">
        <f t="shared" ref="O3:O66" si="1">1-N3</f>
        <v>2.0000000000000018E-2</v>
      </c>
      <c r="P3" s="31">
        <f>+M3*N3</f>
        <v>0.49</v>
      </c>
      <c r="Q3" s="31">
        <f t="shared" ref="Q3:Q66" si="2">+N3*M3</f>
        <v>0.49</v>
      </c>
      <c r="R3" s="31">
        <v>490</v>
      </c>
      <c r="S3" s="31">
        <v>1</v>
      </c>
      <c r="T3" s="31">
        <f t="shared" ref="T3:T8" si="3">+N3*M3</f>
        <v>0.49</v>
      </c>
      <c r="U3" s="31">
        <v>0</v>
      </c>
      <c r="V3" s="85">
        <v>0</v>
      </c>
      <c r="W3" s="31"/>
      <c r="X3" s="31"/>
      <c r="Y3" s="31"/>
      <c r="Z3" s="31">
        <v>0</v>
      </c>
      <c r="AA3" s="18">
        <v>58</v>
      </c>
      <c r="AB3" s="18" t="s">
        <v>330</v>
      </c>
      <c r="AC3" s="18" t="s">
        <v>333</v>
      </c>
      <c r="AD3" s="18" t="s">
        <v>336</v>
      </c>
      <c r="AE3" s="18">
        <v>20</v>
      </c>
      <c r="AF3" s="18">
        <v>24.5</v>
      </c>
      <c r="AG3" s="18" t="s">
        <v>228</v>
      </c>
      <c r="AH3" s="18" t="s">
        <v>34</v>
      </c>
      <c r="AI3" s="18">
        <f>+VLOOKUP(AH3,Leyenda!$O$4:$U$10,6,FALSE)</f>
        <v>0</v>
      </c>
      <c r="AJ3" s="18" t="str">
        <f>+VLOOKUP(AH3,Leyenda!$O$4:$U$10,7,FALSE)</f>
        <v>No Blasting need</v>
      </c>
      <c r="AK3" s="18">
        <f>+VLOOKUP(AJ3,Leyenda!$U$4:$V$10,2,FALSE)</f>
        <v>2</v>
      </c>
      <c r="AL3" s="18" t="s">
        <v>228</v>
      </c>
      <c r="AM3" s="18" t="str">
        <f>+AH3</f>
        <v>R0</v>
      </c>
      <c r="AN3" s="18" t="s">
        <v>69</v>
      </c>
      <c r="AO3" s="18" t="s">
        <v>81</v>
      </c>
      <c r="AP3" s="18" t="s">
        <v>100</v>
      </c>
      <c r="AQ3" s="18" t="s">
        <v>111</v>
      </c>
      <c r="AR3" s="18" t="s">
        <v>122</v>
      </c>
      <c r="AS3" s="18" t="s">
        <v>198</v>
      </c>
      <c r="AT3" s="18" t="s">
        <v>195</v>
      </c>
      <c r="AU3" s="18"/>
      <c r="AV3" s="18">
        <f>+VLOOKUP(AN3,Leyenda!$B$30:$E$34,3,FALSE)</f>
        <v>0</v>
      </c>
      <c r="AW3" s="18">
        <f>+VLOOKUP('2. Logging Brejo Seco'!AO3,Meteorizacion,3,FALSE)</f>
        <v>0</v>
      </c>
      <c r="AX3" s="18">
        <f>+VLOOKUP('2. Logging Brejo Seco'!AP3,Apertura,3,FALSE)</f>
        <v>0</v>
      </c>
      <c r="AY3" s="18">
        <f>+VLOOKUP('2. Logging Brejo Seco'!AQ3,Leyenda!$B$55:$D$59,3,FALSE)</f>
        <v>0</v>
      </c>
      <c r="AZ3" s="18">
        <f>+VLOOKUP('2. Logging Brejo Seco'!AR3,Relleno,3,FALSE)</f>
        <v>0</v>
      </c>
      <c r="BA3" s="18">
        <f t="shared" ref="BA3:BA8" si="4">+SUM(AV3:AZ3)</f>
        <v>0</v>
      </c>
      <c r="BB3" s="49">
        <f t="shared" ref="BB3:BB66" si="5">ROUND(-0.0002*POWER(V3,2)+0.2197*V3,0)</f>
        <v>0</v>
      </c>
      <c r="BC3" s="49">
        <f>VLOOKUP(AM3,Leyenda!$B$4:$D$10,3,FALSE)</f>
        <v>0</v>
      </c>
      <c r="BD3" s="50">
        <f>IF(Z3="",ROUND((IF(Z3&lt;=400,1.5478*POWER(Z3,0.3351),-2*POWER(10,-6)*POWER(Z3,2)+0.0091*Z3+8.1704)),0),ROUND((IF(Z3&lt;=400,1.5478*POWER(Z3,0.3351),-2*POWER(10,-6)*POWER(Z3,2)+0.0091*Z3+8.1704)),0))</f>
        <v>0</v>
      </c>
      <c r="BE3" s="49">
        <f>+BA3</f>
        <v>0</v>
      </c>
      <c r="BF3" s="49">
        <f>VLOOKUP(AS3,Leyenda!$B$70:$D$75,3,FALSE)</f>
        <v>15</v>
      </c>
      <c r="BG3" s="67">
        <f t="shared" ref="BG3:BG66" si="6">1.5*BA3+(V3*0.5)</f>
        <v>0</v>
      </c>
      <c r="BH3" s="67">
        <f>VLOOKUP(AM3,Leyenda!$B$4:$E$10,4,FALSE)</f>
        <v>0</v>
      </c>
      <c r="BI3" s="67">
        <f>IF(Z3="",ROUND(IF(Z3&lt;=50,5,IF(Z3&gt;=3000,30,6.038*LN(Z3)-19.63)),0),ROUND(IF(Z3&lt;=50,5,IF(Z3&gt;=3000,30,6.038*LN(Z3)-19.63)),0))</f>
        <v>5</v>
      </c>
      <c r="BJ3" s="67">
        <f t="shared" ref="BJ3:BJ66" si="7">ROUND(-0.0002*POWER(V3,2)+0.2197*V3,0)</f>
        <v>0</v>
      </c>
      <c r="BK3" s="67">
        <f>+VLOOKUP('2. Logging Brejo Seco'!AP3,Leyenda!$B$47:$E$51,4,FALSE)</f>
        <v>0</v>
      </c>
      <c r="BL3" s="67">
        <f>+VLOOKUP('2. Logging Brejo Seco'!AQ3,Leyenda!$B$55:$E$59,4,FALSE)</f>
        <v>0</v>
      </c>
      <c r="BM3" s="67">
        <f>+VLOOKUP('2. Logging Brejo Seco'!AR3,Leyenda!$B$63:$E$67,3,FALSE)</f>
        <v>0</v>
      </c>
      <c r="BN3" s="67">
        <f>+VLOOKUP('2. Logging Brejo Seco'!AO3,Leyenda!$B$39:$E$43,4,FALSE)</f>
        <v>0</v>
      </c>
      <c r="BO3" s="67">
        <f>+VLOOKUP('2. Logging Brejo Seco'!AN3,Leyenda!$B$30:$E$34,4,FALSE)</f>
        <v>0</v>
      </c>
      <c r="BP3" s="67">
        <f>VLOOKUP(AS3,Leyenda!$B$71:$E$75,4,FALSE)</f>
        <v>10</v>
      </c>
      <c r="BQ3" s="125">
        <f>+BH3+BI3+BJ3+BK3+BL3+BM3+BN3+BO3+BP3</f>
        <v>15</v>
      </c>
      <c r="BR3" s="85">
        <f>+BC3+BD3+BB3+BE3+BF3</f>
        <v>15</v>
      </c>
      <c r="BS3" s="240">
        <f>1-N3</f>
        <v>2.0000000000000018E-2</v>
      </c>
      <c r="BT3" s="18" t="s">
        <v>730</v>
      </c>
    </row>
    <row r="4" spans="1:72" x14ac:dyDescent="0.25">
      <c r="A4" s="18" t="s">
        <v>6</v>
      </c>
      <c r="B4" s="18">
        <v>2024</v>
      </c>
      <c r="C4" s="18" t="s">
        <v>138</v>
      </c>
      <c r="D4" s="18" t="s">
        <v>10</v>
      </c>
      <c r="E4" s="18">
        <v>60</v>
      </c>
      <c r="F4" s="18">
        <v>60</v>
      </c>
      <c r="G4" s="18" t="s">
        <v>136</v>
      </c>
      <c r="H4" s="248">
        <f t="shared" si="0"/>
        <v>60</v>
      </c>
      <c r="I4" s="135"/>
      <c r="J4" s="18" t="s">
        <v>158</v>
      </c>
      <c r="K4" s="31">
        <f>+L3</f>
        <v>0.5</v>
      </c>
      <c r="L4" s="31">
        <f>+K4+0.5</f>
        <v>1</v>
      </c>
      <c r="M4" s="4">
        <f t="shared" ref="M4:M67" si="8">+L4-K4</f>
        <v>0.5</v>
      </c>
      <c r="N4" s="5">
        <v>0.98</v>
      </c>
      <c r="O4" s="5">
        <f t="shared" si="1"/>
        <v>2.0000000000000018E-2</v>
      </c>
      <c r="P4" s="31">
        <f t="shared" ref="P4:P67" si="9">+M4*N4</f>
        <v>0.49</v>
      </c>
      <c r="Q4" s="31">
        <f t="shared" si="2"/>
        <v>0.49</v>
      </c>
      <c r="R4" s="31">
        <v>490</v>
      </c>
      <c r="S4" s="31">
        <v>1</v>
      </c>
      <c r="T4" s="31">
        <f t="shared" si="3"/>
        <v>0.49</v>
      </c>
      <c r="U4" s="31">
        <v>0</v>
      </c>
      <c r="V4" s="85">
        <v>0</v>
      </c>
      <c r="W4" s="31"/>
      <c r="X4" s="31"/>
      <c r="Y4" s="31"/>
      <c r="Z4" s="31">
        <v>0</v>
      </c>
      <c r="AA4" s="18">
        <v>24</v>
      </c>
      <c r="AB4" s="18" t="s">
        <v>330</v>
      </c>
      <c r="AC4" s="18" t="s">
        <v>333</v>
      </c>
      <c r="AD4" s="18" t="s">
        <v>336</v>
      </c>
      <c r="AE4" s="18">
        <v>20</v>
      </c>
      <c r="AF4" s="18">
        <v>24.5</v>
      </c>
      <c r="AG4" s="18" t="s">
        <v>228</v>
      </c>
      <c r="AH4" s="18" t="s">
        <v>34</v>
      </c>
      <c r="AI4" s="18">
        <f>+VLOOKUP(AH4,Leyenda!$O$4:$U$10,6,FALSE)</f>
        <v>0</v>
      </c>
      <c r="AJ4" s="18" t="str">
        <f>+VLOOKUP(AH4,Leyenda!$O$4:$U$10,7,FALSE)</f>
        <v>No Blasting need</v>
      </c>
      <c r="AK4" s="18">
        <f>+VLOOKUP(AJ4,Leyenda!$U$4:$V$10,2,FALSE)</f>
        <v>2</v>
      </c>
      <c r="AL4" s="18" t="s">
        <v>228</v>
      </c>
      <c r="AM4" s="18" t="str">
        <f t="shared" ref="AM4:AM67" si="10">+AH4</f>
        <v>R0</v>
      </c>
      <c r="AN4" s="18" t="s">
        <v>69</v>
      </c>
      <c r="AO4" s="18" t="s">
        <v>81</v>
      </c>
      <c r="AP4" s="18" t="s">
        <v>100</v>
      </c>
      <c r="AQ4" s="18" t="s">
        <v>111</v>
      </c>
      <c r="AR4" s="18" t="s">
        <v>122</v>
      </c>
      <c r="AS4" s="18" t="s">
        <v>198</v>
      </c>
      <c r="AT4" s="18"/>
      <c r="AU4" s="18"/>
      <c r="AV4" s="18">
        <f>+VLOOKUP(AN4,Leyenda!$B$30:$E$34,3,FALSE)</f>
        <v>0</v>
      </c>
      <c r="AW4" s="18">
        <f>+VLOOKUP('2. Logging Brejo Seco'!AO4,Meteorizacion,3,FALSE)</f>
        <v>0</v>
      </c>
      <c r="AX4" s="18">
        <f>+VLOOKUP('2. Logging Brejo Seco'!AP4,Apertura,3,FALSE)</f>
        <v>0</v>
      </c>
      <c r="AY4" s="18">
        <f>+VLOOKUP('2. Logging Brejo Seco'!AQ4,Leyenda!$B$55:$D$59,3,FALSE)</f>
        <v>0</v>
      </c>
      <c r="AZ4" s="18">
        <f>+VLOOKUP('2. Logging Brejo Seco'!AR4,Relleno,3,FALSE)</f>
        <v>0</v>
      </c>
      <c r="BA4" s="18">
        <f t="shared" si="4"/>
        <v>0</v>
      </c>
      <c r="BB4" s="49">
        <f t="shared" si="5"/>
        <v>0</v>
      </c>
      <c r="BC4" s="49">
        <f>VLOOKUP(AM4,Leyenda!$B$4:$D$10,3,FALSE)</f>
        <v>0</v>
      </c>
      <c r="BD4" s="50">
        <f t="shared" ref="BD4:BD67" si="11">IF(Z4="",ROUND((IF(Z4&lt;=400,1.5478*POWER(Z4,0.3351),-2*POWER(10,-6)*POWER(Z4,2)+0.0091*Z4+8.1704)),0),ROUND((IF(Z4&lt;=400,1.5478*POWER(Z4,0.3351),-2*POWER(10,-6)*POWER(Z4,2)+0.0091*Z4+8.1704)),0))</f>
        <v>0</v>
      </c>
      <c r="BE4" s="49">
        <f t="shared" ref="BE4:BE67" si="12">+BA4</f>
        <v>0</v>
      </c>
      <c r="BF4" s="49">
        <f>VLOOKUP(AS4,Leyenda!$B$70:$D$75,3,FALSE)</f>
        <v>15</v>
      </c>
      <c r="BG4" s="67">
        <f t="shared" si="6"/>
        <v>0</v>
      </c>
      <c r="BH4" s="67">
        <f>VLOOKUP(AM4,Leyenda!$B$4:$E$10,4,FALSE)</f>
        <v>0</v>
      </c>
      <c r="BI4" s="67">
        <f t="shared" ref="BI4:BI67" si="13">IF(Z4="",ROUND(IF(Z4&lt;=50,5,IF(Z4&gt;=3000,30,6.038*LN(Z4)-19.63)),0),ROUND(IF(Z4&lt;=50,5,IF(Z4&gt;=3000,30,6.038*LN(Z4)-19.63)),0))</f>
        <v>5</v>
      </c>
      <c r="BJ4" s="67">
        <f t="shared" si="7"/>
        <v>0</v>
      </c>
      <c r="BK4" s="67">
        <f>+VLOOKUP('2. Logging Brejo Seco'!AP4,Leyenda!$B$47:$E$51,4,FALSE)</f>
        <v>0</v>
      </c>
      <c r="BL4" s="67">
        <f>+VLOOKUP('2. Logging Brejo Seco'!AQ4,Leyenda!$B$55:$E$59,4,FALSE)</f>
        <v>0</v>
      </c>
      <c r="BM4" s="67">
        <f>+VLOOKUP('2. Logging Brejo Seco'!AR4,Leyenda!$B$63:$E$67,3,FALSE)</f>
        <v>0</v>
      </c>
      <c r="BN4" s="67">
        <f>+VLOOKUP('2. Logging Brejo Seco'!AO4,Leyenda!$B$39:$E$43,4,FALSE)</f>
        <v>0</v>
      </c>
      <c r="BO4" s="67">
        <f>+VLOOKUP('2. Logging Brejo Seco'!AN4,Leyenda!$B$30:$E$34,4,FALSE)</f>
        <v>0</v>
      </c>
      <c r="BP4" s="67">
        <f>VLOOKUP(AS4,Leyenda!$B$71:$E$75,4,FALSE)</f>
        <v>10</v>
      </c>
      <c r="BQ4" s="125">
        <f t="shared" ref="BQ4:BQ67" si="14">+BH4+BI4+BJ4+BK4+BL4+BM4+BN4+BO4+BP4</f>
        <v>15</v>
      </c>
      <c r="BR4" s="85">
        <f t="shared" ref="BR4:BR67" si="15">+BC4+BD4+BB4+BE4+BF4</f>
        <v>15</v>
      </c>
      <c r="BS4" s="240">
        <f t="shared" ref="BS4:BS67" si="16">1-N4</f>
        <v>2.0000000000000018E-2</v>
      </c>
      <c r="BT4" s="18" t="s">
        <v>730</v>
      </c>
    </row>
    <row r="5" spans="1:72" x14ac:dyDescent="0.25">
      <c r="A5" s="18" t="s">
        <v>6</v>
      </c>
      <c r="B5" s="18">
        <v>2024</v>
      </c>
      <c r="C5" s="18" t="s">
        <v>138</v>
      </c>
      <c r="D5" s="18" t="s">
        <v>10</v>
      </c>
      <c r="E5" s="18">
        <v>60</v>
      </c>
      <c r="F5" s="18">
        <v>60</v>
      </c>
      <c r="G5" s="18" t="s">
        <v>136</v>
      </c>
      <c r="H5" s="248">
        <f t="shared" si="0"/>
        <v>60</v>
      </c>
      <c r="I5" s="135"/>
      <c r="J5" s="18" t="s">
        <v>158</v>
      </c>
      <c r="K5" s="31">
        <f t="shared" ref="K5:K68" si="17">+L4</f>
        <v>1</v>
      </c>
      <c r="L5" s="31">
        <f>+K5+0.5</f>
        <v>1.5</v>
      </c>
      <c r="M5" s="4">
        <f t="shared" si="8"/>
        <v>0.5</v>
      </c>
      <c r="N5" s="5">
        <v>0.86</v>
      </c>
      <c r="O5" s="5">
        <f t="shared" si="1"/>
        <v>0.14000000000000001</v>
      </c>
      <c r="P5" s="31">
        <f t="shared" si="9"/>
        <v>0.43</v>
      </c>
      <c r="Q5" s="31">
        <f t="shared" si="2"/>
        <v>0.43</v>
      </c>
      <c r="R5" s="31">
        <v>430</v>
      </c>
      <c r="S5" s="31">
        <v>1</v>
      </c>
      <c r="T5" s="31">
        <f t="shared" si="3"/>
        <v>0.43</v>
      </c>
      <c r="U5" s="31">
        <v>0</v>
      </c>
      <c r="V5" s="85">
        <v>0</v>
      </c>
      <c r="W5" s="31"/>
      <c r="X5" s="31"/>
      <c r="Y5" s="31"/>
      <c r="Z5" s="31">
        <v>0</v>
      </c>
      <c r="AA5" s="18">
        <v>42</v>
      </c>
      <c r="AB5" s="18" t="s">
        <v>100</v>
      </c>
      <c r="AC5" s="18" t="s">
        <v>333</v>
      </c>
      <c r="AD5" s="18" t="s">
        <v>336</v>
      </c>
      <c r="AE5" s="18">
        <v>20</v>
      </c>
      <c r="AF5" s="18">
        <v>21.5</v>
      </c>
      <c r="AG5" s="18" t="s">
        <v>228</v>
      </c>
      <c r="AH5" s="18" t="s">
        <v>34</v>
      </c>
      <c r="AI5" s="18">
        <f>+VLOOKUP(AH5,Leyenda!$O$4:$U$10,6,FALSE)</f>
        <v>0</v>
      </c>
      <c r="AJ5" s="18" t="str">
        <f>+VLOOKUP(AH5,Leyenda!$O$4:$U$10,7,FALSE)</f>
        <v>No Blasting need</v>
      </c>
      <c r="AK5" s="18">
        <f>+VLOOKUP(AJ5,Leyenda!$U$4:$V$10,2,FALSE)</f>
        <v>2</v>
      </c>
      <c r="AL5" s="18" t="s">
        <v>228</v>
      </c>
      <c r="AM5" s="18" t="str">
        <f t="shared" si="10"/>
        <v>R0</v>
      </c>
      <c r="AN5" s="18" t="s">
        <v>69</v>
      </c>
      <c r="AO5" s="18" t="s">
        <v>81</v>
      </c>
      <c r="AP5" s="18" t="s">
        <v>100</v>
      </c>
      <c r="AQ5" s="18" t="s">
        <v>111</v>
      </c>
      <c r="AR5" s="18" t="s">
        <v>122</v>
      </c>
      <c r="AS5" s="18" t="s">
        <v>198</v>
      </c>
      <c r="AT5" s="18"/>
      <c r="AU5" s="18"/>
      <c r="AV5" s="18">
        <f>+VLOOKUP(AN5,Leyenda!$B$30:$E$34,3,FALSE)</f>
        <v>0</v>
      </c>
      <c r="AW5" s="18">
        <f>+VLOOKUP('2. Logging Brejo Seco'!AO5,Meteorizacion,3,FALSE)</f>
        <v>0</v>
      </c>
      <c r="AX5" s="18">
        <f>+VLOOKUP('2. Logging Brejo Seco'!AP5,Apertura,3,FALSE)</f>
        <v>0</v>
      </c>
      <c r="AY5" s="18">
        <f>+VLOOKUP('2. Logging Brejo Seco'!AQ5,Leyenda!$B$55:$D$59,3,FALSE)</f>
        <v>0</v>
      </c>
      <c r="AZ5" s="18">
        <f>+VLOOKUP('2. Logging Brejo Seco'!AR5,Relleno,3,FALSE)</f>
        <v>0</v>
      </c>
      <c r="BA5" s="18">
        <f t="shared" si="4"/>
        <v>0</v>
      </c>
      <c r="BB5" s="49">
        <f t="shared" si="5"/>
        <v>0</v>
      </c>
      <c r="BC5" s="49">
        <f>VLOOKUP(AM5,Leyenda!$B$4:$D$10,3,FALSE)</f>
        <v>0</v>
      </c>
      <c r="BD5" s="50">
        <f t="shared" si="11"/>
        <v>0</v>
      </c>
      <c r="BE5" s="49">
        <f t="shared" si="12"/>
        <v>0</v>
      </c>
      <c r="BF5" s="49">
        <f>VLOOKUP(AS5,Leyenda!$B$70:$D$75,3,FALSE)</f>
        <v>15</v>
      </c>
      <c r="BG5" s="67">
        <f t="shared" si="6"/>
        <v>0</v>
      </c>
      <c r="BH5" s="67">
        <f>VLOOKUP(AM5,Leyenda!$B$4:$E$10,4,FALSE)</f>
        <v>0</v>
      </c>
      <c r="BI5" s="67">
        <f t="shared" si="13"/>
        <v>5</v>
      </c>
      <c r="BJ5" s="67">
        <f t="shared" si="7"/>
        <v>0</v>
      </c>
      <c r="BK5" s="67">
        <f>+VLOOKUP('2. Logging Brejo Seco'!AP5,Leyenda!$B$47:$E$51,4,FALSE)</f>
        <v>0</v>
      </c>
      <c r="BL5" s="67">
        <f>+VLOOKUP('2. Logging Brejo Seco'!AQ5,Leyenda!$B$55:$E$59,4,FALSE)</f>
        <v>0</v>
      </c>
      <c r="BM5" s="67">
        <f>+VLOOKUP('2. Logging Brejo Seco'!AR5,Leyenda!$B$63:$E$67,3,FALSE)</f>
        <v>0</v>
      </c>
      <c r="BN5" s="67">
        <f>+VLOOKUP('2. Logging Brejo Seco'!AO5,Leyenda!$B$39:$E$43,4,FALSE)</f>
        <v>0</v>
      </c>
      <c r="BO5" s="67">
        <f>+VLOOKUP('2. Logging Brejo Seco'!AN5,Leyenda!$B$30:$E$34,4,FALSE)</f>
        <v>0</v>
      </c>
      <c r="BP5" s="67">
        <f>VLOOKUP(AS5,Leyenda!$B$71:$E$75,4,FALSE)</f>
        <v>10</v>
      </c>
      <c r="BQ5" s="125">
        <f t="shared" si="14"/>
        <v>15</v>
      </c>
      <c r="BR5" s="85">
        <f t="shared" si="15"/>
        <v>15</v>
      </c>
      <c r="BS5" s="240">
        <f t="shared" si="16"/>
        <v>0.14000000000000001</v>
      </c>
      <c r="BT5" s="18" t="s">
        <v>730</v>
      </c>
    </row>
    <row r="6" spans="1:72" x14ac:dyDescent="0.25">
      <c r="A6" s="18" t="s">
        <v>6</v>
      </c>
      <c r="B6" s="18">
        <v>2024</v>
      </c>
      <c r="C6" s="18" t="s">
        <v>138</v>
      </c>
      <c r="D6" s="18" t="s">
        <v>10</v>
      </c>
      <c r="E6" s="18">
        <v>60</v>
      </c>
      <c r="F6" s="18">
        <v>60</v>
      </c>
      <c r="G6" s="18" t="s">
        <v>136</v>
      </c>
      <c r="H6" s="248">
        <f t="shared" si="0"/>
        <v>60</v>
      </c>
      <c r="I6" s="135"/>
      <c r="J6" s="18" t="s">
        <v>158</v>
      </c>
      <c r="K6" s="31">
        <f t="shared" si="17"/>
        <v>1.5</v>
      </c>
      <c r="L6" s="31">
        <f t="shared" ref="L6:L49" si="18">+K6+0.5</f>
        <v>2</v>
      </c>
      <c r="M6" s="4">
        <f t="shared" si="8"/>
        <v>0.5</v>
      </c>
      <c r="N6" s="5">
        <v>0.6</v>
      </c>
      <c r="O6" s="5">
        <f t="shared" si="1"/>
        <v>0.4</v>
      </c>
      <c r="P6" s="31">
        <f t="shared" si="9"/>
        <v>0.3</v>
      </c>
      <c r="Q6" s="31">
        <f t="shared" si="2"/>
        <v>0.3</v>
      </c>
      <c r="R6" s="31">
        <v>15</v>
      </c>
      <c r="S6" s="31">
        <v>20</v>
      </c>
      <c r="T6" s="31">
        <f t="shared" si="3"/>
        <v>0.3</v>
      </c>
      <c r="U6" s="31">
        <v>0</v>
      </c>
      <c r="V6" s="85">
        <v>0</v>
      </c>
      <c r="W6" s="31"/>
      <c r="X6" s="31"/>
      <c r="Y6" s="31"/>
      <c r="Z6" s="31">
        <v>0</v>
      </c>
      <c r="AA6" s="18">
        <v>58</v>
      </c>
      <c r="AB6" s="18" t="s">
        <v>88</v>
      </c>
      <c r="AC6" s="18" t="s">
        <v>333</v>
      </c>
      <c r="AD6" s="18" t="s">
        <v>336</v>
      </c>
      <c r="AE6" s="18">
        <v>20</v>
      </c>
      <c r="AF6" s="18">
        <v>15</v>
      </c>
      <c r="AG6" s="18" t="s">
        <v>228</v>
      </c>
      <c r="AH6" s="18" t="s">
        <v>34</v>
      </c>
      <c r="AI6" s="18">
        <f>+VLOOKUP(AH6,Leyenda!$O$4:$U$10,6,FALSE)</f>
        <v>0</v>
      </c>
      <c r="AJ6" s="18" t="str">
        <f>+VLOOKUP(AH6,Leyenda!$O$4:$U$10,7,FALSE)</f>
        <v>No Blasting need</v>
      </c>
      <c r="AK6" s="18">
        <f>+VLOOKUP(AJ6,Leyenda!$U$4:$V$10,2,FALSE)</f>
        <v>2</v>
      </c>
      <c r="AL6" s="18" t="s">
        <v>228</v>
      </c>
      <c r="AM6" s="18" t="str">
        <f t="shared" si="10"/>
        <v>R0</v>
      </c>
      <c r="AN6" s="18" t="s">
        <v>69</v>
      </c>
      <c r="AO6" s="18" t="s">
        <v>81</v>
      </c>
      <c r="AP6" s="18" t="s">
        <v>100</v>
      </c>
      <c r="AQ6" s="18" t="s">
        <v>111</v>
      </c>
      <c r="AR6" s="18" t="s">
        <v>122</v>
      </c>
      <c r="AS6" s="18" t="s">
        <v>198</v>
      </c>
      <c r="AT6" s="18"/>
      <c r="AU6" s="18"/>
      <c r="AV6" s="18">
        <f>+VLOOKUP(AN6,Leyenda!$B$30:$E$34,3,FALSE)</f>
        <v>0</v>
      </c>
      <c r="AW6" s="18">
        <f>+VLOOKUP('2. Logging Brejo Seco'!AO6,Meteorizacion,3,FALSE)</f>
        <v>0</v>
      </c>
      <c r="AX6" s="18">
        <f>+VLOOKUP('2. Logging Brejo Seco'!AP6,Apertura,3,FALSE)</f>
        <v>0</v>
      </c>
      <c r="AY6" s="18">
        <f>+VLOOKUP('2. Logging Brejo Seco'!AQ6,Leyenda!$B$55:$D$59,3,FALSE)</f>
        <v>0</v>
      </c>
      <c r="AZ6" s="18">
        <f>+VLOOKUP('2. Logging Brejo Seco'!AR6,Relleno,3,FALSE)</f>
        <v>0</v>
      </c>
      <c r="BA6" s="18">
        <f t="shared" si="4"/>
        <v>0</v>
      </c>
      <c r="BB6" s="49">
        <f t="shared" si="5"/>
        <v>0</v>
      </c>
      <c r="BC6" s="49">
        <f>VLOOKUP(AM6,Leyenda!$B$4:$D$10,3,FALSE)</f>
        <v>0</v>
      </c>
      <c r="BD6" s="50">
        <f t="shared" si="11"/>
        <v>0</v>
      </c>
      <c r="BE6" s="49">
        <f t="shared" si="12"/>
        <v>0</v>
      </c>
      <c r="BF6" s="49">
        <f>VLOOKUP(AS6,Leyenda!$B$70:$D$75,3,FALSE)</f>
        <v>15</v>
      </c>
      <c r="BG6" s="67">
        <f t="shared" si="6"/>
        <v>0</v>
      </c>
      <c r="BH6" s="67">
        <f>VLOOKUP(AM6,Leyenda!$B$4:$E$10,4,FALSE)</f>
        <v>0</v>
      </c>
      <c r="BI6" s="67">
        <f t="shared" si="13"/>
        <v>5</v>
      </c>
      <c r="BJ6" s="67">
        <f t="shared" si="7"/>
        <v>0</v>
      </c>
      <c r="BK6" s="67">
        <f>+VLOOKUP('2. Logging Brejo Seco'!AP6,Leyenda!$B$47:$E$51,4,FALSE)</f>
        <v>0</v>
      </c>
      <c r="BL6" s="67">
        <f>+VLOOKUP('2. Logging Brejo Seco'!AQ6,Leyenda!$B$55:$E$59,4,FALSE)</f>
        <v>0</v>
      </c>
      <c r="BM6" s="67">
        <f>+VLOOKUP('2. Logging Brejo Seco'!AR6,Leyenda!$B$63:$E$67,3,FALSE)</f>
        <v>0</v>
      </c>
      <c r="BN6" s="67">
        <f>+VLOOKUP('2. Logging Brejo Seco'!AO6,Leyenda!$B$39:$E$43,4,FALSE)</f>
        <v>0</v>
      </c>
      <c r="BO6" s="67">
        <f>+VLOOKUP('2. Logging Brejo Seco'!AN6,Leyenda!$B$30:$E$34,4,FALSE)</f>
        <v>0</v>
      </c>
      <c r="BP6" s="67">
        <f>VLOOKUP(AS6,Leyenda!$B$71:$E$75,4,FALSE)</f>
        <v>10</v>
      </c>
      <c r="BQ6" s="125">
        <f t="shared" si="14"/>
        <v>15</v>
      </c>
      <c r="BR6" s="85">
        <f t="shared" si="15"/>
        <v>15</v>
      </c>
      <c r="BS6" s="240">
        <f t="shared" si="16"/>
        <v>0.4</v>
      </c>
      <c r="BT6" s="18" t="s">
        <v>730</v>
      </c>
    </row>
    <row r="7" spans="1:72" x14ac:dyDescent="0.25">
      <c r="A7" s="18" t="s">
        <v>6</v>
      </c>
      <c r="B7" s="18">
        <v>2024</v>
      </c>
      <c r="C7" s="18" t="s">
        <v>138</v>
      </c>
      <c r="D7" s="18" t="s">
        <v>10</v>
      </c>
      <c r="E7" s="18">
        <v>60</v>
      </c>
      <c r="F7" s="18">
        <v>60</v>
      </c>
      <c r="G7" s="18" t="s">
        <v>136</v>
      </c>
      <c r="H7" s="248">
        <f t="shared" si="0"/>
        <v>60</v>
      </c>
      <c r="I7" s="135"/>
      <c r="J7" s="18" t="s">
        <v>158</v>
      </c>
      <c r="K7" s="31">
        <f t="shared" si="17"/>
        <v>2</v>
      </c>
      <c r="L7" s="31">
        <f t="shared" si="18"/>
        <v>2.5</v>
      </c>
      <c r="M7" s="4">
        <f t="shared" si="8"/>
        <v>0.5</v>
      </c>
      <c r="N7" s="5">
        <v>0.57999999999999996</v>
      </c>
      <c r="O7" s="5">
        <f t="shared" si="1"/>
        <v>0.42000000000000004</v>
      </c>
      <c r="P7" s="31">
        <f t="shared" si="9"/>
        <v>0.28999999999999998</v>
      </c>
      <c r="Q7" s="31">
        <f t="shared" si="2"/>
        <v>0.28999999999999998</v>
      </c>
      <c r="R7" s="31">
        <v>290</v>
      </c>
      <c r="S7" s="31">
        <v>1</v>
      </c>
      <c r="T7" s="31">
        <f t="shared" si="3"/>
        <v>0.28999999999999998</v>
      </c>
      <c r="U7" s="31">
        <v>0</v>
      </c>
      <c r="V7" s="85">
        <v>0</v>
      </c>
      <c r="W7" s="31"/>
      <c r="X7" s="31"/>
      <c r="Y7" s="31"/>
      <c r="Z7" s="31">
        <v>0</v>
      </c>
      <c r="AA7" s="18">
        <v>0</v>
      </c>
      <c r="AB7" s="18" t="s">
        <v>88</v>
      </c>
      <c r="AC7" s="18" t="s">
        <v>333</v>
      </c>
      <c r="AD7" s="18" t="s">
        <v>336</v>
      </c>
      <c r="AE7" s="18">
        <v>20</v>
      </c>
      <c r="AF7" s="18">
        <v>14.5</v>
      </c>
      <c r="AG7" s="18" t="s">
        <v>228</v>
      </c>
      <c r="AH7" s="18" t="s">
        <v>34</v>
      </c>
      <c r="AI7" s="18">
        <f>+VLOOKUP(AH7,Leyenda!$O$4:$U$10,6,FALSE)</f>
        <v>0</v>
      </c>
      <c r="AJ7" s="18" t="str">
        <f>+VLOOKUP(AH7,Leyenda!$O$4:$U$10,7,FALSE)</f>
        <v>No Blasting need</v>
      </c>
      <c r="AK7" s="18">
        <f>+VLOOKUP(AJ7,Leyenda!$U$4:$V$10,2,FALSE)</f>
        <v>2</v>
      </c>
      <c r="AL7" s="18" t="s">
        <v>228</v>
      </c>
      <c r="AM7" s="18" t="str">
        <f t="shared" si="10"/>
        <v>R0</v>
      </c>
      <c r="AN7" s="18" t="s">
        <v>69</v>
      </c>
      <c r="AO7" s="18" t="s">
        <v>81</v>
      </c>
      <c r="AP7" s="18" t="s">
        <v>100</v>
      </c>
      <c r="AQ7" s="18" t="s">
        <v>111</v>
      </c>
      <c r="AR7" s="18" t="s">
        <v>122</v>
      </c>
      <c r="AS7" s="18" t="s">
        <v>198</v>
      </c>
      <c r="AT7" s="18"/>
      <c r="AU7" s="18"/>
      <c r="AV7" s="18">
        <f>+VLOOKUP(AN7,Leyenda!$B$30:$E$34,3,FALSE)</f>
        <v>0</v>
      </c>
      <c r="AW7" s="18">
        <f>+VLOOKUP('2. Logging Brejo Seco'!AO7,Meteorizacion,3,FALSE)</f>
        <v>0</v>
      </c>
      <c r="AX7" s="18">
        <f>+VLOOKUP('2. Logging Brejo Seco'!AP7,Apertura,3,FALSE)</f>
        <v>0</v>
      </c>
      <c r="AY7" s="18">
        <f>+VLOOKUP('2. Logging Brejo Seco'!AQ7,Leyenda!$B$55:$D$59,3,FALSE)</f>
        <v>0</v>
      </c>
      <c r="AZ7" s="18">
        <f>+VLOOKUP('2. Logging Brejo Seco'!AR7,Relleno,3,FALSE)</f>
        <v>0</v>
      </c>
      <c r="BA7" s="18">
        <f t="shared" si="4"/>
        <v>0</v>
      </c>
      <c r="BB7" s="49">
        <f t="shared" si="5"/>
        <v>0</v>
      </c>
      <c r="BC7" s="49">
        <f>VLOOKUP(AM7,Leyenda!$B$4:$D$10,3,FALSE)</f>
        <v>0</v>
      </c>
      <c r="BD7" s="50">
        <f t="shared" si="11"/>
        <v>0</v>
      </c>
      <c r="BE7" s="49">
        <f t="shared" si="12"/>
        <v>0</v>
      </c>
      <c r="BF7" s="49">
        <f>VLOOKUP(AS7,Leyenda!$B$70:$D$75,3,FALSE)</f>
        <v>15</v>
      </c>
      <c r="BG7" s="67">
        <f t="shared" si="6"/>
        <v>0</v>
      </c>
      <c r="BH7" s="67">
        <f>VLOOKUP(AM7,Leyenda!$B$4:$E$10,4,FALSE)</f>
        <v>0</v>
      </c>
      <c r="BI7" s="67">
        <f t="shared" si="13"/>
        <v>5</v>
      </c>
      <c r="BJ7" s="67">
        <f t="shared" si="7"/>
        <v>0</v>
      </c>
      <c r="BK7" s="67">
        <f>+VLOOKUP('2. Logging Brejo Seco'!AP7,Leyenda!$B$47:$E$51,4,FALSE)</f>
        <v>0</v>
      </c>
      <c r="BL7" s="67">
        <f>+VLOOKUP('2. Logging Brejo Seco'!AQ7,Leyenda!$B$55:$E$59,4,FALSE)</f>
        <v>0</v>
      </c>
      <c r="BM7" s="67">
        <f>+VLOOKUP('2. Logging Brejo Seco'!AR7,Leyenda!$B$63:$E$67,3,FALSE)</f>
        <v>0</v>
      </c>
      <c r="BN7" s="67">
        <f>+VLOOKUP('2. Logging Brejo Seco'!AO7,Leyenda!$B$39:$E$43,4,FALSE)</f>
        <v>0</v>
      </c>
      <c r="BO7" s="67">
        <f>+VLOOKUP('2. Logging Brejo Seco'!AN7,Leyenda!$B$30:$E$34,4,FALSE)</f>
        <v>0</v>
      </c>
      <c r="BP7" s="67">
        <f>VLOOKUP(AS7,Leyenda!$B$71:$E$75,4,FALSE)</f>
        <v>10</v>
      </c>
      <c r="BQ7" s="125">
        <f t="shared" si="14"/>
        <v>15</v>
      </c>
      <c r="BR7" s="85">
        <f t="shared" si="15"/>
        <v>15</v>
      </c>
      <c r="BS7" s="240">
        <f t="shared" si="16"/>
        <v>0.42000000000000004</v>
      </c>
      <c r="BT7" s="18" t="s">
        <v>730</v>
      </c>
    </row>
    <row r="8" spans="1:72" x14ac:dyDescent="0.25">
      <c r="A8" s="18" t="s">
        <v>6</v>
      </c>
      <c r="B8" s="18">
        <v>2024</v>
      </c>
      <c r="C8" s="18" t="s">
        <v>138</v>
      </c>
      <c r="D8" s="18" t="s">
        <v>10</v>
      </c>
      <c r="E8" s="18">
        <v>60</v>
      </c>
      <c r="F8" s="18">
        <v>60</v>
      </c>
      <c r="G8" s="18" t="s">
        <v>136</v>
      </c>
      <c r="H8" s="248">
        <f t="shared" si="0"/>
        <v>60</v>
      </c>
      <c r="I8" s="135"/>
      <c r="J8" s="18" t="s">
        <v>158</v>
      </c>
      <c r="K8" s="31">
        <f t="shared" si="17"/>
        <v>2.5</v>
      </c>
      <c r="L8" s="31">
        <f t="shared" si="18"/>
        <v>3</v>
      </c>
      <c r="M8" s="4">
        <f t="shared" si="8"/>
        <v>0.5</v>
      </c>
      <c r="N8" s="5">
        <v>0.8</v>
      </c>
      <c r="O8" s="5">
        <f t="shared" si="1"/>
        <v>0.19999999999999996</v>
      </c>
      <c r="P8" s="31">
        <f t="shared" si="9"/>
        <v>0.4</v>
      </c>
      <c r="Q8" s="31">
        <f t="shared" si="2"/>
        <v>0.4</v>
      </c>
      <c r="R8" s="31">
        <v>80</v>
      </c>
      <c r="S8" s="31">
        <v>5</v>
      </c>
      <c r="T8" s="31">
        <f t="shared" si="3"/>
        <v>0.4</v>
      </c>
      <c r="U8" s="31">
        <v>0</v>
      </c>
      <c r="V8" s="85">
        <v>0</v>
      </c>
      <c r="W8" s="31"/>
      <c r="X8" s="31"/>
      <c r="Y8" s="31"/>
      <c r="Z8" s="31">
        <v>0</v>
      </c>
      <c r="AA8" s="18">
        <v>50</v>
      </c>
      <c r="AB8" s="18" t="s">
        <v>88</v>
      </c>
      <c r="AC8" s="18" t="s">
        <v>333</v>
      </c>
      <c r="AD8" s="18" t="s">
        <v>336</v>
      </c>
      <c r="AE8" s="18">
        <v>20</v>
      </c>
      <c r="AF8" s="18">
        <v>20</v>
      </c>
      <c r="AG8" s="18" t="s">
        <v>228</v>
      </c>
      <c r="AH8" s="18" t="s">
        <v>34</v>
      </c>
      <c r="AI8" s="18">
        <f>+VLOOKUP(AH8,Leyenda!$O$4:$U$10,6,FALSE)</f>
        <v>0</v>
      </c>
      <c r="AJ8" s="18" t="str">
        <f>+VLOOKUP(AH8,Leyenda!$O$4:$U$10,7,FALSE)</f>
        <v>No Blasting need</v>
      </c>
      <c r="AK8" s="18">
        <f>+VLOOKUP(AJ8,Leyenda!$U$4:$V$10,2,FALSE)</f>
        <v>2</v>
      </c>
      <c r="AL8" s="18" t="s">
        <v>228</v>
      </c>
      <c r="AM8" s="18" t="str">
        <f t="shared" si="10"/>
        <v>R0</v>
      </c>
      <c r="AN8" s="18" t="s">
        <v>69</v>
      </c>
      <c r="AO8" s="18" t="s">
        <v>81</v>
      </c>
      <c r="AP8" s="18" t="s">
        <v>100</v>
      </c>
      <c r="AQ8" s="18" t="s">
        <v>111</v>
      </c>
      <c r="AR8" s="18" t="s">
        <v>122</v>
      </c>
      <c r="AS8" s="18" t="s">
        <v>198</v>
      </c>
      <c r="AT8" s="18"/>
      <c r="AU8" s="18"/>
      <c r="AV8" s="18">
        <f>+VLOOKUP(AN8,Leyenda!$B$30:$E$34,3,FALSE)</f>
        <v>0</v>
      </c>
      <c r="AW8" s="18">
        <f>+VLOOKUP('2. Logging Brejo Seco'!AO8,Meteorizacion,3,FALSE)</f>
        <v>0</v>
      </c>
      <c r="AX8" s="18">
        <f>+VLOOKUP('2. Logging Brejo Seco'!AP8,Apertura,3,FALSE)</f>
        <v>0</v>
      </c>
      <c r="AY8" s="18">
        <f>+VLOOKUP('2. Logging Brejo Seco'!AQ8,Leyenda!$B$55:$D$59,3,FALSE)</f>
        <v>0</v>
      </c>
      <c r="AZ8" s="18">
        <f>+VLOOKUP('2. Logging Brejo Seco'!AR8,Relleno,3,FALSE)</f>
        <v>0</v>
      </c>
      <c r="BA8" s="18">
        <f t="shared" si="4"/>
        <v>0</v>
      </c>
      <c r="BB8" s="49">
        <f t="shared" si="5"/>
        <v>0</v>
      </c>
      <c r="BC8" s="49">
        <f>VLOOKUP(AM8,Leyenda!$B$4:$D$10,3,FALSE)</f>
        <v>0</v>
      </c>
      <c r="BD8" s="50">
        <f t="shared" si="11"/>
        <v>0</v>
      </c>
      <c r="BE8" s="49">
        <f t="shared" si="12"/>
        <v>0</v>
      </c>
      <c r="BF8" s="49">
        <f>VLOOKUP(AS8,Leyenda!$B$70:$D$75,3,FALSE)</f>
        <v>15</v>
      </c>
      <c r="BG8" s="67">
        <f t="shared" si="6"/>
        <v>0</v>
      </c>
      <c r="BH8" s="67">
        <f>VLOOKUP(AM8,Leyenda!$B$4:$E$10,4,FALSE)</f>
        <v>0</v>
      </c>
      <c r="BI8" s="67">
        <f t="shared" si="13"/>
        <v>5</v>
      </c>
      <c r="BJ8" s="67">
        <f t="shared" si="7"/>
        <v>0</v>
      </c>
      <c r="BK8" s="67">
        <f>+VLOOKUP('2. Logging Brejo Seco'!AP8,Leyenda!$B$47:$E$51,4,FALSE)</f>
        <v>0</v>
      </c>
      <c r="BL8" s="67">
        <f>+VLOOKUP('2. Logging Brejo Seco'!AQ8,Leyenda!$B$55:$E$59,4,FALSE)</f>
        <v>0</v>
      </c>
      <c r="BM8" s="67">
        <f>+VLOOKUP('2. Logging Brejo Seco'!AR8,Leyenda!$B$63:$E$67,3,FALSE)</f>
        <v>0</v>
      </c>
      <c r="BN8" s="67">
        <f>+VLOOKUP('2. Logging Brejo Seco'!AO8,Leyenda!$B$39:$E$43,4,FALSE)</f>
        <v>0</v>
      </c>
      <c r="BO8" s="67">
        <f>+VLOOKUP('2. Logging Brejo Seco'!AN8,Leyenda!$B$30:$E$34,4,FALSE)</f>
        <v>0</v>
      </c>
      <c r="BP8" s="67">
        <f>VLOOKUP(AS8,Leyenda!$B$71:$E$75,4,FALSE)</f>
        <v>10</v>
      </c>
      <c r="BQ8" s="125">
        <f t="shared" si="14"/>
        <v>15</v>
      </c>
      <c r="BR8" s="85">
        <f t="shared" si="15"/>
        <v>15</v>
      </c>
      <c r="BS8" s="240">
        <f t="shared" si="16"/>
        <v>0.19999999999999996</v>
      </c>
      <c r="BT8" s="18" t="s">
        <v>730</v>
      </c>
    </row>
    <row r="9" spans="1:72" x14ac:dyDescent="0.25">
      <c r="A9" s="18" t="s">
        <v>6</v>
      </c>
      <c r="B9" s="18">
        <v>2024</v>
      </c>
      <c r="C9" s="18" t="s">
        <v>138</v>
      </c>
      <c r="D9" s="18" t="s">
        <v>10</v>
      </c>
      <c r="E9" s="18">
        <v>40</v>
      </c>
      <c r="F9" s="18">
        <v>40</v>
      </c>
      <c r="G9" s="18" t="s">
        <v>153</v>
      </c>
      <c r="H9" s="248">
        <f t="shared" si="0"/>
        <v>40</v>
      </c>
      <c r="I9" s="135"/>
      <c r="J9" s="18" t="s">
        <v>158</v>
      </c>
      <c r="K9" s="31">
        <f t="shared" si="17"/>
        <v>3</v>
      </c>
      <c r="L9" s="31">
        <f t="shared" si="18"/>
        <v>3.5</v>
      </c>
      <c r="M9" s="4">
        <f t="shared" si="8"/>
        <v>0.5</v>
      </c>
      <c r="N9" s="5">
        <v>0.8</v>
      </c>
      <c r="O9" s="5">
        <f t="shared" si="1"/>
        <v>0.19999999999999996</v>
      </c>
      <c r="P9" s="31">
        <f t="shared" si="9"/>
        <v>0.4</v>
      </c>
      <c r="Q9" s="31">
        <f t="shared" si="2"/>
        <v>0.4</v>
      </c>
      <c r="R9" s="31">
        <v>80</v>
      </c>
      <c r="S9" s="31">
        <v>5</v>
      </c>
      <c r="T9" s="31">
        <v>0.38</v>
      </c>
      <c r="U9" s="31">
        <v>0.3</v>
      </c>
      <c r="V9" s="86">
        <f>+U9/M9*100</f>
        <v>60</v>
      </c>
      <c r="W9" s="31">
        <v>1</v>
      </c>
      <c r="X9" s="31">
        <v>2</v>
      </c>
      <c r="Y9" s="31">
        <f>+W9+X9</f>
        <v>3</v>
      </c>
      <c r="Z9" s="31">
        <f t="shared" ref="Z9:Z27" si="19">+IF(T9=0,"",(T9*1000)/Y9)</f>
        <v>126.66666666666667</v>
      </c>
      <c r="AA9" s="18">
        <v>64</v>
      </c>
      <c r="AB9" s="18" t="s">
        <v>88</v>
      </c>
      <c r="AC9" s="18" t="s">
        <v>118</v>
      </c>
      <c r="AD9" s="18" t="s">
        <v>336</v>
      </c>
      <c r="AE9" s="18">
        <v>5</v>
      </c>
      <c r="AF9" s="18">
        <v>80</v>
      </c>
      <c r="AG9" s="18" t="s">
        <v>27</v>
      </c>
      <c r="AH9" s="18" t="str">
        <f>+AG9</f>
        <v>R3</v>
      </c>
      <c r="AI9" s="18" t="str">
        <f>+VLOOKUP(AH9,Leyenda!$O$4:$U$10,6,FALSE)</f>
        <v>0,35-0,50</v>
      </c>
      <c r="AJ9" s="18" t="str">
        <f>+VLOOKUP(AH9,Leyenda!$O$4:$U$10,7,FALSE)</f>
        <v>Easy to blast</v>
      </c>
      <c r="AK9" s="18">
        <f>+VLOOKUP(AJ9,Leyenda!$U$4:$V$10,2,FALSE)</f>
        <v>3</v>
      </c>
      <c r="AL9" s="18" t="s">
        <v>27</v>
      </c>
      <c r="AM9" s="18" t="str">
        <f t="shared" si="10"/>
        <v>R3</v>
      </c>
      <c r="AN9" s="18" t="s">
        <v>64</v>
      </c>
      <c r="AO9" s="18" t="s">
        <v>79</v>
      </c>
      <c r="AP9" s="18" t="s">
        <v>96</v>
      </c>
      <c r="AQ9" s="18" t="s">
        <v>107</v>
      </c>
      <c r="AR9" s="18" t="s">
        <v>116</v>
      </c>
      <c r="AS9" s="18" t="s">
        <v>198</v>
      </c>
      <c r="AT9" s="18" t="s">
        <v>197</v>
      </c>
      <c r="AU9" s="18"/>
      <c r="AV9" s="18">
        <f>+VLOOKUP(AN9,Leyenda!$B$30:$E$34,3,FALSE)</f>
        <v>2</v>
      </c>
      <c r="AW9" s="18">
        <f>+VLOOKUP('2. Logging Brejo Seco'!AO9,Meteorizacion,3,FALSE)</f>
        <v>1</v>
      </c>
      <c r="AX9" s="18">
        <f>+VLOOKUP('2. Logging Brejo Seco'!AP9,Apertura,3,FALSE)</f>
        <v>1</v>
      </c>
      <c r="AY9" s="18">
        <f>+VLOOKUP('2. Logging Brejo Seco'!AQ9,Leyenda!$B$55:$D$59,3,FALSE)</f>
        <v>3</v>
      </c>
      <c r="AZ9" s="18">
        <f>+VLOOKUP('2. Logging Brejo Seco'!AR9,Relleno,3,FALSE)</f>
        <v>4</v>
      </c>
      <c r="BA9" s="18">
        <f>+SUM(AV9:AZ9)</f>
        <v>11</v>
      </c>
      <c r="BB9" s="49">
        <f t="shared" si="5"/>
        <v>12</v>
      </c>
      <c r="BC9" s="49">
        <f>VLOOKUP(AM9,Leyenda!$B$4:$D$10,3,FALSE)</f>
        <v>4</v>
      </c>
      <c r="BD9" s="50">
        <f t="shared" si="11"/>
        <v>8</v>
      </c>
      <c r="BE9" s="49">
        <f t="shared" si="12"/>
        <v>11</v>
      </c>
      <c r="BF9" s="49">
        <f>VLOOKUP(AS9,Leyenda!$B$70:$D$75,3,FALSE)</f>
        <v>15</v>
      </c>
      <c r="BG9" s="67">
        <f t="shared" si="6"/>
        <v>46.5</v>
      </c>
      <c r="BH9" s="67">
        <f>VLOOKUP(AM9,Leyenda!$B$4:$E$10,4,FALSE)</f>
        <v>4</v>
      </c>
      <c r="BI9" s="67">
        <f t="shared" si="13"/>
        <v>10</v>
      </c>
      <c r="BJ9" s="67">
        <f t="shared" si="7"/>
        <v>12</v>
      </c>
      <c r="BK9" s="67">
        <f>+VLOOKUP('2. Logging Brejo Seco'!AP9,Leyenda!$B$47:$E$51,4,FALSE)</f>
        <v>1</v>
      </c>
      <c r="BL9" s="67">
        <f>+VLOOKUP('2. Logging Brejo Seco'!AQ9,Leyenda!$B$55:$E$59,4,FALSE)</f>
        <v>3</v>
      </c>
      <c r="BM9" s="67">
        <f>+VLOOKUP('2. Logging Brejo Seco'!AR9,Leyenda!$B$63:$E$67,3,FALSE)</f>
        <v>4</v>
      </c>
      <c r="BN9" s="67">
        <f>+VLOOKUP('2. Logging Brejo Seco'!AO9,Leyenda!$B$39:$E$43,4,FALSE)</f>
        <v>1</v>
      </c>
      <c r="BO9" s="67">
        <f>+VLOOKUP('2. Logging Brejo Seco'!AN9,Leyenda!$B$30:$E$34,4,FALSE)</f>
        <v>3</v>
      </c>
      <c r="BP9" s="67">
        <f>VLOOKUP(AS9,Leyenda!$B$71:$E$75,4,FALSE)</f>
        <v>10</v>
      </c>
      <c r="BQ9" s="125">
        <f t="shared" si="14"/>
        <v>48</v>
      </c>
      <c r="BR9" s="85">
        <f t="shared" si="15"/>
        <v>50</v>
      </c>
      <c r="BS9" s="240">
        <f t="shared" si="16"/>
        <v>0.19999999999999996</v>
      </c>
      <c r="BT9" s="18"/>
    </row>
    <row r="10" spans="1:72" x14ac:dyDescent="0.25">
      <c r="A10" s="18" t="s">
        <v>6</v>
      </c>
      <c r="B10" s="18">
        <v>2024</v>
      </c>
      <c r="C10" s="18" t="s">
        <v>138</v>
      </c>
      <c r="D10" s="18" t="s">
        <v>10</v>
      </c>
      <c r="E10" s="18">
        <v>40</v>
      </c>
      <c r="F10" s="18">
        <v>40</v>
      </c>
      <c r="G10" s="18" t="s">
        <v>153</v>
      </c>
      <c r="H10" s="248">
        <f t="shared" ref="H10:H73" si="20">+F10</f>
        <v>40</v>
      </c>
      <c r="I10" s="135"/>
      <c r="J10" s="18" t="s">
        <v>158</v>
      </c>
      <c r="K10" s="31">
        <f t="shared" si="17"/>
        <v>3.5</v>
      </c>
      <c r="L10" s="31">
        <f t="shared" si="18"/>
        <v>4</v>
      </c>
      <c r="M10" s="4">
        <f t="shared" si="8"/>
        <v>0.5</v>
      </c>
      <c r="N10" s="5">
        <v>0.76</v>
      </c>
      <c r="O10" s="5">
        <f t="shared" si="1"/>
        <v>0.24</v>
      </c>
      <c r="P10" s="31">
        <f t="shared" si="9"/>
        <v>0.38</v>
      </c>
      <c r="Q10" s="31">
        <f t="shared" si="2"/>
        <v>0.38</v>
      </c>
      <c r="R10" s="31">
        <v>76</v>
      </c>
      <c r="S10" s="31">
        <v>5</v>
      </c>
      <c r="T10" s="31">
        <v>0.42</v>
      </c>
      <c r="U10" s="31">
        <v>0.5</v>
      </c>
      <c r="V10" s="86">
        <f t="shared" ref="V10:V73" si="21">+U10/M10*100</f>
        <v>100</v>
      </c>
      <c r="W10" s="31">
        <v>1</v>
      </c>
      <c r="X10" s="31"/>
      <c r="Y10" s="31">
        <v>1</v>
      </c>
      <c r="Z10" s="31">
        <f t="shared" si="19"/>
        <v>420</v>
      </c>
      <c r="AA10" s="18">
        <v>22</v>
      </c>
      <c r="AB10" s="18" t="s">
        <v>88</v>
      </c>
      <c r="AC10" s="18" t="s">
        <v>118</v>
      </c>
      <c r="AD10" s="18" t="s">
        <v>336</v>
      </c>
      <c r="AE10" s="18">
        <v>5</v>
      </c>
      <c r="AF10" s="18">
        <v>76</v>
      </c>
      <c r="AG10" s="18" t="s">
        <v>24</v>
      </c>
      <c r="AH10" s="18" t="str">
        <f t="shared" ref="AH10:AH11" si="22">+AG10</f>
        <v>R4</v>
      </c>
      <c r="AI10" s="18" t="str">
        <f>+VLOOKUP(AH10,Leyenda!$O$4:$U$10,6,FALSE)</f>
        <v>0,50-0,80</v>
      </c>
      <c r="AJ10" s="18" t="str">
        <f>+VLOOKUP(AH10,Leyenda!$O$4:$U$10,7,FALSE)</f>
        <v>Fairly easy to blast</v>
      </c>
      <c r="AK10" s="18">
        <f>+VLOOKUP(AJ10,Leyenda!$U$4:$V$10,2,FALSE)</f>
        <v>4</v>
      </c>
      <c r="AL10" s="18" t="s">
        <v>24</v>
      </c>
      <c r="AM10" s="18" t="str">
        <f t="shared" si="10"/>
        <v>R4</v>
      </c>
      <c r="AN10" s="18" t="s">
        <v>64</v>
      </c>
      <c r="AO10" s="18" t="s">
        <v>79</v>
      </c>
      <c r="AP10" s="18" t="s">
        <v>96</v>
      </c>
      <c r="AQ10" s="18" t="s">
        <v>107</v>
      </c>
      <c r="AR10" s="18" t="s">
        <v>118</v>
      </c>
      <c r="AS10" s="18" t="s">
        <v>198</v>
      </c>
      <c r="AT10" s="18" t="s">
        <v>197</v>
      </c>
      <c r="AU10" s="18"/>
      <c r="AV10" s="18">
        <f>+VLOOKUP(AN10,Leyenda!$B$30:$E$34,3,FALSE)</f>
        <v>2</v>
      </c>
      <c r="AW10" s="18">
        <f>+VLOOKUP('2. Logging Brejo Seco'!AO10,Meteorizacion,3,FALSE)</f>
        <v>1</v>
      </c>
      <c r="AX10" s="18">
        <f>+VLOOKUP('2. Logging Brejo Seco'!AP10,Apertura,3,FALSE)</f>
        <v>1</v>
      </c>
      <c r="AY10" s="18">
        <f>+VLOOKUP('2. Logging Brejo Seco'!AQ10,Leyenda!$B$55:$D$59,3,FALSE)</f>
        <v>3</v>
      </c>
      <c r="AZ10" s="18">
        <f>+VLOOKUP('2. Logging Brejo Seco'!AR10,Relleno,3,FALSE)</f>
        <v>2</v>
      </c>
      <c r="BA10" s="18">
        <f t="shared" ref="BA10:BA73" si="23">+SUM(AV10:AZ10)</f>
        <v>9</v>
      </c>
      <c r="BB10" s="49">
        <f t="shared" si="5"/>
        <v>20</v>
      </c>
      <c r="BC10" s="49">
        <f>VLOOKUP(AM10,Leyenda!$B$4:$D$10,3,FALSE)</f>
        <v>7</v>
      </c>
      <c r="BD10" s="50">
        <f t="shared" si="11"/>
        <v>12</v>
      </c>
      <c r="BE10" s="49">
        <f t="shared" si="12"/>
        <v>9</v>
      </c>
      <c r="BF10" s="49">
        <f>VLOOKUP(AS10,Leyenda!$B$70:$D$75,3,FALSE)</f>
        <v>15</v>
      </c>
      <c r="BG10" s="67">
        <f t="shared" si="6"/>
        <v>63.5</v>
      </c>
      <c r="BH10" s="67">
        <f>VLOOKUP(AM10,Leyenda!$B$4:$E$10,4,FALSE)</f>
        <v>7</v>
      </c>
      <c r="BI10" s="125">
        <f t="shared" si="13"/>
        <v>17</v>
      </c>
      <c r="BJ10" s="125">
        <f t="shared" si="7"/>
        <v>20</v>
      </c>
      <c r="BK10" s="125">
        <f>+VLOOKUP('2. Logging Brejo Seco'!AP10,Leyenda!$B$47:$E$51,4,FALSE)</f>
        <v>1</v>
      </c>
      <c r="BL10" s="125">
        <f>+VLOOKUP('2. Logging Brejo Seco'!AQ10,Leyenda!$B$55:$E$59,4,FALSE)</f>
        <v>3</v>
      </c>
      <c r="BM10" s="125">
        <f>+VLOOKUP('2. Logging Brejo Seco'!AR10,Leyenda!$B$63:$E$67,3,FALSE)</f>
        <v>2</v>
      </c>
      <c r="BN10" s="125">
        <f>+VLOOKUP('2. Logging Brejo Seco'!AO10,Leyenda!$B$39:$E$43,4,FALSE)</f>
        <v>1</v>
      </c>
      <c r="BO10" s="125">
        <f>+VLOOKUP('2. Logging Brejo Seco'!AN10,Leyenda!$B$30:$E$34,4,FALSE)</f>
        <v>3</v>
      </c>
      <c r="BP10" s="125">
        <f>VLOOKUP(AS10,Leyenda!$B$71:$E$75,4,FALSE)</f>
        <v>10</v>
      </c>
      <c r="BQ10" s="125">
        <f t="shared" si="14"/>
        <v>64</v>
      </c>
      <c r="BR10" s="85">
        <f>+BC10+BD10+BB10+BE10+BF10</f>
        <v>63</v>
      </c>
      <c r="BS10" s="240">
        <f t="shared" si="16"/>
        <v>0.24</v>
      </c>
      <c r="BT10" s="18"/>
    </row>
    <row r="11" spans="1:72" x14ac:dyDescent="0.25">
      <c r="A11" s="18" t="s">
        <v>6</v>
      </c>
      <c r="B11" s="18">
        <v>2024</v>
      </c>
      <c r="C11" s="18" t="s">
        <v>138</v>
      </c>
      <c r="D11" s="18" t="s">
        <v>10</v>
      </c>
      <c r="E11" s="18">
        <v>40</v>
      </c>
      <c r="F11" s="18">
        <v>40</v>
      </c>
      <c r="G11" s="18" t="s">
        <v>153</v>
      </c>
      <c r="H11" s="248">
        <f t="shared" si="20"/>
        <v>40</v>
      </c>
      <c r="I11" s="135"/>
      <c r="J11" s="18" t="s">
        <v>158</v>
      </c>
      <c r="K11" s="31">
        <f t="shared" si="17"/>
        <v>4</v>
      </c>
      <c r="L11" s="31">
        <f t="shared" si="18"/>
        <v>4.5</v>
      </c>
      <c r="M11" s="4">
        <f t="shared" si="8"/>
        <v>0.5</v>
      </c>
      <c r="N11" s="5">
        <v>0.86</v>
      </c>
      <c r="O11" s="5">
        <f t="shared" si="1"/>
        <v>0.14000000000000001</v>
      </c>
      <c r="P11" s="31">
        <f t="shared" si="9"/>
        <v>0.43</v>
      </c>
      <c r="Q11" s="31">
        <f t="shared" si="2"/>
        <v>0.43</v>
      </c>
      <c r="R11" s="31">
        <v>21.5</v>
      </c>
      <c r="S11" s="31">
        <v>20</v>
      </c>
      <c r="T11" s="31">
        <v>0.19</v>
      </c>
      <c r="U11" s="31">
        <v>0</v>
      </c>
      <c r="V11" s="86">
        <f t="shared" si="21"/>
        <v>0</v>
      </c>
      <c r="W11" s="31">
        <v>0</v>
      </c>
      <c r="X11" s="31">
        <v>10</v>
      </c>
      <c r="Y11" s="31">
        <f t="shared" ref="Y11:Y73" si="24">+W11+X11</f>
        <v>10</v>
      </c>
      <c r="Z11" s="31">
        <f t="shared" si="19"/>
        <v>19</v>
      </c>
      <c r="AA11" s="18">
        <v>0</v>
      </c>
      <c r="AB11" s="18" t="s">
        <v>88</v>
      </c>
      <c r="AC11" s="18" t="s">
        <v>333</v>
      </c>
      <c r="AD11" s="18" t="s">
        <v>336</v>
      </c>
      <c r="AE11" s="18">
        <v>20</v>
      </c>
      <c r="AF11" s="18">
        <v>21.5</v>
      </c>
      <c r="AG11" s="18" t="s">
        <v>27</v>
      </c>
      <c r="AH11" s="18" t="str">
        <f t="shared" si="22"/>
        <v>R3</v>
      </c>
      <c r="AI11" s="18" t="str">
        <f>+VLOOKUP(AH11,Leyenda!$O$4:$U$10,6,FALSE)</f>
        <v>0,35-0,50</v>
      </c>
      <c r="AJ11" s="18" t="str">
        <f>+VLOOKUP(AH11,Leyenda!$O$4:$U$10,7,FALSE)</f>
        <v>Easy to blast</v>
      </c>
      <c r="AK11" s="18">
        <f>+VLOOKUP(AJ11,Leyenda!$U$4:$V$10,2,FALSE)</f>
        <v>3</v>
      </c>
      <c r="AL11" s="18" t="s">
        <v>27</v>
      </c>
      <c r="AM11" s="18" t="str">
        <f t="shared" si="10"/>
        <v>R3</v>
      </c>
      <c r="AN11" s="18" t="s">
        <v>64</v>
      </c>
      <c r="AO11" s="18" t="s">
        <v>81</v>
      </c>
      <c r="AP11" s="18" t="s">
        <v>100</v>
      </c>
      <c r="AQ11" s="18" t="s">
        <v>111</v>
      </c>
      <c r="AR11" s="18" t="s">
        <v>122</v>
      </c>
      <c r="AS11" s="18" t="s">
        <v>198</v>
      </c>
      <c r="AT11" s="18" t="s">
        <v>201</v>
      </c>
      <c r="AU11" s="18"/>
      <c r="AV11" s="18">
        <f>+VLOOKUP(AN11,Leyenda!$B$30:$E$34,3,FALSE)</f>
        <v>2</v>
      </c>
      <c r="AW11" s="18">
        <f>+VLOOKUP('2. Logging Brejo Seco'!AO11,Meteorizacion,3,FALSE)</f>
        <v>0</v>
      </c>
      <c r="AX11" s="18">
        <f>+VLOOKUP('2. Logging Brejo Seco'!AP11,Apertura,3,FALSE)</f>
        <v>0</v>
      </c>
      <c r="AY11" s="18">
        <f>+VLOOKUP('2. Logging Brejo Seco'!AQ11,Leyenda!$B$55:$D$59,3,FALSE)</f>
        <v>0</v>
      </c>
      <c r="AZ11" s="18">
        <f>+VLOOKUP('2. Logging Brejo Seco'!AR11,Relleno,3,FALSE)</f>
        <v>0</v>
      </c>
      <c r="BA11" s="18">
        <f t="shared" si="23"/>
        <v>2</v>
      </c>
      <c r="BB11" s="49">
        <f t="shared" si="5"/>
        <v>0</v>
      </c>
      <c r="BC11" s="49">
        <f>VLOOKUP(AM11,Leyenda!$B$4:$D$10,3,FALSE)</f>
        <v>4</v>
      </c>
      <c r="BD11" s="50">
        <f t="shared" si="11"/>
        <v>4</v>
      </c>
      <c r="BE11" s="49">
        <f t="shared" si="12"/>
        <v>2</v>
      </c>
      <c r="BF11" s="49">
        <f>VLOOKUP(AS11,Leyenda!$B$70:$D$75,3,FALSE)</f>
        <v>15</v>
      </c>
      <c r="BG11" s="67">
        <f t="shared" si="6"/>
        <v>3</v>
      </c>
      <c r="BH11" s="67">
        <f>VLOOKUP(AM11,Leyenda!$B$4:$E$10,4,FALSE)</f>
        <v>4</v>
      </c>
      <c r="BI11" s="67">
        <f t="shared" si="13"/>
        <v>5</v>
      </c>
      <c r="BJ11" s="67">
        <f t="shared" si="7"/>
        <v>0</v>
      </c>
      <c r="BK11" s="67">
        <f>+VLOOKUP('2. Logging Brejo Seco'!AP11,Leyenda!$B$47:$E$51,4,FALSE)</f>
        <v>0</v>
      </c>
      <c r="BL11" s="67">
        <f>+VLOOKUP('2. Logging Brejo Seco'!AQ11,Leyenda!$B$55:$E$59,4,FALSE)</f>
        <v>0</v>
      </c>
      <c r="BM11" s="67">
        <f>+VLOOKUP('2. Logging Brejo Seco'!AR11,Leyenda!$B$63:$E$67,3,FALSE)</f>
        <v>0</v>
      </c>
      <c r="BN11" s="67">
        <f>+VLOOKUP('2. Logging Brejo Seco'!AO11,Leyenda!$B$39:$E$43,4,FALSE)</f>
        <v>0</v>
      </c>
      <c r="BO11" s="67">
        <f>+VLOOKUP('2. Logging Brejo Seco'!AN11,Leyenda!$B$30:$E$34,4,FALSE)</f>
        <v>3</v>
      </c>
      <c r="BP11" s="67">
        <f>VLOOKUP(AS11,Leyenda!$B$71:$E$75,4,FALSE)</f>
        <v>10</v>
      </c>
      <c r="BQ11" s="125">
        <f t="shared" si="14"/>
        <v>22</v>
      </c>
      <c r="BR11" s="85">
        <f t="shared" si="15"/>
        <v>25</v>
      </c>
      <c r="BS11" s="240">
        <f t="shared" si="16"/>
        <v>0.14000000000000001</v>
      </c>
      <c r="BT11" s="18"/>
    </row>
    <row r="12" spans="1:72" x14ac:dyDescent="0.25">
      <c r="A12" s="18" t="s">
        <v>6</v>
      </c>
      <c r="B12" s="18">
        <v>2024</v>
      </c>
      <c r="C12" s="18" t="s">
        <v>138</v>
      </c>
      <c r="D12" s="18" t="s">
        <v>10</v>
      </c>
      <c r="E12" s="18">
        <v>50</v>
      </c>
      <c r="F12" s="18">
        <v>50</v>
      </c>
      <c r="G12" s="18" t="s">
        <v>154</v>
      </c>
      <c r="H12" s="248">
        <f t="shared" si="20"/>
        <v>50</v>
      </c>
      <c r="I12" s="135"/>
      <c r="J12" s="18" t="s">
        <v>158</v>
      </c>
      <c r="K12" s="31">
        <f t="shared" si="17"/>
        <v>4.5</v>
      </c>
      <c r="L12" s="31">
        <f t="shared" si="18"/>
        <v>5</v>
      </c>
      <c r="M12" s="4">
        <f t="shared" si="8"/>
        <v>0.5</v>
      </c>
      <c r="N12" s="5">
        <v>0.38</v>
      </c>
      <c r="O12" s="5">
        <f t="shared" si="1"/>
        <v>0.62</v>
      </c>
      <c r="P12" s="31">
        <f t="shared" si="9"/>
        <v>0.19</v>
      </c>
      <c r="Q12" s="31">
        <f t="shared" si="2"/>
        <v>0.19</v>
      </c>
      <c r="R12" s="31">
        <v>190</v>
      </c>
      <c r="S12" s="31">
        <v>1</v>
      </c>
      <c r="T12" s="31">
        <v>0.36</v>
      </c>
      <c r="U12" s="31">
        <v>0.3</v>
      </c>
      <c r="V12" s="86">
        <f t="shared" si="21"/>
        <v>60</v>
      </c>
      <c r="W12" s="31">
        <v>2</v>
      </c>
      <c r="X12" s="31"/>
      <c r="Y12" s="31">
        <f t="shared" si="24"/>
        <v>2</v>
      </c>
      <c r="Z12" s="31">
        <f t="shared" si="19"/>
        <v>180</v>
      </c>
      <c r="AA12" s="18">
        <v>64</v>
      </c>
      <c r="AB12" s="18" t="s">
        <v>88</v>
      </c>
      <c r="AC12" s="18" t="s">
        <v>116</v>
      </c>
      <c r="AD12" s="18" t="s">
        <v>336</v>
      </c>
      <c r="AE12" s="18">
        <v>1</v>
      </c>
      <c r="AF12" s="18">
        <v>190</v>
      </c>
      <c r="AG12" s="18" t="s">
        <v>196</v>
      </c>
      <c r="AH12" s="18" t="s">
        <v>34</v>
      </c>
      <c r="AI12" s="18">
        <f>+VLOOKUP(AH12,Leyenda!$O$4:$U$10,6,FALSE)</f>
        <v>0</v>
      </c>
      <c r="AJ12" s="18" t="str">
        <f>+VLOOKUP(AH12,Leyenda!$O$4:$U$10,7,FALSE)</f>
        <v>No Blasting need</v>
      </c>
      <c r="AK12" s="18">
        <f>+VLOOKUP(AJ12,Leyenda!$U$4:$V$10,2,FALSE)</f>
        <v>2</v>
      </c>
      <c r="AL12" s="18" t="s">
        <v>196</v>
      </c>
      <c r="AM12" s="18" t="str">
        <f t="shared" si="10"/>
        <v>R0</v>
      </c>
      <c r="AN12" s="18" t="s">
        <v>64</v>
      </c>
      <c r="AO12" s="18" t="s">
        <v>79</v>
      </c>
      <c r="AP12" s="18" t="s">
        <v>100</v>
      </c>
      <c r="AQ12" s="18" t="s">
        <v>107</v>
      </c>
      <c r="AR12" s="18" t="s">
        <v>118</v>
      </c>
      <c r="AS12" s="18" t="s">
        <v>198</v>
      </c>
      <c r="AT12" s="18" t="s">
        <v>202</v>
      </c>
      <c r="AU12" s="18"/>
      <c r="AV12" s="18">
        <f>+VLOOKUP(AN12,Leyenda!$B$30:$E$34,3,FALSE)</f>
        <v>2</v>
      </c>
      <c r="AW12" s="18">
        <f>+VLOOKUP('2. Logging Brejo Seco'!AO12,Meteorizacion,3,FALSE)</f>
        <v>1</v>
      </c>
      <c r="AX12" s="18">
        <f>+VLOOKUP('2. Logging Brejo Seco'!AP12,Apertura,3,FALSE)</f>
        <v>0</v>
      </c>
      <c r="AY12" s="18">
        <f>+VLOOKUP('2. Logging Brejo Seco'!AQ12,Leyenda!$B$55:$D$59,3,FALSE)</f>
        <v>3</v>
      </c>
      <c r="AZ12" s="18">
        <f>+VLOOKUP('2. Logging Brejo Seco'!AR12,Relleno,3,FALSE)</f>
        <v>2</v>
      </c>
      <c r="BA12" s="18">
        <f t="shared" si="23"/>
        <v>8</v>
      </c>
      <c r="BB12" s="49">
        <f t="shared" si="5"/>
        <v>12</v>
      </c>
      <c r="BC12" s="49">
        <f>VLOOKUP(AM12,Leyenda!$B$4:$D$10,3,FALSE)</f>
        <v>0</v>
      </c>
      <c r="BD12" s="50">
        <f t="shared" si="11"/>
        <v>9</v>
      </c>
      <c r="BE12" s="49">
        <f t="shared" si="12"/>
        <v>8</v>
      </c>
      <c r="BF12" s="49">
        <f>VLOOKUP(AS12,Leyenda!$B$70:$D$75,3,FALSE)</f>
        <v>15</v>
      </c>
      <c r="BG12" s="67">
        <f t="shared" si="6"/>
        <v>42</v>
      </c>
      <c r="BH12" s="67">
        <f>VLOOKUP(AM12,Leyenda!$B$4:$E$10,4,FALSE)</f>
        <v>0</v>
      </c>
      <c r="BI12" s="67">
        <f t="shared" si="13"/>
        <v>12</v>
      </c>
      <c r="BJ12" s="67">
        <f t="shared" si="7"/>
        <v>12</v>
      </c>
      <c r="BK12" s="67">
        <f>+VLOOKUP('2. Logging Brejo Seco'!AP12,Leyenda!$B$47:$E$51,4,FALSE)</f>
        <v>0</v>
      </c>
      <c r="BL12" s="67">
        <f>+VLOOKUP('2. Logging Brejo Seco'!AQ12,Leyenda!$B$55:$E$59,4,FALSE)</f>
        <v>3</v>
      </c>
      <c r="BM12" s="67">
        <f>+VLOOKUP('2. Logging Brejo Seco'!AR12,Leyenda!$B$63:$E$67,3,FALSE)</f>
        <v>2</v>
      </c>
      <c r="BN12" s="67">
        <f>+VLOOKUP('2. Logging Brejo Seco'!AO12,Leyenda!$B$39:$E$43,4,FALSE)</f>
        <v>1</v>
      </c>
      <c r="BO12" s="67">
        <f>+VLOOKUP('2. Logging Brejo Seco'!AN12,Leyenda!$B$30:$E$34,4,FALSE)</f>
        <v>3</v>
      </c>
      <c r="BP12" s="67">
        <f>VLOOKUP(AS12,Leyenda!$B$71:$E$75,4,FALSE)</f>
        <v>10</v>
      </c>
      <c r="BQ12" s="125">
        <f t="shared" si="14"/>
        <v>43</v>
      </c>
      <c r="BR12" s="85">
        <f t="shared" si="15"/>
        <v>44</v>
      </c>
      <c r="BS12" s="240">
        <f t="shared" si="16"/>
        <v>0.62</v>
      </c>
      <c r="BT12" s="18" t="s">
        <v>730</v>
      </c>
    </row>
    <row r="13" spans="1:72" x14ac:dyDescent="0.25">
      <c r="A13" s="18" t="s">
        <v>6</v>
      </c>
      <c r="B13" s="18">
        <v>2024</v>
      </c>
      <c r="C13" s="18" t="s">
        <v>138</v>
      </c>
      <c r="D13" s="18" t="s">
        <v>10</v>
      </c>
      <c r="E13" s="18">
        <v>50</v>
      </c>
      <c r="F13" s="18">
        <v>50</v>
      </c>
      <c r="G13" s="18" t="s">
        <v>154</v>
      </c>
      <c r="H13" s="248">
        <f t="shared" si="20"/>
        <v>50</v>
      </c>
      <c r="I13" s="135"/>
      <c r="J13" s="18" t="s">
        <v>158</v>
      </c>
      <c r="K13" s="31">
        <f t="shared" si="17"/>
        <v>5</v>
      </c>
      <c r="L13" s="31">
        <f t="shared" si="18"/>
        <v>5.5</v>
      </c>
      <c r="M13" s="4">
        <f t="shared" si="8"/>
        <v>0.5</v>
      </c>
      <c r="N13" s="5">
        <v>0.82</v>
      </c>
      <c r="O13" s="5">
        <f t="shared" si="1"/>
        <v>0.18000000000000005</v>
      </c>
      <c r="P13" s="31">
        <f t="shared" si="9"/>
        <v>0.41</v>
      </c>
      <c r="Q13" s="31">
        <f t="shared" si="2"/>
        <v>0.41</v>
      </c>
      <c r="R13" s="31">
        <v>82</v>
      </c>
      <c r="S13" s="31">
        <v>5</v>
      </c>
      <c r="T13" s="31">
        <v>0.39</v>
      </c>
      <c r="U13" s="31">
        <v>0.13</v>
      </c>
      <c r="V13" s="86">
        <f t="shared" si="21"/>
        <v>26</v>
      </c>
      <c r="W13" s="31">
        <v>5</v>
      </c>
      <c r="X13" s="31"/>
      <c r="Y13" s="31">
        <f t="shared" si="24"/>
        <v>5</v>
      </c>
      <c r="Z13" s="31">
        <f t="shared" si="19"/>
        <v>78</v>
      </c>
      <c r="AA13" s="18">
        <v>32</v>
      </c>
      <c r="AB13" s="18" t="s">
        <v>88</v>
      </c>
      <c r="AC13" s="18" t="s">
        <v>118</v>
      </c>
      <c r="AD13" s="18" t="s">
        <v>336</v>
      </c>
      <c r="AE13" s="18">
        <v>5</v>
      </c>
      <c r="AF13" s="18">
        <v>82</v>
      </c>
      <c r="AG13" s="18" t="s">
        <v>196</v>
      </c>
      <c r="AH13" s="18" t="s">
        <v>34</v>
      </c>
      <c r="AI13" s="18">
        <f>+VLOOKUP(AH13,Leyenda!$O$4:$U$10,6,FALSE)</f>
        <v>0</v>
      </c>
      <c r="AJ13" s="18" t="str">
        <f>+VLOOKUP(AH13,Leyenda!$O$4:$U$10,7,FALSE)</f>
        <v>No Blasting need</v>
      </c>
      <c r="AK13" s="18">
        <f>+VLOOKUP(AJ13,Leyenda!$U$4:$V$10,2,FALSE)</f>
        <v>2</v>
      </c>
      <c r="AL13" s="18" t="s">
        <v>196</v>
      </c>
      <c r="AM13" s="18" t="str">
        <f t="shared" si="10"/>
        <v>R0</v>
      </c>
      <c r="AN13" s="18" t="s">
        <v>64</v>
      </c>
      <c r="AO13" s="18" t="s">
        <v>79</v>
      </c>
      <c r="AP13" s="18" t="s">
        <v>100</v>
      </c>
      <c r="AQ13" s="18" t="s">
        <v>109</v>
      </c>
      <c r="AR13" s="18" t="s">
        <v>120</v>
      </c>
      <c r="AS13" s="18" t="s">
        <v>198</v>
      </c>
      <c r="AT13" s="18" t="s">
        <v>203</v>
      </c>
      <c r="AU13" s="18"/>
      <c r="AV13" s="18">
        <f>+VLOOKUP(AN13,Leyenda!$B$30:$E$34,3,FALSE)</f>
        <v>2</v>
      </c>
      <c r="AW13" s="18">
        <f>+VLOOKUP('2. Logging Brejo Seco'!AO13,Meteorizacion,3,FALSE)</f>
        <v>1</v>
      </c>
      <c r="AX13" s="18">
        <f>+VLOOKUP('2. Logging Brejo Seco'!AP13,Apertura,3,FALSE)</f>
        <v>0</v>
      </c>
      <c r="AY13" s="18">
        <f>+VLOOKUP('2. Logging Brejo Seco'!AQ13,Leyenda!$B$55:$D$59,3,FALSE)</f>
        <v>1</v>
      </c>
      <c r="AZ13" s="18">
        <f>+VLOOKUP('2. Logging Brejo Seco'!AR13,Relleno,3,FALSE)</f>
        <v>2</v>
      </c>
      <c r="BA13" s="18">
        <f t="shared" si="23"/>
        <v>6</v>
      </c>
      <c r="BB13" s="49">
        <f t="shared" si="5"/>
        <v>6</v>
      </c>
      <c r="BC13" s="49">
        <f>VLOOKUP(AM13,Leyenda!$B$4:$D$10,3,FALSE)</f>
        <v>0</v>
      </c>
      <c r="BD13" s="50">
        <f t="shared" si="11"/>
        <v>7</v>
      </c>
      <c r="BE13" s="49">
        <f t="shared" si="12"/>
        <v>6</v>
      </c>
      <c r="BF13" s="49">
        <f>VLOOKUP(AS13,Leyenda!$B$70:$D$75,3,FALSE)</f>
        <v>15</v>
      </c>
      <c r="BG13" s="67">
        <f t="shared" si="6"/>
        <v>22</v>
      </c>
      <c r="BH13" s="67">
        <f>VLOOKUP(AM13,Leyenda!$B$4:$E$10,4,FALSE)</f>
        <v>0</v>
      </c>
      <c r="BI13" s="67">
        <f t="shared" si="13"/>
        <v>7</v>
      </c>
      <c r="BJ13" s="67">
        <f t="shared" si="7"/>
        <v>6</v>
      </c>
      <c r="BK13" s="67">
        <f>+VLOOKUP('2. Logging Brejo Seco'!AP13,Leyenda!$B$47:$E$51,4,FALSE)</f>
        <v>0</v>
      </c>
      <c r="BL13" s="67">
        <f>+VLOOKUP('2. Logging Brejo Seco'!AQ13,Leyenda!$B$55:$E$59,4,FALSE)</f>
        <v>1</v>
      </c>
      <c r="BM13" s="67">
        <f>+VLOOKUP('2. Logging Brejo Seco'!AR13,Leyenda!$B$63:$E$67,3,FALSE)</f>
        <v>2</v>
      </c>
      <c r="BN13" s="67">
        <f>+VLOOKUP('2. Logging Brejo Seco'!AO13,Leyenda!$B$39:$E$43,4,FALSE)</f>
        <v>1</v>
      </c>
      <c r="BO13" s="67">
        <f>+VLOOKUP('2. Logging Brejo Seco'!AN13,Leyenda!$B$30:$E$34,4,FALSE)</f>
        <v>3</v>
      </c>
      <c r="BP13" s="67">
        <f>VLOOKUP(AS13,Leyenda!$B$71:$E$75,4,FALSE)</f>
        <v>10</v>
      </c>
      <c r="BQ13" s="125">
        <f t="shared" si="14"/>
        <v>30</v>
      </c>
      <c r="BR13" s="85">
        <f t="shared" si="15"/>
        <v>34</v>
      </c>
      <c r="BS13" s="240">
        <f t="shared" si="16"/>
        <v>0.18000000000000005</v>
      </c>
      <c r="BT13" s="18" t="s">
        <v>730</v>
      </c>
    </row>
    <row r="14" spans="1:72" x14ac:dyDescent="0.25">
      <c r="A14" s="18" t="s">
        <v>6</v>
      </c>
      <c r="B14" s="18">
        <v>2024</v>
      </c>
      <c r="C14" s="18" t="s">
        <v>138</v>
      </c>
      <c r="D14" s="18" t="s">
        <v>10</v>
      </c>
      <c r="E14" s="18">
        <v>50</v>
      </c>
      <c r="F14" s="18">
        <v>50</v>
      </c>
      <c r="G14" s="18" t="s">
        <v>154</v>
      </c>
      <c r="H14" s="248">
        <f t="shared" si="20"/>
        <v>50</v>
      </c>
      <c r="I14" s="135"/>
      <c r="J14" s="18" t="s">
        <v>158</v>
      </c>
      <c r="K14" s="31">
        <f t="shared" si="17"/>
        <v>5.5</v>
      </c>
      <c r="L14" s="31">
        <f t="shared" si="18"/>
        <v>6</v>
      </c>
      <c r="M14" s="4">
        <f t="shared" si="8"/>
        <v>0.5</v>
      </c>
      <c r="N14" s="5">
        <v>0.82</v>
      </c>
      <c r="O14" s="5">
        <f t="shared" si="1"/>
        <v>0.18000000000000005</v>
      </c>
      <c r="P14" s="31">
        <f t="shared" si="9"/>
        <v>0.41</v>
      </c>
      <c r="Q14" s="31">
        <f t="shared" si="2"/>
        <v>0.41</v>
      </c>
      <c r="R14" s="31">
        <v>410</v>
      </c>
      <c r="S14" s="31">
        <v>1</v>
      </c>
      <c r="T14" s="31">
        <v>0.35</v>
      </c>
      <c r="U14" s="31">
        <v>0.16</v>
      </c>
      <c r="V14" s="86">
        <f t="shared" si="21"/>
        <v>32</v>
      </c>
      <c r="W14" s="31">
        <v>4</v>
      </c>
      <c r="X14" s="31"/>
      <c r="Y14" s="31">
        <f t="shared" si="24"/>
        <v>4</v>
      </c>
      <c r="Z14" s="31">
        <f t="shared" si="19"/>
        <v>87.5</v>
      </c>
      <c r="AA14" s="18">
        <v>38</v>
      </c>
      <c r="AB14" s="18" t="s">
        <v>88</v>
      </c>
      <c r="AC14" s="18" t="s">
        <v>116</v>
      </c>
      <c r="AD14" s="18" t="s">
        <v>336</v>
      </c>
      <c r="AE14" s="18">
        <v>1</v>
      </c>
      <c r="AF14" s="18">
        <v>410</v>
      </c>
      <c r="AG14" s="18" t="s">
        <v>199</v>
      </c>
      <c r="AH14" s="18" t="s">
        <v>34</v>
      </c>
      <c r="AI14" s="18">
        <f>+VLOOKUP(AH14,Leyenda!$O$4:$U$10,6,FALSE)</f>
        <v>0</v>
      </c>
      <c r="AJ14" s="18" t="str">
        <f>+VLOOKUP(AH14,Leyenda!$O$4:$U$10,7,FALSE)</f>
        <v>No Blasting need</v>
      </c>
      <c r="AK14" s="18">
        <f>+VLOOKUP(AJ14,Leyenda!$U$4:$V$10,2,FALSE)</f>
        <v>2</v>
      </c>
      <c r="AL14" s="18" t="s">
        <v>199</v>
      </c>
      <c r="AM14" s="18" t="str">
        <f t="shared" si="10"/>
        <v>R0</v>
      </c>
      <c r="AN14" s="18" t="s">
        <v>64</v>
      </c>
      <c r="AO14" s="18" t="s">
        <v>77</v>
      </c>
      <c r="AP14" s="18" t="s">
        <v>100</v>
      </c>
      <c r="AQ14" s="18" t="s">
        <v>109</v>
      </c>
      <c r="AR14" s="18" t="s">
        <v>120</v>
      </c>
      <c r="AS14" s="18" t="s">
        <v>198</v>
      </c>
      <c r="AT14" s="18" t="s">
        <v>203</v>
      </c>
      <c r="AU14" s="18"/>
      <c r="AV14" s="18">
        <f>+VLOOKUP(AN14,Leyenda!$B$30:$E$34,3,FALSE)</f>
        <v>2</v>
      </c>
      <c r="AW14" s="18">
        <f>+VLOOKUP('2. Logging Brejo Seco'!AO14,Meteorizacion,3,FALSE)</f>
        <v>3</v>
      </c>
      <c r="AX14" s="18">
        <f>+VLOOKUP('2. Logging Brejo Seco'!AP14,Apertura,3,FALSE)</f>
        <v>0</v>
      </c>
      <c r="AY14" s="18">
        <f>+VLOOKUP('2. Logging Brejo Seco'!AQ14,Leyenda!$B$55:$D$59,3,FALSE)</f>
        <v>1</v>
      </c>
      <c r="AZ14" s="18">
        <f>+VLOOKUP('2. Logging Brejo Seco'!AR14,Relleno,3,FALSE)</f>
        <v>2</v>
      </c>
      <c r="BA14" s="18">
        <f t="shared" si="23"/>
        <v>8</v>
      </c>
      <c r="BB14" s="49">
        <f t="shared" si="5"/>
        <v>7</v>
      </c>
      <c r="BC14" s="49">
        <f>VLOOKUP(AM14,Leyenda!$B$4:$D$10,3,FALSE)</f>
        <v>0</v>
      </c>
      <c r="BD14" s="50">
        <f t="shared" si="11"/>
        <v>7</v>
      </c>
      <c r="BE14" s="49">
        <f t="shared" si="12"/>
        <v>8</v>
      </c>
      <c r="BF14" s="49">
        <f>VLOOKUP(AS14,Leyenda!$B$70:$D$75,3,FALSE)</f>
        <v>15</v>
      </c>
      <c r="BG14" s="67">
        <f t="shared" si="6"/>
        <v>28</v>
      </c>
      <c r="BH14" s="67">
        <f>VLOOKUP(AM14,Leyenda!$B$4:$E$10,4,FALSE)</f>
        <v>0</v>
      </c>
      <c r="BI14" s="67">
        <f t="shared" si="13"/>
        <v>7</v>
      </c>
      <c r="BJ14" s="67">
        <f t="shared" si="7"/>
        <v>7</v>
      </c>
      <c r="BK14" s="67">
        <f>+VLOOKUP('2. Logging Brejo Seco'!AP14,Leyenda!$B$47:$E$51,4,FALSE)</f>
        <v>0</v>
      </c>
      <c r="BL14" s="67">
        <f>+VLOOKUP('2. Logging Brejo Seco'!AQ14,Leyenda!$B$55:$E$59,4,FALSE)</f>
        <v>1</v>
      </c>
      <c r="BM14" s="67">
        <f>+VLOOKUP('2. Logging Brejo Seco'!AR14,Leyenda!$B$63:$E$67,3,FALSE)</f>
        <v>2</v>
      </c>
      <c r="BN14" s="67">
        <f>+VLOOKUP('2. Logging Brejo Seco'!AO14,Leyenda!$B$39:$E$43,4,FALSE)</f>
        <v>3</v>
      </c>
      <c r="BO14" s="67">
        <f>+VLOOKUP('2. Logging Brejo Seco'!AN14,Leyenda!$B$30:$E$34,4,FALSE)</f>
        <v>3</v>
      </c>
      <c r="BP14" s="67">
        <f>VLOOKUP(AS14,Leyenda!$B$71:$E$75,4,FALSE)</f>
        <v>10</v>
      </c>
      <c r="BQ14" s="125">
        <f t="shared" si="14"/>
        <v>33</v>
      </c>
      <c r="BR14" s="85">
        <f>+BC14+BD14+BB14+BE14+BF14</f>
        <v>37</v>
      </c>
      <c r="BS14" s="240">
        <f t="shared" si="16"/>
        <v>0.18000000000000005</v>
      </c>
      <c r="BT14" s="18" t="s">
        <v>730</v>
      </c>
    </row>
    <row r="15" spans="1:72" x14ac:dyDescent="0.25">
      <c r="A15" s="18" t="s">
        <v>6</v>
      </c>
      <c r="B15" s="18">
        <v>2024</v>
      </c>
      <c r="C15" s="18" t="s">
        <v>138</v>
      </c>
      <c r="D15" s="18" t="s">
        <v>10</v>
      </c>
      <c r="E15" s="18">
        <v>50</v>
      </c>
      <c r="F15" s="18">
        <v>50</v>
      </c>
      <c r="G15" s="18" t="s">
        <v>154</v>
      </c>
      <c r="H15" s="248">
        <f t="shared" si="20"/>
        <v>50</v>
      </c>
      <c r="I15" s="135"/>
      <c r="J15" s="18" t="s">
        <v>158</v>
      </c>
      <c r="K15" s="31">
        <f t="shared" si="17"/>
        <v>6</v>
      </c>
      <c r="L15" s="31">
        <f t="shared" si="18"/>
        <v>6.5</v>
      </c>
      <c r="M15" s="4">
        <f t="shared" si="8"/>
        <v>0.5</v>
      </c>
      <c r="N15" s="5">
        <v>0.74</v>
      </c>
      <c r="O15" s="5">
        <f t="shared" si="1"/>
        <v>0.26</v>
      </c>
      <c r="P15" s="31">
        <f t="shared" si="9"/>
        <v>0.37</v>
      </c>
      <c r="Q15" s="31">
        <f t="shared" si="2"/>
        <v>0.37</v>
      </c>
      <c r="R15" s="31">
        <v>18.5</v>
      </c>
      <c r="S15" s="31">
        <v>20</v>
      </c>
      <c r="T15" s="31">
        <v>0.23</v>
      </c>
      <c r="U15" s="31">
        <v>0</v>
      </c>
      <c r="V15" s="86">
        <f t="shared" si="21"/>
        <v>0</v>
      </c>
      <c r="W15" s="31">
        <v>15</v>
      </c>
      <c r="X15" s="31"/>
      <c r="Y15" s="31">
        <f t="shared" si="24"/>
        <v>15</v>
      </c>
      <c r="Z15" s="31">
        <f t="shared" si="19"/>
        <v>15.333333333333334</v>
      </c>
      <c r="AA15" s="18">
        <v>0</v>
      </c>
      <c r="AB15" s="18" t="s">
        <v>88</v>
      </c>
      <c r="AC15" s="18" t="s">
        <v>333</v>
      </c>
      <c r="AD15" s="18" t="s">
        <v>336</v>
      </c>
      <c r="AE15" s="18">
        <v>20</v>
      </c>
      <c r="AF15" s="18">
        <v>18.5</v>
      </c>
      <c r="AG15" s="18" t="s">
        <v>200</v>
      </c>
      <c r="AH15" s="18" t="s">
        <v>34</v>
      </c>
      <c r="AI15" s="18">
        <f>+VLOOKUP(AH15,Leyenda!$O$4:$U$10,6,FALSE)</f>
        <v>0</v>
      </c>
      <c r="AJ15" s="18" t="str">
        <f>+VLOOKUP(AH15,Leyenda!$O$4:$U$10,7,FALSE)</f>
        <v>No Blasting need</v>
      </c>
      <c r="AK15" s="18">
        <f>+VLOOKUP(AJ15,Leyenda!$U$4:$V$10,2,FALSE)</f>
        <v>2</v>
      </c>
      <c r="AL15" s="18" t="s">
        <v>200</v>
      </c>
      <c r="AM15" s="18" t="str">
        <f t="shared" si="10"/>
        <v>R0</v>
      </c>
      <c r="AN15" s="18" t="s">
        <v>64</v>
      </c>
      <c r="AO15" s="18" t="s">
        <v>81</v>
      </c>
      <c r="AP15" s="18" t="s">
        <v>100</v>
      </c>
      <c r="AQ15" s="18" t="s">
        <v>111</v>
      </c>
      <c r="AR15" s="18" t="s">
        <v>120</v>
      </c>
      <c r="AS15" s="18" t="s">
        <v>198</v>
      </c>
      <c r="AT15" s="18" t="s">
        <v>204</v>
      </c>
      <c r="AU15" s="18"/>
      <c r="AV15" s="18">
        <f>+VLOOKUP(AN15,Leyenda!$B$30:$E$34,3,FALSE)</f>
        <v>2</v>
      </c>
      <c r="AW15" s="18">
        <f>+VLOOKUP('2. Logging Brejo Seco'!AO15,Meteorizacion,3,FALSE)</f>
        <v>0</v>
      </c>
      <c r="AX15" s="18">
        <f>+VLOOKUP('2. Logging Brejo Seco'!AP15,Apertura,3,FALSE)</f>
        <v>0</v>
      </c>
      <c r="AY15" s="18">
        <f>+VLOOKUP('2. Logging Brejo Seco'!AQ15,Leyenda!$B$55:$D$59,3,FALSE)</f>
        <v>0</v>
      </c>
      <c r="AZ15" s="18">
        <f>+VLOOKUP('2. Logging Brejo Seco'!AR15,Relleno,3,FALSE)</f>
        <v>2</v>
      </c>
      <c r="BA15" s="18">
        <f t="shared" si="23"/>
        <v>4</v>
      </c>
      <c r="BB15" s="49">
        <f t="shared" si="5"/>
        <v>0</v>
      </c>
      <c r="BC15" s="49">
        <f>VLOOKUP(AM15,Leyenda!$B$4:$D$10,3,FALSE)</f>
        <v>0</v>
      </c>
      <c r="BD15" s="50">
        <f t="shared" si="11"/>
        <v>4</v>
      </c>
      <c r="BE15" s="49">
        <f t="shared" si="12"/>
        <v>4</v>
      </c>
      <c r="BF15" s="49">
        <f>VLOOKUP(AS15,Leyenda!$B$70:$D$75,3,FALSE)</f>
        <v>15</v>
      </c>
      <c r="BG15" s="67">
        <f t="shared" si="6"/>
        <v>6</v>
      </c>
      <c r="BH15" s="67">
        <f>VLOOKUP(AM15,Leyenda!$B$4:$E$10,4,FALSE)</f>
        <v>0</v>
      </c>
      <c r="BI15" s="67">
        <f t="shared" si="13"/>
        <v>5</v>
      </c>
      <c r="BJ15" s="67">
        <f t="shared" si="7"/>
        <v>0</v>
      </c>
      <c r="BK15" s="67">
        <f>+VLOOKUP('2. Logging Brejo Seco'!AP15,Leyenda!$B$47:$E$51,4,FALSE)</f>
        <v>0</v>
      </c>
      <c r="BL15" s="67">
        <f>+VLOOKUP('2. Logging Brejo Seco'!AQ15,Leyenda!$B$55:$E$59,4,FALSE)</f>
        <v>0</v>
      </c>
      <c r="BM15" s="67">
        <f>+VLOOKUP('2. Logging Brejo Seco'!AR15,Leyenda!$B$63:$E$67,3,FALSE)</f>
        <v>2</v>
      </c>
      <c r="BN15" s="67">
        <f>+VLOOKUP('2. Logging Brejo Seco'!AO15,Leyenda!$B$39:$E$43,4,FALSE)</f>
        <v>0</v>
      </c>
      <c r="BO15" s="67">
        <f>+VLOOKUP('2. Logging Brejo Seco'!AN15,Leyenda!$B$30:$E$34,4,FALSE)</f>
        <v>3</v>
      </c>
      <c r="BP15" s="67">
        <f>VLOOKUP(AS15,Leyenda!$B$71:$E$75,4,FALSE)</f>
        <v>10</v>
      </c>
      <c r="BQ15" s="125">
        <f t="shared" si="14"/>
        <v>20</v>
      </c>
      <c r="BR15" s="85">
        <f t="shared" si="15"/>
        <v>23</v>
      </c>
      <c r="BS15" s="240">
        <f t="shared" si="16"/>
        <v>0.26</v>
      </c>
      <c r="BT15" s="18" t="s">
        <v>730</v>
      </c>
    </row>
    <row r="16" spans="1:72" x14ac:dyDescent="0.25">
      <c r="A16" s="18" t="s">
        <v>6</v>
      </c>
      <c r="B16" s="18">
        <v>2024</v>
      </c>
      <c r="C16" s="18" t="s">
        <v>138</v>
      </c>
      <c r="D16" s="18" t="s">
        <v>10</v>
      </c>
      <c r="E16" s="18">
        <v>40</v>
      </c>
      <c r="F16" s="18">
        <v>40</v>
      </c>
      <c r="G16" s="18" t="s">
        <v>153</v>
      </c>
      <c r="H16" s="248">
        <f t="shared" si="20"/>
        <v>40</v>
      </c>
      <c r="I16" s="135"/>
      <c r="J16" s="18" t="s">
        <v>158</v>
      </c>
      <c r="K16" s="31">
        <f t="shared" si="17"/>
        <v>6.5</v>
      </c>
      <c r="L16" s="31">
        <f t="shared" si="18"/>
        <v>7</v>
      </c>
      <c r="M16" s="4">
        <f t="shared" si="8"/>
        <v>0.5</v>
      </c>
      <c r="N16" s="5">
        <v>0.74</v>
      </c>
      <c r="O16" s="5">
        <f t="shared" si="1"/>
        <v>0.26</v>
      </c>
      <c r="P16" s="31">
        <f t="shared" si="9"/>
        <v>0.37</v>
      </c>
      <c r="Q16" s="31">
        <f t="shared" si="2"/>
        <v>0.37</v>
      </c>
      <c r="R16" s="31">
        <v>74</v>
      </c>
      <c r="S16" s="31">
        <v>5</v>
      </c>
      <c r="T16" s="31">
        <v>0.46</v>
      </c>
      <c r="U16" s="31">
        <v>0.11</v>
      </c>
      <c r="V16" s="86">
        <f t="shared" si="21"/>
        <v>22</v>
      </c>
      <c r="W16" s="31">
        <v>6</v>
      </c>
      <c r="X16" s="31"/>
      <c r="Y16" s="31">
        <f t="shared" si="24"/>
        <v>6</v>
      </c>
      <c r="Z16" s="31">
        <f t="shared" si="19"/>
        <v>76.666666666666671</v>
      </c>
      <c r="AA16" s="18">
        <v>24</v>
      </c>
      <c r="AB16" s="18" t="s">
        <v>88</v>
      </c>
      <c r="AC16" s="18" t="s">
        <v>118</v>
      </c>
      <c r="AD16" s="18" t="s">
        <v>336</v>
      </c>
      <c r="AE16" s="18">
        <v>5</v>
      </c>
      <c r="AF16" s="18">
        <v>74</v>
      </c>
      <c r="AG16" s="18" t="s">
        <v>228</v>
      </c>
      <c r="AH16" s="18" t="s">
        <v>34</v>
      </c>
      <c r="AI16" s="18">
        <f>+VLOOKUP(AH16,Leyenda!$O$4:$U$10,6,FALSE)</f>
        <v>0</v>
      </c>
      <c r="AJ16" s="18" t="str">
        <f>+VLOOKUP(AH16,Leyenda!$O$4:$U$10,7,FALSE)</f>
        <v>No Blasting need</v>
      </c>
      <c r="AK16" s="18">
        <f>+VLOOKUP(AJ16,Leyenda!$U$4:$V$10,2,FALSE)</f>
        <v>2</v>
      </c>
      <c r="AL16" s="18" t="s">
        <v>27</v>
      </c>
      <c r="AM16" s="18" t="str">
        <f t="shared" si="10"/>
        <v>R0</v>
      </c>
      <c r="AN16" s="18" t="s">
        <v>64</v>
      </c>
      <c r="AO16" s="18" t="s">
        <v>77</v>
      </c>
      <c r="AP16" s="18" t="s">
        <v>100</v>
      </c>
      <c r="AQ16" s="18" t="s">
        <v>109</v>
      </c>
      <c r="AR16" s="18" t="s">
        <v>118</v>
      </c>
      <c r="AS16" s="18" t="s">
        <v>198</v>
      </c>
      <c r="AT16" s="18" t="s">
        <v>205</v>
      </c>
      <c r="AU16" s="18"/>
      <c r="AV16" s="18">
        <f>+VLOOKUP(AN16,Leyenda!$B$30:$E$34,3,FALSE)</f>
        <v>2</v>
      </c>
      <c r="AW16" s="18">
        <f>+VLOOKUP('2. Logging Brejo Seco'!AO16,Meteorizacion,3,FALSE)</f>
        <v>3</v>
      </c>
      <c r="AX16" s="18">
        <f>+VLOOKUP('2. Logging Brejo Seco'!AP16,Apertura,3,FALSE)</f>
        <v>0</v>
      </c>
      <c r="AY16" s="18">
        <f>+VLOOKUP('2. Logging Brejo Seco'!AQ16,Leyenda!$B$55:$D$59,3,FALSE)</f>
        <v>1</v>
      </c>
      <c r="AZ16" s="18">
        <f>+VLOOKUP('2. Logging Brejo Seco'!AR16,Relleno,3,FALSE)</f>
        <v>2</v>
      </c>
      <c r="BA16" s="18">
        <f t="shared" si="23"/>
        <v>8</v>
      </c>
      <c r="BB16" s="49">
        <f t="shared" si="5"/>
        <v>5</v>
      </c>
      <c r="BC16" s="49">
        <f>VLOOKUP(AM16,Leyenda!$B$4:$D$10,3,FALSE)</f>
        <v>0</v>
      </c>
      <c r="BD16" s="50">
        <f t="shared" si="11"/>
        <v>7</v>
      </c>
      <c r="BE16" s="49">
        <f t="shared" si="12"/>
        <v>8</v>
      </c>
      <c r="BF16" s="49">
        <f>VLOOKUP(AS16,Leyenda!$B$70:$D$75,3,FALSE)</f>
        <v>15</v>
      </c>
      <c r="BG16" s="67">
        <f t="shared" si="6"/>
        <v>23</v>
      </c>
      <c r="BH16" s="67">
        <f>VLOOKUP(AM16,Leyenda!$B$4:$E$10,4,FALSE)</f>
        <v>0</v>
      </c>
      <c r="BI16" s="67">
        <f t="shared" si="13"/>
        <v>7</v>
      </c>
      <c r="BJ16" s="67">
        <f t="shared" si="7"/>
        <v>5</v>
      </c>
      <c r="BK16" s="67">
        <f>+VLOOKUP('2. Logging Brejo Seco'!AP16,Leyenda!$B$47:$E$51,4,FALSE)</f>
        <v>0</v>
      </c>
      <c r="BL16" s="67">
        <f>+VLOOKUP('2. Logging Brejo Seco'!AQ16,Leyenda!$B$55:$E$59,4,FALSE)</f>
        <v>1</v>
      </c>
      <c r="BM16" s="67">
        <f>+VLOOKUP('2. Logging Brejo Seco'!AR16,Leyenda!$B$63:$E$67,3,FALSE)</f>
        <v>2</v>
      </c>
      <c r="BN16" s="67">
        <f>+VLOOKUP('2. Logging Brejo Seco'!AO16,Leyenda!$B$39:$E$43,4,FALSE)</f>
        <v>3</v>
      </c>
      <c r="BO16" s="67">
        <f>+VLOOKUP('2. Logging Brejo Seco'!AN16,Leyenda!$B$30:$E$34,4,FALSE)</f>
        <v>3</v>
      </c>
      <c r="BP16" s="67">
        <f>VLOOKUP(AS16,Leyenda!$B$71:$E$75,4,FALSE)</f>
        <v>10</v>
      </c>
      <c r="BQ16" s="125">
        <f t="shared" si="14"/>
        <v>31</v>
      </c>
      <c r="BR16" s="85">
        <f t="shared" si="15"/>
        <v>35</v>
      </c>
      <c r="BS16" s="240">
        <f t="shared" si="16"/>
        <v>0.26</v>
      </c>
      <c r="BT16" s="18" t="s">
        <v>730</v>
      </c>
    </row>
    <row r="17" spans="1:72" x14ac:dyDescent="0.25">
      <c r="A17" s="18" t="s">
        <v>6</v>
      </c>
      <c r="B17" s="18">
        <v>2024</v>
      </c>
      <c r="C17" s="18" t="s">
        <v>138</v>
      </c>
      <c r="D17" s="18" t="s">
        <v>10</v>
      </c>
      <c r="E17" s="18">
        <v>40</v>
      </c>
      <c r="F17" s="18">
        <v>40</v>
      </c>
      <c r="G17" s="18" t="s">
        <v>153</v>
      </c>
      <c r="H17" s="248">
        <f t="shared" si="20"/>
        <v>40</v>
      </c>
      <c r="I17" s="135"/>
      <c r="J17" s="18" t="s">
        <v>158</v>
      </c>
      <c r="K17" s="31">
        <f t="shared" si="17"/>
        <v>7</v>
      </c>
      <c r="L17" s="31">
        <f t="shared" si="18"/>
        <v>7.5</v>
      </c>
      <c r="M17" s="4">
        <f t="shared" si="8"/>
        <v>0.5</v>
      </c>
      <c r="N17" s="5">
        <v>0.98</v>
      </c>
      <c r="O17" s="5">
        <f t="shared" si="1"/>
        <v>2.0000000000000018E-2</v>
      </c>
      <c r="P17" s="31">
        <f t="shared" si="9"/>
        <v>0.49</v>
      </c>
      <c r="Q17" s="31">
        <f t="shared" si="2"/>
        <v>0.49</v>
      </c>
      <c r="R17" s="31">
        <v>98</v>
      </c>
      <c r="S17" s="31">
        <v>5</v>
      </c>
      <c r="T17" s="31">
        <f>0.11+0.32</f>
        <v>0.43</v>
      </c>
      <c r="U17" s="31">
        <f>0.11+0.1</f>
        <v>0.21000000000000002</v>
      </c>
      <c r="V17" s="86">
        <f t="shared" si="21"/>
        <v>42.000000000000007</v>
      </c>
      <c r="W17" s="31">
        <v>5</v>
      </c>
      <c r="X17" s="31"/>
      <c r="Y17" s="31">
        <f t="shared" si="24"/>
        <v>5</v>
      </c>
      <c r="Z17" s="31">
        <f t="shared" si="19"/>
        <v>86</v>
      </c>
      <c r="AA17" s="18">
        <v>50</v>
      </c>
      <c r="AB17" s="18" t="s">
        <v>88</v>
      </c>
      <c r="AC17" s="18" t="s">
        <v>118</v>
      </c>
      <c r="AD17" s="18" t="s">
        <v>336</v>
      </c>
      <c r="AE17" s="18">
        <v>5</v>
      </c>
      <c r="AF17" s="18">
        <v>98</v>
      </c>
      <c r="AG17" s="18" t="s">
        <v>29</v>
      </c>
      <c r="AH17" s="18" t="str">
        <f>+AG17</f>
        <v>R2</v>
      </c>
      <c r="AI17" s="18" t="str">
        <f>+VLOOKUP(AH17,Leyenda!$O$4:$U$10,6,FALSE)</f>
        <v>0,25-0,35</v>
      </c>
      <c r="AJ17" s="18" t="str">
        <f>+VLOOKUP(AH17,Leyenda!$O$4:$U$10,7,FALSE)</f>
        <v>No Blasting need</v>
      </c>
      <c r="AK17" s="18">
        <f>+VLOOKUP(AJ17,Leyenda!$U$4:$V$10,2,FALSE)</f>
        <v>2</v>
      </c>
      <c r="AL17" s="18" t="s">
        <v>27</v>
      </c>
      <c r="AM17" s="18" t="str">
        <f t="shared" si="10"/>
        <v>R2</v>
      </c>
      <c r="AN17" s="18" t="s">
        <v>64</v>
      </c>
      <c r="AO17" s="18" t="s">
        <v>79</v>
      </c>
      <c r="AP17" s="18" t="s">
        <v>100</v>
      </c>
      <c r="AQ17" s="18" t="s">
        <v>107</v>
      </c>
      <c r="AR17" s="18" t="s">
        <v>120</v>
      </c>
      <c r="AS17" s="18" t="s">
        <v>198</v>
      </c>
      <c r="AT17" s="18" t="s">
        <v>206</v>
      </c>
      <c r="AU17" s="18"/>
      <c r="AV17" s="18">
        <f>+VLOOKUP(AN17,Leyenda!$B$30:$E$34,3,FALSE)</f>
        <v>2</v>
      </c>
      <c r="AW17" s="18">
        <f>+VLOOKUP('2. Logging Brejo Seco'!AO17,Meteorizacion,3,FALSE)</f>
        <v>1</v>
      </c>
      <c r="AX17" s="18">
        <f>+VLOOKUP('2. Logging Brejo Seco'!AP17,Apertura,3,FALSE)</f>
        <v>0</v>
      </c>
      <c r="AY17" s="18">
        <f>+VLOOKUP('2. Logging Brejo Seco'!AQ17,Leyenda!$B$55:$D$59,3,FALSE)</f>
        <v>3</v>
      </c>
      <c r="AZ17" s="18">
        <f>+VLOOKUP('2. Logging Brejo Seco'!AR17,Relleno,3,FALSE)</f>
        <v>2</v>
      </c>
      <c r="BA17" s="18">
        <f t="shared" si="23"/>
        <v>8</v>
      </c>
      <c r="BB17" s="49">
        <f t="shared" si="5"/>
        <v>9</v>
      </c>
      <c r="BC17" s="49">
        <f>VLOOKUP(AM17,Leyenda!$B$4:$D$10,3,FALSE)</f>
        <v>2</v>
      </c>
      <c r="BD17" s="50">
        <f t="shared" si="11"/>
        <v>7</v>
      </c>
      <c r="BE17" s="49">
        <f t="shared" si="12"/>
        <v>8</v>
      </c>
      <c r="BF17" s="49">
        <f>VLOOKUP(AS17,Leyenda!$B$70:$D$75,3,FALSE)</f>
        <v>15</v>
      </c>
      <c r="BG17" s="67">
        <f t="shared" si="6"/>
        <v>33</v>
      </c>
      <c r="BH17" s="67">
        <f>VLOOKUP(AM17,Leyenda!$B$4:$E$10,4,FALSE)</f>
        <v>2</v>
      </c>
      <c r="BI17" s="67">
        <f t="shared" si="13"/>
        <v>7</v>
      </c>
      <c r="BJ17" s="67">
        <f t="shared" si="7"/>
        <v>9</v>
      </c>
      <c r="BK17" s="67">
        <f>+VLOOKUP('2. Logging Brejo Seco'!AP17,Leyenda!$B$47:$E$51,4,FALSE)</f>
        <v>0</v>
      </c>
      <c r="BL17" s="67">
        <f>+VLOOKUP('2. Logging Brejo Seco'!AQ17,Leyenda!$B$55:$E$59,4,FALSE)</f>
        <v>3</v>
      </c>
      <c r="BM17" s="67">
        <f>+VLOOKUP('2. Logging Brejo Seco'!AR17,Leyenda!$B$63:$E$67,3,FALSE)</f>
        <v>2</v>
      </c>
      <c r="BN17" s="67">
        <f>+VLOOKUP('2. Logging Brejo Seco'!AO17,Leyenda!$B$39:$E$43,4,FALSE)</f>
        <v>1</v>
      </c>
      <c r="BO17" s="67">
        <f>+VLOOKUP('2. Logging Brejo Seco'!AN17,Leyenda!$B$30:$E$34,4,FALSE)</f>
        <v>3</v>
      </c>
      <c r="BP17" s="67">
        <f>VLOOKUP(AS17,Leyenda!$B$71:$E$75,4,FALSE)</f>
        <v>10</v>
      </c>
      <c r="BQ17" s="125">
        <f t="shared" si="14"/>
        <v>37</v>
      </c>
      <c r="BR17" s="85">
        <f t="shared" si="15"/>
        <v>41</v>
      </c>
      <c r="BS17" s="240">
        <f t="shared" si="16"/>
        <v>2.0000000000000018E-2</v>
      </c>
      <c r="BT17" s="18"/>
    </row>
    <row r="18" spans="1:72" x14ac:dyDescent="0.25">
      <c r="A18" s="18" t="s">
        <v>6</v>
      </c>
      <c r="B18" s="18">
        <v>2024</v>
      </c>
      <c r="C18" s="18" t="s">
        <v>138</v>
      </c>
      <c r="D18" s="18" t="s">
        <v>10</v>
      </c>
      <c r="E18" s="18">
        <v>40</v>
      </c>
      <c r="F18" s="18">
        <v>40</v>
      </c>
      <c r="G18" s="18" t="s">
        <v>153</v>
      </c>
      <c r="H18" s="248">
        <f t="shared" si="20"/>
        <v>40</v>
      </c>
      <c r="I18" s="135"/>
      <c r="J18" s="18" t="s">
        <v>158</v>
      </c>
      <c r="K18" s="31">
        <f t="shared" si="17"/>
        <v>7.5</v>
      </c>
      <c r="L18" s="31">
        <f t="shared" si="18"/>
        <v>8</v>
      </c>
      <c r="M18" s="4">
        <f t="shared" si="8"/>
        <v>0.5</v>
      </c>
      <c r="N18" s="5">
        <v>1</v>
      </c>
      <c r="O18" s="5">
        <f t="shared" si="1"/>
        <v>0</v>
      </c>
      <c r="P18" s="31">
        <f t="shared" si="9"/>
        <v>0.5</v>
      </c>
      <c r="Q18" s="31">
        <f t="shared" si="2"/>
        <v>0.5</v>
      </c>
      <c r="R18" s="31">
        <v>50</v>
      </c>
      <c r="S18" s="31">
        <v>10</v>
      </c>
      <c r="T18" s="31">
        <v>0.45</v>
      </c>
      <c r="U18" s="31">
        <v>0.28000000000000003</v>
      </c>
      <c r="V18" s="86">
        <f t="shared" si="21"/>
        <v>56.000000000000007</v>
      </c>
      <c r="W18" s="31">
        <v>4</v>
      </c>
      <c r="X18" s="31"/>
      <c r="Y18" s="31">
        <f t="shared" si="24"/>
        <v>4</v>
      </c>
      <c r="Z18" s="31">
        <f t="shared" si="19"/>
        <v>112.5</v>
      </c>
      <c r="AA18" s="18">
        <v>68</v>
      </c>
      <c r="AB18" s="18" t="s">
        <v>88</v>
      </c>
      <c r="AC18" s="18" t="s">
        <v>120</v>
      </c>
      <c r="AD18" s="18" t="s">
        <v>336</v>
      </c>
      <c r="AE18" s="18">
        <v>10</v>
      </c>
      <c r="AF18" s="18">
        <v>50</v>
      </c>
      <c r="AG18" s="18" t="s">
        <v>27</v>
      </c>
      <c r="AH18" s="18" t="str">
        <f t="shared" ref="AH18:AH81" si="25">+AG18</f>
        <v>R3</v>
      </c>
      <c r="AI18" s="18" t="str">
        <f>+VLOOKUP(AH18,Leyenda!$O$4:$U$10,6,FALSE)</f>
        <v>0,35-0,50</v>
      </c>
      <c r="AJ18" s="18" t="str">
        <f>+VLOOKUP(AH18,Leyenda!$O$4:$U$10,7,FALSE)</f>
        <v>Easy to blast</v>
      </c>
      <c r="AK18" s="18">
        <f>+VLOOKUP(AJ18,Leyenda!$U$4:$V$10,2,FALSE)</f>
        <v>3</v>
      </c>
      <c r="AL18" s="18" t="s">
        <v>27</v>
      </c>
      <c r="AM18" s="18" t="str">
        <f t="shared" si="10"/>
        <v>R3</v>
      </c>
      <c r="AN18" s="18" t="s">
        <v>64</v>
      </c>
      <c r="AO18" s="18" t="s">
        <v>77</v>
      </c>
      <c r="AP18" s="18" t="s">
        <v>96</v>
      </c>
      <c r="AQ18" s="18" t="s">
        <v>107</v>
      </c>
      <c r="AR18" s="18" t="s">
        <v>118</v>
      </c>
      <c r="AS18" s="18" t="s">
        <v>198</v>
      </c>
      <c r="AT18" s="18" t="s">
        <v>207</v>
      </c>
      <c r="AU18" s="18"/>
      <c r="AV18" s="18">
        <f>+VLOOKUP(AN18,Leyenda!$B$30:$E$34,3,FALSE)</f>
        <v>2</v>
      </c>
      <c r="AW18" s="18">
        <f>+VLOOKUP('2. Logging Brejo Seco'!AO18,Meteorizacion,3,FALSE)</f>
        <v>3</v>
      </c>
      <c r="AX18" s="18">
        <f>+VLOOKUP('2. Logging Brejo Seco'!AP18,Apertura,3,FALSE)</f>
        <v>1</v>
      </c>
      <c r="AY18" s="18">
        <f>+VLOOKUP('2. Logging Brejo Seco'!AQ18,Leyenda!$B$55:$D$59,3,FALSE)</f>
        <v>3</v>
      </c>
      <c r="AZ18" s="18">
        <f>+VLOOKUP('2. Logging Brejo Seco'!AR18,Relleno,3,FALSE)</f>
        <v>2</v>
      </c>
      <c r="BA18" s="18">
        <f t="shared" si="23"/>
        <v>11</v>
      </c>
      <c r="BB18" s="49">
        <f t="shared" si="5"/>
        <v>12</v>
      </c>
      <c r="BC18" s="49">
        <f>VLOOKUP(AM18,Leyenda!$B$4:$D$10,3,FALSE)</f>
        <v>4</v>
      </c>
      <c r="BD18" s="50">
        <f t="shared" si="11"/>
        <v>8</v>
      </c>
      <c r="BE18" s="49">
        <f t="shared" si="12"/>
        <v>11</v>
      </c>
      <c r="BF18" s="49">
        <f>VLOOKUP(AS18,Leyenda!$B$70:$D$75,3,FALSE)</f>
        <v>15</v>
      </c>
      <c r="BG18" s="67">
        <f t="shared" si="6"/>
        <v>44.5</v>
      </c>
      <c r="BH18" s="67">
        <f>VLOOKUP(AM18,Leyenda!$B$4:$E$10,4,FALSE)</f>
        <v>4</v>
      </c>
      <c r="BI18" s="67">
        <f t="shared" si="13"/>
        <v>9</v>
      </c>
      <c r="BJ18" s="67">
        <f t="shared" si="7"/>
        <v>12</v>
      </c>
      <c r="BK18" s="67">
        <f>+VLOOKUP('2. Logging Brejo Seco'!AP18,Leyenda!$B$47:$E$51,4,FALSE)</f>
        <v>1</v>
      </c>
      <c r="BL18" s="67">
        <f>+VLOOKUP('2. Logging Brejo Seco'!AQ18,Leyenda!$B$55:$E$59,4,FALSE)</f>
        <v>3</v>
      </c>
      <c r="BM18" s="67">
        <f>+VLOOKUP('2. Logging Brejo Seco'!AR18,Leyenda!$B$63:$E$67,3,FALSE)</f>
        <v>2</v>
      </c>
      <c r="BN18" s="67">
        <f>+VLOOKUP('2. Logging Brejo Seco'!AO18,Leyenda!$B$39:$E$43,4,FALSE)</f>
        <v>3</v>
      </c>
      <c r="BO18" s="67">
        <f>+VLOOKUP('2. Logging Brejo Seco'!AN18,Leyenda!$B$30:$E$34,4,FALSE)</f>
        <v>3</v>
      </c>
      <c r="BP18" s="67">
        <f>VLOOKUP(AS18,Leyenda!$B$71:$E$75,4,FALSE)</f>
        <v>10</v>
      </c>
      <c r="BQ18" s="125">
        <f t="shared" si="14"/>
        <v>47</v>
      </c>
      <c r="BR18" s="85">
        <f t="shared" si="15"/>
        <v>50</v>
      </c>
      <c r="BS18" s="240">
        <f t="shared" si="16"/>
        <v>0</v>
      </c>
      <c r="BT18" s="18"/>
    </row>
    <row r="19" spans="1:72" x14ac:dyDescent="0.25">
      <c r="A19" s="18" t="s">
        <v>6</v>
      </c>
      <c r="B19" s="18">
        <v>2024</v>
      </c>
      <c r="C19" s="18" t="s">
        <v>138</v>
      </c>
      <c r="D19" s="18" t="s">
        <v>10</v>
      </c>
      <c r="E19" s="18">
        <v>40</v>
      </c>
      <c r="F19" s="18">
        <v>40</v>
      </c>
      <c r="G19" s="18" t="s">
        <v>153</v>
      </c>
      <c r="H19" s="248">
        <f t="shared" si="20"/>
        <v>40</v>
      </c>
      <c r="I19" s="135"/>
      <c r="J19" s="18" t="s">
        <v>158</v>
      </c>
      <c r="K19" s="31">
        <f t="shared" si="17"/>
        <v>8</v>
      </c>
      <c r="L19" s="31">
        <f t="shared" si="18"/>
        <v>8.5</v>
      </c>
      <c r="M19" s="4">
        <f t="shared" si="8"/>
        <v>0.5</v>
      </c>
      <c r="N19" s="5">
        <v>1</v>
      </c>
      <c r="O19" s="5">
        <f t="shared" si="1"/>
        <v>0</v>
      </c>
      <c r="P19" s="31">
        <f t="shared" si="9"/>
        <v>0.5</v>
      </c>
      <c r="Q19" s="31">
        <f t="shared" si="2"/>
        <v>0.5</v>
      </c>
      <c r="R19" s="31">
        <v>100</v>
      </c>
      <c r="S19" s="31">
        <v>5</v>
      </c>
      <c r="T19" s="31">
        <v>0.47</v>
      </c>
      <c r="U19" s="31">
        <v>0.31</v>
      </c>
      <c r="V19" s="86">
        <f t="shared" si="21"/>
        <v>62</v>
      </c>
      <c r="W19" s="31">
        <v>2</v>
      </c>
      <c r="X19" s="31"/>
      <c r="Y19" s="31">
        <f t="shared" si="24"/>
        <v>2</v>
      </c>
      <c r="Z19" s="31">
        <f t="shared" si="19"/>
        <v>235</v>
      </c>
      <c r="AA19" s="18">
        <v>86</v>
      </c>
      <c r="AB19" s="18" t="s">
        <v>88</v>
      </c>
      <c r="AC19" s="18" t="s">
        <v>118</v>
      </c>
      <c r="AD19" s="18" t="s">
        <v>336</v>
      </c>
      <c r="AE19" s="18">
        <v>5</v>
      </c>
      <c r="AF19" s="18">
        <v>100</v>
      </c>
      <c r="AG19" s="18" t="s">
        <v>27</v>
      </c>
      <c r="AH19" s="18" t="str">
        <f t="shared" si="25"/>
        <v>R3</v>
      </c>
      <c r="AI19" s="18" t="str">
        <f>+VLOOKUP(AH19,Leyenda!$O$4:$U$10,6,FALSE)</f>
        <v>0,35-0,50</v>
      </c>
      <c r="AJ19" s="18" t="str">
        <f>+VLOOKUP(AH19,Leyenda!$O$4:$U$10,7,FALSE)</f>
        <v>Easy to blast</v>
      </c>
      <c r="AK19" s="18">
        <f>+VLOOKUP(AJ19,Leyenda!$U$4:$V$10,2,FALSE)</f>
        <v>3</v>
      </c>
      <c r="AL19" s="18" t="s">
        <v>27</v>
      </c>
      <c r="AM19" s="18" t="str">
        <f t="shared" si="10"/>
        <v>R3</v>
      </c>
      <c r="AN19" s="18" t="s">
        <v>64</v>
      </c>
      <c r="AO19" s="18" t="s">
        <v>77</v>
      </c>
      <c r="AP19" s="18" t="s">
        <v>96</v>
      </c>
      <c r="AQ19" s="18" t="s">
        <v>107</v>
      </c>
      <c r="AR19" s="18" t="s">
        <v>118</v>
      </c>
      <c r="AS19" s="18" t="s">
        <v>198</v>
      </c>
      <c r="AT19" s="18" t="s">
        <v>205</v>
      </c>
      <c r="AU19" s="18"/>
      <c r="AV19" s="18">
        <f>+VLOOKUP(AN19,Leyenda!$B$30:$E$34,3,FALSE)</f>
        <v>2</v>
      </c>
      <c r="AW19" s="18">
        <f>+VLOOKUP('2. Logging Brejo Seco'!AO19,Meteorizacion,3,FALSE)</f>
        <v>3</v>
      </c>
      <c r="AX19" s="18">
        <f>+VLOOKUP('2. Logging Brejo Seco'!AP19,Apertura,3,FALSE)</f>
        <v>1</v>
      </c>
      <c r="AY19" s="18">
        <f>+VLOOKUP('2. Logging Brejo Seco'!AQ19,Leyenda!$B$55:$D$59,3,FALSE)</f>
        <v>3</v>
      </c>
      <c r="AZ19" s="18">
        <f>+VLOOKUP('2. Logging Brejo Seco'!AR19,Relleno,3,FALSE)</f>
        <v>2</v>
      </c>
      <c r="BA19" s="18">
        <f t="shared" si="23"/>
        <v>11</v>
      </c>
      <c r="BB19" s="49">
        <f t="shared" si="5"/>
        <v>13</v>
      </c>
      <c r="BC19" s="49">
        <f>VLOOKUP(AM19,Leyenda!$B$4:$D$10,3,FALSE)</f>
        <v>4</v>
      </c>
      <c r="BD19" s="50">
        <f t="shared" si="11"/>
        <v>10</v>
      </c>
      <c r="BE19" s="49">
        <f t="shared" si="12"/>
        <v>11</v>
      </c>
      <c r="BF19" s="49">
        <f>VLOOKUP(AS19,Leyenda!$B$70:$D$75,3,FALSE)</f>
        <v>15</v>
      </c>
      <c r="BG19" s="67">
        <f t="shared" si="6"/>
        <v>47.5</v>
      </c>
      <c r="BH19" s="67">
        <f>VLOOKUP(AM19,Leyenda!$B$4:$E$10,4,FALSE)</f>
        <v>4</v>
      </c>
      <c r="BI19" s="67">
        <f t="shared" si="13"/>
        <v>13</v>
      </c>
      <c r="BJ19" s="67">
        <f t="shared" si="7"/>
        <v>13</v>
      </c>
      <c r="BK19" s="67">
        <f>+VLOOKUP('2. Logging Brejo Seco'!AP19,Leyenda!$B$47:$E$51,4,FALSE)</f>
        <v>1</v>
      </c>
      <c r="BL19" s="67">
        <f>+VLOOKUP('2. Logging Brejo Seco'!AQ19,Leyenda!$B$55:$E$59,4,FALSE)</f>
        <v>3</v>
      </c>
      <c r="BM19" s="67">
        <f>+VLOOKUP('2. Logging Brejo Seco'!AR19,Leyenda!$B$63:$E$67,3,FALSE)</f>
        <v>2</v>
      </c>
      <c r="BN19" s="67">
        <f>+VLOOKUP('2. Logging Brejo Seco'!AO19,Leyenda!$B$39:$E$43,4,FALSE)</f>
        <v>3</v>
      </c>
      <c r="BO19" s="67">
        <f>+VLOOKUP('2. Logging Brejo Seco'!AN19,Leyenda!$B$30:$E$34,4,FALSE)</f>
        <v>3</v>
      </c>
      <c r="BP19" s="67">
        <f>VLOOKUP(AS19,Leyenda!$B$71:$E$75,4,FALSE)</f>
        <v>10</v>
      </c>
      <c r="BQ19" s="125">
        <f t="shared" si="14"/>
        <v>52</v>
      </c>
      <c r="BR19" s="85">
        <f t="shared" si="15"/>
        <v>53</v>
      </c>
      <c r="BS19" s="240">
        <f t="shared" si="16"/>
        <v>0</v>
      </c>
      <c r="BT19" s="18"/>
    </row>
    <row r="20" spans="1:72" x14ac:dyDescent="0.25">
      <c r="A20" s="18" t="s">
        <v>6</v>
      </c>
      <c r="B20" s="18">
        <v>2024</v>
      </c>
      <c r="C20" s="18" t="s">
        <v>138</v>
      </c>
      <c r="D20" s="18" t="s">
        <v>10</v>
      </c>
      <c r="E20" s="18">
        <v>40</v>
      </c>
      <c r="F20" s="18">
        <v>40</v>
      </c>
      <c r="G20" s="18" t="s">
        <v>153</v>
      </c>
      <c r="H20" s="248">
        <f t="shared" si="20"/>
        <v>40</v>
      </c>
      <c r="I20" s="135"/>
      <c r="J20" s="18" t="s">
        <v>158</v>
      </c>
      <c r="K20" s="31">
        <f t="shared" si="17"/>
        <v>8.5</v>
      </c>
      <c r="L20" s="31">
        <f t="shared" si="18"/>
        <v>9</v>
      </c>
      <c r="M20" s="4">
        <f t="shared" si="8"/>
        <v>0.5</v>
      </c>
      <c r="N20" s="5">
        <v>1</v>
      </c>
      <c r="O20" s="5">
        <f t="shared" si="1"/>
        <v>0</v>
      </c>
      <c r="P20" s="31">
        <f t="shared" si="9"/>
        <v>0.5</v>
      </c>
      <c r="Q20" s="31">
        <f t="shared" si="2"/>
        <v>0.5</v>
      </c>
      <c r="R20" s="31">
        <v>500</v>
      </c>
      <c r="S20" s="31">
        <v>1</v>
      </c>
      <c r="T20" s="31">
        <v>0.35</v>
      </c>
      <c r="U20" s="31">
        <v>0.16</v>
      </c>
      <c r="V20" s="86">
        <f t="shared" si="21"/>
        <v>32</v>
      </c>
      <c r="W20" s="31">
        <v>5</v>
      </c>
      <c r="X20" s="31"/>
      <c r="Y20" s="31">
        <f t="shared" si="24"/>
        <v>5</v>
      </c>
      <c r="Z20" s="31">
        <f t="shared" si="19"/>
        <v>70</v>
      </c>
      <c r="AA20" s="18">
        <v>34</v>
      </c>
      <c r="AB20" s="18" t="s">
        <v>88</v>
      </c>
      <c r="AC20" s="18" t="s">
        <v>116</v>
      </c>
      <c r="AD20" s="18" t="s">
        <v>336</v>
      </c>
      <c r="AE20" s="18">
        <v>1</v>
      </c>
      <c r="AF20" s="18">
        <v>500</v>
      </c>
      <c r="AG20" s="18" t="s">
        <v>29</v>
      </c>
      <c r="AH20" s="18" t="str">
        <f t="shared" si="25"/>
        <v>R2</v>
      </c>
      <c r="AI20" s="18" t="str">
        <f>+VLOOKUP(AH20,Leyenda!$O$4:$U$10,6,FALSE)</f>
        <v>0,25-0,35</v>
      </c>
      <c r="AJ20" s="18" t="str">
        <f>+VLOOKUP(AH20,Leyenda!$O$4:$U$10,7,FALSE)</f>
        <v>No Blasting need</v>
      </c>
      <c r="AK20" s="18">
        <f>+VLOOKUP(AJ20,Leyenda!$U$4:$V$10,2,FALSE)</f>
        <v>2</v>
      </c>
      <c r="AL20" s="18" t="s">
        <v>27</v>
      </c>
      <c r="AM20" s="18" t="str">
        <f t="shared" si="10"/>
        <v>R2</v>
      </c>
      <c r="AN20" s="18" t="s">
        <v>64</v>
      </c>
      <c r="AO20" s="18" t="s">
        <v>79</v>
      </c>
      <c r="AP20" s="18" t="s">
        <v>100</v>
      </c>
      <c r="AQ20" s="18" t="s">
        <v>109</v>
      </c>
      <c r="AR20" s="18" t="s">
        <v>120</v>
      </c>
      <c r="AS20" s="18" t="s">
        <v>198</v>
      </c>
      <c r="AT20" s="18"/>
      <c r="AU20" s="18"/>
      <c r="AV20" s="18">
        <f>+VLOOKUP(AN20,Leyenda!$B$30:$E$34,3,FALSE)</f>
        <v>2</v>
      </c>
      <c r="AW20" s="18">
        <f>+VLOOKUP('2. Logging Brejo Seco'!AO20,Meteorizacion,3,FALSE)</f>
        <v>1</v>
      </c>
      <c r="AX20" s="18">
        <f>+VLOOKUP('2. Logging Brejo Seco'!AP20,Apertura,3,FALSE)</f>
        <v>0</v>
      </c>
      <c r="AY20" s="18">
        <f>+VLOOKUP('2. Logging Brejo Seco'!AQ20,Leyenda!$B$55:$D$59,3,FALSE)</f>
        <v>1</v>
      </c>
      <c r="AZ20" s="18">
        <f>+VLOOKUP('2. Logging Brejo Seco'!AR20,Relleno,3,FALSE)</f>
        <v>2</v>
      </c>
      <c r="BA20" s="18">
        <f t="shared" si="23"/>
        <v>6</v>
      </c>
      <c r="BB20" s="49">
        <f t="shared" si="5"/>
        <v>7</v>
      </c>
      <c r="BC20" s="49">
        <f>VLOOKUP(AM20,Leyenda!$B$4:$D$10,3,FALSE)</f>
        <v>2</v>
      </c>
      <c r="BD20" s="50">
        <f t="shared" si="11"/>
        <v>6</v>
      </c>
      <c r="BE20" s="49">
        <f t="shared" si="12"/>
        <v>6</v>
      </c>
      <c r="BF20" s="49">
        <f>VLOOKUP(AS20,Leyenda!$B$70:$D$75,3,FALSE)</f>
        <v>15</v>
      </c>
      <c r="BG20" s="67">
        <f t="shared" si="6"/>
        <v>25</v>
      </c>
      <c r="BH20" s="67">
        <f>VLOOKUP(AM20,Leyenda!$B$4:$E$10,4,FALSE)</f>
        <v>2</v>
      </c>
      <c r="BI20" s="67">
        <f t="shared" si="13"/>
        <v>6</v>
      </c>
      <c r="BJ20" s="67">
        <f t="shared" si="7"/>
        <v>7</v>
      </c>
      <c r="BK20" s="67">
        <f>+VLOOKUP('2. Logging Brejo Seco'!AP20,Leyenda!$B$47:$E$51,4,FALSE)</f>
        <v>0</v>
      </c>
      <c r="BL20" s="67">
        <f>+VLOOKUP('2. Logging Brejo Seco'!AQ20,Leyenda!$B$55:$E$59,4,FALSE)</f>
        <v>1</v>
      </c>
      <c r="BM20" s="67">
        <f>+VLOOKUP('2. Logging Brejo Seco'!AR20,Leyenda!$B$63:$E$67,3,FALSE)</f>
        <v>2</v>
      </c>
      <c r="BN20" s="67">
        <f>+VLOOKUP('2. Logging Brejo Seco'!AO20,Leyenda!$B$39:$E$43,4,FALSE)</f>
        <v>1</v>
      </c>
      <c r="BO20" s="67">
        <f>+VLOOKUP('2. Logging Brejo Seco'!AN20,Leyenda!$B$30:$E$34,4,FALSE)</f>
        <v>3</v>
      </c>
      <c r="BP20" s="67">
        <f>VLOOKUP(AS20,Leyenda!$B$71:$E$75,4,FALSE)</f>
        <v>10</v>
      </c>
      <c r="BQ20" s="125">
        <f t="shared" si="14"/>
        <v>32</v>
      </c>
      <c r="BR20" s="85">
        <f t="shared" si="15"/>
        <v>36</v>
      </c>
      <c r="BS20" s="240">
        <f t="shared" si="16"/>
        <v>0</v>
      </c>
      <c r="BT20" s="18"/>
    </row>
    <row r="21" spans="1:72" x14ac:dyDescent="0.25">
      <c r="A21" s="18" t="s">
        <v>6</v>
      </c>
      <c r="B21" s="18">
        <v>2024</v>
      </c>
      <c r="C21" s="18" t="s">
        <v>138</v>
      </c>
      <c r="D21" s="18" t="s">
        <v>10</v>
      </c>
      <c r="E21" s="18">
        <v>40</v>
      </c>
      <c r="F21" s="18">
        <v>40</v>
      </c>
      <c r="G21" s="18" t="s">
        <v>153</v>
      </c>
      <c r="H21" s="248">
        <f t="shared" si="20"/>
        <v>40</v>
      </c>
      <c r="I21" s="135"/>
      <c r="J21" s="18" t="s">
        <v>158</v>
      </c>
      <c r="K21" s="31">
        <f t="shared" si="17"/>
        <v>9</v>
      </c>
      <c r="L21" s="31">
        <f t="shared" si="18"/>
        <v>9.5</v>
      </c>
      <c r="M21" s="4">
        <f t="shared" si="8"/>
        <v>0.5</v>
      </c>
      <c r="N21" s="5">
        <v>0.8</v>
      </c>
      <c r="O21" s="5">
        <f t="shared" si="1"/>
        <v>0.19999999999999996</v>
      </c>
      <c r="P21" s="31">
        <f t="shared" si="9"/>
        <v>0.4</v>
      </c>
      <c r="Q21" s="31">
        <f t="shared" si="2"/>
        <v>0.4</v>
      </c>
      <c r="R21" s="31">
        <v>400</v>
      </c>
      <c r="S21" s="31">
        <v>1</v>
      </c>
      <c r="T21" s="31">
        <v>0.41</v>
      </c>
      <c r="U21" s="31">
        <v>0.21</v>
      </c>
      <c r="V21" s="86">
        <f t="shared" si="21"/>
        <v>42</v>
      </c>
      <c r="W21" s="31">
        <v>4</v>
      </c>
      <c r="X21" s="31"/>
      <c r="Y21" s="31">
        <f t="shared" si="24"/>
        <v>4</v>
      </c>
      <c r="Z21" s="31">
        <f t="shared" si="19"/>
        <v>102.5</v>
      </c>
      <c r="AA21" s="18">
        <v>46</v>
      </c>
      <c r="AB21" s="18" t="s">
        <v>88</v>
      </c>
      <c r="AC21" s="18" t="s">
        <v>116</v>
      </c>
      <c r="AD21" s="18" t="s">
        <v>336</v>
      </c>
      <c r="AE21" s="18">
        <v>1</v>
      </c>
      <c r="AF21" s="18">
        <v>400</v>
      </c>
      <c r="AG21" s="18" t="s">
        <v>27</v>
      </c>
      <c r="AH21" s="18" t="str">
        <f t="shared" si="25"/>
        <v>R3</v>
      </c>
      <c r="AI21" s="18" t="str">
        <f>+VLOOKUP(AH21,Leyenda!$O$4:$U$10,6,FALSE)</f>
        <v>0,35-0,50</v>
      </c>
      <c r="AJ21" s="18" t="str">
        <f>+VLOOKUP(AH21,Leyenda!$O$4:$U$10,7,FALSE)</f>
        <v>Easy to blast</v>
      </c>
      <c r="AK21" s="18">
        <f>+VLOOKUP(AJ21,Leyenda!$U$4:$V$10,2,FALSE)</f>
        <v>3</v>
      </c>
      <c r="AL21" s="18" t="s">
        <v>27</v>
      </c>
      <c r="AM21" s="18" t="str">
        <f t="shared" si="10"/>
        <v>R3</v>
      </c>
      <c r="AN21" s="18" t="s">
        <v>62</v>
      </c>
      <c r="AO21" s="18" t="s">
        <v>77</v>
      </c>
      <c r="AP21" s="18" t="s">
        <v>96</v>
      </c>
      <c r="AQ21" s="18" t="s">
        <v>109</v>
      </c>
      <c r="AR21" s="18" t="s">
        <v>120</v>
      </c>
      <c r="AS21" s="18" t="s">
        <v>198</v>
      </c>
      <c r="AT21" s="18"/>
      <c r="AU21" s="18"/>
      <c r="AV21" s="18">
        <f>+VLOOKUP(AN21,Leyenda!$B$30:$E$34,3,FALSE)</f>
        <v>4</v>
      </c>
      <c r="AW21" s="18">
        <f>+VLOOKUP('2. Logging Brejo Seco'!AO21,Meteorizacion,3,FALSE)</f>
        <v>3</v>
      </c>
      <c r="AX21" s="18">
        <f>+VLOOKUP('2. Logging Brejo Seco'!AP21,Apertura,3,FALSE)</f>
        <v>1</v>
      </c>
      <c r="AY21" s="18">
        <f>+VLOOKUP('2. Logging Brejo Seco'!AQ21,Leyenda!$B$55:$D$59,3,FALSE)</f>
        <v>1</v>
      </c>
      <c r="AZ21" s="18">
        <f>+VLOOKUP('2. Logging Brejo Seco'!AR21,Relleno,3,FALSE)</f>
        <v>2</v>
      </c>
      <c r="BA21" s="18">
        <f t="shared" si="23"/>
        <v>11</v>
      </c>
      <c r="BB21" s="49">
        <f t="shared" si="5"/>
        <v>9</v>
      </c>
      <c r="BC21" s="49">
        <f>VLOOKUP(AM21,Leyenda!$B$4:$D$10,3,FALSE)</f>
        <v>4</v>
      </c>
      <c r="BD21" s="50">
        <f t="shared" si="11"/>
        <v>7</v>
      </c>
      <c r="BE21" s="49">
        <f t="shared" si="12"/>
        <v>11</v>
      </c>
      <c r="BF21" s="49">
        <f>VLOOKUP(AS21,Leyenda!$B$70:$D$75,3,FALSE)</f>
        <v>15</v>
      </c>
      <c r="BG21" s="67">
        <f t="shared" si="6"/>
        <v>37.5</v>
      </c>
      <c r="BH21" s="67">
        <f>VLOOKUP(AM21,Leyenda!$B$4:$E$10,4,FALSE)</f>
        <v>4</v>
      </c>
      <c r="BI21" s="67">
        <f t="shared" si="13"/>
        <v>8</v>
      </c>
      <c r="BJ21" s="67">
        <f t="shared" si="7"/>
        <v>9</v>
      </c>
      <c r="BK21" s="67">
        <f>+VLOOKUP('2. Logging Brejo Seco'!AP21,Leyenda!$B$47:$E$51,4,FALSE)</f>
        <v>1</v>
      </c>
      <c r="BL21" s="67">
        <f>+VLOOKUP('2. Logging Brejo Seco'!AQ21,Leyenda!$B$55:$E$59,4,FALSE)</f>
        <v>1</v>
      </c>
      <c r="BM21" s="67">
        <f>+VLOOKUP('2. Logging Brejo Seco'!AR21,Leyenda!$B$63:$E$67,3,FALSE)</f>
        <v>2</v>
      </c>
      <c r="BN21" s="67">
        <f>+VLOOKUP('2. Logging Brejo Seco'!AO21,Leyenda!$B$39:$E$43,4,FALSE)</f>
        <v>3</v>
      </c>
      <c r="BO21" s="67">
        <f>+VLOOKUP('2. Logging Brejo Seco'!AN21,Leyenda!$B$30:$E$34,4,FALSE)</f>
        <v>4</v>
      </c>
      <c r="BP21" s="67">
        <f>VLOOKUP(AS21,Leyenda!$B$71:$E$75,4,FALSE)</f>
        <v>10</v>
      </c>
      <c r="BQ21" s="125">
        <f t="shared" si="14"/>
        <v>42</v>
      </c>
      <c r="BR21" s="85">
        <f t="shared" si="15"/>
        <v>46</v>
      </c>
      <c r="BS21" s="240">
        <f t="shared" si="16"/>
        <v>0.19999999999999996</v>
      </c>
      <c r="BT21" s="18"/>
    </row>
    <row r="22" spans="1:72" x14ac:dyDescent="0.25">
      <c r="A22" s="18" t="s">
        <v>6</v>
      </c>
      <c r="B22" s="18">
        <v>2024</v>
      </c>
      <c r="C22" s="18" t="s">
        <v>138</v>
      </c>
      <c r="D22" s="18" t="s">
        <v>10</v>
      </c>
      <c r="E22" s="18">
        <v>40</v>
      </c>
      <c r="F22" s="18">
        <v>40</v>
      </c>
      <c r="G22" s="18" t="s">
        <v>153</v>
      </c>
      <c r="H22" s="248">
        <f t="shared" si="20"/>
        <v>40</v>
      </c>
      <c r="I22" s="135"/>
      <c r="J22" s="18" t="s">
        <v>159</v>
      </c>
      <c r="K22" s="31">
        <f t="shared" si="17"/>
        <v>9.5</v>
      </c>
      <c r="L22" s="31">
        <f t="shared" si="18"/>
        <v>10</v>
      </c>
      <c r="M22" s="4">
        <f t="shared" si="8"/>
        <v>0.5</v>
      </c>
      <c r="N22" s="5">
        <v>0.86</v>
      </c>
      <c r="O22" s="5">
        <f t="shared" si="1"/>
        <v>0.14000000000000001</v>
      </c>
      <c r="P22" s="31">
        <f t="shared" si="9"/>
        <v>0.43</v>
      </c>
      <c r="Q22" s="31">
        <f t="shared" si="2"/>
        <v>0.43</v>
      </c>
      <c r="R22" s="31">
        <v>86</v>
      </c>
      <c r="S22" s="31">
        <v>5</v>
      </c>
      <c r="T22" s="31">
        <v>0.43</v>
      </c>
      <c r="U22" s="31">
        <v>0.25</v>
      </c>
      <c r="V22" s="86">
        <f t="shared" si="21"/>
        <v>50</v>
      </c>
      <c r="W22" s="31">
        <v>4</v>
      </c>
      <c r="X22" s="31"/>
      <c r="Y22" s="31">
        <f t="shared" si="24"/>
        <v>4</v>
      </c>
      <c r="Z22" s="31">
        <f t="shared" si="19"/>
        <v>107.5</v>
      </c>
      <c r="AA22" s="18">
        <v>42</v>
      </c>
      <c r="AB22" s="18" t="s">
        <v>88</v>
      </c>
      <c r="AC22" s="18" t="s">
        <v>118</v>
      </c>
      <c r="AD22" s="18" t="s">
        <v>334</v>
      </c>
      <c r="AE22" s="18">
        <v>5</v>
      </c>
      <c r="AF22" s="18">
        <v>86</v>
      </c>
      <c r="AG22" s="18" t="s">
        <v>27</v>
      </c>
      <c r="AH22" s="18" t="str">
        <f t="shared" si="25"/>
        <v>R3</v>
      </c>
      <c r="AI22" s="18" t="str">
        <f>+VLOOKUP(AH22,Leyenda!$O$4:$U$10,6,FALSE)</f>
        <v>0,35-0,50</v>
      </c>
      <c r="AJ22" s="18" t="str">
        <f>+VLOOKUP(AH22,Leyenda!$O$4:$U$10,7,FALSE)</f>
        <v>Easy to blast</v>
      </c>
      <c r="AK22" s="18">
        <f>+VLOOKUP(AJ22,Leyenda!$U$4:$V$10,2,FALSE)</f>
        <v>3</v>
      </c>
      <c r="AL22" s="18" t="s">
        <v>27</v>
      </c>
      <c r="AM22" s="18" t="str">
        <f t="shared" si="10"/>
        <v>R3</v>
      </c>
      <c r="AN22" s="18" t="s">
        <v>62</v>
      </c>
      <c r="AO22" s="18" t="s">
        <v>75</v>
      </c>
      <c r="AP22" s="18" t="s">
        <v>92</v>
      </c>
      <c r="AQ22" s="18" t="s">
        <v>107</v>
      </c>
      <c r="AR22" s="18" t="s">
        <v>118</v>
      </c>
      <c r="AS22" s="18" t="s">
        <v>198</v>
      </c>
      <c r="AT22" s="18" t="s">
        <v>205</v>
      </c>
      <c r="AU22" s="18"/>
      <c r="AV22" s="18">
        <f>+VLOOKUP(AN22,Leyenda!$B$30:$E$34,3,FALSE)</f>
        <v>4</v>
      </c>
      <c r="AW22" s="18">
        <f>+VLOOKUP('2. Logging Brejo Seco'!AO22,Meteorizacion,3,FALSE)</f>
        <v>5</v>
      </c>
      <c r="AX22" s="18">
        <f>+VLOOKUP('2. Logging Brejo Seco'!AP22,Apertura,3,FALSE)</f>
        <v>3</v>
      </c>
      <c r="AY22" s="18">
        <f>+VLOOKUP('2. Logging Brejo Seco'!AQ22,Leyenda!$B$55:$D$59,3,FALSE)</f>
        <v>3</v>
      </c>
      <c r="AZ22" s="18">
        <f>+VLOOKUP('2. Logging Brejo Seco'!AR22,Relleno,3,FALSE)</f>
        <v>2</v>
      </c>
      <c r="BA22" s="18">
        <f t="shared" si="23"/>
        <v>17</v>
      </c>
      <c r="BB22" s="49">
        <f t="shared" si="5"/>
        <v>10</v>
      </c>
      <c r="BC22" s="49">
        <f>VLOOKUP(AM22,Leyenda!$B$4:$D$10,3,FALSE)</f>
        <v>4</v>
      </c>
      <c r="BD22" s="50">
        <f t="shared" si="11"/>
        <v>7</v>
      </c>
      <c r="BE22" s="49">
        <f t="shared" si="12"/>
        <v>17</v>
      </c>
      <c r="BF22" s="49">
        <f>VLOOKUP(AS22,Leyenda!$B$70:$D$75,3,FALSE)</f>
        <v>15</v>
      </c>
      <c r="BG22" s="67">
        <f t="shared" si="6"/>
        <v>50.5</v>
      </c>
      <c r="BH22" s="67">
        <f>VLOOKUP(AM22,Leyenda!$B$4:$E$10,4,FALSE)</f>
        <v>4</v>
      </c>
      <c r="BI22" s="67">
        <f t="shared" si="13"/>
        <v>9</v>
      </c>
      <c r="BJ22" s="67">
        <f t="shared" si="7"/>
        <v>10</v>
      </c>
      <c r="BK22" s="67">
        <f>+VLOOKUP('2. Logging Brejo Seco'!AP22,Leyenda!$B$47:$E$51,4,FALSE)</f>
        <v>3</v>
      </c>
      <c r="BL22" s="67">
        <f>+VLOOKUP('2. Logging Brejo Seco'!AQ22,Leyenda!$B$55:$E$59,4,FALSE)</f>
        <v>3</v>
      </c>
      <c r="BM22" s="67">
        <f>+VLOOKUP('2. Logging Brejo Seco'!AR22,Leyenda!$B$63:$E$67,3,FALSE)</f>
        <v>2</v>
      </c>
      <c r="BN22" s="67">
        <f>+VLOOKUP('2. Logging Brejo Seco'!AO22,Leyenda!$B$39:$E$43,4,FALSE)</f>
        <v>4</v>
      </c>
      <c r="BO22" s="67">
        <f>+VLOOKUP('2. Logging Brejo Seco'!AN22,Leyenda!$B$30:$E$34,4,FALSE)</f>
        <v>4</v>
      </c>
      <c r="BP22" s="67">
        <f>VLOOKUP(AS22,Leyenda!$B$71:$E$75,4,FALSE)</f>
        <v>10</v>
      </c>
      <c r="BQ22" s="125">
        <f t="shared" si="14"/>
        <v>49</v>
      </c>
      <c r="BR22" s="85">
        <f t="shared" si="15"/>
        <v>53</v>
      </c>
      <c r="BS22" s="240">
        <f t="shared" si="16"/>
        <v>0.14000000000000001</v>
      </c>
      <c r="BT22" s="18"/>
    </row>
    <row r="23" spans="1:72" x14ac:dyDescent="0.25">
      <c r="A23" s="18" t="s">
        <v>6</v>
      </c>
      <c r="B23" s="18">
        <v>2024</v>
      </c>
      <c r="C23" s="18" t="s">
        <v>138</v>
      </c>
      <c r="D23" s="18" t="s">
        <v>10</v>
      </c>
      <c r="E23" s="18">
        <v>50</v>
      </c>
      <c r="F23" s="18">
        <v>50</v>
      </c>
      <c r="G23" s="18" t="s">
        <v>154</v>
      </c>
      <c r="H23" s="248">
        <f t="shared" si="20"/>
        <v>50</v>
      </c>
      <c r="I23" s="135"/>
      <c r="J23" s="18" t="s">
        <v>159</v>
      </c>
      <c r="K23" s="31">
        <f t="shared" si="17"/>
        <v>10</v>
      </c>
      <c r="L23" s="31">
        <f t="shared" si="18"/>
        <v>10.5</v>
      </c>
      <c r="M23" s="4">
        <f t="shared" si="8"/>
        <v>0.5</v>
      </c>
      <c r="N23" s="5">
        <v>0.9</v>
      </c>
      <c r="O23" s="5">
        <f t="shared" si="1"/>
        <v>9.9999999999999978E-2</v>
      </c>
      <c r="P23" s="31">
        <f t="shared" si="9"/>
        <v>0.45</v>
      </c>
      <c r="Q23" s="31">
        <f t="shared" si="2"/>
        <v>0.45</v>
      </c>
      <c r="R23" s="31">
        <v>90</v>
      </c>
      <c r="S23" s="31">
        <v>5</v>
      </c>
      <c r="T23" s="31">
        <v>0.28999999999999998</v>
      </c>
      <c r="U23" s="31">
        <v>0.11</v>
      </c>
      <c r="V23" s="86">
        <f t="shared" si="21"/>
        <v>22</v>
      </c>
      <c r="W23" s="31">
        <v>3</v>
      </c>
      <c r="X23" s="31"/>
      <c r="Y23" s="31">
        <f t="shared" si="24"/>
        <v>3</v>
      </c>
      <c r="Z23" s="31">
        <f t="shared" si="19"/>
        <v>96.666666666666671</v>
      </c>
      <c r="AA23" s="18">
        <v>26</v>
      </c>
      <c r="AB23" s="18" t="s">
        <v>88</v>
      </c>
      <c r="AC23" s="18" t="s">
        <v>118</v>
      </c>
      <c r="AD23" s="18" t="s">
        <v>334</v>
      </c>
      <c r="AE23" s="18">
        <v>5</v>
      </c>
      <c r="AF23" s="18">
        <v>90</v>
      </c>
      <c r="AG23" s="18" t="s">
        <v>32</v>
      </c>
      <c r="AH23" s="18" t="str">
        <f t="shared" si="25"/>
        <v>R1</v>
      </c>
      <c r="AI23" s="18" t="str">
        <f>+VLOOKUP(AH23,Leyenda!$O$4:$U$10,6,FALSE)</f>
        <v>0,15-0,25</v>
      </c>
      <c r="AJ23" s="18" t="str">
        <f>+VLOOKUP(AH23,Leyenda!$O$4:$U$10,7,FALSE)</f>
        <v>No Blasting need</v>
      </c>
      <c r="AK23" s="18">
        <f>+VLOOKUP(AJ23,Leyenda!$U$4:$V$10,2,FALSE)</f>
        <v>2</v>
      </c>
      <c r="AL23" s="18" t="s">
        <v>29</v>
      </c>
      <c r="AM23" s="18" t="str">
        <f t="shared" si="10"/>
        <v>R1</v>
      </c>
      <c r="AN23" s="18" t="s">
        <v>66</v>
      </c>
      <c r="AO23" s="18" t="s">
        <v>79</v>
      </c>
      <c r="AP23" s="18" t="s">
        <v>100</v>
      </c>
      <c r="AQ23" s="18" t="s">
        <v>107</v>
      </c>
      <c r="AR23" s="18" t="s">
        <v>120</v>
      </c>
      <c r="AS23" s="18" t="s">
        <v>198</v>
      </c>
      <c r="AT23" s="18" t="s">
        <v>209</v>
      </c>
      <c r="AU23" s="18"/>
      <c r="AV23" s="18">
        <f>+VLOOKUP(AN23,Leyenda!$B$30:$E$34,3,FALSE)</f>
        <v>1</v>
      </c>
      <c r="AW23" s="18">
        <f>+VLOOKUP('2. Logging Brejo Seco'!AO23,Meteorizacion,3,FALSE)</f>
        <v>1</v>
      </c>
      <c r="AX23" s="18">
        <f>+VLOOKUP('2. Logging Brejo Seco'!AP23,Apertura,3,FALSE)</f>
        <v>0</v>
      </c>
      <c r="AY23" s="18">
        <f>+VLOOKUP('2. Logging Brejo Seco'!AQ23,Leyenda!$B$55:$D$59,3,FALSE)</f>
        <v>3</v>
      </c>
      <c r="AZ23" s="18">
        <f>+VLOOKUP('2. Logging Brejo Seco'!AR23,Relleno,3,FALSE)</f>
        <v>2</v>
      </c>
      <c r="BA23" s="18">
        <f t="shared" si="23"/>
        <v>7</v>
      </c>
      <c r="BB23" s="49">
        <f t="shared" si="5"/>
        <v>5</v>
      </c>
      <c r="BC23" s="49">
        <f>VLOOKUP(AM23,Leyenda!$B$4:$D$10,3,FALSE)</f>
        <v>1</v>
      </c>
      <c r="BD23" s="50">
        <f t="shared" si="11"/>
        <v>7</v>
      </c>
      <c r="BE23" s="49">
        <f t="shared" si="12"/>
        <v>7</v>
      </c>
      <c r="BF23" s="49">
        <f>VLOOKUP(AS23,Leyenda!$B$70:$D$75,3,FALSE)</f>
        <v>15</v>
      </c>
      <c r="BG23" s="67">
        <f t="shared" si="6"/>
        <v>21.5</v>
      </c>
      <c r="BH23" s="67">
        <f>VLOOKUP(AM23,Leyenda!$B$4:$E$10,4,FALSE)</f>
        <v>1</v>
      </c>
      <c r="BI23" s="67">
        <f t="shared" si="13"/>
        <v>8</v>
      </c>
      <c r="BJ23" s="67">
        <f t="shared" si="7"/>
        <v>5</v>
      </c>
      <c r="BK23" s="67">
        <f>+VLOOKUP('2. Logging Brejo Seco'!AP23,Leyenda!$B$47:$E$51,4,FALSE)</f>
        <v>0</v>
      </c>
      <c r="BL23" s="67">
        <f>+VLOOKUP('2. Logging Brejo Seco'!AQ23,Leyenda!$B$55:$E$59,4,FALSE)</f>
        <v>3</v>
      </c>
      <c r="BM23" s="67">
        <f>+VLOOKUP('2. Logging Brejo Seco'!AR23,Leyenda!$B$63:$E$67,3,FALSE)</f>
        <v>2</v>
      </c>
      <c r="BN23" s="67">
        <f>+VLOOKUP('2. Logging Brejo Seco'!AO23,Leyenda!$B$39:$E$43,4,FALSE)</f>
        <v>1</v>
      </c>
      <c r="BO23" s="67">
        <f>+VLOOKUP('2. Logging Brejo Seco'!AN23,Leyenda!$B$30:$E$34,4,FALSE)</f>
        <v>1</v>
      </c>
      <c r="BP23" s="67">
        <f>VLOOKUP(AS23,Leyenda!$B$71:$E$75,4,FALSE)</f>
        <v>10</v>
      </c>
      <c r="BQ23" s="125">
        <f t="shared" si="14"/>
        <v>31</v>
      </c>
      <c r="BR23" s="85">
        <f t="shared" si="15"/>
        <v>35</v>
      </c>
      <c r="BS23" s="240">
        <f t="shared" si="16"/>
        <v>9.9999999999999978E-2</v>
      </c>
      <c r="BT23" s="18"/>
    </row>
    <row r="24" spans="1:72" x14ac:dyDescent="0.25">
      <c r="A24" s="18" t="s">
        <v>6</v>
      </c>
      <c r="B24" s="18">
        <v>2024</v>
      </c>
      <c r="C24" s="18" t="s">
        <v>138</v>
      </c>
      <c r="D24" s="18" t="s">
        <v>10</v>
      </c>
      <c r="E24" s="18">
        <v>50</v>
      </c>
      <c r="F24" s="18">
        <v>50</v>
      </c>
      <c r="G24" s="18" t="s">
        <v>154</v>
      </c>
      <c r="H24" s="248">
        <f t="shared" si="20"/>
        <v>50</v>
      </c>
      <c r="I24" s="135"/>
      <c r="J24" s="18" t="s">
        <v>159</v>
      </c>
      <c r="K24" s="31">
        <f t="shared" si="17"/>
        <v>10.5</v>
      </c>
      <c r="L24" s="31">
        <f t="shared" si="18"/>
        <v>11</v>
      </c>
      <c r="M24" s="4">
        <f t="shared" si="8"/>
        <v>0.5</v>
      </c>
      <c r="N24" s="5">
        <v>0.64</v>
      </c>
      <c r="O24" s="5">
        <f t="shared" si="1"/>
        <v>0.36</v>
      </c>
      <c r="P24" s="31">
        <f t="shared" si="9"/>
        <v>0.32</v>
      </c>
      <c r="Q24" s="31">
        <f t="shared" si="2"/>
        <v>0.32</v>
      </c>
      <c r="R24" s="31">
        <v>16</v>
      </c>
      <c r="S24" s="31">
        <v>20</v>
      </c>
      <c r="T24" s="31">
        <v>0.27</v>
      </c>
      <c r="U24" s="31">
        <v>0</v>
      </c>
      <c r="V24" s="86">
        <f t="shared" si="21"/>
        <v>0</v>
      </c>
      <c r="W24" s="31">
        <v>13</v>
      </c>
      <c r="X24" s="31"/>
      <c r="Y24" s="31">
        <f t="shared" si="24"/>
        <v>13</v>
      </c>
      <c r="Z24" s="31">
        <f t="shared" si="19"/>
        <v>20.76923076923077</v>
      </c>
      <c r="AA24" s="18">
        <v>0</v>
      </c>
      <c r="AB24" s="18" t="s">
        <v>100</v>
      </c>
      <c r="AC24" s="18" t="s">
        <v>333</v>
      </c>
      <c r="AD24" s="18" t="s">
        <v>337</v>
      </c>
      <c r="AE24" s="18">
        <v>20</v>
      </c>
      <c r="AF24" s="18">
        <v>16</v>
      </c>
      <c r="AG24" s="18" t="s">
        <v>32</v>
      </c>
      <c r="AH24" s="18" t="str">
        <f t="shared" si="25"/>
        <v>R1</v>
      </c>
      <c r="AI24" s="18" t="str">
        <f>+VLOOKUP(AH24,Leyenda!$O$4:$U$10,6,FALSE)</f>
        <v>0,15-0,25</v>
      </c>
      <c r="AJ24" s="18" t="str">
        <f>+VLOOKUP(AH24,Leyenda!$O$4:$U$10,7,FALSE)</f>
        <v>No Blasting need</v>
      </c>
      <c r="AK24" s="18">
        <f>+VLOOKUP(AJ24,Leyenda!$U$4:$V$10,2,FALSE)</f>
        <v>2</v>
      </c>
      <c r="AL24" s="18" t="s">
        <v>29</v>
      </c>
      <c r="AM24" s="18" t="str">
        <f t="shared" si="10"/>
        <v>R1</v>
      </c>
      <c r="AN24" s="18" t="s">
        <v>66</v>
      </c>
      <c r="AO24" s="18" t="s">
        <v>79</v>
      </c>
      <c r="AP24" s="18" t="s">
        <v>100</v>
      </c>
      <c r="AQ24" s="18" t="s">
        <v>107</v>
      </c>
      <c r="AR24" s="18" t="s">
        <v>120</v>
      </c>
      <c r="AS24" s="18" t="s">
        <v>198</v>
      </c>
      <c r="AT24" s="18" t="s">
        <v>209</v>
      </c>
      <c r="AU24" s="18"/>
      <c r="AV24" s="18">
        <f>+VLOOKUP(AN24,Leyenda!$B$30:$E$34,3,FALSE)</f>
        <v>1</v>
      </c>
      <c r="AW24" s="18">
        <f>+VLOOKUP('2. Logging Brejo Seco'!AO24,Meteorizacion,3,FALSE)</f>
        <v>1</v>
      </c>
      <c r="AX24" s="18">
        <f>+VLOOKUP('2. Logging Brejo Seco'!AP24,Apertura,3,FALSE)</f>
        <v>0</v>
      </c>
      <c r="AY24" s="18">
        <f>+VLOOKUP('2. Logging Brejo Seco'!AQ24,Leyenda!$B$55:$D$59,3,FALSE)</f>
        <v>3</v>
      </c>
      <c r="AZ24" s="18">
        <f>+VLOOKUP('2. Logging Brejo Seco'!AR24,Relleno,3,FALSE)</f>
        <v>2</v>
      </c>
      <c r="BA24" s="18">
        <f t="shared" si="23"/>
        <v>7</v>
      </c>
      <c r="BB24" s="49">
        <f t="shared" si="5"/>
        <v>0</v>
      </c>
      <c r="BC24" s="49">
        <f>VLOOKUP(AM24,Leyenda!$B$4:$D$10,3,FALSE)</f>
        <v>1</v>
      </c>
      <c r="BD24" s="50">
        <f t="shared" si="11"/>
        <v>4</v>
      </c>
      <c r="BE24" s="49">
        <f t="shared" si="12"/>
        <v>7</v>
      </c>
      <c r="BF24" s="49">
        <f>VLOOKUP(AS24,Leyenda!$B$70:$D$75,3,FALSE)</f>
        <v>15</v>
      </c>
      <c r="BG24" s="67">
        <f t="shared" si="6"/>
        <v>10.5</v>
      </c>
      <c r="BH24" s="67">
        <f>VLOOKUP(AM24,Leyenda!$B$4:$E$10,4,FALSE)</f>
        <v>1</v>
      </c>
      <c r="BI24" s="67">
        <f t="shared" si="13"/>
        <v>5</v>
      </c>
      <c r="BJ24" s="67">
        <f t="shared" si="7"/>
        <v>0</v>
      </c>
      <c r="BK24" s="67">
        <f>+VLOOKUP('2. Logging Brejo Seco'!AP24,Leyenda!$B$47:$E$51,4,FALSE)</f>
        <v>0</v>
      </c>
      <c r="BL24" s="67">
        <f>+VLOOKUP('2. Logging Brejo Seco'!AQ24,Leyenda!$B$55:$E$59,4,FALSE)</f>
        <v>3</v>
      </c>
      <c r="BM24" s="67">
        <f>+VLOOKUP('2. Logging Brejo Seco'!AR24,Leyenda!$B$63:$E$67,3,FALSE)</f>
        <v>2</v>
      </c>
      <c r="BN24" s="67">
        <f>+VLOOKUP('2. Logging Brejo Seco'!AO24,Leyenda!$B$39:$E$43,4,FALSE)</f>
        <v>1</v>
      </c>
      <c r="BO24" s="67">
        <f>+VLOOKUP('2. Logging Brejo Seco'!AN24,Leyenda!$B$30:$E$34,4,FALSE)</f>
        <v>1</v>
      </c>
      <c r="BP24" s="67">
        <f>VLOOKUP(AS24,Leyenda!$B$71:$E$75,4,FALSE)</f>
        <v>10</v>
      </c>
      <c r="BQ24" s="125">
        <f t="shared" si="14"/>
        <v>23</v>
      </c>
      <c r="BR24" s="85">
        <f t="shared" si="15"/>
        <v>27</v>
      </c>
      <c r="BS24" s="240">
        <f t="shared" si="16"/>
        <v>0.36</v>
      </c>
      <c r="BT24" s="18"/>
    </row>
    <row r="25" spans="1:72" x14ac:dyDescent="0.25">
      <c r="A25" s="18" t="s">
        <v>6</v>
      </c>
      <c r="B25" s="18">
        <v>2024</v>
      </c>
      <c r="C25" s="18" t="s">
        <v>138</v>
      </c>
      <c r="D25" s="18" t="s">
        <v>10</v>
      </c>
      <c r="E25" s="18">
        <v>50</v>
      </c>
      <c r="F25" s="18">
        <v>50</v>
      </c>
      <c r="G25" s="18" t="s">
        <v>154</v>
      </c>
      <c r="H25" s="248">
        <f t="shared" si="20"/>
        <v>50</v>
      </c>
      <c r="I25" s="135"/>
      <c r="J25" s="18" t="s">
        <v>159</v>
      </c>
      <c r="K25" s="31">
        <f t="shared" si="17"/>
        <v>11</v>
      </c>
      <c r="L25" s="31">
        <f t="shared" si="18"/>
        <v>11.5</v>
      </c>
      <c r="M25" s="4">
        <f t="shared" si="8"/>
        <v>0.5</v>
      </c>
      <c r="N25" s="5">
        <v>0.6</v>
      </c>
      <c r="O25" s="5">
        <f t="shared" si="1"/>
        <v>0.4</v>
      </c>
      <c r="P25" s="31">
        <f t="shared" si="9"/>
        <v>0.3</v>
      </c>
      <c r="Q25" s="31">
        <f t="shared" si="2"/>
        <v>0.3</v>
      </c>
      <c r="R25" s="31">
        <v>15</v>
      </c>
      <c r="S25" s="31">
        <v>20</v>
      </c>
      <c r="T25" s="84">
        <v>0.28999999999999998</v>
      </c>
      <c r="U25" s="31">
        <v>0</v>
      </c>
      <c r="V25" s="86">
        <f t="shared" si="21"/>
        <v>0</v>
      </c>
      <c r="W25" s="31">
        <v>10</v>
      </c>
      <c r="X25" s="31"/>
      <c r="Y25" s="31">
        <f t="shared" si="24"/>
        <v>10</v>
      </c>
      <c r="Z25" s="31">
        <f t="shared" si="19"/>
        <v>29</v>
      </c>
      <c r="AA25" s="18">
        <v>0</v>
      </c>
      <c r="AB25" s="18" t="s">
        <v>100</v>
      </c>
      <c r="AC25" s="18" t="s">
        <v>333</v>
      </c>
      <c r="AD25" s="18" t="s">
        <v>337</v>
      </c>
      <c r="AE25" s="18">
        <v>20</v>
      </c>
      <c r="AF25" s="18">
        <v>15</v>
      </c>
      <c r="AG25" s="18" t="s">
        <v>32</v>
      </c>
      <c r="AH25" s="18" t="str">
        <f t="shared" si="25"/>
        <v>R1</v>
      </c>
      <c r="AI25" s="18" t="str">
        <f>+VLOOKUP(AH25,Leyenda!$O$4:$U$10,6,FALSE)</f>
        <v>0,15-0,25</v>
      </c>
      <c r="AJ25" s="18" t="str">
        <f>+VLOOKUP(AH25,Leyenda!$O$4:$U$10,7,FALSE)</f>
        <v>No Blasting need</v>
      </c>
      <c r="AK25" s="18">
        <f>+VLOOKUP(AJ25,Leyenda!$U$4:$V$10,2,FALSE)</f>
        <v>2</v>
      </c>
      <c r="AL25" s="18" t="s">
        <v>27</v>
      </c>
      <c r="AM25" s="18" t="str">
        <f t="shared" si="10"/>
        <v>R1</v>
      </c>
      <c r="AN25" s="18" t="s">
        <v>62</v>
      </c>
      <c r="AO25" s="18" t="s">
        <v>77</v>
      </c>
      <c r="AP25" s="18" t="s">
        <v>92</v>
      </c>
      <c r="AQ25" s="18" t="s">
        <v>105</v>
      </c>
      <c r="AR25" s="18" t="s">
        <v>116</v>
      </c>
      <c r="AS25" s="18" t="s">
        <v>198</v>
      </c>
      <c r="AT25" s="18" t="s">
        <v>209</v>
      </c>
      <c r="AU25" s="18"/>
      <c r="AV25" s="18">
        <f>+VLOOKUP(AN25,Leyenda!$B$30:$E$34,3,FALSE)</f>
        <v>4</v>
      </c>
      <c r="AW25" s="18">
        <f>+VLOOKUP('2. Logging Brejo Seco'!AO25,Meteorizacion,3,FALSE)</f>
        <v>3</v>
      </c>
      <c r="AX25" s="18">
        <f>+VLOOKUP('2. Logging Brejo Seco'!AP25,Apertura,3,FALSE)</f>
        <v>3</v>
      </c>
      <c r="AY25" s="18">
        <f>+VLOOKUP('2. Logging Brejo Seco'!AQ25,Leyenda!$B$55:$D$59,3,FALSE)</f>
        <v>4</v>
      </c>
      <c r="AZ25" s="18">
        <f>+VLOOKUP('2. Logging Brejo Seco'!AR25,Relleno,3,FALSE)</f>
        <v>4</v>
      </c>
      <c r="BA25" s="18">
        <f t="shared" si="23"/>
        <v>18</v>
      </c>
      <c r="BB25" s="49">
        <f t="shared" si="5"/>
        <v>0</v>
      </c>
      <c r="BC25" s="49">
        <f>VLOOKUP(AM25,Leyenda!$B$4:$D$10,3,FALSE)</f>
        <v>1</v>
      </c>
      <c r="BD25" s="50">
        <f t="shared" si="11"/>
        <v>5</v>
      </c>
      <c r="BE25" s="49">
        <f t="shared" si="12"/>
        <v>18</v>
      </c>
      <c r="BF25" s="49">
        <f>VLOOKUP(AS25,Leyenda!$B$70:$D$75,3,FALSE)</f>
        <v>15</v>
      </c>
      <c r="BG25" s="67">
        <f t="shared" si="6"/>
        <v>27</v>
      </c>
      <c r="BH25" s="67">
        <f>VLOOKUP(AM25,Leyenda!$B$4:$E$10,4,FALSE)</f>
        <v>1</v>
      </c>
      <c r="BI25" s="67">
        <f t="shared" si="13"/>
        <v>5</v>
      </c>
      <c r="BJ25" s="67">
        <f t="shared" si="7"/>
        <v>0</v>
      </c>
      <c r="BK25" s="67">
        <f>+VLOOKUP('2. Logging Brejo Seco'!AP25,Leyenda!$B$47:$E$51,4,FALSE)</f>
        <v>3</v>
      </c>
      <c r="BL25" s="67">
        <f>+VLOOKUP('2. Logging Brejo Seco'!AQ25,Leyenda!$B$55:$E$59,4,FALSE)</f>
        <v>4</v>
      </c>
      <c r="BM25" s="67">
        <f>+VLOOKUP('2. Logging Brejo Seco'!AR25,Leyenda!$B$63:$E$67,3,FALSE)</f>
        <v>4</v>
      </c>
      <c r="BN25" s="67">
        <f>+VLOOKUP('2. Logging Brejo Seco'!AO25,Leyenda!$B$39:$E$43,4,FALSE)</f>
        <v>3</v>
      </c>
      <c r="BO25" s="67">
        <f>+VLOOKUP('2. Logging Brejo Seco'!AN25,Leyenda!$B$30:$E$34,4,FALSE)</f>
        <v>4</v>
      </c>
      <c r="BP25" s="67">
        <f>VLOOKUP(AS25,Leyenda!$B$71:$E$75,4,FALSE)</f>
        <v>10</v>
      </c>
      <c r="BQ25" s="125">
        <f t="shared" si="14"/>
        <v>34</v>
      </c>
      <c r="BR25" s="85">
        <f t="shared" si="15"/>
        <v>39</v>
      </c>
      <c r="BS25" s="240">
        <f t="shared" si="16"/>
        <v>0.4</v>
      </c>
      <c r="BT25" s="18"/>
    </row>
    <row r="26" spans="1:72" x14ac:dyDescent="0.25">
      <c r="A26" s="18" t="s">
        <v>6</v>
      </c>
      <c r="B26" s="18">
        <v>2024</v>
      </c>
      <c r="C26" s="18" t="s">
        <v>138</v>
      </c>
      <c r="D26" s="18" t="s">
        <v>10</v>
      </c>
      <c r="E26" s="18">
        <v>50</v>
      </c>
      <c r="F26" s="18">
        <v>50</v>
      </c>
      <c r="G26" s="18" t="s">
        <v>154</v>
      </c>
      <c r="H26" s="248">
        <f t="shared" si="20"/>
        <v>50</v>
      </c>
      <c r="I26" s="135"/>
      <c r="J26" s="18" t="s">
        <v>159</v>
      </c>
      <c r="K26" s="31">
        <f t="shared" si="17"/>
        <v>11.5</v>
      </c>
      <c r="L26" s="31">
        <f t="shared" si="18"/>
        <v>12</v>
      </c>
      <c r="M26" s="4">
        <f t="shared" si="8"/>
        <v>0.5</v>
      </c>
      <c r="N26" s="5">
        <v>0.62</v>
      </c>
      <c r="O26" s="5">
        <f t="shared" si="1"/>
        <v>0.38</v>
      </c>
      <c r="P26" s="31">
        <f t="shared" si="9"/>
        <v>0.31</v>
      </c>
      <c r="Q26" s="31">
        <f t="shared" si="2"/>
        <v>0.31</v>
      </c>
      <c r="R26" s="31">
        <v>310</v>
      </c>
      <c r="S26" s="31">
        <v>1</v>
      </c>
      <c r="T26" s="31">
        <v>0.32</v>
      </c>
      <c r="U26" s="31">
        <v>0.16</v>
      </c>
      <c r="V26" s="86">
        <f t="shared" si="21"/>
        <v>32</v>
      </c>
      <c r="W26" s="31">
        <v>0</v>
      </c>
      <c r="X26" s="31"/>
      <c r="Y26" s="31">
        <v>10</v>
      </c>
      <c r="Z26" s="31">
        <f t="shared" si="19"/>
        <v>32</v>
      </c>
      <c r="AA26" s="18">
        <v>34</v>
      </c>
      <c r="AB26" s="18" t="s">
        <v>96</v>
      </c>
      <c r="AC26" s="18" t="s">
        <v>116</v>
      </c>
      <c r="AD26" s="18" t="s">
        <v>337</v>
      </c>
      <c r="AE26" s="18">
        <v>1</v>
      </c>
      <c r="AF26" s="18">
        <v>310</v>
      </c>
      <c r="AG26" s="18" t="s">
        <v>27</v>
      </c>
      <c r="AH26" s="18" t="str">
        <f t="shared" si="25"/>
        <v>R3</v>
      </c>
      <c r="AI26" s="18" t="str">
        <f>+VLOOKUP(AH26,Leyenda!$O$4:$U$10,6,FALSE)</f>
        <v>0,35-0,50</v>
      </c>
      <c r="AJ26" s="18" t="str">
        <f>+VLOOKUP(AH26,Leyenda!$O$4:$U$10,7,FALSE)</f>
        <v>Easy to blast</v>
      </c>
      <c r="AK26" s="18">
        <f>+VLOOKUP(AJ26,Leyenda!$U$4:$V$10,2,FALSE)</f>
        <v>3</v>
      </c>
      <c r="AL26" s="18" t="s">
        <v>27</v>
      </c>
      <c r="AM26" s="18" t="str">
        <f t="shared" si="10"/>
        <v>R3</v>
      </c>
      <c r="AN26" s="18" t="s">
        <v>62</v>
      </c>
      <c r="AO26" s="18" t="s">
        <v>77</v>
      </c>
      <c r="AP26" s="18" t="s">
        <v>92</v>
      </c>
      <c r="AQ26" s="18" t="s">
        <v>105</v>
      </c>
      <c r="AR26" s="18" t="s">
        <v>116</v>
      </c>
      <c r="AS26" s="18" t="s">
        <v>198</v>
      </c>
      <c r="AT26" s="18" t="s">
        <v>210</v>
      </c>
      <c r="AU26" s="18"/>
      <c r="AV26" s="18">
        <f>+VLOOKUP(AN26,Leyenda!$B$30:$E$34,3,FALSE)</f>
        <v>4</v>
      </c>
      <c r="AW26" s="18">
        <f>+VLOOKUP('2. Logging Brejo Seco'!AO26,Meteorizacion,3,FALSE)</f>
        <v>3</v>
      </c>
      <c r="AX26" s="18">
        <f>+VLOOKUP('2. Logging Brejo Seco'!AP26,Apertura,3,FALSE)</f>
        <v>3</v>
      </c>
      <c r="AY26" s="18">
        <f>+VLOOKUP('2. Logging Brejo Seco'!AQ26,Leyenda!$B$55:$D$59,3,FALSE)</f>
        <v>4</v>
      </c>
      <c r="AZ26" s="18">
        <f>+VLOOKUP('2. Logging Brejo Seco'!AR26,Relleno,3,FALSE)</f>
        <v>4</v>
      </c>
      <c r="BA26" s="18">
        <f t="shared" si="23"/>
        <v>18</v>
      </c>
      <c r="BB26" s="49">
        <f t="shared" si="5"/>
        <v>7</v>
      </c>
      <c r="BC26" s="49">
        <f>VLOOKUP(AM26,Leyenda!$B$4:$D$10,3,FALSE)</f>
        <v>4</v>
      </c>
      <c r="BD26" s="50">
        <f t="shared" si="11"/>
        <v>5</v>
      </c>
      <c r="BE26" s="49">
        <f t="shared" si="12"/>
        <v>18</v>
      </c>
      <c r="BF26" s="49">
        <f>VLOOKUP(AS26,Leyenda!$B$70:$D$75,3,FALSE)</f>
        <v>15</v>
      </c>
      <c r="BG26" s="67">
        <f t="shared" si="6"/>
        <v>43</v>
      </c>
      <c r="BH26" s="67">
        <f>VLOOKUP(AM26,Leyenda!$B$4:$E$10,4,FALSE)</f>
        <v>4</v>
      </c>
      <c r="BI26" s="67">
        <f t="shared" si="13"/>
        <v>5</v>
      </c>
      <c r="BJ26" s="67">
        <f t="shared" si="7"/>
        <v>7</v>
      </c>
      <c r="BK26" s="67">
        <f>+VLOOKUP('2. Logging Brejo Seco'!AP26,Leyenda!$B$47:$E$51,4,FALSE)</f>
        <v>3</v>
      </c>
      <c r="BL26" s="67">
        <f>+VLOOKUP('2. Logging Brejo Seco'!AQ26,Leyenda!$B$55:$E$59,4,FALSE)</f>
        <v>4</v>
      </c>
      <c r="BM26" s="67">
        <f>+VLOOKUP('2. Logging Brejo Seco'!AR26,Leyenda!$B$63:$E$67,3,FALSE)</f>
        <v>4</v>
      </c>
      <c r="BN26" s="67">
        <f>+VLOOKUP('2. Logging Brejo Seco'!AO26,Leyenda!$B$39:$E$43,4,FALSE)</f>
        <v>3</v>
      </c>
      <c r="BO26" s="67">
        <f>+VLOOKUP('2. Logging Brejo Seco'!AN26,Leyenda!$B$30:$E$34,4,FALSE)</f>
        <v>4</v>
      </c>
      <c r="BP26" s="67">
        <f>VLOOKUP(AS26,Leyenda!$B$71:$E$75,4,FALSE)</f>
        <v>10</v>
      </c>
      <c r="BQ26" s="125">
        <f t="shared" si="14"/>
        <v>44</v>
      </c>
      <c r="BR26" s="85">
        <f t="shared" si="15"/>
        <v>49</v>
      </c>
      <c r="BS26" s="240">
        <f t="shared" si="16"/>
        <v>0.38</v>
      </c>
      <c r="BT26" s="18"/>
    </row>
    <row r="27" spans="1:72" x14ac:dyDescent="0.25">
      <c r="A27" s="18" t="s">
        <v>6</v>
      </c>
      <c r="B27" s="18">
        <v>2024</v>
      </c>
      <c r="C27" s="18" t="s">
        <v>138</v>
      </c>
      <c r="D27" s="18" t="s">
        <v>10</v>
      </c>
      <c r="E27" s="18">
        <v>40</v>
      </c>
      <c r="F27" s="18">
        <v>40</v>
      </c>
      <c r="G27" s="18" t="s">
        <v>153</v>
      </c>
      <c r="H27" s="248">
        <f t="shared" si="20"/>
        <v>40</v>
      </c>
      <c r="I27" s="135"/>
      <c r="J27" s="18" t="s">
        <v>159</v>
      </c>
      <c r="K27" s="31">
        <f t="shared" si="17"/>
        <v>12</v>
      </c>
      <c r="L27" s="31">
        <f t="shared" si="18"/>
        <v>12.5</v>
      </c>
      <c r="M27" s="4">
        <f t="shared" si="8"/>
        <v>0.5</v>
      </c>
      <c r="N27" s="5">
        <v>0.7</v>
      </c>
      <c r="O27" s="5">
        <f t="shared" si="1"/>
        <v>0.30000000000000004</v>
      </c>
      <c r="P27" s="31">
        <f t="shared" si="9"/>
        <v>0.35</v>
      </c>
      <c r="Q27" s="31">
        <f t="shared" si="2"/>
        <v>0.35</v>
      </c>
      <c r="R27" s="31">
        <v>350</v>
      </c>
      <c r="S27" s="31">
        <v>1</v>
      </c>
      <c r="T27" s="31">
        <v>0.22</v>
      </c>
      <c r="U27" s="31">
        <v>0.19</v>
      </c>
      <c r="V27" s="86">
        <f t="shared" si="21"/>
        <v>38</v>
      </c>
      <c r="W27" s="31">
        <v>5</v>
      </c>
      <c r="X27" s="31"/>
      <c r="Y27" s="31">
        <f t="shared" si="24"/>
        <v>5</v>
      </c>
      <c r="Z27" s="31">
        <f t="shared" si="19"/>
        <v>44</v>
      </c>
      <c r="AA27" s="18">
        <v>26</v>
      </c>
      <c r="AB27" s="18" t="s">
        <v>92</v>
      </c>
      <c r="AC27" s="18" t="s">
        <v>116</v>
      </c>
      <c r="AD27" s="18" t="s">
        <v>337</v>
      </c>
      <c r="AE27" s="18">
        <v>1</v>
      </c>
      <c r="AF27" s="18">
        <v>350</v>
      </c>
      <c r="AG27" s="18" t="s">
        <v>29</v>
      </c>
      <c r="AH27" s="18" t="str">
        <f t="shared" si="25"/>
        <v>R2</v>
      </c>
      <c r="AI27" s="18" t="str">
        <f>+VLOOKUP(AH27,Leyenda!$O$4:$U$10,6,FALSE)</f>
        <v>0,25-0,35</v>
      </c>
      <c r="AJ27" s="18" t="str">
        <f>+VLOOKUP(AH27,Leyenda!$O$4:$U$10,7,FALSE)</f>
        <v>No Blasting need</v>
      </c>
      <c r="AK27" s="18">
        <f>+VLOOKUP(AJ27,Leyenda!$U$4:$V$10,2,FALSE)</f>
        <v>2</v>
      </c>
      <c r="AL27" s="18" t="s">
        <v>27</v>
      </c>
      <c r="AM27" s="18" t="str">
        <f t="shared" si="10"/>
        <v>R2</v>
      </c>
      <c r="AN27" s="18" t="s">
        <v>62</v>
      </c>
      <c r="AO27" s="18" t="s">
        <v>77</v>
      </c>
      <c r="AP27" s="18" t="s">
        <v>92</v>
      </c>
      <c r="AQ27" s="18" t="s">
        <v>105</v>
      </c>
      <c r="AR27" s="18" t="s">
        <v>116</v>
      </c>
      <c r="AS27" s="18" t="s">
        <v>198</v>
      </c>
      <c r="AT27" s="18" t="s">
        <v>210</v>
      </c>
      <c r="AU27" s="18"/>
      <c r="AV27" s="18">
        <f>+VLOOKUP(AN27,Leyenda!$B$30:$E$34,3,FALSE)</f>
        <v>4</v>
      </c>
      <c r="AW27" s="18">
        <f>+VLOOKUP('2. Logging Brejo Seco'!AO27,Meteorizacion,3,FALSE)</f>
        <v>3</v>
      </c>
      <c r="AX27" s="18">
        <f>+VLOOKUP('2. Logging Brejo Seco'!AP27,Apertura,3,FALSE)</f>
        <v>3</v>
      </c>
      <c r="AY27" s="18">
        <f>+VLOOKUP('2. Logging Brejo Seco'!AQ27,Leyenda!$B$55:$D$59,3,FALSE)</f>
        <v>4</v>
      </c>
      <c r="AZ27" s="18">
        <f>+VLOOKUP('2. Logging Brejo Seco'!AR27,Relleno,3,FALSE)</f>
        <v>4</v>
      </c>
      <c r="BA27" s="18">
        <f t="shared" si="23"/>
        <v>18</v>
      </c>
      <c r="BB27" s="49">
        <f t="shared" si="5"/>
        <v>8</v>
      </c>
      <c r="BC27" s="49">
        <f>VLOOKUP(AM27,Leyenda!$B$4:$D$10,3,FALSE)</f>
        <v>2</v>
      </c>
      <c r="BD27" s="50">
        <f t="shared" si="11"/>
        <v>6</v>
      </c>
      <c r="BE27" s="49">
        <f t="shared" si="12"/>
        <v>18</v>
      </c>
      <c r="BF27" s="49">
        <f>VLOOKUP(AS27,Leyenda!$B$70:$D$75,3,FALSE)</f>
        <v>15</v>
      </c>
      <c r="BG27" s="67">
        <f t="shared" si="6"/>
        <v>46</v>
      </c>
      <c r="BH27" s="67">
        <f>VLOOKUP(AM27,Leyenda!$B$4:$E$10,4,FALSE)</f>
        <v>2</v>
      </c>
      <c r="BI27" s="67">
        <f t="shared" si="13"/>
        <v>5</v>
      </c>
      <c r="BJ27" s="67">
        <f t="shared" si="7"/>
        <v>8</v>
      </c>
      <c r="BK27" s="67">
        <f>+VLOOKUP('2. Logging Brejo Seco'!AP27,Leyenda!$B$47:$E$51,4,FALSE)</f>
        <v>3</v>
      </c>
      <c r="BL27" s="67">
        <f>+VLOOKUP('2. Logging Brejo Seco'!AQ27,Leyenda!$B$55:$E$59,4,FALSE)</f>
        <v>4</v>
      </c>
      <c r="BM27" s="67">
        <f>+VLOOKUP('2. Logging Brejo Seco'!AR27,Leyenda!$B$63:$E$67,3,FALSE)</f>
        <v>4</v>
      </c>
      <c r="BN27" s="67">
        <f>+VLOOKUP('2. Logging Brejo Seco'!AO27,Leyenda!$B$39:$E$43,4,FALSE)</f>
        <v>3</v>
      </c>
      <c r="BO27" s="67">
        <f>+VLOOKUP('2. Logging Brejo Seco'!AN27,Leyenda!$B$30:$E$34,4,FALSE)</f>
        <v>4</v>
      </c>
      <c r="BP27" s="67">
        <f>VLOOKUP(AS27,Leyenda!$B$71:$E$75,4,FALSE)</f>
        <v>10</v>
      </c>
      <c r="BQ27" s="125">
        <f t="shared" si="14"/>
        <v>43</v>
      </c>
      <c r="BR27" s="85">
        <f t="shared" si="15"/>
        <v>49</v>
      </c>
      <c r="BS27" s="240">
        <f t="shared" si="16"/>
        <v>0.30000000000000004</v>
      </c>
      <c r="BT27" s="18"/>
    </row>
    <row r="28" spans="1:72" x14ac:dyDescent="0.25">
      <c r="A28" s="18" t="s">
        <v>6</v>
      </c>
      <c r="B28" s="18">
        <v>2024</v>
      </c>
      <c r="C28" s="18" t="s">
        <v>138</v>
      </c>
      <c r="D28" s="18" t="s">
        <v>10</v>
      </c>
      <c r="E28" s="18">
        <v>40</v>
      </c>
      <c r="F28" s="18">
        <v>40</v>
      </c>
      <c r="G28" s="18" t="s">
        <v>153</v>
      </c>
      <c r="H28" s="248">
        <f t="shared" si="20"/>
        <v>40</v>
      </c>
      <c r="I28" s="135"/>
      <c r="J28" s="18" t="s">
        <v>159</v>
      </c>
      <c r="K28" s="31">
        <f t="shared" si="17"/>
        <v>12.5</v>
      </c>
      <c r="L28" s="31">
        <f t="shared" si="18"/>
        <v>13</v>
      </c>
      <c r="M28" s="4">
        <f t="shared" si="8"/>
        <v>0.5</v>
      </c>
      <c r="N28" s="5">
        <v>0.5</v>
      </c>
      <c r="O28" s="5">
        <f t="shared" si="1"/>
        <v>0.5</v>
      </c>
      <c r="P28" s="31">
        <f t="shared" si="9"/>
        <v>0.25</v>
      </c>
      <c r="Q28" s="31">
        <f t="shared" si="2"/>
        <v>0.25</v>
      </c>
      <c r="R28" s="31">
        <v>50</v>
      </c>
      <c r="S28" s="31">
        <v>5</v>
      </c>
      <c r="T28" s="31">
        <v>0.23</v>
      </c>
      <c r="U28" s="31">
        <v>0.11</v>
      </c>
      <c r="V28" s="86">
        <f t="shared" si="21"/>
        <v>22</v>
      </c>
      <c r="W28" s="31">
        <v>5</v>
      </c>
      <c r="X28" s="31"/>
      <c r="Y28" s="31">
        <f t="shared" si="24"/>
        <v>5</v>
      </c>
      <c r="Z28" s="31">
        <f>+IF(T28=0,"",(T28*1000)/Y28)</f>
        <v>46</v>
      </c>
      <c r="AA28" s="18">
        <v>24</v>
      </c>
      <c r="AB28" s="18" t="s">
        <v>92</v>
      </c>
      <c r="AC28" s="18" t="s">
        <v>118</v>
      </c>
      <c r="AD28" s="18" t="s">
        <v>337</v>
      </c>
      <c r="AE28" s="18">
        <v>5</v>
      </c>
      <c r="AF28" s="18">
        <v>50</v>
      </c>
      <c r="AG28" s="18" t="s">
        <v>32</v>
      </c>
      <c r="AH28" s="18" t="str">
        <f t="shared" si="25"/>
        <v>R1</v>
      </c>
      <c r="AI28" s="18" t="str">
        <f>+VLOOKUP(AH28,Leyenda!$O$4:$U$10,6,FALSE)</f>
        <v>0,15-0,25</v>
      </c>
      <c r="AJ28" s="18" t="str">
        <f>+VLOOKUP(AH28,Leyenda!$O$4:$U$10,7,FALSE)</f>
        <v>No Blasting need</v>
      </c>
      <c r="AK28" s="18">
        <f>+VLOOKUP(AJ28,Leyenda!$U$4:$V$10,2,FALSE)</f>
        <v>2</v>
      </c>
      <c r="AL28" s="18" t="s">
        <v>24</v>
      </c>
      <c r="AM28" s="18" t="str">
        <f t="shared" si="10"/>
        <v>R1</v>
      </c>
      <c r="AN28" s="18" t="s">
        <v>62</v>
      </c>
      <c r="AO28" s="18" t="s">
        <v>75</v>
      </c>
      <c r="AP28" s="18" t="s">
        <v>92</v>
      </c>
      <c r="AQ28" s="18" t="s">
        <v>107</v>
      </c>
      <c r="AR28" s="18" t="s">
        <v>118</v>
      </c>
      <c r="AS28" s="18" t="s">
        <v>198</v>
      </c>
      <c r="AT28" s="18" t="s">
        <v>205</v>
      </c>
      <c r="AU28" s="18"/>
      <c r="AV28" s="18">
        <f>+VLOOKUP(AN28,Leyenda!$B$30:$E$34,3,FALSE)</f>
        <v>4</v>
      </c>
      <c r="AW28" s="18">
        <f>+VLOOKUP('2. Logging Brejo Seco'!AO28,Meteorizacion,3,FALSE)</f>
        <v>5</v>
      </c>
      <c r="AX28" s="18">
        <f>+VLOOKUP('2. Logging Brejo Seco'!AP28,Apertura,3,FALSE)</f>
        <v>3</v>
      </c>
      <c r="AY28" s="18">
        <f>+VLOOKUP('2. Logging Brejo Seco'!AQ28,Leyenda!$B$55:$D$59,3,FALSE)</f>
        <v>3</v>
      </c>
      <c r="AZ28" s="18">
        <f>+VLOOKUP('2. Logging Brejo Seco'!AR28,Relleno,3,FALSE)</f>
        <v>2</v>
      </c>
      <c r="BA28" s="18">
        <f t="shared" si="23"/>
        <v>17</v>
      </c>
      <c r="BB28" s="49">
        <f t="shared" si="5"/>
        <v>5</v>
      </c>
      <c r="BC28" s="49">
        <f>VLOOKUP(AM28,Leyenda!$B$4:$D$10,3,FALSE)</f>
        <v>1</v>
      </c>
      <c r="BD28" s="50">
        <f t="shared" si="11"/>
        <v>6</v>
      </c>
      <c r="BE28" s="49">
        <f t="shared" si="12"/>
        <v>17</v>
      </c>
      <c r="BF28" s="49">
        <f>VLOOKUP(AS28,Leyenda!$B$70:$D$75,3,FALSE)</f>
        <v>15</v>
      </c>
      <c r="BG28" s="67">
        <f t="shared" si="6"/>
        <v>36.5</v>
      </c>
      <c r="BH28" s="67">
        <f>VLOOKUP(AM28,Leyenda!$B$4:$E$10,4,FALSE)</f>
        <v>1</v>
      </c>
      <c r="BI28" s="67">
        <f t="shared" si="13"/>
        <v>5</v>
      </c>
      <c r="BJ28" s="67">
        <f t="shared" si="7"/>
        <v>5</v>
      </c>
      <c r="BK28" s="67">
        <f>+VLOOKUP('2. Logging Brejo Seco'!AP28,Leyenda!$B$47:$E$51,4,FALSE)</f>
        <v>3</v>
      </c>
      <c r="BL28" s="67">
        <f>+VLOOKUP('2. Logging Brejo Seco'!AQ28,Leyenda!$B$55:$E$59,4,FALSE)</f>
        <v>3</v>
      </c>
      <c r="BM28" s="67">
        <f>+VLOOKUP('2. Logging Brejo Seco'!AR28,Leyenda!$B$63:$E$67,3,FALSE)</f>
        <v>2</v>
      </c>
      <c r="BN28" s="67">
        <f>+VLOOKUP('2. Logging Brejo Seco'!AO28,Leyenda!$B$39:$E$43,4,FALSE)</f>
        <v>4</v>
      </c>
      <c r="BO28" s="67">
        <f>+VLOOKUP('2. Logging Brejo Seco'!AN28,Leyenda!$B$30:$E$34,4,FALSE)</f>
        <v>4</v>
      </c>
      <c r="BP28" s="67">
        <f>VLOOKUP(AS28,Leyenda!$B$71:$E$75,4,FALSE)</f>
        <v>10</v>
      </c>
      <c r="BQ28" s="125">
        <f t="shared" si="14"/>
        <v>37</v>
      </c>
      <c r="BR28" s="85">
        <f t="shared" si="15"/>
        <v>44</v>
      </c>
      <c r="BS28" s="240">
        <f t="shared" si="16"/>
        <v>0.5</v>
      </c>
      <c r="BT28" s="18"/>
    </row>
    <row r="29" spans="1:72" x14ac:dyDescent="0.25">
      <c r="A29" s="18" t="s">
        <v>6</v>
      </c>
      <c r="B29" s="18">
        <v>2024</v>
      </c>
      <c r="C29" s="18" t="s">
        <v>138</v>
      </c>
      <c r="D29" s="18" t="s">
        <v>10</v>
      </c>
      <c r="E29" s="18">
        <v>40</v>
      </c>
      <c r="F29" s="18">
        <v>40</v>
      </c>
      <c r="G29" s="18" t="s">
        <v>153</v>
      </c>
      <c r="H29" s="248">
        <f t="shared" si="20"/>
        <v>40</v>
      </c>
      <c r="I29" s="135"/>
      <c r="J29" s="18" t="s">
        <v>159</v>
      </c>
      <c r="K29" s="31">
        <f t="shared" si="17"/>
        <v>13</v>
      </c>
      <c r="L29" s="31">
        <f t="shared" si="18"/>
        <v>13.5</v>
      </c>
      <c r="M29" s="4">
        <f t="shared" si="8"/>
        <v>0.5</v>
      </c>
      <c r="N29" s="5">
        <v>0.5</v>
      </c>
      <c r="O29" s="5">
        <f t="shared" si="1"/>
        <v>0.5</v>
      </c>
      <c r="P29" s="31">
        <f t="shared" si="9"/>
        <v>0.25</v>
      </c>
      <c r="Q29" s="31">
        <f t="shared" si="2"/>
        <v>0.25</v>
      </c>
      <c r="R29" s="31">
        <v>12.5</v>
      </c>
      <c r="S29" s="31">
        <v>20</v>
      </c>
      <c r="T29" s="31">
        <v>0.22</v>
      </c>
      <c r="U29" s="31">
        <v>0.12</v>
      </c>
      <c r="V29" s="86">
        <f t="shared" si="21"/>
        <v>24</v>
      </c>
      <c r="W29" s="31">
        <v>3</v>
      </c>
      <c r="X29" s="31"/>
      <c r="Y29" s="31">
        <f t="shared" si="24"/>
        <v>3</v>
      </c>
      <c r="Z29" s="31">
        <f>+IF(T29=0,"",(T29*1000)/Y29)</f>
        <v>73.333333333333329</v>
      </c>
      <c r="AA29" s="18">
        <v>0</v>
      </c>
      <c r="AB29" s="18" t="s">
        <v>96</v>
      </c>
      <c r="AC29" s="18" t="s">
        <v>333</v>
      </c>
      <c r="AD29" s="18" t="s">
        <v>335</v>
      </c>
      <c r="AE29" s="18">
        <v>20</v>
      </c>
      <c r="AF29" s="18">
        <v>12.5</v>
      </c>
      <c r="AG29" s="18" t="s">
        <v>29</v>
      </c>
      <c r="AH29" s="18" t="str">
        <f t="shared" si="25"/>
        <v>R2</v>
      </c>
      <c r="AI29" s="18" t="str">
        <f>+VLOOKUP(AH29,Leyenda!$O$4:$U$10,6,FALSE)</f>
        <v>0,25-0,35</v>
      </c>
      <c r="AJ29" s="18" t="str">
        <f>+VLOOKUP(AH29,Leyenda!$O$4:$U$10,7,FALSE)</f>
        <v>No Blasting need</v>
      </c>
      <c r="AK29" s="18">
        <f>+VLOOKUP(AJ29,Leyenda!$U$4:$V$10,2,FALSE)</f>
        <v>2</v>
      </c>
      <c r="AL29" s="18" t="s">
        <v>34</v>
      </c>
      <c r="AM29" s="18" t="str">
        <f t="shared" si="10"/>
        <v>R2</v>
      </c>
      <c r="AN29" s="18" t="s">
        <v>66</v>
      </c>
      <c r="AO29" s="18" t="s">
        <v>81</v>
      </c>
      <c r="AP29" s="18" t="s">
        <v>100</v>
      </c>
      <c r="AQ29" s="18" t="s">
        <v>107</v>
      </c>
      <c r="AR29" s="18" t="s">
        <v>122</v>
      </c>
      <c r="AS29" s="18" t="s">
        <v>198</v>
      </c>
      <c r="AT29" s="18" t="s">
        <v>211</v>
      </c>
      <c r="AU29" s="18"/>
      <c r="AV29" s="18">
        <f>+VLOOKUP(AN29,Leyenda!$B$30:$E$34,3,FALSE)</f>
        <v>1</v>
      </c>
      <c r="AW29" s="18">
        <f>+VLOOKUP('2. Logging Brejo Seco'!AO29,Meteorizacion,3,FALSE)</f>
        <v>0</v>
      </c>
      <c r="AX29" s="18">
        <f>+VLOOKUP('2. Logging Brejo Seco'!AP29,Apertura,3,FALSE)</f>
        <v>0</v>
      </c>
      <c r="AY29" s="18">
        <f>+VLOOKUP('2. Logging Brejo Seco'!AQ29,Leyenda!$B$55:$D$59,3,FALSE)</f>
        <v>3</v>
      </c>
      <c r="AZ29" s="18">
        <f>+VLOOKUP('2. Logging Brejo Seco'!AR29,Relleno,3,FALSE)</f>
        <v>0</v>
      </c>
      <c r="BA29" s="18">
        <f t="shared" si="23"/>
        <v>4</v>
      </c>
      <c r="BB29" s="49">
        <f t="shared" si="5"/>
        <v>5</v>
      </c>
      <c r="BC29" s="49">
        <f>VLOOKUP(AM29,Leyenda!$B$4:$D$10,3,FALSE)</f>
        <v>2</v>
      </c>
      <c r="BD29" s="50">
        <f t="shared" si="11"/>
        <v>7</v>
      </c>
      <c r="BE29" s="49">
        <f t="shared" si="12"/>
        <v>4</v>
      </c>
      <c r="BF29" s="49">
        <f>VLOOKUP(AS29,Leyenda!$B$70:$D$75,3,FALSE)</f>
        <v>15</v>
      </c>
      <c r="BG29" s="67">
        <f t="shared" si="6"/>
        <v>18</v>
      </c>
      <c r="BH29" s="67">
        <f>VLOOKUP(AM29,Leyenda!$B$4:$E$10,4,FALSE)</f>
        <v>2</v>
      </c>
      <c r="BI29" s="67">
        <f t="shared" si="13"/>
        <v>6</v>
      </c>
      <c r="BJ29" s="67">
        <f t="shared" si="7"/>
        <v>5</v>
      </c>
      <c r="BK29" s="67">
        <f>+VLOOKUP('2. Logging Brejo Seco'!AP29,Leyenda!$B$47:$E$51,4,FALSE)</f>
        <v>0</v>
      </c>
      <c r="BL29" s="67">
        <f>+VLOOKUP('2. Logging Brejo Seco'!AQ29,Leyenda!$B$55:$E$59,4,FALSE)</f>
        <v>3</v>
      </c>
      <c r="BM29" s="67">
        <f>+VLOOKUP('2. Logging Brejo Seco'!AR29,Leyenda!$B$63:$E$67,3,FALSE)</f>
        <v>0</v>
      </c>
      <c r="BN29" s="67">
        <f>+VLOOKUP('2. Logging Brejo Seco'!AO29,Leyenda!$B$39:$E$43,4,FALSE)</f>
        <v>0</v>
      </c>
      <c r="BO29" s="67">
        <f>+VLOOKUP('2. Logging Brejo Seco'!AN29,Leyenda!$B$30:$E$34,4,FALSE)</f>
        <v>1</v>
      </c>
      <c r="BP29" s="67">
        <f>VLOOKUP(AS29,Leyenda!$B$71:$E$75,4,FALSE)</f>
        <v>10</v>
      </c>
      <c r="BQ29" s="125">
        <f t="shared" si="14"/>
        <v>27</v>
      </c>
      <c r="BR29" s="85">
        <f t="shared" si="15"/>
        <v>33</v>
      </c>
      <c r="BS29" s="240">
        <f t="shared" si="16"/>
        <v>0.5</v>
      </c>
      <c r="BT29" s="18" t="s">
        <v>712</v>
      </c>
    </row>
    <row r="30" spans="1:72" x14ac:dyDescent="0.25">
      <c r="A30" s="18" t="s">
        <v>6</v>
      </c>
      <c r="B30" s="18">
        <v>2024</v>
      </c>
      <c r="C30" s="18" t="s">
        <v>138</v>
      </c>
      <c r="D30" s="18" t="s">
        <v>10</v>
      </c>
      <c r="E30" s="18">
        <v>40</v>
      </c>
      <c r="F30" s="18">
        <v>40</v>
      </c>
      <c r="G30" s="18" t="s">
        <v>153</v>
      </c>
      <c r="H30" s="248">
        <f t="shared" si="20"/>
        <v>40</v>
      </c>
      <c r="I30" s="135"/>
      <c r="J30" s="18" t="s">
        <v>160</v>
      </c>
      <c r="K30" s="31">
        <f t="shared" si="17"/>
        <v>13.5</v>
      </c>
      <c r="L30" s="31">
        <f t="shared" si="18"/>
        <v>14</v>
      </c>
      <c r="M30" s="4">
        <f t="shared" si="8"/>
        <v>0.5</v>
      </c>
      <c r="N30" s="5">
        <v>0.48</v>
      </c>
      <c r="O30" s="5">
        <f t="shared" si="1"/>
        <v>0.52</v>
      </c>
      <c r="P30" s="31">
        <f t="shared" si="9"/>
        <v>0.24</v>
      </c>
      <c r="Q30" s="31">
        <f t="shared" si="2"/>
        <v>0.24</v>
      </c>
      <c r="R30" s="31">
        <v>12</v>
      </c>
      <c r="S30" s="31">
        <v>20</v>
      </c>
      <c r="T30" s="31">
        <v>0.42</v>
      </c>
      <c r="U30" s="31">
        <v>0.14000000000000001</v>
      </c>
      <c r="V30" s="86">
        <f t="shared" si="21"/>
        <v>28.000000000000004</v>
      </c>
      <c r="W30" s="31">
        <v>3</v>
      </c>
      <c r="X30" s="31"/>
      <c r="Y30" s="31">
        <f t="shared" si="24"/>
        <v>3</v>
      </c>
      <c r="Z30" s="31">
        <f t="shared" ref="Z30:Z93" si="26">+IF(T30=0,"",(T30*1000)/Y30)</f>
        <v>140</v>
      </c>
      <c r="AA30" s="18">
        <v>0</v>
      </c>
      <c r="AB30" s="18" t="s">
        <v>96</v>
      </c>
      <c r="AC30" s="18" t="s">
        <v>333</v>
      </c>
      <c r="AD30" s="18" t="s">
        <v>335</v>
      </c>
      <c r="AE30" s="18">
        <v>20</v>
      </c>
      <c r="AF30" s="18">
        <v>12</v>
      </c>
      <c r="AG30" s="18" t="s">
        <v>32</v>
      </c>
      <c r="AH30" s="18" t="str">
        <f t="shared" si="25"/>
        <v>R1</v>
      </c>
      <c r="AI30" s="18" t="str">
        <f>+VLOOKUP(AH30,Leyenda!$O$4:$U$10,6,FALSE)</f>
        <v>0,15-0,25</v>
      </c>
      <c r="AJ30" s="18" t="str">
        <f>+VLOOKUP(AH30,Leyenda!$O$4:$U$10,7,FALSE)</f>
        <v>No Blasting need</v>
      </c>
      <c r="AK30" s="18">
        <f>+VLOOKUP(AJ30,Leyenda!$U$4:$V$10,2,FALSE)</f>
        <v>2</v>
      </c>
      <c r="AL30" s="18" t="s">
        <v>34</v>
      </c>
      <c r="AM30" s="18" t="str">
        <f t="shared" si="10"/>
        <v>R1</v>
      </c>
      <c r="AN30" s="18" t="s">
        <v>66</v>
      </c>
      <c r="AO30" s="18" t="s">
        <v>81</v>
      </c>
      <c r="AP30" s="18" t="s">
        <v>100</v>
      </c>
      <c r="AQ30" s="18" t="s">
        <v>107</v>
      </c>
      <c r="AR30" s="18" t="s">
        <v>122</v>
      </c>
      <c r="AS30" s="18" t="s">
        <v>198</v>
      </c>
      <c r="AT30" s="18" t="s">
        <v>211</v>
      </c>
      <c r="AU30" s="18"/>
      <c r="AV30" s="18">
        <f>+VLOOKUP(AN30,Leyenda!$B$30:$E$34,3,FALSE)</f>
        <v>1</v>
      </c>
      <c r="AW30" s="18">
        <f>+VLOOKUP('2. Logging Brejo Seco'!AO30,Meteorizacion,3,FALSE)</f>
        <v>0</v>
      </c>
      <c r="AX30" s="18">
        <f>+VLOOKUP('2. Logging Brejo Seco'!AP30,Apertura,3,FALSE)</f>
        <v>0</v>
      </c>
      <c r="AY30" s="18">
        <f>+VLOOKUP('2. Logging Brejo Seco'!AQ30,Leyenda!$B$55:$D$59,3,FALSE)</f>
        <v>3</v>
      </c>
      <c r="AZ30" s="18">
        <f>+VLOOKUP('2. Logging Brejo Seco'!AR30,Relleno,3,FALSE)</f>
        <v>0</v>
      </c>
      <c r="BA30" s="18">
        <f t="shared" si="23"/>
        <v>4</v>
      </c>
      <c r="BB30" s="49">
        <f t="shared" si="5"/>
        <v>6</v>
      </c>
      <c r="BC30" s="49">
        <f>VLOOKUP(AM30,Leyenda!$B$4:$D$10,3,FALSE)</f>
        <v>1</v>
      </c>
      <c r="BD30" s="50">
        <f t="shared" si="11"/>
        <v>8</v>
      </c>
      <c r="BE30" s="49">
        <f t="shared" si="12"/>
        <v>4</v>
      </c>
      <c r="BF30" s="49">
        <f>VLOOKUP(AS30,Leyenda!$B$70:$D$75,3,FALSE)</f>
        <v>15</v>
      </c>
      <c r="BG30" s="67">
        <f t="shared" si="6"/>
        <v>20</v>
      </c>
      <c r="BH30" s="67">
        <f>VLOOKUP(AM30,Leyenda!$B$4:$E$10,4,FALSE)</f>
        <v>1</v>
      </c>
      <c r="BI30" s="67">
        <f t="shared" si="13"/>
        <v>10</v>
      </c>
      <c r="BJ30" s="67">
        <f t="shared" si="7"/>
        <v>6</v>
      </c>
      <c r="BK30" s="67">
        <f>+VLOOKUP('2. Logging Brejo Seco'!AP30,Leyenda!$B$47:$E$51,4,FALSE)</f>
        <v>0</v>
      </c>
      <c r="BL30" s="67">
        <f>+VLOOKUP('2. Logging Brejo Seco'!AQ30,Leyenda!$B$55:$E$59,4,FALSE)</f>
        <v>3</v>
      </c>
      <c r="BM30" s="67">
        <f>+VLOOKUP('2. Logging Brejo Seco'!AR30,Leyenda!$B$63:$E$67,3,FALSE)</f>
        <v>0</v>
      </c>
      <c r="BN30" s="67">
        <f>+VLOOKUP('2. Logging Brejo Seco'!AO30,Leyenda!$B$39:$E$43,4,FALSE)</f>
        <v>0</v>
      </c>
      <c r="BO30" s="67">
        <f>+VLOOKUP('2. Logging Brejo Seco'!AN30,Leyenda!$B$30:$E$34,4,FALSE)</f>
        <v>1</v>
      </c>
      <c r="BP30" s="67">
        <f>VLOOKUP(AS30,Leyenda!$B$71:$E$75,4,FALSE)</f>
        <v>10</v>
      </c>
      <c r="BQ30" s="125">
        <f t="shared" si="14"/>
        <v>31</v>
      </c>
      <c r="BR30" s="85">
        <f t="shared" si="15"/>
        <v>34</v>
      </c>
      <c r="BS30" s="240">
        <f t="shared" si="16"/>
        <v>0.52</v>
      </c>
      <c r="BT30" s="18" t="s">
        <v>712</v>
      </c>
    </row>
    <row r="31" spans="1:72" x14ac:dyDescent="0.25">
      <c r="A31" s="18" t="s">
        <v>6</v>
      </c>
      <c r="B31" s="18">
        <v>2024</v>
      </c>
      <c r="C31" s="18" t="s">
        <v>138</v>
      </c>
      <c r="D31" s="18" t="s">
        <v>10</v>
      </c>
      <c r="E31" s="18">
        <v>40</v>
      </c>
      <c r="F31" s="18">
        <v>40</v>
      </c>
      <c r="G31" s="18" t="s">
        <v>153</v>
      </c>
      <c r="H31" s="248">
        <f t="shared" si="20"/>
        <v>40</v>
      </c>
      <c r="I31" s="135"/>
      <c r="J31" s="18" t="s">
        <v>160</v>
      </c>
      <c r="K31" s="31">
        <f t="shared" si="17"/>
        <v>14</v>
      </c>
      <c r="L31" s="31">
        <f t="shared" si="18"/>
        <v>14.5</v>
      </c>
      <c r="M31" s="4">
        <f t="shared" si="8"/>
        <v>0.5</v>
      </c>
      <c r="N31" s="5">
        <v>0.9</v>
      </c>
      <c r="O31" s="5">
        <f t="shared" si="1"/>
        <v>9.9999999999999978E-2</v>
      </c>
      <c r="P31" s="31">
        <f t="shared" si="9"/>
        <v>0.45</v>
      </c>
      <c r="Q31" s="31">
        <f t="shared" si="2"/>
        <v>0.45</v>
      </c>
      <c r="R31" s="31">
        <v>22.5</v>
      </c>
      <c r="S31" s="31">
        <v>20</v>
      </c>
      <c r="T31" s="31">
        <v>0.42</v>
      </c>
      <c r="U31" s="31">
        <v>0.22</v>
      </c>
      <c r="V31" s="86">
        <f t="shared" si="21"/>
        <v>44</v>
      </c>
      <c r="W31" s="31">
        <v>6</v>
      </c>
      <c r="X31" s="31"/>
      <c r="Y31" s="31">
        <f t="shared" si="24"/>
        <v>6</v>
      </c>
      <c r="Z31" s="31">
        <f t="shared" si="26"/>
        <v>70</v>
      </c>
      <c r="AA31" s="18">
        <v>0</v>
      </c>
      <c r="AB31" s="18" t="s">
        <v>92</v>
      </c>
      <c r="AC31" s="18" t="s">
        <v>333</v>
      </c>
      <c r="AD31" s="18" t="s">
        <v>335</v>
      </c>
      <c r="AE31" s="18">
        <v>20</v>
      </c>
      <c r="AF31" s="18">
        <v>22.5</v>
      </c>
      <c r="AG31" s="18" t="s">
        <v>32</v>
      </c>
      <c r="AH31" s="18" t="str">
        <f t="shared" si="25"/>
        <v>R1</v>
      </c>
      <c r="AI31" s="18" t="str">
        <f>+VLOOKUP(AH31,Leyenda!$O$4:$U$10,6,FALSE)</f>
        <v>0,15-0,25</v>
      </c>
      <c r="AJ31" s="18" t="str">
        <f>+VLOOKUP(AH31,Leyenda!$O$4:$U$10,7,FALSE)</f>
        <v>No Blasting need</v>
      </c>
      <c r="AK31" s="18">
        <f>+VLOOKUP(AJ31,Leyenda!$U$4:$V$10,2,FALSE)</f>
        <v>2</v>
      </c>
      <c r="AL31" s="18" t="s">
        <v>22</v>
      </c>
      <c r="AM31" s="18" t="str">
        <f t="shared" si="10"/>
        <v>R1</v>
      </c>
      <c r="AN31" s="18" t="s">
        <v>62</v>
      </c>
      <c r="AO31" s="18" t="s">
        <v>77</v>
      </c>
      <c r="AP31" s="18" t="s">
        <v>92</v>
      </c>
      <c r="AQ31" s="18" t="s">
        <v>107</v>
      </c>
      <c r="AR31" s="18" t="s">
        <v>118</v>
      </c>
      <c r="AS31" s="18" t="s">
        <v>198</v>
      </c>
      <c r="AT31" s="18" t="s">
        <v>212</v>
      </c>
      <c r="AU31" s="18"/>
      <c r="AV31" s="18">
        <f>+VLOOKUP(AN31,Leyenda!$B$30:$E$34,3,FALSE)</f>
        <v>4</v>
      </c>
      <c r="AW31" s="18">
        <f>+VLOOKUP('2. Logging Brejo Seco'!AO31,Meteorizacion,3,FALSE)</f>
        <v>3</v>
      </c>
      <c r="AX31" s="18">
        <f>+VLOOKUP('2. Logging Brejo Seco'!AP31,Apertura,3,FALSE)</f>
        <v>3</v>
      </c>
      <c r="AY31" s="18">
        <f>+VLOOKUP('2. Logging Brejo Seco'!AQ31,Leyenda!$B$55:$D$59,3,FALSE)</f>
        <v>3</v>
      </c>
      <c r="AZ31" s="18">
        <f>+VLOOKUP('2. Logging Brejo Seco'!AR31,Relleno,3,FALSE)</f>
        <v>2</v>
      </c>
      <c r="BA31" s="18">
        <f t="shared" si="23"/>
        <v>15</v>
      </c>
      <c r="BB31" s="49">
        <f t="shared" si="5"/>
        <v>9</v>
      </c>
      <c r="BC31" s="49">
        <f>VLOOKUP(AM31,Leyenda!$B$4:$D$10,3,FALSE)</f>
        <v>1</v>
      </c>
      <c r="BD31" s="50">
        <f t="shared" si="11"/>
        <v>6</v>
      </c>
      <c r="BE31" s="49">
        <f t="shared" si="12"/>
        <v>15</v>
      </c>
      <c r="BF31" s="49">
        <f>VLOOKUP(AS31,Leyenda!$B$70:$D$75,3,FALSE)</f>
        <v>15</v>
      </c>
      <c r="BG31" s="67">
        <f t="shared" si="6"/>
        <v>44.5</v>
      </c>
      <c r="BH31" s="67">
        <f>VLOOKUP(AM31,Leyenda!$B$4:$E$10,4,FALSE)</f>
        <v>1</v>
      </c>
      <c r="BI31" s="125">
        <f t="shared" si="13"/>
        <v>6</v>
      </c>
      <c r="BJ31" s="125">
        <f t="shared" si="7"/>
        <v>9</v>
      </c>
      <c r="BK31" s="125">
        <f>+VLOOKUP('2. Logging Brejo Seco'!AP31,Leyenda!$B$47:$E$51,4,FALSE)</f>
        <v>3</v>
      </c>
      <c r="BL31" s="125">
        <f>+VLOOKUP('2. Logging Brejo Seco'!AQ31,Leyenda!$B$55:$E$59,4,FALSE)</f>
        <v>3</v>
      </c>
      <c r="BM31" s="125">
        <f>+VLOOKUP('2. Logging Brejo Seco'!AR31,Leyenda!$B$63:$E$67,3,FALSE)</f>
        <v>2</v>
      </c>
      <c r="BN31" s="125">
        <f>+VLOOKUP('2. Logging Brejo Seco'!AO31,Leyenda!$B$39:$E$43,4,FALSE)</f>
        <v>3</v>
      </c>
      <c r="BO31" s="125">
        <f>+VLOOKUP('2. Logging Brejo Seco'!AN31,Leyenda!$B$30:$E$34,4,FALSE)</f>
        <v>4</v>
      </c>
      <c r="BP31" s="125">
        <f>VLOOKUP(AS31,Leyenda!$B$71:$E$75,4,FALSE)</f>
        <v>10</v>
      </c>
      <c r="BQ31" s="125">
        <f t="shared" si="14"/>
        <v>41</v>
      </c>
      <c r="BR31" s="85">
        <f t="shared" si="15"/>
        <v>46</v>
      </c>
      <c r="BS31" s="240">
        <f t="shared" si="16"/>
        <v>9.9999999999999978E-2</v>
      </c>
      <c r="BT31" s="18"/>
    </row>
    <row r="32" spans="1:72" x14ac:dyDescent="0.25">
      <c r="A32" s="18" t="s">
        <v>6</v>
      </c>
      <c r="B32" s="18">
        <v>2024</v>
      </c>
      <c r="C32" s="18" t="s">
        <v>138</v>
      </c>
      <c r="D32" s="18" t="s">
        <v>10</v>
      </c>
      <c r="E32" s="18">
        <v>40</v>
      </c>
      <c r="F32" s="18">
        <v>40</v>
      </c>
      <c r="G32" s="18" t="s">
        <v>153</v>
      </c>
      <c r="H32" s="248">
        <f t="shared" si="20"/>
        <v>40</v>
      </c>
      <c r="I32" s="135"/>
      <c r="J32" s="18" t="s">
        <v>161</v>
      </c>
      <c r="K32" s="31">
        <f t="shared" si="17"/>
        <v>14.5</v>
      </c>
      <c r="L32" s="31">
        <f t="shared" si="18"/>
        <v>15</v>
      </c>
      <c r="M32" s="4">
        <f t="shared" si="8"/>
        <v>0.5</v>
      </c>
      <c r="N32" s="5">
        <v>0.9</v>
      </c>
      <c r="O32" s="5">
        <f t="shared" si="1"/>
        <v>9.9999999999999978E-2</v>
      </c>
      <c r="P32" s="31">
        <f t="shared" si="9"/>
        <v>0.45</v>
      </c>
      <c r="Q32" s="31">
        <f t="shared" si="2"/>
        <v>0.45</v>
      </c>
      <c r="R32" s="31">
        <v>22.5</v>
      </c>
      <c r="S32" s="31">
        <v>20</v>
      </c>
      <c r="T32" s="31">
        <v>0.37</v>
      </c>
      <c r="U32" s="31">
        <v>0.2</v>
      </c>
      <c r="V32" s="86">
        <f t="shared" si="21"/>
        <v>40</v>
      </c>
      <c r="W32" s="31">
        <v>4</v>
      </c>
      <c r="X32" s="31"/>
      <c r="Y32" s="31">
        <f t="shared" si="24"/>
        <v>4</v>
      </c>
      <c r="Z32" s="31">
        <f t="shared" si="26"/>
        <v>92.5</v>
      </c>
      <c r="AA32" s="18">
        <v>0</v>
      </c>
      <c r="AB32" s="18" t="s">
        <v>92</v>
      </c>
      <c r="AC32" s="18" t="s">
        <v>333</v>
      </c>
      <c r="AD32" s="18" t="s">
        <v>337</v>
      </c>
      <c r="AE32" s="18">
        <v>20</v>
      </c>
      <c r="AF32" s="18">
        <v>22.5</v>
      </c>
      <c r="AG32" s="18" t="s">
        <v>32</v>
      </c>
      <c r="AH32" s="18" t="str">
        <f t="shared" si="25"/>
        <v>R1</v>
      </c>
      <c r="AI32" s="18" t="str">
        <f>+VLOOKUP(AH32,Leyenda!$O$4:$U$10,6,FALSE)</f>
        <v>0,15-0,25</v>
      </c>
      <c r="AJ32" s="18" t="str">
        <f>+VLOOKUP(AH32,Leyenda!$O$4:$U$10,7,FALSE)</f>
        <v>No Blasting need</v>
      </c>
      <c r="AK32" s="18">
        <f>+VLOOKUP(AJ32,Leyenda!$U$4:$V$10,2,FALSE)</f>
        <v>2</v>
      </c>
      <c r="AL32" s="18" t="s">
        <v>22</v>
      </c>
      <c r="AM32" s="18" t="str">
        <f t="shared" si="10"/>
        <v>R1</v>
      </c>
      <c r="AN32" s="18" t="s">
        <v>62</v>
      </c>
      <c r="AO32" s="18" t="s">
        <v>77</v>
      </c>
      <c r="AP32" s="18" t="s">
        <v>92</v>
      </c>
      <c r="AQ32" s="18" t="s">
        <v>107</v>
      </c>
      <c r="AR32" s="18" t="s">
        <v>118</v>
      </c>
      <c r="AS32" s="18" t="s">
        <v>198</v>
      </c>
      <c r="AT32" s="18" t="s">
        <v>212</v>
      </c>
      <c r="AU32" s="18"/>
      <c r="AV32" s="18">
        <f>+VLOOKUP(AN32,Leyenda!$B$30:$E$34,3,FALSE)</f>
        <v>4</v>
      </c>
      <c r="AW32" s="18">
        <f>+VLOOKUP('2. Logging Brejo Seco'!AO32,Meteorizacion,3,FALSE)</f>
        <v>3</v>
      </c>
      <c r="AX32" s="18">
        <f>+VLOOKUP('2. Logging Brejo Seco'!AP32,Apertura,3,FALSE)</f>
        <v>3</v>
      </c>
      <c r="AY32" s="18">
        <f>+VLOOKUP('2. Logging Brejo Seco'!AQ32,Leyenda!$B$55:$D$59,3,FALSE)</f>
        <v>3</v>
      </c>
      <c r="AZ32" s="18">
        <f>+VLOOKUP('2. Logging Brejo Seco'!AR32,Relleno,3,FALSE)</f>
        <v>2</v>
      </c>
      <c r="BA32" s="18">
        <f t="shared" si="23"/>
        <v>15</v>
      </c>
      <c r="BB32" s="49">
        <f t="shared" si="5"/>
        <v>8</v>
      </c>
      <c r="BC32" s="49">
        <f>VLOOKUP(AM32,Leyenda!$B$4:$D$10,3,FALSE)</f>
        <v>1</v>
      </c>
      <c r="BD32" s="50">
        <f t="shared" si="11"/>
        <v>7</v>
      </c>
      <c r="BE32" s="49">
        <f t="shared" si="12"/>
        <v>15</v>
      </c>
      <c r="BF32" s="49">
        <f>VLOOKUP(AS32,Leyenda!$B$70:$D$75,3,FALSE)</f>
        <v>15</v>
      </c>
      <c r="BG32" s="67">
        <f t="shared" si="6"/>
        <v>42.5</v>
      </c>
      <c r="BH32" s="67">
        <f>VLOOKUP(AM32,Leyenda!$B$4:$E$10,4,FALSE)</f>
        <v>1</v>
      </c>
      <c r="BI32" s="125">
        <f t="shared" si="13"/>
        <v>8</v>
      </c>
      <c r="BJ32" s="125">
        <f t="shared" si="7"/>
        <v>8</v>
      </c>
      <c r="BK32" s="125">
        <f>+VLOOKUP('2. Logging Brejo Seco'!AP32,Leyenda!$B$47:$E$51,4,FALSE)</f>
        <v>3</v>
      </c>
      <c r="BL32" s="125">
        <f>+VLOOKUP('2. Logging Brejo Seco'!AQ32,Leyenda!$B$55:$E$59,4,FALSE)</f>
        <v>3</v>
      </c>
      <c r="BM32" s="125">
        <f>+VLOOKUP('2. Logging Brejo Seco'!AR32,Leyenda!$B$63:$E$67,3,FALSE)</f>
        <v>2</v>
      </c>
      <c r="BN32" s="125">
        <f>+VLOOKUP('2. Logging Brejo Seco'!AO32,Leyenda!$B$39:$E$43,4,FALSE)</f>
        <v>3</v>
      </c>
      <c r="BO32" s="125">
        <f>+VLOOKUP('2. Logging Brejo Seco'!AN32,Leyenda!$B$30:$E$34,4,FALSE)</f>
        <v>4</v>
      </c>
      <c r="BP32" s="125">
        <f>VLOOKUP(AS32,Leyenda!$B$71:$E$75,4,FALSE)</f>
        <v>10</v>
      </c>
      <c r="BQ32" s="125">
        <f t="shared" si="14"/>
        <v>42</v>
      </c>
      <c r="BR32" s="85">
        <f t="shared" si="15"/>
        <v>46</v>
      </c>
      <c r="BS32" s="240">
        <f t="shared" si="16"/>
        <v>9.9999999999999978E-2</v>
      </c>
      <c r="BT32" s="18"/>
    </row>
    <row r="33" spans="1:92" x14ac:dyDescent="0.25">
      <c r="A33" s="18" t="s">
        <v>6</v>
      </c>
      <c r="B33" s="18">
        <v>2024</v>
      </c>
      <c r="C33" s="18" t="s">
        <v>138</v>
      </c>
      <c r="D33" s="18" t="s">
        <v>10</v>
      </c>
      <c r="E33" s="18">
        <v>40</v>
      </c>
      <c r="F33" s="18">
        <v>40</v>
      </c>
      <c r="G33" s="18" t="s">
        <v>153</v>
      </c>
      <c r="H33" s="248">
        <f t="shared" si="20"/>
        <v>40</v>
      </c>
      <c r="I33" s="135"/>
      <c r="J33" s="18" t="s">
        <v>161</v>
      </c>
      <c r="K33" s="31">
        <f t="shared" si="17"/>
        <v>15</v>
      </c>
      <c r="L33" s="31">
        <f t="shared" si="18"/>
        <v>15.5</v>
      </c>
      <c r="M33" s="4">
        <f t="shared" si="8"/>
        <v>0.5</v>
      </c>
      <c r="N33" s="5">
        <v>0.74</v>
      </c>
      <c r="O33" s="5">
        <f t="shared" si="1"/>
        <v>0.26</v>
      </c>
      <c r="P33" s="31">
        <f t="shared" si="9"/>
        <v>0.37</v>
      </c>
      <c r="Q33" s="31">
        <f t="shared" si="2"/>
        <v>0.37</v>
      </c>
      <c r="R33" s="31">
        <v>18.5</v>
      </c>
      <c r="S33" s="31">
        <v>20</v>
      </c>
      <c r="T33" s="31">
        <v>0.34</v>
      </c>
      <c r="U33" s="31">
        <v>0</v>
      </c>
      <c r="V33" s="86">
        <f t="shared" si="21"/>
        <v>0</v>
      </c>
      <c r="W33" s="31">
        <v>7</v>
      </c>
      <c r="X33" s="31"/>
      <c r="Y33" s="31">
        <f t="shared" si="24"/>
        <v>7</v>
      </c>
      <c r="Z33" s="31">
        <f t="shared" si="26"/>
        <v>48.571428571428569</v>
      </c>
      <c r="AA33" s="18">
        <v>0</v>
      </c>
      <c r="AB33" s="18" t="s">
        <v>100</v>
      </c>
      <c r="AC33" s="18" t="s">
        <v>333</v>
      </c>
      <c r="AD33" s="18" t="s">
        <v>334</v>
      </c>
      <c r="AE33" s="18">
        <v>20</v>
      </c>
      <c r="AF33" s="18">
        <v>18.5</v>
      </c>
      <c r="AG33" s="18" t="s">
        <v>27</v>
      </c>
      <c r="AH33" s="18" t="str">
        <f t="shared" si="25"/>
        <v>R3</v>
      </c>
      <c r="AI33" s="18" t="str">
        <f>+VLOOKUP(AH33,Leyenda!$O$4:$U$10,6,FALSE)</f>
        <v>0,35-0,50</v>
      </c>
      <c r="AJ33" s="18" t="str">
        <f>+VLOOKUP(AH33,Leyenda!$O$4:$U$10,7,FALSE)</f>
        <v>Easy to blast</v>
      </c>
      <c r="AK33" s="18">
        <f>+VLOOKUP(AJ33,Leyenda!$U$4:$V$10,2,FALSE)</f>
        <v>3</v>
      </c>
      <c r="AL33" s="18" t="s">
        <v>27</v>
      </c>
      <c r="AM33" s="18" t="str">
        <f t="shared" si="10"/>
        <v>R3</v>
      </c>
      <c r="AN33" s="18" t="s">
        <v>62</v>
      </c>
      <c r="AO33" s="18" t="s">
        <v>77</v>
      </c>
      <c r="AP33" s="18" t="s">
        <v>96</v>
      </c>
      <c r="AQ33" s="18" t="s">
        <v>109</v>
      </c>
      <c r="AR33" s="18" t="s">
        <v>120</v>
      </c>
      <c r="AS33" s="18" t="s">
        <v>198</v>
      </c>
      <c r="AT33" s="18" t="s">
        <v>213</v>
      </c>
      <c r="AU33" s="18"/>
      <c r="AV33" s="18">
        <f>+VLOOKUP(AN33,Leyenda!$B$30:$E$34,3,FALSE)</f>
        <v>4</v>
      </c>
      <c r="AW33" s="18">
        <f>+VLOOKUP('2. Logging Brejo Seco'!AO33,Meteorizacion,3,FALSE)</f>
        <v>3</v>
      </c>
      <c r="AX33" s="18">
        <f>+VLOOKUP('2. Logging Brejo Seco'!AP33,Apertura,3,FALSE)</f>
        <v>1</v>
      </c>
      <c r="AY33" s="18">
        <f>+VLOOKUP('2. Logging Brejo Seco'!AQ33,Leyenda!$B$55:$D$59,3,FALSE)</f>
        <v>1</v>
      </c>
      <c r="AZ33" s="18">
        <f>+VLOOKUP('2. Logging Brejo Seco'!AR33,Relleno,3,FALSE)</f>
        <v>2</v>
      </c>
      <c r="BA33" s="18">
        <f t="shared" si="23"/>
        <v>11</v>
      </c>
      <c r="BB33" s="49">
        <f t="shared" si="5"/>
        <v>0</v>
      </c>
      <c r="BC33" s="49">
        <f>VLOOKUP(AM33,Leyenda!$B$4:$D$10,3,FALSE)</f>
        <v>4</v>
      </c>
      <c r="BD33" s="50">
        <f t="shared" si="11"/>
        <v>6</v>
      </c>
      <c r="BE33" s="49">
        <f t="shared" si="12"/>
        <v>11</v>
      </c>
      <c r="BF33" s="49">
        <f>VLOOKUP(AS33,Leyenda!$B$70:$D$75,3,FALSE)</f>
        <v>15</v>
      </c>
      <c r="BG33" s="67">
        <f t="shared" si="6"/>
        <v>16.5</v>
      </c>
      <c r="BH33" s="67">
        <f>VLOOKUP(AM33,Leyenda!$B$4:$E$10,4,FALSE)</f>
        <v>4</v>
      </c>
      <c r="BI33" s="67">
        <f t="shared" si="13"/>
        <v>5</v>
      </c>
      <c r="BJ33" s="67">
        <f t="shared" si="7"/>
        <v>0</v>
      </c>
      <c r="BK33" s="67">
        <f>+VLOOKUP('2. Logging Brejo Seco'!AP33,Leyenda!$B$47:$E$51,4,FALSE)</f>
        <v>1</v>
      </c>
      <c r="BL33" s="67">
        <f>+VLOOKUP('2. Logging Brejo Seco'!AQ33,Leyenda!$B$55:$E$59,4,FALSE)</f>
        <v>1</v>
      </c>
      <c r="BM33" s="67">
        <f>+VLOOKUP('2. Logging Brejo Seco'!AR33,Leyenda!$B$63:$E$67,3,FALSE)</f>
        <v>2</v>
      </c>
      <c r="BN33" s="67">
        <f>+VLOOKUP('2. Logging Brejo Seco'!AO33,Leyenda!$B$39:$E$43,4,FALSE)</f>
        <v>3</v>
      </c>
      <c r="BO33" s="67">
        <f>+VLOOKUP('2. Logging Brejo Seco'!AN33,Leyenda!$B$30:$E$34,4,FALSE)</f>
        <v>4</v>
      </c>
      <c r="BP33" s="67">
        <f>VLOOKUP(AS33,Leyenda!$B$71:$E$75,4,FALSE)</f>
        <v>10</v>
      </c>
      <c r="BQ33" s="125">
        <f t="shared" si="14"/>
        <v>30</v>
      </c>
      <c r="BR33" s="85">
        <f t="shared" si="15"/>
        <v>36</v>
      </c>
      <c r="BS33" s="240">
        <f t="shared" si="16"/>
        <v>0.26</v>
      </c>
      <c r="BT33" s="18"/>
    </row>
    <row r="34" spans="1:92" x14ac:dyDescent="0.25">
      <c r="A34" s="18" t="s">
        <v>6</v>
      </c>
      <c r="B34" s="18">
        <v>2024</v>
      </c>
      <c r="C34" s="18" t="s">
        <v>138</v>
      </c>
      <c r="D34" s="18" t="s">
        <v>10</v>
      </c>
      <c r="E34" s="18">
        <v>40</v>
      </c>
      <c r="F34" s="18">
        <v>40</v>
      </c>
      <c r="G34" s="18" t="s">
        <v>153</v>
      </c>
      <c r="H34" s="248">
        <f t="shared" si="20"/>
        <v>40</v>
      </c>
      <c r="I34" s="135"/>
      <c r="J34" s="18" t="s">
        <v>161</v>
      </c>
      <c r="K34" s="31">
        <f t="shared" si="17"/>
        <v>15.5</v>
      </c>
      <c r="L34" s="31">
        <f t="shared" si="18"/>
        <v>16</v>
      </c>
      <c r="M34" s="4">
        <f t="shared" si="8"/>
        <v>0.5</v>
      </c>
      <c r="N34" s="5">
        <v>0.7</v>
      </c>
      <c r="O34" s="5">
        <f t="shared" si="1"/>
        <v>0.30000000000000004</v>
      </c>
      <c r="P34" s="31">
        <f t="shared" si="9"/>
        <v>0.35</v>
      </c>
      <c r="Q34" s="31">
        <f t="shared" si="2"/>
        <v>0.35</v>
      </c>
      <c r="R34" s="31">
        <v>70</v>
      </c>
      <c r="S34" s="31">
        <v>5</v>
      </c>
      <c r="T34" s="31">
        <v>0.49</v>
      </c>
      <c r="U34" s="31">
        <v>0.27</v>
      </c>
      <c r="V34" s="86">
        <f t="shared" si="21"/>
        <v>54</v>
      </c>
      <c r="W34" s="31">
        <v>6</v>
      </c>
      <c r="X34" s="31"/>
      <c r="Y34" s="31">
        <f t="shared" si="24"/>
        <v>6</v>
      </c>
      <c r="Z34" s="31">
        <f t="shared" si="26"/>
        <v>81.666666666666671</v>
      </c>
      <c r="AA34" s="18">
        <v>54</v>
      </c>
      <c r="AB34" s="18" t="s">
        <v>96</v>
      </c>
      <c r="AC34" s="18" t="s">
        <v>118</v>
      </c>
      <c r="AD34" s="18" t="s">
        <v>337</v>
      </c>
      <c r="AE34" s="18">
        <v>5</v>
      </c>
      <c r="AF34" s="18">
        <v>70</v>
      </c>
      <c r="AG34" s="18" t="s">
        <v>29</v>
      </c>
      <c r="AH34" s="18" t="str">
        <f t="shared" si="25"/>
        <v>R2</v>
      </c>
      <c r="AI34" s="18" t="str">
        <f>+VLOOKUP(AH34,Leyenda!$O$4:$U$10,6,FALSE)</f>
        <v>0,25-0,35</v>
      </c>
      <c r="AJ34" s="18" t="str">
        <f>+VLOOKUP(AH34,Leyenda!$O$4:$U$10,7,FALSE)</f>
        <v>No Blasting need</v>
      </c>
      <c r="AK34" s="18">
        <f>+VLOOKUP(AJ34,Leyenda!$U$4:$V$10,2,FALSE)</f>
        <v>2</v>
      </c>
      <c r="AL34" s="18" t="s">
        <v>196</v>
      </c>
      <c r="AM34" s="18" t="str">
        <f t="shared" si="10"/>
        <v>R2</v>
      </c>
      <c r="AN34" s="18" t="s">
        <v>62</v>
      </c>
      <c r="AO34" s="18" t="s">
        <v>79</v>
      </c>
      <c r="AP34" s="18" t="s">
        <v>96</v>
      </c>
      <c r="AQ34" s="18" t="s">
        <v>107</v>
      </c>
      <c r="AR34" s="18" t="s">
        <v>120</v>
      </c>
      <c r="AS34" s="18" t="s">
        <v>198</v>
      </c>
      <c r="AT34" s="18" t="s">
        <v>213</v>
      </c>
      <c r="AU34" s="18"/>
      <c r="AV34" s="18">
        <f>+VLOOKUP(AN34,Leyenda!$B$30:$E$34,3,FALSE)</f>
        <v>4</v>
      </c>
      <c r="AW34" s="18">
        <f>+VLOOKUP('2. Logging Brejo Seco'!AO34,Meteorizacion,3,FALSE)</f>
        <v>1</v>
      </c>
      <c r="AX34" s="18">
        <f>+VLOOKUP('2. Logging Brejo Seco'!AP34,Apertura,3,FALSE)</f>
        <v>1</v>
      </c>
      <c r="AY34" s="18">
        <f>+VLOOKUP('2. Logging Brejo Seco'!AQ34,Leyenda!$B$55:$D$59,3,FALSE)</f>
        <v>3</v>
      </c>
      <c r="AZ34" s="18">
        <f>+VLOOKUP('2. Logging Brejo Seco'!AR34,Relleno,3,FALSE)</f>
        <v>2</v>
      </c>
      <c r="BA34" s="18">
        <f t="shared" si="23"/>
        <v>11</v>
      </c>
      <c r="BB34" s="49">
        <f t="shared" si="5"/>
        <v>11</v>
      </c>
      <c r="BC34" s="49">
        <f>VLOOKUP(AM34,Leyenda!$B$4:$D$10,3,FALSE)</f>
        <v>2</v>
      </c>
      <c r="BD34" s="50">
        <f t="shared" si="11"/>
        <v>7</v>
      </c>
      <c r="BE34" s="49">
        <f t="shared" si="12"/>
        <v>11</v>
      </c>
      <c r="BF34" s="49">
        <f>VLOOKUP(AS34,Leyenda!$B$70:$D$75,3,FALSE)</f>
        <v>15</v>
      </c>
      <c r="BG34" s="67">
        <f t="shared" si="6"/>
        <v>43.5</v>
      </c>
      <c r="BH34" s="67">
        <f>VLOOKUP(AM34,Leyenda!$B$4:$E$10,4,FALSE)</f>
        <v>2</v>
      </c>
      <c r="BI34" s="67">
        <f t="shared" si="13"/>
        <v>7</v>
      </c>
      <c r="BJ34" s="67">
        <f t="shared" si="7"/>
        <v>11</v>
      </c>
      <c r="BK34" s="67">
        <f>+VLOOKUP('2. Logging Brejo Seco'!AP34,Leyenda!$B$47:$E$51,4,FALSE)</f>
        <v>1</v>
      </c>
      <c r="BL34" s="67">
        <f>+VLOOKUP('2. Logging Brejo Seco'!AQ34,Leyenda!$B$55:$E$59,4,FALSE)</f>
        <v>3</v>
      </c>
      <c r="BM34" s="67">
        <f>+VLOOKUP('2. Logging Brejo Seco'!AR34,Leyenda!$B$63:$E$67,3,FALSE)</f>
        <v>2</v>
      </c>
      <c r="BN34" s="67">
        <f>+VLOOKUP('2. Logging Brejo Seco'!AO34,Leyenda!$B$39:$E$43,4,FALSE)</f>
        <v>1</v>
      </c>
      <c r="BO34" s="67">
        <f>+VLOOKUP('2. Logging Brejo Seco'!AN34,Leyenda!$B$30:$E$34,4,FALSE)</f>
        <v>4</v>
      </c>
      <c r="BP34" s="67">
        <f>VLOOKUP(AS34,Leyenda!$B$71:$E$75,4,FALSE)</f>
        <v>10</v>
      </c>
      <c r="BQ34" s="125">
        <f t="shared" si="14"/>
        <v>41</v>
      </c>
      <c r="BR34" s="85">
        <f t="shared" si="15"/>
        <v>46</v>
      </c>
      <c r="BS34" s="240">
        <f t="shared" si="16"/>
        <v>0.30000000000000004</v>
      </c>
      <c r="BT34" s="18"/>
    </row>
    <row r="35" spans="1:92" x14ac:dyDescent="0.25">
      <c r="A35" s="18" t="s">
        <v>6</v>
      </c>
      <c r="B35" s="18">
        <v>2024</v>
      </c>
      <c r="C35" s="18" t="s">
        <v>138</v>
      </c>
      <c r="D35" s="18" t="s">
        <v>10</v>
      </c>
      <c r="E35" s="18">
        <v>40</v>
      </c>
      <c r="F35" s="18">
        <v>40</v>
      </c>
      <c r="G35" s="18" t="s">
        <v>153</v>
      </c>
      <c r="H35" s="248">
        <f t="shared" si="20"/>
        <v>40</v>
      </c>
      <c r="I35" s="135"/>
      <c r="J35" s="18" t="s">
        <v>161</v>
      </c>
      <c r="K35" s="31">
        <f t="shared" si="17"/>
        <v>16</v>
      </c>
      <c r="L35" s="31">
        <f t="shared" si="18"/>
        <v>16.5</v>
      </c>
      <c r="M35" s="4">
        <f t="shared" si="8"/>
        <v>0.5</v>
      </c>
      <c r="N35" s="5">
        <v>1</v>
      </c>
      <c r="O35" s="5">
        <f t="shared" si="1"/>
        <v>0</v>
      </c>
      <c r="P35" s="31">
        <f t="shared" si="9"/>
        <v>0.5</v>
      </c>
      <c r="Q35" s="31">
        <f t="shared" si="2"/>
        <v>0.5</v>
      </c>
      <c r="R35" s="31">
        <v>25</v>
      </c>
      <c r="S35" s="31">
        <v>20</v>
      </c>
      <c r="T35" s="31">
        <v>0.28000000000000003</v>
      </c>
      <c r="U35" s="31">
        <v>0.12</v>
      </c>
      <c r="V35" s="86">
        <f t="shared" si="21"/>
        <v>24</v>
      </c>
      <c r="W35" s="31">
        <v>3</v>
      </c>
      <c r="X35" s="31"/>
      <c r="Y35" s="31">
        <f t="shared" si="24"/>
        <v>3</v>
      </c>
      <c r="Z35" s="31">
        <f t="shared" si="26"/>
        <v>93.333333333333329</v>
      </c>
      <c r="AA35" s="18">
        <v>0</v>
      </c>
      <c r="AB35" s="18" t="s">
        <v>96</v>
      </c>
      <c r="AC35" s="18" t="s">
        <v>333</v>
      </c>
      <c r="AD35" s="18" t="s">
        <v>337</v>
      </c>
      <c r="AE35" s="18">
        <v>20</v>
      </c>
      <c r="AF35" s="18">
        <v>25</v>
      </c>
      <c r="AG35" s="18" t="s">
        <v>27</v>
      </c>
      <c r="AH35" s="18" t="str">
        <f t="shared" si="25"/>
        <v>R3</v>
      </c>
      <c r="AI35" s="18" t="str">
        <f>+VLOOKUP(AH35,Leyenda!$O$4:$U$10,6,FALSE)</f>
        <v>0,35-0,50</v>
      </c>
      <c r="AJ35" s="18" t="str">
        <f>+VLOOKUP(AH35,Leyenda!$O$4:$U$10,7,FALSE)</f>
        <v>Easy to blast</v>
      </c>
      <c r="AK35" s="18">
        <f>+VLOOKUP(AJ35,Leyenda!$U$4:$V$10,2,FALSE)</f>
        <v>3</v>
      </c>
      <c r="AL35" s="18" t="s">
        <v>27</v>
      </c>
      <c r="AM35" s="18" t="str">
        <f t="shared" si="10"/>
        <v>R3</v>
      </c>
      <c r="AN35" s="18" t="s">
        <v>66</v>
      </c>
      <c r="AO35" s="18" t="s">
        <v>79</v>
      </c>
      <c r="AP35" s="18" t="s">
        <v>96</v>
      </c>
      <c r="AQ35" s="18" t="s">
        <v>107</v>
      </c>
      <c r="AR35" s="18" t="s">
        <v>120</v>
      </c>
      <c r="AS35" s="18" t="s">
        <v>198</v>
      </c>
      <c r="AT35" s="18" t="s">
        <v>215</v>
      </c>
      <c r="AU35" s="18"/>
      <c r="AV35" s="18">
        <f>+VLOOKUP(AN35,Leyenda!$B$30:$E$34,3,FALSE)</f>
        <v>1</v>
      </c>
      <c r="AW35" s="18">
        <f>+VLOOKUP('2. Logging Brejo Seco'!AO35,Meteorizacion,3,FALSE)</f>
        <v>1</v>
      </c>
      <c r="AX35" s="18">
        <f>+VLOOKUP('2. Logging Brejo Seco'!AP35,Apertura,3,FALSE)</f>
        <v>1</v>
      </c>
      <c r="AY35" s="18">
        <f>+VLOOKUP('2. Logging Brejo Seco'!AQ35,Leyenda!$B$55:$D$59,3,FALSE)</f>
        <v>3</v>
      </c>
      <c r="AZ35" s="18">
        <f>+VLOOKUP('2. Logging Brejo Seco'!AR35,Relleno,3,FALSE)</f>
        <v>2</v>
      </c>
      <c r="BA35" s="18">
        <f>+SUM(AV35:AZ35)</f>
        <v>8</v>
      </c>
      <c r="BB35" s="49">
        <f t="shared" si="5"/>
        <v>5</v>
      </c>
      <c r="BC35" s="49">
        <f>VLOOKUP(AM35,Leyenda!$B$4:$D$10,3,FALSE)</f>
        <v>4</v>
      </c>
      <c r="BD35" s="50">
        <f t="shared" si="11"/>
        <v>7</v>
      </c>
      <c r="BE35" s="49">
        <f t="shared" si="12"/>
        <v>8</v>
      </c>
      <c r="BF35" s="49">
        <f>VLOOKUP(AS35,Leyenda!$B$70:$D$75,3,FALSE)</f>
        <v>15</v>
      </c>
      <c r="BG35" s="67">
        <f t="shared" si="6"/>
        <v>24</v>
      </c>
      <c r="BH35" s="67">
        <f>VLOOKUP(AM35,Leyenda!$B$4:$E$10,4,FALSE)</f>
        <v>4</v>
      </c>
      <c r="BI35" s="125">
        <f t="shared" si="13"/>
        <v>8</v>
      </c>
      <c r="BJ35" s="125">
        <f t="shared" si="7"/>
        <v>5</v>
      </c>
      <c r="BK35" s="125">
        <f>+VLOOKUP('2. Logging Brejo Seco'!AP35,Leyenda!$B$47:$E$51,4,FALSE)</f>
        <v>1</v>
      </c>
      <c r="BL35" s="125">
        <f>+VLOOKUP('2. Logging Brejo Seco'!AQ35,Leyenda!$B$55:$E$59,4,FALSE)</f>
        <v>3</v>
      </c>
      <c r="BM35" s="125">
        <f>+VLOOKUP('2. Logging Brejo Seco'!AR35,Leyenda!$B$63:$E$67,3,FALSE)</f>
        <v>2</v>
      </c>
      <c r="BN35" s="125">
        <f>+VLOOKUP('2. Logging Brejo Seco'!AO35,Leyenda!$B$39:$E$43,4,FALSE)</f>
        <v>1</v>
      </c>
      <c r="BO35" s="125">
        <f>+VLOOKUP('2. Logging Brejo Seco'!AN35,Leyenda!$B$30:$E$34,4,FALSE)</f>
        <v>1</v>
      </c>
      <c r="BP35" s="125">
        <f>VLOOKUP(AS35,Leyenda!$B$71:$E$75,4,FALSE)</f>
        <v>10</v>
      </c>
      <c r="BQ35" s="125">
        <f t="shared" si="14"/>
        <v>35</v>
      </c>
      <c r="BR35" s="85">
        <f t="shared" si="15"/>
        <v>39</v>
      </c>
      <c r="BS35" s="240">
        <f t="shared" si="16"/>
        <v>0</v>
      </c>
      <c r="BT35" s="18"/>
    </row>
    <row r="36" spans="1:92" x14ac:dyDescent="0.25">
      <c r="A36" s="18" t="s">
        <v>6</v>
      </c>
      <c r="B36" s="18">
        <v>2024</v>
      </c>
      <c r="C36" s="18" t="s">
        <v>138</v>
      </c>
      <c r="D36" s="18" t="s">
        <v>10</v>
      </c>
      <c r="E36" s="18">
        <v>40</v>
      </c>
      <c r="F36" s="18">
        <v>40</v>
      </c>
      <c r="G36" s="18" t="s">
        <v>153</v>
      </c>
      <c r="H36" s="248">
        <f t="shared" si="20"/>
        <v>40</v>
      </c>
      <c r="I36" s="135"/>
      <c r="J36" s="18" t="s">
        <v>161</v>
      </c>
      <c r="K36" s="31">
        <f t="shared" si="17"/>
        <v>16.5</v>
      </c>
      <c r="L36" s="31">
        <f t="shared" si="18"/>
        <v>17</v>
      </c>
      <c r="M36" s="4">
        <f t="shared" si="8"/>
        <v>0.5</v>
      </c>
      <c r="N36" s="5">
        <v>0.62</v>
      </c>
      <c r="O36" s="5">
        <f t="shared" si="1"/>
        <v>0.38</v>
      </c>
      <c r="P36" s="31">
        <f t="shared" si="9"/>
        <v>0.31</v>
      </c>
      <c r="Q36" s="31">
        <f t="shared" si="2"/>
        <v>0.31</v>
      </c>
      <c r="R36" s="31">
        <v>15.5</v>
      </c>
      <c r="S36" s="31">
        <v>20</v>
      </c>
      <c r="T36" s="31">
        <v>0.33</v>
      </c>
      <c r="U36" s="31">
        <v>0</v>
      </c>
      <c r="V36" s="86">
        <f t="shared" si="21"/>
        <v>0</v>
      </c>
      <c r="W36" s="31">
        <v>6</v>
      </c>
      <c r="X36" s="31"/>
      <c r="Y36" s="31">
        <f t="shared" si="24"/>
        <v>6</v>
      </c>
      <c r="Z36" s="31">
        <f t="shared" si="26"/>
        <v>55</v>
      </c>
      <c r="AA36" s="18">
        <v>0</v>
      </c>
      <c r="AB36" s="18" t="s">
        <v>96</v>
      </c>
      <c r="AC36" s="18" t="s">
        <v>333</v>
      </c>
      <c r="AD36" s="18" t="s">
        <v>337</v>
      </c>
      <c r="AE36" s="18">
        <v>20</v>
      </c>
      <c r="AF36" s="18">
        <v>15.5</v>
      </c>
      <c r="AG36" s="18" t="s">
        <v>32</v>
      </c>
      <c r="AH36" s="18" t="str">
        <f t="shared" si="25"/>
        <v>R1</v>
      </c>
      <c r="AI36" s="18" t="str">
        <f>+VLOOKUP(AH36,Leyenda!$O$4:$U$10,6,FALSE)</f>
        <v>0,15-0,25</v>
      </c>
      <c r="AJ36" s="18" t="str">
        <f>+VLOOKUP(AH36,Leyenda!$O$4:$U$10,7,FALSE)</f>
        <v>No Blasting need</v>
      </c>
      <c r="AK36" s="18">
        <f>+VLOOKUP(AJ36,Leyenda!$U$4:$V$10,2,FALSE)</f>
        <v>2</v>
      </c>
      <c r="AL36" s="18" t="s">
        <v>199</v>
      </c>
      <c r="AM36" s="18" t="str">
        <f t="shared" si="10"/>
        <v>R1</v>
      </c>
      <c r="AN36" s="18" t="s">
        <v>66</v>
      </c>
      <c r="AO36" s="18" t="s">
        <v>79</v>
      </c>
      <c r="AP36" s="18" t="s">
        <v>100</v>
      </c>
      <c r="AQ36" s="18" t="s">
        <v>107</v>
      </c>
      <c r="AR36" s="18" t="s">
        <v>120</v>
      </c>
      <c r="AS36" s="18" t="s">
        <v>198</v>
      </c>
      <c r="AT36" s="18"/>
      <c r="AU36" s="18"/>
      <c r="AV36" s="18">
        <f>+VLOOKUP(AN36,Leyenda!$B$30:$E$34,3,FALSE)</f>
        <v>1</v>
      </c>
      <c r="AW36" s="18">
        <f>+VLOOKUP('2. Logging Brejo Seco'!AO36,Meteorizacion,3,FALSE)</f>
        <v>1</v>
      </c>
      <c r="AX36" s="18">
        <f>+VLOOKUP('2. Logging Brejo Seco'!AP36,Apertura,3,FALSE)</f>
        <v>0</v>
      </c>
      <c r="AY36" s="18">
        <f>+VLOOKUP('2. Logging Brejo Seco'!AQ36,Leyenda!$B$55:$D$59,3,FALSE)</f>
        <v>3</v>
      </c>
      <c r="AZ36" s="18">
        <f>+VLOOKUP('2. Logging Brejo Seco'!AR36,Relleno,3,FALSE)</f>
        <v>2</v>
      </c>
      <c r="BA36" s="18">
        <f t="shared" si="23"/>
        <v>7</v>
      </c>
      <c r="BB36" s="49">
        <f t="shared" si="5"/>
        <v>0</v>
      </c>
      <c r="BC36" s="49">
        <f>VLOOKUP(AM36,Leyenda!$B$4:$D$10,3,FALSE)</f>
        <v>1</v>
      </c>
      <c r="BD36" s="50">
        <f t="shared" si="11"/>
        <v>6</v>
      </c>
      <c r="BE36" s="49">
        <f t="shared" si="12"/>
        <v>7</v>
      </c>
      <c r="BF36" s="49">
        <f>VLOOKUP(AS36,Leyenda!$B$70:$D$75,3,FALSE)</f>
        <v>15</v>
      </c>
      <c r="BG36" s="67">
        <f t="shared" si="6"/>
        <v>10.5</v>
      </c>
      <c r="BH36" s="67">
        <f>VLOOKUP(AM36,Leyenda!$B$4:$E$10,4,FALSE)</f>
        <v>1</v>
      </c>
      <c r="BI36" s="67">
        <f t="shared" si="13"/>
        <v>5</v>
      </c>
      <c r="BJ36" s="67">
        <f t="shared" si="7"/>
        <v>0</v>
      </c>
      <c r="BK36" s="67">
        <f>+VLOOKUP('2. Logging Brejo Seco'!AP36,Leyenda!$B$47:$E$51,4,FALSE)</f>
        <v>0</v>
      </c>
      <c r="BL36" s="67">
        <f>+VLOOKUP('2. Logging Brejo Seco'!AQ36,Leyenda!$B$55:$E$59,4,FALSE)</f>
        <v>3</v>
      </c>
      <c r="BM36" s="67">
        <f>+VLOOKUP('2. Logging Brejo Seco'!AR36,Leyenda!$B$63:$E$67,3,FALSE)</f>
        <v>2</v>
      </c>
      <c r="BN36" s="67">
        <f>+VLOOKUP('2. Logging Brejo Seco'!AO36,Leyenda!$B$39:$E$43,4,FALSE)</f>
        <v>1</v>
      </c>
      <c r="BO36" s="67">
        <f>+VLOOKUP('2. Logging Brejo Seco'!AN36,Leyenda!$B$30:$E$34,4,FALSE)</f>
        <v>1</v>
      </c>
      <c r="BP36" s="67">
        <f>VLOOKUP(AS36,Leyenda!$B$71:$E$75,4,FALSE)</f>
        <v>10</v>
      </c>
      <c r="BQ36" s="125">
        <f t="shared" si="14"/>
        <v>23</v>
      </c>
      <c r="BR36" s="85">
        <f t="shared" si="15"/>
        <v>29</v>
      </c>
      <c r="BS36" s="240">
        <f t="shared" si="16"/>
        <v>0.38</v>
      </c>
      <c r="BT36" s="18" t="s">
        <v>729</v>
      </c>
      <c r="CN36" t="e" vm="1">
        <v>#VALUE!</v>
      </c>
    </row>
    <row r="37" spans="1:92" x14ac:dyDescent="0.25">
      <c r="A37" s="18" t="s">
        <v>6</v>
      </c>
      <c r="B37" s="18">
        <v>2024</v>
      </c>
      <c r="C37" s="18" t="s">
        <v>138</v>
      </c>
      <c r="D37" s="18" t="s">
        <v>10</v>
      </c>
      <c r="E37" s="18">
        <v>40</v>
      </c>
      <c r="F37" s="18">
        <v>40</v>
      </c>
      <c r="G37" s="18" t="s">
        <v>153</v>
      </c>
      <c r="H37" s="248">
        <f t="shared" si="20"/>
        <v>40</v>
      </c>
      <c r="I37" s="135"/>
      <c r="J37" s="18" t="s">
        <v>161</v>
      </c>
      <c r="K37" s="31">
        <f t="shared" si="17"/>
        <v>17</v>
      </c>
      <c r="L37" s="31">
        <f t="shared" si="18"/>
        <v>17.5</v>
      </c>
      <c r="M37" s="4">
        <f t="shared" si="8"/>
        <v>0.5</v>
      </c>
      <c r="N37" s="5">
        <v>0.64</v>
      </c>
      <c r="O37" s="5">
        <f t="shared" si="1"/>
        <v>0.36</v>
      </c>
      <c r="P37" s="31">
        <f t="shared" si="9"/>
        <v>0.32</v>
      </c>
      <c r="Q37" s="31">
        <f t="shared" si="2"/>
        <v>0.32</v>
      </c>
      <c r="R37" s="31">
        <v>32</v>
      </c>
      <c r="S37" s="31">
        <v>10</v>
      </c>
      <c r="T37" s="31">
        <v>0.19</v>
      </c>
      <c r="U37" s="31">
        <v>0</v>
      </c>
      <c r="V37" s="86">
        <f t="shared" si="21"/>
        <v>0</v>
      </c>
      <c r="W37" s="31">
        <v>10</v>
      </c>
      <c r="X37" s="31"/>
      <c r="Y37" s="31">
        <f t="shared" si="24"/>
        <v>10</v>
      </c>
      <c r="Z37" s="31">
        <f t="shared" si="26"/>
        <v>19</v>
      </c>
      <c r="AA37" s="18">
        <v>0</v>
      </c>
      <c r="AB37" s="18" t="s">
        <v>96</v>
      </c>
      <c r="AC37" s="18" t="s">
        <v>120</v>
      </c>
      <c r="AD37" s="18" t="s">
        <v>337</v>
      </c>
      <c r="AE37" s="18">
        <v>10</v>
      </c>
      <c r="AF37" s="18">
        <v>32</v>
      </c>
      <c r="AG37" s="18" t="s">
        <v>32</v>
      </c>
      <c r="AH37" s="18" t="str">
        <f t="shared" si="25"/>
        <v>R1</v>
      </c>
      <c r="AI37" s="18" t="str">
        <f>+VLOOKUP(AH37,Leyenda!$O$4:$U$10,6,FALSE)</f>
        <v>0,15-0,25</v>
      </c>
      <c r="AJ37" s="18" t="str">
        <f>+VLOOKUP(AH37,Leyenda!$O$4:$U$10,7,FALSE)</f>
        <v>No Blasting need</v>
      </c>
      <c r="AK37" s="18">
        <f>+VLOOKUP(AJ37,Leyenda!$U$4:$V$10,2,FALSE)</f>
        <v>2</v>
      </c>
      <c r="AL37" s="18" t="s">
        <v>196</v>
      </c>
      <c r="AM37" s="18" t="str">
        <f t="shared" si="10"/>
        <v>R1</v>
      </c>
      <c r="AN37" s="18" t="s">
        <v>69</v>
      </c>
      <c r="AO37" s="18" t="s">
        <v>79</v>
      </c>
      <c r="AP37" s="18" t="s">
        <v>100</v>
      </c>
      <c r="AQ37" s="18" t="s">
        <v>107</v>
      </c>
      <c r="AR37" s="18" t="s">
        <v>120</v>
      </c>
      <c r="AS37" s="18" t="s">
        <v>198</v>
      </c>
      <c r="AT37" s="18" t="s">
        <v>214</v>
      </c>
      <c r="AU37" s="18"/>
      <c r="AV37" s="18">
        <f>+VLOOKUP(AN37,Leyenda!$B$30:$E$34,3,FALSE)</f>
        <v>0</v>
      </c>
      <c r="AW37" s="18">
        <f>+VLOOKUP('2. Logging Brejo Seco'!AO37,Meteorizacion,3,FALSE)</f>
        <v>1</v>
      </c>
      <c r="AX37" s="18">
        <f>+VLOOKUP('2. Logging Brejo Seco'!AP37,Apertura,3,FALSE)</f>
        <v>0</v>
      </c>
      <c r="AY37" s="18">
        <f>+VLOOKUP('2. Logging Brejo Seco'!AQ37,Leyenda!$B$55:$D$59,3,FALSE)</f>
        <v>3</v>
      </c>
      <c r="AZ37" s="18">
        <f>+VLOOKUP('2. Logging Brejo Seco'!AR37,Relleno,3,FALSE)</f>
        <v>2</v>
      </c>
      <c r="BA37" s="18">
        <f t="shared" si="23"/>
        <v>6</v>
      </c>
      <c r="BB37" s="49">
        <f t="shared" si="5"/>
        <v>0</v>
      </c>
      <c r="BC37" s="49">
        <f>VLOOKUP(AM37,Leyenda!$B$4:$D$10,3,FALSE)</f>
        <v>1</v>
      </c>
      <c r="BD37" s="50">
        <f t="shared" si="11"/>
        <v>4</v>
      </c>
      <c r="BE37" s="49">
        <f t="shared" si="12"/>
        <v>6</v>
      </c>
      <c r="BF37" s="49">
        <f>VLOOKUP(AS37,Leyenda!$B$70:$D$75,3,FALSE)</f>
        <v>15</v>
      </c>
      <c r="BG37" s="67">
        <f t="shared" si="6"/>
        <v>9</v>
      </c>
      <c r="BH37" s="67">
        <f>VLOOKUP(AM37,Leyenda!$B$4:$E$10,4,FALSE)</f>
        <v>1</v>
      </c>
      <c r="BI37" s="67">
        <f t="shared" si="13"/>
        <v>5</v>
      </c>
      <c r="BJ37" s="67">
        <f t="shared" si="7"/>
        <v>0</v>
      </c>
      <c r="BK37" s="67">
        <f>+VLOOKUP('2. Logging Brejo Seco'!AP37,Leyenda!$B$47:$E$51,4,FALSE)</f>
        <v>0</v>
      </c>
      <c r="BL37" s="67">
        <f>+VLOOKUP('2. Logging Brejo Seco'!AQ37,Leyenda!$B$55:$E$59,4,FALSE)</f>
        <v>3</v>
      </c>
      <c r="BM37" s="67">
        <f>+VLOOKUP('2. Logging Brejo Seco'!AR37,Leyenda!$B$63:$E$67,3,FALSE)</f>
        <v>2</v>
      </c>
      <c r="BN37" s="67">
        <f>+VLOOKUP('2. Logging Brejo Seco'!AO37,Leyenda!$B$39:$E$43,4,FALSE)</f>
        <v>1</v>
      </c>
      <c r="BO37" s="67">
        <f>+VLOOKUP('2. Logging Brejo Seco'!AN37,Leyenda!$B$30:$E$34,4,FALSE)</f>
        <v>0</v>
      </c>
      <c r="BP37" s="67">
        <f>VLOOKUP(AS37,Leyenda!$B$71:$E$75,4,FALSE)</f>
        <v>10</v>
      </c>
      <c r="BQ37" s="125">
        <f t="shared" si="14"/>
        <v>22</v>
      </c>
      <c r="BR37" s="85">
        <f t="shared" si="15"/>
        <v>26</v>
      </c>
      <c r="BS37" s="240">
        <f t="shared" si="16"/>
        <v>0.36</v>
      </c>
      <c r="BT37" s="18" t="s">
        <v>729</v>
      </c>
    </row>
    <row r="38" spans="1:92" x14ac:dyDescent="0.25">
      <c r="A38" s="18" t="s">
        <v>6</v>
      </c>
      <c r="B38" s="18">
        <v>2024</v>
      </c>
      <c r="C38" s="18" t="s">
        <v>138</v>
      </c>
      <c r="D38" s="18" t="s">
        <v>10</v>
      </c>
      <c r="E38" s="18">
        <v>30</v>
      </c>
      <c r="F38" s="18">
        <v>30</v>
      </c>
      <c r="G38" s="18" t="s">
        <v>152</v>
      </c>
      <c r="H38" s="248">
        <f t="shared" si="20"/>
        <v>30</v>
      </c>
      <c r="I38" s="135"/>
      <c r="J38" s="18" t="s">
        <v>161</v>
      </c>
      <c r="K38" s="31">
        <f t="shared" si="17"/>
        <v>17.5</v>
      </c>
      <c r="L38" s="31">
        <f t="shared" si="18"/>
        <v>18</v>
      </c>
      <c r="M38" s="4">
        <f t="shared" si="8"/>
        <v>0.5</v>
      </c>
      <c r="N38" s="5">
        <v>0.42</v>
      </c>
      <c r="O38" s="5">
        <f t="shared" si="1"/>
        <v>0.58000000000000007</v>
      </c>
      <c r="P38" s="31">
        <f t="shared" si="9"/>
        <v>0.21</v>
      </c>
      <c r="Q38" s="31">
        <f t="shared" si="2"/>
        <v>0.21</v>
      </c>
      <c r="R38" s="31">
        <v>10.5</v>
      </c>
      <c r="S38" s="31">
        <v>20</v>
      </c>
      <c r="T38" s="31">
        <v>0.31</v>
      </c>
      <c r="U38" s="31">
        <v>0</v>
      </c>
      <c r="V38" s="86">
        <f t="shared" si="21"/>
        <v>0</v>
      </c>
      <c r="W38" s="31">
        <v>6</v>
      </c>
      <c r="X38" s="31"/>
      <c r="Y38" s="31">
        <f t="shared" si="24"/>
        <v>6</v>
      </c>
      <c r="Z38" s="31">
        <f>+IF(T38=0,"",(T38*1000)/Y38)</f>
        <v>51.666666666666664</v>
      </c>
      <c r="AA38" s="18">
        <v>0</v>
      </c>
      <c r="AB38" s="18" t="s">
        <v>96</v>
      </c>
      <c r="AC38" s="18" t="s">
        <v>333</v>
      </c>
      <c r="AD38" s="18" t="s">
        <v>337</v>
      </c>
      <c r="AE38" s="18">
        <v>20</v>
      </c>
      <c r="AF38" s="18">
        <v>10.5</v>
      </c>
      <c r="AG38" s="18" t="s">
        <v>32</v>
      </c>
      <c r="AH38" s="18" t="str">
        <f t="shared" si="25"/>
        <v>R1</v>
      </c>
      <c r="AI38" s="18" t="str">
        <f>+VLOOKUP(AH38,Leyenda!$O$4:$U$10,6,FALSE)</f>
        <v>0,15-0,25</v>
      </c>
      <c r="AJ38" s="18" t="str">
        <f>+VLOOKUP(AH38,Leyenda!$O$4:$U$10,7,FALSE)</f>
        <v>No Blasting need</v>
      </c>
      <c r="AK38" s="18">
        <f>+VLOOKUP(AJ38,Leyenda!$U$4:$V$10,2,FALSE)</f>
        <v>2</v>
      </c>
      <c r="AL38" s="18" t="s">
        <v>196</v>
      </c>
      <c r="AM38" s="18" t="str">
        <f t="shared" si="10"/>
        <v>R1</v>
      </c>
      <c r="AN38" s="18" t="s">
        <v>69</v>
      </c>
      <c r="AO38" s="18" t="s">
        <v>79</v>
      </c>
      <c r="AP38" s="18" t="s">
        <v>100</v>
      </c>
      <c r="AQ38" s="18" t="s">
        <v>107</v>
      </c>
      <c r="AR38" s="18" t="s">
        <v>120</v>
      </c>
      <c r="AS38" s="18" t="s">
        <v>198</v>
      </c>
      <c r="AT38" s="18"/>
      <c r="AU38" s="18"/>
      <c r="AV38" s="18">
        <f>+VLOOKUP(AN38,Leyenda!$B$30:$E$34,3,FALSE)</f>
        <v>0</v>
      </c>
      <c r="AW38" s="18">
        <f>+VLOOKUP('2. Logging Brejo Seco'!AO38,Meteorizacion,3,FALSE)</f>
        <v>1</v>
      </c>
      <c r="AX38" s="18">
        <f>+VLOOKUP('2. Logging Brejo Seco'!AP38,Apertura,3,FALSE)</f>
        <v>0</v>
      </c>
      <c r="AY38" s="18">
        <f>+VLOOKUP('2. Logging Brejo Seco'!AQ38,Leyenda!$B$55:$D$59,3,FALSE)</f>
        <v>3</v>
      </c>
      <c r="AZ38" s="18">
        <f>+VLOOKUP('2. Logging Brejo Seco'!AR38,Relleno,3,FALSE)</f>
        <v>2</v>
      </c>
      <c r="BA38" s="18">
        <f t="shared" si="23"/>
        <v>6</v>
      </c>
      <c r="BB38" s="49">
        <f t="shared" si="5"/>
        <v>0</v>
      </c>
      <c r="BC38" s="49">
        <f>VLOOKUP(AM38,Leyenda!$B$4:$D$10,3,FALSE)</f>
        <v>1</v>
      </c>
      <c r="BD38" s="50">
        <f t="shared" si="11"/>
        <v>6</v>
      </c>
      <c r="BE38" s="49">
        <f t="shared" si="12"/>
        <v>6</v>
      </c>
      <c r="BF38" s="49">
        <v>10</v>
      </c>
      <c r="BG38" s="67">
        <f t="shared" si="6"/>
        <v>9</v>
      </c>
      <c r="BH38" s="67">
        <f>VLOOKUP(AM38,Leyenda!$B$4:$E$10,4,FALSE)</f>
        <v>1</v>
      </c>
      <c r="BI38" s="67">
        <f t="shared" si="13"/>
        <v>4</v>
      </c>
      <c r="BJ38" s="67">
        <f t="shared" si="7"/>
        <v>0</v>
      </c>
      <c r="BK38" s="67">
        <f>+VLOOKUP('2. Logging Brejo Seco'!AP38,Leyenda!$B$47:$E$51,4,FALSE)</f>
        <v>0</v>
      </c>
      <c r="BL38" s="67">
        <f>+VLOOKUP('2. Logging Brejo Seco'!AQ38,Leyenda!$B$55:$E$59,4,FALSE)</f>
        <v>3</v>
      </c>
      <c r="BM38" s="67">
        <f>+VLOOKUP('2. Logging Brejo Seco'!AR38,Leyenda!$B$63:$E$67,3,FALSE)</f>
        <v>2</v>
      </c>
      <c r="BN38" s="67">
        <f>+VLOOKUP('2. Logging Brejo Seco'!AO38,Leyenda!$B$39:$E$43,4,FALSE)</f>
        <v>1</v>
      </c>
      <c r="BO38" s="67">
        <f>+VLOOKUP('2. Logging Brejo Seco'!AN38,Leyenda!$B$30:$E$34,4,FALSE)</f>
        <v>0</v>
      </c>
      <c r="BP38" s="67">
        <f>VLOOKUP(AS38,Leyenda!$B$71:$E$75,4,FALSE)</f>
        <v>10</v>
      </c>
      <c r="BQ38" s="125">
        <f t="shared" si="14"/>
        <v>21</v>
      </c>
      <c r="BR38" s="85">
        <f t="shared" si="15"/>
        <v>23</v>
      </c>
      <c r="BS38" s="240">
        <f t="shared" si="16"/>
        <v>0.58000000000000007</v>
      </c>
      <c r="BT38" s="18" t="s">
        <v>729</v>
      </c>
    </row>
    <row r="39" spans="1:92" x14ac:dyDescent="0.25">
      <c r="A39" s="18" t="s">
        <v>6</v>
      </c>
      <c r="B39" s="18">
        <v>2024</v>
      </c>
      <c r="C39" s="18" t="s">
        <v>138</v>
      </c>
      <c r="D39" s="18" t="s">
        <v>10</v>
      </c>
      <c r="E39" s="18">
        <v>30</v>
      </c>
      <c r="F39" s="18">
        <v>30</v>
      </c>
      <c r="G39" s="18" t="s">
        <v>152</v>
      </c>
      <c r="H39" s="248">
        <f t="shared" si="20"/>
        <v>30</v>
      </c>
      <c r="I39" s="135"/>
      <c r="J39" s="18" t="s">
        <v>161</v>
      </c>
      <c r="K39" s="31">
        <f t="shared" si="17"/>
        <v>18</v>
      </c>
      <c r="L39" s="31">
        <f t="shared" si="18"/>
        <v>18.5</v>
      </c>
      <c r="M39" s="4">
        <f t="shared" si="8"/>
        <v>0.5</v>
      </c>
      <c r="N39" s="5">
        <v>0.6</v>
      </c>
      <c r="O39" s="5">
        <f t="shared" si="1"/>
        <v>0.4</v>
      </c>
      <c r="P39" s="31">
        <f t="shared" si="9"/>
        <v>0.3</v>
      </c>
      <c r="Q39" s="31">
        <f t="shared" si="2"/>
        <v>0.3</v>
      </c>
      <c r="R39" s="31">
        <v>15</v>
      </c>
      <c r="S39" s="31">
        <v>20</v>
      </c>
      <c r="T39" s="31">
        <v>0.13</v>
      </c>
      <c r="U39" s="31">
        <v>0</v>
      </c>
      <c r="V39" s="86">
        <f t="shared" si="21"/>
        <v>0</v>
      </c>
      <c r="W39" s="31">
        <v>10</v>
      </c>
      <c r="X39" s="31"/>
      <c r="Y39" s="31">
        <f t="shared" si="24"/>
        <v>10</v>
      </c>
      <c r="Z39" s="31">
        <f>+IF(T39=0,"",(T39*1000)/Y39)</f>
        <v>13</v>
      </c>
      <c r="AA39" s="18">
        <v>0</v>
      </c>
      <c r="AB39" s="18" t="s">
        <v>96</v>
      </c>
      <c r="AC39" s="18" t="s">
        <v>333</v>
      </c>
      <c r="AD39" s="18" t="s">
        <v>337</v>
      </c>
      <c r="AE39" s="18">
        <v>20</v>
      </c>
      <c r="AF39" s="18">
        <v>15</v>
      </c>
      <c r="AG39" s="18" t="s">
        <v>32</v>
      </c>
      <c r="AH39" s="18" t="str">
        <f t="shared" si="25"/>
        <v>R1</v>
      </c>
      <c r="AI39" s="18" t="str">
        <f>+VLOOKUP(AH39,Leyenda!$O$4:$U$10,6,FALSE)</f>
        <v>0,15-0,25</v>
      </c>
      <c r="AJ39" s="18" t="str">
        <f>+VLOOKUP(AH39,Leyenda!$O$4:$U$10,7,FALSE)</f>
        <v>No Blasting need</v>
      </c>
      <c r="AK39" s="18">
        <f>+VLOOKUP(AJ39,Leyenda!$U$4:$V$10,2,FALSE)</f>
        <v>2</v>
      </c>
      <c r="AL39" s="18" t="s">
        <v>196</v>
      </c>
      <c r="AM39" s="18" t="str">
        <f t="shared" si="10"/>
        <v>R1</v>
      </c>
      <c r="AN39" s="18" t="s">
        <v>69</v>
      </c>
      <c r="AO39" s="18" t="s">
        <v>79</v>
      </c>
      <c r="AP39" s="18" t="s">
        <v>100</v>
      </c>
      <c r="AQ39" s="18" t="s">
        <v>107</v>
      </c>
      <c r="AR39" s="18" t="s">
        <v>120</v>
      </c>
      <c r="AS39" s="18" t="s">
        <v>198</v>
      </c>
      <c r="AT39" s="18"/>
      <c r="AU39" s="18"/>
      <c r="AV39" s="18">
        <f>+VLOOKUP(AN39,Leyenda!$B$30:$E$34,3,FALSE)</f>
        <v>0</v>
      </c>
      <c r="AW39" s="18">
        <f>+VLOOKUP('2. Logging Brejo Seco'!AO39,Meteorizacion,3,FALSE)</f>
        <v>1</v>
      </c>
      <c r="AX39" s="18">
        <f>+VLOOKUP('2. Logging Brejo Seco'!AP39,Apertura,3,FALSE)</f>
        <v>0</v>
      </c>
      <c r="AY39" s="18">
        <f>+VLOOKUP('2. Logging Brejo Seco'!AQ39,Leyenda!$B$55:$D$59,3,FALSE)</f>
        <v>3</v>
      </c>
      <c r="AZ39" s="18">
        <f>+VLOOKUP('2. Logging Brejo Seco'!AR39,Relleno,3,FALSE)</f>
        <v>2</v>
      </c>
      <c r="BA39" s="18">
        <f t="shared" si="23"/>
        <v>6</v>
      </c>
      <c r="BB39" s="49">
        <f t="shared" si="5"/>
        <v>0</v>
      </c>
      <c r="BC39" s="49">
        <f>VLOOKUP(AM39,Leyenda!$B$4:$D$10,3,FALSE)</f>
        <v>1</v>
      </c>
      <c r="BD39" s="50">
        <f t="shared" si="11"/>
        <v>4</v>
      </c>
      <c r="BE39" s="49">
        <f t="shared" si="12"/>
        <v>6</v>
      </c>
      <c r="BF39" s="49">
        <v>10</v>
      </c>
      <c r="BG39" s="67">
        <f t="shared" si="6"/>
        <v>9</v>
      </c>
      <c r="BH39" s="67">
        <f>VLOOKUP(AM39,Leyenda!$B$4:$E$10,4,FALSE)</f>
        <v>1</v>
      </c>
      <c r="BI39" s="67">
        <f t="shared" si="13"/>
        <v>5</v>
      </c>
      <c r="BJ39" s="67">
        <f t="shared" si="7"/>
        <v>0</v>
      </c>
      <c r="BK39" s="67">
        <f>+VLOOKUP('2. Logging Brejo Seco'!AP39,Leyenda!$B$47:$E$51,4,FALSE)</f>
        <v>0</v>
      </c>
      <c r="BL39" s="67">
        <f>+VLOOKUP('2. Logging Brejo Seco'!AQ39,Leyenda!$B$55:$E$59,4,FALSE)</f>
        <v>3</v>
      </c>
      <c r="BM39" s="67">
        <f>+VLOOKUP('2. Logging Brejo Seco'!AR39,Leyenda!$B$63:$E$67,3,FALSE)</f>
        <v>2</v>
      </c>
      <c r="BN39" s="67">
        <f>+VLOOKUP('2. Logging Brejo Seco'!AO39,Leyenda!$B$39:$E$43,4,FALSE)</f>
        <v>1</v>
      </c>
      <c r="BO39" s="67">
        <f>+VLOOKUP('2. Logging Brejo Seco'!AN39,Leyenda!$B$30:$E$34,4,FALSE)</f>
        <v>0</v>
      </c>
      <c r="BP39" s="67">
        <f>VLOOKUP(AS39,Leyenda!$B$71:$E$75,4,FALSE)</f>
        <v>10</v>
      </c>
      <c r="BQ39" s="125">
        <f t="shared" si="14"/>
        <v>22</v>
      </c>
      <c r="BR39" s="85">
        <f t="shared" si="15"/>
        <v>21</v>
      </c>
      <c r="BS39" s="240">
        <f t="shared" si="16"/>
        <v>0.4</v>
      </c>
      <c r="BT39" s="18" t="s">
        <v>729</v>
      </c>
    </row>
    <row r="40" spans="1:92" x14ac:dyDescent="0.25">
      <c r="A40" s="18" t="s">
        <v>6</v>
      </c>
      <c r="B40" s="18">
        <v>2024</v>
      </c>
      <c r="C40" s="18" t="s">
        <v>138</v>
      </c>
      <c r="D40" s="18" t="s">
        <v>10</v>
      </c>
      <c r="E40" s="18">
        <v>30</v>
      </c>
      <c r="F40" s="18">
        <v>30</v>
      </c>
      <c r="G40" s="18" t="s">
        <v>152</v>
      </c>
      <c r="H40" s="248">
        <f t="shared" si="20"/>
        <v>30</v>
      </c>
      <c r="I40" s="135"/>
      <c r="J40" s="18" t="s">
        <v>161</v>
      </c>
      <c r="K40" s="31">
        <f t="shared" si="17"/>
        <v>18.5</v>
      </c>
      <c r="L40" s="31">
        <f t="shared" si="18"/>
        <v>19</v>
      </c>
      <c r="M40" s="4">
        <f t="shared" si="8"/>
        <v>0.5</v>
      </c>
      <c r="N40" s="5">
        <v>0.34</v>
      </c>
      <c r="O40" s="5">
        <f t="shared" si="1"/>
        <v>0.65999999999999992</v>
      </c>
      <c r="P40" s="31">
        <f t="shared" si="9"/>
        <v>0.17</v>
      </c>
      <c r="Q40" s="31">
        <f t="shared" si="2"/>
        <v>0.17</v>
      </c>
      <c r="R40" s="31">
        <v>170</v>
      </c>
      <c r="S40" s="31">
        <v>1</v>
      </c>
      <c r="T40" s="31">
        <v>0.11</v>
      </c>
      <c r="U40" s="31">
        <v>0</v>
      </c>
      <c r="V40" s="86">
        <f t="shared" si="21"/>
        <v>0</v>
      </c>
      <c r="W40" s="31">
        <v>10</v>
      </c>
      <c r="X40" s="31"/>
      <c r="Y40" s="31">
        <f t="shared" si="24"/>
        <v>10</v>
      </c>
      <c r="Z40" s="31">
        <f t="shared" si="26"/>
        <v>11</v>
      </c>
      <c r="AA40" s="18">
        <v>0</v>
      </c>
      <c r="AB40" s="18" t="s">
        <v>96</v>
      </c>
      <c r="AC40" s="18" t="s">
        <v>116</v>
      </c>
      <c r="AD40" s="18" t="s">
        <v>337</v>
      </c>
      <c r="AE40" s="18">
        <v>1</v>
      </c>
      <c r="AF40" s="18">
        <v>170</v>
      </c>
      <c r="AG40" s="18" t="s">
        <v>32</v>
      </c>
      <c r="AH40" s="18" t="str">
        <f t="shared" si="25"/>
        <v>R1</v>
      </c>
      <c r="AI40" s="18" t="str">
        <f>+VLOOKUP(AH40,Leyenda!$O$4:$U$10,6,FALSE)</f>
        <v>0,15-0,25</v>
      </c>
      <c r="AJ40" s="18" t="str">
        <f>+VLOOKUP(AH40,Leyenda!$O$4:$U$10,7,FALSE)</f>
        <v>No Blasting need</v>
      </c>
      <c r="AK40" s="18">
        <f>+VLOOKUP(AJ40,Leyenda!$U$4:$V$10,2,FALSE)</f>
        <v>2</v>
      </c>
      <c r="AL40" s="18" t="s">
        <v>34</v>
      </c>
      <c r="AM40" s="18" t="str">
        <f t="shared" si="10"/>
        <v>R1</v>
      </c>
      <c r="AN40" s="18" t="s">
        <v>64</v>
      </c>
      <c r="AO40" s="18" t="s">
        <v>79</v>
      </c>
      <c r="AP40" s="18" t="s">
        <v>100</v>
      </c>
      <c r="AQ40" s="18" t="s">
        <v>107</v>
      </c>
      <c r="AR40" s="18" t="s">
        <v>120</v>
      </c>
      <c r="AS40" s="18" t="s">
        <v>198</v>
      </c>
      <c r="AT40" s="18" t="s">
        <v>216</v>
      </c>
      <c r="AU40" s="18"/>
      <c r="AV40" s="18">
        <f>+VLOOKUP(AN40,Leyenda!$B$30:$E$34,3,FALSE)</f>
        <v>2</v>
      </c>
      <c r="AW40" s="18">
        <f>+VLOOKUP('2. Logging Brejo Seco'!AO40,Meteorizacion,3,FALSE)</f>
        <v>1</v>
      </c>
      <c r="AX40" s="18">
        <f>+VLOOKUP('2. Logging Brejo Seco'!AP40,Apertura,3,FALSE)</f>
        <v>0</v>
      </c>
      <c r="AY40" s="18">
        <f>+VLOOKUP('2. Logging Brejo Seco'!AQ40,Leyenda!$B$55:$D$59,3,FALSE)</f>
        <v>3</v>
      </c>
      <c r="AZ40" s="18">
        <f>+VLOOKUP('2. Logging Brejo Seco'!AR40,Relleno,3,FALSE)</f>
        <v>2</v>
      </c>
      <c r="BA40" s="18">
        <f t="shared" si="23"/>
        <v>8</v>
      </c>
      <c r="BB40" s="49">
        <f t="shared" si="5"/>
        <v>0</v>
      </c>
      <c r="BC40" s="49">
        <f>VLOOKUP(AM40,Leyenda!$B$4:$D$10,3,FALSE)</f>
        <v>1</v>
      </c>
      <c r="BD40" s="50">
        <f t="shared" si="11"/>
        <v>3</v>
      </c>
      <c r="BE40" s="49">
        <f t="shared" si="12"/>
        <v>8</v>
      </c>
      <c r="BF40" s="49">
        <v>10</v>
      </c>
      <c r="BG40" s="67">
        <f t="shared" si="6"/>
        <v>12</v>
      </c>
      <c r="BH40" s="67">
        <f>VLOOKUP(AM40,Leyenda!$B$4:$E$10,4,FALSE)</f>
        <v>1</v>
      </c>
      <c r="BI40" s="67">
        <f t="shared" si="13"/>
        <v>5</v>
      </c>
      <c r="BJ40" s="67">
        <f t="shared" si="7"/>
        <v>0</v>
      </c>
      <c r="BK40" s="67">
        <f>+VLOOKUP('2. Logging Brejo Seco'!AP40,Leyenda!$B$47:$E$51,4,FALSE)</f>
        <v>0</v>
      </c>
      <c r="BL40" s="67">
        <f>+VLOOKUP('2. Logging Brejo Seco'!AQ40,Leyenda!$B$55:$E$59,4,FALSE)</f>
        <v>3</v>
      </c>
      <c r="BM40" s="67">
        <f>+VLOOKUP('2. Logging Brejo Seco'!AR40,Leyenda!$B$63:$E$67,3,FALSE)</f>
        <v>2</v>
      </c>
      <c r="BN40" s="67">
        <f>+VLOOKUP('2. Logging Brejo Seco'!AO40,Leyenda!$B$39:$E$43,4,FALSE)</f>
        <v>1</v>
      </c>
      <c r="BO40" s="67">
        <f>+VLOOKUP('2. Logging Brejo Seco'!AN40,Leyenda!$B$30:$E$34,4,FALSE)</f>
        <v>3</v>
      </c>
      <c r="BP40" s="67">
        <f>VLOOKUP(AS40,Leyenda!$B$71:$E$75,4,FALSE)</f>
        <v>10</v>
      </c>
      <c r="BQ40" s="125">
        <f t="shared" si="14"/>
        <v>25</v>
      </c>
      <c r="BR40" s="85">
        <f t="shared" si="15"/>
        <v>22</v>
      </c>
      <c r="BS40" s="240">
        <f t="shared" si="16"/>
        <v>0.65999999999999992</v>
      </c>
      <c r="BT40" s="18" t="s">
        <v>729</v>
      </c>
    </row>
    <row r="41" spans="1:92" x14ac:dyDescent="0.25">
      <c r="A41" s="18" t="s">
        <v>6</v>
      </c>
      <c r="B41" s="18">
        <v>2024</v>
      </c>
      <c r="C41" s="18" t="s">
        <v>138</v>
      </c>
      <c r="D41" s="18" t="s">
        <v>10</v>
      </c>
      <c r="E41" s="18">
        <v>30</v>
      </c>
      <c r="F41" s="18">
        <v>30</v>
      </c>
      <c r="G41" s="18" t="s">
        <v>152</v>
      </c>
      <c r="H41" s="248">
        <f t="shared" si="20"/>
        <v>30</v>
      </c>
      <c r="I41" s="135"/>
      <c r="J41" s="18" t="s">
        <v>161</v>
      </c>
      <c r="K41" s="31">
        <f t="shared" si="17"/>
        <v>19</v>
      </c>
      <c r="L41" s="31">
        <f t="shared" si="18"/>
        <v>19.5</v>
      </c>
      <c r="M41" s="4">
        <f t="shared" si="8"/>
        <v>0.5</v>
      </c>
      <c r="N41" s="5">
        <v>0.5</v>
      </c>
      <c r="O41" s="5">
        <f t="shared" si="1"/>
        <v>0.5</v>
      </c>
      <c r="P41" s="31">
        <f t="shared" si="9"/>
        <v>0.25</v>
      </c>
      <c r="Q41" s="31">
        <f t="shared" si="2"/>
        <v>0.25</v>
      </c>
      <c r="R41" s="31">
        <v>25</v>
      </c>
      <c r="S41" s="31">
        <v>10</v>
      </c>
      <c r="T41" s="31">
        <v>0.14000000000000001</v>
      </c>
      <c r="U41" s="31">
        <v>0</v>
      </c>
      <c r="V41" s="86">
        <f t="shared" si="21"/>
        <v>0</v>
      </c>
      <c r="W41" s="31">
        <v>10</v>
      </c>
      <c r="X41" s="31"/>
      <c r="Y41" s="31">
        <f t="shared" si="24"/>
        <v>10</v>
      </c>
      <c r="Z41" s="31">
        <f t="shared" si="26"/>
        <v>14</v>
      </c>
      <c r="AA41" s="18">
        <v>0</v>
      </c>
      <c r="AB41" s="18" t="s">
        <v>96</v>
      </c>
      <c r="AC41" s="18" t="s">
        <v>120</v>
      </c>
      <c r="AD41" s="18" t="s">
        <v>337</v>
      </c>
      <c r="AE41" s="18">
        <v>10</v>
      </c>
      <c r="AF41" s="18">
        <v>25</v>
      </c>
      <c r="AG41" s="18" t="s">
        <v>32</v>
      </c>
      <c r="AH41" s="18" t="str">
        <f t="shared" si="25"/>
        <v>R1</v>
      </c>
      <c r="AI41" s="18" t="str">
        <f>+VLOOKUP(AH41,Leyenda!$O$4:$U$10,6,FALSE)</f>
        <v>0,15-0,25</v>
      </c>
      <c r="AJ41" s="18" t="str">
        <f>+VLOOKUP(AH41,Leyenda!$O$4:$U$10,7,FALSE)</f>
        <v>No Blasting need</v>
      </c>
      <c r="AK41" s="18">
        <f>+VLOOKUP(AJ41,Leyenda!$U$4:$V$10,2,FALSE)</f>
        <v>2</v>
      </c>
      <c r="AL41" s="18" t="s">
        <v>34</v>
      </c>
      <c r="AM41" s="18" t="str">
        <f t="shared" si="10"/>
        <v>R1</v>
      </c>
      <c r="AN41" s="18" t="s">
        <v>64</v>
      </c>
      <c r="AO41" s="18" t="s">
        <v>79</v>
      </c>
      <c r="AP41" s="18" t="s">
        <v>100</v>
      </c>
      <c r="AQ41" s="18" t="s">
        <v>107</v>
      </c>
      <c r="AR41" s="18" t="s">
        <v>120</v>
      </c>
      <c r="AS41" s="18" t="s">
        <v>198</v>
      </c>
      <c r="AT41" s="18" t="s">
        <v>216</v>
      </c>
      <c r="AU41" s="18"/>
      <c r="AV41" s="18">
        <f>+VLOOKUP(AN41,Leyenda!$B$30:$E$34,3,FALSE)</f>
        <v>2</v>
      </c>
      <c r="AW41" s="18">
        <f>+VLOOKUP('2. Logging Brejo Seco'!AO41,Meteorizacion,3,FALSE)</f>
        <v>1</v>
      </c>
      <c r="AX41" s="18">
        <f>+VLOOKUP('2. Logging Brejo Seco'!AP41,Apertura,3,FALSE)</f>
        <v>0</v>
      </c>
      <c r="AY41" s="18">
        <f>+VLOOKUP('2. Logging Brejo Seco'!AQ41,Leyenda!$B$55:$D$59,3,FALSE)</f>
        <v>3</v>
      </c>
      <c r="AZ41" s="18">
        <f>+VLOOKUP('2. Logging Brejo Seco'!AR41,Relleno,3,FALSE)</f>
        <v>2</v>
      </c>
      <c r="BA41" s="18">
        <f t="shared" si="23"/>
        <v>8</v>
      </c>
      <c r="BB41" s="49">
        <f t="shared" si="5"/>
        <v>0</v>
      </c>
      <c r="BC41" s="49">
        <f>VLOOKUP(AM41,Leyenda!$B$4:$D$10,3,FALSE)</f>
        <v>1</v>
      </c>
      <c r="BD41" s="50">
        <f t="shared" si="11"/>
        <v>4</v>
      </c>
      <c r="BE41" s="49">
        <f t="shared" si="12"/>
        <v>8</v>
      </c>
      <c r="BF41" s="49">
        <v>10</v>
      </c>
      <c r="BG41" s="67">
        <f t="shared" si="6"/>
        <v>12</v>
      </c>
      <c r="BH41" s="67">
        <f>VLOOKUP(AM41,Leyenda!$B$4:$E$10,4,FALSE)</f>
        <v>1</v>
      </c>
      <c r="BI41" s="67">
        <f t="shared" si="13"/>
        <v>5</v>
      </c>
      <c r="BJ41" s="67">
        <f t="shared" si="7"/>
        <v>0</v>
      </c>
      <c r="BK41" s="67">
        <f>+VLOOKUP('2. Logging Brejo Seco'!AP41,Leyenda!$B$47:$E$51,4,FALSE)</f>
        <v>0</v>
      </c>
      <c r="BL41" s="67">
        <f>+VLOOKUP('2. Logging Brejo Seco'!AQ41,Leyenda!$B$55:$E$59,4,FALSE)</f>
        <v>3</v>
      </c>
      <c r="BM41" s="67">
        <f>+VLOOKUP('2. Logging Brejo Seco'!AR41,Leyenda!$B$63:$E$67,3,FALSE)</f>
        <v>2</v>
      </c>
      <c r="BN41" s="67">
        <f>+VLOOKUP('2. Logging Brejo Seco'!AO41,Leyenda!$B$39:$E$43,4,FALSE)</f>
        <v>1</v>
      </c>
      <c r="BO41" s="67">
        <f>+VLOOKUP('2. Logging Brejo Seco'!AN41,Leyenda!$B$30:$E$34,4,FALSE)</f>
        <v>3</v>
      </c>
      <c r="BP41" s="67">
        <f>VLOOKUP(AS41,Leyenda!$B$71:$E$75,4,FALSE)</f>
        <v>10</v>
      </c>
      <c r="BQ41" s="125">
        <f t="shared" si="14"/>
        <v>25</v>
      </c>
      <c r="BR41" s="85">
        <f t="shared" si="15"/>
        <v>23</v>
      </c>
      <c r="BS41" s="240">
        <f t="shared" si="16"/>
        <v>0.5</v>
      </c>
      <c r="BT41" s="18" t="s">
        <v>729</v>
      </c>
    </row>
    <row r="42" spans="1:92" x14ac:dyDescent="0.25">
      <c r="A42" s="18" t="s">
        <v>6</v>
      </c>
      <c r="B42" s="18">
        <v>2024</v>
      </c>
      <c r="C42" s="18" t="s">
        <v>138</v>
      </c>
      <c r="D42" s="18" t="s">
        <v>10</v>
      </c>
      <c r="E42" s="18">
        <v>30</v>
      </c>
      <c r="F42" s="18">
        <v>30</v>
      </c>
      <c r="G42" s="18" t="s">
        <v>152</v>
      </c>
      <c r="H42" s="248">
        <f t="shared" si="20"/>
        <v>30</v>
      </c>
      <c r="I42" s="135"/>
      <c r="J42" s="18" t="s">
        <v>161</v>
      </c>
      <c r="K42" s="31">
        <f t="shared" si="17"/>
        <v>19.5</v>
      </c>
      <c r="L42" s="31">
        <f t="shared" si="18"/>
        <v>20</v>
      </c>
      <c r="M42" s="4">
        <f t="shared" si="8"/>
        <v>0.5</v>
      </c>
      <c r="N42" s="5">
        <v>0.3</v>
      </c>
      <c r="O42" s="5">
        <f t="shared" si="1"/>
        <v>0.7</v>
      </c>
      <c r="P42" s="31">
        <f t="shared" si="9"/>
        <v>0.15</v>
      </c>
      <c r="Q42" s="31">
        <f t="shared" si="2"/>
        <v>0.15</v>
      </c>
      <c r="R42" s="31">
        <v>30</v>
      </c>
      <c r="S42" s="31">
        <v>5</v>
      </c>
      <c r="T42" s="31">
        <v>0.23</v>
      </c>
      <c r="U42" s="31">
        <v>0</v>
      </c>
      <c r="V42" s="86">
        <f t="shared" si="21"/>
        <v>0</v>
      </c>
      <c r="W42" s="31">
        <v>10</v>
      </c>
      <c r="X42" s="31"/>
      <c r="Y42" s="31">
        <f t="shared" si="24"/>
        <v>10</v>
      </c>
      <c r="Z42" s="31">
        <f t="shared" si="26"/>
        <v>23</v>
      </c>
      <c r="AA42" s="18">
        <v>0</v>
      </c>
      <c r="AB42" s="18" t="s">
        <v>96</v>
      </c>
      <c r="AC42" s="18" t="s">
        <v>118</v>
      </c>
      <c r="AD42" s="18" t="s">
        <v>337</v>
      </c>
      <c r="AE42" s="18">
        <v>5</v>
      </c>
      <c r="AF42" s="18">
        <v>30</v>
      </c>
      <c r="AG42" s="18" t="s">
        <v>29</v>
      </c>
      <c r="AH42" s="18" t="str">
        <f t="shared" si="25"/>
        <v>R2</v>
      </c>
      <c r="AI42" s="18" t="str">
        <f>+VLOOKUP(AH42,Leyenda!$O$4:$U$10,6,FALSE)</f>
        <v>0,25-0,35</v>
      </c>
      <c r="AJ42" s="18" t="str">
        <f>+VLOOKUP(AH42,Leyenda!$O$4:$U$10,7,FALSE)</f>
        <v>No Blasting need</v>
      </c>
      <c r="AK42" s="18">
        <f>+VLOOKUP(AJ42,Leyenda!$U$4:$V$10,2,FALSE)</f>
        <v>2</v>
      </c>
      <c r="AL42" s="18" t="s">
        <v>34</v>
      </c>
      <c r="AM42" s="18" t="str">
        <f t="shared" si="10"/>
        <v>R2</v>
      </c>
      <c r="AN42" s="18" t="s">
        <v>64</v>
      </c>
      <c r="AO42" s="18" t="s">
        <v>81</v>
      </c>
      <c r="AP42" s="18" t="s">
        <v>100</v>
      </c>
      <c r="AQ42" s="18" t="s">
        <v>107</v>
      </c>
      <c r="AR42" s="18" t="s">
        <v>120</v>
      </c>
      <c r="AS42" s="18" t="s">
        <v>198</v>
      </c>
      <c r="AT42" s="18" t="s">
        <v>216</v>
      </c>
      <c r="AU42" s="18"/>
      <c r="AV42" s="18">
        <f>+VLOOKUP(AN42,Leyenda!$B$30:$E$34,3,FALSE)</f>
        <v>2</v>
      </c>
      <c r="AW42" s="18">
        <f>+VLOOKUP('2. Logging Brejo Seco'!AO42,Meteorizacion,3,FALSE)</f>
        <v>0</v>
      </c>
      <c r="AX42" s="18">
        <f>+VLOOKUP('2. Logging Brejo Seco'!AP42,Apertura,3,FALSE)</f>
        <v>0</v>
      </c>
      <c r="AY42" s="18">
        <f>+VLOOKUP('2. Logging Brejo Seco'!AQ42,Leyenda!$B$55:$D$59,3,FALSE)</f>
        <v>3</v>
      </c>
      <c r="AZ42" s="18">
        <f>+VLOOKUP('2. Logging Brejo Seco'!AR42,Relleno,3,FALSE)</f>
        <v>2</v>
      </c>
      <c r="BA42" s="18">
        <f t="shared" si="23"/>
        <v>7</v>
      </c>
      <c r="BB42" s="49">
        <f t="shared" si="5"/>
        <v>0</v>
      </c>
      <c r="BC42" s="49">
        <f>VLOOKUP(AM42,Leyenda!$B$4:$D$10,3,FALSE)</f>
        <v>2</v>
      </c>
      <c r="BD42" s="50">
        <f t="shared" si="11"/>
        <v>4</v>
      </c>
      <c r="BE42" s="49">
        <f t="shared" si="12"/>
        <v>7</v>
      </c>
      <c r="BF42" s="49">
        <v>10</v>
      </c>
      <c r="BG42" s="67">
        <f t="shared" si="6"/>
        <v>10.5</v>
      </c>
      <c r="BH42" s="67">
        <f>VLOOKUP(AM42,Leyenda!$B$4:$E$10,4,FALSE)</f>
        <v>2</v>
      </c>
      <c r="BI42" s="67">
        <f t="shared" si="13"/>
        <v>5</v>
      </c>
      <c r="BJ42" s="67">
        <f t="shared" si="7"/>
        <v>0</v>
      </c>
      <c r="BK42" s="67">
        <f>+VLOOKUP('2. Logging Brejo Seco'!AP42,Leyenda!$B$47:$E$51,4,FALSE)</f>
        <v>0</v>
      </c>
      <c r="BL42" s="67">
        <f>+VLOOKUP('2. Logging Brejo Seco'!AQ42,Leyenda!$B$55:$E$59,4,FALSE)</f>
        <v>3</v>
      </c>
      <c r="BM42" s="67">
        <f>+VLOOKUP('2. Logging Brejo Seco'!AR42,Leyenda!$B$63:$E$67,3,FALSE)</f>
        <v>2</v>
      </c>
      <c r="BN42" s="67">
        <f>+VLOOKUP('2. Logging Brejo Seco'!AO42,Leyenda!$B$39:$E$43,4,FALSE)</f>
        <v>0</v>
      </c>
      <c r="BO42" s="67">
        <f>+VLOOKUP('2. Logging Brejo Seco'!AN42,Leyenda!$B$30:$E$34,4,FALSE)</f>
        <v>3</v>
      </c>
      <c r="BP42" s="67">
        <f>VLOOKUP(AS42,Leyenda!$B$71:$E$75,4,FALSE)</f>
        <v>10</v>
      </c>
      <c r="BQ42" s="125">
        <f t="shared" si="14"/>
        <v>25</v>
      </c>
      <c r="BR42" s="85">
        <f t="shared" si="15"/>
        <v>23</v>
      </c>
      <c r="BS42" s="240">
        <f t="shared" si="16"/>
        <v>0.7</v>
      </c>
      <c r="BT42" s="18" t="s">
        <v>729</v>
      </c>
    </row>
    <row r="43" spans="1:92" x14ac:dyDescent="0.25">
      <c r="A43" s="18" t="s">
        <v>6</v>
      </c>
      <c r="B43" s="18">
        <v>2024</v>
      </c>
      <c r="C43" s="18" t="s">
        <v>138</v>
      </c>
      <c r="D43" s="18" t="s">
        <v>10</v>
      </c>
      <c r="E43" s="18">
        <v>30</v>
      </c>
      <c r="F43" s="18">
        <v>30</v>
      </c>
      <c r="G43" s="18" t="s">
        <v>152</v>
      </c>
      <c r="H43" s="248">
        <f t="shared" si="20"/>
        <v>30</v>
      </c>
      <c r="I43" s="135"/>
      <c r="J43" s="18" t="s">
        <v>161</v>
      </c>
      <c r="K43" s="31">
        <f t="shared" si="17"/>
        <v>20</v>
      </c>
      <c r="L43" s="31">
        <f t="shared" si="18"/>
        <v>20.5</v>
      </c>
      <c r="M43" s="4">
        <f t="shared" si="8"/>
        <v>0.5</v>
      </c>
      <c r="N43" s="5">
        <v>0.5</v>
      </c>
      <c r="O43" s="5">
        <f t="shared" si="1"/>
        <v>0.5</v>
      </c>
      <c r="P43" s="31">
        <f t="shared" si="9"/>
        <v>0.25</v>
      </c>
      <c r="Q43" s="31">
        <f t="shared" si="2"/>
        <v>0.25</v>
      </c>
      <c r="R43" s="31">
        <v>250</v>
      </c>
      <c r="S43" s="31">
        <v>1</v>
      </c>
      <c r="T43" s="31">
        <v>0.17</v>
      </c>
      <c r="U43" s="31">
        <v>0.11</v>
      </c>
      <c r="V43" s="86">
        <f t="shared" si="21"/>
        <v>22</v>
      </c>
      <c r="W43" s="31">
        <v>5</v>
      </c>
      <c r="X43" s="31"/>
      <c r="Y43" s="31">
        <f t="shared" si="24"/>
        <v>5</v>
      </c>
      <c r="Z43" s="31">
        <f t="shared" si="26"/>
        <v>34</v>
      </c>
      <c r="AA43" s="18">
        <v>26</v>
      </c>
      <c r="AB43" s="18" t="s">
        <v>96</v>
      </c>
      <c r="AC43" s="18" t="s">
        <v>116</v>
      </c>
      <c r="AD43" s="18" t="s">
        <v>329</v>
      </c>
      <c r="AE43" s="18">
        <v>1</v>
      </c>
      <c r="AF43" s="18">
        <v>250</v>
      </c>
      <c r="AG43" s="18" t="s">
        <v>29</v>
      </c>
      <c r="AH43" s="18" t="str">
        <f t="shared" si="25"/>
        <v>R2</v>
      </c>
      <c r="AI43" s="18" t="str">
        <f>+VLOOKUP(AH43,Leyenda!$O$4:$U$10,6,FALSE)</f>
        <v>0,25-0,35</v>
      </c>
      <c r="AJ43" s="18" t="str">
        <f>+VLOOKUP(AH43,Leyenda!$O$4:$U$10,7,FALSE)</f>
        <v>No Blasting need</v>
      </c>
      <c r="AK43" s="18">
        <f>+VLOOKUP(AJ43,Leyenda!$U$4:$V$10,2,FALSE)</f>
        <v>2</v>
      </c>
      <c r="AL43" s="18" t="s">
        <v>27</v>
      </c>
      <c r="AM43" s="18" t="str">
        <f t="shared" si="10"/>
        <v>R2</v>
      </c>
      <c r="AN43" s="18" t="s">
        <v>64</v>
      </c>
      <c r="AO43" s="18" t="s">
        <v>77</v>
      </c>
      <c r="AP43" s="18" t="s">
        <v>96</v>
      </c>
      <c r="AQ43" s="18" t="s">
        <v>107</v>
      </c>
      <c r="AR43" s="18" t="s">
        <v>120</v>
      </c>
      <c r="AS43" s="18" t="s">
        <v>198</v>
      </c>
      <c r="AT43" s="18" t="s">
        <v>216</v>
      </c>
      <c r="AU43" s="18"/>
      <c r="AV43" s="18">
        <f>+VLOOKUP(AN43,Leyenda!$B$30:$E$34,3,FALSE)</f>
        <v>2</v>
      </c>
      <c r="AW43" s="18">
        <f>+VLOOKUP('2. Logging Brejo Seco'!AO43,Meteorizacion,3,FALSE)</f>
        <v>3</v>
      </c>
      <c r="AX43" s="18">
        <f>+VLOOKUP('2. Logging Brejo Seco'!AP43,Apertura,3,FALSE)</f>
        <v>1</v>
      </c>
      <c r="AY43" s="18">
        <f>+VLOOKUP('2. Logging Brejo Seco'!AQ43,Leyenda!$B$55:$D$59,3,FALSE)</f>
        <v>3</v>
      </c>
      <c r="AZ43" s="18">
        <f>+VLOOKUP('2. Logging Brejo Seco'!AR43,Relleno,3,FALSE)</f>
        <v>2</v>
      </c>
      <c r="BA43" s="18">
        <f t="shared" si="23"/>
        <v>11</v>
      </c>
      <c r="BB43" s="49">
        <f t="shared" si="5"/>
        <v>5</v>
      </c>
      <c r="BC43" s="49">
        <f>VLOOKUP(AM43,Leyenda!$B$4:$D$10,3,FALSE)</f>
        <v>2</v>
      </c>
      <c r="BD43" s="50">
        <f t="shared" si="11"/>
        <v>5</v>
      </c>
      <c r="BE43" s="49">
        <f t="shared" si="12"/>
        <v>11</v>
      </c>
      <c r="BF43" s="49">
        <v>10</v>
      </c>
      <c r="BG43" s="67">
        <f t="shared" si="6"/>
        <v>27.5</v>
      </c>
      <c r="BH43" s="67">
        <f>VLOOKUP(AM43,Leyenda!$B$4:$E$10,4,FALSE)</f>
        <v>2</v>
      </c>
      <c r="BI43" s="67">
        <f t="shared" si="13"/>
        <v>5</v>
      </c>
      <c r="BJ43" s="67">
        <f t="shared" si="7"/>
        <v>5</v>
      </c>
      <c r="BK43" s="67">
        <f>+VLOOKUP('2. Logging Brejo Seco'!AP43,Leyenda!$B$47:$E$51,4,FALSE)</f>
        <v>1</v>
      </c>
      <c r="BL43" s="67">
        <f>+VLOOKUP('2. Logging Brejo Seco'!AQ43,Leyenda!$B$55:$E$59,4,FALSE)</f>
        <v>3</v>
      </c>
      <c r="BM43" s="67">
        <f>+VLOOKUP('2. Logging Brejo Seco'!AR43,Leyenda!$B$63:$E$67,3,FALSE)</f>
        <v>2</v>
      </c>
      <c r="BN43" s="67">
        <f>+VLOOKUP('2. Logging Brejo Seco'!AO43,Leyenda!$B$39:$E$43,4,FALSE)</f>
        <v>3</v>
      </c>
      <c r="BO43" s="67">
        <f>+VLOOKUP('2. Logging Brejo Seco'!AN43,Leyenda!$B$30:$E$34,4,FALSE)</f>
        <v>3</v>
      </c>
      <c r="BP43" s="67">
        <f>VLOOKUP(AS43,Leyenda!$B$71:$E$75,4,FALSE)</f>
        <v>10</v>
      </c>
      <c r="BQ43" s="125">
        <f t="shared" si="14"/>
        <v>34</v>
      </c>
      <c r="BR43" s="85">
        <f t="shared" si="15"/>
        <v>33</v>
      </c>
      <c r="BS43" s="240">
        <f t="shared" si="16"/>
        <v>0.5</v>
      </c>
      <c r="BT43" s="18" t="s">
        <v>729</v>
      </c>
    </row>
    <row r="44" spans="1:92" x14ac:dyDescent="0.25">
      <c r="A44" s="18" t="s">
        <v>6</v>
      </c>
      <c r="B44" s="18">
        <v>2024</v>
      </c>
      <c r="C44" s="18" t="s">
        <v>138</v>
      </c>
      <c r="D44" s="18" t="s">
        <v>10</v>
      </c>
      <c r="E44" s="18">
        <v>30</v>
      </c>
      <c r="F44" s="18">
        <v>30</v>
      </c>
      <c r="G44" s="18" t="s">
        <v>152</v>
      </c>
      <c r="H44" s="248">
        <f t="shared" si="20"/>
        <v>30</v>
      </c>
      <c r="I44" s="135"/>
      <c r="J44" s="18" t="s">
        <v>161</v>
      </c>
      <c r="K44" s="31">
        <f t="shared" si="17"/>
        <v>20.5</v>
      </c>
      <c r="L44" s="31">
        <f t="shared" si="18"/>
        <v>21</v>
      </c>
      <c r="M44" s="4">
        <f t="shared" si="8"/>
        <v>0.5</v>
      </c>
      <c r="N44" s="5">
        <v>0.38</v>
      </c>
      <c r="O44" s="5">
        <f t="shared" si="1"/>
        <v>0.62</v>
      </c>
      <c r="P44" s="31">
        <f t="shared" si="9"/>
        <v>0.19</v>
      </c>
      <c r="Q44" s="31">
        <f t="shared" si="2"/>
        <v>0.19</v>
      </c>
      <c r="R44" s="31">
        <v>38</v>
      </c>
      <c r="S44" s="31">
        <v>5</v>
      </c>
      <c r="T44" s="31">
        <v>0.13</v>
      </c>
      <c r="U44" s="31">
        <v>0</v>
      </c>
      <c r="V44" s="86">
        <f t="shared" si="21"/>
        <v>0</v>
      </c>
      <c r="W44" s="31">
        <v>10</v>
      </c>
      <c r="X44" s="31"/>
      <c r="Y44" s="31">
        <f t="shared" si="24"/>
        <v>10</v>
      </c>
      <c r="Z44" s="31">
        <f t="shared" si="26"/>
        <v>13</v>
      </c>
      <c r="AA44" s="18">
        <v>0</v>
      </c>
      <c r="AB44" s="18" t="s">
        <v>100</v>
      </c>
      <c r="AC44" s="18" t="s">
        <v>118</v>
      </c>
      <c r="AD44" s="18" t="s">
        <v>335</v>
      </c>
      <c r="AE44" s="18">
        <v>5</v>
      </c>
      <c r="AF44" s="18">
        <v>38</v>
      </c>
      <c r="AG44" s="18" t="s">
        <v>34</v>
      </c>
      <c r="AH44" s="18" t="str">
        <f t="shared" si="25"/>
        <v>R0</v>
      </c>
      <c r="AI44" s="18">
        <f>+VLOOKUP(AH44,Leyenda!$O$4:$U$10,6,FALSE)</f>
        <v>0</v>
      </c>
      <c r="AJ44" s="18" t="str">
        <f>+VLOOKUP(AH44,Leyenda!$O$4:$U$10,7,FALSE)</f>
        <v>No Blasting need</v>
      </c>
      <c r="AK44" s="18">
        <f>+VLOOKUP(AJ44,Leyenda!$U$4:$V$10,2,FALSE)</f>
        <v>2</v>
      </c>
      <c r="AL44" s="18" t="s">
        <v>27</v>
      </c>
      <c r="AM44" s="18" t="str">
        <f t="shared" si="10"/>
        <v>R0</v>
      </c>
      <c r="AN44" s="18" t="s">
        <v>64</v>
      </c>
      <c r="AO44" s="18" t="s">
        <v>77</v>
      </c>
      <c r="AP44" s="18" t="s">
        <v>96</v>
      </c>
      <c r="AQ44" s="18" t="s">
        <v>107</v>
      </c>
      <c r="AR44" s="18" t="s">
        <v>120</v>
      </c>
      <c r="AS44" s="18" t="s">
        <v>198</v>
      </c>
      <c r="AT44" s="18" t="s">
        <v>216</v>
      </c>
      <c r="AU44" s="18"/>
      <c r="AV44" s="18">
        <f>+VLOOKUP(AN44,Leyenda!$B$30:$E$34,3,FALSE)</f>
        <v>2</v>
      </c>
      <c r="AW44" s="18">
        <f>+VLOOKUP('2. Logging Brejo Seco'!AO44,Meteorizacion,3,FALSE)</f>
        <v>3</v>
      </c>
      <c r="AX44" s="18">
        <f>+VLOOKUP('2. Logging Brejo Seco'!AP44,Apertura,3,FALSE)</f>
        <v>1</v>
      </c>
      <c r="AY44" s="18">
        <f>+VLOOKUP('2. Logging Brejo Seco'!AQ44,Leyenda!$B$55:$D$59,3,FALSE)</f>
        <v>3</v>
      </c>
      <c r="AZ44" s="18">
        <f>+VLOOKUP('2. Logging Brejo Seco'!AR44,Relleno,3,FALSE)</f>
        <v>2</v>
      </c>
      <c r="BA44" s="18">
        <f t="shared" si="23"/>
        <v>11</v>
      </c>
      <c r="BB44" s="49">
        <f t="shared" si="5"/>
        <v>0</v>
      </c>
      <c r="BC44" s="49">
        <f>VLOOKUP(AM44,Leyenda!$B$4:$D$10,3,FALSE)</f>
        <v>0</v>
      </c>
      <c r="BD44" s="50">
        <f t="shared" si="11"/>
        <v>4</v>
      </c>
      <c r="BE44" s="49">
        <f t="shared" si="12"/>
        <v>11</v>
      </c>
      <c r="BF44" s="49">
        <v>10</v>
      </c>
      <c r="BG44" s="67">
        <f t="shared" si="6"/>
        <v>16.5</v>
      </c>
      <c r="BH44" s="67">
        <f>VLOOKUP(AM44,Leyenda!$B$4:$E$10,4,FALSE)</f>
        <v>0</v>
      </c>
      <c r="BI44" s="67">
        <f t="shared" si="13"/>
        <v>5</v>
      </c>
      <c r="BJ44" s="67">
        <f t="shared" si="7"/>
        <v>0</v>
      </c>
      <c r="BK44" s="67">
        <f>+VLOOKUP('2. Logging Brejo Seco'!AP44,Leyenda!$B$47:$E$51,4,FALSE)</f>
        <v>1</v>
      </c>
      <c r="BL44" s="67">
        <f>+VLOOKUP('2. Logging Brejo Seco'!AQ44,Leyenda!$B$55:$E$59,4,FALSE)</f>
        <v>3</v>
      </c>
      <c r="BM44" s="67">
        <f>+VLOOKUP('2. Logging Brejo Seco'!AR44,Leyenda!$B$63:$E$67,3,FALSE)</f>
        <v>2</v>
      </c>
      <c r="BN44" s="67">
        <f>+VLOOKUP('2. Logging Brejo Seco'!AO44,Leyenda!$B$39:$E$43,4,FALSE)</f>
        <v>3</v>
      </c>
      <c r="BO44" s="67">
        <f>+VLOOKUP('2. Logging Brejo Seco'!AN44,Leyenda!$B$30:$E$34,4,FALSE)</f>
        <v>3</v>
      </c>
      <c r="BP44" s="67">
        <f>VLOOKUP(AS44,Leyenda!$B$71:$E$75,4,FALSE)</f>
        <v>10</v>
      </c>
      <c r="BQ44" s="125">
        <f t="shared" si="14"/>
        <v>27</v>
      </c>
      <c r="BR44" s="85">
        <f t="shared" si="15"/>
        <v>25</v>
      </c>
      <c r="BS44" s="240">
        <f t="shared" si="16"/>
        <v>0.62</v>
      </c>
      <c r="BT44" s="18" t="s">
        <v>729</v>
      </c>
    </row>
    <row r="45" spans="1:92" x14ac:dyDescent="0.25">
      <c r="A45" s="18" t="s">
        <v>6</v>
      </c>
      <c r="B45" s="18">
        <v>2024</v>
      </c>
      <c r="C45" s="18" t="s">
        <v>138</v>
      </c>
      <c r="D45" s="18" t="s">
        <v>10</v>
      </c>
      <c r="E45" s="18">
        <v>30</v>
      </c>
      <c r="F45" s="18">
        <v>30</v>
      </c>
      <c r="G45" s="18" t="s">
        <v>152</v>
      </c>
      <c r="H45" s="248">
        <f t="shared" si="20"/>
        <v>30</v>
      </c>
      <c r="I45" s="135"/>
      <c r="J45" s="18" t="s">
        <v>161</v>
      </c>
      <c r="K45" s="31">
        <f t="shared" si="17"/>
        <v>21</v>
      </c>
      <c r="L45" s="31">
        <f t="shared" si="18"/>
        <v>21.5</v>
      </c>
      <c r="M45" s="4">
        <f t="shared" si="8"/>
        <v>0.5</v>
      </c>
      <c r="N45" s="5">
        <v>0.38</v>
      </c>
      <c r="O45" s="5">
        <f t="shared" si="1"/>
        <v>0.62</v>
      </c>
      <c r="P45" s="31">
        <f t="shared" si="9"/>
        <v>0.19</v>
      </c>
      <c r="Q45" s="31">
        <f t="shared" si="2"/>
        <v>0.19</v>
      </c>
      <c r="R45" s="31">
        <v>9.5</v>
      </c>
      <c r="S45" s="31">
        <v>20</v>
      </c>
      <c r="T45" s="31">
        <v>0.31</v>
      </c>
      <c r="U45" s="31">
        <v>0</v>
      </c>
      <c r="V45" s="86">
        <f t="shared" si="21"/>
        <v>0</v>
      </c>
      <c r="W45" s="31">
        <v>6</v>
      </c>
      <c r="X45" s="31"/>
      <c r="Y45" s="31">
        <f t="shared" si="24"/>
        <v>6</v>
      </c>
      <c r="Z45" s="31">
        <f t="shared" si="26"/>
        <v>51.666666666666664</v>
      </c>
      <c r="AA45" s="18">
        <v>0</v>
      </c>
      <c r="AB45" s="18" t="s">
        <v>100</v>
      </c>
      <c r="AC45" s="18" t="s">
        <v>333</v>
      </c>
      <c r="AD45" s="18" t="s">
        <v>337</v>
      </c>
      <c r="AE45" s="18">
        <v>20</v>
      </c>
      <c r="AF45" s="18">
        <v>9.5</v>
      </c>
      <c r="AG45" s="18" t="s">
        <v>29</v>
      </c>
      <c r="AH45" s="18" t="str">
        <f t="shared" si="25"/>
        <v>R2</v>
      </c>
      <c r="AI45" s="18" t="str">
        <f>+VLOOKUP(AH45,Leyenda!$O$4:$U$10,6,FALSE)</f>
        <v>0,25-0,35</v>
      </c>
      <c r="AJ45" s="18" t="str">
        <f>+VLOOKUP(AH45,Leyenda!$O$4:$U$10,7,FALSE)</f>
        <v>No Blasting need</v>
      </c>
      <c r="AK45" s="18">
        <f>+VLOOKUP(AJ45,Leyenda!$U$4:$V$10,2,FALSE)</f>
        <v>2</v>
      </c>
      <c r="AL45" s="18" t="s">
        <v>27</v>
      </c>
      <c r="AM45" s="18" t="str">
        <f t="shared" si="10"/>
        <v>R2</v>
      </c>
      <c r="AN45" s="18" t="s">
        <v>64</v>
      </c>
      <c r="AO45" s="18" t="s">
        <v>77</v>
      </c>
      <c r="AP45" s="18" t="s">
        <v>96</v>
      </c>
      <c r="AQ45" s="18" t="s">
        <v>107</v>
      </c>
      <c r="AR45" s="18" t="s">
        <v>120</v>
      </c>
      <c r="AS45" s="18" t="s">
        <v>198</v>
      </c>
      <c r="AT45" s="18" t="s">
        <v>216</v>
      </c>
      <c r="AU45" s="18"/>
      <c r="AV45" s="18">
        <f>+VLOOKUP(AN45,Leyenda!$B$30:$E$34,3,FALSE)</f>
        <v>2</v>
      </c>
      <c r="AW45" s="18">
        <f>+VLOOKUP('2. Logging Brejo Seco'!AO45,Meteorizacion,3,FALSE)</f>
        <v>3</v>
      </c>
      <c r="AX45" s="18">
        <f>+VLOOKUP('2. Logging Brejo Seco'!AP45,Apertura,3,FALSE)</f>
        <v>1</v>
      </c>
      <c r="AY45" s="18">
        <f>+VLOOKUP('2. Logging Brejo Seco'!AQ45,Leyenda!$B$55:$D$59,3,FALSE)</f>
        <v>3</v>
      </c>
      <c r="AZ45" s="18">
        <f>+VLOOKUP('2. Logging Brejo Seco'!AR45,Relleno,3,FALSE)</f>
        <v>2</v>
      </c>
      <c r="BA45" s="18">
        <f t="shared" si="23"/>
        <v>11</v>
      </c>
      <c r="BB45" s="49">
        <f t="shared" si="5"/>
        <v>0</v>
      </c>
      <c r="BC45" s="49">
        <f>VLOOKUP(AM45,Leyenda!$B$4:$D$10,3,FALSE)</f>
        <v>2</v>
      </c>
      <c r="BD45" s="50">
        <f t="shared" si="11"/>
        <v>6</v>
      </c>
      <c r="BE45" s="49">
        <f t="shared" si="12"/>
        <v>11</v>
      </c>
      <c r="BF45" s="49">
        <v>10</v>
      </c>
      <c r="BG45" s="67">
        <f t="shared" si="6"/>
        <v>16.5</v>
      </c>
      <c r="BH45" s="67">
        <f>VLOOKUP(AM45,Leyenda!$B$4:$E$10,4,FALSE)</f>
        <v>2</v>
      </c>
      <c r="BI45" s="67">
        <f t="shared" si="13"/>
        <v>4</v>
      </c>
      <c r="BJ45" s="67">
        <f t="shared" si="7"/>
        <v>0</v>
      </c>
      <c r="BK45" s="67">
        <f>+VLOOKUP('2. Logging Brejo Seco'!AP45,Leyenda!$B$47:$E$51,4,FALSE)</f>
        <v>1</v>
      </c>
      <c r="BL45" s="67">
        <f>+VLOOKUP('2. Logging Brejo Seco'!AQ45,Leyenda!$B$55:$E$59,4,FALSE)</f>
        <v>3</v>
      </c>
      <c r="BM45" s="67">
        <f>+VLOOKUP('2. Logging Brejo Seco'!AR45,Leyenda!$B$63:$E$67,3,FALSE)</f>
        <v>2</v>
      </c>
      <c r="BN45" s="67">
        <f>+VLOOKUP('2. Logging Brejo Seco'!AO45,Leyenda!$B$39:$E$43,4,FALSE)</f>
        <v>3</v>
      </c>
      <c r="BO45" s="67">
        <f>+VLOOKUP('2. Logging Brejo Seco'!AN45,Leyenda!$B$30:$E$34,4,FALSE)</f>
        <v>3</v>
      </c>
      <c r="BP45" s="67">
        <f>VLOOKUP(AS45,Leyenda!$B$71:$E$75,4,FALSE)</f>
        <v>10</v>
      </c>
      <c r="BQ45" s="125">
        <f t="shared" si="14"/>
        <v>28</v>
      </c>
      <c r="BR45" s="85">
        <f t="shared" si="15"/>
        <v>29</v>
      </c>
      <c r="BS45" s="240">
        <f t="shared" si="16"/>
        <v>0.62</v>
      </c>
      <c r="BT45" s="18" t="s">
        <v>729</v>
      </c>
    </row>
    <row r="46" spans="1:92" x14ac:dyDescent="0.25">
      <c r="A46" s="18" t="s">
        <v>6</v>
      </c>
      <c r="B46" s="18">
        <v>2024</v>
      </c>
      <c r="C46" s="18" t="s">
        <v>138</v>
      </c>
      <c r="D46" s="18" t="s">
        <v>10</v>
      </c>
      <c r="E46" s="18">
        <v>30</v>
      </c>
      <c r="F46" s="18">
        <v>10</v>
      </c>
      <c r="G46" s="18" t="s">
        <v>152</v>
      </c>
      <c r="H46" s="248">
        <f t="shared" si="20"/>
        <v>10</v>
      </c>
      <c r="I46" s="135"/>
      <c r="J46" s="18" t="s">
        <v>162</v>
      </c>
      <c r="K46" s="31">
        <f t="shared" si="17"/>
        <v>21.5</v>
      </c>
      <c r="L46" s="31">
        <f t="shared" si="18"/>
        <v>22</v>
      </c>
      <c r="M46" s="4">
        <f t="shared" si="8"/>
        <v>0.5</v>
      </c>
      <c r="N46" s="5">
        <v>0.6</v>
      </c>
      <c r="O46" s="5">
        <f t="shared" si="1"/>
        <v>0.4</v>
      </c>
      <c r="P46" s="31">
        <f t="shared" si="9"/>
        <v>0.3</v>
      </c>
      <c r="Q46" s="31">
        <f t="shared" si="2"/>
        <v>0.3</v>
      </c>
      <c r="R46" s="31">
        <v>15</v>
      </c>
      <c r="S46" s="31">
        <v>20</v>
      </c>
      <c r="T46" s="31">
        <v>0.27</v>
      </c>
      <c r="U46" s="31">
        <v>0.26</v>
      </c>
      <c r="V46" s="86">
        <f t="shared" si="21"/>
        <v>52</v>
      </c>
      <c r="W46" s="31">
        <v>5</v>
      </c>
      <c r="X46" s="31"/>
      <c r="Y46" s="31">
        <f t="shared" si="24"/>
        <v>5</v>
      </c>
      <c r="Z46" s="31">
        <f t="shared" si="26"/>
        <v>54</v>
      </c>
      <c r="AA46" s="18">
        <v>44</v>
      </c>
      <c r="AB46" s="18" t="s">
        <v>88</v>
      </c>
      <c r="AC46" s="18" t="s">
        <v>333</v>
      </c>
      <c r="AD46" s="18" t="s">
        <v>334</v>
      </c>
      <c r="AE46" s="18">
        <v>20</v>
      </c>
      <c r="AF46" s="18">
        <v>15</v>
      </c>
      <c r="AG46" s="18" t="s">
        <v>27</v>
      </c>
      <c r="AH46" s="18" t="str">
        <f t="shared" si="25"/>
        <v>R3</v>
      </c>
      <c r="AI46" s="18" t="str">
        <f>+VLOOKUP(AH46,Leyenda!$O$4:$U$10,6,FALSE)</f>
        <v>0,35-0,50</v>
      </c>
      <c r="AJ46" s="18" t="str">
        <f>+VLOOKUP(AH46,Leyenda!$O$4:$U$10,7,FALSE)</f>
        <v>Easy to blast</v>
      </c>
      <c r="AK46" s="18">
        <f>+VLOOKUP(AJ46,Leyenda!$U$4:$V$10,2,FALSE)</f>
        <v>3</v>
      </c>
      <c r="AL46" s="18" t="s">
        <v>27</v>
      </c>
      <c r="AM46" s="18" t="str">
        <f t="shared" si="10"/>
        <v>R3</v>
      </c>
      <c r="AN46" s="18" t="s">
        <v>62</v>
      </c>
      <c r="AO46" s="18" t="s">
        <v>75</v>
      </c>
      <c r="AP46" s="18" t="s">
        <v>92</v>
      </c>
      <c r="AQ46" s="18" t="s">
        <v>107</v>
      </c>
      <c r="AR46" s="18" t="s">
        <v>116</v>
      </c>
      <c r="AS46" s="18" t="s">
        <v>198</v>
      </c>
      <c r="AT46" s="18" t="s">
        <v>217</v>
      </c>
      <c r="AU46" s="18"/>
      <c r="AV46" s="18">
        <f>+VLOOKUP(AN46,Leyenda!$B$30:$E$34,3,FALSE)</f>
        <v>4</v>
      </c>
      <c r="AW46" s="18">
        <f>+VLOOKUP('2. Logging Brejo Seco'!AO46,Meteorizacion,3,FALSE)</f>
        <v>5</v>
      </c>
      <c r="AX46" s="18">
        <f>+VLOOKUP('2. Logging Brejo Seco'!AP46,Apertura,3,FALSE)</f>
        <v>3</v>
      </c>
      <c r="AY46" s="18">
        <f>+VLOOKUP('2. Logging Brejo Seco'!AQ46,Leyenda!$B$55:$D$59,3,FALSE)</f>
        <v>3</v>
      </c>
      <c r="AZ46" s="18">
        <f>+VLOOKUP('2. Logging Brejo Seco'!AR46,Relleno,3,FALSE)</f>
        <v>4</v>
      </c>
      <c r="BA46" s="18">
        <f t="shared" si="23"/>
        <v>19</v>
      </c>
      <c r="BB46" s="49">
        <f t="shared" si="5"/>
        <v>11</v>
      </c>
      <c r="BC46" s="49">
        <f>VLOOKUP(AM46,Leyenda!$B$4:$D$10,3,FALSE)</f>
        <v>4</v>
      </c>
      <c r="BD46" s="50">
        <f t="shared" si="11"/>
        <v>6</v>
      </c>
      <c r="BE46" s="49">
        <f t="shared" si="12"/>
        <v>19</v>
      </c>
      <c r="BF46" s="49">
        <f>VLOOKUP(AS46,Leyenda!$B$70:$D$75,3,FALSE)</f>
        <v>15</v>
      </c>
      <c r="BG46" s="67">
        <f t="shared" si="6"/>
        <v>54.5</v>
      </c>
      <c r="BH46" s="67">
        <f>VLOOKUP(AM46,Leyenda!$B$4:$E$10,4,FALSE)</f>
        <v>4</v>
      </c>
      <c r="BI46" s="67">
        <f t="shared" si="13"/>
        <v>4</v>
      </c>
      <c r="BJ46" s="67">
        <f t="shared" si="7"/>
        <v>11</v>
      </c>
      <c r="BK46" s="67">
        <f>+VLOOKUP('2. Logging Brejo Seco'!AP46,Leyenda!$B$47:$E$51,4,FALSE)</f>
        <v>3</v>
      </c>
      <c r="BL46" s="67">
        <f>+VLOOKUP('2. Logging Brejo Seco'!AQ46,Leyenda!$B$55:$E$59,4,FALSE)</f>
        <v>3</v>
      </c>
      <c r="BM46" s="67">
        <f>+VLOOKUP('2. Logging Brejo Seco'!AR46,Leyenda!$B$63:$E$67,3,FALSE)</f>
        <v>4</v>
      </c>
      <c r="BN46" s="67">
        <f>+VLOOKUP('2. Logging Brejo Seco'!AO46,Leyenda!$B$39:$E$43,4,FALSE)</f>
        <v>4</v>
      </c>
      <c r="BO46" s="67">
        <f>+VLOOKUP('2. Logging Brejo Seco'!AN46,Leyenda!$B$30:$E$34,4,FALSE)</f>
        <v>4</v>
      </c>
      <c r="BP46" s="67">
        <f>VLOOKUP(AS46,Leyenda!$B$71:$E$75,4,FALSE)</f>
        <v>10</v>
      </c>
      <c r="BQ46" s="125">
        <f t="shared" si="14"/>
        <v>47</v>
      </c>
      <c r="BR46" s="85">
        <f t="shared" si="15"/>
        <v>55</v>
      </c>
      <c r="BS46" s="240">
        <f t="shared" si="16"/>
        <v>0.4</v>
      </c>
      <c r="BT46" s="18"/>
    </row>
    <row r="47" spans="1:92" x14ac:dyDescent="0.25">
      <c r="A47" s="18" t="s">
        <v>6</v>
      </c>
      <c r="B47" s="18">
        <v>2024</v>
      </c>
      <c r="C47" s="18" t="s">
        <v>138</v>
      </c>
      <c r="D47" s="18" t="s">
        <v>10</v>
      </c>
      <c r="E47" s="18">
        <v>30</v>
      </c>
      <c r="F47" s="18">
        <v>10</v>
      </c>
      <c r="G47" s="18" t="s">
        <v>152</v>
      </c>
      <c r="H47" s="248">
        <f t="shared" si="20"/>
        <v>10</v>
      </c>
      <c r="I47" s="135"/>
      <c r="J47" s="18" t="s">
        <v>162</v>
      </c>
      <c r="K47" s="31">
        <f t="shared" si="17"/>
        <v>22</v>
      </c>
      <c r="L47" s="31">
        <f t="shared" si="18"/>
        <v>22.5</v>
      </c>
      <c r="M47" s="4">
        <f t="shared" si="8"/>
        <v>0.5</v>
      </c>
      <c r="N47" s="5">
        <v>0.6</v>
      </c>
      <c r="O47" s="5">
        <f t="shared" si="1"/>
        <v>0.4</v>
      </c>
      <c r="P47" s="31">
        <f t="shared" si="9"/>
        <v>0.3</v>
      </c>
      <c r="Q47" s="31">
        <f t="shared" si="2"/>
        <v>0.3</v>
      </c>
      <c r="R47" s="31">
        <v>15</v>
      </c>
      <c r="S47" s="31">
        <v>20</v>
      </c>
      <c r="T47" s="31">
        <v>0.44</v>
      </c>
      <c r="U47" s="31">
        <v>0.18</v>
      </c>
      <c r="V47" s="86">
        <f t="shared" si="21"/>
        <v>36</v>
      </c>
      <c r="W47" s="31">
        <v>4</v>
      </c>
      <c r="X47" s="31"/>
      <c r="Y47" s="31">
        <f t="shared" si="24"/>
        <v>4</v>
      </c>
      <c r="Z47" s="31">
        <f t="shared" si="26"/>
        <v>110</v>
      </c>
      <c r="AA47" s="18">
        <v>42</v>
      </c>
      <c r="AB47" s="18" t="s">
        <v>88</v>
      </c>
      <c r="AC47" s="18" t="s">
        <v>333</v>
      </c>
      <c r="AD47" s="18" t="s">
        <v>329</v>
      </c>
      <c r="AE47" s="18">
        <v>20</v>
      </c>
      <c r="AF47" s="18">
        <v>15</v>
      </c>
      <c r="AG47" s="18" t="s">
        <v>24</v>
      </c>
      <c r="AH47" s="18" t="str">
        <f t="shared" si="25"/>
        <v>R4</v>
      </c>
      <c r="AI47" s="18" t="str">
        <f>+VLOOKUP(AH47,Leyenda!$O$4:$U$10,6,FALSE)</f>
        <v>0,50-0,80</v>
      </c>
      <c r="AJ47" s="18" t="str">
        <f>+VLOOKUP(AH47,Leyenda!$O$4:$U$10,7,FALSE)</f>
        <v>Fairly easy to blast</v>
      </c>
      <c r="AK47" s="18">
        <f>+VLOOKUP(AJ47,Leyenda!$U$4:$V$10,2,FALSE)</f>
        <v>4</v>
      </c>
      <c r="AL47" s="18" t="s">
        <v>27</v>
      </c>
      <c r="AM47" s="18" t="str">
        <f t="shared" si="10"/>
        <v>R4</v>
      </c>
      <c r="AN47" s="128" t="s">
        <v>62</v>
      </c>
      <c r="AO47" s="18" t="s">
        <v>75</v>
      </c>
      <c r="AP47" s="18" t="s">
        <v>92</v>
      </c>
      <c r="AQ47" s="18" t="s">
        <v>107</v>
      </c>
      <c r="AR47" s="18" t="s">
        <v>116</v>
      </c>
      <c r="AS47" s="18" t="s">
        <v>198</v>
      </c>
      <c r="AT47" s="18" t="s">
        <v>217</v>
      </c>
      <c r="AU47" s="18"/>
      <c r="AV47" s="18">
        <f>+VLOOKUP(AN47,Leyenda!$B$30:$E$34,3,FALSE)</f>
        <v>4</v>
      </c>
      <c r="AW47" s="18">
        <f>+VLOOKUP('2. Logging Brejo Seco'!AO47,Meteorizacion,3,FALSE)</f>
        <v>5</v>
      </c>
      <c r="AX47" s="18">
        <f>+VLOOKUP('2. Logging Brejo Seco'!AP47,Apertura,3,FALSE)</f>
        <v>3</v>
      </c>
      <c r="AY47" s="18">
        <f>+VLOOKUP('2. Logging Brejo Seco'!AQ47,Leyenda!$B$55:$D$59,3,FALSE)</f>
        <v>3</v>
      </c>
      <c r="AZ47" s="18">
        <f>+VLOOKUP('2. Logging Brejo Seco'!AR47,Relleno,3,FALSE)</f>
        <v>4</v>
      </c>
      <c r="BA47" s="18">
        <f t="shared" si="23"/>
        <v>19</v>
      </c>
      <c r="BB47" s="49">
        <f t="shared" si="5"/>
        <v>8</v>
      </c>
      <c r="BC47" s="49">
        <f>VLOOKUP(AM47,Leyenda!$B$4:$D$10,3,FALSE)</f>
        <v>7</v>
      </c>
      <c r="BD47" s="50">
        <f t="shared" si="11"/>
        <v>7</v>
      </c>
      <c r="BE47" s="49">
        <f t="shared" si="12"/>
        <v>19</v>
      </c>
      <c r="BF47" s="49">
        <f>VLOOKUP(AS47,Leyenda!$B$70:$D$75,3,FALSE)</f>
        <v>15</v>
      </c>
      <c r="BG47" s="67">
        <f t="shared" si="6"/>
        <v>46.5</v>
      </c>
      <c r="BH47" s="67">
        <f>VLOOKUP(AM47,Leyenda!$B$4:$E$10,4,FALSE)</f>
        <v>7</v>
      </c>
      <c r="BI47" s="67">
        <f t="shared" si="13"/>
        <v>9</v>
      </c>
      <c r="BJ47" s="67">
        <f t="shared" si="7"/>
        <v>8</v>
      </c>
      <c r="BK47" s="67">
        <f>+VLOOKUP('2. Logging Brejo Seco'!AP47,Leyenda!$B$47:$E$51,4,FALSE)</f>
        <v>3</v>
      </c>
      <c r="BL47" s="67">
        <f>+VLOOKUP('2. Logging Brejo Seco'!AQ47,Leyenda!$B$55:$E$59,4,FALSE)</f>
        <v>3</v>
      </c>
      <c r="BM47" s="67">
        <f>+VLOOKUP('2. Logging Brejo Seco'!AR47,Leyenda!$B$63:$E$67,3,FALSE)</f>
        <v>4</v>
      </c>
      <c r="BN47" s="67">
        <f>+VLOOKUP('2. Logging Brejo Seco'!AO47,Leyenda!$B$39:$E$43,4,FALSE)</f>
        <v>4</v>
      </c>
      <c r="BO47" s="67">
        <f>+VLOOKUP('2. Logging Brejo Seco'!AN47,Leyenda!$B$30:$E$34,4,FALSE)</f>
        <v>4</v>
      </c>
      <c r="BP47" s="67">
        <f>VLOOKUP(AS47,Leyenda!$B$71:$E$75,4,FALSE)</f>
        <v>10</v>
      </c>
      <c r="BQ47" s="125">
        <f t="shared" si="14"/>
        <v>52</v>
      </c>
      <c r="BR47" s="85">
        <f t="shared" si="15"/>
        <v>56</v>
      </c>
      <c r="BS47" s="240">
        <f t="shared" si="16"/>
        <v>0.4</v>
      </c>
      <c r="BT47" s="18"/>
    </row>
    <row r="48" spans="1:92" x14ac:dyDescent="0.25">
      <c r="A48" s="18" t="s">
        <v>6</v>
      </c>
      <c r="B48" s="18">
        <v>2024</v>
      </c>
      <c r="C48" s="18" t="s">
        <v>138</v>
      </c>
      <c r="D48" s="18" t="s">
        <v>10</v>
      </c>
      <c r="E48" s="18">
        <v>30</v>
      </c>
      <c r="F48" s="18">
        <v>10</v>
      </c>
      <c r="G48" s="18" t="s">
        <v>152</v>
      </c>
      <c r="H48" s="248">
        <f t="shared" si="20"/>
        <v>10</v>
      </c>
      <c r="I48" s="135"/>
      <c r="J48" s="18" t="s">
        <v>162</v>
      </c>
      <c r="K48" s="31">
        <f t="shared" si="17"/>
        <v>22.5</v>
      </c>
      <c r="L48" s="31">
        <f t="shared" si="18"/>
        <v>23</v>
      </c>
      <c r="M48" s="4">
        <f t="shared" si="8"/>
        <v>0.5</v>
      </c>
      <c r="N48" s="5">
        <v>1</v>
      </c>
      <c r="O48" s="5">
        <f t="shared" si="1"/>
        <v>0</v>
      </c>
      <c r="P48" s="31">
        <f t="shared" si="9"/>
        <v>0.5</v>
      </c>
      <c r="Q48" s="31">
        <f t="shared" si="2"/>
        <v>0.5</v>
      </c>
      <c r="R48" s="31">
        <v>25</v>
      </c>
      <c r="S48" s="31">
        <v>20</v>
      </c>
      <c r="T48" s="31">
        <v>0.5</v>
      </c>
      <c r="U48" s="31">
        <v>0.5</v>
      </c>
      <c r="V48" s="86">
        <f t="shared" si="21"/>
        <v>100</v>
      </c>
      <c r="W48" s="31">
        <v>1</v>
      </c>
      <c r="X48" s="31"/>
      <c r="Y48" s="31">
        <f t="shared" si="24"/>
        <v>1</v>
      </c>
      <c r="Z48" s="31">
        <f t="shared" si="26"/>
        <v>500</v>
      </c>
      <c r="AA48" s="18">
        <v>97</v>
      </c>
      <c r="AB48" s="18" t="s">
        <v>96</v>
      </c>
      <c r="AC48" s="18" t="s">
        <v>333</v>
      </c>
      <c r="AD48" s="18" t="s">
        <v>329</v>
      </c>
      <c r="AE48" s="18">
        <v>20</v>
      </c>
      <c r="AF48" s="18">
        <v>25</v>
      </c>
      <c r="AG48" s="18" t="s">
        <v>24</v>
      </c>
      <c r="AH48" s="18" t="str">
        <f t="shared" si="25"/>
        <v>R4</v>
      </c>
      <c r="AI48" s="18" t="str">
        <f>+VLOOKUP(AH48,Leyenda!$O$4:$U$10,6,FALSE)</f>
        <v>0,50-0,80</v>
      </c>
      <c r="AJ48" s="18" t="str">
        <f>+VLOOKUP(AH48,Leyenda!$O$4:$U$10,7,FALSE)</f>
        <v>Fairly easy to blast</v>
      </c>
      <c r="AK48" s="18">
        <f>+VLOOKUP(AJ48,Leyenda!$U$4:$V$10,2,FALSE)</f>
        <v>4</v>
      </c>
      <c r="AL48" s="18" t="s">
        <v>27</v>
      </c>
      <c r="AM48" s="18" t="str">
        <f t="shared" si="10"/>
        <v>R4</v>
      </c>
      <c r="AN48" s="18" t="s">
        <v>62</v>
      </c>
      <c r="AO48" s="18" t="s">
        <v>75</v>
      </c>
      <c r="AP48" s="18" t="s">
        <v>88</v>
      </c>
      <c r="AQ48" s="18" t="s">
        <v>107</v>
      </c>
      <c r="AR48" s="18" t="s">
        <v>116</v>
      </c>
      <c r="AS48" s="18" t="s">
        <v>198</v>
      </c>
      <c r="AT48" s="18" t="s">
        <v>217</v>
      </c>
      <c r="AU48" s="18"/>
      <c r="AV48" s="18">
        <f>+VLOOKUP(AN48,Leyenda!$B$30:$E$34,3,FALSE)</f>
        <v>4</v>
      </c>
      <c r="AW48" s="18">
        <f>+VLOOKUP('2. Logging Brejo Seco'!AO48,Meteorizacion,3,FALSE)</f>
        <v>5</v>
      </c>
      <c r="AX48" s="18">
        <f>+VLOOKUP('2. Logging Brejo Seco'!AP48,Apertura,3,FALSE)</f>
        <v>5</v>
      </c>
      <c r="AY48" s="18">
        <f>+VLOOKUP('2. Logging Brejo Seco'!AQ48,Leyenda!$B$55:$D$59,3,FALSE)</f>
        <v>3</v>
      </c>
      <c r="AZ48" s="18">
        <f>+VLOOKUP('2. Logging Brejo Seco'!AR48,Relleno,3,FALSE)</f>
        <v>4</v>
      </c>
      <c r="BA48" s="18">
        <f t="shared" si="23"/>
        <v>21</v>
      </c>
      <c r="BB48" s="49">
        <f t="shared" si="5"/>
        <v>20</v>
      </c>
      <c r="BC48" s="49">
        <f>VLOOKUP(AM48,Leyenda!$B$4:$D$10,3,FALSE)</f>
        <v>7</v>
      </c>
      <c r="BD48" s="50">
        <f t="shared" si="11"/>
        <v>12</v>
      </c>
      <c r="BE48" s="49">
        <f t="shared" si="12"/>
        <v>21</v>
      </c>
      <c r="BF48" s="49">
        <f>VLOOKUP(AS48,Leyenda!$B$70:$D$75,3,FALSE)</f>
        <v>15</v>
      </c>
      <c r="BG48" s="67">
        <f t="shared" si="6"/>
        <v>81.5</v>
      </c>
      <c r="BH48" s="67">
        <f>VLOOKUP(AM48,Leyenda!$B$4:$E$10,4,FALSE)</f>
        <v>7</v>
      </c>
      <c r="BI48" s="67">
        <f t="shared" si="13"/>
        <v>18</v>
      </c>
      <c r="BJ48" s="67">
        <f t="shared" si="7"/>
        <v>20</v>
      </c>
      <c r="BK48" s="67">
        <f>+VLOOKUP('2. Logging Brejo Seco'!AP48,Leyenda!$B$47:$E$51,4,FALSE)</f>
        <v>4</v>
      </c>
      <c r="BL48" s="67">
        <f>+VLOOKUP('2. Logging Brejo Seco'!AQ48,Leyenda!$B$55:$E$59,4,FALSE)</f>
        <v>3</v>
      </c>
      <c r="BM48" s="67">
        <f>+VLOOKUP('2. Logging Brejo Seco'!AR48,Leyenda!$B$63:$E$67,3,FALSE)</f>
        <v>4</v>
      </c>
      <c r="BN48" s="67">
        <f>+VLOOKUP('2. Logging Brejo Seco'!AO48,Leyenda!$B$39:$E$43,4,FALSE)</f>
        <v>4</v>
      </c>
      <c r="BO48" s="67">
        <f>+VLOOKUP('2. Logging Brejo Seco'!AN48,Leyenda!$B$30:$E$34,4,FALSE)</f>
        <v>4</v>
      </c>
      <c r="BP48" s="67">
        <f>VLOOKUP(AS48,Leyenda!$B$71:$E$75,4,FALSE)</f>
        <v>10</v>
      </c>
      <c r="BQ48" s="125">
        <f t="shared" si="14"/>
        <v>74</v>
      </c>
      <c r="BR48" s="85">
        <f t="shared" si="15"/>
        <v>75</v>
      </c>
      <c r="BS48" s="240">
        <f t="shared" si="16"/>
        <v>0</v>
      </c>
      <c r="BT48" s="18"/>
    </row>
    <row r="49" spans="1:72" x14ac:dyDescent="0.25">
      <c r="A49" s="18" t="s">
        <v>6</v>
      </c>
      <c r="B49" s="18">
        <v>2024</v>
      </c>
      <c r="C49" s="18" t="s">
        <v>138</v>
      </c>
      <c r="D49" s="18" t="s">
        <v>10</v>
      </c>
      <c r="E49" s="18">
        <v>30</v>
      </c>
      <c r="F49" s="18">
        <v>10</v>
      </c>
      <c r="G49" s="18" t="s">
        <v>152</v>
      </c>
      <c r="H49" s="248">
        <f t="shared" si="20"/>
        <v>10</v>
      </c>
      <c r="I49" s="135"/>
      <c r="J49" s="18" t="s">
        <v>162</v>
      </c>
      <c r="K49" s="31">
        <f t="shared" si="17"/>
        <v>23</v>
      </c>
      <c r="L49" s="31">
        <f t="shared" si="18"/>
        <v>23.5</v>
      </c>
      <c r="M49" s="4">
        <f t="shared" si="8"/>
        <v>0.5</v>
      </c>
      <c r="N49" s="5">
        <v>0.97</v>
      </c>
      <c r="O49" s="5">
        <f t="shared" si="1"/>
        <v>3.0000000000000027E-2</v>
      </c>
      <c r="P49" s="31">
        <f t="shared" si="9"/>
        <v>0.48499999999999999</v>
      </c>
      <c r="Q49" s="31">
        <f t="shared" si="2"/>
        <v>0.48499999999999999</v>
      </c>
      <c r="R49" s="31">
        <v>24.25</v>
      </c>
      <c r="S49" s="31">
        <v>20</v>
      </c>
      <c r="T49" s="31">
        <v>0.5</v>
      </c>
      <c r="U49" s="31">
        <v>0.31</v>
      </c>
      <c r="V49" s="86">
        <f t="shared" si="21"/>
        <v>62</v>
      </c>
      <c r="W49" s="31">
        <v>3</v>
      </c>
      <c r="X49" s="31"/>
      <c r="Y49" s="31">
        <f t="shared" si="24"/>
        <v>3</v>
      </c>
      <c r="Z49" s="31">
        <f t="shared" si="26"/>
        <v>166.66666666666666</v>
      </c>
      <c r="AA49" s="18">
        <v>100</v>
      </c>
      <c r="AB49" s="18" t="s">
        <v>96</v>
      </c>
      <c r="AC49" s="18" t="s">
        <v>333</v>
      </c>
      <c r="AD49" s="18" t="s">
        <v>334</v>
      </c>
      <c r="AE49" s="18">
        <v>20</v>
      </c>
      <c r="AF49" s="18">
        <v>24.25</v>
      </c>
      <c r="AG49" s="18" t="s">
        <v>27</v>
      </c>
      <c r="AH49" s="18" t="str">
        <f t="shared" si="25"/>
        <v>R3</v>
      </c>
      <c r="AI49" s="18" t="str">
        <f>+VLOOKUP(AH49,Leyenda!$O$4:$U$10,6,FALSE)</f>
        <v>0,35-0,50</v>
      </c>
      <c r="AJ49" s="18" t="str">
        <f>+VLOOKUP(AH49,Leyenda!$O$4:$U$10,7,FALSE)</f>
        <v>Easy to blast</v>
      </c>
      <c r="AK49" s="18">
        <f>+VLOOKUP(AJ49,Leyenda!$U$4:$V$10,2,FALSE)</f>
        <v>3</v>
      </c>
      <c r="AL49" s="18" t="s">
        <v>27</v>
      </c>
      <c r="AM49" s="18" t="str">
        <f t="shared" si="10"/>
        <v>R3</v>
      </c>
      <c r="AN49" s="18" t="s">
        <v>62</v>
      </c>
      <c r="AO49" s="18" t="s">
        <v>75</v>
      </c>
      <c r="AP49" s="18" t="s">
        <v>88</v>
      </c>
      <c r="AQ49" s="18" t="s">
        <v>107</v>
      </c>
      <c r="AR49" s="18" t="s">
        <v>116</v>
      </c>
      <c r="AS49" s="18" t="s">
        <v>198</v>
      </c>
      <c r="AT49" s="18" t="s">
        <v>217</v>
      </c>
      <c r="AU49" s="18"/>
      <c r="AV49" s="18">
        <f>+VLOOKUP(AN49,Leyenda!$B$30:$E$34,3,FALSE)</f>
        <v>4</v>
      </c>
      <c r="AW49" s="18">
        <f>+VLOOKUP('2. Logging Brejo Seco'!AO49,Meteorizacion,3,FALSE)</f>
        <v>5</v>
      </c>
      <c r="AX49" s="18">
        <f>+VLOOKUP('2. Logging Brejo Seco'!AP49,Apertura,3,FALSE)</f>
        <v>5</v>
      </c>
      <c r="AY49" s="18">
        <f>+VLOOKUP('2. Logging Brejo Seco'!AQ49,Leyenda!$B$55:$D$59,3,FALSE)</f>
        <v>3</v>
      </c>
      <c r="AZ49" s="18">
        <f>+VLOOKUP('2. Logging Brejo Seco'!AR49,Relleno,3,FALSE)</f>
        <v>4</v>
      </c>
      <c r="BA49" s="18">
        <f t="shared" si="23"/>
        <v>21</v>
      </c>
      <c r="BB49" s="49">
        <f t="shared" si="5"/>
        <v>13</v>
      </c>
      <c r="BC49" s="49">
        <f>VLOOKUP(AM49,Leyenda!$B$4:$D$10,3,FALSE)</f>
        <v>4</v>
      </c>
      <c r="BD49" s="50">
        <f t="shared" si="11"/>
        <v>9</v>
      </c>
      <c r="BE49" s="49">
        <f t="shared" si="12"/>
        <v>21</v>
      </c>
      <c r="BF49" s="49">
        <f>VLOOKUP(AS49,Leyenda!$B$70:$D$75,3,FALSE)</f>
        <v>15</v>
      </c>
      <c r="BG49" s="67">
        <f t="shared" si="6"/>
        <v>62.5</v>
      </c>
      <c r="BH49" s="67">
        <f>VLOOKUP(AM49,Leyenda!$B$4:$E$10,4,FALSE)</f>
        <v>4</v>
      </c>
      <c r="BI49" s="67">
        <f t="shared" si="13"/>
        <v>11</v>
      </c>
      <c r="BJ49" s="67">
        <f t="shared" si="7"/>
        <v>13</v>
      </c>
      <c r="BK49" s="67">
        <f>+VLOOKUP('2. Logging Brejo Seco'!AP49,Leyenda!$B$47:$E$51,4,FALSE)</f>
        <v>4</v>
      </c>
      <c r="BL49" s="67">
        <f>+VLOOKUP('2. Logging Brejo Seco'!AQ49,Leyenda!$B$55:$E$59,4,FALSE)</f>
        <v>3</v>
      </c>
      <c r="BM49" s="67">
        <f>+VLOOKUP('2. Logging Brejo Seco'!AR49,Leyenda!$B$63:$E$67,3,FALSE)</f>
        <v>4</v>
      </c>
      <c r="BN49" s="67">
        <f>+VLOOKUP('2. Logging Brejo Seco'!AO49,Leyenda!$B$39:$E$43,4,FALSE)</f>
        <v>4</v>
      </c>
      <c r="BO49" s="67">
        <f>+VLOOKUP('2. Logging Brejo Seco'!AN49,Leyenda!$B$30:$E$34,4,FALSE)</f>
        <v>4</v>
      </c>
      <c r="BP49" s="67">
        <f>VLOOKUP(AS49,Leyenda!$B$71:$E$75,4,FALSE)</f>
        <v>10</v>
      </c>
      <c r="BQ49" s="125">
        <f t="shared" si="14"/>
        <v>57</v>
      </c>
      <c r="BR49" s="85">
        <f t="shared" si="15"/>
        <v>62</v>
      </c>
      <c r="BS49" s="240">
        <f t="shared" si="16"/>
        <v>3.0000000000000027E-2</v>
      </c>
      <c r="BT49" s="18"/>
    </row>
    <row r="50" spans="1:72" x14ac:dyDescent="0.25">
      <c r="A50" s="18" t="s">
        <v>6</v>
      </c>
      <c r="B50" s="18">
        <v>2024</v>
      </c>
      <c r="C50" s="18" t="s">
        <v>138</v>
      </c>
      <c r="D50" s="18" t="s">
        <v>10</v>
      </c>
      <c r="E50" s="18">
        <v>30</v>
      </c>
      <c r="F50" s="18">
        <v>10</v>
      </c>
      <c r="G50" s="18" t="s">
        <v>152</v>
      </c>
      <c r="H50" s="248">
        <f t="shared" si="20"/>
        <v>10</v>
      </c>
      <c r="I50" s="135"/>
      <c r="J50" s="18" t="s">
        <v>162</v>
      </c>
      <c r="K50" s="31">
        <f t="shared" si="17"/>
        <v>23.5</v>
      </c>
      <c r="L50" s="31">
        <v>24.83</v>
      </c>
      <c r="M50" s="4">
        <f t="shared" si="8"/>
        <v>1.3299999999999983</v>
      </c>
      <c r="N50" s="5">
        <v>1</v>
      </c>
      <c r="O50" s="5">
        <f t="shared" si="1"/>
        <v>0</v>
      </c>
      <c r="P50" s="31">
        <f t="shared" si="9"/>
        <v>1.3299999999999983</v>
      </c>
      <c r="Q50" s="31">
        <f t="shared" si="2"/>
        <v>1.3299999999999983</v>
      </c>
      <c r="R50" s="31">
        <v>265.99999999999966</v>
      </c>
      <c r="S50" s="31">
        <v>5</v>
      </c>
      <c r="T50" s="31">
        <v>1.33</v>
      </c>
      <c r="U50" s="31">
        <v>1.26</v>
      </c>
      <c r="V50" s="86">
        <f>+U50/M50*100</f>
        <v>94.736842105263278</v>
      </c>
      <c r="W50" s="31">
        <v>1</v>
      </c>
      <c r="X50" s="31"/>
      <c r="Y50" s="31">
        <v>2</v>
      </c>
      <c r="Z50" s="31">
        <f t="shared" si="26"/>
        <v>665</v>
      </c>
      <c r="AA50" s="18">
        <v>11</v>
      </c>
      <c r="AB50" s="18" t="s">
        <v>88</v>
      </c>
      <c r="AC50" s="18" t="s">
        <v>118</v>
      </c>
      <c r="AD50" s="18" t="s">
        <v>334</v>
      </c>
      <c r="AE50" s="18">
        <v>5</v>
      </c>
      <c r="AF50" s="18">
        <v>265.99999999999966</v>
      </c>
      <c r="AG50" s="18" t="s">
        <v>27</v>
      </c>
      <c r="AH50" s="18" t="str">
        <f t="shared" si="25"/>
        <v>R3</v>
      </c>
      <c r="AI50" s="18" t="str">
        <f>+VLOOKUP(AH50,Leyenda!$O$4:$U$10,6,FALSE)</f>
        <v>0,35-0,50</v>
      </c>
      <c r="AJ50" s="18" t="str">
        <f>+VLOOKUP(AH50,Leyenda!$O$4:$U$10,7,FALSE)</f>
        <v>Easy to blast</v>
      </c>
      <c r="AK50" s="18">
        <f>+VLOOKUP(AJ50,Leyenda!$U$4:$V$10,2,FALSE)</f>
        <v>3</v>
      </c>
      <c r="AL50" s="18" t="s">
        <v>27</v>
      </c>
      <c r="AM50" s="18" t="str">
        <f t="shared" si="10"/>
        <v>R3</v>
      </c>
      <c r="AN50" s="18" t="s">
        <v>62</v>
      </c>
      <c r="AO50" s="18" t="s">
        <v>75</v>
      </c>
      <c r="AP50" s="18" t="s">
        <v>92</v>
      </c>
      <c r="AQ50" s="18" t="s">
        <v>105</v>
      </c>
      <c r="AR50" s="18" t="s">
        <v>116</v>
      </c>
      <c r="AS50" s="18" t="s">
        <v>198</v>
      </c>
      <c r="AT50" s="18"/>
      <c r="AU50" s="18"/>
      <c r="AV50" s="18">
        <f>+VLOOKUP(AN50,Leyenda!$B$30:$E$34,3,FALSE)</f>
        <v>4</v>
      </c>
      <c r="AW50" s="18">
        <f>+VLOOKUP('2. Logging Brejo Seco'!AO50,Meteorizacion,3,FALSE)</f>
        <v>5</v>
      </c>
      <c r="AX50" s="18">
        <f>+VLOOKUP('2. Logging Brejo Seco'!AP50,Apertura,3,FALSE)</f>
        <v>3</v>
      </c>
      <c r="AY50" s="18">
        <f>+VLOOKUP('2. Logging Brejo Seco'!AQ50,Leyenda!$B$55:$D$59,3,FALSE)</f>
        <v>4</v>
      </c>
      <c r="AZ50" s="18">
        <f>+VLOOKUP('2. Logging Brejo Seco'!AR50,Relleno,3,FALSE)</f>
        <v>4</v>
      </c>
      <c r="BA50" s="18">
        <f t="shared" si="23"/>
        <v>20</v>
      </c>
      <c r="BB50" s="49">
        <f t="shared" si="5"/>
        <v>19</v>
      </c>
      <c r="BC50" s="49">
        <f>VLOOKUP(AM50,Leyenda!$B$4:$D$10,3,FALSE)</f>
        <v>4</v>
      </c>
      <c r="BD50" s="50">
        <f t="shared" si="11"/>
        <v>13</v>
      </c>
      <c r="BE50" s="49">
        <f t="shared" si="12"/>
        <v>20</v>
      </c>
      <c r="BF50" s="49">
        <f>VLOOKUP(AS50,Leyenda!$B$70:$D$75,3,FALSE)</f>
        <v>15</v>
      </c>
      <c r="BG50" s="67">
        <f t="shared" si="6"/>
        <v>77.368421052631646</v>
      </c>
      <c r="BH50" s="67">
        <f>VLOOKUP(AM50,Leyenda!$B$4:$E$10,4,FALSE)</f>
        <v>4</v>
      </c>
      <c r="BI50" s="67">
        <f t="shared" si="13"/>
        <v>20</v>
      </c>
      <c r="BJ50" s="67">
        <f t="shared" si="7"/>
        <v>19</v>
      </c>
      <c r="BK50" s="67">
        <f>+VLOOKUP('2. Logging Brejo Seco'!AP50,Leyenda!$B$47:$E$51,4,FALSE)</f>
        <v>3</v>
      </c>
      <c r="BL50" s="67">
        <f>+VLOOKUP('2. Logging Brejo Seco'!AQ50,Leyenda!$B$55:$E$59,4,FALSE)</f>
        <v>4</v>
      </c>
      <c r="BM50" s="67">
        <f>+VLOOKUP('2. Logging Brejo Seco'!AR50,Leyenda!$B$63:$E$67,3,FALSE)</f>
        <v>4</v>
      </c>
      <c r="BN50" s="67">
        <f>+VLOOKUP('2. Logging Brejo Seco'!AO50,Leyenda!$B$39:$E$43,4,FALSE)</f>
        <v>4</v>
      </c>
      <c r="BO50" s="67">
        <f>+VLOOKUP('2. Logging Brejo Seco'!AN50,Leyenda!$B$30:$E$34,4,FALSE)</f>
        <v>4</v>
      </c>
      <c r="BP50" s="67">
        <f>VLOOKUP(AS50,Leyenda!$B$71:$E$75,4,FALSE)</f>
        <v>10</v>
      </c>
      <c r="BQ50" s="125">
        <f t="shared" si="14"/>
        <v>72</v>
      </c>
      <c r="BR50" s="85">
        <f t="shared" si="15"/>
        <v>71</v>
      </c>
      <c r="BS50" s="240">
        <f t="shared" si="16"/>
        <v>0</v>
      </c>
      <c r="BT50" s="18"/>
    </row>
    <row r="51" spans="1:72" x14ac:dyDescent="0.25">
      <c r="A51" s="18" t="s">
        <v>6</v>
      </c>
      <c r="B51" s="18">
        <v>2024</v>
      </c>
      <c r="C51" s="18" t="s">
        <v>138</v>
      </c>
      <c r="D51" s="18" t="s">
        <v>10</v>
      </c>
      <c r="E51" s="18">
        <v>30</v>
      </c>
      <c r="F51" s="18">
        <v>10</v>
      </c>
      <c r="G51" s="18" t="s">
        <v>152</v>
      </c>
      <c r="H51" s="248">
        <f t="shared" si="20"/>
        <v>10</v>
      </c>
      <c r="I51" s="135"/>
      <c r="J51" s="18" t="s">
        <v>162</v>
      </c>
      <c r="K51" s="31">
        <f t="shared" si="17"/>
        <v>24.83</v>
      </c>
      <c r="L51" s="31">
        <v>25.33</v>
      </c>
      <c r="M51" s="4">
        <f t="shared" si="8"/>
        <v>0.5</v>
      </c>
      <c r="N51" s="5">
        <v>0.68</v>
      </c>
      <c r="O51" s="5">
        <f t="shared" si="1"/>
        <v>0.31999999999999995</v>
      </c>
      <c r="P51" s="31">
        <f t="shared" si="9"/>
        <v>0.34</v>
      </c>
      <c r="Q51" s="31">
        <f t="shared" si="2"/>
        <v>0.34</v>
      </c>
      <c r="R51" s="31">
        <v>340</v>
      </c>
      <c r="S51" s="31">
        <v>1</v>
      </c>
      <c r="T51" s="31">
        <v>0.35</v>
      </c>
      <c r="U51" s="31">
        <v>0.17</v>
      </c>
      <c r="V51" s="86">
        <f>+U51/M51*100</f>
        <v>34</v>
      </c>
      <c r="W51" s="31">
        <v>4</v>
      </c>
      <c r="X51" s="31"/>
      <c r="Y51" s="31">
        <f t="shared" si="24"/>
        <v>4</v>
      </c>
      <c r="Z51" s="31">
        <f t="shared" si="26"/>
        <v>87.5</v>
      </c>
      <c r="AA51" s="18">
        <v>42</v>
      </c>
      <c r="AB51" s="18" t="s">
        <v>92</v>
      </c>
      <c r="AC51" s="18" t="s">
        <v>116</v>
      </c>
      <c r="AD51" s="18" t="s">
        <v>337</v>
      </c>
      <c r="AE51" s="18">
        <v>1</v>
      </c>
      <c r="AF51" s="18">
        <v>340</v>
      </c>
      <c r="AG51" s="18" t="s">
        <v>27</v>
      </c>
      <c r="AH51" s="18" t="str">
        <f t="shared" si="25"/>
        <v>R3</v>
      </c>
      <c r="AI51" s="18" t="str">
        <f>+VLOOKUP(AH51,Leyenda!$O$4:$U$10,6,FALSE)</f>
        <v>0,35-0,50</v>
      </c>
      <c r="AJ51" s="18" t="str">
        <f>+VLOOKUP(AH51,Leyenda!$O$4:$U$10,7,FALSE)</f>
        <v>Easy to blast</v>
      </c>
      <c r="AK51" s="18">
        <f>+VLOOKUP(AJ51,Leyenda!$U$4:$V$10,2,FALSE)</f>
        <v>3</v>
      </c>
      <c r="AL51" s="18" t="s">
        <v>27</v>
      </c>
      <c r="AM51" s="18" t="str">
        <f t="shared" si="10"/>
        <v>R3</v>
      </c>
      <c r="AN51" s="18" t="s">
        <v>62</v>
      </c>
      <c r="AO51" s="18" t="s">
        <v>75</v>
      </c>
      <c r="AP51" s="18" t="s">
        <v>92</v>
      </c>
      <c r="AQ51" s="18" t="s">
        <v>105</v>
      </c>
      <c r="AR51" s="18" t="s">
        <v>116</v>
      </c>
      <c r="AS51" s="18" t="s">
        <v>198</v>
      </c>
      <c r="AT51" s="18"/>
      <c r="AU51" s="18"/>
      <c r="AV51" s="18">
        <f>+VLOOKUP(AN51,Leyenda!$B$30:$E$34,3,FALSE)</f>
        <v>4</v>
      </c>
      <c r="AW51" s="18">
        <f>+VLOOKUP('2. Logging Brejo Seco'!AO51,Meteorizacion,3,FALSE)</f>
        <v>5</v>
      </c>
      <c r="AX51" s="18">
        <f>+VLOOKUP('2. Logging Brejo Seco'!AP51,Apertura,3,FALSE)</f>
        <v>3</v>
      </c>
      <c r="AY51" s="18">
        <f>+VLOOKUP('2. Logging Brejo Seco'!AQ51,Leyenda!$B$55:$D$59,3,FALSE)</f>
        <v>4</v>
      </c>
      <c r="AZ51" s="18">
        <f>+VLOOKUP('2. Logging Brejo Seco'!AR51,Relleno,3,FALSE)</f>
        <v>4</v>
      </c>
      <c r="BA51" s="18">
        <f t="shared" si="23"/>
        <v>20</v>
      </c>
      <c r="BB51" s="49">
        <f t="shared" si="5"/>
        <v>7</v>
      </c>
      <c r="BC51" s="49">
        <f>VLOOKUP(AM51,Leyenda!$B$4:$D$10,3,FALSE)</f>
        <v>4</v>
      </c>
      <c r="BD51" s="50">
        <f t="shared" si="11"/>
        <v>7</v>
      </c>
      <c r="BE51" s="49">
        <f t="shared" si="12"/>
        <v>20</v>
      </c>
      <c r="BF51" s="49">
        <f>VLOOKUP(AS51,Leyenda!$B$70:$D$75,3,FALSE)</f>
        <v>15</v>
      </c>
      <c r="BG51" s="67">
        <f t="shared" si="6"/>
        <v>47</v>
      </c>
      <c r="BH51" s="67">
        <f>VLOOKUP(AM51,Leyenda!$B$4:$E$10,4,FALSE)</f>
        <v>4</v>
      </c>
      <c r="BI51" s="67">
        <f t="shared" si="13"/>
        <v>7</v>
      </c>
      <c r="BJ51" s="67">
        <f t="shared" si="7"/>
        <v>7</v>
      </c>
      <c r="BK51" s="67">
        <f>+VLOOKUP('2. Logging Brejo Seco'!AP51,Leyenda!$B$47:$E$51,4,FALSE)</f>
        <v>3</v>
      </c>
      <c r="BL51" s="67">
        <f>+VLOOKUP('2. Logging Brejo Seco'!AQ51,Leyenda!$B$55:$E$59,4,FALSE)</f>
        <v>4</v>
      </c>
      <c r="BM51" s="67">
        <f>+VLOOKUP('2. Logging Brejo Seco'!AR51,Leyenda!$B$63:$E$67,3,FALSE)</f>
        <v>4</v>
      </c>
      <c r="BN51" s="67">
        <f>+VLOOKUP('2. Logging Brejo Seco'!AO51,Leyenda!$B$39:$E$43,4,FALSE)</f>
        <v>4</v>
      </c>
      <c r="BO51" s="67">
        <f>+VLOOKUP('2. Logging Brejo Seco'!AN51,Leyenda!$B$30:$E$34,4,FALSE)</f>
        <v>4</v>
      </c>
      <c r="BP51" s="67">
        <f>VLOOKUP(AS51,Leyenda!$B$71:$E$75,4,FALSE)</f>
        <v>10</v>
      </c>
      <c r="BQ51" s="125">
        <f t="shared" si="14"/>
        <v>47</v>
      </c>
      <c r="BR51" s="85">
        <f t="shared" si="15"/>
        <v>53</v>
      </c>
      <c r="BS51" s="240">
        <f t="shared" si="16"/>
        <v>0.31999999999999995</v>
      </c>
      <c r="BT51" s="18"/>
    </row>
    <row r="52" spans="1:72" x14ac:dyDescent="0.25">
      <c r="A52" s="18" t="s">
        <v>6</v>
      </c>
      <c r="B52" s="18">
        <v>2024</v>
      </c>
      <c r="C52" s="18" t="s">
        <v>138</v>
      </c>
      <c r="D52" s="18" t="s">
        <v>10</v>
      </c>
      <c r="E52" s="18">
        <v>30</v>
      </c>
      <c r="F52" s="18">
        <v>10</v>
      </c>
      <c r="G52" s="18" t="s">
        <v>152</v>
      </c>
      <c r="H52" s="248">
        <f t="shared" si="20"/>
        <v>10</v>
      </c>
      <c r="I52" s="135"/>
      <c r="J52" s="18" t="s">
        <v>162</v>
      </c>
      <c r="K52" s="31">
        <f t="shared" si="17"/>
        <v>25.33</v>
      </c>
      <c r="L52" s="31">
        <v>25.83</v>
      </c>
      <c r="M52" s="4">
        <f t="shared" si="8"/>
        <v>0.5</v>
      </c>
      <c r="N52" s="5">
        <v>0.42</v>
      </c>
      <c r="O52" s="5">
        <f t="shared" si="1"/>
        <v>0.58000000000000007</v>
      </c>
      <c r="P52" s="31">
        <f t="shared" si="9"/>
        <v>0.21</v>
      </c>
      <c r="Q52" s="31">
        <f t="shared" si="2"/>
        <v>0.21</v>
      </c>
      <c r="R52" s="31">
        <v>42</v>
      </c>
      <c r="S52" s="31">
        <v>5</v>
      </c>
      <c r="T52" s="31">
        <v>0.19</v>
      </c>
      <c r="U52" s="31">
        <v>0.16</v>
      </c>
      <c r="V52" s="86">
        <f t="shared" si="21"/>
        <v>32</v>
      </c>
      <c r="W52" s="31">
        <v>4</v>
      </c>
      <c r="X52" s="31"/>
      <c r="Y52" s="31">
        <f t="shared" si="24"/>
        <v>4</v>
      </c>
      <c r="Z52" s="31">
        <f t="shared" si="26"/>
        <v>47.5</v>
      </c>
      <c r="AA52" s="18">
        <v>30</v>
      </c>
      <c r="AB52" s="18" t="s">
        <v>88</v>
      </c>
      <c r="AC52" s="18" t="s">
        <v>118</v>
      </c>
      <c r="AD52" s="18" t="s">
        <v>334</v>
      </c>
      <c r="AE52" s="18">
        <v>5</v>
      </c>
      <c r="AF52" s="18">
        <v>42</v>
      </c>
      <c r="AG52" s="18" t="s">
        <v>27</v>
      </c>
      <c r="AH52" s="18" t="str">
        <f t="shared" si="25"/>
        <v>R3</v>
      </c>
      <c r="AI52" s="18" t="str">
        <f>+VLOOKUP(AH52,Leyenda!$O$4:$U$10,6,FALSE)</f>
        <v>0,35-0,50</v>
      </c>
      <c r="AJ52" s="18" t="str">
        <f>+VLOOKUP(AH52,Leyenda!$O$4:$U$10,7,FALSE)</f>
        <v>Easy to blast</v>
      </c>
      <c r="AK52" s="18">
        <f>+VLOOKUP(AJ52,Leyenda!$U$4:$V$10,2,FALSE)</f>
        <v>3</v>
      </c>
      <c r="AL52" s="18" t="s">
        <v>27</v>
      </c>
      <c r="AM52" s="18" t="str">
        <f t="shared" si="10"/>
        <v>R3</v>
      </c>
      <c r="AN52" s="18" t="s">
        <v>62</v>
      </c>
      <c r="AO52" s="18" t="s">
        <v>75</v>
      </c>
      <c r="AP52" s="18" t="s">
        <v>92</v>
      </c>
      <c r="AQ52" s="18" t="s">
        <v>105</v>
      </c>
      <c r="AR52" s="18" t="s">
        <v>116</v>
      </c>
      <c r="AS52" s="18" t="s">
        <v>198</v>
      </c>
      <c r="AT52" s="18"/>
      <c r="AU52" s="18"/>
      <c r="AV52" s="18">
        <f>+VLOOKUP(AN52,Leyenda!$B$30:$E$34,3,FALSE)</f>
        <v>4</v>
      </c>
      <c r="AW52" s="18">
        <f>+VLOOKUP('2. Logging Brejo Seco'!AO52,Meteorizacion,3,FALSE)</f>
        <v>5</v>
      </c>
      <c r="AX52" s="18">
        <f>+VLOOKUP('2. Logging Brejo Seco'!AP52,Apertura,3,FALSE)</f>
        <v>3</v>
      </c>
      <c r="AY52" s="18">
        <f>+VLOOKUP('2. Logging Brejo Seco'!AQ52,Leyenda!$B$55:$D$59,3,FALSE)</f>
        <v>4</v>
      </c>
      <c r="AZ52" s="18">
        <f>+VLOOKUP('2. Logging Brejo Seco'!AR52,Relleno,3,FALSE)</f>
        <v>4</v>
      </c>
      <c r="BA52" s="18">
        <f t="shared" si="23"/>
        <v>20</v>
      </c>
      <c r="BB52" s="49">
        <f t="shared" si="5"/>
        <v>7</v>
      </c>
      <c r="BC52" s="49">
        <f>VLOOKUP(AM52,Leyenda!$B$4:$D$10,3,FALSE)</f>
        <v>4</v>
      </c>
      <c r="BD52" s="50">
        <f t="shared" si="11"/>
        <v>6</v>
      </c>
      <c r="BE52" s="49">
        <f t="shared" si="12"/>
        <v>20</v>
      </c>
      <c r="BF52" s="49">
        <f>VLOOKUP(AS52,Leyenda!$B$70:$D$75,3,FALSE)</f>
        <v>15</v>
      </c>
      <c r="BG52" s="67">
        <f t="shared" si="6"/>
        <v>46</v>
      </c>
      <c r="BH52" s="67">
        <f>VLOOKUP(AM52,Leyenda!$B$4:$E$10,4,FALSE)</f>
        <v>4</v>
      </c>
      <c r="BI52" s="67">
        <f t="shared" si="13"/>
        <v>5</v>
      </c>
      <c r="BJ52" s="67">
        <f t="shared" si="7"/>
        <v>7</v>
      </c>
      <c r="BK52" s="67">
        <f>+VLOOKUP('2. Logging Brejo Seco'!AP52,Leyenda!$B$47:$E$51,4,FALSE)</f>
        <v>3</v>
      </c>
      <c r="BL52" s="67">
        <f>+VLOOKUP('2. Logging Brejo Seco'!AQ52,Leyenda!$B$55:$E$59,4,FALSE)</f>
        <v>4</v>
      </c>
      <c r="BM52" s="67">
        <f>+VLOOKUP('2. Logging Brejo Seco'!AR52,Leyenda!$B$63:$E$67,3,FALSE)</f>
        <v>4</v>
      </c>
      <c r="BN52" s="67">
        <f>+VLOOKUP('2. Logging Brejo Seco'!AO52,Leyenda!$B$39:$E$43,4,FALSE)</f>
        <v>4</v>
      </c>
      <c r="BO52" s="67">
        <f>+VLOOKUP('2. Logging Brejo Seco'!AN52,Leyenda!$B$30:$E$34,4,FALSE)</f>
        <v>4</v>
      </c>
      <c r="BP52" s="67">
        <f>VLOOKUP(AS52,Leyenda!$B$71:$E$75,4,FALSE)</f>
        <v>10</v>
      </c>
      <c r="BQ52" s="125">
        <f t="shared" si="14"/>
        <v>45</v>
      </c>
      <c r="BR52" s="85">
        <f t="shared" si="15"/>
        <v>52</v>
      </c>
      <c r="BS52" s="240">
        <f t="shared" si="16"/>
        <v>0.58000000000000007</v>
      </c>
      <c r="BT52" s="18"/>
    </row>
    <row r="53" spans="1:72" x14ac:dyDescent="0.25">
      <c r="A53" s="18" t="s">
        <v>6</v>
      </c>
      <c r="B53" s="18">
        <v>2024</v>
      </c>
      <c r="C53" s="18" t="s">
        <v>138</v>
      </c>
      <c r="D53" s="18" t="s">
        <v>10</v>
      </c>
      <c r="E53" s="18">
        <v>30</v>
      </c>
      <c r="F53" s="18">
        <v>10</v>
      </c>
      <c r="G53" s="18" t="s">
        <v>152</v>
      </c>
      <c r="H53" s="248">
        <f t="shared" si="20"/>
        <v>10</v>
      </c>
      <c r="I53" s="135"/>
      <c r="J53" s="18" t="s">
        <v>162</v>
      </c>
      <c r="K53" s="31">
        <f t="shared" si="17"/>
        <v>25.83</v>
      </c>
      <c r="L53" s="31">
        <v>26.33</v>
      </c>
      <c r="M53" s="4">
        <f t="shared" si="8"/>
        <v>0.5</v>
      </c>
      <c r="N53" s="5">
        <v>0.7</v>
      </c>
      <c r="O53" s="5">
        <f t="shared" si="1"/>
        <v>0.30000000000000004</v>
      </c>
      <c r="P53" s="31">
        <f t="shared" si="9"/>
        <v>0.35</v>
      </c>
      <c r="Q53" s="31">
        <f t="shared" si="2"/>
        <v>0.35</v>
      </c>
      <c r="R53" s="31">
        <v>350</v>
      </c>
      <c r="S53" s="31">
        <v>1</v>
      </c>
      <c r="T53" s="31">
        <v>0.31</v>
      </c>
      <c r="U53" s="31">
        <v>0.11</v>
      </c>
      <c r="V53" s="86">
        <f t="shared" si="21"/>
        <v>22</v>
      </c>
      <c r="W53" s="31">
        <v>3</v>
      </c>
      <c r="X53" s="31"/>
      <c r="Y53" s="31">
        <f t="shared" si="24"/>
        <v>3</v>
      </c>
      <c r="Z53" s="31">
        <f t="shared" si="26"/>
        <v>103.33333333333333</v>
      </c>
      <c r="AA53" s="18">
        <v>70</v>
      </c>
      <c r="AB53" s="18" t="s">
        <v>92</v>
      </c>
      <c r="AC53" s="18" t="s">
        <v>116</v>
      </c>
      <c r="AD53" s="18" t="s">
        <v>334</v>
      </c>
      <c r="AE53" s="18">
        <v>1</v>
      </c>
      <c r="AF53" s="18">
        <v>350</v>
      </c>
      <c r="AG53" s="18" t="s">
        <v>27</v>
      </c>
      <c r="AH53" s="18" t="str">
        <f t="shared" si="25"/>
        <v>R3</v>
      </c>
      <c r="AI53" s="18" t="str">
        <f>+VLOOKUP(AH53,Leyenda!$O$4:$U$10,6,FALSE)</f>
        <v>0,35-0,50</v>
      </c>
      <c r="AJ53" s="18" t="str">
        <f>+VLOOKUP(AH53,Leyenda!$O$4:$U$10,7,FALSE)</f>
        <v>Easy to blast</v>
      </c>
      <c r="AK53" s="18">
        <f>+VLOOKUP(AJ53,Leyenda!$U$4:$V$10,2,FALSE)</f>
        <v>3</v>
      </c>
      <c r="AL53" s="18" t="s">
        <v>27</v>
      </c>
      <c r="AM53" s="18" t="str">
        <f t="shared" si="10"/>
        <v>R3</v>
      </c>
      <c r="AN53" s="18" t="s">
        <v>62</v>
      </c>
      <c r="AO53" s="18" t="s">
        <v>75</v>
      </c>
      <c r="AP53" s="18" t="s">
        <v>92</v>
      </c>
      <c r="AQ53" s="18" t="s">
        <v>105</v>
      </c>
      <c r="AR53" s="18" t="s">
        <v>116</v>
      </c>
      <c r="AS53" s="18" t="s">
        <v>198</v>
      </c>
      <c r="AT53" s="18"/>
      <c r="AU53" s="18"/>
      <c r="AV53" s="18">
        <f>+VLOOKUP(AN53,Leyenda!$B$30:$E$34,3,FALSE)</f>
        <v>4</v>
      </c>
      <c r="AW53" s="18">
        <f>+VLOOKUP('2. Logging Brejo Seco'!AO53,Meteorizacion,3,FALSE)</f>
        <v>5</v>
      </c>
      <c r="AX53" s="18">
        <f>+VLOOKUP('2. Logging Brejo Seco'!AP53,Apertura,3,FALSE)</f>
        <v>3</v>
      </c>
      <c r="AY53" s="18">
        <f>+VLOOKUP('2. Logging Brejo Seco'!AQ53,Leyenda!$B$55:$D$59,3,FALSE)</f>
        <v>4</v>
      </c>
      <c r="AZ53" s="18">
        <f>+VLOOKUP('2. Logging Brejo Seco'!AR53,Relleno,3,FALSE)</f>
        <v>4</v>
      </c>
      <c r="BA53" s="18">
        <f t="shared" si="23"/>
        <v>20</v>
      </c>
      <c r="BB53" s="49">
        <f t="shared" si="5"/>
        <v>5</v>
      </c>
      <c r="BC53" s="49">
        <f>VLOOKUP(AM53,Leyenda!$B$4:$D$10,3,FALSE)</f>
        <v>4</v>
      </c>
      <c r="BD53" s="50">
        <f t="shared" si="11"/>
        <v>7</v>
      </c>
      <c r="BE53" s="49">
        <f t="shared" si="12"/>
        <v>20</v>
      </c>
      <c r="BF53" s="49">
        <f>VLOOKUP(AS53,Leyenda!$B$70:$D$75,3,FALSE)</f>
        <v>15</v>
      </c>
      <c r="BG53" s="67">
        <f t="shared" si="6"/>
        <v>41</v>
      </c>
      <c r="BH53" s="67">
        <f>VLOOKUP(AM53,Leyenda!$B$4:$E$10,4,FALSE)</f>
        <v>4</v>
      </c>
      <c r="BI53" s="67">
        <f t="shared" si="13"/>
        <v>8</v>
      </c>
      <c r="BJ53" s="67">
        <f t="shared" si="7"/>
        <v>5</v>
      </c>
      <c r="BK53" s="67">
        <f>+VLOOKUP('2. Logging Brejo Seco'!AP53,Leyenda!$B$47:$E$51,4,FALSE)</f>
        <v>3</v>
      </c>
      <c r="BL53" s="67">
        <f>+VLOOKUP('2. Logging Brejo Seco'!AQ53,Leyenda!$B$55:$E$59,4,FALSE)</f>
        <v>4</v>
      </c>
      <c r="BM53" s="67">
        <f>+VLOOKUP('2. Logging Brejo Seco'!AR53,Leyenda!$B$63:$E$67,3,FALSE)</f>
        <v>4</v>
      </c>
      <c r="BN53" s="67">
        <f>+VLOOKUP('2. Logging Brejo Seco'!AO53,Leyenda!$B$39:$E$43,4,FALSE)</f>
        <v>4</v>
      </c>
      <c r="BO53" s="67">
        <f>+VLOOKUP('2. Logging Brejo Seco'!AN53,Leyenda!$B$30:$E$34,4,FALSE)</f>
        <v>4</v>
      </c>
      <c r="BP53" s="67">
        <f>VLOOKUP(AS53,Leyenda!$B$71:$E$75,4,FALSE)</f>
        <v>10</v>
      </c>
      <c r="BQ53" s="125">
        <f t="shared" si="14"/>
        <v>46</v>
      </c>
      <c r="BR53" s="85">
        <f t="shared" si="15"/>
        <v>51</v>
      </c>
      <c r="BS53" s="240">
        <f t="shared" si="16"/>
        <v>0.30000000000000004</v>
      </c>
      <c r="BT53" s="18"/>
    </row>
    <row r="54" spans="1:72" x14ac:dyDescent="0.25">
      <c r="A54" s="18" t="s">
        <v>6</v>
      </c>
      <c r="B54" s="18">
        <v>2024</v>
      </c>
      <c r="C54" s="18" t="s">
        <v>138</v>
      </c>
      <c r="D54" s="18" t="s">
        <v>10</v>
      </c>
      <c r="E54" s="18">
        <v>30</v>
      </c>
      <c r="F54" s="18">
        <v>10</v>
      </c>
      <c r="G54" s="18" t="s">
        <v>152</v>
      </c>
      <c r="H54" s="248">
        <f t="shared" si="20"/>
        <v>10</v>
      </c>
      <c r="I54" s="135"/>
      <c r="J54" s="18" t="s">
        <v>162</v>
      </c>
      <c r="K54" s="31">
        <f t="shared" si="17"/>
        <v>26.33</v>
      </c>
      <c r="L54" s="31">
        <v>27.03</v>
      </c>
      <c r="M54" s="4">
        <f t="shared" si="8"/>
        <v>0.70000000000000284</v>
      </c>
      <c r="N54" s="5">
        <v>1</v>
      </c>
      <c r="O54" s="5">
        <f t="shared" si="1"/>
        <v>0</v>
      </c>
      <c r="P54" s="31">
        <f t="shared" si="9"/>
        <v>0.70000000000000284</v>
      </c>
      <c r="Q54" s="31">
        <f t="shared" si="2"/>
        <v>0.70000000000000284</v>
      </c>
      <c r="R54" s="31">
        <v>140.00000000000057</v>
      </c>
      <c r="S54" s="31">
        <v>5</v>
      </c>
      <c r="T54" s="31">
        <v>0.61</v>
      </c>
      <c r="U54" s="31">
        <v>0.6</v>
      </c>
      <c r="V54" s="86">
        <f t="shared" si="21"/>
        <v>85.714285714285367</v>
      </c>
      <c r="W54" s="31">
        <v>2</v>
      </c>
      <c r="X54" s="31"/>
      <c r="Y54" s="31">
        <f t="shared" si="24"/>
        <v>2</v>
      </c>
      <c r="Z54" s="31">
        <f t="shared" si="26"/>
        <v>305</v>
      </c>
      <c r="AA54" s="18">
        <v>94</v>
      </c>
      <c r="AB54" s="18" t="s">
        <v>96</v>
      </c>
      <c r="AC54" s="18" t="s">
        <v>118</v>
      </c>
      <c r="AD54" s="18" t="s">
        <v>334</v>
      </c>
      <c r="AE54" s="18">
        <v>5</v>
      </c>
      <c r="AF54" s="18">
        <v>140.00000000000057</v>
      </c>
      <c r="AG54" s="18" t="s">
        <v>27</v>
      </c>
      <c r="AH54" s="18" t="str">
        <f t="shared" si="25"/>
        <v>R3</v>
      </c>
      <c r="AI54" s="18" t="str">
        <f>+VLOOKUP(AH54,Leyenda!$O$4:$U$10,6,FALSE)</f>
        <v>0,35-0,50</v>
      </c>
      <c r="AJ54" s="18" t="str">
        <f>+VLOOKUP(AH54,Leyenda!$O$4:$U$10,7,FALSE)</f>
        <v>Easy to blast</v>
      </c>
      <c r="AK54" s="18">
        <f>+VLOOKUP(AJ54,Leyenda!$U$4:$V$10,2,FALSE)</f>
        <v>3</v>
      </c>
      <c r="AL54" s="18" t="s">
        <v>27</v>
      </c>
      <c r="AM54" s="18" t="str">
        <f t="shared" si="10"/>
        <v>R3</v>
      </c>
      <c r="AN54" s="18" t="s">
        <v>62</v>
      </c>
      <c r="AO54" s="18" t="s">
        <v>75</v>
      </c>
      <c r="AP54" s="18" t="s">
        <v>92</v>
      </c>
      <c r="AQ54" s="18" t="s">
        <v>105</v>
      </c>
      <c r="AR54" s="18" t="s">
        <v>116</v>
      </c>
      <c r="AS54" s="18" t="s">
        <v>198</v>
      </c>
      <c r="AT54" s="18"/>
      <c r="AU54" s="18"/>
      <c r="AV54" s="18">
        <f>+VLOOKUP(AN54,Leyenda!$B$30:$E$34,3,FALSE)</f>
        <v>4</v>
      </c>
      <c r="AW54" s="18">
        <f>+VLOOKUP('2. Logging Brejo Seco'!AO54,Meteorizacion,3,FALSE)</f>
        <v>5</v>
      </c>
      <c r="AX54" s="18">
        <f>+VLOOKUP('2. Logging Brejo Seco'!AP54,Apertura,3,FALSE)</f>
        <v>3</v>
      </c>
      <c r="AY54" s="18">
        <f>+VLOOKUP('2. Logging Brejo Seco'!AQ54,Leyenda!$B$55:$D$59,3,FALSE)</f>
        <v>4</v>
      </c>
      <c r="AZ54" s="18">
        <f>+VLOOKUP('2. Logging Brejo Seco'!AR54,Relleno,3,FALSE)</f>
        <v>4</v>
      </c>
      <c r="BA54" s="18">
        <f t="shared" si="23"/>
        <v>20</v>
      </c>
      <c r="BB54" s="49">
        <f t="shared" si="5"/>
        <v>17</v>
      </c>
      <c r="BC54" s="49">
        <f>VLOOKUP(AM54,Leyenda!$B$4:$D$10,3,FALSE)</f>
        <v>4</v>
      </c>
      <c r="BD54" s="50">
        <f t="shared" si="11"/>
        <v>11</v>
      </c>
      <c r="BE54" s="49">
        <f t="shared" si="12"/>
        <v>20</v>
      </c>
      <c r="BF54" s="49">
        <f>VLOOKUP(AS54,Leyenda!$B$70:$D$75,3,FALSE)</f>
        <v>15</v>
      </c>
      <c r="BG54" s="67">
        <f t="shared" si="6"/>
        <v>72.857142857142691</v>
      </c>
      <c r="BH54" s="67">
        <f>VLOOKUP(AM54,Leyenda!$B$4:$E$10,4,FALSE)</f>
        <v>4</v>
      </c>
      <c r="BI54" s="67">
        <f t="shared" si="13"/>
        <v>15</v>
      </c>
      <c r="BJ54" s="67">
        <f t="shared" si="7"/>
        <v>17</v>
      </c>
      <c r="BK54" s="67">
        <f>+VLOOKUP('2. Logging Brejo Seco'!AP54,Leyenda!$B$47:$E$51,4,FALSE)</f>
        <v>3</v>
      </c>
      <c r="BL54" s="67">
        <f>+VLOOKUP('2. Logging Brejo Seco'!AQ54,Leyenda!$B$55:$E$59,4,FALSE)</f>
        <v>4</v>
      </c>
      <c r="BM54" s="67">
        <f>+VLOOKUP('2. Logging Brejo Seco'!AR54,Leyenda!$B$63:$E$67,3,FALSE)</f>
        <v>4</v>
      </c>
      <c r="BN54" s="67">
        <f>+VLOOKUP('2. Logging Brejo Seco'!AO54,Leyenda!$B$39:$E$43,4,FALSE)</f>
        <v>4</v>
      </c>
      <c r="BO54" s="67">
        <f>+VLOOKUP('2. Logging Brejo Seco'!AN54,Leyenda!$B$30:$E$34,4,FALSE)</f>
        <v>4</v>
      </c>
      <c r="BP54" s="67">
        <f>VLOOKUP(AS54,Leyenda!$B$71:$E$75,4,FALSE)</f>
        <v>10</v>
      </c>
      <c r="BQ54" s="125">
        <f t="shared" si="14"/>
        <v>65</v>
      </c>
      <c r="BR54" s="85">
        <f t="shared" si="15"/>
        <v>67</v>
      </c>
      <c r="BS54" s="240">
        <f t="shared" si="16"/>
        <v>0</v>
      </c>
      <c r="BT54" s="18"/>
    </row>
    <row r="55" spans="1:72" x14ac:dyDescent="0.25">
      <c r="A55" s="18" t="s">
        <v>6</v>
      </c>
      <c r="B55" s="18">
        <v>2024</v>
      </c>
      <c r="C55" s="18" t="s">
        <v>138</v>
      </c>
      <c r="D55" s="18" t="s">
        <v>10</v>
      </c>
      <c r="E55" s="18">
        <v>30</v>
      </c>
      <c r="F55" s="18">
        <v>10</v>
      </c>
      <c r="G55" s="18" t="s">
        <v>152</v>
      </c>
      <c r="H55" s="248">
        <f t="shared" si="20"/>
        <v>10</v>
      </c>
      <c r="I55" s="135"/>
      <c r="J55" s="18" t="s">
        <v>162</v>
      </c>
      <c r="K55" s="31">
        <f t="shared" si="17"/>
        <v>27.03</v>
      </c>
      <c r="L55" s="31">
        <v>27.97</v>
      </c>
      <c r="M55" s="4">
        <f t="shared" si="8"/>
        <v>0.93999999999999773</v>
      </c>
      <c r="N55" s="5">
        <v>1</v>
      </c>
      <c r="O55" s="5">
        <f t="shared" si="1"/>
        <v>0</v>
      </c>
      <c r="P55" s="31">
        <f t="shared" si="9"/>
        <v>0.93999999999999773</v>
      </c>
      <c r="Q55" s="31">
        <f t="shared" si="2"/>
        <v>0.93999999999999773</v>
      </c>
      <c r="R55" s="31">
        <v>93.999999999999773</v>
      </c>
      <c r="S55" s="31">
        <v>10</v>
      </c>
      <c r="T55" s="31">
        <v>0.86</v>
      </c>
      <c r="U55" s="31">
        <v>0.86</v>
      </c>
      <c r="V55" s="86">
        <f>+U55/M55*100</f>
        <v>91.48936170212788</v>
      </c>
      <c r="W55" s="31">
        <v>3</v>
      </c>
      <c r="X55" s="31"/>
      <c r="Y55" s="31">
        <f t="shared" si="24"/>
        <v>3</v>
      </c>
      <c r="Z55" s="31">
        <f t="shared" si="26"/>
        <v>286.66666666666669</v>
      </c>
      <c r="AA55" s="18">
        <v>85</v>
      </c>
      <c r="AB55" s="18" t="s">
        <v>96</v>
      </c>
      <c r="AC55" s="18" t="s">
        <v>120</v>
      </c>
      <c r="AD55" s="18" t="s">
        <v>334</v>
      </c>
      <c r="AE55" s="18">
        <v>10</v>
      </c>
      <c r="AF55" s="18">
        <v>93.999999999999773</v>
      </c>
      <c r="AG55" s="18" t="s">
        <v>27</v>
      </c>
      <c r="AH55" s="18" t="str">
        <f t="shared" si="25"/>
        <v>R3</v>
      </c>
      <c r="AI55" s="18" t="str">
        <f>+VLOOKUP(AH55,Leyenda!$O$4:$U$10,6,FALSE)</f>
        <v>0,35-0,50</v>
      </c>
      <c r="AJ55" s="18" t="str">
        <f>+VLOOKUP(AH55,Leyenda!$O$4:$U$10,7,FALSE)</f>
        <v>Easy to blast</v>
      </c>
      <c r="AK55" s="18">
        <f>+VLOOKUP(AJ55,Leyenda!$U$4:$V$10,2,FALSE)</f>
        <v>3</v>
      </c>
      <c r="AL55" s="18" t="s">
        <v>27</v>
      </c>
      <c r="AM55" s="18" t="str">
        <f t="shared" si="10"/>
        <v>R3</v>
      </c>
      <c r="AN55" s="18" t="s">
        <v>62</v>
      </c>
      <c r="AO55" s="18" t="s">
        <v>75</v>
      </c>
      <c r="AP55" s="18" t="s">
        <v>92</v>
      </c>
      <c r="AQ55" s="18" t="s">
        <v>105</v>
      </c>
      <c r="AR55" s="18" t="s">
        <v>116</v>
      </c>
      <c r="AS55" s="18" t="s">
        <v>198</v>
      </c>
      <c r="AT55" s="18"/>
      <c r="AU55" s="18"/>
      <c r="AV55" s="18">
        <f>+VLOOKUP(AN55,Leyenda!$B$30:$E$34,3,FALSE)</f>
        <v>4</v>
      </c>
      <c r="AW55" s="18">
        <f>+VLOOKUP('2. Logging Brejo Seco'!AO55,Meteorizacion,3,FALSE)</f>
        <v>5</v>
      </c>
      <c r="AX55" s="18">
        <f>+VLOOKUP('2. Logging Brejo Seco'!AP55,Apertura,3,FALSE)</f>
        <v>3</v>
      </c>
      <c r="AY55" s="18">
        <f>+VLOOKUP('2. Logging Brejo Seco'!AQ55,Leyenda!$B$55:$D$59,3,FALSE)</f>
        <v>4</v>
      </c>
      <c r="AZ55" s="18">
        <f>+VLOOKUP('2. Logging Brejo Seco'!AR55,Relleno,3,FALSE)</f>
        <v>4</v>
      </c>
      <c r="BA55" s="18">
        <f t="shared" si="23"/>
        <v>20</v>
      </c>
      <c r="BB55" s="49">
        <f t="shared" si="5"/>
        <v>18</v>
      </c>
      <c r="BC55" s="49">
        <f>VLOOKUP(AM55,Leyenda!$B$4:$D$10,3,FALSE)</f>
        <v>4</v>
      </c>
      <c r="BD55" s="50">
        <f t="shared" si="11"/>
        <v>10</v>
      </c>
      <c r="BE55" s="49">
        <f t="shared" si="12"/>
        <v>20</v>
      </c>
      <c r="BF55" s="49">
        <f>VLOOKUP(AS55,Leyenda!$B$70:$D$75,3,FALSE)</f>
        <v>15</v>
      </c>
      <c r="BG55" s="67">
        <f t="shared" si="6"/>
        <v>75.744680851063947</v>
      </c>
      <c r="BH55" s="67">
        <f>VLOOKUP(AM55,Leyenda!$B$4:$E$10,4,FALSE)</f>
        <v>4</v>
      </c>
      <c r="BI55" s="67">
        <f t="shared" si="13"/>
        <v>15</v>
      </c>
      <c r="BJ55" s="67">
        <f t="shared" si="7"/>
        <v>18</v>
      </c>
      <c r="BK55" s="67">
        <f>+VLOOKUP('2. Logging Brejo Seco'!AP55,Leyenda!$B$47:$E$51,4,FALSE)</f>
        <v>3</v>
      </c>
      <c r="BL55" s="67">
        <f>+VLOOKUP('2. Logging Brejo Seco'!AQ55,Leyenda!$B$55:$E$59,4,FALSE)</f>
        <v>4</v>
      </c>
      <c r="BM55" s="67">
        <f>+VLOOKUP('2. Logging Brejo Seco'!AR55,Leyenda!$B$63:$E$67,3,FALSE)</f>
        <v>4</v>
      </c>
      <c r="BN55" s="67">
        <f>+VLOOKUP('2. Logging Brejo Seco'!AO55,Leyenda!$B$39:$E$43,4,FALSE)</f>
        <v>4</v>
      </c>
      <c r="BO55" s="67">
        <f>+VLOOKUP('2. Logging Brejo Seco'!AN55,Leyenda!$B$30:$E$34,4,FALSE)</f>
        <v>4</v>
      </c>
      <c r="BP55" s="67">
        <f>VLOOKUP(AS55,Leyenda!$B$71:$E$75,4,FALSE)</f>
        <v>10</v>
      </c>
      <c r="BQ55" s="125">
        <f t="shared" si="14"/>
        <v>66</v>
      </c>
      <c r="BR55" s="85">
        <f t="shared" si="15"/>
        <v>67</v>
      </c>
      <c r="BS55" s="240">
        <f t="shared" si="16"/>
        <v>0</v>
      </c>
      <c r="BT55" s="18"/>
    </row>
    <row r="56" spans="1:72" x14ac:dyDescent="0.25">
      <c r="A56" s="18" t="s">
        <v>6</v>
      </c>
      <c r="B56" s="18">
        <v>2024</v>
      </c>
      <c r="C56" s="18" t="s">
        <v>138</v>
      </c>
      <c r="D56" s="18" t="s">
        <v>10</v>
      </c>
      <c r="E56" s="18">
        <v>10</v>
      </c>
      <c r="F56" s="18">
        <v>10</v>
      </c>
      <c r="G56" s="18" t="s">
        <v>135</v>
      </c>
      <c r="H56" s="248">
        <f t="shared" si="20"/>
        <v>10</v>
      </c>
      <c r="I56" s="135"/>
      <c r="J56" s="18" t="s">
        <v>162</v>
      </c>
      <c r="K56" s="31">
        <f t="shared" si="17"/>
        <v>27.97</v>
      </c>
      <c r="L56" s="31">
        <v>29</v>
      </c>
      <c r="M56" s="4">
        <f t="shared" si="8"/>
        <v>1.0300000000000011</v>
      </c>
      <c r="N56" s="5">
        <v>0.87</v>
      </c>
      <c r="O56" s="5">
        <f t="shared" si="1"/>
        <v>0.13</v>
      </c>
      <c r="P56" s="31">
        <f t="shared" si="9"/>
        <v>0.89610000000000101</v>
      </c>
      <c r="Q56" s="31">
        <f t="shared" si="2"/>
        <v>0.89610000000000101</v>
      </c>
      <c r="R56" s="31">
        <v>89.610000000000099</v>
      </c>
      <c r="S56" s="31">
        <v>10</v>
      </c>
      <c r="T56" s="31">
        <v>0.82</v>
      </c>
      <c r="U56" s="31">
        <f>0.38+0.16</f>
        <v>0.54</v>
      </c>
      <c r="V56" s="86">
        <f t="shared" si="21"/>
        <v>52.427184466019362</v>
      </c>
      <c r="W56" s="31">
        <v>5</v>
      </c>
      <c r="X56" s="31"/>
      <c r="Y56" s="31">
        <f t="shared" si="24"/>
        <v>5</v>
      </c>
      <c r="Z56" s="31">
        <f t="shared" si="26"/>
        <v>164</v>
      </c>
      <c r="AA56" s="18">
        <v>34</v>
      </c>
      <c r="AB56" s="18" t="s">
        <v>88</v>
      </c>
      <c r="AC56" s="18" t="s">
        <v>120</v>
      </c>
      <c r="AD56" s="18" t="s">
        <v>334</v>
      </c>
      <c r="AE56" s="18">
        <v>10</v>
      </c>
      <c r="AF56" s="18">
        <v>89.610000000000099</v>
      </c>
      <c r="AG56" s="18" t="s">
        <v>24</v>
      </c>
      <c r="AH56" s="18" t="str">
        <f t="shared" si="25"/>
        <v>R4</v>
      </c>
      <c r="AI56" s="18" t="str">
        <f>+VLOOKUP(AH56,Leyenda!$O$4:$U$10,6,FALSE)</f>
        <v>0,50-0,80</v>
      </c>
      <c r="AJ56" s="18" t="str">
        <f>+VLOOKUP(AH56,Leyenda!$O$4:$U$10,7,FALSE)</f>
        <v>Fairly easy to blast</v>
      </c>
      <c r="AK56" s="18">
        <f>+VLOOKUP(AJ56,Leyenda!$U$4:$V$10,2,FALSE)</f>
        <v>4</v>
      </c>
      <c r="AL56" s="18" t="s">
        <v>24</v>
      </c>
      <c r="AM56" s="18" t="str">
        <f t="shared" si="10"/>
        <v>R4</v>
      </c>
      <c r="AN56" s="18" t="s">
        <v>62</v>
      </c>
      <c r="AO56" s="18" t="s">
        <v>75</v>
      </c>
      <c r="AP56" s="18" t="s">
        <v>92</v>
      </c>
      <c r="AQ56" s="18" t="s">
        <v>105</v>
      </c>
      <c r="AR56" s="18" t="s">
        <v>116</v>
      </c>
      <c r="AS56" s="18" t="s">
        <v>198</v>
      </c>
      <c r="AT56" s="18"/>
      <c r="AU56" s="18"/>
      <c r="AV56" s="18">
        <f>+VLOOKUP(AN56,Leyenda!$B$30:$E$34,3,FALSE)</f>
        <v>4</v>
      </c>
      <c r="AW56" s="18">
        <f>+VLOOKUP('2. Logging Brejo Seco'!AO56,Meteorizacion,3,FALSE)</f>
        <v>5</v>
      </c>
      <c r="AX56" s="18">
        <f>+VLOOKUP('2. Logging Brejo Seco'!AP56,Apertura,3,FALSE)</f>
        <v>3</v>
      </c>
      <c r="AY56" s="18">
        <f>+VLOOKUP('2. Logging Brejo Seco'!AQ56,Leyenda!$B$55:$D$59,3,FALSE)</f>
        <v>4</v>
      </c>
      <c r="AZ56" s="18">
        <f>+VLOOKUP('2. Logging Brejo Seco'!AR56,Relleno,3,FALSE)</f>
        <v>4</v>
      </c>
      <c r="BA56" s="18">
        <f t="shared" si="23"/>
        <v>20</v>
      </c>
      <c r="BB56" s="49">
        <f t="shared" si="5"/>
        <v>11</v>
      </c>
      <c r="BC56" s="49">
        <f>VLOOKUP(AM56,Leyenda!$B$4:$D$10,3,FALSE)</f>
        <v>7</v>
      </c>
      <c r="BD56" s="50">
        <f t="shared" si="11"/>
        <v>9</v>
      </c>
      <c r="BE56" s="49">
        <f t="shared" si="12"/>
        <v>20</v>
      </c>
      <c r="BF56" s="49">
        <f>VLOOKUP(AS56,Leyenda!$B$70:$D$75,3,FALSE)</f>
        <v>15</v>
      </c>
      <c r="BG56" s="67">
        <f t="shared" si="6"/>
        <v>56.213592233009678</v>
      </c>
      <c r="BH56" s="67">
        <f>VLOOKUP(AM56,Leyenda!$B$4:$E$10,4,FALSE)</f>
        <v>7</v>
      </c>
      <c r="BI56" s="67">
        <f t="shared" si="13"/>
        <v>11</v>
      </c>
      <c r="BJ56" s="67">
        <f t="shared" si="7"/>
        <v>11</v>
      </c>
      <c r="BK56" s="67">
        <f>+VLOOKUP('2. Logging Brejo Seco'!AP56,Leyenda!$B$47:$E$51,4,FALSE)</f>
        <v>3</v>
      </c>
      <c r="BL56" s="67">
        <f>+VLOOKUP('2. Logging Brejo Seco'!AQ56,Leyenda!$B$55:$E$59,4,FALSE)</f>
        <v>4</v>
      </c>
      <c r="BM56" s="67">
        <f>+VLOOKUP('2. Logging Brejo Seco'!AR56,Leyenda!$B$63:$E$67,3,FALSE)</f>
        <v>4</v>
      </c>
      <c r="BN56" s="67">
        <f>+VLOOKUP('2. Logging Brejo Seco'!AO56,Leyenda!$B$39:$E$43,4,FALSE)</f>
        <v>4</v>
      </c>
      <c r="BO56" s="67">
        <f>+VLOOKUP('2. Logging Brejo Seco'!AN56,Leyenda!$B$30:$E$34,4,FALSE)</f>
        <v>4</v>
      </c>
      <c r="BP56" s="67">
        <f>VLOOKUP(AS56,Leyenda!$B$71:$E$75,4,FALSE)</f>
        <v>10</v>
      </c>
      <c r="BQ56" s="125">
        <f t="shared" si="14"/>
        <v>58</v>
      </c>
      <c r="BR56" s="85">
        <f t="shared" si="15"/>
        <v>62</v>
      </c>
      <c r="BS56" s="240">
        <f t="shared" si="16"/>
        <v>0.13</v>
      </c>
      <c r="BT56" s="18"/>
    </row>
    <row r="57" spans="1:72" x14ac:dyDescent="0.25">
      <c r="A57" s="18" t="s">
        <v>6</v>
      </c>
      <c r="B57" s="18">
        <v>2024</v>
      </c>
      <c r="C57" s="18" t="s">
        <v>138</v>
      </c>
      <c r="D57" s="18" t="s">
        <v>10</v>
      </c>
      <c r="E57" s="18">
        <v>10</v>
      </c>
      <c r="F57" s="18">
        <v>10</v>
      </c>
      <c r="G57" s="18" t="s">
        <v>135</v>
      </c>
      <c r="H57" s="248">
        <f t="shared" si="20"/>
        <v>10</v>
      </c>
      <c r="I57" s="135"/>
      <c r="J57" s="18" t="s">
        <v>162</v>
      </c>
      <c r="K57" s="31">
        <f t="shared" si="17"/>
        <v>29</v>
      </c>
      <c r="L57" s="31">
        <v>29.5</v>
      </c>
      <c r="M57" s="4">
        <f t="shared" si="8"/>
        <v>0.5</v>
      </c>
      <c r="N57" s="5">
        <v>0.96</v>
      </c>
      <c r="O57" s="5">
        <f t="shared" si="1"/>
        <v>4.0000000000000036E-2</v>
      </c>
      <c r="P57" s="31">
        <f t="shared" si="9"/>
        <v>0.48</v>
      </c>
      <c r="Q57" s="31">
        <f t="shared" si="2"/>
        <v>0.48</v>
      </c>
      <c r="R57" s="31">
        <v>48</v>
      </c>
      <c r="S57" s="31">
        <v>10</v>
      </c>
      <c r="T57" s="31">
        <v>0.48</v>
      </c>
      <c r="U57" s="31">
        <v>0.4</v>
      </c>
      <c r="V57" s="86">
        <f t="shared" si="21"/>
        <v>80</v>
      </c>
      <c r="W57" s="31">
        <v>2</v>
      </c>
      <c r="X57" s="31"/>
      <c r="Y57" s="31">
        <f t="shared" si="24"/>
        <v>2</v>
      </c>
      <c r="Z57" s="31">
        <f t="shared" si="26"/>
        <v>240</v>
      </c>
      <c r="AA57" s="18">
        <v>80</v>
      </c>
      <c r="AB57" s="18" t="s">
        <v>96</v>
      </c>
      <c r="AC57" s="18" t="s">
        <v>120</v>
      </c>
      <c r="AD57" s="18" t="s">
        <v>337</v>
      </c>
      <c r="AE57" s="18">
        <v>10</v>
      </c>
      <c r="AF57" s="18">
        <v>48</v>
      </c>
      <c r="AG57" s="18" t="s">
        <v>24</v>
      </c>
      <c r="AH57" s="18" t="str">
        <f t="shared" si="25"/>
        <v>R4</v>
      </c>
      <c r="AI57" s="18" t="str">
        <f>+VLOOKUP(AH57,Leyenda!$O$4:$U$10,6,FALSE)</f>
        <v>0,50-0,80</v>
      </c>
      <c r="AJ57" s="18" t="str">
        <f>+VLOOKUP(AH57,Leyenda!$O$4:$U$10,7,FALSE)</f>
        <v>Fairly easy to blast</v>
      </c>
      <c r="AK57" s="18">
        <f>+VLOOKUP(AJ57,Leyenda!$U$4:$V$10,2,FALSE)</f>
        <v>4</v>
      </c>
      <c r="AL57" s="18" t="s">
        <v>24</v>
      </c>
      <c r="AM57" s="18" t="str">
        <f t="shared" si="10"/>
        <v>R4</v>
      </c>
      <c r="AN57" s="18" t="s">
        <v>62</v>
      </c>
      <c r="AO57" s="18" t="s">
        <v>75</v>
      </c>
      <c r="AP57" s="18" t="s">
        <v>92</v>
      </c>
      <c r="AQ57" s="18" t="s">
        <v>105</v>
      </c>
      <c r="AR57" s="18" t="s">
        <v>116</v>
      </c>
      <c r="AS57" s="18" t="s">
        <v>198</v>
      </c>
      <c r="AT57" s="18"/>
      <c r="AU57" s="18"/>
      <c r="AV57" s="18">
        <f>+VLOOKUP(AN57,Leyenda!$B$30:$E$34,3,FALSE)</f>
        <v>4</v>
      </c>
      <c r="AW57" s="18">
        <f>+VLOOKUP('2. Logging Brejo Seco'!AO57,Meteorizacion,3,FALSE)</f>
        <v>5</v>
      </c>
      <c r="AX57" s="18">
        <f>+VLOOKUP('2. Logging Brejo Seco'!AP57,Apertura,3,FALSE)</f>
        <v>3</v>
      </c>
      <c r="AY57" s="18">
        <f>+VLOOKUP('2. Logging Brejo Seco'!AQ57,Leyenda!$B$55:$D$59,3,FALSE)</f>
        <v>4</v>
      </c>
      <c r="AZ57" s="18">
        <f>+VLOOKUP('2. Logging Brejo Seco'!AR57,Relleno,3,FALSE)</f>
        <v>4</v>
      </c>
      <c r="BA57" s="18">
        <f t="shared" si="23"/>
        <v>20</v>
      </c>
      <c r="BB57" s="49">
        <f t="shared" si="5"/>
        <v>16</v>
      </c>
      <c r="BC57" s="49">
        <f>VLOOKUP(AM57,Leyenda!$B$4:$D$10,3,FALSE)</f>
        <v>7</v>
      </c>
      <c r="BD57" s="50">
        <f t="shared" si="11"/>
        <v>10</v>
      </c>
      <c r="BE57" s="49">
        <f t="shared" si="12"/>
        <v>20</v>
      </c>
      <c r="BF57" s="49">
        <f>VLOOKUP(AS57,Leyenda!$B$70:$D$75,3,FALSE)</f>
        <v>15</v>
      </c>
      <c r="BG57" s="67">
        <f t="shared" si="6"/>
        <v>70</v>
      </c>
      <c r="BH57" s="67">
        <f>VLOOKUP(AM57,Leyenda!$B$4:$E$10,4,FALSE)</f>
        <v>7</v>
      </c>
      <c r="BI57" s="67">
        <f t="shared" si="13"/>
        <v>13</v>
      </c>
      <c r="BJ57" s="67">
        <f t="shared" si="7"/>
        <v>16</v>
      </c>
      <c r="BK57" s="67">
        <f>+VLOOKUP('2. Logging Brejo Seco'!AP57,Leyenda!$B$47:$E$51,4,FALSE)</f>
        <v>3</v>
      </c>
      <c r="BL57" s="67">
        <f>+VLOOKUP('2. Logging Brejo Seco'!AQ57,Leyenda!$B$55:$E$59,4,FALSE)</f>
        <v>4</v>
      </c>
      <c r="BM57" s="67">
        <f>+VLOOKUP('2. Logging Brejo Seco'!AR57,Leyenda!$B$63:$E$67,3,FALSE)</f>
        <v>4</v>
      </c>
      <c r="BN57" s="67">
        <f>+VLOOKUP('2. Logging Brejo Seco'!AO57,Leyenda!$B$39:$E$43,4,FALSE)</f>
        <v>4</v>
      </c>
      <c r="BO57" s="67">
        <f>+VLOOKUP('2. Logging Brejo Seco'!AN57,Leyenda!$B$30:$E$34,4,FALSE)</f>
        <v>4</v>
      </c>
      <c r="BP57" s="67">
        <f>VLOOKUP(AS57,Leyenda!$B$71:$E$75,4,FALSE)</f>
        <v>10</v>
      </c>
      <c r="BQ57" s="125">
        <f t="shared" si="14"/>
        <v>65</v>
      </c>
      <c r="BR57" s="85">
        <f t="shared" si="15"/>
        <v>68</v>
      </c>
      <c r="BS57" s="240">
        <f t="shared" si="16"/>
        <v>4.0000000000000036E-2</v>
      </c>
      <c r="BT57" s="18"/>
    </row>
    <row r="58" spans="1:72" x14ac:dyDescent="0.25">
      <c r="A58" s="18" t="s">
        <v>6</v>
      </c>
      <c r="B58" s="18">
        <v>2024</v>
      </c>
      <c r="C58" s="18" t="s">
        <v>138</v>
      </c>
      <c r="D58" s="18" t="s">
        <v>10</v>
      </c>
      <c r="E58" s="18">
        <v>10</v>
      </c>
      <c r="F58" s="18">
        <v>10</v>
      </c>
      <c r="G58" s="18" t="s">
        <v>135</v>
      </c>
      <c r="H58" s="248">
        <f t="shared" si="20"/>
        <v>10</v>
      </c>
      <c r="I58" s="135"/>
      <c r="J58" s="18" t="s">
        <v>162</v>
      </c>
      <c r="K58" s="31">
        <f t="shared" si="17"/>
        <v>29.5</v>
      </c>
      <c r="L58" s="31">
        <v>30.24</v>
      </c>
      <c r="M58" s="4">
        <f t="shared" si="8"/>
        <v>0.73999999999999844</v>
      </c>
      <c r="N58" s="5">
        <v>1</v>
      </c>
      <c r="O58" s="5">
        <f t="shared" si="1"/>
        <v>0</v>
      </c>
      <c r="P58" s="31">
        <f t="shared" si="9"/>
        <v>0.73999999999999844</v>
      </c>
      <c r="Q58" s="31">
        <f t="shared" si="2"/>
        <v>0.73999999999999844</v>
      </c>
      <c r="R58" s="31">
        <v>73.999999999999844</v>
      </c>
      <c r="S58" s="31">
        <v>10</v>
      </c>
      <c r="T58" s="31">
        <v>0.7</v>
      </c>
      <c r="U58" s="31">
        <v>0.61</v>
      </c>
      <c r="V58" s="86">
        <f t="shared" si="21"/>
        <v>82.432432432432606</v>
      </c>
      <c r="W58" s="31">
        <v>3</v>
      </c>
      <c r="X58" s="31"/>
      <c r="Y58" s="31">
        <f t="shared" si="24"/>
        <v>3</v>
      </c>
      <c r="Z58" s="31">
        <f t="shared" si="26"/>
        <v>233.33333333333334</v>
      </c>
      <c r="AA58" s="18">
        <v>86</v>
      </c>
      <c r="AB58" s="18" t="s">
        <v>96</v>
      </c>
      <c r="AC58" s="18" t="s">
        <v>120</v>
      </c>
      <c r="AD58" s="18" t="s">
        <v>337</v>
      </c>
      <c r="AE58" s="18">
        <v>10</v>
      </c>
      <c r="AF58" s="18">
        <v>73.999999999999844</v>
      </c>
      <c r="AG58" s="18" t="s">
        <v>24</v>
      </c>
      <c r="AH58" s="18" t="str">
        <f t="shared" si="25"/>
        <v>R4</v>
      </c>
      <c r="AI58" s="18" t="str">
        <f>+VLOOKUP(AH58,Leyenda!$O$4:$U$10,6,FALSE)</f>
        <v>0,50-0,80</v>
      </c>
      <c r="AJ58" s="18" t="str">
        <f>+VLOOKUP(AH58,Leyenda!$O$4:$U$10,7,FALSE)</f>
        <v>Fairly easy to blast</v>
      </c>
      <c r="AK58" s="18">
        <f>+VLOOKUP(AJ58,Leyenda!$U$4:$V$10,2,FALSE)</f>
        <v>4</v>
      </c>
      <c r="AL58" s="18" t="s">
        <v>24</v>
      </c>
      <c r="AM58" s="18" t="str">
        <f t="shared" si="10"/>
        <v>R4</v>
      </c>
      <c r="AN58" s="18" t="s">
        <v>62</v>
      </c>
      <c r="AO58" s="18" t="s">
        <v>75</v>
      </c>
      <c r="AP58" s="18" t="s">
        <v>92</v>
      </c>
      <c r="AQ58" s="18" t="s">
        <v>105</v>
      </c>
      <c r="AR58" s="18" t="s">
        <v>116</v>
      </c>
      <c r="AS58" s="18" t="s">
        <v>198</v>
      </c>
      <c r="AT58" s="18"/>
      <c r="AU58" s="18"/>
      <c r="AV58" s="18">
        <f>+VLOOKUP(AN58,Leyenda!$B$30:$E$34,3,FALSE)</f>
        <v>4</v>
      </c>
      <c r="AW58" s="18">
        <f>+VLOOKUP('2. Logging Brejo Seco'!AO58,Meteorizacion,3,FALSE)</f>
        <v>5</v>
      </c>
      <c r="AX58" s="18">
        <f>+VLOOKUP('2. Logging Brejo Seco'!AP58,Apertura,3,FALSE)</f>
        <v>3</v>
      </c>
      <c r="AY58" s="18">
        <f>+VLOOKUP('2. Logging Brejo Seco'!AQ58,Leyenda!$B$55:$D$59,3,FALSE)</f>
        <v>4</v>
      </c>
      <c r="AZ58" s="18">
        <f>+VLOOKUP('2. Logging Brejo Seco'!AR58,Relleno,3,FALSE)</f>
        <v>4</v>
      </c>
      <c r="BA58" s="18">
        <f t="shared" si="23"/>
        <v>20</v>
      </c>
      <c r="BB58" s="49">
        <f t="shared" si="5"/>
        <v>17</v>
      </c>
      <c r="BC58" s="49">
        <f>VLOOKUP(AM58,Leyenda!$B$4:$D$10,3,FALSE)</f>
        <v>7</v>
      </c>
      <c r="BD58" s="50">
        <f t="shared" si="11"/>
        <v>10</v>
      </c>
      <c r="BE58" s="49">
        <f t="shared" si="12"/>
        <v>20</v>
      </c>
      <c r="BF58" s="49">
        <f>VLOOKUP(AS58,Leyenda!$B$70:$D$75,3,FALSE)</f>
        <v>15</v>
      </c>
      <c r="BG58" s="67">
        <f t="shared" si="6"/>
        <v>71.21621621621631</v>
      </c>
      <c r="BH58" s="67">
        <f>VLOOKUP(AM58,Leyenda!$B$4:$E$10,4,FALSE)</f>
        <v>7</v>
      </c>
      <c r="BI58" s="67">
        <f t="shared" si="13"/>
        <v>13</v>
      </c>
      <c r="BJ58" s="67">
        <f t="shared" si="7"/>
        <v>17</v>
      </c>
      <c r="BK58" s="67">
        <f>+VLOOKUP('2. Logging Brejo Seco'!AP58,Leyenda!$B$47:$E$51,4,FALSE)</f>
        <v>3</v>
      </c>
      <c r="BL58" s="67">
        <f>+VLOOKUP('2. Logging Brejo Seco'!AQ58,Leyenda!$B$55:$E$59,4,FALSE)</f>
        <v>4</v>
      </c>
      <c r="BM58" s="67">
        <f>+VLOOKUP('2. Logging Brejo Seco'!AR58,Leyenda!$B$63:$E$67,3,FALSE)</f>
        <v>4</v>
      </c>
      <c r="BN58" s="67">
        <f>+VLOOKUP('2. Logging Brejo Seco'!AO58,Leyenda!$B$39:$E$43,4,FALSE)</f>
        <v>4</v>
      </c>
      <c r="BO58" s="67">
        <f>+VLOOKUP('2. Logging Brejo Seco'!AN58,Leyenda!$B$30:$E$34,4,FALSE)</f>
        <v>4</v>
      </c>
      <c r="BP58" s="67">
        <f>VLOOKUP(AS58,Leyenda!$B$71:$E$75,4,FALSE)</f>
        <v>10</v>
      </c>
      <c r="BQ58" s="125">
        <f t="shared" si="14"/>
        <v>66</v>
      </c>
      <c r="BR58" s="85">
        <f t="shared" si="15"/>
        <v>69</v>
      </c>
      <c r="BS58" s="240">
        <f t="shared" si="16"/>
        <v>0</v>
      </c>
      <c r="BT58" s="18"/>
    </row>
    <row r="59" spans="1:72" x14ac:dyDescent="0.25">
      <c r="A59" s="18" t="s">
        <v>6</v>
      </c>
      <c r="B59" s="18">
        <v>2024</v>
      </c>
      <c r="C59" s="18" t="s">
        <v>138</v>
      </c>
      <c r="D59" s="18" t="s">
        <v>10</v>
      </c>
      <c r="E59" s="18">
        <v>10</v>
      </c>
      <c r="F59" s="18">
        <v>10</v>
      </c>
      <c r="G59" s="18" t="s">
        <v>135</v>
      </c>
      <c r="H59" s="248">
        <f t="shared" si="20"/>
        <v>10</v>
      </c>
      <c r="I59" s="135"/>
      <c r="J59" s="18" t="s">
        <v>162</v>
      </c>
      <c r="K59" s="31">
        <f t="shared" si="17"/>
        <v>30.24</v>
      </c>
      <c r="L59" s="31">
        <v>31.04</v>
      </c>
      <c r="M59" s="4">
        <f t="shared" si="8"/>
        <v>0.80000000000000071</v>
      </c>
      <c r="N59" s="5">
        <v>1</v>
      </c>
      <c r="O59" s="5">
        <f t="shared" si="1"/>
        <v>0</v>
      </c>
      <c r="P59" s="31">
        <f t="shared" si="9"/>
        <v>0.80000000000000071</v>
      </c>
      <c r="Q59" s="31">
        <f t="shared" si="2"/>
        <v>0.80000000000000071</v>
      </c>
      <c r="R59" s="31">
        <v>53.333333333333378</v>
      </c>
      <c r="S59" s="31">
        <v>15</v>
      </c>
      <c r="T59" s="31">
        <v>0.71</v>
      </c>
      <c r="U59" s="31">
        <v>0.6</v>
      </c>
      <c r="V59" s="86">
        <f t="shared" si="21"/>
        <v>74.999999999999929</v>
      </c>
      <c r="W59" s="31">
        <v>3</v>
      </c>
      <c r="X59" s="31"/>
      <c r="Y59" s="31">
        <f t="shared" si="24"/>
        <v>3</v>
      </c>
      <c r="Z59" s="31">
        <f t="shared" si="26"/>
        <v>236.66666666666666</v>
      </c>
      <c r="AA59" s="18">
        <v>13</v>
      </c>
      <c r="AB59" s="18" t="s">
        <v>100</v>
      </c>
      <c r="AC59" s="18" t="s">
        <v>122</v>
      </c>
      <c r="AD59" s="18" t="s">
        <v>337</v>
      </c>
      <c r="AE59" s="18">
        <v>15</v>
      </c>
      <c r="AF59" s="18">
        <v>53.333333333333378</v>
      </c>
      <c r="AG59" s="18" t="s">
        <v>24</v>
      </c>
      <c r="AH59" s="18" t="str">
        <f t="shared" si="25"/>
        <v>R4</v>
      </c>
      <c r="AI59" s="18" t="str">
        <f>+VLOOKUP(AH59,Leyenda!$O$4:$U$10,6,FALSE)</f>
        <v>0,50-0,80</v>
      </c>
      <c r="AJ59" s="18" t="str">
        <f>+VLOOKUP(AH59,Leyenda!$O$4:$U$10,7,FALSE)</f>
        <v>Fairly easy to blast</v>
      </c>
      <c r="AK59" s="18">
        <f>+VLOOKUP(AJ59,Leyenda!$U$4:$V$10,2,FALSE)</f>
        <v>4</v>
      </c>
      <c r="AL59" s="18" t="s">
        <v>24</v>
      </c>
      <c r="AM59" s="18" t="str">
        <f t="shared" si="10"/>
        <v>R4</v>
      </c>
      <c r="AN59" s="18" t="s">
        <v>62</v>
      </c>
      <c r="AO59" s="18" t="s">
        <v>75</v>
      </c>
      <c r="AP59" s="18" t="s">
        <v>92</v>
      </c>
      <c r="AQ59" s="18" t="s">
        <v>105</v>
      </c>
      <c r="AR59" s="18" t="s">
        <v>116</v>
      </c>
      <c r="AS59" s="18" t="s">
        <v>198</v>
      </c>
      <c r="AT59" s="18"/>
      <c r="AU59" s="18"/>
      <c r="AV59" s="18">
        <f>+VLOOKUP(AN59,Leyenda!$B$30:$E$34,3,FALSE)</f>
        <v>4</v>
      </c>
      <c r="AW59" s="18">
        <f>+VLOOKUP('2. Logging Brejo Seco'!AO59,Meteorizacion,3,FALSE)</f>
        <v>5</v>
      </c>
      <c r="AX59" s="18">
        <f>+VLOOKUP('2. Logging Brejo Seco'!AP59,Apertura,3,FALSE)</f>
        <v>3</v>
      </c>
      <c r="AY59" s="18">
        <f>+VLOOKUP('2. Logging Brejo Seco'!AQ59,Leyenda!$B$55:$D$59,3,FALSE)</f>
        <v>4</v>
      </c>
      <c r="AZ59" s="18">
        <f>+VLOOKUP('2. Logging Brejo Seco'!AR59,Relleno,3,FALSE)</f>
        <v>4</v>
      </c>
      <c r="BA59" s="18">
        <f t="shared" si="23"/>
        <v>20</v>
      </c>
      <c r="BB59" s="49">
        <f t="shared" si="5"/>
        <v>15</v>
      </c>
      <c r="BC59" s="49">
        <f>VLOOKUP(AM59,Leyenda!$B$4:$D$10,3,FALSE)</f>
        <v>7</v>
      </c>
      <c r="BD59" s="50">
        <f t="shared" si="11"/>
        <v>10</v>
      </c>
      <c r="BE59" s="49">
        <f t="shared" si="12"/>
        <v>20</v>
      </c>
      <c r="BF59" s="49">
        <f>VLOOKUP(AS59,Leyenda!$B$70:$D$75,3,FALSE)</f>
        <v>15</v>
      </c>
      <c r="BG59" s="67">
        <f t="shared" si="6"/>
        <v>67.499999999999972</v>
      </c>
      <c r="BH59" s="67">
        <f>VLOOKUP(AM59,Leyenda!$B$4:$E$10,4,FALSE)</f>
        <v>7</v>
      </c>
      <c r="BI59" s="67">
        <f t="shared" si="13"/>
        <v>13</v>
      </c>
      <c r="BJ59" s="67">
        <f t="shared" si="7"/>
        <v>15</v>
      </c>
      <c r="BK59" s="67">
        <f>+VLOOKUP('2. Logging Brejo Seco'!AP59,Leyenda!$B$47:$E$51,4,FALSE)</f>
        <v>3</v>
      </c>
      <c r="BL59" s="67">
        <f>+VLOOKUP('2. Logging Brejo Seco'!AQ59,Leyenda!$B$55:$E$59,4,FALSE)</f>
        <v>4</v>
      </c>
      <c r="BM59" s="67">
        <f>+VLOOKUP('2. Logging Brejo Seco'!AR59,Leyenda!$B$63:$E$67,3,FALSE)</f>
        <v>4</v>
      </c>
      <c r="BN59" s="67">
        <f>+VLOOKUP('2. Logging Brejo Seco'!AO59,Leyenda!$B$39:$E$43,4,FALSE)</f>
        <v>4</v>
      </c>
      <c r="BO59" s="67">
        <f>+VLOOKUP('2. Logging Brejo Seco'!AN59,Leyenda!$B$30:$E$34,4,FALSE)</f>
        <v>4</v>
      </c>
      <c r="BP59" s="67">
        <f>VLOOKUP(AS59,Leyenda!$B$71:$E$75,4,FALSE)</f>
        <v>10</v>
      </c>
      <c r="BQ59" s="125">
        <f t="shared" si="14"/>
        <v>64</v>
      </c>
      <c r="BR59" s="85">
        <f t="shared" si="15"/>
        <v>67</v>
      </c>
      <c r="BS59" s="240">
        <f t="shared" si="16"/>
        <v>0</v>
      </c>
      <c r="BT59" s="18"/>
    </row>
    <row r="60" spans="1:72" x14ac:dyDescent="0.25">
      <c r="A60" s="18" t="s">
        <v>6</v>
      </c>
      <c r="B60" s="18">
        <v>2024</v>
      </c>
      <c r="C60" s="18" t="s">
        <v>138</v>
      </c>
      <c r="D60" s="18" t="s">
        <v>10</v>
      </c>
      <c r="E60" s="18">
        <v>10</v>
      </c>
      <c r="F60" s="18">
        <v>10</v>
      </c>
      <c r="G60" s="18" t="s">
        <v>135</v>
      </c>
      <c r="H60" s="248">
        <f t="shared" si="20"/>
        <v>10</v>
      </c>
      <c r="I60" s="135"/>
      <c r="J60" s="18" t="s">
        <v>162</v>
      </c>
      <c r="K60" s="31">
        <f t="shared" si="17"/>
        <v>31.04</v>
      </c>
      <c r="L60" s="31">
        <v>32.04</v>
      </c>
      <c r="M60" s="4">
        <f t="shared" si="8"/>
        <v>1</v>
      </c>
      <c r="N60" s="5">
        <v>1</v>
      </c>
      <c r="O60" s="5">
        <f t="shared" si="1"/>
        <v>0</v>
      </c>
      <c r="P60" s="31">
        <f t="shared" si="9"/>
        <v>1</v>
      </c>
      <c r="Q60" s="31">
        <f t="shared" si="2"/>
        <v>1</v>
      </c>
      <c r="R60" s="31">
        <v>200</v>
      </c>
      <c r="S60" s="31">
        <v>5</v>
      </c>
      <c r="T60" s="31">
        <v>0.9</v>
      </c>
      <c r="U60" s="31">
        <v>0.4</v>
      </c>
      <c r="V60" s="86">
        <f t="shared" si="21"/>
        <v>40</v>
      </c>
      <c r="W60" s="31">
        <v>6</v>
      </c>
      <c r="X60" s="31"/>
      <c r="Y60" s="31">
        <f t="shared" si="24"/>
        <v>6</v>
      </c>
      <c r="Z60" s="31">
        <f t="shared" si="26"/>
        <v>150</v>
      </c>
      <c r="AA60" s="18">
        <v>21</v>
      </c>
      <c r="AB60" s="18" t="s">
        <v>96</v>
      </c>
      <c r="AC60" s="18" t="s">
        <v>118</v>
      </c>
      <c r="AD60" s="18" t="s">
        <v>337</v>
      </c>
      <c r="AE60" s="18">
        <v>5</v>
      </c>
      <c r="AF60" s="18">
        <v>200</v>
      </c>
      <c r="AG60" s="18" t="s">
        <v>24</v>
      </c>
      <c r="AH60" s="18" t="str">
        <f t="shared" si="25"/>
        <v>R4</v>
      </c>
      <c r="AI60" s="18" t="str">
        <f>+VLOOKUP(AH60,Leyenda!$O$4:$U$10,6,FALSE)</f>
        <v>0,50-0,80</v>
      </c>
      <c r="AJ60" s="18" t="str">
        <f>+VLOOKUP(AH60,Leyenda!$O$4:$U$10,7,FALSE)</f>
        <v>Fairly easy to blast</v>
      </c>
      <c r="AK60" s="18">
        <f>+VLOOKUP(AJ60,Leyenda!$U$4:$V$10,2,FALSE)</f>
        <v>4</v>
      </c>
      <c r="AL60" s="18" t="s">
        <v>24</v>
      </c>
      <c r="AM60" s="18" t="str">
        <f t="shared" si="10"/>
        <v>R4</v>
      </c>
      <c r="AN60" s="18" t="s">
        <v>62</v>
      </c>
      <c r="AO60" s="18" t="s">
        <v>75</v>
      </c>
      <c r="AP60" s="18" t="s">
        <v>92</v>
      </c>
      <c r="AQ60" s="18" t="s">
        <v>105</v>
      </c>
      <c r="AR60" s="18" t="s">
        <v>116</v>
      </c>
      <c r="AS60" s="18" t="s">
        <v>198</v>
      </c>
      <c r="AT60" s="18"/>
      <c r="AU60" s="18"/>
      <c r="AV60" s="18">
        <f>+VLOOKUP(AN60,Leyenda!$B$30:$E$34,3,FALSE)</f>
        <v>4</v>
      </c>
      <c r="AW60" s="18">
        <f>+VLOOKUP('2. Logging Brejo Seco'!AO60,Meteorizacion,3,FALSE)</f>
        <v>5</v>
      </c>
      <c r="AX60" s="18">
        <f>+VLOOKUP('2. Logging Brejo Seco'!AP60,Apertura,3,FALSE)</f>
        <v>3</v>
      </c>
      <c r="AY60" s="18">
        <f>+VLOOKUP('2. Logging Brejo Seco'!AQ60,Leyenda!$B$55:$D$59,3,FALSE)</f>
        <v>4</v>
      </c>
      <c r="AZ60" s="18">
        <f>+VLOOKUP('2. Logging Brejo Seco'!AR60,Relleno,3,FALSE)</f>
        <v>4</v>
      </c>
      <c r="BA60" s="18">
        <f t="shared" si="23"/>
        <v>20</v>
      </c>
      <c r="BB60" s="49">
        <f t="shared" si="5"/>
        <v>8</v>
      </c>
      <c r="BC60" s="49">
        <f>VLOOKUP(AM60,Leyenda!$B$4:$D$10,3,FALSE)</f>
        <v>7</v>
      </c>
      <c r="BD60" s="50">
        <f t="shared" si="11"/>
        <v>8</v>
      </c>
      <c r="BE60" s="49">
        <f t="shared" si="12"/>
        <v>20</v>
      </c>
      <c r="BF60" s="49">
        <f>VLOOKUP(AS60,Leyenda!$B$70:$D$75,3,FALSE)</f>
        <v>15</v>
      </c>
      <c r="BG60" s="67">
        <f t="shared" si="6"/>
        <v>50</v>
      </c>
      <c r="BH60" s="67">
        <f>VLOOKUP(AM60,Leyenda!$B$4:$E$10,4,FALSE)</f>
        <v>7</v>
      </c>
      <c r="BI60" s="67">
        <f t="shared" si="13"/>
        <v>11</v>
      </c>
      <c r="BJ60" s="67">
        <f t="shared" si="7"/>
        <v>8</v>
      </c>
      <c r="BK60" s="67">
        <f>+VLOOKUP('2. Logging Brejo Seco'!AP60,Leyenda!$B$47:$E$51,4,FALSE)</f>
        <v>3</v>
      </c>
      <c r="BL60" s="67">
        <f>+VLOOKUP('2. Logging Brejo Seco'!AQ60,Leyenda!$B$55:$E$59,4,FALSE)</f>
        <v>4</v>
      </c>
      <c r="BM60" s="67">
        <f>+VLOOKUP('2. Logging Brejo Seco'!AR60,Leyenda!$B$63:$E$67,3,FALSE)</f>
        <v>4</v>
      </c>
      <c r="BN60" s="67">
        <f>+VLOOKUP('2. Logging Brejo Seco'!AO60,Leyenda!$B$39:$E$43,4,FALSE)</f>
        <v>4</v>
      </c>
      <c r="BO60" s="67">
        <f>+VLOOKUP('2. Logging Brejo Seco'!AN60,Leyenda!$B$30:$E$34,4,FALSE)</f>
        <v>4</v>
      </c>
      <c r="BP60" s="67">
        <f>VLOOKUP(AS60,Leyenda!$B$71:$E$75,4,FALSE)</f>
        <v>10</v>
      </c>
      <c r="BQ60" s="125">
        <f t="shared" si="14"/>
        <v>55</v>
      </c>
      <c r="BR60" s="85">
        <f t="shared" si="15"/>
        <v>58</v>
      </c>
      <c r="BS60" s="240">
        <f t="shared" si="16"/>
        <v>0</v>
      </c>
      <c r="BT60" s="18"/>
    </row>
    <row r="61" spans="1:72" x14ac:dyDescent="0.25">
      <c r="A61" s="18" t="s">
        <v>6</v>
      </c>
      <c r="B61" s="18">
        <v>2024</v>
      </c>
      <c r="C61" s="18" t="s">
        <v>138</v>
      </c>
      <c r="D61" s="18" t="s">
        <v>10</v>
      </c>
      <c r="E61" s="18">
        <v>10</v>
      </c>
      <c r="F61" s="18">
        <v>10</v>
      </c>
      <c r="G61" s="18" t="s">
        <v>135</v>
      </c>
      <c r="H61" s="248">
        <f t="shared" si="20"/>
        <v>10</v>
      </c>
      <c r="I61" s="135"/>
      <c r="J61" s="18" t="s">
        <v>162</v>
      </c>
      <c r="K61" s="31">
        <f t="shared" si="17"/>
        <v>32.04</v>
      </c>
      <c r="L61" s="31">
        <v>32.54</v>
      </c>
      <c r="M61" s="4">
        <f t="shared" si="8"/>
        <v>0.5</v>
      </c>
      <c r="N61" s="5">
        <v>0.9</v>
      </c>
      <c r="O61" s="5">
        <f t="shared" si="1"/>
        <v>9.9999999999999978E-2</v>
      </c>
      <c r="P61" s="31">
        <f t="shared" si="9"/>
        <v>0.45</v>
      </c>
      <c r="Q61" s="31">
        <f t="shared" si="2"/>
        <v>0.45</v>
      </c>
      <c r="R61" s="31">
        <v>450</v>
      </c>
      <c r="S61" s="31">
        <v>1</v>
      </c>
      <c r="T61" s="31">
        <v>0.36</v>
      </c>
      <c r="U61" s="31">
        <v>0.15</v>
      </c>
      <c r="V61" s="86">
        <f t="shared" si="21"/>
        <v>30</v>
      </c>
      <c r="W61" s="31">
        <v>5</v>
      </c>
      <c r="X61" s="31"/>
      <c r="Y61" s="31">
        <f t="shared" si="24"/>
        <v>5</v>
      </c>
      <c r="Z61" s="31">
        <f t="shared" si="26"/>
        <v>72</v>
      </c>
      <c r="AA61" s="18">
        <v>30</v>
      </c>
      <c r="AB61" s="18" t="s">
        <v>96</v>
      </c>
      <c r="AC61" s="18" t="s">
        <v>116</v>
      </c>
      <c r="AD61" s="18" t="s">
        <v>334</v>
      </c>
      <c r="AE61" s="18">
        <v>1</v>
      </c>
      <c r="AF61" s="18">
        <v>450</v>
      </c>
      <c r="AG61" s="18" t="s">
        <v>24</v>
      </c>
      <c r="AH61" s="18" t="str">
        <f t="shared" si="25"/>
        <v>R4</v>
      </c>
      <c r="AI61" s="18" t="str">
        <f>+VLOOKUP(AH61,Leyenda!$O$4:$U$10,6,FALSE)</f>
        <v>0,50-0,80</v>
      </c>
      <c r="AJ61" s="18" t="str">
        <f>+VLOOKUP(AH61,Leyenda!$O$4:$U$10,7,FALSE)</f>
        <v>Fairly easy to blast</v>
      </c>
      <c r="AK61" s="18">
        <f>+VLOOKUP(AJ61,Leyenda!$U$4:$V$10,2,FALSE)</f>
        <v>4</v>
      </c>
      <c r="AL61" s="18" t="s">
        <v>24</v>
      </c>
      <c r="AM61" s="18" t="str">
        <f t="shared" si="10"/>
        <v>R4</v>
      </c>
      <c r="AN61" s="18" t="s">
        <v>62</v>
      </c>
      <c r="AO61" s="18" t="s">
        <v>75</v>
      </c>
      <c r="AP61" s="18" t="s">
        <v>92</v>
      </c>
      <c r="AQ61" s="18" t="s">
        <v>105</v>
      </c>
      <c r="AR61" s="18" t="s">
        <v>116</v>
      </c>
      <c r="AS61" s="18" t="s">
        <v>198</v>
      </c>
      <c r="AT61" s="18"/>
      <c r="AU61" s="18"/>
      <c r="AV61" s="18">
        <f>+VLOOKUP(AN61,Leyenda!$B$30:$E$34,3,FALSE)</f>
        <v>4</v>
      </c>
      <c r="AW61" s="18">
        <f>+VLOOKUP('2. Logging Brejo Seco'!AO61,Meteorizacion,3,FALSE)</f>
        <v>5</v>
      </c>
      <c r="AX61" s="18">
        <f>+VLOOKUP('2. Logging Brejo Seco'!AP61,Apertura,3,FALSE)</f>
        <v>3</v>
      </c>
      <c r="AY61" s="18">
        <f>+VLOOKUP('2. Logging Brejo Seco'!AQ61,Leyenda!$B$55:$D$59,3,FALSE)</f>
        <v>4</v>
      </c>
      <c r="AZ61" s="18">
        <f>+VLOOKUP('2. Logging Brejo Seco'!AR61,Relleno,3,FALSE)</f>
        <v>4</v>
      </c>
      <c r="BA61" s="18">
        <f t="shared" si="23"/>
        <v>20</v>
      </c>
      <c r="BB61" s="49">
        <f t="shared" si="5"/>
        <v>6</v>
      </c>
      <c r="BC61" s="49">
        <f>VLOOKUP(AM61,Leyenda!$B$4:$D$10,3,FALSE)</f>
        <v>7</v>
      </c>
      <c r="BD61" s="50">
        <f t="shared" si="11"/>
        <v>6</v>
      </c>
      <c r="BE61" s="49">
        <f t="shared" si="12"/>
        <v>20</v>
      </c>
      <c r="BF61" s="49">
        <f>VLOOKUP(AS61,Leyenda!$B$70:$D$75,3,FALSE)</f>
        <v>15</v>
      </c>
      <c r="BG61" s="67">
        <f t="shared" si="6"/>
        <v>45</v>
      </c>
      <c r="BH61" s="67">
        <f>VLOOKUP(AM61,Leyenda!$B$4:$E$10,4,FALSE)</f>
        <v>7</v>
      </c>
      <c r="BI61" s="67">
        <f t="shared" si="13"/>
        <v>6</v>
      </c>
      <c r="BJ61" s="67">
        <f t="shared" si="7"/>
        <v>6</v>
      </c>
      <c r="BK61" s="67">
        <f>+VLOOKUP('2. Logging Brejo Seco'!AP61,Leyenda!$B$47:$E$51,4,FALSE)</f>
        <v>3</v>
      </c>
      <c r="BL61" s="67">
        <f>+VLOOKUP('2. Logging Brejo Seco'!AQ61,Leyenda!$B$55:$E$59,4,FALSE)</f>
        <v>4</v>
      </c>
      <c r="BM61" s="67">
        <f>+VLOOKUP('2. Logging Brejo Seco'!AR61,Leyenda!$B$63:$E$67,3,FALSE)</f>
        <v>4</v>
      </c>
      <c r="BN61" s="67">
        <f>+VLOOKUP('2. Logging Brejo Seco'!AO61,Leyenda!$B$39:$E$43,4,FALSE)</f>
        <v>4</v>
      </c>
      <c r="BO61" s="67">
        <f>+VLOOKUP('2. Logging Brejo Seco'!AN61,Leyenda!$B$30:$E$34,4,FALSE)</f>
        <v>4</v>
      </c>
      <c r="BP61" s="67">
        <f>VLOOKUP(AS61,Leyenda!$B$71:$E$75,4,FALSE)</f>
        <v>10</v>
      </c>
      <c r="BQ61" s="125">
        <f t="shared" si="14"/>
        <v>48</v>
      </c>
      <c r="BR61" s="85">
        <f t="shared" si="15"/>
        <v>54</v>
      </c>
      <c r="BS61" s="240">
        <f t="shared" si="16"/>
        <v>9.9999999999999978E-2</v>
      </c>
      <c r="BT61" s="18"/>
    </row>
    <row r="62" spans="1:72" x14ac:dyDescent="0.25">
      <c r="A62" s="18" t="s">
        <v>6</v>
      </c>
      <c r="B62" s="18">
        <v>2024</v>
      </c>
      <c r="C62" s="18" t="s">
        <v>138</v>
      </c>
      <c r="D62" s="18" t="s">
        <v>10</v>
      </c>
      <c r="E62" s="18">
        <v>10</v>
      </c>
      <c r="F62" s="18">
        <v>10</v>
      </c>
      <c r="G62" s="18" t="s">
        <v>135</v>
      </c>
      <c r="H62" s="248">
        <f t="shared" si="20"/>
        <v>10</v>
      </c>
      <c r="I62" s="135"/>
      <c r="J62" s="18" t="s">
        <v>162</v>
      </c>
      <c r="K62" s="31">
        <f t="shared" si="17"/>
        <v>32.54</v>
      </c>
      <c r="L62" s="31">
        <v>33.29</v>
      </c>
      <c r="M62" s="4">
        <f t="shared" si="8"/>
        <v>0.75</v>
      </c>
      <c r="N62" s="5">
        <v>1</v>
      </c>
      <c r="O62" s="5">
        <f t="shared" si="1"/>
        <v>0</v>
      </c>
      <c r="P62" s="31">
        <f t="shared" si="9"/>
        <v>0.75</v>
      </c>
      <c r="Q62" s="31">
        <f t="shared" si="2"/>
        <v>0.75</v>
      </c>
      <c r="R62" s="31">
        <v>750</v>
      </c>
      <c r="S62" s="31">
        <v>1</v>
      </c>
      <c r="T62" s="31">
        <v>0.74</v>
      </c>
      <c r="U62" s="31">
        <v>0.2</v>
      </c>
      <c r="V62" s="86">
        <f t="shared" si="21"/>
        <v>26.666666666666668</v>
      </c>
      <c r="W62" s="31">
        <v>7</v>
      </c>
      <c r="X62" s="31"/>
      <c r="Y62" s="31">
        <f t="shared" si="24"/>
        <v>7</v>
      </c>
      <c r="Z62" s="31">
        <f t="shared" si="26"/>
        <v>105.71428571428571</v>
      </c>
      <c r="AA62" s="18">
        <v>75</v>
      </c>
      <c r="AB62" s="18" t="s">
        <v>96</v>
      </c>
      <c r="AC62" s="18" t="s">
        <v>116</v>
      </c>
      <c r="AD62" s="18" t="s">
        <v>337</v>
      </c>
      <c r="AE62" s="18">
        <v>1</v>
      </c>
      <c r="AF62" s="18">
        <v>750</v>
      </c>
      <c r="AG62" s="18" t="s">
        <v>24</v>
      </c>
      <c r="AH62" s="18" t="str">
        <f t="shared" si="25"/>
        <v>R4</v>
      </c>
      <c r="AI62" s="18" t="str">
        <f>+VLOOKUP(AH62,Leyenda!$O$4:$U$10,6,FALSE)</f>
        <v>0,50-0,80</v>
      </c>
      <c r="AJ62" s="18" t="str">
        <f>+VLOOKUP(AH62,Leyenda!$O$4:$U$10,7,FALSE)</f>
        <v>Fairly easy to blast</v>
      </c>
      <c r="AK62" s="18">
        <f>+VLOOKUP(AJ62,Leyenda!$U$4:$V$10,2,FALSE)</f>
        <v>4</v>
      </c>
      <c r="AL62" s="18" t="s">
        <v>24</v>
      </c>
      <c r="AM62" s="18" t="str">
        <f t="shared" si="10"/>
        <v>R4</v>
      </c>
      <c r="AN62" s="18" t="s">
        <v>62</v>
      </c>
      <c r="AO62" s="18" t="s">
        <v>75</v>
      </c>
      <c r="AP62" s="18" t="s">
        <v>92</v>
      </c>
      <c r="AQ62" s="18" t="s">
        <v>105</v>
      </c>
      <c r="AR62" s="18" t="s">
        <v>116</v>
      </c>
      <c r="AS62" s="18" t="s">
        <v>198</v>
      </c>
      <c r="AT62" s="18"/>
      <c r="AU62" s="18"/>
      <c r="AV62" s="18">
        <f>+VLOOKUP(AN62,Leyenda!$B$30:$E$34,3,FALSE)</f>
        <v>4</v>
      </c>
      <c r="AW62" s="18">
        <f>+VLOOKUP('2. Logging Brejo Seco'!AO62,Meteorizacion,3,FALSE)</f>
        <v>5</v>
      </c>
      <c r="AX62" s="18">
        <f>+VLOOKUP('2. Logging Brejo Seco'!AP62,Apertura,3,FALSE)</f>
        <v>3</v>
      </c>
      <c r="AY62" s="18">
        <f>+VLOOKUP('2. Logging Brejo Seco'!AQ62,Leyenda!$B$55:$D$59,3,FALSE)</f>
        <v>4</v>
      </c>
      <c r="AZ62" s="18">
        <f>+VLOOKUP('2. Logging Brejo Seco'!AR62,Relleno,3,FALSE)</f>
        <v>4</v>
      </c>
      <c r="BA62" s="18">
        <f t="shared" si="23"/>
        <v>20</v>
      </c>
      <c r="BB62" s="49">
        <f t="shared" si="5"/>
        <v>6</v>
      </c>
      <c r="BC62" s="49">
        <f>VLOOKUP(AM62,Leyenda!$B$4:$D$10,3,FALSE)</f>
        <v>7</v>
      </c>
      <c r="BD62" s="50">
        <f t="shared" si="11"/>
        <v>7</v>
      </c>
      <c r="BE62" s="49">
        <f t="shared" si="12"/>
        <v>20</v>
      </c>
      <c r="BF62" s="49">
        <f>VLOOKUP(AS62,Leyenda!$B$70:$D$75,3,FALSE)</f>
        <v>15</v>
      </c>
      <c r="BG62" s="67">
        <f t="shared" si="6"/>
        <v>43.333333333333336</v>
      </c>
      <c r="BH62" s="67">
        <f>VLOOKUP(AM62,Leyenda!$B$4:$E$10,4,FALSE)</f>
        <v>7</v>
      </c>
      <c r="BI62" s="67">
        <f t="shared" si="13"/>
        <v>9</v>
      </c>
      <c r="BJ62" s="67">
        <f t="shared" si="7"/>
        <v>6</v>
      </c>
      <c r="BK62" s="67">
        <f>+VLOOKUP('2. Logging Brejo Seco'!AP62,Leyenda!$B$47:$E$51,4,FALSE)</f>
        <v>3</v>
      </c>
      <c r="BL62" s="67">
        <f>+VLOOKUP('2. Logging Brejo Seco'!AQ62,Leyenda!$B$55:$E$59,4,FALSE)</f>
        <v>4</v>
      </c>
      <c r="BM62" s="67">
        <f>+VLOOKUP('2. Logging Brejo Seco'!AR62,Leyenda!$B$63:$E$67,3,FALSE)</f>
        <v>4</v>
      </c>
      <c r="BN62" s="67">
        <f>+VLOOKUP('2. Logging Brejo Seco'!AO62,Leyenda!$B$39:$E$43,4,FALSE)</f>
        <v>4</v>
      </c>
      <c r="BO62" s="67">
        <f>+VLOOKUP('2. Logging Brejo Seco'!AN62,Leyenda!$B$30:$E$34,4,FALSE)</f>
        <v>4</v>
      </c>
      <c r="BP62" s="67">
        <f>VLOOKUP(AS62,Leyenda!$B$71:$E$75,4,FALSE)</f>
        <v>10</v>
      </c>
      <c r="BQ62" s="125">
        <f t="shared" si="14"/>
        <v>51</v>
      </c>
      <c r="BR62" s="85">
        <f t="shared" si="15"/>
        <v>55</v>
      </c>
      <c r="BS62" s="240">
        <f t="shared" si="16"/>
        <v>0</v>
      </c>
      <c r="BT62" s="18"/>
    </row>
    <row r="63" spans="1:72" x14ac:dyDescent="0.25">
      <c r="A63" s="18" t="s">
        <v>6</v>
      </c>
      <c r="B63" s="18">
        <v>2024</v>
      </c>
      <c r="C63" s="18" t="s">
        <v>138</v>
      </c>
      <c r="D63" s="18" t="s">
        <v>10</v>
      </c>
      <c r="E63" s="18">
        <v>10</v>
      </c>
      <c r="F63" s="18">
        <v>10</v>
      </c>
      <c r="G63" s="18" t="s">
        <v>135</v>
      </c>
      <c r="H63" s="248">
        <f t="shared" si="20"/>
        <v>10</v>
      </c>
      <c r="I63" s="135"/>
      <c r="J63" s="18" t="s">
        <v>162</v>
      </c>
      <c r="K63" s="31">
        <f t="shared" si="17"/>
        <v>33.29</v>
      </c>
      <c r="L63" s="31">
        <v>33.85</v>
      </c>
      <c r="M63" s="4">
        <f t="shared" si="8"/>
        <v>0.56000000000000227</v>
      </c>
      <c r="N63" s="5">
        <v>1</v>
      </c>
      <c r="O63" s="5">
        <f t="shared" si="1"/>
        <v>0</v>
      </c>
      <c r="P63" s="31">
        <f t="shared" si="9"/>
        <v>0.56000000000000227</v>
      </c>
      <c r="Q63" s="31">
        <f t="shared" si="2"/>
        <v>0.56000000000000227</v>
      </c>
      <c r="R63" s="31">
        <v>28.000000000000114</v>
      </c>
      <c r="S63" s="31">
        <v>20</v>
      </c>
      <c r="T63" s="31">
        <v>0.52</v>
      </c>
      <c r="U63" s="31">
        <v>0.52</v>
      </c>
      <c r="V63" s="86">
        <f t="shared" si="21"/>
        <v>92.857142857142478</v>
      </c>
      <c r="W63" s="31">
        <v>1</v>
      </c>
      <c r="X63" s="31"/>
      <c r="Y63" s="31">
        <f t="shared" si="24"/>
        <v>1</v>
      </c>
      <c r="Z63" s="31">
        <f t="shared" si="26"/>
        <v>520</v>
      </c>
      <c r="AA63" s="18">
        <v>54</v>
      </c>
      <c r="AB63" s="18" t="s">
        <v>92</v>
      </c>
      <c r="AC63" s="18" t="s">
        <v>333</v>
      </c>
      <c r="AD63" s="18" t="s">
        <v>334</v>
      </c>
      <c r="AE63" s="18">
        <v>20</v>
      </c>
      <c r="AF63" s="18">
        <v>28.000000000000114</v>
      </c>
      <c r="AG63" s="18" t="s">
        <v>24</v>
      </c>
      <c r="AH63" s="18" t="str">
        <f t="shared" si="25"/>
        <v>R4</v>
      </c>
      <c r="AI63" s="18" t="str">
        <f>+VLOOKUP(AH63,Leyenda!$O$4:$U$10,6,FALSE)</f>
        <v>0,50-0,80</v>
      </c>
      <c r="AJ63" s="18" t="str">
        <f>+VLOOKUP(AH63,Leyenda!$O$4:$U$10,7,FALSE)</f>
        <v>Fairly easy to blast</v>
      </c>
      <c r="AK63" s="18">
        <f>+VLOOKUP(AJ63,Leyenda!$U$4:$V$10,2,FALSE)</f>
        <v>4</v>
      </c>
      <c r="AL63" s="18" t="s">
        <v>24</v>
      </c>
      <c r="AM63" s="18" t="str">
        <f t="shared" si="10"/>
        <v>R4</v>
      </c>
      <c r="AN63" s="18" t="s">
        <v>62</v>
      </c>
      <c r="AO63" s="18" t="s">
        <v>75</v>
      </c>
      <c r="AP63" s="18" t="s">
        <v>92</v>
      </c>
      <c r="AQ63" s="18" t="s">
        <v>105</v>
      </c>
      <c r="AR63" s="18" t="s">
        <v>116</v>
      </c>
      <c r="AS63" s="18" t="s">
        <v>198</v>
      </c>
      <c r="AT63" s="18"/>
      <c r="AU63" s="18"/>
      <c r="AV63" s="18">
        <f>+VLOOKUP(AN63,Leyenda!$B$30:$E$34,3,FALSE)</f>
        <v>4</v>
      </c>
      <c r="AW63" s="18">
        <f>+VLOOKUP('2. Logging Brejo Seco'!AO63,Meteorizacion,3,FALSE)</f>
        <v>5</v>
      </c>
      <c r="AX63" s="18">
        <f>+VLOOKUP('2. Logging Brejo Seco'!AP63,Apertura,3,FALSE)</f>
        <v>3</v>
      </c>
      <c r="AY63" s="18">
        <f>+VLOOKUP('2. Logging Brejo Seco'!AQ63,Leyenda!$B$55:$D$59,3,FALSE)</f>
        <v>4</v>
      </c>
      <c r="AZ63" s="18">
        <f>+VLOOKUP('2. Logging Brejo Seco'!AR63,Relleno,3,FALSE)</f>
        <v>4</v>
      </c>
      <c r="BA63" s="18">
        <f t="shared" si="23"/>
        <v>20</v>
      </c>
      <c r="BB63" s="49">
        <f t="shared" si="5"/>
        <v>19</v>
      </c>
      <c r="BC63" s="49">
        <f>VLOOKUP(AM63,Leyenda!$B$4:$D$10,3,FALSE)</f>
        <v>7</v>
      </c>
      <c r="BD63" s="50">
        <f t="shared" si="11"/>
        <v>12</v>
      </c>
      <c r="BE63" s="49">
        <f t="shared" si="12"/>
        <v>20</v>
      </c>
      <c r="BF63" s="49">
        <f>VLOOKUP(AS63,Leyenda!$B$70:$D$75,3,FALSE)</f>
        <v>15</v>
      </c>
      <c r="BG63" s="67">
        <f t="shared" si="6"/>
        <v>76.428571428571246</v>
      </c>
      <c r="BH63" s="67">
        <f>VLOOKUP(AM63,Leyenda!$B$4:$E$10,4,FALSE)</f>
        <v>7</v>
      </c>
      <c r="BI63" s="67">
        <f t="shared" si="13"/>
        <v>18</v>
      </c>
      <c r="BJ63" s="67">
        <f t="shared" si="7"/>
        <v>19</v>
      </c>
      <c r="BK63" s="67">
        <f>+VLOOKUP('2. Logging Brejo Seco'!AP63,Leyenda!$B$47:$E$51,4,FALSE)</f>
        <v>3</v>
      </c>
      <c r="BL63" s="67">
        <f>+VLOOKUP('2. Logging Brejo Seco'!AQ63,Leyenda!$B$55:$E$59,4,FALSE)</f>
        <v>4</v>
      </c>
      <c r="BM63" s="67">
        <f>+VLOOKUP('2. Logging Brejo Seco'!AR63,Leyenda!$B$63:$E$67,3,FALSE)</f>
        <v>4</v>
      </c>
      <c r="BN63" s="67">
        <f>+VLOOKUP('2. Logging Brejo Seco'!AO63,Leyenda!$B$39:$E$43,4,FALSE)</f>
        <v>4</v>
      </c>
      <c r="BO63" s="67">
        <f>+VLOOKUP('2. Logging Brejo Seco'!AN63,Leyenda!$B$30:$E$34,4,FALSE)</f>
        <v>4</v>
      </c>
      <c r="BP63" s="67">
        <f>VLOOKUP(AS63,Leyenda!$B$71:$E$75,4,FALSE)</f>
        <v>10</v>
      </c>
      <c r="BQ63" s="125">
        <f t="shared" si="14"/>
        <v>73</v>
      </c>
      <c r="BR63" s="85">
        <f t="shared" si="15"/>
        <v>73</v>
      </c>
      <c r="BS63" s="240">
        <f t="shared" si="16"/>
        <v>0</v>
      </c>
      <c r="BT63" s="18"/>
    </row>
    <row r="64" spans="1:72" x14ac:dyDescent="0.25">
      <c r="A64" s="18" t="s">
        <v>6</v>
      </c>
      <c r="B64" s="18">
        <v>2024</v>
      </c>
      <c r="C64" s="18" t="s">
        <v>138</v>
      </c>
      <c r="D64" s="18" t="s">
        <v>10</v>
      </c>
      <c r="E64" s="18">
        <v>10</v>
      </c>
      <c r="F64" s="18">
        <v>10</v>
      </c>
      <c r="G64" s="18" t="s">
        <v>135</v>
      </c>
      <c r="H64" s="248">
        <f t="shared" si="20"/>
        <v>10</v>
      </c>
      <c r="I64" s="135"/>
      <c r="J64" s="18" t="s">
        <v>162</v>
      </c>
      <c r="K64" s="31">
        <f t="shared" si="17"/>
        <v>33.85</v>
      </c>
      <c r="L64" s="31">
        <v>34.35</v>
      </c>
      <c r="M64" s="4">
        <f t="shared" si="8"/>
        <v>0.5</v>
      </c>
      <c r="N64" s="5">
        <v>0.78</v>
      </c>
      <c r="O64" s="5">
        <f t="shared" si="1"/>
        <v>0.21999999999999997</v>
      </c>
      <c r="P64" s="31">
        <f t="shared" si="9"/>
        <v>0.39</v>
      </c>
      <c r="Q64" s="31">
        <f t="shared" si="2"/>
        <v>0.39</v>
      </c>
      <c r="R64" s="31">
        <v>19.5</v>
      </c>
      <c r="S64" s="31">
        <v>20</v>
      </c>
      <c r="T64" s="31">
        <v>0.37</v>
      </c>
      <c r="U64" s="31">
        <v>0.32</v>
      </c>
      <c r="V64" s="86">
        <f t="shared" si="21"/>
        <v>64</v>
      </c>
      <c r="W64" s="31">
        <v>3</v>
      </c>
      <c r="X64" s="31"/>
      <c r="Y64" s="31">
        <f t="shared" si="24"/>
        <v>3</v>
      </c>
      <c r="Z64" s="31">
        <f t="shared" si="26"/>
        <v>123.33333333333333</v>
      </c>
      <c r="AA64" s="18">
        <v>40</v>
      </c>
      <c r="AB64" s="18" t="s">
        <v>96</v>
      </c>
      <c r="AC64" s="18" t="s">
        <v>333</v>
      </c>
      <c r="AD64" s="18" t="s">
        <v>337</v>
      </c>
      <c r="AE64" s="18">
        <v>20</v>
      </c>
      <c r="AF64" s="18">
        <v>19.5</v>
      </c>
      <c r="AG64" s="18" t="s">
        <v>24</v>
      </c>
      <c r="AH64" s="18" t="str">
        <f t="shared" si="25"/>
        <v>R4</v>
      </c>
      <c r="AI64" s="18" t="str">
        <f>+VLOOKUP(AH64,Leyenda!$O$4:$U$10,6,FALSE)</f>
        <v>0,50-0,80</v>
      </c>
      <c r="AJ64" s="18" t="str">
        <f>+VLOOKUP(AH64,Leyenda!$O$4:$U$10,7,FALSE)</f>
        <v>Fairly easy to blast</v>
      </c>
      <c r="AK64" s="18">
        <f>+VLOOKUP(AJ64,Leyenda!$U$4:$V$10,2,FALSE)</f>
        <v>4</v>
      </c>
      <c r="AL64" s="18" t="s">
        <v>24</v>
      </c>
      <c r="AM64" s="18" t="str">
        <f t="shared" si="10"/>
        <v>R4</v>
      </c>
      <c r="AN64" s="18" t="s">
        <v>62</v>
      </c>
      <c r="AO64" s="18" t="s">
        <v>75</v>
      </c>
      <c r="AP64" s="18" t="s">
        <v>92</v>
      </c>
      <c r="AQ64" s="18" t="s">
        <v>105</v>
      </c>
      <c r="AR64" s="18" t="s">
        <v>116</v>
      </c>
      <c r="AS64" s="18" t="s">
        <v>198</v>
      </c>
      <c r="AT64" s="18"/>
      <c r="AU64" s="18"/>
      <c r="AV64" s="18">
        <f>+VLOOKUP(AN64,Leyenda!$B$30:$E$34,3,FALSE)</f>
        <v>4</v>
      </c>
      <c r="AW64" s="18">
        <f>+VLOOKUP('2. Logging Brejo Seco'!AO64,Meteorizacion,3,FALSE)</f>
        <v>5</v>
      </c>
      <c r="AX64" s="18">
        <f>+VLOOKUP('2. Logging Brejo Seco'!AP64,Apertura,3,FALSE)</f>
        <v>3</v>
      </c>
      <c r="AY64" s="18">
        <f>+VLOOKUP('2. Logging Brejo Seco'!AQ64,Leyenda!$B$55:$D$59,3,FALSE)</f>
        <v>4</v>
      </c>
      <c r="AZ64" s="18">
        <f>+VLOOKUP('2. Logging Brejo Seco'!AR64,Relleno,3,FALSE)</f>
        <v>4</v>
      </c>
      <c r="BA64" s="18">
        <f t="shared" si="23"/>
        <v>20</v>
      </c>
      <c r="BB64" s="49">
        <f t="shared" si="5"/>
        <v>13</v>
      </c>
      <c r="BC64" s="49">
        <f>VLOOKUP(AM64,Leyenda!$B$4:$D$10,3,FALSE)</f>
        <v>7</v>
      </c>
      <c r="BD64" s="50">
        <f t="shared" si="11"/>
        <v>8</v>
      </c>
      <c r="BE64" s="49">
        <f t="shared" si="12"/>
        <v>20</v>
      </c>
      <c r="BF64" s="49">
        <f>VLOOKUP(AS64,Leyenda!$B$70:$D$75,3,FALSE)</f>
        <v>15</v>
      </c>
      <c r="BG64" s="67">
        <f t="shared" si="6"/>
        <v>62</v>
      </c>
      <c r="BH64" s="67">
        <f>VLOOKUP(AM64,Leyenda!$B$4:$E$10,4,FALSE)</f>
        <v>7</v>
      </c>
      <c r="BI64" s="67">
        <f t="shared" si="13"/>
        <v>9</v>
      </c>
      <c r="BJ64" s="67">
        <f t="shared" si="7"/>
        <v>13</v>
      </c>
      <c r="BK64" s="67">
        <f>+VLOOKUP('2. Logging Brejo Seco'!AP64,Leyenda!$B$47:$E$51,4,FALSE)</f>
        <v>3</v>
      </c>
      <c r="BL64" s="67">
        <f>+VLOOKUP('2. Logging Brejo Seco'!AQ64,Leyenda!$B$55:$E$59,4,FALSE)</f>
        <v>4</v>
      </c>
      <c r="BM64" s="67">
        <f>+VLOOKUP('2. Logging Brejo Seco'!AR64,Leyenda!$B$63:$E$67,3,FALSE)</f>
        <v>4</v>
      </c>
      <c r="BN64" s="67">
        <f>+VLOOKUP('2. Logging Brejo Seco'!AO64,Leyenda!$B$39:$E$43,4,FALSE)</f>
        <v>4</v>
      </c>
      <c r="BO64" s="67">
        <f>+VLOOKUP('2. Logging Brejo Seco'!AN64,Leyenda!$B$30:$E$34,4,FALSE)</f>
        <v>4</v>
      </c>
      <c r="BP64" s="67">
        <f>VLOOKUP(AS64,Leyenda!$B$71:$E$75,4,FALSE)</f>
        <v>10</v>
      </c>
      <c r="BQ64" s="125">
        <f t="shared" si="14"/>
        <v>58</v>
      </c>
      <c r="BR64" s="85">
        <f t="shared" si="15"/>
        <v>63</v>
      </c>
      <c r="BS64" s="240">
        <f t="shared" si="16"/>
        <v>0.21999999999999997</v>
      </c>
      <c r="BT64" s="18"/>
    </row>
    <row r="65" spans="1:72" x14ac:dyDescent="0.25">
      <c r="A65" s="18" t="s">
        <v>6</v>
      </c>
      <c r="B65" s="18">
        <v>2024</v>
      </c>
      <c r="C65" s="18" t="s">
        <v>138</v>
      </c>
      <c r="D65" s="18" t="s">
        <v>10</v>
      </c>
      <c r="E65" s="18">
        <v>10</v>
      </c>
      <c r="F65" s="18">
        <v>10</v>
      </c>
      <c r="G65" s="18" t="s">
        <v>135</v>
      </c>
      <c r="H65" s="248">
        <f t="shared" si="20"/>
        <v>10</v>
      </c>
      <c r="I65" s="135"/>
      <c r="J65" s="18" t="s">
        <v>162</v>
      </c>
      <c r="K65" s="31">
        <f t="shared" si="17"/>
        <v>34.35</v>
      </c>
      <c r="L65" s="31">
        <v>34.85</v>
      </c>
      <c r="M65" s="4">
        <f t="shared" si="8"/>
        <v>0.5</v>
      </c>
      <c r="N65" s="5">
        <v>0.94</v>
      </c>
      <c r="O65" s="5">
        <f t="shared" si="1"/>
        <v>6.0000000000000053E-2</v>
      </c>
      <c r="P65" s="31">
        <f t="shared" si="9"/>
        <v>0.47</v>
      </c>
      <c r="Q65" s="31">
        <f t="shared" si="2"/>
        <v>0.47</v>
      </c>
      <c r="R65" s="31">
        <v>23.5</v>
      </c>
      <c r="S65" s="31">
        <v>20</v>
      </c>
      <c r="T65" s="31">
        <v>0.44</v>
      </c>
      <c r="U65" s="31">
        <v>0.2</v>
      </c>
      <c r="V65" s="86">
        <f t="shared" si="21"/>
        <v>40</v>
      </c>
      <c r="W65" s="31">
        <v>6</v>
      </c>
      <c r="X65" s="31"/>
      <c r="Y65" s="31">
        <f t="shared" si="24"/>
        <v>6</v>
      </c>
      <c r="Z65" s="31">
        <f t="shared" si="26"/>
        <v>73.333333333333329</v>
      </c>
      <c r="AA65" s="18">
        <v>0</v>
      </c>
      <c r="AB65" s="18" t="s">
        <v>92</v>
      </c>
      <c r="AC65" s="18" t="s">
        <v>333</v>
      </c>
      <c r="AD65" s="18" t="s">
        <v>334</v>
      </c>
      <c r="AE65" s="18">
        <v>20</v>
      </c>
      <c r="AF65" s="18">
        <v>23.5</v>
      </c>
      <c r="AG65" s="18" t="s">
        <v>24</v>
      </c>
      <c r="AH65" s="18" t="str">
        <f t="shared" si="25"/>
        <v>R4</v>
      </c>
      <c r="AI65" s="18" t="str">
        <f>+VLOOKUP(AH65,Leyenda!$O$4:$U$10,6,FALSE)</f>
        <v>0,50-0,80</v>
      </c>
      <c r="AJ65" s="18" t="str">
        <f>+VLOOKUP(AH65,Leyenda!$O$4:$U$10,7,FALSE)</f>
        <v>Fairly easy to blast</v>
      </c>
      <c r="AK65" s="18">
        <f>+VLOOKUP(AJ65,Leyenda!$U$4:$V$10,2,FALSE)</f>
        <v>4</v>
      </c>
      <c r="AL65" s="18" t="s">
        <v>24</v>
      </c>
      <c r="AM65" s="18" t="str">
        <f t="shared" si="10"/>
        <v>R4</v>
      </c>
      <c r="AN65" s="18" t="s">
        <v>62</v>
      </c>
      <c r="AO65" s="18" t="s">
        <v>75</v>
      </c>
      <c r="AP65" s="18" t="s">
        <v>92</v>
      </c>
      <c r="AQ65" s="18" t="s">
        <v>105</v>
      </c>
      <c r="AR65" s="18" t="s">
        <v>116</v>
      </c>
      <c r="AS65" s="18" t="s">
        <v>198</v>
      </c>
      <c r="AT65" s="18"/>
      <c r="AU65" s="18"/>
      <c r="AV65" s="18">
        <f>+VLOOKUP(AN65,Leyenda!$B$30:$E$34,3,FALSE)</f>
        <v>4</v>
      </c>
      <c r="AW65" s="18">
        <f>+VLOOKUP('2. Logging Brejo Seco'!AO65,Meteorizacion,3,FALSE)</f>
        <v>5</v>
      </c>
      <c r="AX65" s="18">
        <f>+VLOOKUP('2. Logging Brejo Seco'!AP65,Apertura,3,FALSE)</f>
        <v>3</v>
      </c>
      <c r="AY65" s="18">
        <f>+VLOOKUP('2. Logging Brejo Seco'!AQ65,Leyenda!$B$55:$D$59,3,FALSE)</f>
        <v>4</v>
      </c>
      <c r="AZ65" s="18">
        <f>+VLOOKUP('2. Logging Brejo Seco'!AR65,Relleno,3,FALSE)</f>
        <v>4</v>
      </c>
      <c r="BA65" s="18">
        <f t="shared" si="23"/>
        <v>20</v>
      </c>
      <c r="BB65" s="49">
        <f t="shared" si="5"/>
        <v>8</v>
      </c>
      <c r="BC65" s="49">
        <f>VLOOKUP(AM65,Leyenda!$B$4:$D$10,3,FALSE)</f>
        <v>7</v>
      </c>
      <c r="BD65" s="50">
        <f t="shared" si="11"/>
        <v>7</v>
      </c>
      <c r="BE65" s="49">
        <f t="shared" si="12"/>
        <v>20</v>
      </c>
      <c r="BF65" s="49">
        <f>VLOOKUP(AS65,Leyenda!$B$70:$D$75,3,FALSE)</f>
        <v>15</v>
      </c>
      <c r="BG65" s="67">
        <f t="shared" si="6"/>
        <v>50</v>
      </c>
      <c r="BH65" s="67">
        <f>VLOOKUP(AM65,Leyenda!$B$4:$E$10,4,FALSE)</f>
        <v>7</v>
      </c>
      <c r="BI65" s="67">
        <f t="shared" si="13"/>
        <v>6</v>
      </c>
      <c r="BJ65" s="67">
        <f t="shared" si="7"/>
        <v>8</v>
      </c>
      <c r="BK65" s="67">
        <f>+VLOOKUP('2. Logging Brejo Seco'!AP65,Leyenda!$B$47:$E$51,4,FALSE)</f>
        <v>3</v>
      </c>
      <c r="BL65" s="67">
        <f>+VLOOKUP('2. Logging Brejo Seco'!AQ65,Leyenda!$B$55:$E$59,4,FALSE)</f>
        <v>4</v>
      </c>
      <c r="BM65" s="67">
        <f>+VLOOKUP('2. Logging Brejo Seco'!AR65,Leyenda!$B$63:$E$67,3,FALSE)</f>
        <v>4</v>
      </c>
      <c r="BN65" s="67">
        <f>+VLOOKUP('2. Logging Brejo Seco'!AO65,Leyenda!$B$39:$E$43,4,FALSE)</f>
        <v>4</v>
      </c>
      <c r="BO65" s="67">
        <f>+VLOOKUP('2. Logging Brejo Seco'!AN65,Leyenda!$B$30:$E$34,4,FALSE)</f>
        <v>4</v>
      </c>
      <c r="BP65" s="67">
        <f>VLOOKUP(AS65,Leyenda!$B$71:$E$75,4,FALSE)</f>
        <v>10</v>
      </c>
      <c r="BQ65" s="125">
        <f t="shared" si="14"/>
        <v>50</v>
      </c>
      <c r="BR65" s="85">
        <f t="shared" si="15"/>
        <v>57</v>
      </c>
      <c r="BS65" s="240">
        <f t="shared" si="16"/>
        <v>6.0000000000000053E-2</v>
      </c>
      <c r="BT65" s="18"/>
    </row>
    <row r="66" spans="1:72" x14ac:dyDescent="0.25">
      <c r="A66" s="18" t="s">
        <v>6</v>
      </c>
      <c r="B66" s="18">
        <v>2024</v>
      </c>
      <c r="C66" s="18" t="s">
        <v>138</v>
      </c>
      <c r="D66" s="18" t="s">
        <v>10</v>
      </c>
      <c r="E66" s="18">
        <v>10</v>
      </c>
      <c r="F66" s="18">
        <v>10</v>
      </c>
      <c r="G66" s="18" t="s">
        <v>135</v>
      </c>
      <c r="H66" s="248">
        <f t="shared" si="20"/>
        <v>10</v>
      </c>
      <c r="I66" s="135"/>
      <c r="J66" s="18" t="s">
        <v>163</v>
      </c>
      <c r="K66" s="31">
        <f t="shared" si="17"/>
        <v>34.85</v>
      </c>
      <c r="L66" s="31">
        <v>35.35</v>
      </c>
      <c r="M66" s="4">
        <f t="shared" si="8"/>
        <v>0.5</v>
      </c>
      <c r="N66" s="5">
        <v>1</v>
      </c>
      <c r="O66" s="5">
        <f t="shared" si="1"/>
        <v>0</v>
      </c>
      <c r="P66" s="31">
        <f t="shared" si="9"/>
        <v>0.5</v>
      </c>
      <c r="Q66" s="31">
        <f t="shared" si="2"/>
        <v>0.5</v>
      </c>
      <c r="R66" s="31">
        <v>25</v>
      </c>
      <c r="S66" s="31">
        <v>20</v>
      </c>
      <c r="T66" s="31">
        <v>0.49</v>
      </c>
      <c r="U66" s="31">
        <v>0</v>
      </c>
      <c r="V66" s="86">
        <f t="shared" si="21"/>
        <v>0</v>
      </c>
      <c r="W66" s="31">
        <v>10</v>
      </c>
      <c r="X66" s="31"/>
      <c r="Y66" s="31">
        <f t="shared" si="24"/>
        <v>10</v>
      </c>
      <c r="Z66" s="31">
        <f t="shared" si="26"/>
        <v>49</v>
      </c>
      <c r="AA66" s="18">
        <v>0</v>
      </c>
      <c r="AB66" s="18" t="s">
        <v>100</v>
      </c>
      <c r="AC66" s="18" t="s">
        <v>333</v>
      </c>
      <c r="AD66" s="18" t="s">
        <v>335</v>
      </c>
      <c r="AE66" s="18">
        <v>20</v>
      </c>
      <c r="AF66" s="18">
        <v>25</v>
      </c>
      <c r="AG66" s="18" t="s">
        <v>27</v>
      </c>
      <c r="AH66" s="18" t="str">
        <f t="shared" si="25"/>
        <v>R3</v>
      </c>
      <c r="AI66" s="18" t="str">
        <f>+VLOOKUP(AH66,Leyenda!$O$4:$U$10,6,FALSE)</f>
        <v>0,35-0,50</v>
      </c>
      <c r="AJ66" s="18" t="str">
        <f>+VLOOKUP(AH66,Leyenda!$O$4:$U$10,7,FALSE)</f>
        <v>Easy to blast</v>
      </c>
      <c r="AK66" s="18">
        <f>+VLOOKUP(AJ66,Leyenda!$U$4:$V$10,2,FALSE)</f>
        <v>3</v>
      </c>
      <c r="AL66" s="18" t="s">
        <v>27</v>
      </c>
      <c r="AM66" s="18" t="str">
        <f t="shared" si="10"/>
        <v>R3</v>
      </c>
      <c r="AN66" s="18" t="s">
        <v>64</v>
      </c>
      <c r="AO66" s="18" t="s">
        <v>77</v>
      </c>
      <c r="AP66" s="18" t="s">
        <v>92</v>
      </c>
      <c r="AQ66" s="18" t="s">
        <v>107</v>
      </c>
      <c r="AR66" s="18" t="s">
        <v>118</v>
      </c>
      <c r="AS66" s="18" t="s">
        <v>198</v>
      </c>
      <c r="AT66" s="18"/>
      <c r="AU66" s="18"/>
      <c r="AV66" s="18">
        <f>+VLOOKUP(AN66,Leyenda!$B$30:$E$34,3,FALSE)</f>
        <v>2</v>
      </c>
      <c r="AW66" s="18">
        <f>+VLOOKUP('2. Logging Brejo Seco'!AO66,Meteorizacion,3,FALSE)</f>
        <v>3</v>
      </c>
      <c r="AX66" s="18">
        <f>+VLOOKUP('2. Logging Brejo Seco'!AP66,Apertura,3,FALSE)</f>
        <v>3</v>
      </c>
      <c r="AY66" s="18">
        <f>+VLOOKUP('2. Logging Brejo Seco'!AQ66,Leyenda!$B$55:$D$59,3,FALSE)</f>
        <v>3</v>
      </c>
      <c r="AZ66" s="18">
        <f>+VLOOKUP('2. Logging Brejo Seco'!AR66,Relleno,3,FALSE)</f>
        <v>2</v>
      </c>
      <c r="BA66" s="18">
        <f t="shared" si="23"/>
        <v>13</v>
      </c>
      <c r="BB66" s="49">
        <f t="shared" si="5"/>
        <v>0</v>
      </c>
      <c r="BC66" s="49">
        <f>VLOOKUP(AM66,Leyenda!$B$4:$D$10,3,FALSE)</f>
        <v>4</v>
      </c>
      <c r="BD66" s="50">
        <f t="shared" si="11"/>
        <v>6</v>
      </c>
      <c r="BE66" s="49">
        <f t="shared" si="12"/>
        <v>13</v>
      </c>
      <c r="BF66" s="49">
        <f>VLOOKUP(AS66,Leyenda!$B$70:$D$75,3,FALSE)</f>
        <v>15</v>
      </c>
      <c r="BG66" s="67">
        <f t="shared" si="6"/>
        <v>19.5</v>
      </c>
      <c r="BH66" s="67">
        <f>VLOOKUP(AM66,Leyenda!$B$4:$E$10,4,FALSE)</f>
        <v>4</v>
      </c>
      <c r="BI66" s="67">
        <f t="shared" si="13"/>
        <v>5</v>
      </c>
      <c r="BJ66" s="67">
        <f t="shared" si="7"/>
        <v>0</v>
      </c>
      <c r="BK66" s="67">
        <f>+VLOOKUP('2. Logging Brejo Seco'!AP66,Leyenda!$B$47:$E$51,4,FALSE)</f>
        <v>3</v>
      </c>
      <c r="BL66" s="67">
        <f>+VLOOKUP('2. Logging Brejo Seco'!AQ66,Leyenda!$B$55:$E$59,4,FALSE)</f>
        <v>3</v>
      </c>
      <c r="BM66" s="67">
        <f>+VLOOKUP('2. Logging Brejo Seco'!AR66,Leyenda!$B$63:$E$67,3,FALSE)</f>
        <v>2</v>
      </c>
      <c r="BN66" s="67">
        <f>+VLOOKUP('2. Logging Brejo Seco'!AO66,Leyenda!$B$39:$E$43,4,FALSE)</f>
        <v>3</v>
      </c>
      <c r="BO66" s="67">
        <f>+VLOOKUP('2. Logging Brejo Seco'!AN66,Leyenda!$B$30:$E$34,4,FALSE)</f>
        <v>3</v>
      </c>
      <c r="BP66" s="67">
        <f>VLOOKUP(AS66,Leyenda!$B$71:$E$75,4,FALSE)</f>
        <v>10</v>
      </c>
      <c r="BQ66" s="125">
        <f t="shared" si="14"/>
        <v>33</v>
      </c>
      <c r="BR66" s="85">
        <f t="shared" si="15"/>
        <v>38</v>
      </c>
      <c r="BS66" s="240">
        <f t="shared" si="16"/>
        <v>0</v>
      </c>
      <c r="BT66" s="18"/>
    </row>
    <row r="67" spans="1:72" x14ac:dyDescent="0.25">
      <c r="A67" s="18" t="s">
        <v>6</v>
      </c>
      <c r="B67" s="18">
        <v>2024</v>
      </c>
      <c r="C67" s="18" t="s">
        <v>138</v>
      </c>
      <c r="D67" s="18" t="s">
        <v>10</v>
      </c>
      <c r="E67" s="18">
        <v>10</v>
      </c>
      <c r="F67" s="18">
        <v>10</v>
      </c>
      <c r="G67" s="18" t="s">
        <v>135</v>
      </c>
      <c r="H67" s="248">
        <f t="shared" si="20"/>
        <v>10</v>
      </c>
      <c r="I67" s="135"/>
      <c r="J67" s="18" t="s">
        <v>163</v>
      </c>
      <c r="K67" s="31">
        <f t="shared" si="17"/>
        <v>35.35</v>
      </c>
      <c r="L67" s="31">
        <v>35.85</v>
      </c>
      <c r="M67" s="4">
        <f t="shared" si="8"/>
        <v>0.5</v>
      </c>
      <c r="N67" s="5">
        <v>1</v>
      </c>
      <c r="O67" s="5">
        <f t="shared" ref="O67:O112" si="27">1-N67</f>
        <v>0</v>
      </c>
      <c r="P67" s="31">
        <f t="shared" si="9"/>
        <v>0.5</v>
      </c>
      <c r="Q67" s="31">
        <f t="shared" ref="Q67:Q130" si="28">+N67*M67</f>
        <v>0.5</v>
      </c>
      <c r="R67" s="31">
        <v>100</v>
      </c>
      <c r="S67" s="31">
        <v>5</v>
      </c>
      <c r="T67" s="31">
        <v>0.5</v>
      </c>
      <c r="U67" s="31">
        <v>0.28999999999999998</v>
      </c>
      <c r="V67" s="86">
        <f t="shared" si="21"/>
        <v>57.999999999999993</v>
      </c>
      <c r="W67" s="31">
        <v>4</v>
      </c>
      <c r="X67" s="31"/>
      <c r="Y67" s="31">
        <f t="shared" si="24"/>
        <v>4</v>
      </c>
      <c r="Z67" s="31">
        <f t="shared" si="26"/>
        <v>125</v>
      </c>
      <c r="AA67" s="18">
        <v>40</v>
      </c>
      <c r="AB67" s="18" t="s">
        <v>96</v>
      </c>
      <c r="AC67" s="18" t="s">
        <v>118</v>
      </c>
      <c r="AD67" s="18" t="s">
        <v>337</v>
      </c>
      <c r="AE67" s="18">
        <v>5</v>
      </c>
      <c r="AF67" s="18">
        <v>100</v>
      </c>
      <c r="AG67" s="18" t="s">
        <v>27</v>
      </c>
      <c r="AH67" s="18" t="str">
        <f t="shared" si="25"/>
        <v>R3</v>
      </c>
      <c r="AI67" s="18" t="str">
        <f>+VLOOKUP(AH67,Leyenda!$O$4:$U$10,6,FALSE)</f>
        <v>0,35-0,50</v>
      </c>
      <c r="AJ67" s="18" t="str">
        <f>+VLOOKUP(AH67,Leyenda!$O$4:$U$10,7,FALSE)</f>
        <v>Easy to blast</v>
      </c>
      <c r="AK67" s="18">
        <f>+VLOOKUP(AJ67,Leyenda!$U$4:$V$10,2,FALSE)</f>
        <v>3</v>
      </c>
      <c r="AL67" s="18" t="s">
        <v>27</v>
      </c>
      <c r="AM67" s="18" t="str">
        <f t="shared" si="10"/>
        <v>R3</v>
      </c>
      <c r="AN67" s="18" t="s">
        <v>64</v>
      </c>
      <c r="AO67" s="18" t="s">
        <v>77</v>
      </c>
      <c r="AP67" s="18" t="s">
        <v>92</v>
      </c>
      <c r="AQ67" s="18" t="s">
        <v>107</v>
      </c>
      <c r="AR67" s="18" t="s">
        <v>120</v>
      </c>
      <c r="AS67" s="18" t="s">
        <v>198</v>
      </c>
      <c r="AT67" s="18"/>
      <c r="AU67" s="18"/>
      <c r="AV67" s="18">
        <f>+VLOOKUP(AN67,Leyenda!$B$30:$E$34,3,FALSE)</f>
        <v>2</v>
      </c>
      <c r="AW67" s="18">
        <f>+VLOOKUP('2. Logging Brejo Seco'!AO67,Meteorizacion,3,FALSE)</f>
        <v>3</v>
      </c>
      <c r="AX67" s="18">
        <f>+VLOOKUP('2. Logging Brejo Seco'!AP67,Apertura,3,FALSE)</f>
        <v>3</v>
      </c>
      <c r="AY67" s="18">
        <f>+VLOOKUP('2. Logging Brejo Seco'!AQ67,Leyenda!$B$55:$D$59,3,FALSE)</f>
        <v>3</v>
      </c>
      <c r="AZ67" s="18">
        <f>+VLOOKUP('2. Logging Brejo Seco'!AR67,Relleno,3,FALSE)</f>
        <v>2</v>
      </c>
      <c r="BA67" s="18">
        <f t="shared" si="23"/>
        <v>13</v>
      </c>
      <c r="BB67" s="49">
        <f t="shared" ref="BB67:BB130" si="29">ROUND(-0.0002*POWER(V67,2)+0.2197*V67,0)</f>
        <v>12</v>
      </c>
      <c r="BC67" s="49">
        <f>VLOOKUP(AM67,Leyenda!$B$4:$D$10,3,FALSE)</f>
        <v>4</v>
      </c>
      <c r="BD67" s="50">
        <f t="shared" si="11"/>
        <v>8</v>
      </c>
      <c r="BE67" s="49">
        <f t="shared" si="12"/>
        <v>13</v>
      </c>
      <c r="BF67" s="49">
        <f>VLOOKUP(AS67,Leyenda!$B$70:$D$75,3,FALSE)</f>
        <v>15</v>
      </c>
      <c r="BG67" s="67">
        <f t="shared" ref="BG67:BG130" si="30">1.5*BA67+(V67*0.5)</f>
        <v>48.5</v>
      </c>
      <c r="BH67" s="67">
        <f>VLOOKUP(AM67,Leyenda!$B$4:$E$10,4,FALSE)</f>
        <v>4</v>
      </c>
      <c r="BI67" s="67">
        <f t="shared" si="13"/>
        <v>10</v>
      </c>
      <c r="BJ67" s="67">
        <f t="shared" ref="BJ67:BJ130" si="31">ROUND(-0.0002*POWER(V67,2)+0.2197*V67,0)</f>
        <v>12</v>
      </c>
      <c r="BK67" s="67">
        <f>+VLOOKUP('2. Logging Brejo Seco'!AP67,Leyenda!$B$47:$E$51,4,FALSE)</f>
        <v>3</v>
      </c>
      <c r="BL67" s="67">
        <f>+VLOOKUP('2. Logging Brejo Seco'!AQ67,Leyenda!$B$55:$E$59,4,FALSE)</f>
        <v>3</v>
      </c>
      <c r="BM67" s="67">
        <f>+VLOOKUP('2. Logging Brejo Seco'!AR67,Leyenda!$B$63:$E$67,3,FALSE)</f>
        <v>2</v>
      </c>
      <c r="BN67" s="67">
        <f>+VLOOKUP('2. Logging Brejo Seco'!AO67,Leyenda!$B$39:$E$43,4,FALSE)</f>
        <v>3</v>
      </c>
      <c r="BO67" s="67">
        <f>+VLOOKUP('2. Logging Brejo Seco'!AN67,Leyenda!$B$30:$E$34,4,FALSE)</f>
        <v>3</v>
      </c>
      <c r="BP67" s="67">
        <f>VLOOKUP(AS67,Leyenda!$B$71:$E$75,4,FALSE)</f>
        <v>10</v>
      </c>
      <c r="BQ67" s="125">
        <f t="shared" si="14"/>
        <v>50</v>
      </c>
      <c r="BR67" s="85">
        <f t="shared" si="15"/>
        <v>52</v>
      </c>
      <c r="BS67" s="240">
        <f t="shared" si="16"/>
        <v>0</v>
      </c>
      <c r="BT67" s="18"/>
    </row>
    <row r="68" spans="1:72" x14ac:dyDescent="0.25">
      <c r="A68" s="18" t="s">
        <v>6</v>
      </c>
      <c r="B68" s="18">
        <v>2024</v>
      </c>
      <c r="C68" s="18" t="s">
        <v>138</v>
      </c>
      <c r="D68" s="18" t="s">
        <v>10</v>
      </c>
      <c r="E68" s="18">
        <v>10</v>
      </c>
      <c r="F68" s="18">
        <v>10</v>
      </c>
      <c r="G68" s="18" t="s">
        <v>135</v>
      </c>
      <c r="H68" s="248">
        <f t="shared" si="20"/>
        <v>10</v>
      </c>
      <c r="I68" s="135"/>
      <c r="J68" s="18" t="s">
        <v>163</v>
      </c>
      <c r="K68" s="31">
        <f t="shared" si="17"/>
        <v>35.85</v>
      </c>
      <c r="L68" s="31">
        <v>36.35</v>
      </c>
      <c r="M68" s="4">
        <f t="shared" ref="M68:M131" si="32">+L68-K68</f>
        <v>0.5</v>
      </c>
      <c r="N68" s="5">
        <v>1</v>
      </c>
      <c r="O68" s="5">
        <f t="shared" si="27"/>
        <v>0</v>
      </c>
      <c r="P68" s="31">
        <f t="shared" ref="P68:P131" si="33">+M68*N68</f>
        <v>0.5</v>
      </c>
      <c r="Q68" s="31">
        <f t="shared" si="28"/>
        <v>0.5</v>
      </c>
      <c r="R68" s="31">
        <v>25</v>
      </c>
      <c r="S68" s="31">
        <v>20</v>
      </c>
      <c r="T68" s="31">
        <v>0.44</v>
      </c>
      <c r="U68" s="31">
        <v>0.18</v>
      </c>
      <c r="V68" s="86">
        <f t="shared" si="21"/>
        <v>36</v>
      </c>
      <c r="W68" s="31">
        <v>3</v>
      </c>
      <c r="X68" s="31"/>
      <c r="Y68" s="31">
        <f t="shared" si="24"/>
        <v>3</v>
      </c>
      <c r="Z68" s="31">
        <f t="shared" si="26"/>
        <v>146.66666666666666</v>
      </c>
      <c r="AA68" s="18">
        <v>0</v>
      </c>
      <c r="AB68" s="18" t="s">
        <v>92</v>
      </c>
      <c r="AC68" s="18" t="s">
        <v>333</v>
      </c>
      <c r="AD68" s="18" t="s">
        <v>334</v>
      </c>
      <c r="AE68" s="18">
        <v>20</v>
      </c>
      <c r="AF68" s="18">
        <v>25</v>
      </c>
      <c r="AG68" s="18" t="s">
        <v>27</v>
      </c>
      <c r="AH68" s="18" t="str">
        <f t="shared" si="25"/>
        <v>R3</v>
      </c>
      <c r="AI68" s="18" t="str">
        <f>+VLOOKUP(AH68,Leyenda!$O$4:$U$10,6,FALSE)</f>
        <v>0,35-0,50</v>
      </c>
      <c r="AJ68" s="18" t="str">
        <f>+VLOOKUP(AH68,Leyenda!$O$4:$U$10,7,FALSE)</f>
        <v>Easy to blast</v>
      </c>
      <c r="AK68" s="18">
        <f>+VLOOKUP(AJ68,Leyenda!$U$4:$V$10,2,FALSE)</f>
        <v>3</v>
      </c>
      <c r="AL68" s="18" t="s">
        <v>27</v>
      </c>
      <c r="AM68" s="18" t="str">
        <f t="shared" ref="AM68:AM131" si="34">+AH68</f>
        <v>R3</v>
      </c>
      <c r="AN68" s="18" t="s">
        <v>64</v>
      </c>
      <c r="AO68" s="18" t="s">
        <v>77</v>
      </c>
      <c r="AP68" s="18" t="s">
        <v>92</v>
      </c>
      <c r="AQ68" s="18" t="s">
        <v>107</v>
      </c>
      <c r="AR68" s="18" t="s">
        <v>118</v>
      </c>
      <c r="AS68" s="18" t="s">
        <v>198</v>
      </c>
      <c r="AT68" s="18"/>
      <c r="AU68" s="18"/>
      <c r="AV68" s="18">
        <f>+VLOOKUP(AN68,Leyenda!$B$30:$E$34,3,FALSE)</f>
        <v>2</v>
      </c>
      <c r="AW68" s="18">
        <f>+VLOOKUP('2. Logging Brejo Seco'!AO68,Meteorizacion,3,FALSE)</f>
        <v>3</v>
      </c>
      <c r="AX68" s="18">
        <f>+VLOOKUP('2. Logging Brejo Seco'!AP68,Apertura,3,FALSE)</f>
        <v>3</v>
      </c>
      <c r="AY68" s="18">
        <f>+VLOOKUP('2. Logging Brejo Seco'!AQ68,Leyenda!$B$55:$D$59,3,FALSE)</f>
        <v>3</v>
      </c>
      <c r="AZ68" s="18">
        <f>+VLOOKUP('2. Logging Brejo Seco'!AR68,Relleno,3,FALSE)</f>
        <v>2</v>
      </c>
      <c r="BA68" s="18">
        <f t="shared" si="23"/>
        <v>13</v>
      </c>
      <c r="BB68" s="49">
        <f t="shared" si="29"/>
        <v>8</v>
      </c>
      <c r="BC68" s="49">
        <f>VLOOKUP(AM68,Leyenda!$B$4:$D$10,3,FALSE)</f>
        <v>4</v>
      </c>
      <c r="BD68" s="50">
        <f t="shared" ref="BD68:BD131" si="35">IF(Z68="",ROUND((IF(Z68&lt;=400,1.5478*POWER(Z68,0.3351),-2*POWER(10,-6)*POWER(Z68,2)+0.0091*Z68+8.1704)),0),ROUND((IF(Z68&lt;=400,1.5478*POWER(Z68,0.3351),-2*POWER(10,-6)*POWER(Z68,2)+0.0091*Z68+8.1704)),0))</f>
        <v>8</v>
      </c>
      <c r="BE68" s="49">
        <f t="shared" ref="BE68:BE131" si="36">+BA68</f>
        <v>13</v>
      </c>
      <c r="BF68" s="49">
        <f>VLOOKUP(AS68,Leyenda!$B$70:$D$75,3,FALSE)</f>
        <v>15</v>
      </c>
      <c r="BG68" s="67">
        <f t="shared" si="30"/>
        <v>37.5</v>
      </c>
      <c r="BH68" s="67">
        <f>VLOOKUP(AM68,Leyenda!$B$4:$E$10,4,FALSE)</f>
        <v>4</v>
      </c>
      <c r="BI68" s="67">
        <f t="shared" ref="BI68:BI131" si="37">IF(Z68="",ROUND(IF(Z68&lt;=50,5,IF(Z68&gt;=3000,30,6.038*LN(Z68)-19.63)),0),ROUND(IF(Z68&lt;=50,5,IF(Z68&gt;=3000,30,6.038*LN(Z68)-19.63)),0))</f>
        <v>10</v>
      </c>
      <c r="BJ68" s="67">
        <f t="shared" si="31"/>
        <v>8</v>
      </c>
      <c r="BK68" s="67">
        <f>+VLOOKUP('2. Logging Brejo Seco'!AP68,Leyenda!$B$47:$E$51,4,FALSE)</f>
        <v>3</v>
      </c>
      <c r="BL68" s="67">
        <f>+VLOOKUP('2. Logging Brejo Seco'!AQ68,Leyenda!$B$55:$E$59,4,FALSE)</f>
        <v>3</v>
      </c>
      <c r="BM68" s="67">
        <f>+VLOOKUP('2. Logging Brejo Seco'!AR68,Leyenda!$B$63:$E$67,3,FALSE)</f>
        <v>2</v>
      </c>
      <c r="BN68" s="67">
        <f>+VLOOKUP('2. Logging Brejo Seco'!AO68,Leyenda!$B$39:$E$43,4,FALSE)</f>
        <v>3</v>
      </c>
      <c r="BO68" s="67">
        <f>+VLOOKUP('2. Logging Brejo Seco'!AN68,Leyenda!$B$30:$E$34,4,FALSE)</f>
        <v>3</v>
      </c>
      <c r="BP68" s="67">
        <f>VLOOKUP(AS68,Leyenda!$B$71:$E$75,4,FALSE)</f>
        <v>10</v>
      </c>
      <c r="BQ68" s="125">
        <f t="shared" ref="BQ68:BQ131" si="38">+BH68+BI68+BJ68+BK68+BL68+BM68+BN68+BO68+BP68</f>
        <v>46</v>
      </c>
      <c r="BR68" s="85">
        <f t="shared" ref="BR68:BR131" si="39">+BC68+BD68+BB68+BE68+BF68</f>
        <v>48</v>
      </c>
      <c r="BS68" s="240">
        <f t="shared" ref="BS68:BS131" si="40">1-N68</f>
        <v>0</v>
      </c>
      <c r="BT68" s="18"/>
    </row>
    <row r="69" spans="1:72" x14ac:dyDescent="0.25">
      <c r="A69" s="18" t="s">
        <v>6</v>
      </c>
      <c r="B69" s="18">
        <v>2024</v>
      </c>
      <c r="C69" s="18" t="s">
        <v>138</v>
      </c>
      <c r="D69" s="18" t="s">
        <v>10</v>
      </c>
      <c r="E69" s="18">
        <v>10</v>
      </c>
      <c r="F69" s="18">
        <v>10</v>
      </c>
      <c r="G69" s="18" t="s">
        <v>135</v>
      </c>
      <c r="H69" s="248">
        <f t="shared" si="20"/>
        <v>10</v>
      </c>
      <c r="I69" s="135"/>
      <c r="J69" s="18" t="s">
        <v>163</v>
      </c>
      <c r="K69" s="31">
        <f t="shared" ref="K69:K112" si="41">+L68</f>
        <v>36.35</v>
      </c>
      <c r="L69" s="31">
        <v>36.85</v>
      </c>
      <c r="M69" s="4">
        <f t="shared" si="32"/>
        <v>0.5</v>
      </c>
      <c r="N69" s="5">
        <v>1</v>
      </c>
      <c r="O69" s="5">
        <f t="shared" si="27"/>
        <v>0</v>
      </c>
      <c r="P69" s="31">
        <f t="shared" si="33"/>
        <v>0.5</v>
      </c>
      <c r="Q69" s="31">
        <f t="shared" si="28"/>
        <v>0.5</v>
      </c>
      <c r="R69" s="31">
        <v>25</v>
      </c>
      <c r="S69" s="31">
        <v>20</v>
      </c>
      <c r="T69" s="31">
        <v>0.49</v>
      </c>
      <c r="U69" s="31">
        <v>0</v>
      </c>
      <c r="V69" s="86">
        <f t="shared" si="21"/>
        <v>0</v>
      </c>
      <c r="W69" s="31">
        <v>15</v>
      </c>
      <c r="X69" s="31"/>
      <c r="Y69" s="31">
        <f t="shared" si="24"/>
        <v>15</v>
      </c>
      <c r="Z69" s="31">
        <f t="shared" si="26"/>
        <v>32.666666666666664</v>
      </c>
      <c r="AA69" s="18">
        <v>46</v>
      </c>
      <c r="AB69" s="18" t="s">
        <v>96</v>
      </c>
      <c r="AC69" s="18" t="s">
        <v>333</v>
      </c>
      <c r="AD69" s="18" t="s">
        <v>336</v>
      </c>
      <c r="AE69" s="18">
        <v>20</v>
      </c>
      <c r="AF69" s="18">
        <v>25</v>
      </c>
      <c r="AG69" s="18" t="s">
        <v>27</v>
      </c>
      <c r="AH69" s="18" t="str">
        <f t="shared" si="25"/>
        <v>R3</v>
      </c>
      <c r="AI69" s="18" t="str">
        <f>+VLOOKUP(AH69,Leyenda!$O$4:$U$10,6,FALSE)</f>
        <v>0,35-0,50</v>
      </c>
      <c r="AJ69" s="18" t="str">
        <f>+VLOOKUP(AH69,Leyenda!$O$4:$U$10,7,FALSE)</f>
        <v>Easy to blast</v>
      </c>
      <c r="AK69" s="18">
        <f>+VLOOKUP(AJ69,Leyenda!$U$4:$V$10,2,FALSE)</f>
        <v>3</v>
      </c>
      <c r="AL69" s="18" t="s">
        <v>27</v>
      </c>
      <c r="AM69" s="18" t="str">
        <f t="shared" si="34"/>
        <v>R3</v>
      </c>
      <c r="AN69" s="18" t="s">
        <v>64</v>
      </c>
      <c r="AO69" s="18" t="s">
        <v>77</v>
      </c>
      <c r="AP69" s="18" t="s">
        <v>92</v>
      </c>
      <c r="AQ69" s="18" t="s">
        <v>107</v>
      </c>
      <c r="AR69" s="18" t="s">
        <v>120</v>
      </c>
      <c r="AS69" s="18" t="s">
        <v>198</v>
      </c>
      <c r="AT69" s="18"/>
      <c r="AU69" s="18"/>
      <c r="AV69" s="18">
        <f>+VLOOKUP(AN69,Leyenda!$B$30:$E$34,3,FALSE)</f>
        <v>2</v>
      </c>
      <c r="AW69" s="18">
        <f>+VLOOKUP('2. Logging Brejo Seco'!AO69,Meteorizacion,3,FALSE)</f>
        <v>3</v>
      </c>
      <c r="AX69" s="18">
        <f>+VLOOKUP('2. Logging Brejo Seco'!AP69,Apertura,3,FALSE)</f>
        <v>3</v>
      </c>
      <c r="AY69" s="18">
        <f>+VLOOKUP('2. Logging Brejo Seco'!AQ69,Leyenda!$B$55:$D$59,3,FALSE)</f>
        <v>3</v>
      </c>
      <c r="AZ69" s="18">
        <f>+VLOOKUP('2. Logging Brejo Seco'!AR69,Relleno,3,FALSE)</f>
        <v>2</v>
      </c>
      <c r="BA69" s="18">
        <f t="shared" si="23"/>
        <v>13</v>
      </c>
      <c r="BB69" s="49">
        <f t="shared" si="29"/>
        <v>0</v>
      </c>
      <c r="BC69" s="49">
        <f>VLOOKUP(AM69,Leyenda!$B$4:$D$10,3,FALSE)</f>
        <v>4</v>
      </c>
      <c r="BD69" s="50">
        <f t="shared" si="35"/>
        <v>5</v>
      </c>
      <c r="BE69" s="49">
        <f t="shared" si="36"/>
        <v>13</v>
      </c>
      <c r="BF69" s="49">
        <f>VLOOKUP(AS69,Leyenda!$B$70:$D$75,3,FALSE)</f>
        <v>15</v>
      </c>
      <c r="BG69" s="67">
        <f t="shared" si="30"/>
        <v>19.5</v>
      </c>
      <c r="BH69" s="67">
        <f>VLOOKUP(AM69,Leyenda!$B$4:$E$10,4,FALSE)</f>
        <v>4</v>
      </c>
      <c r="BI69" s="67">
        <f t="shared" si="37"/>
        <v>5</v>
      </c>
      <c r="BJ69" s="67">
        <f t="shared" si="31"/>
        <v>0</v>
      </c>
      <c r="BK69" s="67">
        <f>+VLOOKUP('2. Logging Brejo Seco'!AP69,Leyenda!$B$47:$E$51,4,FALSE)</f>
        <v>3</v>
      </c>
      <c r="BL69" s="67">
        <f>+VLOOKUP('2. Logging Brejo Seco'!AQ69,Leyenda!$B$55:$E$59,4,FALSE)</f>
        <v>3</v>
      </c>
      <c r="BM69" s="67">
        <f>+VLOOKUP('2. Logging Brejo Seco'!AR69,Leyenda!$B$63:$E$67,3,FALSE)</f>
        <v>2</v>
      </c>
      <c r="BN69" s="67">
        <f>+VLOOKUP('2. Logging Brejo Seco'!AO69,Leyenda!$B$39:$E$43,4,FALSE)</f>
        <v>3</v>
      </c>
      <c r="BO69" s="67">
        <f>+VLOOKUP('2. Logging Brejo Seco'!AN69,Leyenda!$B$30:$E$34,4,FALSE)</f>
        <v>3</v>
      </c>
      <c r="BP69" s="67">
        <f>VLOOKUP(AS69,Leyenda!$B$71:$E$75,4,FALSE)</f>
        <v>10</v>
      </c>
      <c r="BQ69" s="125">
        <f t="shared" si="38"/>
        <v>33</v>
      </c>
      <c r="BR69" s="85">
        <f t="shared" si="39"/>
        <v>37</v>
      </c>
      <c r="BS69" s="240">
        <f t="shared" si="40"/>
        <v>0</v>
      </c>
      <c r="BT69" s="18"/>
    </row>
    <row r="70" spans="1:72" x14ac:dyDescent="0.25">
      <c r="A70" s="18" t="s">
        <v>6</v>
      </c>
      <c r="B70" s="18">
        <v>2024</v>
      </c>
      <c r="C70" s="18" t="s">
        <v>138</v>
      </c>
      <c r="D70" s="18" t="s">
        <v>10</v>
      </c>
      <c r="E70" s="18">
        <v>10</v>
      </c>
      <c r="F70" s="18">
        <v>10</v>
      </c>
      <c r="G70" s="18" t="s">
        <v>135</v>
      </c>
      <c r="H70" s="248">
        <f t="shared" si="20"/>
        <v>10</v>
      </c>
      <c r="I70" s="135"/>
      <c r="J70" s="18" t="s">
        <v>163</v>
      </c>
      <c r="K70" s="31">
        <f t="shared" si="41"/>
        <v>36.85</v>
      </c>
      <c r="L70" s="31">
        <v>37.549999999999997</v>
      </c>
      <c r="M70" s="4">
        <f t="shared" si="32"/>
        <v>0.69999999999999574</v>
      </c>
      <c r="N70" s="5">
        <v>1</v>
      </c>
      <c r="O70" s="5">
        <f t="shared" si="27"/>
        <v>0</v>
      </c>
      <c r="P70" s="31">
        <f t="shared" si="33"/>
        <v>0.69999999999999574</v>
      </c>
      <c r="Q70" s="31">
        <f t="shared" si="28"/>
        <v>0.69999999999999574</v>
      </c>
      <c r="R70" s="31">
        <v>69.999999999999574</v>
      </c>
      <c r="S70" s="31">
        <v>10</v>
      </c>
      <c r="T70" s="31">
        <v>0.62</v>
      </c>
      <c r="U70" s="31">
        <v>0.23</v>
      </c>
      <c r="V70" s="86">
        <f t="shared" si="21"/>
        <v>32.85714285714306</v>
      </c>
      <c r="W70" s="31">
        <v>5</v>
      </c>
      <c r="X70" s="31"/>
      <c r="Y70" s="31">
        <f t="shared" si="24"/>
        <v>5</v>
      </c>
      <c r="Z70" s="31">
        <f t="shared" si="26"/>
        <v>124</v>
      </c>
      <c r="AA70" s="18">
        <v>52</v>
      </c>
      <c r="AB70" s="18" t="s">
        <v>96</v>
      </c>
      <c r="AC70" s="18" t="s">
        <v>120</v>
      </c>
      <c r="AD70" s="18" t="s">
        <v>337</v>
      </c>
      <c r="AE70" s="18">
        <v>10</v>
      </c>
      <c r="AF70" s="18">
        <v>69.999999999999574</v>
      </c>
      <c r="AG70" s="18" t="s">
        <v>27</v>
      </c>
      <c r="AH70" s="18" t="str">
        <f t="shared" si="25"/>
        <v>R3</v>
      </c>
      <c r="AI70" s="18" t="str">
        <f>+VLOOKUP(AH70,Leyenda!$O$4:$U$10,6,FALSE)</f>
        <v>0,35-0,50</v>
      </c>
      <c r="AJ70" s="18" t="str">
        <f>+VLOOKUP(AH70,Leyenda!$O$4:$U$10,7,FALSE)</f>
        <v>Easy to blast</v>
      </c>
      <c r="AK70" s="18">
        <f>+VLOOKUP(AJ70,Leyenda!$U$4:$V$10,2,FALSE)</f>
        <v>3</v>
      </c>
      <c r="AL70" s="18" t="s">
        <v>27</v>
      </c>
      <c r="AM70" s="18" t="str">
        <f t="shared" si="34"/>
        <v>R3</v>
      </c>
      <c r="AN70" s="18" t="s">
        <v>64</v>
      </c>
      <c r="AO70" s="18" t="s">
        <v>77</v>
      </c>
      <c r="AP70" s="18" t="s">
        <v>92</v>
      </c>
      <c r="AQ70" s="18" t="s">
        <v>107</v>
      </c>
      <c r="AR70" s="18" t="s">
        <v>118</v>
      </c>
      <c r="AS70" s="18" t="s">
        <v>198</v>
      </c>
      <c r="AT70" s="18"/>
      <c r="AU70" s="18"/>
      <c r="AV70" s="18">
        <f>+VLOOKUP(AN70,Leyenda!$B$30:$E$34,3,FALSE)</f>
        <v>2</v>
      </c>
      <c r="AW70" s="18">
        <f>+VLOOKUP('2. Logging Brejo Seco'!AO70,Meteorizacion,3,FALSE)</f>
        <v>3</v>
      </c>
      <c r="AX70" s="18">
        <f>+VLOOKUP('2. Logging Brejo Seco'!AP70,Apertura,3,FALSE)</f>
        <v>3</v>
      </c>
      <c r="AY70" s="18">
        <f>+VLOOKUP('2. Logging Brejo Seco'!AQ70,Leyenda!$B$55:$D$59,3,FALSE)</f>
        <v>3</v>
      </c>
      <c r="AZ70" s="18">
        <f>+VLOOKUP('2. Logging Brejo Seco'!AR70,Relleno,3,FALSE)</f>
        <v>2</v>
      </c>
      <c r="BA70" s="18">
        <f t="shared" si="23"/>
        <v>13</v>
      </c>
      <c r="BB70" s="49">
        <f t="shared" si="29"/>
        <v>7</v>
      </c>
      <c r="BC70" s="49">
        <f>VLOOKUP(AM70,Leyenda!$B$4:$D$10,3,FALSE)</f>
        <v>4</v>
      </c>
      <c r="BD70" s="50">
        <f t="shared" si="35"/>
        <v>8</v>
      </c>
      <c r="BE70" s="49">
        <f t="shared" si="36"/>
        <v>13</v>
      </c>
      <c r="BF70" s="49">
        <f>VLOOKUP(AS70,Leyenda!$B$70:$D$75,3,FALSE)</f>
        <v>15</v>
      </c>
      <c r="BG70" s="67">
        <f t="shared" si="30"/>
        <v>35.92857142857153</v>
      </c>
      <c r="BH70" s="67">
        <f>VLOOKUP(AM70,Leyenda!$B$4:$E$10,4,FALSE)</f>
        <v>4</v>
      </c>
      <c r="BI70" s="67">
        <f t="shared" si="37"/>
        <v>9</v>
      </c>
      <c r="BJ70" s="67">
        <f t="shared" si="31"/>
        <v>7</v>
      </c>
      <c r="BK70" s="67">
        <f>+VLOOKUP('2. Logging Brejo Seco'!AP70,Leyenda!$B$47:$E$51,4,FALSE)</f>
        <v>3</v>
      </c>
      <c r="BL70" s="67">
        <f>+VLOOKUP('2. Logging Brejo Seco'!AQ70,Leyenda!$B$55:$E$59,4,FALSE)</f>
        <v>3</v>
      </c>
      <c r="BM70" s="67">
        <f>+VLOOKUP('2. Logging Brejo Seco'!AR70,Leyenda!$B$63:$E$67,3,FALSE)</f>
        <v>2</v>
      </c>
      <c r="BN70" s="67">
        <f>+VLOOKUP('2. Logging Brejo Seco'!AO70,Leyenda!$B$39:$E$43,4,FALSE)</f>
        <v>3</v>
      </c>
      <c r="BO70" s="67">
        <f>+VLOOKUP('2. Logging Brejo Seco'!AN70,Leyenda!$B$30:$E$34,4,FALSE)</f>
        <v>3</v>
      </c>
      <c r="BP70" s="67">
        <f>VLOOKUP(AS70,Leyenda!$B$71:$E$75,4,FALSE)</f>
        <v>10</v>
      </c>
      <c r="BQ70" s="125">
        <f t="shared" si="38"/>
        <v>44</v>
      </c>
      <c r="BR70" s="85">
        <f t="shared" si="39"/>
        <v>47</v>
      </c>
      <c r="BS70" s="240">
        <f t="shared" si="40"/>
        <v>0</v>
      </c>
      <c r="BT70" s="18"/>
    </row>
    <row r="71" spans="1:72" x14ac:dyDescent="0.25">
      <c r="A71" s="18" t="s">
        <v>6</v>
      </c>
      <c r="B71" s="18">
        <v>2024</v>
      </c>
      <c r="C71" s="18" t="s">
        <v>138</v>
      </c>
      <c r="D71" s="18" t="s">
        <v>10</v>
      </c>
      <c r="E71" s="18">
        <v>10</v>
      </c>
      <c r="F71" s="18">
        <v>10</v>
      </c>
      <c r="G71" s="18" t="s">
        <v>135</v>
      </c>
      <c r="H71" s="248">
        <f t="shared" si="20"/>
        <v>10</v>
      </c>
      <c r="I71" s="135"/>
      <c r="J71" s="18" t="s">
        <v>163</v>
      </c>
      <c r="K71" s="31">
        <f t="shared" si="41"/>
        <v>37.549999999999997</v>
      </c>
      <c r="L71" s="31">
        <v>38.15</v>
      </c>
      <c r="M71" s="4">
        <f t="shared" si="32"/>
        <v>0.60000000000000142</v>
      </c>
      <c r="N71" s="5">
        <v>1</v>
      </c>
      <c r="O71" s="5">
        <f t="shared" si="27"/>
        <v>0</v>
      </c>
      <c r="P71" s="31">
        <f t="shared" si="33"/>
        <v>0.60000000000000142</v>
      </c>
      <c r="Q71" s="31">
        <f t="shared" si="28"/>
        <v>0.60000000000000142</v>
      </c>
      <c r="R71" s="31">
        <v>30.000000000000068</v>
      </c>
      <c r="S71" s="31">
        <v>20</v>
      </c>
      <c r="T71" s="31">
        <v>0.49</v>
      </c>
      <c r="U71" s="31">
        <v>0.3</v>
      </c>
      <c r="V71" s="86">
        <f t="shared" si="21"/>
        <v>49.999999999999879</v>
      </c>
      <c r="W71" s="31">
        <v>5</v>
      </c>
      <c r="X71" s="31"/>
      <c r="Y71" s="31">
        <f t="shared" si="24"/>
        <v>5</v>
      </c>
      <c r="Z71" s="31">
        <f t="shared" si="26"/>
        <v>98</v>
      </c>
      <c r="AA71" s="18">
        <v>0</v>
      </c>
      <c r="AB71" s="18" t="s">
        <v>96</v>
      </c>
      <c r="AC71" s="18" t="s">
        <v>333</v>
      </c>
      <c r="AD71" s="18" t="s">
        <v>337</v>
      </c>
      <c r="AE71" s="18">
        <v>20</v>
      </c>
      <c r="AF71" s="18">
        <v>30.000000000000068</v>
      </c>
      <c r="AG71" s="18" t="s">
        <v>27</v>
      </c>
      <c r="AH71" s="18" t="str">
        <f t="shared" si="25"/>
        <v>R3</v>
      </c>
      <c r="AI71" s="18" t="str">
        <f>+VLOOKUP(AH71,Leyenda!$O$4:$U$10,6,FALSE)</f>
        <v>0,35-0,50</v>
      </c>
      <c r="AJ71" s="18" t="str">
        <f>+VLOOKUP(AH71,Leyenda!$O$4:$U$10,7,FALSE)</f>
        <v>Easy to blast</v>
      </c>
      <c r="AK71" s="18">
        <f>+VLOOKUP(AJ71,Leyenda!$U$4:$V$10,2,FALSE)</f>
        <v>3</v>
      </c>
      <c r="AL71" s="18" t="s">
        <v>27</v>
      </c>
      <c r="AM71" s="18" t="str">
        <f t="shared" si="34"/>
        <v>R3</v>
      </c>
      <c r="AN71" s="18" t="s">
        <v>64</v>
      </c>
      <c r="AO71" s="18" t="s">
        <v>77</v>
      </c>
      <c r="AP71" s="18" t="s">
        <v>92</v>
      </c>
      <c r="AQ71" s="18" t="s">
        <v>107</v>
      </c>
      <c r="AR71" s="18" t="s">
        <v>120</v>
      </c>
      <c r="AS71" s="18" t="s">
        <v>198</v>
      </c>
      <c r="AT71" s="18"/>
      <c r="AU71" s="18"/>
      <c r="AV71" s="18">
        <f>+VLOOKUP(AN71,Leyenda!$B$30:$E$34,3,FALSE)</f>
        <v>2</v>
      </c>
      <c r="AW71" s="18">
        <f>+VLOOKUP('2. Logging Brejo Seco'!AO71,Meteorizacion,3,FALSE)</f>
        <v>3</v>
      </c>
      <c r="AX71" s="18">
        <f>+VLOOKUP('2. Logging Brejo Seco'!AP71,Apertura,3,FALSE)</f>
        <v>3</v>
      </c>
      <c r="AY71" s="18">
        <f>+VLOOKUP('2. Logging Brejo Seco'!AQ71,Leyenda!$B$55:$D$59,3,FALSE)</f>
        <v>3</v>
      </c>
      <c r="AZ71" s="18">
        <f>+VLOOKUP('2. Logging Brejo Seco'!AR71,Relleno,3,FALSE)</f>
        <v>2</v>
      </c>
      <c r="BA71" s="18">
        <f t="shared" si="23"/>
        <v>13</v>
      </c>
      <c r="BB71" s="49">
        <f t="shared" si="29"/>
        <v>10</v>
      </c>
      <c r="BC71" s="49">
        <f>VLOOKUP(AM71,Leyenda!$B$4:$D$10,3,FALSE)</f>
        <v>4</v>
      </c>
      <c r="BD71" s="50">
        <f t="shared" si="35"/>
        <v>7</v>
      </c>
      <c r="BE71" s="49">
        <f t="shared" si="36"/>
        <v>13</v>
      </c>
      <c r="BF71" s="49">
        <f>VLOOKUP(AS71,Leyenda!$B$70:$D$75,3,FALSE)</f>
        <v>15</v>
      </c>
      <c r="BG71" s="67">
        <f t="shared" si="30"/>
        <v>44.499999999999943</v>
      </c>
      <c r="BH71" s="67">
        <f>VLOOKUP(AM71,Leyenda!$B$4:$E$10,4,FALSE)</f>
        <v>4</v>
      </c>
      <c r="BI71" s="67">
        <f t="shared" si="37"/>
        <v>8</v>
      </c>
      <c r="BJ71" s="67">
        <f t="shared" si="31"/>
        <v>10</v>
      </c>
      <c r="BK71" s="67">
        <f>+VLOOKUP('2. Logging Brejo Seco'!AP71,Leyenda!$B$47:$E$51,4,FALSE)</f>
        <v>3</v>
      </c>
      <c r="BL71" s="67">
        <f>+VLOOKUP('2. Logging Brejo Seco'!AQ71,Leyenda!$B$55:$E$59,4,FALSE)</f>
        <v>3</v>
      </c>
      <c r="BM71" s="67">
        <f>+VLOOKUP('2. Logging Brejo Seco'!AR71,Leyenda!$B$63:$E$67,3,FALSE)</f>
        <v>2</v>
      </c>
      <c r="BN71" s="67">
        <f>+VLOOKUP('2. Logging Brejo Seco'!AO71,Leyenda!$B$39:$E$43,4,FALSE)</f>
        <v>3</v>
      </c>
      <c r="BO71" s="67">
        <f>+VLOOKUP('2. Logging Brejo Seco'!AN71,Leyenda!$B$30:$E$34,4,FALSE)</f>
        <v>3</v>
      </c>
      <c r="BP71" s="67">
        <f>VLOOKUP(AS71,Leyenda!$B$71:$E$75,4,FALSE)</f>
        <v>10</v>
      </c>
      <c r="BQ71" s="125">
        <f t="shared" si="38"/>
        <v>46</v>
      </c>
      <c r="BR71" s="85">
        <f t="shared" si="39"/>
        <v>49</v>
      </c>
      <c r="BS71" s="240">
        <f t="shared" si="40"/>
        <v>0</v>
      </c>
      <c r="BT71" s="18"/>
    </row>
    <row r="72" spans="1:72" x14ac:dyDescent="0.25">
      <c r="A72" s="18" t="s">
        <v>6</v>
      </c>
      <c r="B72" s="18">
        <v>2024</v>
      </c>
      <c r="C72" s="18" t="s">
        <v>138</v>
      </c>
      <c r="D72" s="18" t="s">
        <v>10</v>
      </c>
      <c r="E72" s="18">
        <v>10</v>
      </c>
      <c r="F72" s="18">
        <v>10</v>
      </c>
      <c r="G72" s="18" t="s">
        <v>135</v>
      </c>
      <c r="H72" s="248">
        <f t="shared" si="20"/>
        <v>10</v>
      </c>
      <c r="I72" s="135"/>
      <c r="J72" s="18" t="s">
        <v>163</v>
      </c>
      <c r="K72" s="31">
        <f t="shared" si="41"/>
        <v>38.15</v>
      </c>
      <c r="L72" s="31">
        <v>38.65</v>
      </c>
      <c r="M72" s="4">
        <f t="shared" si="32"/>
        <v>0.5</v>
      </c>
      <c r="N72" s="5">
        <v>1</v>
      </c>
      <c r="O72" s="5">
        <f t="shared" si="27"/>
        <v>0</v>
      </c>
      <c r="P72" s="31">
        <f t="shared" si="33"/>
        <v>0.5</v>
      </c>
      <c r="Q72" s="31">
        <f t="shared" si="28"/>
        <v>0.5</v>
      </c>
      <c r="R72" s="31">
        <v>25</v>
      </c>
      <c r="S72" s="31">
        <v>20</v>
      </c>
      <c r="T72" s="31">
        <v>0.48</v>
      </c>
      <c r="U72" s="31">
        <v>0.11</v>
      </c>
      <c r="V72" s="86">
        <f t="shared" si="21"/>
        <v>22</v>
      </c>
      <c r="W72" s="31">
        <v>4</v>
      </c>
      <c r="X72" s="31"/>
      <c r="Y72" s="31">
        <f t="shared" si="24"/>
        <v>4</v>
      </c>
      <c r="Z72" s="31">
        <f t="shared" si="26"/>
        <v>120</v>
      </c>
      <c r="AA72" s="18">
        <v>0</v>
      </c>
      <c r="AB72" s="18" t="s">
        <v>100</v>
      </c>
      <c r="AC72" s="18" t="s">
        <v>333</v>
      </c>
      <c r="AD72" s="18" t="s">
        <v>337</v>
      </c>
      <c r="AE72" s="18">
        <v>20</v>
      </c>
      <c r="AF72" s="18">
        <v>25</v>
      </c>
      <c r="AG72" s="18" t="s">
        <v>27</v>
      </c>
      <c r="AH72" s="18" t="str">
        <f t="shared" si="25"/>
        <v>R3</v>
      </c>
      <c r="AI72" s="18" t="str">
        <f>+VLOOKUP(AH72,Leyenda!$O$4:$U$10,6,FALSE)</f>
        <v>0,35-0,50</v>
      </c>
      <c r="AJ72" s="18" t="str">
        <f>+VLOOKUP(AH72,Leyenda!$O$4:$U$10,7,FALSE)</f>
        <v>Easy to blast</v>
      </c>
      <c r="AK72" s="18">
        <f>+VLOOKUP(AJ72,Leyenda!$U$4:$V$10,2,FALSE)</f>
        <v>3</v>
      </c>
      <c r="AL72" s="18" t="s">
        <v>27</v>
      </c>
      <c r="AM72" s="18" t="str">
        <f t="shared" si="34"/>
        <v>R3</v>
      </c>
      <c r="AN72" s="18" t="s">
        <v>64</v>
      </c>
      <c r="AO72" s="18" t="s">
        <v>77</v>
      </c>
      <c r="AP72" s="18" t="s">
        <v>92</v>
      </c>
      <c r="AQ72" s="18" t="s">
        <v>107</v>
      </c>
      <c r="AR72" s="18" t="s">
        <v>120</v>
      </c>
      <c r="AS72" s="18" t="s">
        <v>198</v>
      </c>
      <c r="AT72" s="18"/>
      <c r="AU72" s="18"/>
      <c r="AV72" s="18">
        <f>+VLOOKUP(AN72,Leyenda!$B$30:$E$34,3,FALSE)</f>
        <v>2</v>
      </c>
      <c r="AW72" s="18">
        <f>+VLOOKUP('2. Logging Brejo Seco'!AO72,Meteorizacion,3,FALSE)</f>
        <v>3</v>
      </c>
      <c r="AX72" s="18">
        <f>+VLOOKUP('2. Logging Brejo Seco'!AP72,Apertura,3,FALSE)</f>
        <v>3</v>
      </c>
      <c r="AY72" s="18">
        <f>+VLOOKUP('2. Logging Brejo Seco'!AQ72,Leyenda!$B$55:$D$59,3,FALSE)</f>
        <v>3</v>
      </c>
      <c r="AZ72" s="18">
        <f>+VLOOKUP('2. Logging Brejo Seco'!AR72,Relleno,3,FALSE)</f>
        <v>2</v>
      </c>
      <c r="BA72" s="18">
        <f t="shared" si="23"/>
        <v>13</v>
      </c>
      <c r="BB72" s="49">
        <f t="shared" si="29"/>
        <v>5</v>
      </c>
      <c r="BC72" s="49">
        <f>VLOOKUP(AM72,Leyenda!$B$4:$D$10,3,FALSE)</f>
        <v>4</v>
      </c>
      <c r="BD72" s="50">
        <f t="shared" si="35"/>
        <v>8</v>
      </c>
      <c r="BE72" s="49">
        <f t="shared" si="36"/>
        <v>13</v>
      </c>
      <c r="BF72" s="49">
        <f>VLOOKUP(AS72,Leyenda!$B$70:$D$75,3,FALSE)</f>
        <v>15</v>
      </c>
      <c r="BG72" s="67">
        <f t="shared" si="30"/>
        <v>30.5</v>
      </c>
      <c r="BH72" s="67">
        <f>VLOOKUP(AM72,Leyenda!$B$4:$E$10,4,FALSE)</f>
        <v>4</v>
      </c>
      <c r="BI72" s="67">
        <f t="shared" si="37"/>
        <v>9</v>
      </c>
      <c r="BJ72" s="67">
        <f t="shared" si="31"/>
        <v>5</v>
      </c>
      <c r="BK72" s="67">
        <f>+VLOOKUP('2. Logging Brejo Seco'!AP72,Leyenda!$B$47:$E$51,4,FALSE)</f>
        <v>3</v>
      </c>
      <c r="BL72" s="67">
        <f>+VLOOKUP('2. Logging Brejo Seco'!AQ72,Leyenda!$B$55:$E$59,4,FALSE)</f>
        <v>3</v>
      </c>
      <c r="BM72" s="67">
        <f>+VLOOKUP('2. Logging Brejo Seco'!AR72,Leyenda!$B$63:$E$67,3,FALSE)</f>
        <v>2</v>
      </c>
      <c r="BN72" s="67">
        <f>+VLOOKUP('2. Logging Brejo Seco'!AO72,Leyenda!$B$39:$E$43,4,FALSE)</f>
        <v>3</v>
      </c>
      <c r="BO72" s="67">
        <f>+VLOOKUP('2. Logging Brejo Seco'!AN72,Leyenda!$B$30:$E$34,4,FALSE)</f>
        <v>3</v>
      </c>
      <c r="BP72" s="67">
        <f>VLOOKUP(AS72,Leyenda!$B$71:$E$75,4,FALSE)</f>
        <v>10</v>
      </c>
      <c r="BQ72" s="125">
        <f t="shared" si="38"/>
        <v>42</v>
      </c>
      <c r="BR72" s="85">
        <f t="shared" si="39"/>
        <v>45</v>
      </c>
      <c r="BS72" s="240">
        <f t="shared" si="40"/>
        <v>0</v>
      </c>
      <c r="BT72" s="18"/>
    </row>
    <row r="73" spans="1:72" x14ac:dyDescent="0.25">
      <c r="A73" s="18" t="s">
        <v>6</v>
      </c>
      <c r="B73" s="18">
        <v>2024</v>
      </c>
      <c r="C73" s="18" t="s">
        <v>138</v>
      </c>
      <c r="D73" s="18" t="s">
        <v>10</v>
      </c>
      <c r="E73" s="18">
        <v>10</v>
      </c>
      <c r="F73" s="18">
        <v>10</v>
      </c>
      <c r="G73" s="18" t="s">
        <v>135</v>
      </c>
      <c r="H73" s="248">
        <f t="shared" si="20"/>
        <v>10</v>
      </c>
      <c r="I73" s="135"/>
      <c r="J73" s="18" t="s">
        <v>163</v>
      </c>
      <c r="K73" s="31">
        <f t="shared" si="41"/>
        <v>38.65</v>
      </c>
      <c r="L73" s="31">
        <v>39.15</v>
      </c>
      <c r="M73" s="4">
        <f t="shared" si="32"/>
        <v>0.5</v>
      </c>
      <c r="N73" s="5">
        <v>1</v>
      </c>
      <c r="O73" s="5">
        <f t="shared" si="27"/>
        <v>0</v>
      </c>
      <c r="P73" s="31">
        <f t="shared" si="33"/>
        <v>0.5</v>
      </c>
      <c r="Q73" s="31">
        <f t="shared" si="28"/>
        <v>0.5</v>
      </c>
      <c r="R73" s="31">
        <v>500</v>
      </c>
      <c r="S73" s="31">
        <v>1</v>
      </c>
      <c r="T73" s="31">
        <v>0.49</v>
      </c>
      <c r="U73" s="31">
        <v>0</v>
      </c>
      <c r="V73" s="86">
        <f t="shared" si="21"/>
        <v>0</v>
      </c>
      <c r="W73" s="31">
        <v>15</v>
      </c>
      <c r="X73" s="31"/>
      <c r="Y73" s="31">
        <f t="shared" si="24"/>
        <v>15</v>
      </c>
      <c r="Z73" s="31">
        <f t="shared" si="26"/>
        <v>32.666666666666664</v>
      </c>
      <c r="AA73" s="18">
        <v>54</v>
      </c>
      <c r="AB73" s="18" t="s">
        <v>96</v>
      </c>
      <c r="AC73" s="18" t="s">
        <v>116</v>
      </c>
      <c r="AD73" s="18" t="s">
        <v>337</v>
      </c>
      <c r="AE73" s="18">
        <v>1</v>
      </c>
      <c r="AF73" s="18">
        <v>500</v>
      </c>
      <c r="AG73" s="18" t="s">
        <v>29</v>
      </c>
      <c r="AH73" s="18" t="str">
        <f t="shared" si="25"/>
        <v>R2</v>
      </c>
      <c r="AI73" s="18" t="str">
        <f>+VLOOKUP(AH73,Leyenda!$O$4:$U$10,6,FALSE)</f>
        <v>0,25-0,35</v>
      </c>
      <c r="AJ73" s="18" t="str">
        <f>+VLOOKUP(AH73,Leyenda!$O$4:$U$10,7,FALSE)</f>
        <v>No Blasting need</v>
      </c>
      <c r="AK73" s="18">
        <f>+VLOOKUP(AJ73,Leyenda!$U$4:$V$10,2,FALSE)</f>
        <v>2</v>
      </c>
      <c r="AL73" s="18" t="s">
        <v>34</v>
      </c>
      <c r="AM73" s="18" t="str">
        <f t="shared" si="34"/>
        <v>R2</v>
      </c>
      <c r="AN73" s="18" t="s">
        <v>69</v>
      </c>
      <c r="AO73" s="18" t="s">
        <v>79</v>
      </c>
      <c r="AP73" s="18" t="s">
        <v>100</v>
      </c>
      <c r="AQ73" s="18" t="s">
        <v>109</v>
      </c>
      <c r="AR73" s="18" t="s">
        <v>122</v>
      </c>
      <c r="AS73" s="18" t="s">
        <v>198</v>
      </c>
      <c r="AT73" s="18"/>
      <c r="AU73" s="18"/>
      <c r="AV73" s="18">
        <f>+VLOOKUP(AN73,Leyenda!$B$30:$E$34,3,FALSE)</f>
        <v>0</v>
      </c>
      <c r="AW73" s="18">
        <f>+VLOOKUP('2. Logging Brejo Seco'!AO73,Meteorizacion,3,FALSE)</f>
        <v>1</v>
      </c>
      <c r="AX73" s="18">
        <f>+VLOOKUP('2. Logging Brejo Seco'!AP73,Apertura,3,FALSE)</f>
        <v>0</v>
      </c>
      <c r="AY73" s="18">
        <f>+VLOOKUP('2. Logging Brejo Seco'!AQ73,Leyenda!$B$55:$D$59,3,FALSE)</f>
        <v>1</v>
      </c>
      <c r="AZ73" s="18">
        <f>+VLOOKUP('2. Logging Brejo Seco'!AR73,Relleno,3,FALSE)</f>
        <v>0</v>
      </c>
      <c r="BA73" s="18">
        <f t="shared" si="23"/>
        <v>2</v>
      </c>
      <c r="BB73" s="49">
        <f t="shared" si="29"/>
        <v>0</v>
      </c>
      <c r="BC73" s="49">
        <f>VLOOKUP(AM73,Leyenda!$B$4:$D$10,3,FALSE)</f>
        <v>2</v>
      </c>
      <c r="BD73" s="50">
        <f t="shared" si="35"/>
        <v>5</v>
      </c>
      <c r="BE73" s="49">
        <f t="shared" si="36"/>
        <v>2</v>
      </c>
      <c r="BF73" s="49">
        <f>VLOOKUP(AS73,Leyenda!$B$70:$D$75,3,FALSE)</f>
        <v>15</v>
      </c>
      <c r="BG73" s="67">
        <f t="shared" si="30"/>
        <v>3</v>
      </c>
      <c r="BH73" s="67">
        <f>VLOOKUP(AM73,Leyenda!$B$4:$E$10,4,FALSE)</f>
        <v>2</v>
      </c>
      <c r="BI73" s="67">
        <f t="shared" si="37"/>
        <v>5</v>
      </c>
      <c r="BJ73" s="67">
        <f t="shared" si="31"/>
        <v>0</v>
      </c>
      <c r="BK73" s="67">
        <f>+VLOOKUP('2. Logging Brejo Seco'!AP73,Leyenda!$B$47:$E$51,4,FALSE)</f>
        <v>0</v>
      </c>
      <c r="BL73" s="67">
        <f>+VLOOKUP('2. Logging Brejo Seco'!AQ73,Leyenda!$B$55:$E$59,4,FALSE)</f>
        <v>1</v>
      </c>
      <c r="BM73" s="67">
        <f>+VLOOKUP('2. Logging Brejo Seco'!AR73,Leyenda!$B$63:$E$67,3,FALSE)</f>
        <v>0</v>
      </c>
      <c r="BN73" s="67">
        <f>+VLOOKUP('2. Logging Brejo Seco'!AO73,Leyenda!$B$39:$E$43,4,FALSE)</f>
        <v>1</v>
      </c>
      <c r="BO73" s="67">
        <f>+VLOOKUP('2. Logging Brejo Seco'!AN73,Leyenda!$B$30:$E$34,4,FALSE)</f>
        <v>0</v>
      </c>
      <c r="BP73" s="67">
        <f>VLOOKUP(AS73,Leyenda!$B$71:$E$75,4,FALSE)</f>
        <v>10</v>
      </c>
      <c r="BQ73" s="125">
        <f t="shared" si="38"/>
        <v>19</v>
      </c>
      <c r="BR73" s="85">
        <f t="shared" si="39"/>
        <v>24</v>
      </c>
      <c r="BS73" s="240">
        <f t="shared" si="40"/>
        <v>0</v>
      </c>
      <c r="BT73" s="18"/>
    </row>
    <row r="74" spans="1:72" x14ac:dyDescent="0.25">
      <c r="A74" s="18" t="s">
        <v>6</v>
      </c>
      <c r="B74" s="18">
        <v>2024</v>
      </c>
      <c r="C74" s="18" t="s">
        <v>138</v>
      </c>
      <c r="D74" s="18" t="s">
        <v>10</v>
      </c>
      <c r="E74" s="18">
        <v>10</v>
      </c>
      <c r="F74" s="18">
        <v>10</v>
      </c>
      <c r="G74" s="18" t="s">
        <v>135</v>
      </c>
      <c r="H74" s="248">
        <f t="shared" ref="H74:H137" si="42">+F74</f>
        <v>10</v>
      </c>
      <c r="I74" s="135"/>
      <c r="J74" s="18" t="s">
        <v>163</v>
      </c>
      <c r="K74" s="31">
        <f t="shared" si="41"/>
        <v>39.15</v>
      </c>
      <c r="L74" s="31">
        <v>39.75</v>
      </c>
      <c r="M74" s="4">
        <f t="shared" si="32"/>
        <v>0.60000000000000142</v>
      </c>
      <c r="N74" s="5">
        <v>0.81</v>
      </c>
      <c r="O74" s="5">
        <f t="shared" si="27"/>
        <v>0.18999999999999995</v>
      </c>
      <c r="P74" s="31">
        <f t="shared" si="33"/>
        <v>0.48600000000000121</v>
      </c>
      <c r="Q74" s="31">
        <f t="shared" si="28"/>
        <v>0.48600000000000121</v>
      </c>
      <c r="R74" s="31">
        <v>48.600000000000122</v>
      </c>
      <c r="S74" s="31">
        <v>10</v>
      </c>
      <c r="T74" s="31">
        <v>0.45</v>
      </c>
      <c r="U74" s="31">
        <v>0.24</v>
      </c>
      <c r="V74" s="86">
        <f t="shared" ref="V74:V137" si="43">+U74/M74*100</f>
        <v>39.999999999999901</v>
      </c>
      <c r="W74" s="31">
        <v>3</v>
      </c>
      <c r="X74" s="31"/>
      <c r="Y74" s="31">
        <f t="shared" ref="Y74:Y139" si="44">+W74+X74</f>
        <v>3</v>
      </c>
      <c r="Z74" s="31">
        <f t="shared" si="26"/>
        <v>150</v>
      </c>
      <c r="AA74" s="18">
        <v>33</v>
      </c>
      <c r="AB74" s="18" t="s">
        <v>96</v>
      </c>
      <c r="AC74" s="18" t="s">
        <v>120</v>
      </c>
      <c r="AD74" s="18" t="s">
        <v>337</v>
      </c>
      <c r="AE74" s="18">
        <v>10</v>
      </c>
      <c r="AF74" s="18">
        <v>48.600000000000122</v>
      </c>
      <c r="AG74" s="18" t="s">
        <v>27</v>
      </c>
      <c r="AH74" s="18" t="str">
        <f t="shared" si="25"/>
        <v>R3</v>
      </c>
      <c r="AI74" s="18" t="str">
        <f>+VLOOKUP(AH74,Leyenda!$O$4:$U$10,6,FALSE)</f>
        <v>0,35-0,50</v>
      </c>
      <c r="AJ74" s="18" t="str">
        <f>+VLOOKUP(AH74,Leyenda!$O$4:$U$10,7,FALSE)</f>
        <v>Easy to blast</v>
      </c>
      <c r="AK74" s="18">
        <f>+VLOOKUP(AJ74,Leyenda!$U$4:$V$10,2,FALSE)</f>
        <v>3</v>
      </c>
      <c r="AL74" s="18" t="s">
        <v>27</v>
      </c>
      <c r="AM74" s="18" t="str">
        <f t="shared" si="34"/>
        <v>R3</v>
      </c>
      <c r="AN74" s="18" t="s">
        <v>64</v>
      </c>
      <c r="AO74" s="18" t="s">
        <v>79</v>
      </c>
      <c r="AP74" s="18" t="s">
        <v>96</v>
      </c>
      <c r="AQ74" s="18" t="s">
        <v>107</v>
      </c>
      <c r="AR74" s="18" t="s">
        <v>118</v>
      </c>
      <c r="AS74" s="18" t="s">
        <v>198</v>
      </c>
      <c r="AT74" s="18" t="s">
        <v>219</v>
      </c>
      <c r="AU74" s="18"/>
      <c r="AV74" s="18">
        <f>+VLOOKUP(AN74,Leyenda!$B$30:$E$34,3,FALSE)</f>
        <v>2</v>
      </c>
      <c r="AW74" s="18">
        <f>+VLOOKUP('2. Logging Brejo Seco'!AO74,Meteorizacion,3,FALSE)</f>
        <v>1</v>
      </c>
      <c r="AX74" s="18">
        <f>+VLOOKUP('2. Logging Brejo Seco'!AP74,Apertura,3,FALSE)</f>
        <v>1</v>
      </c>
      <c r="AY74" s="18">
        <f>+VLOOKUP('2. Logging Brejo Seco'!AQ74,Leyenda!$B$55:$D$59,3,FALSE)</f>
        <v>3</v>
      </c>
      <c r="AZ74" s="18">
        <f>+VLOOKUP('2. Logging Brejo Seco'!AR74,Relleno,3,FALSE)</f>
        <v>2</v>
      </c>
      <c r="BA74" s="18">
        <f t="shared" ref="BA74:BA137" si="45">+SUM(AV74:AZ74)</f>
        <v>9</v>
      </c>
      <c r="BB74" s="49">
        <f t="shared" si="29"/>
        <v>8</v>
      </c>
      <c r="BC74" s="49">
        <f>VLOOKUP(AM74,Leyenda!$B$4:$D$10,3,FALSE)</f>
        <v>4</v>
      </c>
      <c r="BD74" s="50">
        <f t="shared" si="35"/>
        <v>8</v>
      </c>
      <c r="BE74" s="49">
        <f t="shared" si="36"/>
        <v>9</v>
      </c>
      <c r="BF74" s="49">
        <f>VLOOKUP(AS74,Leyenda!$B$70:$D$75,3,FALSE)</f>
        <v>15</v>
      </c>
      <c r="BG74" s="67">
        <f t="shared" si="30"/>
        <v>33.49999999999995</v>
      </c>
      <c r="BH74" s="67">
        <f>VLOOKUP(AM74,Leyenda!$B$4:$E$10,4,FALSE)</f>
        <v>4</v>
      </c>
      <c r="BI74" s="67">
        <f t="shared" si="37"/>
        <v>11</v>
      </c>
      <c r="BJ74" s="67">
        <f t="shared" si="31"/>
        <v>8</v>
      </c>
      <c r="BK74" s="67">
        <f>+VLOOKUP('2. Logging Brejo Seco'!AP74,Leyenda!$B$47:$E$51,4,FALSE)</f>
        <v>1</v>
      </c>
      <c r="BL74" s="67">
        <f>+VLOOKUP('2. Logging Brejo Seco'!AQ74,Leyenda!$B$55:$E$59,4,FALSE)</f>
        <v>3</v>
      </c>
      <c r="BM74" s="67">
        <f>+VLOOKUP('2. Logging Brejo Seco'!AR74,Leyenda!$B$63:$E$67,3,FALSE)</f>
        <v>2</v>
      </c>
      <c r="BN74" s="67">
        <f>+VLOOKUP('2. Logging Brejo Seco'!AO74,Leyenda!$B$39:$E$43,4,FALSE)</f>
        <v>1</v>
      </c>
      <c r="BO74" s="67">
        <f>+VLOOKUP('2. Logging Brejo Seco'!AN74,Leyenda!$B$30:$E$34,4,FALSE)</f>
        <v>3</v>
      </c>
      <c r="BP74" s="67">
        <f>VLOOKUP(AS74,Leyenda!$B$71:$E$75,4,FALSE)</f>
        <v>10</v>
      </c>
      <c r="BQ74" s="125">
        <f t="shared" si="38"/>
        <v>43</v>
      </c>
      <c r="BR74" s="85">
        <f t="shared" si="39"/>
        <v>44</v>
      </c>
      <c r="BS74" s="240">
        <f t="shared" si="40"/>
        <v>0.18999999999999995</v>
      </c>
      <c r="BT74" s="18"/>
    </row>
    <row r="75" spans="1:72" x14ac:dyDescent="0.25">
      <c r="A75" s="18" t="s">
        <v>6</v>
      </c>
      <c r="B75" s="18">
        <v>2024</v>
      </c>
      <c r="C75" s="18" t="s">
        <v>138</v>
      </c>
      <c r="D75" s="18" t="s">
        <v>10</v>
      </c>
      <c r="E75" s="18">
        <v>10</v>
      </c>
      <c r="F75" s="18">
        <v>10</v>
      </c>
      <c r="G75" s="18" t="s">
        <v>135</v>
      </c>
      <c r="H75" s="248">
        <f t="shared" si="42"/>
        <v>10</v>
      </c>
      <c r="I75" s="135"/>
      <c r="J75" s="18" t="s">
        <v>163</v>
      </c>
      <c r="K75" s="31">
        <f t="shared" si="41"/>
        <v>39.75</v>
      </c>
      <c r="L75" s="31">
        <v>40</v>
      </c>
      <c r="M75" s="4">
        <f t="shared" si="32"/>
        <v>0.25</v>
      </c>
      <c r="N75" s="5">
        <v>0.91</v>
      </c>
      <c r="O75" s="5">
        <f t="shared" si="27"/>
        <v>8.9999999999999969E-2</v>
      </c>
      <c r="P75" s="31">
        <f t="shared" si="33"/>
        <v>0.22750000000000001</v>
      </c>
      <c r="Q75" s="31">
        <f t="shared" si="28"/>
        <v>0.22750000000000001</v>
      </c>
      <c r="R75" s="31">
        <v>22.75</v>
      </c>
      <c r="S75" s="31">
        <v>10</v>
      </c>
      <c r="T75" s="31">
        <v>0.38</v>
      </c>
      <c r="U75" s="31">
        <v>0.14000000000000001</v>
      </c>
      <c r="V75" s="86">
        <f t="shared" si="43"/>
        <v>56.000000000000007</v>
      </c>
      <c r="W75" s="31">
        <v>3</v>
      </c>
      <c r="X75" s="31"/>
      <c r="Y75" s="31">
        <f t="shared" si="44"/>
        <v>3</v>
      </c>
      <c r="Z75" s="31">
        <f t="shared" si="26"/>
        <v>126.66666666666667</v>
      </c>
      <c r="AA75" s="18">
        <v>52</v>
      </c>
      <c r="AB75" s="18" t="s">
        <v>96</v>
      </c>
      <c r="AC75" s="18" t="s">
        <v>120</v>
      </c>
      <c r="AD75" s="18" t="s">
        <v>337</v>
      </c>
      <c r="AE75" s="18">
        <v>10</v>
      </c>
      <c r="AF75" s="18">
        <v>22.75</v>
      </c>
      <c r="AG75" s="18" t="s">
        <v>27</v>
      </c>
      <c r="AH75" s="18" t="str">
        <f t="shared" si="25"/>
        <v>R3</v>
      </c>
      <c r="AI75" s="18" t="str">
        <f>+VLOOKUP(AH75,Leyenda!$O$4:$U$10,6,FALSE)</f>
        <v>0,35-0,50</v>
      </c>
      <c r="AJ75" s="18" t="str">
        <f>+VLOOKUP(AH75,Leyenda!$O$4:$U$10,7,FALSE)</f>
        <v>Easy to blast</v>
      </c>
      <c r="AK75" s="18">
        <f>+VLOOKUP(AJ75,Leyenda!$U$4:$V$10,2,FALSE)</f>
        <v>3</v>
      </c>
      <c r="AL75" s="18" t="s">
        <v>27</v>
      </c>
      <c r="AM75" s="18" t="str">
        <f t="shared" si="34"/>
        <v>R3</v>
      </c>
      <c r="AN75" s="18" t="s">
        <v>64</v>
      </c>
      <c r="AO75" s="18" t="s">
        <v>77</v>
      </c>
      <c r="AP75" s="18" t="s">
        <v>92</v>
      </c>
      <c r="AQ75" s="18" t="s">
        <v>107</v>
      </c>
      <c r="AR75" s="18" t="s">
        <v>118</v>
      </c>
      <c r="AS75" s="18" t="s">
        <v>198</v>
      </c>
      <c r="AT75" s="18" t="s">
        <v>218</v>
      </c>
      <c r="AU75" s="18"/>
      <c r="AV75" s="18">
        <f>+VLOOKUP(AN75,Leyenda!$B$30:$E$34,3,FALSE)</f>
        <v>2</v>
      </c>
      <c r="AW75" s="18">
        <f>+VLOOKUP('2. Logging Brejo Seco'!AO75,Meteorizacion,3,FALSE)</f>
        <v>3</v>
      </c>
      <c r="AX75" s="18">
        <f>+VLOOKUP('2. Logging Brejo Seco'!AP75,Apertura,3,FALSE)</f>
        <v>3</v>
      </c>
      <c r="AY75" s="18">
        <f>+VLOOKUP('2. Logging Brejo Seco'!AQ75,Leyenda!$B$55:$D$59,3,FALSE)</f>
        <v>3</v>
      </c>
      <c r="AZ75" s="18">
        <f>+VLOOKUP('2. Logging Brejo Seco'!AR75,Relleno,3,FALSE)</f>
        <v>2</v>
      </c>
      <c r="BA75" s="18">
        <f t="shared" si="45"/>
        <v>13</v>
      </c>
      <c r="BB75" s="49">
        <f t="shared" si="29"/>
        <v>12</v>
      </c>
      <c r="BC75" s="49">
        <f>VLOOKUP(AM75,Leyenda!$B$4:$D$10,3,FALSE)</f>
        <v>4</v>
      </c>
      <c r="BD75" s="50">
        <f t="shared" si="35"/>
        <v>8</v>
      </c>
      <c r="BE75" s="49">
        <f t="shared" si="36"/>
        <v>13</v>
      </c>
      <c r="BF75" s="49">
        <f>VLOOKUP(AS75,Leyenda!$B$70:$D$75,3,FALSE)</f>
        <v>15</v>
      </c>
      <c r="BG75" s="67">
        <f t="shared" si="30"/>
        <v>47.5</v>
      </c>
      <c r="BH75" s="67">
        <f>VLOOKUP(AM75,Leyenda!$B$4:$E$10,4,FALSE)</f>
        <v>4</v>
      </c>
      <c r="BI75" s="67">
        <f t="shared" si="37"/>
        <v>10</v>
      </c>
      <c r="BJ75" s="67">
        <f t="shared" si="31"/>
        <v>12</v>
      </c>
      <c r="BK75" s="67">
        <f>+VLOOKUP('2. Logging Brejo Seco'!AP75,Leyenda!$B$47:$E$51,4,FALSE)</f>
        <v>3</v>
      </c>
      <c r="BL75" s="67">
        <f>+VLOOKUP('2. Logging Brejo Seco'!AQ75,Leyenda!$B$55:$E$59,4,FALSE)</f>
        <v>3</v>
      </c>
      <c r="BM75" s="67">
        <f>+VLOOKUP('2. Logging Brejo Seco'!AR75,Leyenda!$B$63:$E$67,3,FALSE)</f>
        <v>2</v>
      </c>
      <c r="BN75" s="67">
        <f>+VLOOKUP('2. Logging Brejo Seco'!AO75,Leyenda!$B$39:$E$43,4,FALSE)</f>
        <v>3</v>
      </c>
      <c r="BO75" s="67">
        <f>+VLOOKUP('2. Logging Brejo Seco'!AN75,Leyenda!$B$30:$E$34,4,FALSE)</f>
        <v>3</v>
      </c>
      <c r="BP75" s="67">
        <f>VLOOKUP(AS75,Leyenda!$B$71:$E$75,4,FALSE)</f>
        <v>10</v>
      </c>
      <c r="BQ75" s="125">
        <f t="shared" si="38"/>
        <v>50</v>
      </c>
      <c r="BR75" s="85">
        <f t="shared" si="39"/>
        <v>52</v>
      </c>
      <c r="BS75" s="240">
        <f t="shared" si="40"/>
        <v>8.9999999999999969E-2</v>
      </c>
      <c r="BT75" s="18"/>
    </row>
    <row r="76" spans="1:72" x14ac:dyDescent="0.25">
      <c r="A76" s="18" t="s">
        <v>6</v>
      </c>
      <c r="B76" s="18">
        <v>2024</v>
      </c>
      <c r="C76" s="18" t="s">
        <v>138</v>
      </c>
      <c r="D76" s="18" t="s">
        <v>10</v>
      </c>
      <c r="E76" s="18">
        <v>10</v>
      </c>
      <c r="F76" s="18">
        <v>10</v>
      </c>
      <c r="G76" s="18" t="s">
        <v>135</v>
      </c>
      <c r="H76" s="248">
        <f t="shared" si="42"/>
        <v>10</v>
      </c>
      <c r="I76" s="135"/>
      <c r="J76" s="18" t="s">
        <v>163</v>
      </c>
      <c r="K76" s="31">
        <f t="shared" si="41"/>
        <v>40</v>
      </c>
      <c r="L76" s="31">
        <v>40.450000000000003</v>
      </c>
      <c r="M76" s="4">
        <f t="shared" si="32"/>
        <v>0.45000000000000284</v>
      </c>
      <c r="N76" s="5">
        <v>0.91</v>
      </c>
      <c r="O76" s="5">
        <f t="shared" si="27"/>
        <v>8.9999999999999969E-2</v>
      </c>
      <c r="P76" s="31">
        <f t="shared" si="33"/>
        <v>0.40950000000000258</v>
      </c>
      <c r="Q76" s="31">
        <f t="shared" si="28"/>
        <v>0.40950000000000258</v>
      </c>
      <c r="R76" s="31">
        <v>40.950000000000259</v>
      </c>
      <c r="S76" s="31">
        <v>10</v>
      </c>
      <c r="T76" s="31">
        <v>0.23</v>
      </c>
      <c r="U76" s="31">
        <v>0</v>
      </c>
      <c r="V76" s="86">
        <f t="shared" si="43"/>
        <v>0</v>
      </c>
      <c r="W76" s="31">
        <v>5</v>
      </c>
      <c r="X76" s="31"/>
      <c r="Y76" s="31">
        <f t="shared" si="44"/>
        <v>5</v>
      </c>
      <c r="Z76" s="31">
        <f t="shared" si="26"/>
        <v>46</v>
      </c>
      <c r="AA76" s="18">
        <v>52</v>
      </c>
      <c r="AB76" s="18" t="s">
        <v>96</v>
      </c>
      <c r="AC76" s="18" t="s">
        <v>120</v>
      </c>
      <c r="AD76" s="18" t="s">
        <v>337</v>
      </c>
      <c r="AE76" s="18">
        <v>10</v>
      </c>
      <c r="AF76" s="18">
        <v>40.950000000000259</v>
      </c>
      <c r="AG76" s="18" t="s">
        <v>27</v>
      </c>
      <c r="AH76" s="18" t="str">
        <f t="shared" si="25"/>
        <v>R3</v>
      </c>
      <c r="AI76" s="18" t="str">
        <f>+VLOOKUP(AH76,Leyenda!$O$4:$U$10,6,FALSE)</f>
        <v>0,35-0,50</v>
      </c>
      <c r="AJ76" s="18" t="str">
        <f>+VLOOKUP(AH76,Leyenda!$O$4:$U$10,7,FALSE)</f>
        <v>Easy to blast</v>
      </c>
      <c r="AK76" s="18">
        <f>+VLOOKUP(AJ76,Leyenda!$U$4:$V$10,2,FALSE)</f>
        <v>3</v>
      </c>
      <c r="AL76" s="18" t="s">
        <v>27</v>
      </c>
      <c r="AM76" s="18" t="str">
        <f t="shared" si="34"/>
        <v>R3</v>
      </c>
      <c r="AN76" s="18" t="s">
        <v>64</v>
      </c>
      <c r="AO76" s="18" t="s">
        <v>77</v>
      </c>
      <c r="AP76" s="18" t="s">
        <v>92</v>
      </c>
      <c r="AQ76" s="18" t="s">
        <v>107</v>
      </c>
      <c r="AR76" s="18" t="s">
        <v>116</v>
      </c>
      <c r="AS76" s="18" t="s">
        <v>198</v>
      </c>
      <c r="AT76" s="18"/>
      <c r="AU76" s="18"/>
      <c r="AV76" s="18">
        <f>+VLOOKUP(AN76,Leyenda!$B$30:$E$34,3,FALSE)</f>
        <v>2</v>
      </c>
      <c r="AW76" s="18">
        <f>+VLOOKUP('2. Logging Brejo Seco'!AO76,Meteorizacion,3,FALSE)</f>
        <v>3</v>
      </c>
      <c r="AX76" s="18">
        <f>+VLOOKUP('2. Logging Brejo Seco'!AP76,Apertura,3,FALSE)</f>
        <v>3</v>
      </c>
      <c r="AY76" s="18">
        <f>+VLOOKUP('2. Logging Brejo Seco'!AQ76,Leyenda!$B$55:$D$59,3,FALSE)</f>
        <v>3</v>
      </c>
      <c r="AZ76" s="18">
        <f>+VLOOKUP('2. Logging Brejo Seco'!AR76,Relleno,3,FALSE)</f>
        <v>4</v>
      </c>
      <c r="BA76" s="18">
        <f t="shared" si="45"/>
        <v>15</v>
      </c>
      <c r="BB76" s="49">
        <f t="shared" si="29"/>
        <v>0</v>
      </c>
      <c r="BC76" s="49">
        <f>VLOOKUP(AM76,Leyenda!$B$4:$D$10,3,FALSE)</f>
        <v>4</v>
      </c>
      <c r="BD76" s="50">
        <f t="shared" si="35"/>
        <v>6</v>
      </c>
      <c r="BE76" s="49">
        <f t="shared" si="36"/>
        <v>15</v>
      </c>
      <c r="BF76" s="49">
        <f>VLOOKUP(AS76,Leyenda!$B$70:$D$75,3,FALSE)</f>
        <v>15</v>
      </c>
      <c r="BG76" s="67">
        <f t="shared" si="30"/>
        <v>22.5</v>
      </c>
      <c r="BH76" s="67">
        <f>VLOOKUP(AM76,Leyenda!$B$4:$E$10,4,FALSE)</f>
        <v>4</v>
      </c>
      <c r="BI76" s="67">
        <f t="shared" si="37"/>
        <v>5</v>
      </c>
      <c r="BJ76" s="67">
        <f t="shared" si="31"/>
        <v>0</v>
      </c>
      <c r="BK76" s="67">
        <f>+VLOOKUP('2. Logging Brejo Seco'!AP76,Leyenda!$B$47:$E$51,4,FALSE)</f>
        <v>3</v>
      </c>
      <c r="BL76" s="67">
        <f>+VLOOKUP('2. Logging Brejo Seco'!AQ76,Leyenda!$B$55:$E$59,4,FALSE)</f>
        <v>3</v>
      </c>
      <c r="BM76" s="67">
        <f>+VLOOKUP('2. Logging Brejo Seco'!AR76,Leyenda!$B$63:$E$67,3,FALSE)</f>
        <v>4</v>
      </c>
      <c r="BN76" s="67">
        <f>+VLOOKUP('2. Logging Brejo Seco'!AO76,Leyenda!$B$39:$E$43,4,FALSE)</f>
        <v>3</v>
      </c>
      <c r="BO76" s="67">
        <f>+VLOOKUP('2. Logging Brejo Seco'!AN76,Leyenda!$B$30:$E$34,4,FALSE)</f>
        <v>3</v>
      </c>
      <c r="BP76" s="67">
        <f>VLOOKUP(AS76,Leyenda!$B$71:$E$75,4,FALSE)</f>
        <v>10</v>
      </c>
      <c r="BQ76" s="125">
        <f t="shared" si="38"/>
        <v>35</v>
      </c>
      <c r="BR76" s="85">
        <f t="shared" si="39"/>
        <v>40</v>
      </c>
      <c r="BS76" s="240">
        <f t="shared" si="40"/>
        <v>8.9999999999999969E-2</v>
      </c>
      <c r="BT76" s="18"/>
    </row>
    <row r="77" spans="1:72" x14ac:dyDescent="0.25">
      <c r="A77" s="18" t="s">
        <v>6</v>
      </c>
      <c r="B77" s="18">
        <v>2024</v>
      </c>
      <c r="C77" s="18" t="s">
        <v>138</v>
      </c>
      <c r="D77" s="18" t="s">
        <v>10</v>
      </c>
      <c r="E77" s="18">
        <v>10</v>
      </c>
      <c r="F77" s="18">
        <v>10</v>
      </c>
      <c r="G77" s="18" t="s">
        <v>135</v>
      </c>
      <c r="H77" s="248">
        <f t="shared" si="42"/>
        <v>10</v>
      </c>
      <c r="I77" s="135"/>
      <c r="J77" s="18" t="s">
        <v>163</v>
      </c>
      <c r="K77" s="31">
        <f t="shared" si="41"/>
        <v>40.450000000000003</v>
      </c>
      <c r="L77" s="31">
        <v>41.25</v>
      </c>
      <c r="M77" s="4">
        <f t="shared" si="32"/>
        <v>0.79999999999999716</v>
      </c>
      <c r="N77" s="5">
        <v>1</v>
      </c>
      <c r="O77" s="5">
        <f t="shared" si="27"/>
        <v>0</v>
      </c>
      <c r="P77" s="31">
        <f t="shared" si="33"/>
        <v>0.79999999999999716</v>
      </c>
      <c r="Q77" s="31">
        <f t="shared" si="28"/>
        <v>0.79999999999999716</v>
      </c>
      <c r="R77" s="31">
        <v>159.99999999999943</v>
      </c>
      <c r="S77" s="31">
        <v>5</v>
      </c>
      <c r="T77" s="31">
        <v>0.76</v>
      </c>
      <c r="U77" s="31">
        <v>0.38</v>
      </c>
      <c r="V77" s="86">
        <f t="shared" si="43"/>
        <v>47.500000000000171</v>
      </c>
      <c r="W77" s="31">
        <v>6</v>
      </c>
      <c r="X77" s="31"/>
      <c r="Y77" s="31">
        <f t="shared" si="44"/>
        <v>6</v>
      </c>
      <c r="Z77" s="31">
        <f t="shared" si="26"/>
        <v>126.66666666666667</v>
      </c>
      <c r="AA77" s="18">
        <v>20</v>
      </c>
      <c r="AB77" s="18" t="s">
        <v>96</v>
      </c>
      <c r="AC77" s="18" t="s">
        <v>118</v>
      </c>
      <c r="AD77" s="18" t="s">
        <v>337</v>
      </c>
      <c r="AE77" s="18">
        <v>5</v>
      </c>
      <c r="AF77" s="18">
        <v>159.99999999999943</v>
      </c>
      <c r="AG77" s="18" t="s">
        <v>27</v>
      </c>
      <c r="AH77" s="18" t="str">
        <f t="shared" si="25"/>
        <v>R3</v>
      </c>
      <c r="AI77" s="18" t="str">
        <f>+VLOOKUP(AH77,Leyenda!$O$4:$U$10,6,FALSE)</f>
        <v>0,35-0,50</v>
      </c>
      <c r="AJ77" s="18" t="str">
        <f>+VLOOKUP(AH77,Leyenda!$O$4:$U$10,7,FALSE)</f>
        <v>Easy to blast</v>
      </c>
      <c r="AK77" s="18">
        <f>+VLOOKUP(AJ77,Leyenda!$U$4:$V$10,2,FALSE)</f>
        <v>3</v>
      </c>
      <c r="AL77" s="18" t="s">
        <v>27</v>
      </c>
      <c r="AM77" s="18" t="str">
        <f t="shared" si="34"/>
        <v>R3</v>
      </c>
      <c r="AN77" s="18" t="s">
        <v>64</v>
      </c>
      <c r="AO77" s="18" t="s">
        <v>79</v>
      </c>
      <c r="AP77" s="18" t="s">
        <v>92</v>
      </c>
      <c r="AQ77" s="18" t="s">
        <v>109</v>
      </c>
      <c r="AR77" s="18" t="s">
        <v>120</v>
      </c>
      <c r="AS77" s="18" t="s">
        <v>198</v>
      </c>
      <c r="AT77" s="18" t="s">
        <v>219</v>
      </c>
      <c r="AU77" s="18"/>
      <c r="AV77" s="18">
        <f>+VLOOKUP(AN77,Leyenda!$B$30:$E$34,3,FALSE)</f>
        <v>2</v>
      </c>
      <c r="AW77" s="18">
        <f>+VLOOKUP('2. Logging Brejo Seco'!AO77,Meteorizacion,3,FALSE)</f>
        <v>1</v>
      </c>
      <c r="AX77" s="18">
        <f>+VLOOKUP('2. Logging Brejo Seco'!AP77,Apertura,3,FALSE)</f>
        <v>3</v>
      </c>
      <c r="AY77" s="18">
        <f>+VLOOKUP('2. Logging Brejo Seco'!AQ77,Leyenda!$B$55:$D$59,3,FALSE)</f>
        <v>1</v>
      </c>
      <c r="AZ77" s="18">
        <f>+VLOOKUP('2. Logging Brejo Seco'!AR77,Relleno,3,FALSE)</f>
        <v>2</v>
      </c>
      <c r="BA77" s="18">
        <f t="shared" si="45"/>
        <v>9</v>
      </c>
      <c r="BB77" s="49">
        <f t="shared" si="29"/>
        <v>10</v>
      </c>
      <c r="BC77" s="49">
        <f>VLOOKUP(AM77,Leyenda!$B$4:$D$10,3,FALSE)</f>
        <v>4</v>
      </c>
      <c r="BD77" s="50">
        <f t="shared" si="35"/>
        <v>8</v>
      </c>
      <c r="BE77" s="49">
        <f t="shared" si="36"/>
        <v>9</v>
      </c>
      <c r="BF77" s="49">
        <f>VLOOKUP(AS77,Leyenda!$B$70:$D$75,3,FALSE)</f>
        <v>15</v>
      </c>
      <c r="BG77" s="67">
        <f t="shared" si="30"/>
        <v>37.250000000000085</v>
      </c>
      <c r="BH77" s="67">
        <f>VLOOKUP(AM77,Leyenda!$B$4:$E$10,4,FALSE)</f>
        <v>4</v>
      </c>
      <c r="BI77" s="67">
        <f t="shared" si="37"/>
        <v>10</v>
      </c>
      <c r="BJ77" s="67">
        <f t="shared" si="31"/>
        <v>10</v>
      </c>
      <c r="BK77" s="67">
        <f>+VLOOKUP('2. Logging Brejo Seco'!AP77,Leyenda!$B$47:$E$51,4,FALSE)</f>
        <v>3</v>
      </c>
      <c r="BL77" s="67">
        <f>+VLOOKUP('2. Logging Brejo Seco'!AQ77,Leyenda!$B$55:$E$59,4,FALSE)</f>
        <v>1</v>
      </c>
      <c r="BM77" s="67">
        <f>+VLOOKUP('2. Logging Brejo Seco'!AR77,Leyenda!$B$63:$E$67,3,FALSE)</f>
        <v>2</v>
      </c>
      <c r="BN77" s="67">
        <f>+VLOOKUP('2. Logging Brejo Seco'!AO77,Leyenda!$B$39:$E$43,4,FALSE)</f>
        <v>1</v>
      </c>
      <c r="BO77" s="67">
        <f>+VLOOKUP('2. Logging Brejo Seco'!AN77,Leyenda!$B$30:$E$34,4,FALSE)</f>
        <v>3</v>
      </c>
      <c r="BP77" s="67">
        <f>VLOOKUP(AS77,Leyenda!$B$71:$E$75,4,FALSE)</f>
        <v>10</v>
      </c>
      <c r="BQ77" s="125">
        <f t="shared" si="38"/>
        <v>44</v>
      </c>
      <c r="BR77" s="85">
        <f t="shared" si="39"/>
        <v>46</v>
      </c>
      <c r="BS77" s="240">
        <f t="shared" si="40"/>
        <v>0</v>
      </c>
      <c r="BT77" s="18"/>
    </row>
    <row r="78" spans="1:72" x14ac:dyDescent="0.25">
      <c r="A78" s="18" t="s">
        <v>6</v>
      </c>
      <c r="B78" s="18">
        <v>2024</v>
      </c>
      <c r="C78" s="18" t="s">
        <v>138</v>
      </c>
      <c r="D78" s="18" t="s">
        <v>10</v>
      </c>
      <c r="E78" s="18">
        <v>10</v>
      </c>
      <c r="F78" s="18">
        <v>10</v>
      </c>
      <c r="G78" s="18" t="s">
        <v>135</v>
      </c>
      <c r="H78" s="248">
        <f t="shared" si="42"/>
        <v>10</v>
      </c>
      <c r="I78" s="135"/>
      <c r="J78" s="18" t="s">
        <v>163</v>
      </c>
      <c r="K78" s="31">
        <f t="shared" si="41"/>
        <v>41.25</v>
      </c>
      <c r="L78" s="31">
        <v>41.85</v>
      </c>
      <c r="M78" s="4">
        <f t="shared" si="32"/>
        <v>0.60000000000000142</v>
      </c>
      <c r="N78" s="5">
        <v>1</v>
      </c>
      <c r="O78" s="5">
        <f t="shared" si="27"/>
        <v>0</v>
      </c>
      <c r="P78" s="31">
        <f t="shared" si="33"/>
        <v>0.60000000000000142</v>
      </c>
      <c r="Q78" s="31">
        <f t="shared" si="28"/>
        <v>0.60000000000000142</v>
      </c>
      <c r="R78" s="31">
        <v>600.00000000000136</v>
      </c>
      <c r="S78" s="31">
        <v>1</v>
      </c>
      <c r="T78" s="31">
        <v>0.47</v>
      </c>
      <c r="U78" s="31">
        <v>0.19</v>
      </c>
      <c r="V78" s="86">
        <f t="shared" si="43"/>
        <v>31.666666666666593</v>
      </c>
      <c r="W78" s="31">
        <v>3</v>
      </c>
      <c r="X78" s="31"/>
      <c r="Y78" s="31">
        <f t="shared" si="44"/>
        <v>3</v>
      </c>
      <c r="Z78" s="31">
        <f t="shared" si="26"/>
        <v>156.66666666666666</v>
      </c>
      <c r="AA78" s="18">
        <v>32</v>
      </c>
      <c r="AB78" s="18" t="s">
        <v>96</v>
      </c>
      <c r="AC78" s="18" t="s">
        <v>116</v>
      </c>
      <c r="AD78" s="18" t="s">
        <v>337</v>
      </c>
      <c r="AE78" s="18">
        <v>1</v>
      </c>
      <c r="AF78" s="18">
        <v>600.00000000000136</v>
      </c>
      <c r="AG78" s="18" t="s">
        <v>29</v>
      </c>
      <c r="AH78" s="18" t="str">
        <f t="shared" si="25"/>
        <v>R2</v>
      </c>
      <c r="AI78" s="18" t="str">
        <f>+VLOOKUP(AH78,Leyenda!$O$4:$U$10,6,FALSE)</f>
        <v>0,25-0,35</v>
      </c>
      <c r="AJ78" s="18" t="str">
        <f>+VLOOKUP(AH78,Leyenda!$O$4:$U$10,7,FALSE)</f>
        <v>No Blasting need</v>
      </c>
      <c r="AK78" s="18">
        <f>+VLOOKUP(AJ78,Leyenda!$U$4:$V$10,2,FALSE)</f>
        <v>2</v>
      </c>
      <c r="AL78" s="18" t="s">
        <v>29</v>
      </c>
      <c r="AM78" s="18" t="str">
        <f t="shared" si="34"/>
        <v>R2</v>
      </c>
      <c r="AN78" s="18" t="s">
        <v>64</v>
      </c>
      <c r="AO78" s="18" t="s">
        <v>77</v>
      </c>
      <c r="AP78" s="18" t="s">
        <v>92</v>
      </c>
      <c r="AQ78" s="18" t="s">
        <v>107</v>
      </c>
      <c r="AR78" s="18" t="s">
        <v>118</v>
      </c>
      <c r="AS78" s="18" t="s">
        <v>198</v>
      </c>
      <c r="AT78" s="18"/>
      <c r="AU78" s="18"/>
      <c r="AV78" s="18">
        <f>+VLOOKUP(AN78,Leyenda!$B$30:$E$34,3,FALSE)</f>
        <v>2</v>
      </c>
      <c r="AW78" s="18">
        <f>+VLOOKUP('2. Logging Brejo Seco'!AO78,Meteorizacion,3,FALSE)</f>
        <v>3</v>
      </c>
      <c r="AX78" s="18">
        <f>+VLOOKUP('2. Logging Brejo Seco'!AP78,Apertura,3,FALSE)</f>
        <v>3</v>
      </c>
      <c r="AY78" s="18">
        <f>+VLOOKUP('2. Logging Brejo Seco'!AQ78,Leyenda!$B$55:$D$59,3,FALSE)</f>
        <v>3</v>
      </c>
      <c r="AZ78" s="18">
        <f>+VLOOKUP('2. Logging Brejo Seco'!AR78,Relleno,3,FALSE)</f>
        <v>2</v>
      </c>
      <c r="BA78" s="18">
        <f t="shared" si="45"/>
        <v>13</v>
      </c>
      <c r="BB78" s="49">
        <f t="shared" si="29"/>
        <v>7</v>
      </c>
      <c r="BC78" s="49">
        <f>VLOOKUP(AM78,Leyenda!$B$4:$D$10,3,FALSE)</f>
        <v>2</v>
      </c>
      <c r="BD78" s="50">
        <f t="shared" si="35"/>
        <v>8</v>
      </c>
      <c r="BE78" s="49">
        <f t="shared" si="36"/>
        <v>13</v>
      </c>
      <c r="BF78" s="49">
        <f>VLOOKUP(AS78,Leyenda!$B$70:$D$75,3,FALSE)</f>
        <v>15</v>
      </c>
      <c r="BG78" s="67">
        <f t="shared" si="30"/>
        <v>35.3333333333333</v>
      </c>
      <c r="BH78" s="67">
        <f>VLOOKUP(AM78,Leyenda!$B$4:$E$10,4,FALSE)</f>
        <v>2</v>
      </c>
      <c r="BI78" s="67">
        <f t="shared" si="37"/>
        <v>11</v>
      </c>
      <c r="BJ78" s="67">
        <f t="shared" si="31"/>
        <v>7</v>
      </c>
      <c r="BK78" s="67">
        <f>+VLOOKUP('2. Logging Brejo Seco'!AP78,Leyenda!$B$47:$E$51,4,FALSE)</f>
        <v>3</v>
      </c>
      <c r="BL78" s="67">
        <f>+VLOOKUP('2. Logging Brejo Seco'!AQ78,Leyenda!$B$55:$E$59,4,FALSE)</f>
        <v>3</v>
      </c>
      <c r="BM78" s="67">
        <f>+VLOOKUP('2. Logging Brejo Seco'!AR78,Leyenda!$B$63:$E$67,3,FALSE)</f>
        <v>2</v>
      </c>
      <c r="BN78" s="67">
        <f>+VLOOKUP('2. Logging Brejo Seco'!AO78,Leyenda!$B$39:$E$43,4,FALSE)</f>
        <v>3</v>
      </c>
      <c r="BO78" s="67">
        <f>+VLOOKUP('2. Logging Brejo Seco'!AN78,Leyenda!$B$30:$E$34,4,FALSE)</f>
        <v>3</v>
      </c>
      <c r="BP78" s="67">
        <f>VLOOKUP(AS78,Leyenda!$B$71:$E$75,4,FALSE)</f>
        <v>10</v>
      </c>
      <c r="BQ78" s="125">
        <f t="shared" si="38"/>
        <v>44</v>
      </c>
      <c r="BR78" s="85">
        <f t="shared" si="39"/>
        <v>45</v>
      </c>
      <c r="BS78" s="240">
        <f t="shared" si="40"/>
        <v>0</v>
      </c>
      <c r="BT78" s="18"/>
    </row>
    <row r="79" spans="1:72" x14ac:dyDescent="0.25">
      <c r="A79" s="18" t="s">
        <v>6</v>
      </c>
      <c r="B79" s="18">
        <v>2024</v>
      </c>
      <c r="C79" s="18" t="s">
        <v>138</v>
      </c>
      <c r="D79" s="18" t="s">
        <v>10</v>
      </c>
      <c r="E79" s="18">
        <v>10</v>
      </c>
      <c r="F79" s="18">
        <v>10</v>
      </c>
      <c r="G79" s="18" t="s">
        <v>135</v>
      </c>
      <c r="H79" s="248">
        <f t="shared" si="42"/>
        <v>10</v>
      </c>
      <c r="I79" s="135"/>
      <c r="J79" s="18" t="s">
        <v>163</v>
      </c>
      <c r="K79" s="31">
        <f t="shared" si="41"/>
        <v>41.85</v>
      </c>
      <c r="L79" s="31">
        <v>42.35</v>
      </c>
      <c r="M79" s="4">
        <f t="shared" si="32"/>
        <v>0.5</v>
      </c>
      <c r="N79" s="5">
        <v>1</v>
      </c>
      <c r="O79" s="5">
        <f t="shared" si="27"/>
        <v>0</v>
      </c>
      <c r="P79" s="31">
        <f t="shared" si="33"/>
        <v>0.5</v>
      </c>
      <c r="Q79" s="31">
        <f t="shared" si="28"/>
        <v>0.5</v>
      </c>
      <c r="R79" s="31">
        <v>500</v>
      </c>
      <c r="S79" s="31">
        <v>1</v>
      </c>
      <c r="T79" s="31">
        <v>0.43</v>
      </c>
      <c r="U79" s="31">
        <v>0.15</v>
      </c>
      <c r="V79" s="86">
        <f t="shared" si="43"/>
        <v>30</v>
      </c>
      <c r="W79" s="31">
        <v>5</v>
      </c>
      <c r="X79" s="31"/>
      <c r="Y79" s="31">
        <f t="shared" si="44"/>
        <v>5</v>
      </c>
      <c r="Z79" s="31">
        <f t="shared" si="26"/>
        <v>86</v>
      </c>
      <c r="AA79" s="18">
        <v>28</v>
      </c>
      <c r="AB79" s="18" t="s">
        <v>96</v>
      </c>
      <c r="AC79" s="18" t="s">
        <v>116</v>
      </c>
      <c r="AD79" s="18" t="s">
        <v>337</v>
      </c>
      <c r="AE79" s="18">
        <v>1</v>
      </c>
      <c r="AF79" s="18">
        <v>500</v>
      </c>
      <c r="AG79" s="18" t="s">
        <v>29</v>
      </c>
      <c r="AH79" s="18" t="str">
        <f t="shared" si="25"/>
        <v>R2</v>
      </c>
      <c r="AI79" s="18" t="str">
        <f>+VLOOKUP(AH79,Leyenda!$O$4:$U$10,6,FALSE)</f>
        <v>0,25-0,35</v>
      </c>
      <c r="AJ79" s="18" t="str">
        <f>+VLOOKUP(AH79,Leyenda!$O$4:$U$10,7,FALSE)</f>
        <v>No Blasting need</v>
      </c>
      <c r="AK79" s="18">
        <f>+VLOOKUP(AJ79,Leyenda!$U$4:$V$10,2,FALSE)</f>
        <v>2</v>
      </c>
      <c r="AL79" s="18" t="s">
        <v>29</v>
      </c>
      <c r="AM79" s="18" t="str">
        <f t="shared" si="34"/>
        <v>R2</v>
      </c>
      <c r="AN79" s="18" t="s">
        <v>64</v>
      </c>
      <c r="AO79" s="18" t="s">
        <v>79</v>
      </c>
      <c r="AP79" s="18" t="s">
        <v>92</v>
      </c>
      <c r="AQ79" s="18" t="s">
        <v>109</v>
      </c>
      <c r="AR79" s="18" t="s">
        <v>118</v>
      </c>
      <c r="AS79" s="18" t="s">
        <v>198</v>
      </c>
      <c r="AT79" s="18"/>
      <c r="AU79" s="18"/>
      <c r="AV79" s="18">
        <f>+VLOOKUP(AN79,Leyenda!$B$30:$E$34,3,FALSE)</f>
        <v>2</v>
      </c>
      <c r="AW79" s="18">
        <f>+VLOOKUP('2. Logging Brejo Seco'!AO79,Meteorizacion,3,FALSE)</f>
        <v>1</v>
      </c>
      <c r="AX79" s="18">
        <f>+VLOOKUP('2. Logging Brejo Seco'!AP79,Apertura,3,FALSE)</f>
        <v>3</v>
      </c>
      <c r="AY79" s="18">
        <f>+VLOOKUP('2. Logging Brejo Seco'!AQ79,Leyenda!$B$55:$D$59,3,FALSE)</f>
        <v>1</v>
      </c>
      <c r="AZ79" s="18">
        <f>+VLOOKUP('2. Logging Brejo Seco'!AR79,Relleno,3,FALSE)</f>
        <v>2</v>
      </c>
      <c r="BA79" s="18">
        <f t="shared" si="45"/>
        <v>9</v>
      </c>
      <c r="BB79" s="49">
        <f t="shared" si="29"/>
        <v>6</v>
      </c>
      <c r="BC79" s="49">
        <f>VLOOKUP(AM79,Leyenda!$B$4:$D$10,3,FALSE)</f>
        <v>2</v>
      </c>
      <c r="BD79" s="50">
        <f t="shared" si="35"/>
        <v>7</v>
      </c>
      <c r="BE79" s="49">
        <f t="shared" si="36"/>
        <v>9</v>
      </c>
      <c r="BF79" s="49">
        <f>VLOOKUP(AS79,Leyenda!$B$70:$D$75,3,FALSE)</f>
        <v>15</v>
      </c>
      <c r="BG79" s="67">
        <f t="shared" si="30"/>
        <v>28.5</v>
      </c>
      <c r="BH79" s="67">
        <f>VLOOKUP(AM79,Leyenda!$B$4:$E$10,4,FALSE)</f>
        <v>2</v>
      </c>
      <c r="BI79" s="67">
        <f t="shared" si="37"/>
        <v>7</v>
      </c>
      <c r="BJ79" s="67">
        <f t="shared" si="31"/>
        <v>6</v>
      </c>
      <c r="BK79" s="67">
        <f>+VLOOKUP('2. Logging Brejo Seco'!AP79,Leyenda!$B$47:$E$51,4,FALSE)</f>
        <v>3</v>
      </c>
      <c r="BL79" s="67">
        <f>+VLOOKUP('2. Logging Brejo Seco'!AQ79,Leyenda!$B$55:$E$59,4,FALSE)</f>
        <v>1</v>
      </c>
      <c r="BM79" s="67">
        <f>+VLOOKUP('2. Logging Brejo Seco'!AR79,Leyenda!$B$63:$E$67,3,FALSE)</f>
        <v>2</v>
      </c>
      <c r="BN79" s="67">
        <f>+VLOOKUP('2. Logging Brejo Seco'!AO79,Leyenda!$B$39:$E$43,4,FALSE)</f>
        <v>1</v>
      </c>
      <c r="BO79" s="67">
        <f>+VLOOKUP('2. Logging Brejo Seco'!AN79,Leyenda!$B$30:$E$34,4,FALSE)</f>
        <v>3</v>
      </c>
      <c r="BP79" s="67">
        <f>VLOOKUP(AS79,Leyenda!$B$71:$E$75,4,FALSE)</f>
        <v>10</v>
      </c>
      <c r="BQ79" s="125">
        <f t="shared" si="38"/>
        <v>35</v>
      </c>
      <c r="BR79" s="85">
        <f t="shared" si="39"/>
        <v>39</v>
      </c>
      <c r="BS79" s="240">
        <f t="shared" si="40"/>
        <v>0</v>
      </c>
      <c r="BT79" s="18"/>
    </row>
    <row r="80" spans="1:72" x14ac:dyDescent="0.25">
      <c r="A80" s="18" t="s">
        <v>6</v>
      </c>
      <c r="B80" s="18">
        <v>2024</v>
      </c>
      <c r="C80" s="18" t="s">
        <v>138</v>
      </c>
      <c r="D80" s="18" t="s">
        <v>10</v>
      </c>
      <c r="E80" s="18">
        <v>10</v>
      </c>
      <c r="F80" s="18">
        <v>10</v>
      </c>
      <c r="G80" s="18" t="s">
        <v>135</v>
      </c>
      <c r="H80" s="248">
        <f t="shared" si="42"/>
        <v>10</v>
      </c>
      <c r="I80" s="135"/>
      <c r="J80" s="18" t="s">
        <v>163</v>
      </c>
      <c r="K80" s="31">
        <f t="shared" si="41"/>
        <v>42.35</v>
      </c>
      <c r="L80" s="31">
        <v>43.05</v>
      </c>
      <c r="M80" s="4">
        <f t="shared" si="32"/>
        <v>0.69999999999999574</v>
      </c>
      <c r="N80" s="5">
        <v>1</v>
      </c>
      <c r="O80" s="5">
        <f t="shared" si="27"/>
        <v>0</v>
      </c>
      <c r="P80" s="31">
        <f t="shared" si="33"/>
        <v>0.69999999999999574</v>
      </c>
      <c r="Q80" s="31">
        <f t="shared" si="28"/>
        <v>0.69999999999999574</v>
      </c>
      <c r="R80" s="31">
        <v>139.99999999999915</v>
      </c>
      <c r="S80" s="31">
        <v>5</v>
      </c>
      <c r="T80" s="31">
        <v>0.5</v>
      </c>
      <c r="U80" s="31">
        <v>0.15</v>
      </c>
      <c r="V80" s="86">
        <f t="shared" si="43"/>
        <v>21.428571428571558</v>
      </c>
      <c r="W80" s="31">
        <v>4</v>
      </c>
      <c r="X80" s="31"/>
      <c r="Y80" s="31">
        <f t="shared" si="44"/>
        <v>4</v>
      </c>
      <c r="Z80" s="31">
        <f t="shared" si="26"/>
        <v>125</v>
      </c>
      <c r="AA80" s="18">
        <v>0</v>
      </c>
      <c r="AB80" s="18" t="s">
        <v>96</v>
      </c>
      <c r="AC80" s="18" t="s">
        <v>118</v>
      </c>
      <c r="AD80" s="18" t="s">
        <v>337</v>
      </c>
      <c r="AE80" s="18">
        <v>5</v>
      </c>
      <c r="AF80" s="18">
        <v>139.99999999999915</v>
      </c>
      <c r="AG80" s="18" t="s">
        <v>29</v>
      </c>
      <c r="AH80" s="18" t="str">
        <f t="shared" si="25"/>
        <v>R2</v>
      </c>
      <c r="AI80" s="18" t="str">
        <f>+VLOOKUP(AH80,Leyenda!$O$4:$U$10,6,FALSE)</f>
        <v>0,25-0,35</v>
      </c>
      <c r="AJ80" s="18" t="str">
        <f>+VLOOKUP(AH80,Leyenda!$O$4:$U$10,7,FALSE)</f>
        <v>No Blasting need</v>
      </c>
      <c r="AK80" s="18">
        <f>+VLOOKUP(AJ80,Leyenda!$U$4:$V$10,2,FALSE)</f>
        <v>2</v>
      </c>
      <c r="AL80" s="18" t="s">
        <v>29</v>
      </c>
      <c r="AM80" s="18" t="str">
        <f t="shared" si="34"/>
        <v>R2</v>
      </c>
      <c r="AN80" s="18" t="s">
        <v>64</v>
      </c>
      <c r="AO80" s="18" t="s">
        <v>77</v>
      </c>
      <c r="AP80" s="18" t="s">
        <v>92</v>
      </c>
      <c r="AQ80" s="18" t="s">
        <v>107</v>
      </c>
      <c r="AR80" s="18" t="s">
        <v>118</v>
      </c>
      <c r="AS80" s="18" t="s">
        <v>198</v>
      </c>
      <c r="AT80" s="18" t="s">
        <v>220</v>
      </c>
      <c r="AU80" s="18"/>
      <c r="AV80" s="18">
        <f>+VLOOKUP(AN80,Leyenda!$B$30:$E$34,3,FALSE)</f>
        <v>2</v>
      </c>
      <c r="AW80" s="18">
        <f>+VLOOKUP('2. Logging Brejo Seco'!AO80,Meteorizacion,3,FALSE)</f>
        <v>3</v>
      </c>
      <c r="AX80" s="18">
        <f>+VLOOKUP('2. Logging Brejo Seco'!AP80,Apertura,3,FALSE)</f>
        <v>3</v>
      </c>
      <c r="AY80" s="18">
        <f>+VLOOKUP('2. Logging Brejo Seco'!AQ80,Leyenda!$B$55:$D$59,3,FALSE)</f>
        <v>3</v>
      </c>
      <c r="AZ80" s="18">
        <f>+VLOOKUP('2. Logging Brejo Seco'!AR80,Relleno,3,FALSE)</f>
        <v>2</v>
      </c>
      <c r="BA80" s="18">
        <f t="shared" si="45"/>
        <v>13</v>
      </c>
      <c r="BB80" s="49">
        <f t="shared" si="29"/>
        <v>5</v>
      </c>
      <c r="BC80" s="49">
        <f>VLOOKUP(AM80,Leyenda!$B$4:$D$10,3,FALSE)</f>
        <v>2</v>
      </c>
      <c r="BD80" s="50">
        <f t="shared" si="35"/>
        <v>8</v>
      </c>
      <c r="BE80" s="49">
        <f t="shared" si="36"/>
        <v>13</v>
      </c>
      <c r="BF80" s="49">
        <f>VLOOKUP(AS80,Leyenda!$B$70:$D$75,3,FALSE)</f>
        <v>15</v>
      </c>
      <c r="BG80" s="67">
        <f t="shared" si="30"/>
        <v>30.214285714285779</v>
      </c>
      <c r="BH80" s="67">
        <f>VLOOKUP(AM80,Leyenda!$B$4:$E$10,4,FALSE)</f>
        <v>2</v>
      </c>
      <c r="BI80" s="67">
        <f t="shared" si="37"/>
        <v>10</v>
      </c>
      <c r="BJ80" s="67">
        <f t="shared" si="31"/>
        <v>5</v>
      </c>
      <c r="BK80" s="67">
        <f>+VLOOKUP('2. Logging Brejo Seco'!AP80,Leyenda!$B$47:$E$51,4,FALSE)</f>
        <v>3</v>
      </c>
      <c r="BL80" s="67">
        <f>+VLOOKUP('2. Logging Brejo Seco'!AQ80,Leyenda!$B$55:$E$59,4,FALSE)</f>
        <v>3</v>
      </c>
      <c r="BM80" s="67">
        <f>+VLOOKUP('2. Logging Brejo Seco'!AR80,Leyenda!$B$63:$E$67,3,FALSE)</f>
        <v>2</v>
      </c>
      <c r="BN80" s="67">
        <f>+VLOOKUP('2. Logging Brejo Seco'!AO80,Leyenda!$B$39:$E$43,4,FALSE)</f>
        <v>3</v>
      </c>
      <c r="BO80" s="67">
        <f>+VLOOKUP('2. Logging Brejo Seco'!AN80,Leyenda!$B$30:$E$34,4,FALSE)</f>
        <v>3</v>
      </c>
      <c r="BP80" s="67">
        <f>VLOOKUP(AS80,Leyenda!$B$71:$E$75,4,FALSE)</f>
        <v>10</v>
      </c>
      <c r="BQ80" s="125">
        <f t="shared" si="38"/>
        <v>41</v>
      </c>
      <c r="BR80" s="85">
        <f t="shared" si="39"/>
        <v>43</v>
      </c>
      <c r="BS80" s="240">
        <f t="shared" si="40"/>
        <v>0</v>
      </c>
      <c r="BT80" s="18"/>
    </row>
    <row r="81" spans="1:72" x14ac:dyDescent="0.25">
      <c r="A81" s="18" t="s">
        <v>6</v>
      </c>
      <c r="B81" s="18">
        <v>2024</v>
      </c>
      <c r="C81" s="18" t="s">
        <v>138</v>
      </c>
      <c r="D81" s="18" t="s">
        <v>10</v>
      </c>
      <c r="E81" s="18">
        <v>10</v>
      </c>
      <c r="F81" s="18">
        <v>10</v>
      </c>
      <c r="G81" s="18" t="s">
        <v>135</v>
      </c>
      <c r="H81" s="248">
        <f t="shared" si="42"/>
        <v>10</v>
      </c>
      <c r="I81" s="135"/>
      <c r="J81" s="18" t="s">
        <v>163</v>
      </c>
      <c r="K81" s="31">
        <f t="shared" si="41"/>
        <v>43.05</v>
      </c>
      <c r="L81" s="31">
        <v>43.55</v>
      </c>
      <c r="M81" s="4">
        <f t="shared" si="32"/>
        <v>0.5</v>
      </c>
      <c r="N81" s="5">
        <v>0.56000000000000005</v>
      </c>
      <c r="O81" s="5">
        <f t="shared" si="27"/>
        <v>0.43999999999999995</v>
      </c>
      <c r="P81" s="31">
        <f t="shared" si="33"/>
        <v>0.28000000000000003</v>
      </c>
      <c r="Q81" s="31">
        <f t="shared" si="28"/>
        <v>0.28000000000000003</v>
      </c>
      <c r="R81" s="31">
        <v>14</v>
      </c>
      <c r="S81" s="31">
        <v>20</v>
      </c>
      <c r="T81" s="31">
        <v>0.25</v>
      </c>
      <c r="U81" s="31">
        <v>0</v>
      </c>
      <c r="V81" s="86">
        <f t="shared" si="43"/>
        <v>0</v>
      </c>
      <c r="W81" s="31">
        <v>6</v>
      </c>
      <c r="X81" s="31"/>
      <c r="Y81" s="31">
        <f t="shared" si="44"/>
        <v>6</v>
      </c>
      <c r="Z81" s="31">
        <f t="shared" si="26"/>
        <v>41.666666666666664</v>
      </c>
      <c r="AA81" s="18">
        <v>0</v>
      </c>
      <c r="AB81" s="18" t="s">
        <v>96</v>
      </c>
      <c r="AC81" s="18" t="s">
        <v>333</v>
      </c>
      <c r="AD81" s="18" t="s">
        <v>337</v>
      </c>
      <c r="AE81" s="18">
        <v>20</v>
      </c>
      <c r="AF81" s="18">
        <v>14</v>
      </c>
      <c r="AG81" s="18" t="s">
        <v>29</v>
      </c>
      <c r="AH81" s="18" t="str">
        <f t="shared" si="25"/>
        <v>R2</v>
      </c>
      <c r="AI81" s="18" t="str">
        <f>+VLOOKUP(AH81,Leyenda!$O$4:$U$10,6,FALSE)</f>
        <v>0,25-0,35</v>
      </c>
      <c r="AJ81" s="18" t="str">
        <f>+VLOOKUP(AH81,Leyenda!$O$4:$U$10,7,FALSE)</f>
        <v>No Blasting need</v>
      </c>
      <c r="AK81" s="18">
        <f>+VLOOKUP(AJ81,Leyenda!$U$4:$V$10,2,FALSE)</f>
        <v>2</v>
      </c>
      <c r="AL81" s="18" t="s">
        <v>29</v>
      </c>
      <c r="AM81" s="18" t="str">
        <f t="shared" si="34"/>
        <v>R2</v>
      </c>
      <c r="AN81" s="18" t="s">
        <v>64</v>
      </c>
      <c r="AO81" s="18" t="s">
        <v>77</v>
      </c>
      <c r="AP81" s="18" t="s">
        <v>92</v>
      </c>
      <c r="AQ81" s="18" t="s">
        <v>109</v>
      </c>
      <c r="AR81" s="18" t="s">
        <v>118</v>
      </c>
      <c r="AS81" s="18" t="s">
        <v>198</v>
      </c>
      <c r="AT81" s="18"/>
      <c r="AU81" s="18"/>
      <c r="AV81" s="18">
        <f>+VLOOKUP(AN81,Leyenda!$B$30:$E$34,3,FALSE)</f>
        <v>2</v>
      </c>
      <c r="AW81" s="18">
        <f>+VLOOKUP('2. Logging Brejo Seco'!AO81,Meteorizacion,3,FALSE)</f>
        <v>3</v>
      </c>
      <c r="AX81" s="18">
        <f>+VLOOKUP('2. Logging Brejo Seco'!AP81,Apertura,3,FALSE)</f>
        <v>3</v>
      </c>
      <c r="AY81" s="18">
        <f>+VLOOKUP('2. Logging Brejo Seco'!AQ81,Leyenda!$B$55:$D$59,3,FALSE)</f>
        <v>1</v>
      </c>
      <c r="AZ81" s="18">
        <f>+VLOOKUP('2. Logging Brejo Seco'!AR81,Relleno,3,FALSE)</f>
        <v>2</v>
      </c>
      <c r="BA81" s="18">
        <f t="shared" si="45"/>
        <v>11</v>
      </c>
      <c r="BB81" s="49">
        <f t="shared" si="29"/>
        <v>0</v>
      </c>
      <c r="BC81" s="49">
        <f>VLOOKUP(AM81,Leyenda!$B$4:$D$10,3,FALSE)</f>
        <v>2</v>
      </c>
      <c r="BD81" s="50">
        <f t="shared" si="35"/>
        <v>5</v>
      </c>
      <c r="BE81" s="49">
        <f t="shared" si="36"/>
        <v>11</v>
      </c>
      <c r="BF81" s="49">
        <f>VLOOKUP(AS81,Leyenda!$B$70:$D$75,3,FALSE)</f>
        <v>15</v>
      </c>
      <c r="BG81" s="67">
        <f t="shared" si="30"/>
        <v>16.5</v>
      </c>
      <c r="BH81" s="67">
        <f>VLOOKUP(AM81,Leyenda!$B$4:$E$10,4,FALSE)</f>
        <v>2</v>
      </c>
      <c r="BI81" s="67">
        <f t="shared" si="37"/>
        <v>5</v>
      </c>
      <c r="BJ81" s="67">
        <f t="shared" si="31"/>
        <v>0</v>
      </c>
      <c r="BK81" s="67">
        <f>+VLOOKUP('2. Logging Brejo Seco'!AP81,Leyenda!$B$47:$E$51,4,FALSE)</f>
        <v>3</v>
      </c>
      <c r="BL81" s="67">
        <f>+VLOOKUP('2. Logging Brejo Seco'!AQ81,Leyenda!$B$55:$E$59,4,FALSE)</f>
        <v>1</v>
      </c>
      <c r="BM81" s="67">
        <f>+VLOOKUP('2. Logging Brejo Seco'!AR81,Leyenda!$B$63:$E$67,3,FALSE)</f>
        <v>2</v>
      </c>
      <c r="BN81" s="67">
        <f>+VLOOKUP('2. Logging Brejo Seco'!AO81,Leyenda!$B$39:$E$43,4,FALSE)</f>
        <v>3</v>
      </c>
      <c r="BO81" s="67">
        <f>+VLOOKUP('2. Logging Brejo Seco'!AN81,Leyenda!$B$30:$E$34,4,FALSE)</f>
        <v>3</v>
      </c>
      <c r="BP81" s="67">
        <f>VLOOKUP(AS81,Leyenda!$B$71:$E$75,4,FALSE)</f>
        <v>10</v>
      </c>
      <c r="BQ81" s="125">
        <f t="shared" si="38"/>
        <v>29</v>
      </c>
      <c r="BR81" s="85">
        <f t="shared" si="39"/>
        <v>33</v>
      </c>
      <c r="BS81" s="240">
        <f t="shared" si="40"/>
        <v>0.43999999999999995</v>
      </c>
      <c r="BT81" s="18"/>
    </row>
    <row r="82" spans="1:72" x14ac:dyDescent="0.25">
      <c r="A82" s="18" t="s">
        <v>6</v>
      </c>
      <c r="B82" s="18">
        <v>2024</v>
      </c>
      <c r="C82" s="18" t="s">
        <v>138</v>
      </c>
      <c r="D82" s="18" t="s">
        <v>10</v>
      </c>
      <c r="E82" s="18">
        <v>10</v>
      </c>
      <c r="F82" s="18">
        <v>10</v>
      </c>
      <c r="G82" s="18" t="s">
        <v>135</v>
      </c>
      <c r="H82" s="248">
        <f t="shared" si="42"/>
        <v>10</v>
      </c>
      <c r="I82" s="135"/>
      <c r="J82" s="18" t="s">
        <v>163</v>
      </c>
      <c r="K82" s="31">
        <f t="shared" si="41"/>
        <v>43.55</v>
      </c>
      <c r="L82" s="31">
        <v>44.05</v>
      </c>
      <c r="M82" s="4">
        <f t="shared" si="32"/>
        <v>0.5</v>
      </c>
      <c r="N82" s="5">
        <v>0.82</v>
      </c>
      <c r="O82" s="5">
        <f t="shared" si="27"/>
        <v>0.18000000000000005</v>
      </c>
      <c r="P82" s="31">
        <f t="shared" si="33"/>
        <v>0.41</v>
      </c>
      <c r="Q82" s="31">
        <f t="shared" si="28"/>
        <v>0.41</v>
      </c>
      <c r="R82" s="31">
        <v>20.5</v>
      </c>
      <c r="S82" s="31">
        <v>20</v>
      </c>
      <c r="T82" s="31">
        <v>0.22</v>
      </c>
      <c r="U82" s="31">
        <v>0</v>
      </c>
      <c r="V82" s="86">
        <f t="shared" si="43"/>
        <v>0</v>
      </c>
      <c r="W82" s="31">
        <v>4</v>
      </c>
      <c r="X82" s="31"/>
      <c r="Y82" s="31">
        <f t="shared" si="44"/>
        <v>4</v>
      </c>
      <c r="Z82" s="31">
        <f t="shared" si="26"/>
        <v>55</v>
      </c>
      <c r="AA82" s="18">
        <v>0</v>
      </c>
      <c r="AB82" s="18" t="s">
        <v>100</v>
      </c>
      <c r="AC82" s="18" t="s">
        <v>333</v>
      </c>
      <c r="AD82" s="18" t="s">
        <v>337</v>
      </c>
      <c r="AE82" s="18">
        <v>20</v>
      </c>
      <c r="AF82" s="18">
        <v>20.5</v>
      </c>
      <c r="AG82" s="18" t="s">
        <v>29</v>
      </c>
      <c r="AH82" s="18" t="str">
        <f t="shared" ref="AH82:AH112" si="46">+AG82</f>
        <v>R2</v>
      </c>
      <c r="AI82" s="18" t="str">
        <f>+VLOOKUP(AH82,Leyenda!$O$4:$U$10,6,FALSE)</f>
        <v>0,25-0,35</v>
      </c>
      <c r="AJ82" s="18" t="str">
        <f>+VLOOKUP(AH82,Leyenda!$O$4:$U$10,7,FALSE)</f>
        <v>No Blasting need</v>
      </c>
      <c r="AK82" s="18">
        <f>+VLOOKUP(AJ82,Leyenda!$U$4:$V$10,2,FALSE)</f>
        <v>2</v>
      </c>
      <c r="AL82" s="18" t="s">
        <v>29</v>
      </c>
      <c r="AM82" s="18" t="str">
        <f t="shared" si="34"/>
        <v>R2</v>
      </c>
      <c r="AN82" s="18" t="s">
        <v>64</v>
      </c>
      <c r="AO82" s="18" t="s">
        <v>77</v>
      </c>
      <c r="AP82" s="18" t="s">
        <v>92</v>
      </c>
      <c r="AQ82" s="18" t="s">
        <v>109</v>
      </c>
      <c r="AR82" s="18" t="s">
        <v>118</v>
      </c>
      <c r="AS82" s="18" t="s">
        <v>198</v>
      </c>
      <c r="AT82" s="18"/>
      <c r="AU82" s="18"/>
      <c r="AV82" s="18">
        <f>+VLOOKUP(AN82,Leyenda!$B$30:$E$34,3,FALSE)</f>
        <v>2</v>
      </c>
      <c r="AW82" s="18">
        <f>+VLOOKUP('2. Logging Brejo Seco'!AO82,Meteorizacion,3,FALSE)</f>
        <v>3</v>
      </c>
      <c r="AX82" s="18">
        <f>+VLOOKUP('2. Logging Brejo Seco'!AP82,Apertura,3,FALSE)</f>
        <v>3</v>
      </c>
      <c r="AY82" s="18">
        <f>+VLOOKUP('2. Logging Brejo Seco'!AQ82,Leyenda!$B$55:$D$59,3,FALSE)</f>
        <v>1</v>
      </c>
      <c r="AZ82" s="18">
        <f>+VLOOKUP('2. Logging Brejo Seco'!AR82,Relleno,3,FALSE)</f>
        <v>2</v>
      </c>
      <c r="BA82" s="18">
        <f t="shared" si="45"/>
        <v>11</v>
      </c>
      <c r="BB82" s="49">
        <f t="shared" si="29"/>
        <v>0</v>
      </c>
      <c r="BC82" s="49">
        <f>VLOOKUP(AM82,Leyenda!$B$4:$D$10,3,FALSE)</f>
        <v>2</v>
      </c>
      <c r="BD82" s="50">
        <f t="shared" si="35"/>
        <v>6</v>
      </c>
      <c r="BE82" s="49">
        <f t="shared" si="36"/>
        <v>11</v>
      </c>
      <c r="BF82" s="49">
        <f>VLOOKUP(AS82,Leyenda!$B$70:$D$75,3,FALSE)</f>
        <v>15</v>
      </c>
      <c r="BG82" s="67">
        <f t="shared" si="30"/>
        <v>16.5</v>
      </c>
      <c r="BH82" s="67">
        <f>VLOOKUP(AM82,Leyenda!$B$4:$E$10,4,FALSE)</f>
        <v>2</v>
      </c>
      <c r="BI82" s="67">
        <f t="shared" si="37"/>
        <v>5</v>
      </c>
      <c r="BJ82" s="67">
        <f t="shared" si="31"/>
        <v>0</v>
      </c>
      <c r="BK82" s="67">
        <f>+VLOOKUP('2. Logging Brejo Seco'!AP82,Leyenda!$B$47:$E$51,4,FALSE)</f>
        <v>3</v>
      </c>
      <c r="BL82" s="67">
        <f>+VLOOKUP('2. Logging Brejo Seco'!AQ82,Leyenda!$B$55:$E$59,4,FALSE)</f>
        <v>1</v>
      </c>
      <c r="BM82" s="67">
        <f>+VLOOKUP('2. Logging Brejo Seco'!AR82,Leyenda!$B$63:$E$67,3,FALSE)</f>
        <v>2</v>
      </c>
      <c r="BN82" s="67">
        <f>+VLOOKUP('2. Logging Brejo Seco'!AO82,Leyenda!$B$39:$E$43,4,FALSE)</f>
        <v>3</v>
      </c>
      <c r="BO82" s="67">
        <f>+VLOOKUP('2. Logging Brejo Seco'!AN82,Leyenda!$B$30:$E$34,4,FALSE)</f>
        <v>3</v>
      </c>
      <c r="BP82" s="67">
        <f>VLOOKUP(AS82,Leyenda!$B$71:$E$75,4,FALSE)</f>
        <v>10</v>
      </c>
      <c r="BQ82" s="125">
        <f t="shared" si="38"/>
        <v>29</v>
      </c>
      <c r="BR82" s="85">
        <f t="shared" si="39"/>
        <v>34</v>
      </c>
      <c r="BS82" s="240">
        <f t="shared" si="40"/>
        <v>0.18000000000000005</v>
      </c>
      <c r="BT82" s="18"/>
    </row>
    <row r="83" spans="1:72" x14ac:dyDescent="0.25">
      <c r="A83" s="18" t="s">
        <v>6</v>
      </c>
      <c r="B83" s="18">
        <v>2024</v>
      </c>
      <c r="C83" s="18" t="s">
        <v>138</v>
      </c>
      <c r="D83" s="18" t="s">
        <v>10</v>
      </c>
      <c r="E83" s="18">
        <v>10</v>
      </c>
      <c r="F83" s="18">
        <v>10</v>
      </c>
      <c r="G83" s="18" t="s">
        <v>135</v>
      </c>
      <c r="H83" s="248">
        <f t="shared" si="42"/>
        <v>10</v>
      </c>
      <c r="I83" s="135"/>
      <c r="J83" s="18" t="s">
        <v>163</v>
      </c>
      <c r="K83" s="31">
        <f t="shared" si="41"/>
        <v>44.05</v>
      </c>
      <c r="L83" s="31">
        <v>44.55</v>
      </c>
      <c r="M83" s="4">
        <f t="shared" si="32"/>
        <v>0.5</v>
      </c>
      <c r="N83" s="5">
        <v>0.54</v>
      </c>
      <c r="O83" s="5">
        <f t="shared" si="27"/>
        <v>0.45999999999999996</v>
      </c>
      <c r="P83" s="31">
        <f t="shared" si="33"/>
        <v>0.27</v>
      </c>
      <c r="Q83" s="31">
        <f t="shared" si="28"/>
        <v>0.27</v>
      </c>
      <c r="R83" s="31">
        <v>13.5</v>
      </c>
      <c r="S83" s="31">
        <v>20</v>
      </c>
      <c r="T83" s="31">
        <v>0.26</v>
      </c>
      <c r="U83" s="31">
        <v>0</v>
      </c>
      <c r="V83" s="86">
        <f t="shared" si="43"/>
        <v>0</v>
      </c>
      <c r="W83" s="31">
        <v>6</v>
      </c>
      <c r="X83" s="31"/>
      <c r="Y83" s="31">
        <f t="shared" si="44"/>
        <v>6</v>
      </c>
      <c r="Z83" s="31">
        <f t="shared" si="26"/>
        <v>43.333333333333336</v>
      </c>
      <c r="AA83" s="18">
        <v>0</v>
      </c>
      <c r="AB83" s="18" t="s">
        <v>100</v>
      </c>
      <c r="AC83" s="18" t="s">
        <v>333</v>
      </c>
      <c r="AD83" s="18" t="s">
        <v>337</v>
      </c>
      <c r="AE83" s="18">
        <v>20</v>
      </c>
      <c r="AF83" s="18">
        <v>13.5</v>
      </c>
      <c r="AG83" s="18" t="s">
        <v>29</v>
      </c>
      <c r="AH83" s="18" t="str">
        <f t="shared" si="46"/>
        <v>R2</v>
      </c>
      <c r="AI83" s="18" t="str">
        <f>+VLOOKUP(AH83,Leyenda!$O$4:$U$10,6,FALSE)</f>
        <v>0,25-0,35</v>
      </c>
      <c r="AJ83" s="18" t="str">
        <f>+VLOOKUP(AH83,Leyenda!$O$4:$U$10,7,FALSE)</f>
        <v>No Blasting need</v>
      </c>
      <c r="AK83" s="18">
        <f>+VLOOKUP(AJ83,Leyenda!$U$4:$V$10,2,FALSE)</f>
        <v>2</v>
      </c>
      <c r="AL83" s="18" t="s">
        <v>29</v>
      </c>
      <c r="AM83" s="18" t="str">
        <f t="shared" si="34"/>
        <v>R2</v>
      </c>
      <c r="AN83" s="18" t="s">
        <v>66</v>
      </c>
      <c r="AO83" s="18" t="s">
        <v>79</v>
      </c>
      <c r="AP83" s="18" t="s">
        <v>92</v>
      </c>
      <c r="AQ83" s="18" t="s">
        <v>109</v>
      </c>
      <c r="AR83" s="18" t="s">
        <v>120</v>
      </c>
      <c r="AS83" s="18" t="s">
        <v>198</v>
      </c>
      <c r="AT83" s="18"/>
      <c r="AU83" s="18"/>
      <c r="AV83" s="18">
        <f>+VLOOKUP(AN83,Leyenda!$B$30:$E$34,3,FALSE)</f>
        <v>1</v>
      </c>
      <c r="AW83" s="18">
        <f>+VLOOKUP('2. Logging Brejo Seco'!AO83,Meteorizacion,3,FALSE)</f>
        <v>1</v>
      </c>
      <c r="AX83" s="18">
        <f>+VLOOKUP('2. Logging Brejo Seco'!AP83,Apertura,3,FALSE)</f>
        <v>3</v>
      </c>
      <c r="AY83" s="18">
        <f>+VLOOKUP('2. Logging Brejo Seco'!AQ83,Leyenda!$B$55:$D$59,3,FALSE)</f>
        <v>1</v>
      </c>
      <c r="AZ83" s="18">
        <f>+VLOOKUP('2. Logging Brejo Seco'!AR83,Relleno,3,FALSE)</f>
        <v>2</v>
      </c>
      <c r="BA83" s="18">
        <f t="shared" si="45"/>
        <v>8</v>
      </c>
      <c r="BB83" s="49">
        <f t="shared" si="29"/>
        <v>0</v>
      </c>
      <c r="BC83" s="49">
        <f>VLOOKUP(AM83,Leyenda!$B$4:$D$10,3,FALSE)</f>
        <v>2</v>
      </c>
      <c r="BD83" s="50">
        <f t="shared" si="35"/>
        <v>5</v>
      </c>
      <c r="BE83" s="49">
        <f t="shared" si="36"/>
        <v>8</v>
      </c>
      <c r="BF83" s="49">
        <f>VLOOKUP(AS83,Leyenda!$B$70:$D$75,3,FALSE)</f>
        <v>15</v>
      </c>
      <c r="BG83" s="67">
        <f t="shared" si="30"/>
        <v>12</v>
      </c>
      <c r="BH83" s="67">
        <f>VLOOKUP(AM83,Leyenda!$B$4:$E$10,4,FALSE)</f>
        <v>2</v>
      </c>
      <c r="BI83" s="67">
        <f t="shared" si="37"/>
        <v>5</v>
      </c>
      <c r="BJ83" s="67">
        <f t="shared" si="31"/>
        <v>0</v>
      </c>
      <c r="BK83" s="67">
        <f>+VLOOKUP('2. Logging Brejo Seco'!AP83,Leyenda!$B$47:$E$51,4,FALSE)</f>
        <v>3</v>
      </c>
      <c r="BL83" s="67">
        <f>+VLOOKUP('2. Logging Brejo Seco'!AQ83,Leyenda!$B$55:$E$59,4,FALSE)</f>
        <v>1</v>
      </c>
      <c r="BM83" s="67">
        <f>+VLOOKUP('2. Logging Brejo Seco'!AR83,Leyenda!$B$63:$E$67,3,FALSE)</f>
        <v>2</v>
      </c>
      <c r="BN83" s="67">
        <f>+VLOOKUP('2. Logging Brejo Seco'!AO83,Leyenda!$B$39:$E$43,4,FALSE)</f>
        <v>1</v>
      </c>
      <c r="BO83" s="67">
        <f>+VLOOKUP('2. Logging Brejo Seco'!AN83,Leyenda!$B$30:$E$34,4,FALSE)</f>
        <v>1</v>
      </c>
      <c r="BP83" s="67">
        <f>VLOOKUP(AS83,Leyenda!$B$71:$E$75,4,FALSE)</f>
        <v>10</v>
      </c>
      <c r="BQ83" s="125">
        <f t="shared" si="38"/>
        <v>25</v>
      </c>
      <c r="BR83" s="85">
        <f t="shared" si="39"/>
        <v>30</v>
      </c>
      <c r="BS83" s="240">
        <f t="shared" si="40"/>
        <v>0.45999999999999996</v>
      </c>
      <c r="BT83" s="18"/>
    </row>
    <row r="84" spans="1:72" x14ac:dyDescent="0.25">
      <c r="A84" s="18" t="s">
        <v>6</v>
      </c>
      <c r="B84" s="18">
        <v>2024</v>
      </c>
      <c r="C84" s="18" t="s">
        <v>138</v>
      </c>
      <c r="D84" s="18" t="s">
        <v>10</v>
      </c>
      <c r="E84" s="18">
        <v>10</v>
      </c>
      <c r="F84" s="18">
        <v>10</v>
      </c>
      <c r="G84" s="18" t="s">
        <v>135</v>
      </c>
      <c r="H84" s="248">
        <f t="shared" si="42"/>
        <v>10</v>
      </c>
      <c r="I84" s="135"/>
      <c r="J84" s="18" t="s">
        <v>163</v>
      </c>
      <c r="K84" s="31">
        <f t="shared" si="41"/>
        <v>44.55</v>
      </c>
      <c r="L84" s="31">
        <v>45.05</v>
      </c>
      <c r="M84" s="4">
        <f t="shared" si="32"/>
        <v>0.5</v>
      </c>
      <c r="N84" s="5">
        <v>0.57999999999999996</v>
      </c>
      <c r="O84" s="5">
        <f t="shared" si="27"/>
        <v>0.42000000000000004</v>
      </c>
      <c r="P84" s="31">
        <f t="shared" si="33"/>
        <v>0.28999999999999998</v>
      </c>
      <c r="Q84" s="31">
        <f t="shared" si="28"/>
        <v>0.28999999999999998</v>
      </c>
      <c r="R84" s="31">
        <v>19.333333333333332</v>
      </c>
      <c r="S84" s="31">
        <v>15</v>
      </c>
      <c r="T84" s="31">
        <v>0.24</v>
      </c>
      <c r="U84" s="31">
        <v>0</v>
      </c>
      <c r="V84" s="86">
        <f t="shared" si="43"/>
        <v>0</v>
      </c>
      <c r="W84" s="31">
        <v>10</v>
      </c>
      <c r="X84" s="31"/>
      <c r="Y84" s="31">
        <f t="shared" si="44"/>
        <v>10</v>
      </c>
      <c r="Z84" s="31">
        <f t="shared" si="26"/>
        <v>24</v>
      </c>
      <c r="AA84" s="18">
        <v>0</v>
      </c>
      <c r="AB84" s="18" t="s">
        <v>100</v>
      </c>
      <c r="AC84" s="18" t="s">
        <v>122</v>
      </c>
      <c r="AD84" s="18" t="s">
        <v>336</v>
      </c>
      <c r="AE84" s="18">
        <v>15</v>
      </c>
      <c r="AF84" s="18">
        <v>19.333333333333332</v>
      </c>
      <c r="AG84" s="18" t="s">
        <v>32</v>
      </c>
      <c r="AH84" s="18" t="str">
        <f t="shared" si="46"/>
        <v>R1</v>
      </c>
      <c r="AI84" s="18" t="str">
        <f>+VLOOKUP(AH84,Leyenda!$O$4:$U$10,6,FALSE)</f>
        <v>0,15-0,25</v>
      </c>
      <c r="AJ84" s="18" t="str">
        <f>+VLOOKUP(AH84,Leyenda!$O$4:$U$10,7,FALSE)</f>
        <v>No Blasting need</v>
      </c>
      <c r="AK84" s="18">
        <f>+VLOOKUP(AJ84,Leyenda!$U$4:$V$10,2,FALSE)</f>
        <v>2</v>
      </c>
      <c r="AL84" s="18" t="s">
        <v>32</v>
      </c>
      <c r="AM84" s="18" t="str">
        <f t="shared" si="34"/>
        <v>R1</v>
      </c>
      <c r="AN84" s="18" t="s">
        <v>64</v>
      </c>
      <c r="AO84" s="18" t="s">
        <v>79</v>
      </c>
      <c r="AP84" s="18" t="s">
        <v>100</v>
      </c>
      <c r="AQ84" s="18" t="s">
        <v>107</v>
      </c>
      <c r="AR84" s="18" t="s">
        <v>120</v>
      </c>
      <c r="AS84" s="18" t="s">
        <v>198</v>
      </c>
      <c r="AT84" s="18"/>
      <c r="AU84" s="18"/>
      <c r="AV84" s="18">
        <f>+VLOOKUP(AN84,Leyenda!$B$30:$E$34,3,FALSE)</f>
        <v>2</v>
      </c>
      <c r="AW84" s="18">
        <f>+VLOOKUP('2. Logging Brejo Seco'!AO84,Meteorizacion,3,FALSE)</f>
        <v>1</v>
      </c>
      <c r="AX84" s="18">
        <f>+VLOOKUP('2. Logging Brejo Seco'!AP84,Apertura,3,FALSE)</f>
        <v>0</v>
      </c>
      <c r="AY84" s="18">
        <f>+VLOOKUP('2. Logging Brejo Seco'!AQ84,Leyenda!$B$55:$D$59,3,FALSE)</f>
        <v>3</v>
      </c>
      <c r="AZ84" s="18">
        <f>+VLOOKUP('2. Logging Brejo Seco'!AR84,Relleno,3,FALSE)</f>
        <v>2</v>
      </c>
      <c r="BA84" s="18">
        <f t="shared" si="45"/>
        <v>8</v>
      </c>
      <c r="BB84" s="49">
        <f t="shared" si="29"/>
        <v>0</v>
      </c>
      <c r="BC84" s="49">
        <f>VLOOKUP(AM84,Leyenda!$B$4:$D$10,3,FALSE)</f>
        <v>1</v>
      </c>
      <c r="BD84" s="50">
        <f t="shared" si="35"/>
        <v>4</v>
      </c>
      <c r="BE84" s="49">
        <f t="shared" si="36"/>
        <v>8</v>
      </c>
      <c r="BF84" s="49">
        <f>VLOOKUP(AS84,Leyenda!$B$70:$D$75,3,FALSE)</f>
        <v>15</v>
      </c>
      <c r="BG84" s="67">
        <f t="shared" si="30"/>
        <v>12</v>
      </c>
      <c r="BH84" s="67">
        <f>VLOOKUP(AM84,Leyenda!$B$4:$E$10,4,FALSE)</f>
        <v>1</v>
      </c>
      <c r="BI84" s="67">
        <f t="shared" si="37"/>
        <v>5</v>
      </c>
      <c r="BJ84" s="67">
        <f t="shared" si="31"/>
        <v>0</v>
      </c>
      <c r="BK84" s="67">
        <f>+VLOOKUP('2. Logging Brejo Seco'!AP84,Leyenda!$B$47:$E$51,4,FALSE)</f>
        <v>0</v>
      </c>
      <c r="BL84" s="67">
        <f>+VLOOKUP('2. Logging Brejo Seco'!AQ84,Leyenda!$B$55:$E$59,4,FALSE)</f>
        <v>3</v>
      </c>
      <c r="BM84" s="67">
        <f>+VLOOKUP('2. Logging Brejo Seco'!AR84,Leyenda!$B$63:$E$67,3,FALSE)</f>
        <v>2</v>
      </c>
      <c r="BN84" s="67">
        <f>+VLOOKUP('2. Logging Brejo Seco'!AO84,Leyenda!$B$39:$E$43,4,FALSE)</f>
        <v>1</v>
      </c>
      <c r="BO84" s="67">
        <f>+VLOOKUP('2. Logging Brejo Seco'!AN84,Leyenda!$B$30:$E$34,4,FALSE)</f>
        <v>3</v>
      </c>
      <c r="BP84" s="67">
        <f>VLOOKUP(AS84,Leyenda!$B$71:$E$75,4,FALSE)</f>
        <v>10</v>
      </c>
      <c r="BQ84" s="125">
        <f t="shared" si="38"/>
        <v>25</v>
      </c>
      <c r="BR84" s="85">
        <f t="shared" si="39"/>
        <v>28</v>
      </c>
      <c r="BS84" s="240">
        <f t="shared" si="40"/>
        <v>0.42000000000000004</v>
      </c>
      <c r="BT84" s="18"/>
    </row>
    <row r="85" spans="1:72" x14ac:dyDescent="0.25">
      <c r="A85" s="18" t="s">
        <v>6</v>
      </c>
      <c r="B85" s="18">
        <v>2024</v>
      </c>
      <c r="C85" s="18" t="s">
        <v>138</v>
      </c>
      <c r="D85" s="18" t="s">
        <v>10</v>
      </c>
      <c r="E85" s="18">
        <v>10</v>
      </c>
      <c r="F85" s="18">
        <v>10</v>
      </c>
      <c r="G85" s="18" t="s">
        <v>135</v>
      </c>
      <c r="H85" s="248">
        <f t="shared" si="42"/>
        <v>10</v>
      </c>
      <c r="I85" s="135"/>
      <c r="J85" s="18" t="s">
        <v>163</v>
      </c>
      <c r="K85" s="31">
        <f t="shared" si="41"/>
        <v>45.05</v>
      </c>
      <c r="L85" s="31">
        <v>45.55</v>
      </c>
      <c r="M85" s="4">
        <f t="shared" si="32"/>
        <v>0.5</v>
      </c>
      <c r="N85" s="5">
        <v>0.62</v>
      </c>
      <c r="O85" s="5">
        <f t="shared" si="27"/>
        <v>0.38</v>
      </c>
      <c r="P85" s="31">
        <f t="shared" si="33"/>
        <v>0.31</v>
      </c>
      <c r="Q85" s="31">
        <f t="shared" si="28"/>
        <v>0.31</v>
      </c>
      <c r="R85" s="31">
        <v>20.666666666666668</v>
      </c>
      <c r="S85" s="31">
        <v>15</v>
      </c>
      <c r="T85" s="31">
        <v>0.28000000000000003</v>
      </c>
      <c r="U85" s="31">
        <v>0</v>
      </c>
      <c r="V85" s="86">
        <f t="shared" si="43"/>
        <v>0</v>
      </c>
      <c r="W85" s="31">
        <v>10</v>
      </c>
      <c r="X85" s="31"/>
      <c r="Y85" s="31">
        <f t="shared" si="44"/>
        <v>10</v>
      </c>
      <c r="Z85" s="31">
        <f t="shared" si="26"/>
        <v>28</v>
      </c>
      <c r="AA85" s="18">
        <v>0</v>
      </c>
      <c r="AB85" s="18" t="s">
        <v>100</v>
      </c>
      <c r="AC85" s="18" t="s">
        <v>122</v>
      </c>
      <c r="AD85" s="18" t="s">
        <v>336</v>
      </c>
      <c r="AE85" s="18">
        <v>15</v>
      </c>
      <c r="AF85" s="18">
        <v>20.666666666666668</v>
      </c>
      <c r="AG85" s="18" t="s">
        <v>32</v>
      </c>
      <c r="AH85" s="18" t="str">
        <f t="shared" si="46"/>
        <v>R1</v>
      </c>
      <c r="AI85" s="18" t="str">
        <f>+VLOOKUP(AH85,Leyenda!$O$4:$U$10,6,FALSE)</f>
        <v>0,15-0,25</v>
      </c>
      <c r="AJ85" s="18" t="str">
        <f>+VLOOKUP(AH85,Leyenda!$O$4:$U$10,7,FALSE)</f>
        <v>No Blasting need</v>
      </c>
      <c r="AK85" s="18">
        <f>+VLOOKUP(AJ85,Leyenda!$U$4:$V$10,2,FALSE)</f>
        <v>2</v>
      </c>
      <c r="AL85" s="18" t="s">
        <v>32</v>
      </c>
      <c r="AM85" s="18" t="str">
        <f t="shared" si="34"/>
        <v>R1</v>
      </c>
      <c r="AN85" s="18" t="s">
        <v>64</v>
      </c>
      <c r="AO85" s="18" t="s">
        <v>79</v>
      </c>
      <c r="AP85" s="18" t="s">
        <v>100</v>
      </c>
      <c r="AQ85" s="18" t="s">
        <v>107</v>
      </c>
      <c r="AR85" s="18" t="s">
        <v>120</v>
      </c>
      <c r="AS85" s="18" t="s">
        <v>198</v>
      </c>
      <c r="AT85" s="18"/>
      <c r="AU85" s="18"/>
      <c r="AV85" s="18">
        <f>+VLOOKUP(AN85,Leyenda!$B$30:$E$34,3,FALSE)</f>
        <v>2</v>
      </c>
      <c r="AW85" s="18">
        <f>+VLOOKUP('2. Logging Brejo Seco'!AO85,Meteorizacion,3,FALSE)</f>
        <v>1</v>
      </c>
      <c r="AX85" s="18">
        <f>+VLOOKUP('2. Logging Brejo Seco'!AP85,Apertura,3,FALSE)</f>
        <v>0</v>
      </c>
      <c r="AY85" s="18">
        <f>+VLOOKUP('2. Logging Brejo Seco'!AQ85,Leyenda!$B$55:$D$59,3,FALSE)</f>
        <v>3</v>
      </c>
      <c r="AZ85" s="18">
        <f>+VLOOKUP('2. Logging Brejo Seco'!AR85,Relleno,3,FALSE)</f>
        <v>2</v>
      </c>
      <c r="BA85" s="18">
        <f t="shared" si="45"/>
        <v>8</v>
      </c>
      <c r="BB85" s="49">
        <f t="shared" si="29"/>
        <v>0</v>
      </c>
      <c r="BC85" s="49">
        <f>VLOOKUP(AM85,Leyenda!$B$4:$D$10,3,FALSE)</f>
        <v>1</v>
      </c>
      <c r="BD85" s="50">
        <f t="shared" si="35"/>
        <v>5</v>
      </c>
      <c r="BE85" s="49">
        <f t="shared" si="36"/>
        <v>8</v>
      </c>
      <c r="BF85" s="49">
        <f>VLOOKUP(AS85,Leyenda!$B$70:$D$75,3,FALSE)</f>
        <v>15</v>
      </c>
      <c r="BG85" s="67">
        <f t="shared" si="30"/>
        <v>12</v>
      </c>
      <c r="BH85" s="67">
        <f>VLOOKUP(AM85,Leyenda!$B$4:$E$10,4,FALSE)</f>
        <v>1</v>
      </c>
      <c r="BI85" s="67">
        <f t="shared" si="37"/>
        <v>5</v>
      </c>
      <c r="BJ85" s="67">
        <f t="shared" si="31"/>
        <v>0</v>
      </c>
      <c r="BK85" s="67">
        <f>+VLOOKUP('2. Logging Brejo Seco'!AP85,Leyenda!$B$47:$E$51,4,FALSE)</f>
        <v>0</v>
      </c>
      <c r="BL85" s="67">
        <f>+VLOOKUP('2. Logging Brejo Seco'!AQ85,Leyenda!$B$55:$E$59,4,FALSE)</f>
        <v>3</v>
      </c>
      <c r="BM85" s="67">
        <f>+VLOOKUP('2. Logging Brejo Seco'!AR85,Leyenda!$B$63:$E$67,3,FALSE)</f>
        <v>2</v>
      </c>
      <c r="BN85" s="67">
        <f>+VLOOKUP('2. Logging Brejo Seco'!AO85,Leyenda!$B$39:$E$43,4,FALSE)</f>
        <v>1</v>
      </c>
      <c r="BO85" s="67">
        <f>+VLOOKUP('2. Logging Brejo Seco'!AN85,Leyenda!$B$30:$E$34,4,FALSE)</f>
        <v>3</v>
      </c>
      <c r="BP85" s="67">
        <f>VLOOKUP(AS85,Leyenda!$B$71:$E$75,4,FALSE)</f>
        <v>10</v>
      </c>
      <c r="BQ85" s="125">
        <f t="shared" si="38"/>
        <v>25</v>
      </c>
      <c r="BR85" s="85">
        <f t="shared" si="39"/>
        <v>29</v>
      </c>
      <c r="BS85" s="240">
        <f t="shared" si="40"/>
        <v>0.38</v>
      </c>
      <c r="BT85" s="18"/>
    </row>
    <row r="86" spans="1:72" x14ac:dyDescent="0.25">
      <c r="A86" s="18" t="s">
        <v>6</v>
      </c>
      <c r="B86" s="18">
        <v>2024</v>
      </c>
      <c r="C86" s="18" t="s">
        <v>138</v>
      </c>
      <c r="D86" s="18" t="s">
        <v>10</v>
      </c>
      <c r="E86" s="18">
        <v>10</v>
      </c>
      <c r="F86" s="18">
        <v>10</v>
      </c>
      <c r="G86" s="18" t="s">
        <v>135</v>
      </c>
      <c r="H86" s="248">
        <f t="shared" si="42"/>
        <v>10</v>
      </c>
      <c r="I86" s="135"/>
      <c r="J86" s="18" t="s">
        <v>163</v>
      </c>
      <c r="K86" s="31">
        <f t="shared" si="41"/>
        <v>45.55</v>
      </c>
      <c r="L86" s="31">
        <v>46.05</v>
      </c>
      <c r="M86" s="4">
        <f t="shared" si="32"/>
        <v>0.5</v>
      </c>
      <c r="N86" s="5">
        <v>0.74</v>
      </c>
      <c r="O86" s="5">
        <f t="shared" si="27"/>
        <v>0.26</v>
      </c>
      <c r="P86" s="31">
        <f t="shared" si="33"/>
        <v>0.37</v>
      </c>
      <c r="Q86" s="31">
        <f t="shared" si="28"/>
        <v>0.37</v>
      </c>
      <c r="R86" s="31">
        <v>24.666666666666668</v>
      </c>
      <c r="S86" s="31">
        <v>15</v>
      </c>
      <c r="T86" s="31">
        <v>0.27</v>
      </c>
      <c r="U86" s="31">
        <v>0</v>
      </c>
      <c r="V86" s="86">
        <f t="shared" si="43"/>
        <v>0</v>
      </c>
      <c r="W86" s="31">
        <v>8</v>
      </c>
      <c r="X86" s="31"/>
      <c r="Y86" s="31">
        <f t="shared" si="44"/>
        <v>8</v>
      </c>
      <c r="Z86" s="31">
        <f t="shared" si="26"/>
        <v>33.75</v>
      </c>
      <c r="AA86" s="18">
        <v>0</v>
      </c>
      <c r="AB86" s="18" t="s">
        <v>100</v>
      </c>
      <c r="AC86" s="18" t="s">
        <v>122</v>
      </c>
      <c r="AD86" s="18" t="s">
        <v>336</v>
      </c>
      <c r="AE86" s="18">
        <v>15</v>
      </c>
      <c r="AF86" s="18">
        <v>24.666666666666668</v>
      </c>
      <c r="AG86" s="18" t="s">
        <v>32</v>
      </c>
      <c r="AH86" s="18" t="str">
        <f t="shared" si="46"/>
        <v>R1</v>
      </c>
      <c r="AI86" s="18" t="str">
        <f>+VLOOKUP(AH86,Leyenda!$O$4:$U$10,6,FALSE)</f>
        <v>0,15-0,25</v>
      </c>
      <c r="AJ86" s="18" t="str">
        <f>+VLOOKUP(AH86,Leyenda!$O$4:$U$10,7,FALSE)</f>
        <v>No Blasting need</v>
      </c>
      <c r="AK86" s="18">
        <f>+VLOOKUP(AJ86,Leyenda!$U$4:$V$10,2,FALSE)</f>
        <v>2</v>
      </c>
      <c r="AL86" s="18" t="s">
        <v>32</v>
      </c>
      <c r="AM86" s="18" t="str">
        <f t="shared" si="34"/>
        <v>R1</v>
      </c>
      <c r="AN86" s="18" t="s">
        <v>64</v>
      </c>
      <c r="AO86" s="18" t="s">
        <v>79</v>
      </c>
      <c r="AP86" s="18" t="s">
        <v>96</v>
      </c>
      <c r="AQ86" s="18" t="s">
        <v>107</v>
      </c>
      <c r="AR86" s="18" t="s">
        <v>120</v>
      </c>
      <c r="AS86" s="18" t="s">
        <v>198</v>
      </c>
      <c r="AT86" s="18"/>
      <c r="AU86" s="18"/>
      <c r="AV86" s="18">
        <f>+VLOOKUP(AN86,Leyenda!$B$30:$E$34,3,FALSE)</f>
        <v>2</v>
      </c>
      <c r="AW86" s="18">
        <f>+VLOOKUP('2. Logging Brejo Seco'!AO86,Meteorizacion,3,FALSE)</f>
        <v>1</v>
      </c>
      <c r="AX86" s="18">
        <f>+VLOOKUP('2. Logging Brejo Seco'!AP86,Apertura,3,FALSE)</f>
        <v>1</v>
      </c>
      <c r="AY86" s="18">
        <f>+VLOOKUP('2. Logging Brejo Seco'!AQ86,Leyenda!$B$55:$D$59,3,FALSE)</f>
        <v>3</v>
      </c>
      <c r="AZ86" s="18">
        <f>+VLOOKUP('2. Logging Brejo Seco'!AR86,Relleno,3,FALSE)</f>
        <v>2</v>
      </c>
      <c r="BA86" s="18">
        <f t="shared" si="45"/>
        <v>9</v>
      </c>
      <c r="BB86" s="49">
        <f t="shared" si="29"/>
        <v>0</v>
      </c>
      <c r="BC86" s="49">
        <f>VLOOKUP(AM86,Leyenda!$B$4:$D$10,3,FALSE)</f>
        <v>1</v>
      </c>
      <c r="BD86" s="50">
        <f t="shared" si="35"/>
        <v>5</v>
      </c>
      <c r="BE86" s="49">
        <f t="shared" si="36"/>
        <v>9</v>
      </c>
      <c r="BF86" s="49">
        <f>VLOOKUP(AS86,Leyenda!$B$70:$D$75,3,FALSE)</f>
        <v>15</v>
      </c>
      <c r="BG86" s="67">
        <f t="shared" si="30"/>
        <v>13.5</v>
      </c>
      <c r="BH86" s="67">
        <f>VLOOKUP(AM86,Leyenda!$B$4:$E$10,4,FALSE)</f>
        <v>1</v>
      </c>
      <c r="BI86" s="67">
        <f t="shared" si="37"/>
        <v>5</v>
      </c>
      <c r="BJ86" s="67">
        <f t="shared" si="31"/>
        <v>0</v>
      </c>
      <c r="BK86" s="67">
        <f>+VLOOKUP('2. Logging Brejo Seco'!AP86,Leyenda!$B$47:$E$51,4,FALSE)</f>
        <v>1</v>
      </c>
      <c r="BL86" s="67">
        <f>+VLOOKUP('2. Logging Brejo Seco'!AQ86,Leyenda!$B$55:$E$59,4,FALSE)</f>
        <v>3</v>
      </c>
      <c r="BM86" s="67">
        <f>+VLOOKUP('2. Logging Brejo Seco'!AR86,Leyenda!$B$63:$E$67,3,FALSE)</f>
        <v>2</v>
      </c>
      <c r="BN86" s="67">
        <f>+VLOOKUP('2. Logging Brejo Seco'!AO86,Leyenda!$B$39:$E$43,4,FALSE)</f>
        <v>1</v>
      </c>
      <c r="BO86" s="67">
        <f>+VLOOKUP('2. Logging Brejo Seco'!AN86,Leyenda!$B$30:$E$34,4,FALSE)</f>
        <v>3</v>
      </c>
      <c r="BP86" s="67">
        <f>VLOOKUP(AS86,Leyenda!$B$71:$E$75,4,FALSE)</f>
        <v>10</v>
      </c>
      <c r="BQ86" s="125">
        <f t="shared" si="38"/>
        <v>26</v>
      </c>
      <c r="BR86" s="85">
        <f t="shared" si="39"/>
        <v>30</v>
      </c>
      <c r="BS86" s="240">
        <f t="shared" si="40"/>
        <v>0.26</v>
      </c>
      <c r="BT86" s="18"/>
    </row>
    <row r="87" spans="1:72" x14ac:dyDescent="0.25">
      <c r="A87" s="18" t="s">
        <v>6</v>
      </c>
      <c r="B87" s="18">
        <v>2024</v>
      </c>
      <c r="C87" s="18" t="s">
        <v>138</v>
      </c>
      <c r="D87" s="18" t="s">
        <v>10</v>
      </c>
      <c r="E87" s="18">
        <v>10</v>
      </c>
      <c r="F87" s="18">
        <v>10</v>
      </c>
      <c r="G87" s="18" t="s">
        <v>135</v>
      </c>
      <c r="H87" s="248">
        <f t="shared" si="42"/>
        <v>10</v>
      </c>
      <c r="I87" s="135"/>
      <c r="J87" s="18" t="s">
        <v>163</v>
      </c>
      <c r="K87" s="31">
        <f t="shared" si="41"/>
        <v>46.05</v>
      </c>
      <c r="L87" s="31">
        <v>46.55</v>
      </c>
      <c r="M87" s="4">
        <f t="shared" si="32"/>
        <v>0.5</v>
      </c>
      <c r="N87" s="5">
        <v>0.8</v>
      </c>
      <c r="O87" s="5">
        <f t="shared" si="27"/>
        <v>0.19999999999999996</v>
      </c>
      <c r="P87" s="31">
        <f t="shared" si="33"/>
        <v>0.4</v>
      </c>
      <c r="Q87" s="31">
        <f t="shared" si="28"/>
        <v>0.4</v>
      </c>
      <c r="R87" s="31">
        <v>80</v>
      </c>
      <c r="S87" s="31">
        <v>5</v>
      </c>
      <c r="T87" s="31">
        <v>0.37</v>
      </c>
      <c r="U87" s="31">
        <v>0</v>
      </c>
      <c r="V87" s="86">
        <f t="shared" si="43"/>
        <v>0</v>
      </c>
      <c r="W87" s="31">
        <v>5</v>
      </c>
      <c r="X87" s="31"/>
      <c r="Y87" s="31">
        <f t="shared" si="44"/>
        <v>5</v>
      </c>
      <c r="Z87" s="31">
        <f t="shared" si="26"/>
        <v>74</v>
      </c>
      <c r="AA87" s="18">
        <v>0</v>
      </c>
      <c r="AB87" s="18" t="s">
        <v>96</v>
      </c>
      <c r="AC87" s="18" t="s">
        <v>118</v>
      </c>
      <c r="AD87" s="18" t="s">
        <v>337</v>
      </c>
      <c r="AE87" s="18">
        <v>5</v>
      </c>
      <c r="AF87" s="18">
        <v>80</v>
      </c>
      <c r="AG87" s="18" t="s">
        <v>29</v>
      </c>
      <c r="AH87" s="18" t="str">
        <f t="shared" si="46"/>
        <v>R2</v>
      </c>
      <c r="AI87" s="18" t="str">
        <f>+VLOOKUP(AH87,Leyenda!$O$4:$U$10,6,FALSE)</f>
        <v>0,25-0,35</v>
      </c>
      <c r="AJ87" s="18" t="str">
        <f>+VLOOKUP(AH87,Leyenda!$O$4:$U$10,7,FALSE)</f>
        <v>No Blasting need</v>
      </c>
      <c r="AK87" s="18">
        <f>+VLOOKUP(AJ87,Leyenda!$U$4:$V$10,2,FALSE)</f>
        <v>2</v>
      </c>
      <c r="AL87" s="18" t="s">
        <v>29</v>
      </c>
      <c r="AM87" s="18" t="str">
        <f t="shared" si="34"/>
        <v>R2</v>
      </c>
      <c r="AN87" s="18" t="s">
        <v>64</v>
      </c>
      <c r="AO87" s="18" t="s">
        <v>77</v>
      </c>
      <c r="AP87" s="18" t="s">
        <v>92</v>
      </c>
      <c r="AQ87" s="18" t="s">
        <v>107</v>
      </c>
      <c r="AR87" s="18" t="s">
        <v>118</v>
      </c>
      <c r="AS87" s="18" t="s">
        <v>198</v>
      </c>
      <c r="AT87" s="18"/>
      <c r="AU87" s="18"/>
      <c r="AV87" s="18">
        <f>+VLOOKUP(AN87,Leyenda!$B$30:$E$34,3,FALSE)</f>
        <v>2</v>
      </c>
      <c r="AW87" s="18">
        <f>+VLOOKUP('2. Logging Brejo Seco'!AO87,Meteorizacion,3,FALSE)</f>
        <v>3</v>
      </c>
      <c r="AX87" s="18">
        <f>+VLOOKUP('2. Logging Brejo Seco'!AP87,Apertura,3,FALSE)</f>
        <v>3</v>
      </c>
      <c r="AY87" s="18">
        <f>+VLOOKUP('2. Logging Brejo Seco'!AQ87,Leyenda!$B$55:$D$59,3,FALSE)</f>
        <v>3</v>
      </c>
      <c r="AZ87" s="18">
        <f>+VLOOKUP('2. Logging Brejo Seco'!AR87,Relleno,3,FALSE)</f>
        <v>2</v>
      </c>
      <c r="BA87" s="18">
        <f t="shared" si="45"/>
        <v>13</v>
      </c>
      <c r="BB87" s="49">
        <f t="shared" si="29"/>
        <v>0</v>
      </c>
      <c r="BC87" s="49">
        <f>VLOOKUP(AM87,Leyenda!$B$4:$D$10,3,FALSE)</f>
        <v>2</v>
      </c>
      <c r="BD87" s="50">
        <f t="shared" si="35"/>
        <v>7</v>
      </c>
      <c r="BE87" s="49">
        <f t="shared" si="36"/>
        <v>13</v>
      </c>
      <c r="BF87" s="49">
        <f>VLOOKUP(AS87,Leyenda!$B$70:$D$75,3,FALSE)</f>
        <v>15</v>
      </c>
      <c r="BG87" s="67">
        <f t="shared" si="30"/>
        <v>19.5</v>
      </c>
      <c r="BH87" s="67">
        <f>VLOOKUP(AM87,Leyenda!$B$4:$E$10,4,FALSE)</f>
        <v>2</v>
      </c>
      <c r="BI87" s="67">
        <f t="shared" si="37"/>
        <v>6</v>
      </c>
      <c r="BJ87" s="67">
        <f t="shared" si="31"/>
        <v>0</v>
      </c>
      <c r="BK87" s="67">
        <f>+VLOOKUP('2. Logging Brejo Seco'!AP87,Leyenda!$B$47:$E$51,4,FALSE)</f>
        <v>3</v>
      </c>
      <c r="BL87" s="67">
        <f>+VLOOKUP('2. Logging Brejo Seco'!AQ87,Leyenda!$B$55:$E$59,4,FALSE)</f>
        <v>3</v>
      </c>
      <c r="BM87" s="67">
        <f>+VLOOKUP('2. Logging Brejo Seco'!AR87,Leyenda!$B$63:$E$67,3,FALSE)</f>
        <v>2</v>
      </c>
      <c r="BN87" s="67">
        <f>+VLOOKUP('2. Logging Brejo Seco'!AO87,Leyenda!$B$39:$E$43,4,FALSE)</f>
        <v>3</v>
      </c>
      <c r="BO87" s="67">
        <f>+VLOOKUP('2. Logging Brejo Seco'!AN87,Leyenda!$B$30:$E$34,4,FALSE)</f>
        <v>3</v>
      </c>
      <c r="BP87" s="67">
        <f>VLOOKUP(AS87,Leyenda!$B$71:$E$75,4,FALSE)</f>
        <v>10</v>
      </c>
      <c r="BQ87" s="125">
        <f t="shared" si="38"/>
        <v>32</v>
      </c>
      <c r="BR87" s="85">
        <f t="shared" si="39"/>
        <v>37</v>
      </c>
      <c r="BS87" s="240">
        <f t="shared" si="40"/>
        <v>0.19999999999999996</v>
      </c>
      <c r="BT87" s="18"/>
    </row>
    <row r="88" spans="1:72" x14ac:dyDescent="0.25">
      <c r="A88" s="18" t="s">
        <v>6</v>
      </c>
      <c r="B88" s="18">
        <v>2024</v>
      </c>
      <c r="C88" s="18" t="s">
        <v>138</v>
      </c>
      <c r="D88" s="18" t="s">
        <v>10</v>
      </c>
      <c r="E88" s="18">
        <v>10</v>
      </c>
      <c r="F88" s="18">
        <v>10</v>
      </c>
      <c r="G88" s="18" t="s">
        <v>135</v>
      </c>
      <c r="H88" s="248">
        <f t="shared" si="42"/>
        <v>10</v>
      </c>
      <c r="I88" s="135"/>
      <c r="J88" s="18" t="s">
        <v>163</v>
      </c>
      <c r="K88" s="31">
        <f t="shared" si="41"/>
        <v>46.55</v>
      </c>
      <c r="L88" s="31">
        <v>47.05</v>
      </c>
      <c r="M88" s="4">
        <f t="shared" si="32"/>
        <v>0.5</v>
      </c>
      <c r="N88" s="5">
        <v>0.78</v>
      </c>
      <c r="O88" s="5">
        <f t="shared" si="27"/>
        <v>0.21999999999999997</v>
      </c>
      <c r="P88" s="31">
        <f t="shared" si="33"/>
        <v>0.39</v>
      </c>
      <c r="Q88" s="31">
        <f t="shared" si="28"/>
        <v>0.39</v>
      </c>
      <c r="R88" s="31">
        <v>78</v>
      </c>
      <c r="S88" s="31">
        <v>5</v>
      </c>
      <c r="T88" s="31">
        <v>0.33</v>
      </c>
      <c r="U88" s="31">
        <v>0</v>
      </c>
      <c r="V88" s="86">
        <f t="shared" si="43"/>
        <v>0</v>
      </c>
      <c r="W88" s="31">
        <v>7</v>
      </c>
      <c r="X88" s="31"/>
      <c r="Y88" s="31">
        <f t="shared" si="44"/>
        <v>7</v>
      </c>
      <c r="Z88" s="31">
        <f t="shared" si="26"/>
        <v>47.142857142857146</v>
      </c>
      <c r="AA88" s="18">
        <v>40</v>
      </c>
      <c r="AB88" s="18" t="s">
        <v>96</v>
      </c>
      <c r="AC88" s="18" t="s">
        <v>118</v>
      </c>
      <c r="AD88" s="18" t="s">
        <v>337</v>
      </c>
      <c r="AE88" s="18">
        <v>5</v>
      </c>
      <c r="AF88" s="18">
        <v>78</v>
      </c>
      <c r="AG88" s="18" t="s">
        <v>29</v>
      </c>
      <c r="AH88" s="18" t="str">
        <f t="shared" si="46"/>
        <v>R2</v>
      </c>
      <c r="AI88" s="18" t="str">
        <f>+VLOOKUP(AH88,Leyenda!$O$4:$U$10,6,FALSE)</f>
        <v>0,25-0,35</v>
      </c>
      <c r="AJ88" s="18" t="str">
        <f>+VLOOKUP(AH88,Leyenda!$O$4:$U$10,7,FALSE)</f>
        <v>No Blasting need</v>
      </c>
      <c r="AK88" s="18">
        <f>+VLOOKUP(AJ88,Leyenda!$U$4:$V$10,2,FALSE)</f>
        <v>2</v>
      </c>
      <c r="AL88" s="18" t="s">
        <v>32</v>
      </c>
      <c r="AM88" s="18" t="str">
        <f t="shared" si="34"/>
        <v>R2</v>
      </c>
      <c r="AN88" s="18" t="s">
        <v>64</v>
      </c>
      <c r="AO88" s="18" t="s">
        <v>79</v>
      </c>
      <c r="AP88" s="18" t="s">
        <v>92</v>
      </c>
      <c r="AQ88" s="18" t="s">
        <v>109</v>
      </c>
      <c r="AR88" s="18" t="s">
        <v>118</v>
      </c>
      <c r="AS88" s="18" t="s">
        <v>198</v>
      </c>
      <c r="AT88" s="18"/>
      <c r="AU88" s="18"/>
      <c r="AV88" s="18">
        <f>+VLOOKUP(AN88,Leyenda!$B$30:$E$34,3,FALSE)</f>
        <v>2</v>
      </c>
      <c r="AW88" s="18">
        <f>+VLOOKUP('2. Logging Brejo Seco'!AO88,Meteorizacion,3,FALSE)</f>
        <v>1</v>
      </c>
      <c r="AX88" s="18">
        <f>+VLOOKUP('2. Logging Brejo Seco'!AP88,Apertura,3,FALSE)</f>
        <v>3</v>
      </c>
      <c r="AY88" s="18">
        <f>+VLOOKUP('2. Logging Brejo Seco'!AQ88,Leyenda!$B$55:$D$59,3,FALSE)</f>
        <v>1</v>
      </c>
      <c r="AZ88" s="18">
        <f>+VLOOKUP('2. Logging Brejo Seco'!AR88,Relleno,3,FALSE)</f>
        <v>2</v>
      </c>
      <c r="BA88" s="18">
        <f t="shared" si="45"/>
        <v>9</v>
      </c>
      <c r="BB88" s="49">
        <f t="shared" si="29"/>
        <v>0</v>
      </c>
      <c r="BC88" s="49">
        <f>VLOOKUP(AM88,Leyenda!$B$4:$D$10,3,FALSE)</f>
        <v>2</v>
      </c>
      <c r="BD88" s="50">
        <f t="shared" si="35"/>
        <v>6</v>
      </c>
      <c r="BE88" s="49">
        <f t="shared" si="36"/>
        <v>9</v>
      </c>
      <c r="BF88" s="49">
        <f>VLOOKUP(AS88,Leyenda!$B$70:$D$75,3,FALSE)</f>
        <v>15</v>
      </c>
      <c r="BG88" s="67">
        <f t="shared" si="30"/>
        <v>13.5</v>
      </c>
      <c r="BH88" s="67">
        <f>VLOOKUP(AM88,Leyenda!$B$4:$E$10,4,FALSE)</f>
        <v>2</v>
      </c>
      <c r="BI88" s="67">
        <f t="shared" si="37"/>
        <v>5</v>
      </c>
      <c r="BJ88" s="67">
        <f t="shared" si="31"/>
        <v>0</v>
      </c>
      <c r="BK88" s="67">
        <f>+VLOOKUP('2. Logging Brejo Seco'!AP88,Leyenda!$B$47:$E$51,4,FALSE)</f>
        <v>3</v>
      </c>
      <c r="BL88" s="67">
        <f>+VLOOKUP('2. Logging Brejo Seco'!AQ88,Leyenda!$B$55:$E$59,4,FALSE)</f>
        <v>1</v>
      </c>
      <c r="BM88" s="67">
        <f>+VLOOKUP('2. Logging Brejo Seco'!AR88,Leyenda!$B$63:$E$67,3,FALSE)</f>
        <v>2</v>
      </c>
      <c r="BN88" s="67">
        <f>+VLOOKUP('2. Logging Brejo Seco'!AO88,Leyenda!$B$39:$E$43,4,FALSE)</f>
        <v>1</v>
      </c>
      <c r="BO88" s="67">
        <f>+VLOOKUP('2. Logging Brejo Seco'!AN88,Leyenda!$B$30:$E$34,4,FALSE)</f>
        <v>3</v>
      </c>
      <c r="BP88" s="67">
        <f>VLOOKUP(AS88,Leyenda!$B$71:$E$75,4,FALSE)</f>
        <v>10</v>
      </c>
      <c r="BQ88" s="125">
        <f t="shared" si="38"/>
        <v>27</v>
      </c>
      <c r="BR88" s="85">
        <f t="shared" si="39"/>
        <v>32</v>
      </c>
      <c r="BS88" s="240">
        <f t="shared" si="40"/>
        <v>0.21999999999999997</v>
      </c>
      <c r="BT88" s="18"/>
    </row>
    <row r="89" spans="1:72" x14ac:dyDescent="0.25">
      <c r="A89" s="18" t="s">
        <v>6</v>
      </c>
      <c r="B89" s="18">
        <v>2024</v>
      </c>
      <c r="C89" s="18" t="s">
        <v>138</v>
      </c>
      <c r="D89" s="18" t="s">
        <v>10</v>
      </c>
      <c r="E89" s="18">
        <v>10</v>
      </c>
      <c r="F89" s="18">
        <v>10</v>
      </c>
      <c r="G89" s="18" t="s">
        <v>135</v>
      </c>
      <c r="H89" s="248">
        <f t="shared" si="42"/>
        <v>10</v>
      </c>
      <c r="I89" s="135"/>
      <c r="J89" s="18" t="s">
        <v>163</v>
      </c>
      <c r="K89" s="31">
        <f t="shared" si="41"/>
        <v>47.05</v>
      </c>
      <c r="L89" s="31">
        <v>47.55</v>
      </c>
      <c r="M89" s="4">
        <f t="shared" si="32"/>
        <v>0.5</v>
      </c>
      <c r="N89" s="5">
        <v>0.9</v>
      </c>
      <c r="O89" s="5">
        <f t="shared" si="27"/>
        <v>9.9999999999999978E-2</v>
      </c>
      <c r="P89" s="31">
        <f t="shared" si="33"/>
        <v>0.45</v>
      </c>
      <c r="Q89" s="31">
        <f t="shared" si="28"/>
        <v>0.45</v>
      </c>
      <c r="R89" s="31">
        <v>30</v>
      </c>
      <c r="S89" s="31">
        <v>15</v>
      </c>
      <c r="T89" s="31">
        <v>0.45</v>
      </c>
      <c r="U89" s="31">
        <v>0.18</v>
      </c>
      <c r="V89" s="86">
        <f t="shared" si="43"/>
        <v>36</v>
      </c>
      <c r="W89" s="31">
        <v>3</v>
      </c>
      <c r="X89" s="31"/>
      <c r="Y89" s="31">
        <f t="shared" si="44"/>
        <v>3</v>
      </c>
      <c r="Z89" s="31">
        <f t="shared" si="26"/>
        <v>150</v>
      </c>
      <c r="AA89" s="18">
        <v>0</v>
      </c>
      <c r="AB89" s="18" t="s">
        <v>100</v>
      </c>
      <c r="AC89" s="18" t="s">
        <v>122</v>
      </c>
      <c r="AD89" s="18" t="s">
        <v>337</v>
      </c>
      <c r="AE89" s="18">
        <v>15</v>
      </c>
      <c r="AF89" s="18">
        <v>30</v>
      </c>
      <c r="AG89" s="18" t="s">
        <v>29</v>
      </c>
      <c r="AH89" s="18" t="str">
        <f t="shared" si="46"/>
        <v>R2</v>
      </c>
      <c r="AI89" s="18" t="str">
        <f>+VLOOKUP(AH89,Leyenda!$O$4:$U$10,6,FALSE)</f>
        <v>0,25-0,35</v>
      </c>
      <c r="AJ89" s="18" t="str">
        <f>+VLOOKUP(AH89,Leyenda!$O$4:$U$10,7,FALSE)</f>
        <v>No Blasting need</v>
      </c>
      <c r="AK89" s="18">
        <f>+VLOOKUP(AJ89,Leyenda!$U$4:$V$10,2,FALSE)</f>
        <v>2</v>
      </c>
      <c r="AL89" s="18" t="s">
        <v>29</v>
      </c>
      <c r="AM89" s="18" t="str">
        <f t="shared" si="34"/>
        <v>R2</v>
      </c>
      <c r="AN89" s="18" t="s">
        <v>64</v>
      </c>
      <c r="AO89" s="18" t="s">
        <v>77</v>
      </c>
      <c r="AP89" s="18" t="s">
        <v>92</v>
      </c>
      <c r="AQ89" s="18" t="s">
        <v>107</v>
      </c>
      <c r="AR89" s="18" t="s">
        <v>116</v>
      </c>
      <c r="AS89" s="18" t="s">
        <v>198</v>
      </c>
      <c r="AT89" s="18"/>
      <c r="AU89" s="18"/>
      <c r="AV89" s="18">
        <f>+VLOOKUP(AN89,Leyenda!$B$30:$E$34,3,FALSE)</f>
        <v>2</v>
      </c>
      <c r="AW89" s="18">
        <f>+VLOOKUP('2. Logging Brejo Seco'!AO89,Meteorizacion,3,FALSE)</f>
        <v>3</v>
      </c>
      <c r="AX89" s="18">
        <f>+VLOOKUP('2. Logging Brejo Seco'!AP89,Apertura,3,FALSE)</f>
        <v>3</v>
      </c>
      <c r="AY89" s="18">
        <f>+VLOOKUP('2. Logging Brejo Seco'!AQ89,Leyenda!$B$55:$D$59,3,FALSE)</f>
        <v>3</v>
      </c>
      <c r="AZ89" s="18">
        <f>+VLOOKUP('2. Logging Brejo Seco'!AR89,Relleno,3,FALSE)</f>
        <v>4</v>
      </c>
      <c r="BA89" s="18">
        <f t="shared" si="45"/>
        <v>15</v>
      </c>
      <c r="BB89" s="49">
        <f t="shared" si="29"/>
        <v>8</v>
      </c>
      <c r="BC89" s="49">
        <f>VLOOKUP(AM89,Leyenda!$B$4:$D$10,3,FALSE)</f>
        <v>2</v>
      </c>
      <c r="BD89" s="50">
        <f t="shared" si="35"/>
        <v>8</v>
      </c>
      <c r="BE89" s="49">
        <f t="shared" si="36"/>
        <v>15</v>
      </c>
      <c r="BF89" s="49">
        <f>VLOOKUP(AS89,Leyenda!$B$70:$D$75,3,FALSE)</f>
        <v>15</v>
      </c>
      <c r="BG89" s="67">
        <f t="shared" si="30"/>
        <v>40.5</v>
      </c>
      <c r="BH89" s="67">
        <f>VLOOKUP(AM89,Leyenda!$B$4:$E$10,4,FALSE)</f>
        <v>2</v>
      </c>
      <c r="BI89" s="67">
        <f t="shared" si="37"/>
        <v>11</v>
      </c>
      <c r="BJ89" s="67">
        <f t="shared" si="31"/>
        <v>8</v>
      </c>
      <c r="BK89" s="67">
        <f>+VLOOKUP('2. Logging Brejo Seco'!AP89,Leyenda!$B$47:$E$51,4,FALSE)</f>
        <v>3</v>
      </c>
      <c r="BL89" s="67">
        <f>+VLOOKUP('2. Logging Brejo Seco'!AQ89,Leyenda!$B$55:$E$59,4,FALSE)</f>
        <v>3</v>
      </c>
      <c r="BM89" s="67">
        <f>+VLOOKUP('2. Logging Brejo Seco'!AR89,Leyenda!$B$63:$E$67,3,FALSE)</f>
        <v>4</v>
      </c>
      <c r="BN89" s="67">
        <f>+VLOOKUP('2. Logging Brejo Seco'!AO89,Leyenda!$B$39:$E$43,4,FALSE)</f>
        <v>3</v>
      </c>
      <c r="BO89" s="67">
        <f>+VLOOKUP('2. Logging Brejo Seco'!AN89,Leyenda!$B$30:$E$34,4,FALSE)</f>
        <v>3</v>
      </c>
      <c r="BP89" s="67">
        <f>VLOOKUP(AS89,Leyenda!$B$71:$E$75,4,FALSE)</f>
        <v>10</v>
      </c>
      <c r="BQ89" s="125">
        <f t="shared" si="38"/>
        <v>47</v>
      </c>
      <c r="BR89" s="125">
        <f t="shared" si="39"/>
        <v>48</v>
      </c>
      <c r="BS89" s="240">
        <f t="shared" si="40"/>
        <v>9.9999999999999978E-2</v>
      </c>
      <c r="BT89" s="18"/>
    </row>
    <row r="90" spans="1:72" x14ac:dyDescent="0.25">
      <c r="A90" s="18" t="s">
        <v>6</v>
      </c>
      <c r="B90" s="18">
        <v>2024</v>
      </c>
      <c r="C90" s="18" t="s">
        <v>138</v>
      </c>
      <c r="D90" s="18" t="s">
        <v>10</v>
      </c>
      <c r="E90" s="18">
        <v>10</v>
      </c>
      <c r="F90" s="18">
        <v>10</v>
      </c>
      <c r="G90" s="18" t="s">
        <v>135</v>
      </c>
      <c r="H90" s="248">
        <f t="shared" si="42"/>
        <v>10</v>
      </c>
      <c r="I90" s="135"/>
      <c r="J90" s="18" t="s">
        <v>163</v>
      </c>
      <c r="K90" s="31">
        <f t="shared" si="41"/>
        <v>47.55</v>
      </c>
      <c r="L90" s="31">
        <v>48.05</v>
      </c>
      <c r="M90" s="4">
        <f t="shared" si="32"/>
        <v>0.5</v>
      </c>
      <c r="N90" s="5">
        <v>0.86</v>
      </c>
      <c r="O90" s="5">
        <f t="shared" si="27"/>
        <v>0.14000000000000001</v>
      </c>
      <c r="P90" s="31">
        <f t="shared" si="33"/>
        <v>0.43</v>
      </c>
      <c r="Q90" s="31">
        <f t="shared" si="28"/>
        <v>0.43</v>
      </c>
      <c r="R90" s="31">
        <v>21.5</v>
      </c>
      <c r="S90" s="31">
        <v>20</v>
      </c>
      <c r="T90" s="31">
        <v>0.39</v>
      </c>
      <c r="U90" s="31">
        <v>0.14000000000000001</v>
      </c>
      <c r="V90" s="86">
        <f t="shared" si="43"/>
        <v>28.000000000000004</v>
      </c>
      <c r="W90" s="31">
        <v>6</v>
      </c>
      <c r="X90" s="31"/>
      <c r="Y90" s="31">
        <f t="shared" si="44"/>
        <v>6</v>
      </c>
      <c r="Z90" s="31">
        <f t="shared" si="26"/>
        <v>65</v>
      </c>
      <c r="AA90" s="18">
        <v>0</v>
      </c>
      <c r="AB90" s="18" t="s">
        <v>100</v>
      </c>
      <c r="AC90" s="18" t="s">
        <v>333</v>
      </c>
      <c r="AD90" s="18" t="s">
        <v>336</v>
      </c>
      <c r="AE90" s="18">
        <v>20</v>
      </c>
      <c r="AF90" s="18">
        <v>21.5</v>
      </c>
      <c r="AG90" s="18" t="s">
        <v>32</v>
      </c>
      <c r="AH90" s="18" t="str">
        <f t="shared" si="46"/>
        <v>R1</v>
      </c>
      <c r="AI90" s="18" t="str">
        <f>+VLOOKUP(AH90,Leyenda!$O$4:$U$10,6,FALSE)</f>
        <v>0,15-0,25</v>
      </c>
      <c r="AJ90" s="18" t="str">
        <f>+VLOOKUP(AH90,Leyenda!$O$4:$U$10,7,FALSE)</f>
        <v>No Blasting need</v>
      </c>
      <c r="AK90" s="18">
        <f>+VLOOKUP(AJ90,Leyenda!$U$4:$V$10,2,FALSE)</f>
        <v>2</v>
      </c>
      <c r="AL90" s="18" t="s">
        <v>32</v>
      </c>
      <c r="AM90" s="18" t="str">
        <f t="shared" si="34"/>
        <v>R1</v>
      </c>
      <c r="AN90" s="18" t="s">
        <v>66</v>
      </c>
      <c r="AO90" s="18" t="s">
        <v>79</v>
      </c>
      <c r="AP90" s="18" t="s">
        <v>92</v>
      </c>
      <c r="AQ90" s="18" t="s">
        <v>107</v>
      </c>
      <c r="AR90" s="18" t="s">
        <v>120</v>
      </c>
      <c r="AS90" s="18" t="s">
        <v>198</v>
      </c>
      <c r="AT90" s="18" t="s">
        <v>221</v>
      </c>
      <c r="AU90" s="18"/>
      <c r="AV90" s="18">
        <f>+VLOOKUP(AN90,Leyenda!$B$30:$E$34,3,FALSE)</f>
        <v>1</v>
      </c>
      <c r="AW90" s="18">
        <f>+VLOOKUP('2. Logging Brejo Seco'!AO90,Meteorizacion,3,FALSE)</f>
        <v>1</v>
      </c>
      <c r="AX90" s="18">
        <f>+VLOOKUP('2. Logging Brejo Seco'!AP90,Apertura,3,FALSE)</f>
        <v>3</v>
      </c>
      <c r="AY90" s="18">
        <f>+VLOOKUP('2. Logging Brejo Seco'!AQ90,Leyenda!$B$55:$D$59,3,FALSE)</f>
        <v>3</v>
      </c>
      <c r="AZ90" s="18">
        <f>+VLOOKUP('2. Logging Brejo Seco'!AR90,Relleno,3,FALSE)</f>
        <v>2</v>
      </c>
      <c r="BA90" s="18">
        <f t="shared" si="45"/>
        <v>10</v>
      </c>
      <c r="BB90" s="49">
        <f t="shared" si="29"/>
        <v>6</v>
      </c>
      <c r="BC90" s="49">
        <f>VLOOKUP(AM90,Leyenda!$B$4:$D$10,3,FALSE)</f>
        <v>1</v>
      </c>
      <c r="BD90" s="50">
        <f t="shared" si="35"/>
        <v>6</v>
      </c>
      <c r="BE90" s="49">
        <f t="shared" si="36"/>
        <v>10</v>
      </c>
      <c r="BF90" s="49">
        <f>VLOOKUP(AS90,Leyenda!$B$70:$D$75,3,FALSE)</f>
        <v>15</v>
      </c>
      <c r="BG90" s="67">
        <f t="shared" si="30"/>
        <v>29</v>
      </c>
      <c r="BH90" s="67">
        <f>VLOOKUP(AM90,Leyenda!$B$4:$E$10,4,FALSE)</f>
        <v>1</v>
      </c>
      <c r="BI90" s="67">
        <f t="shared" si="37"/>
        <v>6</v>
      </c>
      <c r="BJ90" s="67">
        <f t="shared" si="31"/>
        <v>6</v>
      </c>
      <c r="BK90" s="67">
        <f>+VLOOKUP('2. Logging Brejo Seco'!AP90,Leyenda!$B$47:$E$51,4,FALSE)</f>
        <v>3</v>
      </c>
      <c r="BL90" s="67">
        <f>+VLOOKUP('2. Logging Brejo Seco'!AQ90,Leyenda!$B$55:$E$59,4,FALSE)</f>
        <v>3</v>
      </c>
      <c r="BM90" s="67">
        <f>+VLOOKUP('2. Logging Brejo Seco'!AR90,Leyenda!$B$63:$E$67,3,FALSE)</f>
        <v>2</v>
      </c>
      <c r="BN90" s="67">
        <f>+VLOOKUP('2. Logging Brejo Seco'!AO90,Leyenda!$B$39:$E$43,4,FALSE)</f>
        <v>1</v>
      </c>
      <c r="BO90" s="67">
        <f>+VLOOKUP('2. Logging Brejo Seco'!AN90,Leyenda!$B$30:$E$34,4,FALSE)</f>
        <v>1</v>
      </c>
      <c r="BP90" s="67">
        <f>VLOOKUP(AS90,Leyenda!$B$71:$E$75,4,FALSE)</f>
        <v>10</v>
      </c>
      <c r="BQ90" s="125">
        <f t="shared" si="38"/>
        <v>33</v>
      </c>
      <c r="BR90" s="125">
        <f t="shared" si="39"/>
        <v>38</v>
      </c>
      <c r="BS90" s="240">
        <f t="shared" si="40"/>
        <v>0.14000000000000001</v>
      </c>
      <c r="BT90" s="18"/>
    </row>
    <row r="91" spans="1:72" x14ac:dyDescent="0.25">
      <c r="A91" s="18" t="s">
        <v>6</v>
      </c>
      <c r="B91" s="18">
        <v>2024</v>
      </c>
      <c r="C91" s="18" t="s">
        <v>138</v>
      </c>
      <c r="D91" s="18" t="s">
        <v>10</v>
      </c>
      <c r="E91" s="18">
        <v>10</v>
      </c>
      <c r="F91" s="18">
        <v>10</v>
      </c>
      <c r="G91" s="18" t="s">
        <v>135</v>
      </c>
      <c r="H91" s="248">
        <f t="shared" si="42"/>
        <v>10</v>
      </c>
      <c r="I91" s="135"/>
      <c r="J91" s="18" t="s">
        <v>163</v>
      </c>
      <c r="K91" s="31">
        <f t="shared" si="41"/>
        <v>48.05</v>
      </c>
      <c r="L91" s="31">
        <v>48.55</v>
      </c>
      <c r="M91" s="4">
        <f t="shared" si="32"/>
        <v>0.5</v>
      </c>
      <c r="N91" s="5">
        <v>0.96</v>
      </c>
      <c r="O91" s="5">
        <f t="shared" si="27"/>
        <v>4.0000000000000036E-2</v>
      </c>
      <c r="P91" s="31">
        <f t="shared" si="33"/>
        <v>0.48</v>
      </c>
      <c r="Q91" s="31">
        <f t="shared" si="28"/>
        <v>0.48</v>
      </c>
      <c r="R91" s="31">
        <v>24</v>
      </c>
      <c r="S91" s="31">
        <v>20</v>
      </c>
      <c r="T91" s="31">
        <v>0.42</v>
      </c>
      <c r="U91" s="31">
        <v>0.12</v>
      </c>
      <c r="V91" s="86">
        <f t="shared" si="43"/>
        <v>24</v>
      </c>
      <c r="W91" s="31">
        <v>6</v>
      </c>
      <c r="X91" s="31"/>
      <c r="Y91" s="31">
        <f t="shared" si="44"/>
        <v>6</v>
      </c>
      <c r="Z91" s="31">
        <f t="shared" si="26"/>
        <v>70</v>
      </c>
      <c r="AA91" s="18">
        <v>0</v>
      </c>
      <c r="AB91" s="18" t="s">
        <v>100</v>
      </c>
      <c r="AC91" s="18" t="s">
        <v>333</v>
      </c>
      <c r="AD91" s="18" t="s">
        <v>336</v>
      </c>
      <c r="AE91" s="18">
        <v>20</v>
      </c>
      <c r="AF91" s="18">
        <v>24</v>
      </c>
      <c r="AG91" s="18" t="s">
        <v>32</v>
      </c>
      <c r="AH91" s="18" t="str">
        <f t="shared" si="46"/>
        <v>R1</v>
      </c>
      <c r="AI91" s="18" t="str">
        <f>+VLOOKUP(AH91,Leyenda!$O$4:$U$10,6,FALSE)</f>
        <v>0,15-0,25</v>
      </c>
      <c r="AJ91" s="18" t="str">
        <f>+VLOOKUP(AH91,Leyenda!$O$4:$U$10,7,FALSE)</f>
        <v>No Blasting need</v>
      </c>
      <c r="AK91" s="18">
        <f>+VLOOKUP(AJ91,Leyenda!$U$4:$V$10,2,FALSE)</f>
        <v>2</v>
      </c>
      <c r="AL91" s="128" t="s">
        <v>32</v>
      </c>
      <c r="AM91" s="18" t="str">
        <f t="shared" si="34"/>
        <v>R1</v>
      </c>
      <c r="AN91" s="18" t="s">
        <v>66</v>
      </c>
      <c r="AO91" s="18" t="s">
        <v>79</v>
      </c>
      <c r="AP91" s="18" t="s">
        <v>92</v>
      </c>
      <c r="AQ91" s="18" t="s">
        <v>107</v>
      </c>
      <c r="AR91" s="18" t="s">
        <v>118</v>
      </c>
      <c r="AS91" s="18" t="s">
        <v>198</v>
      </c>
      <c r="AT91" s="18" t="s">
        <v>221</v>
      </c>
      <c r="AU91" s="18"/>
      <c r="AV91" s="18">
        <f>+VLOOKUP(AN91,Leyenda!$B$30:$E$34,3,FALSE)</f>
        <v>1</v>
      </c>
      <c r="AW91" s="18">
        <f>+VLOOKUP('2. Logging Brejo Seco'!AO91,Meteorizacion,3,FALSE)</f>
        <v>1</v>
      </c>
      <c r="AX91" s="18">
        <f>+VLOOKUP('2. Logging Brejo Seco'!AP91,Apertura,3,FALSE)</f>
        <v>3</v>
      </c>
      <c r="AY91" s="18">
        <f>+VLOOKUP('2. Logging Brejo Seco'!AQ91,Leyenda!$B$55:$D$59,3,FALSE)</f>
        <v>3</v>
      </c>
      <c r="AZ91" s="18">
        <f>+VLOOKUP('2. Logging Brejo Seco'!AR91,Relleno,3,FALSE)</f>
        <v>2</v>
      </c>
      <c r="BA91" s="18">
        <f t="shared" si="45"/>
        <v>10</v>
      </c>
      <c r="BB91" s="49">
        <f t="shared" si="29"/>
        <v>5</v>
      </c>
      <c r="BC91" s="49">
        <f>VLOOKUP(AM91,Leyenda!$B$4:$D$10,3,FALSE)</f>
        <v>1</v>
      </c>
      <c r="BD91" s="50">
        <f t="shared" si="35"/>
        <v>6</v>
      </c>
      <c r="BE91" s="49">
        <f t="shared" si="36"/>
        <v>10</v>
      </c>
      <c r="BF91" s="49">
        <f>VLOOKUP(AS91,Leyenda!$B$70:$D$75,3,FALSE)</f>
        <v>15</v>
      </c>
      <c r="BG91" s="67">
        <f t="shared" si="30"/>
        <v>27</v>
      </c>
      <c r="BH91" s="67">
        <f>VLOOKUP(AM91,Leyenda!$B$4:$E$10,4,FALSE)</f>
        <v>1</v>
      </c>
      <c r="BI91" s="67">
        <f t="shared" si="37"/>
        <v>6</v>
      </c>
      <c r="BJ91" s="67">
        <f t="shared" si="31"/>
        <v>5</v>
      </c>
      <c r="BK91" s="67">
        <f>+VLOOKUP('2. Logging Brejo Seco'!AP91,Leyenda!$B$47:$E$51,4,FALSE)</f>
        <v>3</v>
      </c>
      <c r="BL91" s="67">
        <f>+VLOOKUP('2. Logging Brejo Seco'!AQ91,Leyenda!$B$55:$E$59,4,FALSE)</f>
        <v>3</v>
      </c>
      <c r="BM91" s="67">
        <f>+VLOOKUP('2. Logging Brejo Seco'!AR91,Leyenda!$B$63:$E$67,3,FALSE)</f>
        <v>2</v>
      </c>
      <c r="BN91" s="67">
        <f>+VLOOKUP('2. Logging Brejo Seco'!AO91,Leyenda!$B$39:$E$43,4,FALSE)</f>
        <v>1</v>
      </c>
      <c r="BO91" s="67">
        <f>+VLOOKUP('2. Logging Brejo Seco'!AN91,Leyenda!$B$30:$E$34,4,FALSE)</f>
        <v>1</v>
      </c>
      <c r="BP91" s="67">
        <f>VLOOKUP(AS91,Leyenda!$B$71:$E$75,4,FALSE)</f>
        <v>10</v>
      </c>
      <c r="BQ91" s="125">
        <f t="shared" si="38"/>
        <v>32</v>
      </c>
      <c r="BR91" s="125">
        <f t="shared" si="39"/>
        <v>37</v>
      </c>
      <c r="BS91" s="240">
        <f t="shared" si="40"/>
        <v>4.0000000000000036E-2</v>
      </c>
      <c r="BT91" s="18"/>
    </row>
    <row r="92" spans="1:72" x14ac:dyDescent="0.25">
      <c r="A92" s="18" t="s">
        <v>6</v>
      </c>
      <c r="B92" s="18">
        <v>2024</v>
      </c>
      <c r="C92" s="18" t="s">
        <v>138</v>
      </c>
      <c r="D92" s="18" t="s">
        <v>10</v>
      </c>
      <c r="E92" s="18">
        <v>10</v>
      </c>
      <c r="F92" s="18">
        <v>10</v>
      </c>
      <c r="G92" s="18" t="s">
        <v>135</v>
      </c>
      <c r="H92" s="248">
        <f t="shared" si="42"/>
        <v>10</v>
      </c>
      <c r="I92" s="135"/>
      <c r="J92" s="18" t="s">
        <v>163</v>
      </c>
      <c r="K92" s="31">
        <f t="shared" si="41"/>
        <v>48.55</v>
      </c>
      <c r="L92" s="31">
        <v>49.05</v>
      </c>
      <c r="M92" s="4">
        <f t="shared" si="32"/>
        <v>0.5</v>
      </c>
      <c r="N92" s="5">
        <v>0.9</v>
      </c>
      <c r="O92" s="5">
        <f t="shared" si="27"/>
        <v>9.9999999999999978E-2</v>
      </c>
      <c r="P92" s="31">
        <f t="shared" si="33"/>
        <v>0.45</v>
      </c>
      <c r="Q92" s="31">
        <f t="shared" si="28"/>
        <v>0.45</v>
      </c>
      <c r="R92" s="31">
        <v>22.5</v>
      </c>
      <c r="S92" s="31">
        <v>20</v>
      </c>
      <c r="T92" s="31">
        <v>0.4</v>
      </c>
      <c r="U92" s="31">
        <v>0</v>
      </c>
      <c r="V92" s="86">
        <f t="shared" si="43"/>
        <v>0</v>
      </c>
      <c r="W92" s="31">
        <v>14</v>
      </c>
      <c r="X92" s="31"/>
      <c r="Y92" s="31">
        <f t="shared" si="44"/>
        <v>14</v>
      </c>
      <c r="Z92" s="31">
        <f t="shared" si="26"/>
        <v>28.571428571428573</v>
      </c>
      <c r="AA92" s="18">
        <v>0</v>
      </c>
      <c r="AB92" s="18" t="s">
        <v>100</v>
      </c>
      <c r="AC92" s="18" t="s">
        <v>333</v>
      </c>
      <c r="AD92" s="18" t="s">
        <v>336</v>
      </c>
      <c r="AE92" s="18">
        <v>20</v>
      </c>
      <c r="AF92" s="18">
        <v>22.5</v>
      </c>
      <c r="AG92" s="18" t="s">
        <v>32</v>
      </c>
      <c r="AH92" s="18" t="str">
        <f t="shared" si="46"/>
        <v>R1</v>
      </c>
      <c r="AI92" s="18" t="str">
        <f>+VLOOKUP(AH92,Leyenda!$O$4:$U$10,6,FALSE)</f>
        <v>0,15-0,25</v>
      </c>
      <c r="AJ92" s="18" t="str">
        <f>+VLOOKUP(AH92,Leyenda!$O$4:$U$10,7,FALSE)</f>
        <v>No Blasting need</v>
      </c>
      <c r="AK92" s="18">
        <f>+VLOOKUP(AJ92,Leyenda!$U$4:$V$10,2,FALSE)</f>
        <v>2</v>
      </c>
      <c r="AL92" s="18" t="s">
        <v>32</v>
      </c>
      <c r="AM92" s="18" t="str">
        <f t="shared" si="34"/>
        <v>R1</v>
      </c>
      <c r="AN92" s="18" t="s">
        <v>66</v>
      </c>
      <c r="AO92" s="18" t="s">
        <v>81</v>
      </c>
      <c r="AP92" s="18" t="s">
        <v>92</v>
      </c>
      <c r="AQ92" s="18" t="s">
        <v>107</v>
      </c>
      <c r="AR92" s="18" t="s">
        <v>118</v>
      </c>
      <c r="AS92" s="18" t="s">
        <v>198</v>
      </c>
      <c r="AT92" s="18" t="s">
        <v>222</v>
      </c>
      <c r="AU92" s="18"/>
      <c r="AV92" s="18">
        <f>+VLOOKUP(AN92,Leyenda!$B$30:$E$34,3,FALSE)</f>
        <v>1</v>
      </c>
      <c r="AW92" s="18">
        <f>+VLOOKUP('2. Logging Brejo Seco'!AO92,Meteorizacion,3,FALSE)</f>
        <v>0</v>
      </c>
      <c r="AX92" s="18">
        <f>+VLOOKUP('2. Logging Brejo Seco'!AP92,Apertura,3,FALSE)</f>
        <v>3</v>
      </c>
      <c r="AY92" s="18">
        <f>+VLOOKUP('2. Logging Brejo Seco'!AQ92,Leyenda!$B$55:$D$59,3,FALSE)</f>
        <v>3</v>
      </c>
      <c r="AZ92" s="18">
        <f>+VLOOKUP('2. Logging Brejo Seco'!AR92,Relleno,3,FALSE)</f>
        <v>2</v>
      </c>
      <c r="BA92" s="18">
        <f t="shared" si="45"/>
        <v>9</v>
      </c>
      <c r="BB92" s="49">
        <f t="shared" si="29"/>
        <v>0</v>
      </c>
      <c r="BC92" s="49">
        <f>VLOOKUP(AM92,Leyenda!$B$4:$D$10,3,FALSE)</f>
        <v>1</v>
      </c>
      <c r="BD92" s="50">
        <f t="shared" si="35"/>
        <v>5</v>
      </c>
      <c r="BE92" s="49">
        <f t="shared" si="36"/>
        <v>9</v>
      </c>
      <c r="BF92" s="49">
        <f>VLOOKUP(AS92,Leyenda!$B$70:$D$75,3,FALSE)</f>
        <v>15</v>
      </c>
      <c r="BG92" s="67">
        <f t="shared" si="30"/>
        <v>13.5</v>
      </c>
      <c r="BH92" s="67">
        <f>VLOOKUP(AM92,Leyenda!$B$4:$E$10,4,FALSE)</f>
        <v>1</v>
      </c>
      <c r="BI92" s="67">
        <f t="shared" si="37"/>
        <v>5</v>
      </c>
      <c r="BJ92" s="67">
        <f t="shared" si="31"/>
        <v>0</v>
      </c>
      <c r="BK92" s="67">
        <f>+VLOOKUP('2. Logging Brejo Seco'!AP92,Leyenda!$B$47:$E$51,4,FALSE)</f>
        <v>3</v>
      </c>
      <c r="BL92" s="67">
        <f>+VLOOKUP('2. Logging Brejo Seco'!AQ92,Leyenda!$B$55:$E$59,4,FALSE)</f>
        <v>3</v>
      </c>
      <c r="BM92" s="67">
        <f>+VLOOKUP('2. Logging Brejo Seco'!AR92,Leyenda!$B$63:$E$67,3,FALSE)</f>
        <v>2</v>
      </c>
      <c r="BN92" s="67">
        <f>+VLOOKUP('2. Logging Brejo Seco'!AO92,Leyenda!$B$39:$E$43,4,FALSE)</f>
        <v>0</v>
      </c>
      <c r="BO92" s="67">
        <f>+VLOOKUP('2. Logging Brejo Seco'!AN92,Leyenda!$B$30:$E$34,4,FALSE)</f>
        <v>1</v>
      </c>
      <c r="BP92" s="67">
        <f>VLOOKUP(AS92,Leyenda!$B$71:$E$75,4,FALSE)</f>
        <v>10</v>
      </c>
      <c r="BQ92" s="125">
        <f t="shared" si="38"/>
        <v>25</v>
      </c>
      <c r="BR92" s="125">
        <f t="shared" si="39"/>
        <v>30</v>
      </c>
      <c r="BS92" s="240">
        <f t="shared" si="40"/>
        <v>9.9999999999999978E-2</v>
      </c>
      <c r="BT92" s="18"/>
    </row>
    <row r="93" spans="1:72" x14ac:dyDescent="0.25">
      <c r="A93" s="18" t="s">
        <v>6</v>
      </c>
      <c r="B93" s="18">
        <v>2024</v>
      </c>
      <c r="C93" s="18" t="s">
        <v>138</v>
      </c>
      <c r="D93" s="18" t="s">
        <v>10</v>
      </c>
      <c r="E93" s="18">
        <v>10</v>
      </c>
      <c r="F93" s="18">
        <v>10</v>
      </c>
      <c r="G93" s="18" t="s">
        <v>135</v>
      </c>
      <c r="H93" s="248">
        <f t="shared" si="42"/>
        <v>10</v>
      </c>
      <c r="I93" s="135"/>
      <c r="J93" s="18" t="s">
        <v>163</v>
      </c>
      <c r="K93" s="31">
        <f t="shared" si="41"/>
        <v>49.05</v>
      </c>
      <c r="L93" s="31">
        <v>49.6</v>
      </c>
      <c r="M93" s="4">
        <f t="shared" si="32"/>
        <v>0.55000000000000426</v>
      </c>
      <c r="N93" s="5">
        <v>1</v>
      </c>
      <c r="O93" s="5">
        <f t="shared" si="27"/>
        <v>0</v>
      </c>
      <c r="P93" s="31">
        <f t="shared" si="33"/>
        <v>0.55000000000000426</v>
      </c>
      <c r="Q93" s="31">
        <f t="shared" si="28"/>
        <v>0.55000000000000426</v>
      </c>
      <c r="R93" s="31">
        <v>27.500000000000217</v>
      </c>
      <c r="S93" s="31">
        <v>20</v>
      </c>
      <c r="T93" s="31">
        <v>0.43</v>
      </c>
      <c r="U93" s="31">
        <v>0.19</v>
      </c>
      <c r="V93" s="86">
        <f t="shared" si="43"/>
        <v>34.545454545454277</v>
      </c>
      <c r="W93" s="31">
        <v>6</v>
      </c>
      <c r="X93" s="31"/>
      <c r="Y93" s="31">
        <f t="shared" si="44"/>
        <v>6</v>
      </c>
      <c r="Z93" s="31">
        <f t="shared" si="26"/>
        <v>71.666666666666671</v>
      </c>
      <c r="AA93" s="18">
        <v>0</v>
      </c>
      <c r="AB93" s="18" t="s">
        <v>100</v>
      </c>
      <c r="AC93" s="18" t="s">
        <v>333</v>
      </c>
      <c r="AD93" s="18" t="s">
        <v>336</v>
      </c>
      <c r="AE93" s="18">
        <v>20</v>
      </c>
      <c r="AF93" s="18">
        <v>27.500000000000217</v>
      </c>
      <c r="AG93" s="18" t="s">
        <v>32</v>
      </c>
      <c r="AH93" s="18" t="str">
        <f t="shared" si="46"/>
        <v>R1</v>
      </c>
      <c r="AI93" s="18" t="str">
        <f>+VLOOKUP(AH93,Leyenda!$O$4:$U$10,6,FALSE)</f>
        <v>0,15-0,25</v>
      </c>
      <c r="AJ93" s="18" t="str">
        <f>+VLOOKUP(AH93,Leyenda!$O$4:$U$10,7,FALSE)</f>
        <v>No Blasting need</v>
      </c>
      <c r="AK93" s="18">
        <f>+VLOOKUP(AJ93,Leyenda!$U$4:$V$10,2,FALSE)</f>
        <v>2</v>
      </c>
      <c r="AL93" s="18" t="s">
        <v>34</v>
      </c>
      <c r="AM93" s="18" t="str">
        <f t="shared" si="34"/>
        <v>R1</v>
      </c>
      <c r="AN93" s="18" t="s">
        <v>66</v>
      </c>
      <c r="AO93" s="18" t="s">
        <v>81</v>
      </c>
      <c r="AP93" s="18" t="s">
        <v>96</v>
      </c>
      <c r="AQ93" s="18" t="s">
        <v>107</v>
      </c>
      <c r="AR93" s="18" t="s">
        <v>118</v>
      </c>
      <c r="AS93" s="18" t="s">
        <v>198</v>
      </c>
      <c r="AT93" s="18"/>
      <c r="AU93" s="18"/>
      <c r="AV93" s="18">
        <f>+VLOOKUP(AN93,Leyenda!$B$30:$E$34,3,FALSE)</f>
        <v>1</v>
      </c>
      <c r="AW93" s="18">
        <f>+VLOOKUP('2. Logging Brejo Seco'!AO93,Meteorizacion,3,FALSE)</f>
        <v>0</v>
      </c>
      <c r="AX93" s="18">
        <f>+VLOOKUP('2. Logging Brejo Seco'!AP93,Apertura,3,FALSE)</f>
        <v>1</v>
      </c>
      <c r="AY93" s="18">
        <f>+VLOOKUP('2. Logging Brejo Seco'!AQ93,Leyenda!$B$55:$D$59,3,FALSE)</f>
        <v>3</v>
      </c>
      <c r="AZ93" s="18">
        <f>+VLOOKUP('2. Logging Brejo Seco'!AR93,Relleno,3,FALSE)</f>
        <v>2</v>
      </c>
      <c r="BA93" s="18">
        <f t="shared" si="45"/>
        <v>7</v>
      </c>
      <c r="BB93" s="49">
        <f t="shared" si="29"/>
        <v>7</v>
      </c>
      <c r="BC93" s="49">
        <f>VLOOKUP(AM93,Leyenda!$B$4:$D$10,3,FALSE)</f>
        <v>1</v>
      </c>
      <c r="BD93" s="50">
        <f t="shared" si="35"/>
        <v>6</v>
      </c>
      <c r="BE93" s="49">
        <f t="shared" si="36"/>
        <v>7</v>
      </c>
      <c r="BF93" s="49">
        <f>VLOOKUP(AS93,Leyenda!$B$70:$D$75,3,FALSE)</f>
        <v>15</v>
      </c>
      <c r="BG93" s="67">
        <f t="shared" si="30"/>
        <v>27.772727272727138</v>
      </c>
      <c r="BH93" s="67">
        <f>VLOOKUP(AM93,Leyenda!$B$4:$E$10,4,FALSE)</f>
        <v>1</v>
      </c>
      <c r="BI93" s="67">
        <f t="shared" si="37"/>
        <v>6</v>
      </c>
      <c r="BJ93" s="67">
        <f t="shared" si="31"/>
        <v>7</v>
      </c>
      <c r="BK93" s="67">
        <f>+VLOOKUP('2. Logging Brejo Seco'!AP93,Leyenda!$B$47:$E$51,4,FALSE)</f>
        <v>1</v>
      </c>
      <c r="BL93" s="67">
        <f>+VLOOKUP('2. Logging Brejo Seco'!AQ93,Leyenda!$B$55:$E$59,4,FALSE)</f>
        <v>3</v>
      </c>
      <c r="BM93" s="67">
        <f>+VLOOKUP('2. Logging Brejo Seco'!AR93,Leyenda!$B$63:$E$67,3,FALSE)</f>
        <v>2</v>
      </c>
      <c r="BN93" s="67">
        <f>+VLOOKUP('2. Logging Brejo Seco'!AO93,Leyenda!$B$39:$E$43,4,FALSE)</f>
        <v>0</v>
      </c>
      <c r="BO93" s="67">
        <f>+VLOOKUP('2. Logging Brejo Seco'!AN93,Leyenda!$B$30:$E$34,4,FALSE)</f>
        <v>1</v>
      </c>
      <c r="BP93" s="67">
        <f>VLOOKUP(AS93,Leyenda!$B$71:$E$75,4,FALSE)</f>
        <v>10</v>
      </c>
      <c r="BQ93" s="125">
        <f t="shared" si="38"/>
        <v>31</v>
      </c>
      <c r="BR93" s="125">
        <f t="shared" si="39"/>
        <v>36</v>
      </c>
      <c r="BS93" s="240">
        <f t="shared" si="40"/>
        <v>0</v>
      </c>
      <c r="BT93" s="18"/>
    </row>
    <row r="94" spans="1:72" x14ac:dyDescent="0.25">
      <c r="A94" s="18" t="s">
        <v>6</v>
      </c>
      <c r="B94" s="18">
        <v>2024</v>
      </c>
      <c r="C94" s="18" t="s">
        <v>138</v>
      </c>
      <c r="D94" s="18" t="s">
        <v>10</v>
      </c>
      <c r="E94" s="18">
        <v>10</v>
      </c>
      <c r="F94" s="18">
        <v>10</v>
      </c>
      <c r="G94" s="18" t="s">
        <v>135</v>
      </c>
      <c r="H94" s="248">
        <f t="shared" si="42"/>
        <v>10</v>
      </c>
      <c r="I94" s="135"/>
      <c r="J94" s="18" t="s">
        <v>163</v>
      </c>
      <c r="K94" s="31">
        <f t="shared" si="41"/>
        <v>49.6</v>
      </c>
      <c r="L94" s="31">
        <v>50.15</v>
      </c>
      <c r="M94" s="4">
        <f t="shared" si="32"/>
        <v>0.54999999999999716</v>
      </c>
      <c r="N94" s="5">
        <v>1</v>
      </c>
      <c r="O94" s="5">
        <f t="shared" si="27"/>
        <v>0</v>
      </c>
      <c r="P94" s="31">
        <f t="shared" si="33"/>
        <v>0.54999999999999716</v>
      </c>
      <c r="Q94" s="31">
        <f t="shared" si="28"/>
        <v>0.54999999999999716</v>
      </c>
      <c r="R94" s="31">
        <v>27.499999999999858</v>
      </c>
      <c r="S94" s="31">
        <v>20</v>
      </c>
      <c r="T94" s="31">
        <v>0.53</v>
      </c>
      <c r="U94" s="31">
        <v>0</v>
      </c>
      <c r="V94" s="86">
        <f t="shared" si="43"/>
        <v>0</v>
      </c>
      <c r="W94" s="31">
        <v>10</v>
      </c>
      <c r="X94" s="31"/>
      <c r="Y94" s="31">
        <f t="shared" si="44"/>
        <v>10</v>
      </c>
      <c r="Z94" s="31">
        <f t="shared" ref="Z94:Z159" si="47">+IF(T94=0,"",(T94*1000)/Y94)</f>
        <v>53</v>
      </c>
      <c r="AA94" s="18">
        <v>0</v>
      </c>
      <c r="AB94" s="18" t="s">
        <v>100</v>
      </c>
      <c r="AC94" s="18" t="s">
        <v>333</v>
      </c>
      <c r="AD94" s="18" t="s">
        <v>336</v>
      </c>
      <c r="AE94" s="18">
        <v>20</v>
      </c>
      <c r="AF94" s="18">
        <v>27.499999999999858</v>
      </c>
      <c r="AG94" s="18" t="s">
        <v>32</v>
      </c>
      <c r="AH94" s="18" t="str">
        <f t="shared" si="46"/>
        <v>R1</v>
      </c>
      <c r="AI94" s="18" t="str">
        <f>+VLOOKUP(AH94,Leyenda!$O$4:$U$10,6,FALSE)</f>
        <v>0,15-0,25</v>
      </c>
      <c r="AJ94" s="18" t="str">
        <f>+VLOOKUP(AH94,Leyenda!$O$4:$U$10,7,FALSE)</f>
        <v>No Blasting need</v>
      </c>
      <c r="AK94" s="18">
        <f>+VLOOKUP(AJ94,Leyenda!$U$4:$V$10,2,FALSE)</f>
        <v>2</v>
      </c>
      <c r="AL94" s="18" t="s">
        <v>32</v>
      </c>
      <c r="AM94" s="18" t="str">
        <f t="shared" si="34"/>
        <v>R1</v>
      </c>
      <c r="AN94" s="18" t="s">
        <v>64</v>
      </c>
      <c r="AO94" s="18" t="s">
        <v>79</v>
      </c>
      <c r="AP94" s="18" t="s">
        <v>96</v>
      </c>
      <c r="AQ94" s="18" t="s">
        <v>107</v>
      </c>
      <c r="AR94" s="18" t="s">
        <v>118</v>
      </c>
      <c r="AS94" s="18" t="s">
        <v>198</v>
      </c>
      <c r="AT94" s="18" t="s">
        <v>223</v>
      </c>
      <c r="AU94" s="18"/>
      <c r="AV94" s="18">
        <f>+VLOOKUP(AN94,Leyenda!$B$30:$E$34,3,FALSE)</f>
        <v>2</v>
      </c>
      <c r="AW94" s="18">
        <f>+VLOOKUP('2. Logging Brejo Seco'!AO94,Meteorizacion,3,FALSE)</f>
        <v>1</v>
      </c>
      <c r="AX94" s="18">
        <f>+VLOOKUP('2. Logging Brejo Seco'!AP94,Apertura,3,FALSE)</f>
        <v>1</v>
      </c>
      <c r="AY94" s="18">
        <f>+VLOOKUP('2. Logging Brejo Seco'!AQ94,Leyenda!$B$55:$D$59,3,FALSE)</f>
        <v>3</v>
      </c>
      <c r="AZ94" s="18">
        <f>+VLOOKUP('2. Logging Brejo Seco'!AR94,Relleno,3,FALSE)</f>
        <v>2</v>
      </c>
      <c r="BA94" s="18">
        <f t="shared" si="45"/>
        <v>9</v>
      </c>
      <c r="BB94" s="49">
        <f t="shared" si="29"/>
        <v>0</v>
      </c>
      <c r="BC94" s="49">
        <f>VLOOKUP(AM94,Leyenda!$B$4:$D$10,3,FALSE)</f>
        <v>1</v>
      </c>
      <c r="BD94" s="50">
        <f t="shared" si="35"/>
        <v>6</v>
      </c>
      <c r="BE94" s="49">
        <f t="shared" si="36"/>
        <v>9</v>
      </c>
      <c r="BF94" s="49">
        <f>VLOOKUP(AS94,Leyenda!$B$70:$D$75,3,FALSE)</f>
        <v>15</v>
      </c>
      <c r="BG94" s="67">
        <f t="shared" si="30"/>
        <v>13.5</v>
      </c>
      <c r="BH94" s="67">
        <f>VLOOKUP(AM94,Leyenda!$B$4:$E$10,4,FALSE)</f>
        <v>1</v>
      </c>
      <c r="BI94" s="67">
        <f t="shared" si="37"/>
        <v>4</v>
      </c>
      <c r="BJ94" s="67">
        <f t="shared" si="31"/>
        <v>0</v>
      </c>
      <c r="BK94" s="67">
        <f>+VLOOKUP('2. Logging Brejo Seco'!AP94,Leyenda!$B$47:$E$51,4,FALSE)</f>
        <v>1</v>
      </c>
      <c r="BL94" s="67">
        <f>+VLOOKUP('2. Logging Brejo Seco'!AQ94,Leyenda!$B$55:$E$59,4,FALSE)</f>
        <v>3</v>
      </c>
      <c r="BM94" s="67">
        <f>+VLOOKUP('2. Logging Brejo Seco'!AR94,Leyenda!$B$63:$E$67,3,FALSE)</f>
        <v>2</v>
      </c>
      <c r="BN94" s="67">
        <f>+VLOOKUP('2. Logging Brejo Seco'!AO94,Leyenda!$B$39:$E$43,4,FALSE)</f>
        <v>1</v>
      </c>
      <c r="BO94" s="67">
        <f>+VLOOKUP('2. Logging Brejo Seco'!AN94,Leyenda!$B$30:$E$34,4,FALSE)</f>
        <v>3</v>
      </c>
      <c r="BP94" s="67">
        <f>VLOOKUP(AS94,Leyenda!$B$71:$E$75,4,FALSE)</f>
        <v>10</v>
      </c>
      <c r="BQ94" s="125">
        <f t="shared" si="38"/>
        <v>25</v>
      </c>
      <c r="BR94" s="125">
        <f t="shared" si="39"/>
        <v>31</v>
      </c>
      <c r="BS94" s="240">
        <f t="shared" si="40"/>
        <v>0</v>
      </c>
      <c r="BT94" s="18"/>
    </row>
    <row r="95" spans="1:72" x14ac:dyDescent="0.25">
      <c r="A95" s="18" t="s">
        <v>6</v>
      </c>
      <c r="B95" s="18">
        <v>2024</v>
      </c>
      <c r="C95" s="18" t="s">
        <v>138</v>
      </c>
      <c r="D95" s="18" t="s">
        <v>10</v>
      </c>
      <c r="E95" s="18">
        <v>10</v>
      </c>
      <c r="F95" s="18">
        <v>10</v>
      </c>
      <c r="G95" s="18" t="s">
        <v>135</v>
      </c>
      <c r="H95" s="248">
        <f t="shared" si="42"/>
        <v>10</v>
      </c>
      <c r="I95" s="135"/>
      <c r="J95" s="18" t="s">
        <v>163</v>
      </c>
      <c r="K95" s="31">
        <f t="shared" si="41"/>
        <v>50.15</v>
      </c>
      <c r="L95" s="31">
        <v>50.85</v>
      </c>
      <c r="M95" s="4">
        <f t="shared" si="32"/>
        <v>0.70000000000000284</v>
      </c>
      <c r="N95" s="5">
        <v>1</v>
      </c>
      <c r="O95" s="5">
        <f t="shared" si="27"/>
        <v>0</v>
      </c>
      <c r="P95" s="31">
        <f t="shared" si="33"/>
        <v>0.70000000000000284</v>
      </c>
      <c r="Q95" s="31">
        <f t="shared" si="28"/>
        <v>0.70000000000000284</v>
      </c>
      <c r="R95" s="31">
        <v>46.666666666666856</v>
      </c>
      <c r="S95" s="31">
        <v>15</v>
      </c>
      <c r="T95" s="31">
        <v>0.7</v>
      </c>
      <c r="U95" s="31">
        <v>0.25</v>
      </c>
      <c r="V95" s="86">
        <f t="shared" si="43"/>
        <v>35.714285714285573</v>
      </c>
      <c r="W95" s="31">
        <v>7</v>
      </c>
      <c r="X95" s="31"/>
      <c r="Y95" s="31">
        <f t="shared" si="44"/>
        <v>7</v>
      </c>
      <c r="Z95" s="31">
        <f t="shared" si="47"/>
        <v>100</v>
      </c>
      <c r="AA95" s="18">
        <v>36</v>
      </c>
      <c r="AB95" s="18" t="s">
        <v>96</v>
      </c>
      <c r="AC95" s="18" t="s">
        <v>122</v>
      </c>
      <c r="AD95" s="18" t="s">
        <v>337</v>
      </c>
      <c r="AE95" s="18">
        <v>15</v>
      </c>
      <c r="AF95" s="18">
        <v>46.666666666666856</v>
      </c>
      <c r="AG95" s="18" t="s">
        <v>29</v>
      </c>
      <c r="AH95" s="18" t="str">
        <f t="shared" si="46"/>
        <v>R2</v>
      </c>
      <c r="AI95" s="18" t="str">
        <f>+VLOOKUP(AH95,Leyenda!$O$4:$U$10,6,FALSE)</f>
        <v>0,25-0,35</v>
      </c>
      <c r="AJ95" s="18" t="str">
        <f>+VLOOKUP(AH95,Leyenda!$O$4:$U$10,7,FALSE)</f>
        <v>No Blasting need</v>
      </c>
      <c r="AK95" s="18">
        <f>+VLOOKUP(AJ95,Leyenda!$U$4:$V$10,2,FALSE)</f>
        <v>2</v>
      </c>
      <c r="AL95" s="18" t="s">
        <v>32</v>
      </c>
      <c r="AM95" s="18" t="str">
        <f t="shared" si="34"/>
        <v>R2</v>
      </c>
      <c r="AN95" s="18" t="s">
        <v>64</v>
      </c>
      <c r="AO95" s="18" t="s">
        <v>79</v>
      </c>
      <c r="AP95" s="18" t="s">
        <v>96</v>
      </c>
      <c r="AQ95" s="18" t="s">
        <v>107</v>
      </c>
      <c r="AR95" s="18" t="s">
        <v>118</v>
      </c>
      <c r="AS95" s="18" t="s">
        <v>198</v>
      </c>
      <c r="AT95" s="18" t="s">
        <v>224</v>
      </c>
      <c r="AU95" s="18"/>
      <c r="AV95" s="18">
        <f>+VLOOKUP(AN95,Leyenda!$B$30:$E$34,3,FALSE)</f>
        <v>2</v>
      </c>
      <c r="AW95" s="18">
        <f>+VLOOKUP('2. Logging Brejo Seco'!AO95,Meteorizacion,3,FALSE)</f>
        <v>1</v>
      </c>
      <c r="AX95" s="18">
        <f>+VLOOKUP('2. Logging Brejo Seco'!AP95,Apertura,3,FALSE)</f>
        <v>1</v>
      </c>
      <c r="AY95" s="18">
        <f>+VLOOKUP('2. Logging Brejo Seco'!AQ95,Leyenda!$B$55:$D$59,3,FALSE)</f>
        <v>3</v>
      </c>
      <c r="AZ95" s="18">
        <f>+VLOOKUP('2. Logging Brejo Seco'!AR95,Relleno,3,FALSE)</f>
        <v>2</v>
      </c>
      <c r="BA95" s="18">
        <f t="shared" si="45"/>
        <v>9</v>
      </c>
      <c r="BB95" s="49">
        <f t="shared" si="29"/>
        <v>8</v>
      </c>
      <c r="BC95" s="49">
        <f>VLOOKUP(AM95,Leyenda!$B$4:$D$10,3,FALSE)</f>
        <v>2</v>
      </c>
      <c r="BD95" s="50">
        <f t="shared" si="35"/>
        <v>7</v>
      </c>
      <c r="BE95" s="49">
        <f t="shared" si="36"/>
        <v>9</v>
      </c>
      <c r="BF95" s="49">
        <f>VLOOKUP(AS95,Leyenda!$B$70:$D$75,3,FALSE)</f>
        <v>15</v>
      </c>
      <c r="BG95" s="67">
        <f t="shared" si="30"/>
        <v>31.357142857142787</v>
      </c>
      <c r="BH95" s="67">
        <f>VLOOKUP(AM95,Leyenda!$B$4:$E$10,4,FALSE)</f>
        <v>2</v>
      </c>
      <c r="BI95" s="67">
        <f t="shared" si="37"/>
        <v>8</v>
      </c>
      <c r="BJ95" s="67">
        <f t="shared" si="31"/>
        <v>8</v>
      </c>
      <c r="BK95" s="67">
        <f>+VLOOKUP('2. Logging Brejo Seco'!AP95,Leyenda!$B$47:$E$51,4,FALSE)</f>
        <v>1</v>
      </c>
      <c r="BL95" s="67">
        <f>+VLOOKUP('2. Logging Brejo Seco'!AQ95,Leyenda!$B$55:$E$59,4,FALSE)</f>
        <v>3</v>
      </c>
      <c r="BM95" s="67">
        <f>+VLOOKUP('2. Logging Brejo Seco'!AR95,Leyenda!$B$63:$E$67,3,FALSE)</f>
        <v>2</v>
      </c>
      <c r="BN95" s="67">
        <f>+VLOOKUP('2. Logging Brejo Seco'!AO95,Leyenda!$B$39:$E$43,4,FALSE)</f>
        <v>1</v>
      </c>
      <c r="BO95" s="67">
        <f>+VLOOKUP('2. Logging Brejo Seco'!AN95,Leyenda!$B$30:$E$34,4,FALSE)</f>
        <v>3</v>
      </c>
      <c r="BP95" s="67">
        <f>VLOOKUP(AS95,Leyenda!$B$71:$E$75,4,FALSE)</f>
        <v>10</v>
      </c>
      <c r="BQ95" s="125">
        <f t="shared" si="38"/>
        <v>38</v>
      </c>
      <c r="BR95" s="125">
        <f t="shared" si="39"/>
        <v>41</v>
      </c>
      <c r="BS95" s="240">
        <f t="shared" si="40"/>
        <v>0</v>
      </c>
      <c r="BT95" s="18"/>
    </row>
    <row r="96" spans="1:72" x14ac:dyDescent="0.25">
      <c r="A96" s="18" t="s">
        <v>6</v>
      </c>
      <c r="B96" s="18">
        <v>2024</v>
      </c>
      <c r="C96" s="18" t="s">
        <v>138</v>
      </c>
      <c r="D96" s="18" t="s">
        <v>10</v>
      </c>
      <c r="E96" s="18">
        <v>10</v>
      </c>
      <c r="F96" s="18">
        <v>10</v>
      </c>
      <c r="G96" s="18" t="s">
        <v>135</v>
      </c>
      <c r="H96" s="248">
        <f t="shared" si="42"/>
        <v>10</v>
      </c>
      <c r="I96" s="135"/>
      <c r="J96" s="18" t="s">
        <v>163</v>
      </c>
      <c r="K96" s="31">
        <f t="shared" si="41"/>
        <v>50.85</v>
      </c>
      <c r="L96" s="31">
        <v>51.85</v>
      </c>
      <c r="M96" s="4">
        <f t="shared" si="32"/>
        <v>1</v>
      </c>
      <c r="N96" s="5">
        <v>1</v>
      </c>
      <c r="O96" s="5">
        <f t="shared" si="27"/>
        <v>0</v>
      </c>
      <c r="P96" s="31">
        <f t="shared" si="33"/>
        <v>1</v>
      </c>
      <c r="Q96" s="31">
        <f t="shared" si="28"/>
        <v>1</v>
      </c>
      <c r="R96" s="31">
        <v>200</v>
      </c>
      <c r="S96" s="31">
        <v>5</v>
      </c>
      <c r="T96" s="31">
        <v>0.97</v>
      </c>
      <c r="U96" s="31">
        <v>0.81</v>
      </c>
      <c r="V96" s="86">
        <f t="shared" si="43"/>
        <v>81</v>
      </c>
      <c r="W96" s="31">
        <v>2</v>
      </c>
      <c r="X96" s="31"/>
      <c r="Y96" s="31">
        <f t="shared" si="44"/>
        <v>2</v>
      </c>
      <c r="Z96" s="31">
        <f t="shared" si="47"/>
        <v>485</v>
      </c>
      <c r="AA96" s="18">
        <v>100</v>
      </c>
      <c r="AB96" s="18" t="s">
        <v>92</v>
      </c>
      <c r="AC96" s="18" t="s">
        <v>118</v>
      </c>
      <c r="AD96" s="18" t="s">
        <v>329</v>
      </c>
      <c r="AE96" s="18">
        <v>5</v>
      </c>
      <c r="AF96" s="18">
        <v>200</v>
      </c>
      <c r="AG96" s="18" t="s">
        <v>24</v>
      </c>
      <c r="AH96" s="18" t="str">
        <f t="shared" si="46"/>
        <v>R4</v>
      </c>
      <c r="AI96" s="18" t="str">
        <f>+VLOOKUP(AH96,Leyenda!$O$4:$U$10,6,FALSE)</f>
        <v>0,50-0,80</v>
      </c>
      <c r="AJ96" s="18" t="str">
        <f>+VLOOKUP(AH96,Leyenda!$O$4:$U$10,7,FALSE)</f>
        <v>Fairly easy to blast</v>
      </c>
      <c r="AK96" s="18">
        <f>+VLOOKUP(AJ96,Leyenda!$U$4:$V$10,2,FALSE)</f>
        <v>4</v>
      </c>
      <c r="AL96" s="18" t="s">
        <v>29</v>
      </c>
      <c r="AM96" s="18" t="str">
        <f t="shared" si="34"/>
        <v>R4</v>
      </c>
      <c r="AN96" s="18" t="s">
        <v>64</v>
      </c>
      <c r="AO96" s="18" t="s">
        <v>77</v>
      </c>
      <c r="AP96" s="18" t="s">
        <v>96</v>
      </c>
      <c r="AQ96" s="18" t="s">
        <v>107</v>
      </c>
      <c r="AR96" s="18" t="s">
        <v>118</v>
      </c>
      <c r="AS96" s="18" t="s">
        <v>198</v>
      </c>
      <c r="AT96" s="18" t="s">
        <v>207</v>
      </c>
      <c r="AU96" s="18"/>
      <c r="AV96" s="18">
        <f>+VLOOKUP(AN96,Leyenda!$B$30:$E$34,3,FALSE)</f>
        <v>2</v>
      </c>
      <c r="AW96" s="18">
        <f>+VLOOKUP('2. Logging Brejo Seco'!AO96,Meteorizacion,3,FALSE)</f>
        <v>3</v>
      </c>
      <c r="AX96" s="18">
        <f>+VLOOKUP('2. Logging Brejo Seco'!AP96,Apertura,3,FALSE)</f>
        <v>1</v>
      </c>
      <c r="AY96" s="18">
        <f>+VLOOKUP('2. Logging Brejo Seco'!AQ96,Leyenda!$B$55:$D$59,3,FALSE)</f>
        <v>3</v>
      </c>
      <c r="AZ96" s="18">
        <f>+VLOOKUP('2. Logging Brejo Seco'!AR96,Relleno,3,FALSE)</f>
        <v>2</v>
      </c>
      <c r="BA96" s="18">
        <f t="shared" si="45"/>
        <v>11</v>
      </c>
      <c r="BB96" s="49">
        <f t="shared" si="29"/>
        <v>16</v>
      </c>
      <c r="BC96" s="49">
        <f>VLOOKUP(AM96,Leyenda!$B$4:$D$10,3,FALSE)</f>
        <v>7</v>
      </c>
      <c r="BD96" s="50">
        <f t="shared" si="35"/>
        <v>12</v>
      </c>
      <c r="BE96" s="49">
        <f t="shared" si="36"/>
        <v>11</v>
      </c>
      <c r="BF96" s="49">
        <f>VLOOKUP(AS96,Leyenda!$B$70:$D$75,3,FALSE)</f>
        <v>15</v>
      </c>
      <c r="BG96" s="67">
        <f t="shared" si="30"/>
        <v>57</v>
      </c>
      <c r="BH96" s="67">
        <f>VLOOKUP(AM96,Leyenda!$B$4:$E$10,4,FALSE)</f>
        <v>7</v>
      </c>
      <c r="BI96" s="67">
        <f t="shared" si="37"/>
        <v>18</v>
      </c>
      <c r="BJ96" s="67">
        <f t="shared" si="31"/>
        <v>16</v>
      </c>
      <c r="BK96" s="67">
        <f>+VLOOKUP('2. Logging Brejo Seco'!AP96,Leyenda!$B$47:$E$51,4,FALSE)</f>
        <v>1</v>
      </c>
      <c r="BL96" s="67">
        <f>+VLOOKUP('2. Logging Brejo Seco'!AQ96,Leyenda!$B$55:$E$59,4,FALSE)</f>
        <v>3</v>
      </c>
      <c r="BM96" s="67">
        <f>+VLOOKUP('2. Logging Brejo Seco'!AR96,Leyenda!$B$63:$E$67,3,FALSE)</f>
        <v>2</v>
      </c>
      <c r="BN96" s="67">
        <f>+VLOOKUP('2. Logging Brejo Seco'!AO96,Leyenda!$B$39:$E$43,4,FALSE)</f>
        <v>3</v>
      </c>
      <c r="BO96" s="67">
        <f>+VLOOKUP('2. Logging Brejo Seco'!AN96,Leyenda!$B$30:$E$34,4,FALSE)</f>
        <v>3</v>
      </c>
      <c r="BP96" s="67">
        <f>VLOOKUP(AS96,Leyenda!$B$71:$E$75,4,FALSE)</f>
        <v>10</v>
      </c>
      <c r="BQ96" s="125">
        <f t="shared" si="38"/>
        <v>63</v>
      </c>
      <c r="BR96" s="125">
        <f t="shared" si="39"/>
        <v>61</v>
      </c>
      <c r="BS96" s="240">
        <f t="shared" si="40"/>
        <v>0</v>
      </c>
      <c r="BT96" s="18"/>
    </row>
    <row r="97" spans="1:72" x14ac:dyDescent="0.25">
      <c r="A97" s="18" t="s">
        <v>6</v>
      </c>
      <c r="B97" s="18">
        <v>2024</v>
      </c>
      <c r="C97" s="18" t="s">
        <v>138</v>
      </c>
      <c r="D97" s="18" t="s">
        <v>10</v>
      </c>
      <c r="E97" s="18">
        <v>10</v>
      </c>
      <c r="F97" s="18">
        <v>10</v>
      </c>
      <c r="G97" s="18" t="s">
        <v>135</v>
      </c>
      <c r="H97" s="248">
        <f t="shared" si="42"/>
        <v>10</v>
      </c>
      <c r="I97" s="135"/>
      <c r="J97" s="18" t="s">
        <v>163</v>
      </c>
      <c r="K97" s="31">
        <f t="shared" si="41"/>
        <v>51.85</v>
      </c>
      <c r="L97" s="31">
        <v>52.35</v>
      </c>
      <c r="M97" s="4">
        <f t="shared" si="32"/>
        <v>0.5</v>
      </c>
      <c r="N97" s="5">
        <v>1</v>
      </c>
      <c r="O97" s="5">
        <f t="shared" si="27"/>
        <v>0</v>
      </c>
      <c r="P97" s="31">
        <f t="shared" si="33"/>
        <v>0.5</v>
      </c>
      <c r="Q97" s="31">
        <f t="shared" si="28"/>
        <v>0.5</v>
      </c>
      <c r="R97" s="31">
        <v>25</v>
      </c>
      <c r="S97" s="31">
        <v>20</v>
      </c>
      <c r="T97" s="31">
        <v>0.5</v>
      </c>
      <c r="U97" s="31">
        <v>0.14000000000000001</v>
      </c>
      <c r="V97" s="86">
        <f t="shared" si="43"/>
        <v>28.000000000000004</v>
      </c>
      <c r="W97" s="31">
        <v>7</v>
      </c>
      <c r="X97" s="31"/>
      <c r="Y97" s="31">
        <f t="shared" si="44"/>
        <v>7</v>
      </c>
      <c r="Z97" s="31">
        <f t="shared" si="47"/>
        <v>71.428571428571431</v>
      </c>
      <c r="AA97" s="18">
        <v>30</v>
      </c>
      <c r="AB97" s="18" t="s">
        <v>100</v>
      </c>
      <c r="AC97" s="18" t="s">
        <v>333</v>
      </c>
      <c r="AD97" s="18" t="s">
        <v>337</v>
      </c>
      <c r="AE97" s="18">
        <v>20</v>
      </c>
      <c r="AF97" s="18">
        <v>25</v>
      </c>
      <c r="AG97" s="18" t="s">
        <v>29</v>
      </c>
      <c r="AH97" s="18" t="str">
        <f t="shared" si="46"/>
        <v>R2</v>
      </c>
      <c r="AI97" s="18" t="str">
        <f>+VLOOKUP(AH97,Leyenda!$O$4:$U$10,6,FALSE)</f>
        <v>0,25-0,35</v>
      </c>
      <c r="AJ97" s="18" t="str">
        <f>+VLOOKUP(AH97,Leyenda!$O$4:$U$10,7,FALSE)</f>
        <v>No Blasting need</v>
      </c>
      <c r="AK97" s="18">
        <f>+VLOOKUP(AJ97,Leyenda!$U$4:$V$10,2,FALSE)</f>
        <v>2</v>
      </c>
      <c r="AL97" s="18" t="s">
        <v>29</v>
      </c>
      <c r="AM97" s="18" t="str">
        <f t="shared" si="34"/>
        <v>R2</v>
      </c>
      <c r="AN97" s="18" t="s">
        <v>64</v>
      </c>
      <c r="AO97" s="18" t="s">
        <v>79</v>
      </c>
      <c r="AP97" s="18" t="s">
        <v>96</v>
      </c>
      <c r="AQ97" s="18" t="s">
        <v>107</v>
      </c>
      <c r="AR97" s="18" t="s">
        <v>118</v>
      </c>
      <c r="AS97" s="18" t="s">
        <v>198</v>
      </c>
      <c r="AT97" s="18"/>
      <c r="AU97" s="18"/>
      <c r="AV97" s="18">
        <f>+VLOOKUP(AN97,Leyenda!$B$30:$E$34,3,FALSE)</f>
        <v>2</v>
      </c>
      <c r="AW97" s="18">
        <f>+VLOOKUP('2. Logging Brejo Seco'!AO97,Meteorizacion,3,FALSE)</f>
        <v>1</v>
      </c>
      <c r="AX97" s="18">
        <f>+VLOOKUP('2. Logging Brejo Seco'!AP97,Apertura,3,FALSE)</f>
        <v>1</v>
      </c>
      <c r="AY97" s="18">
        <f>+VLOOKUP('2. Logging Brejo Seco'!AQ97,Leyenda!$B$55:$D$59,3,FALSE)</f>
        <v>3</v>
      </c>
      <c r="AZ97" s="18">
        <f>+VLOOKUP('2. Logging Brejo Seco'!AR97,Relleno,3,FALSE)</f>
        <v>2</v>
      </c>
      <c r="BA97" s="18">
        <f t="shared" si="45"/>
        <v>9</v>
      </c>
      <c r="BB97" s="49">
        <f t="shared" si="29"/>
        <v>6</v>
      </c>
      <c r="BC97" s="49">
        <f>VLOOKUP(AM97,Leyenda!$B$4:$D$10,3,FALSE)</f>
        <v>2</v>
      </c>
      <c r="BD97" s="50">
        <f t="shared" si="35"/>
        <v>6</v>
      </c>
      <c r="BE97" s="49">
        <f t="shared" si="36"/>
        <v>9</v>
      </c>
      <c r="BF97" s="49">
        <f>VLOOKUP(AS97,Leyenda!$B$70:$D$75,3,FALSE)</f>
        <v>15</v>
      </c>
      <c r="BG97" s="67">
        <f t="shared" si="30"/>
        <v>27.5</v>
      </c>
      <c r="BH97" s="67">
        <f>VLOOKUP(AM97,Leyenda!$B$4:$E$10,4,FALSE)</f>
        <v>2</v>
      </c>
      <c r="BI97" s="67">
        <f t="shared" si="37"/>
        <v>6</v>
      </c>
      <c r="BJ97" s="67">
        <f t="shared" si="31"/>
        <v>6</v>
      </c>
      <c r="BK97" s="67">
        <f>+VLOOKUP('2. Logging Brejo Seco'!AP97,Leyenda!$B$47:$E$51,4,FALSE)</f>
        <v>1</v>
      </c>
      <c r="BL97" s="67">
        <f>+VLOOKUP('2. Logging Brejo Seco'!AQ97,Leyenda!$B$55:$E$59,4,FALSE)</f>
        <v>3</v>
      </c>
      <c r="BM97" s="67">
        <f>+VLOOKUP('2. Logging Brejo Seco'!AR97,Leyenda!$B$63:$E$67,3,FALSE)</f>
        <v>2</v>
      </c>
      <c r="BN97" s="67">
        <f>+VLOOKUP('2. Logging Brejo Seco'!AO97,Leyenda!$B$39:$E$43,4,FALSE)</f>
        <v>1</v>
      </c>
      <c r="BO97" s="67">
        <f>+VLOOKUP('2. Logging Brejo Seco'!AN97,Leyenda!$B$30:$E$34,4,FALSE)</f>
        <v>3</v>
      </c>
      <c r="BP97" s="67">
        <f>VLOOKUP(AS97,Leyenda!$B$71:$E$75,4,FALSE)</f>
        <v>10</v>
      </c>
      <c r="BQ97" s="125">
        <f t="shared" si="38"/>
        <v>34</v>
      </c>
      <c r="BR97" s="125">
        <f t="shared" si="39"/>
        <v>38</v>
      </c>
      <c r="BS97" s="240">
        <f t="shared" si="40"/>
        <v>0</v>
      </c>
      <c r="BT97" s="18"/>
    </row>
    <row r="98" spans="1:72" x14ac:dyDescent="0.25">
      <c r="A98" s="18" t="s">
        <v>6</v>
      </c>
      <c r="B98" s="18">
        <v>2024</v>
      </c>
      <c r="C98" s="18" t="s">
        <v>138</v>
      </c>
      <c r="D98" s="18" t="s">
        <v>10</v>
      </c>
      <c r="E98" s="18">
        <v>10</v>
      </c>
      <c r="F98" s="18">
        <v>10</v>
      </c>
      <c r="G98" s="18" t="s">
        <v>135</v>
      </c>
      <c r="H98" s="248">
        <f t="shared" si="42"/>
        <v>10</v>
      </c>
      <c r="I98" s="135"/>
      <c r="J98" s="18" t="s">
        <v>163</v>
      </c>
      <c r="K98" s="31">
        <f t="shared" si="41"/>
        <v>52.35</v>
      </c>
      <c r="L98" s="31">
        <v>52.85</v>
      </c>
      <c r="M98" s="4">
        <f t="shared" si="32"/>
        <v>0.5</v>
      </c>
      <c r="N98" s="5">
        <v>0.54</v>
      </c>
      <c r="O98" s="5">
        <f t="shared" si="27"/>
        <v>0.45999999999999996</v>
      </c>
      <c r="P98" s="31">
        <f t="shared" si="33"/>
        <v>0.27</v>
      </c>
      <c r="Q98" s="31">
        <f t="shared" si="28"/>
        <v>0.27</v>
      </c>
      <c r="R98" s="31">
        <v>13.5</v>
      </c>
      <c r="S98" s="31">
        <v>20</v>
      </c>
      <c r="T98" s="31">
        <v>0.27</v>
      </c>
      <c r="U98" s="31">
        <v>0</v>
      </c>
      <c r="V98" s="86">
        <f t="shared" si="43"/>
        <v>0</v>
      </c>
      <c r="W98" s="31">
        <v>10</v>
      </c>
      <c r="X98" s="31"/>
      <c r="Y98" s="31">
        <f t="shared" si="44"/>
        <v>10</v>
      </c>
      <c r="Z98" s="31">
        <f t="shared" si="47"/>
        <v>27</v>
      </c>
      <c r="AA98" s="18">
        <v>0</v>
      </c>
      <c r="AB98" s="18" t="s">
        <v>330</v>
      </c>
      <c r="AC98" s="18" t="s">
        <v>333</v>
      </c>
      <c r="AD98" s="18" t="s">
        <v>336</v>
      </c>
      <c r="AE98" s="18">
        <v>20</v>
      </c>
      <c r="AF98" s="18">
        <v>13.5</v>
      </c>
      <c r="AG98" s="18" t="s">
        <v>32</v>
      </c>
      <c r="AH98" s="18" t="str">
        <f t="shared" si="46"/>
        <v>R1</v>
      </c>
      <c r="AI98" s="18" t="str">
        <f>+VLOOKUP(AH98,Leyenda!$O$4:$U$10,6,FALSE)</f>
        <v>0,15-0,25</v>
      </c>
      <c r="AJ98" s="18" t="str">
        <f>+VLOOKUP(AH98,Leyenda!$O$4:$U$10,7,FALSE)</f>
        <v>No Blasting need</v>
      </c>
      <c r="AK98" s="18">
        <f>+VLOOKUP(AJ98,Leyenda!$U$4:$V$10,2,FALSE)</f>
        <v>2</v>
      </c>
      <c r="AL98" s="18" t="s">
        <v>32</v>
      </c>
      <c r="AM98" s="18" t="str">
        <f t="shared" si="34"/>
        <v>R1</v>
      </c>
      <c r="AN98" s="18" t="s">
        <v>64</v>
      </c>
      <c r="AO98" s="18" t="s">
        <v>79</v>
      </c>
      <c r="AP98" s="18" t="s">
        <v>96</v>
      </c>
      <c r="AQ98" s="18" t="s">
        <v>107</v>
      </c>
      <c r="AR98" s="18" t="s">
        <v>118</v>
      </c>
      <c r="AS98" s="18" t="s">
        <v>198</v>
      </c>
      <c r="AT98" s="18" t="s">
        <v>225</v>
      </c>
      <c r="AU98" s="18"/>
      <c r="AV98" s="18">
        <f>+VLOOKUP(AN98,Leyenda!$B$30:$E$34,3,FALSE)</f>
        <v>2</v>
      </c>
      <c r="AW98" s="18">
        <f>+VLOOKUP('2. Logging Brejo Seco'!AO98,Meteorizacion,3,FALSE)</f>
        <v>1</v>
      </c>
      <c r="AX98" s="18">
        <f>+VLOOKUP('2. Logging Brejo Seco'!AP98,Apertura,3,FALSE)</f>
        <v>1</v>
      </c>
      <c r="AY98" s="18">
        <f>+VLOOKUP('2. Logging Brejo Seco'!AQ98,Leyenda!$B$55:$D$59,3,FALSE)</f>
        <v>3</v>
      </c>
      <c r="AZ98" s="18">
        <f>+VLOOKUP('2. Logging Brejo Seco'!AR98,Relleno,3,FALSE)</f>
        <v>2</v>
      </c>
      <c r="BA98" s="18">
        <f t="shared" si="45"/>
        <v>9</v>
      </c>
      <c r="BB98" s="49">
        <f t="shared" si="29"/>
        <v>0</v>
      </c>
      <c r="BC98" s="49">
        <f>VLOOKUP(AM98,Leyenda!$B$4:$D$10,3,FALSE)</f>
        <v>1</v>
      </c>
      <c r="BD98" s="50">
        <f t="shared" si="35"/>
        <v>5</v>
      </c>
      <c r="BE98" s="49">
        <f t="shared" si="36"/>
        <v>9</v>
      </c>
      <c r="BF98" s="49">
        <f>VLOOKUP(AS98,Leyenda!$B$70:$D$75,3,FALSE)</f>
        <v>15</v>
      </c>
      <c r="BG98" s="67">
        <f t="shared" si="30"/>
        <v>13.5</v>
      </c>
      <c r="BH98" s="67">
        <f>VLOOKUP(AM98,Leyenda!$B$4:$E$10,4,FALSE)</f>
        <v>1</v>
      </c>
      <c r="BI98" s="67">
        <f t="shared" si="37"/>
        <v>5</v>
      </c>
      <c r="BJ98" s="67">
        <f t="shared" si="31"/>
        <v>0</v>
      </c>
      <c r="BK98" s="67">
        <f>+VLOOKUP('2. Logging Brejo Seco'!AP98,Leyenda!$B$47:$E$51,4,FALSE)</f>
        <v>1</v>
      </c>
      <c r="BL98" s="67">
        <f>+VLOOKUP('2. Logging Brejo Seco'!AQ98,Leyenda!$B$55:$E$59,4,FALSE)</f>
        <v>3</v>
      </c>
      <c r="BM98" s="67">
        <f>+VLOOKUP('2. Logging Brejo Seco'!AR98,Leyenda!$B$63:$E$67,3,FALSE)</f>
        <v>2</v>
      </c>
      <c r="BN98" s="67">
        <f>+VLOOKUP('2. Logging Brejo Seco'!AO98,Leyenda!$B$39:$E$43,4,FALSE)</f>
        <v>1</v>
      </c>
      <c r="BO98" s="67">
        <f>+VLOOKUP('2. Logging Brejo Seco'!AN98,Leyenda!$B$30:$E$34,4,FALSE)</f>
        <v>3</v>
      </c>
      <c r="BP98" s="67">
        <f>VLOOKUP(AS98,Leyenda!$B$71:$E$75,4,FALSE)</f>
        <v>10</v>
      </c>
      <c r="BQ98" s="125">
        <f t="shared" si="38"/>
        <v>26</v>
      </c>
      <c r="BR98" s="125">
        <f t="shared" si="39"/>
        <v>30</v>
      </c>
      <c r="BS98" s="240">
        <f t="shared" si="40"/>
        <v>0.45999999999999996</v>
      </c>
      <c r="BT98" s="18"/>
    </row>
    <row r="99" spans="1:72" x14ac:dyDescent="0.25">
      <c r="A99" s="18" t="s">
        <v>6</v>
      </c>
      <c r="B99" s="18">
        <v>2024</v>
      </c>
      <c r="C99" s="18" t="s">
        <v>138</v>
      </c>
      <c r="D99" s="18" t="s">
        <v>10</v>
      </c>
      <c r="E99" s="18">
        <v>10</v>
      </c>
      <c r="F99" s="18">
        <v>10</v>
      </c>
      <c r="G99" s="18" t="s">
        <v>135</v>
      </c>
      <c r="H99" s="248">
        <f t="shared" si="42"/>
        <v>10</v>
      </c>
      <c r="I99" s="135"/>
      <c r="J99" s="18" t="s">
        <v>163</v>
      </c>
      <c r="K99" s="31">
        <f t="shared" si="41"/>
        <v>52.85</v>
      </c>
      <c r="L99" s="31">
        <v>53.35</v>
      </c>
      <c r="M99" s="4">
        <f t="shared" si="32"/>
        <v>0.5</v>
      </c>
      <c r="N99" s="5">
        <v>0.6</v>
      </c>
      <c r="O99" s="5">
        <f t="shared" si="27"/>
        <v>0.4</v>
      </c>
      <c r="P99" s="31">
        <f t="shared" si="33"/>
        <v>0.3</v>
      </c>
      <c r="Q99" s="31">
        <f t="shared" si="28"/>
        <v>0.3</v>
      </c>
      <c r="R99" s="31">
        <v>15</v>
      </c>
      <c r="S99" s="31">
        <v>20</v>
      </c>
      <c r="T99" s="31">
        <v>0.25</v>
      </c>
      <c r="U99" s="31">
        <v>0</v>
      </c>
      <c r="V99" s="86">
        <f t="shared" si="43"/>
        <v>0</v>
      </c>
      <c r="W99" s="31">
        <v>10</v>
      </c>
      <c r="X99" s="31"/>
      <c r="Y99" s="31">
        <f t="shared" si="44"/>
        <v>10</v>
      </c>
      <c r="Z99" s="31">
        <f t="shared" si="47"/>
        <v>25</v>
      </c>
      <c r="AA99" s="18">
        <v>0</v>
      </c>
      <c r="AB99" s="18" t="s">
        <v>330</v>
      </c>
      <c r="AC99" s="18" t="s">
        <v>333</v>
      </c>
      <c r="AD99" s="18" t="s">
        <v>336</v>
      </c>
      <c r="AE99" s="18">
        <v>20</v>
      </c>
      <c r="AF99" s="18">
        <v>15</v>
      </c>
      <c r="AG99" s="18" t="s">
        <v>32</v>
      </c>
      <c r="AH99" s="18" t="str">
        <f t="shared" si="46"/>
        <v>R1</v>
      </c>
      <c r="AI99" s="18" t="str">
        <f>+VLOOKUP(AH99,Leyenda!$O$4:$U$10,6,FALSE)</f>
        <v>0,15-0,25</v>
      </c>
      <c r="AJ99" s="18" t="str">
        <f>+VLOOKUP(AH99,Leyenda!$O$4:$U$10,7,FALSE)</f>
        <v>No Blasting need</v>
      </c>
      <c r="AK99" s="18">
        <f>+VLOOKUP(AJ99,Leyenda!$U$4:$V$10,2,FALSE)</f>
        <v>2</v>
      </c>
      <c r="AL99" s="18" t="s">
        <v>32</v>
      </c>
      <c r="AM99" s="18" t="str">
        <f t="shared" si="34"/>
        <v>R1</v>
      </c>
      <c r="AN99" s="18" t="s">
        <v>64</v>
      </c>
      <c r="AO99" s="18" t="s">
        <v>79</v>
      </c>
      <c r="AP99" s="18" t="s">
        <v>96</v>
      </c>
      <c r="AQ99" s="18" t="s">
        <v>107</v>
      </c>
      <c r="AR99" s="18" t="s">
        <v>118</v>
      </c>
      <c r="AS99" s="18" t="s">
        <v>198</v>
      </c>
      <c r="AT99" s="18"/>
      <c r="AU99" s="18"/>
      <c r="AV99" s="18">
        <f>+VLOOKUP(AN99,Leyenda!$B$30:$E$34,3,FALSE)</f>
        <v>2</v>
      </c>
      <c r="AW99" s="18">
        <f>+VLOOKUP('2. Logging Brejo Seco'!AO99,Meteorizacion,3,FALSE)</f>
        <v>1</v>
      </c>
      <c r="AX99" s="18">
        <f>+VLOOKUP('2. Logging Brejo Seco'!AP99,Apertura,3,FALSE)</f>
        <v>1</v>
      </c>
      <c r="AY99" s="18">
        <f>+VLOOKUP('2. Logging Brejo Seco'!AQ99,Leyenda!$B$55:$D$59,3,FALSE)</f>
        <v>3</v>
      </c>
      <c r="AZ99" s="18">
        <f>+VLOOKUP('2. Logging Brejo Seco'!AR99,Relleno,3,FALSE)</f>
        <v>2</v>
      </c>
      <c r="BA99" s="18">
        <f t="shared" si="45"/>
        <v>9</v>
      </c>
      <c r="BB99" s="49">
        <f t="shared" si="29"/>
        <v>0</v>
      </c>
      <c r="BC99" s="49">
        <f>VLOOKUP(AM99,Leyenda!$B$4:$D$10,3,FALSE)</f>
        <v>1</v>
      </c>
      <c r="BD99" s="50">
        <f t="shared" si="35"/>
        <v>5</v>
      </c>
      <c r="BE99" s="49">
        <f t="shared" si="36"/>
        <v>9</v>
      </c>
      <c r="BF99" s="49">
        <f>VLOOKUP(AS99,Leyenda!$B$70:$D$75,3,FALSE)</f>
        <v>15</v>
      </c>
      <c r="BG99" s="67">
        <f t="shared" si="30"/>
        <v>13.5</v>
      </c>
      <c r="BH99" s="67">
        <f>VLOOKUP(AM99,Leyenda!$B$4:$E$10,4,FALSE)</f>
        <v>1</v>
      </c>
      <c r="BI99" s="67">
        <f t="shared" si="37"/>
        <v>5</v>
      </c>
      <c r="BJ99" s="67">
        <f t="shared" si="31"/>
        <v>0</v>
      </c>
      <c r="BK99" s="67">
        <f>+VLOOKUP('2. Logging Brejo Seco'!AP99,Leyenda!$B$47:$E$51,4,FALSE)</f>
        <v>1</v>
      </c>
      <c r="BL99" s="67">
        <f>+VLOOKUP('2. Logging Brejo Seco'!AQ99,Leyenda!$B$55:$E$59,4,FALSE)</f>
        <v>3</v>
      </c>
      <c r="BM99" s="67">
        <f>+VLOOKUP('2. Logging Brejo Seco'!AR99,Leyenda!$B$63:$E$67,3,FALSE)</f>
        <v>2</v>
      </c>
      <c r="BN99" s="67">
        <f>+VLOOKUP('2. Logging Brejo Seco'!AO99,Leyenda!$B$39:$E$43,4,FALSE)</f>
        <v>1</v>
      </c>
      <c r="BO99" s="67">
        <f>+VLOOKUP('2. Logging Brejo Seco'!AN99,Leyenda!$B$30:$E$34,4,FALSE)</f>
        <v>3</v>
      </c>
      <c r="BP99" s="67">
        <f>VLOOKUP(AS99,Leyenda!$B$71:$E$75,4,FALSE)</f>
        <v>10</v>
      </c>
      <c r="BQ99" s="125">
        <f t="shared" si="38"/>
        <v>26</v>
      </c>
      <c r="BR99" s="125">
        <f t="shared" si="39"/>
        <v>30</v>
      </c>
      <c r="BS99" s="240">
        <f t="shared" si="40"/>
        <v>0.4</v>
      </c>
      <c r="BT99" s="18"/>
    </row>
    <row r="100" spans="1:72" x14ac:dyDescent="0.25">
      <c r="A100" s="18" t="s">
        <v>6</v>
      </c>
      <c r="B100" s="18">
        <v>2024</v>
      </c>
      <c r="C100" s="18" t="s">
        <v>138</v>
      </c>
      <c r="D100" s="18" t="s">
        <v>10</v>
      </c>
      <c r="E100" s="18">
        <v>10</v>
      </c>
      <c r="F100" s="18">
        <v>10</v>
      </c>
      <c r="G100" s="18" t="s">
        <v>135</v>
      </c>
      <c r="H100" s="248">
        <f t="shared" si="42"/>
        <v>10</v>
      </c>
      <c r="I100" s="135"/>
      <c r="J100" s="18" t="s">
        <v>163</v>
      </c>
      <c r="K100" s="31">
        <f t="shared" si="41"/>
        <v>53.35</v>
      </c>
      <c r="L100" s="31">
        <v>53.85</v>
      </c>
      <c r="M100" s="4">
        <f t="shared" si="32"/>
        <v>0.5</v>
      </c>
      <c r="N100" s="5">
        <v>0.8</v>
      </c>
      <c r="O100" s="5">
        <f t="shared" si="27"/>
        <v>0.19999999999999996</v>
      </c>
      <c r="P100" s="31">
        <f t="shared" si="33"/>
        <v>0.4</v>
      </c>
      <c r="Q100" s="31">
        <f t="shared" si="28"/>
        <v>0.4</v>
      </c>
      <c r="R100" s="31">
        <v>40</v>
      </c>
      <c r="S100" s="31">
        <v>10</v>
      </c>
      <c r="T100" s="84">
        <v>0.4</v>
      </c>
      <c r="U100" s="31">
        <v>0.27</v>
      </c>
      <c r="V100" s="86">
        <f>+U100/M100*100</f>
        <v>54</v>
      </c>
      <c r="W100" s="31">
        <v>4</v>
      </c>
      <c r="X100" s="31"/>
      <c r="Y100" s="31">
        <f t="shared" si="44"/>
        <v>4</v>
      </c>
      <c r="Z100" s="31">
        <f t="shared" si="47"/>
        <v>100</v>
      </c>
      <c r="AA100" s="18">
        <v>60</v>
      </c>
      <c r="AB100" s="18" t="s">
        <v>92</v>
      </c>
      <c r="AC100" s="18" t="s">
        <v>120</v>
      </c>
      <c r="AD100" s="18" t="s">
        <v>334</v>
      </c>
      <c r="AE100" s="18">
        <v>10</v>
      </c>
      <c r="AF100" s="18">
        <v>40</v>
      </c>
      <c r="AG100" s="18" t="s">
        <v>27</v>
      </c>
      <c r="AH100" s="18" t="str">
        <f t="shared" si="46"/>
        <v>R3</v>
      </c>
      <c r="AI100" s="18" t="str">
        <f>+VLOOKUP(AH100,Leyenda!$O$4:$U$10,6,FALSE)</f>
        <v>0,35-0,50</v>
      </c>
      <c r="AJ100" s="18" t="str">
        <f>+VLOOKUP(AH100,Leyenda!$O$4:$U$10,7,FALSE)</f>
        <v>Easy to blast</v>
      </c>
      <c r="AK100" s="18">
        <f>+VLOOKUP(AJ100,Leyenda!$U$4:$V$10,2,FALSE)</f>
        <v>3</v>
      </c>
      <c r="AL100" s="18" t="s">
        <v>29</v>
      </c>
      <c r="AM100" s="18" t="str">
        <f t="shared" si="34"/>
        <v>R3</v>
      </c>
      <c r="AN100" s="18" t="s">
        <v>64</v>
      </c>
      <c r="AO100" s="18" t="s">
        <v>77</v>
      </c>
      <c r="AP100" s="18" t="s">
        <v>92</v>
      </c>
      <c r="AQ100" s="18" t="s">
        <v>109</v>
      </c>
      <c r="AR100" s="18" t="s">
        <v>118</v>
      </c>
      <c r="AS100" s="18" t="s">
        <v>198</v>
      </c>
      <c r="AT100" s="18" t="s">
        <v>207</v>
      </c>
      <c r="AU100" s="18"/>
      <c r="AV100" s="18">
        <f>+VLOOKUP(AN100,Leyenda!$B$30:$E$34,3,FALSE)</f>
        <v>2</v>
      </c>
      <c r="AW100" s="18">
        <f>+VLOOKUP('2. Logging Brejo Seco'!AO100,Meteorizacion,3,FALSE)</f>
        <v>3</v>
      </c>
      <c r="AX100" s="18">
        <f>+VLOOKUP('2. Logging Brejo Seco'!AP100,Apertura,3,FALSE)</f>
        <v>3</v>
      </c>
      <c r="AY100" s="18">
        <f>+VLOOKUP('2. Logging Brejo Seco'!AQ100,Leyenda!$B$55:$D$59,3,FALSE)</f>
        <v>1</v>
      </c>
      <c r="AZ100" s="18">
        <f>+VLOOKUP('2. Logging Brejo Seco'!AR100,Relleno,3,FALSE)</f>
        <v>2</v>
      </c>
      <c r="BA100" s="18">
        <f t="shared" si="45"/>
        <v>11</v>
      </c>
      <c r="BB100" s="49">
        <f t="shared" si="29"/>
        <v>11</v>
      </c>
      <c r="BC100" s="49">
        <f>VLOOKUP(AM100,Leyenda!$B$4:$D$10,3,FALSE)</f>
        <v>4</v>
      </c>
      <c r="BD100" s="50">
        <f t="shared" si="35"/>
        <v>7</v>
      </c>
      <c r="BE100" s="49">
        <f t="shared" si="36"/>
        <v>11</v>
      </c>
      <c r="BF100" s="49">
        <f>VLOOKUP(AS100,Leyenda!$B$70:$D$75,3,FALSE)</f>
        <v>15</v>
      </c>
      <c r="BG100" s="67">
        <f t="shared" si="30"/>
        <v>43.5</v>
      </c>
      <c r="BH100" s="67">
        <f>VLOOKUP(AM100,Leyenda!$B$4:$E$10,4,FALSE)</f>
        <v>4</v>
      </c>
      <c r="BI100" s="67">
        <f t="shared" si="37"/>
        <v>8</v>
      </c>
      <c r="BJ100" s="67">
        <f t="shared" si="31"/>
        <v>11</v>
      </c>
      <c r="BK100" s="67">
        <f>+VLOOKUP('2. Logging Brejo Seco'!AP100,Leyenda!$B$47:$E$51,4,FALSE)</f>
        <v>3</v>
      </c>
      <c r="BL100" s="67">
        <f>+VLOOKUP('2. Logging Brejo Seco'!AQ100,Leyenda!$B$55:$E$59,4,FALSE)</f>
        <v>1</v>
      </c>
      <c r="BM100" s="67">
        <f>+VLOOKUP('2. Logging Brejo Seco'!AR100,Leyenda!$B$63:$E$67,3,FALSE)</f>
        <v>2</v>
      </c>
      <c r="BN100" s="67">
        <f>+VLOOKUP('2. Logging Brejo Seco'!AO100,Leyenda!$B$39:$E$43,4,FALSE)</f>
        <v>3</v>
      </c>
      <c r="BO100" s="67">
        <f>+VLOOKUP('2. Logging Brejo Seco'!AN100,Leyenda!$B$30:$E$34,4,FALSE)</f>
        <v>3</v>
      </c>
      <c r="BP100" s="67">
        <f>VLOOKUP(AS100,Leyenda!$B$71:$E$75,4,FALSE)</f>
        <v>10</v>
      </c>
      <c r="BQ100" s="125">
        <f t="shared" si="38"/>
        <v>45</v>
      </c>
      <c r="BR100" s="125">
        <f t="shared" si="39"/>
        <v>48</v>
      </c>
      <c r="BS100" s="240">
        <f t="shared" si="40"/>
        <v>0.19999999999999996</v>
      </c>
      <c r="BT100" s="18"/>
    </row>
    <row r="101" spans="1:72" x14ac:dyDescent="0.25">
      <c r="A101" s="18" t="s">
        <v>6</v>
      </c>
      <c r="B101" s="18">
        <v>2024</v>
      </c>
      <c r="C101" s="18" t="s">
        <v>138</v>
      </c>
      <c r="D101" s="18" t="s">
        <v>10</v>
      </c>
      <c r="E101" s="18">
        <v>10</v>
      </c>
      <c r="F101" s="18">
        <v>10</v>
      </c>
      <c r="G101" s="18" t="s">
        <v>135</v>
      </c>
      <c r="H101" s="248">
        <f t="shared" si="42"/>
        <v>10</v>
      </c>
      <c r="I101" s="135"/>
      <c r="J101" s="18" t="s">
        <v>163</v>
      </c>
      <c r="K101" s="31">
        <f t="shared" si="41"/>
        <v>53.85</v>
      </c>
      <c r="L101" s="31">
        <v>54.35</v>
      </c>
      <c r="M101" s="4">
        <f t="shared" si="32"/>
        <v>0.5</v>
      </c>
      <c r="N101" s="5">
        <v>0.96</v>
      </c>
      <c r="O101" s="5">
        <f t="shared" si="27"/>
        <v>4.0000000000000036E-2</v>
      </c>
      <c r="P101" s="31">
        <f t="shared" si="33"/>
        <v>0.48</v>
      </c>
      <c r="Q101" s="31">
        <f t="shared" si="28"/>
        <v>0.48</v>
      </c>
      <c r="R101" s="31">
        <v>96</v>
      </c>
      <c r="S101" s="31">
        <v>5</v>
      </c>
      <c r="T101" s="31">
        <v>0.44</v>
      </c>
      <c r="U101" s="31">
        <v>0.1</v>
      </c>
      <c r="V101" s="86">
        <f>+U101/M101*100</f>
        <v>20</v>
      </c>
      <c r="W101" s="31">
        <v>3</v>
      </c>
      <c r="X101" s="31"/>
      <c r="Y101" s="31">
        <f t="shared" si="44"/>
        <v>3</v>
      </c>
      <c r="Z101" s="31">
        <f t="shared" si="47"/>
        <v>146.66666666666666</v>
      </c>
      <c r="AA101" s="18">
        <v>20</v>
      </c>
      <c r="AB101" s="18" t="s">
        <v>96</v>
      </c>
      <c r="AC101" s="18" t="s">
        <v>118</v>
      </c>
      <c r="AD101" s="18" t="s">
        <v>337</v>
      </c>
      <c r="AE101" s="18">
        <v>5</v>
      </c>
      <c r="AF101" s="18">
        <v>96</v>
      </c>
      <c r="AG101" s="18" t="s">
        <v>29</v>
      </c>
      <c r="AH101" s="18" t="str">
        <f t="shared" si="46"/>
        <v>R2</v>
      </c>
      <c r="AI101" s="18" t="str">
        <f>+VLOOKUP(AH101,Leyenda!$O$4:$U$10,6,FALSE)</f>
        <v>0,25-0,35</v>
      </c>
      <c r="AJ101" s="18" t="str">
        <f>+VLOOKUP(AH101,Leyenda!$O$4:$U$10,7,FALSE)</f>
        <v>No Blasting need</v>
      </c>
      <c r="AK101" s="18">
        <f>+VLOOKUP(AJ101,Leyenda!$U$4:$V$10,2,FALSE)</f>
        <v>2</v>
      </c>
      <c r="AL101" s="18" t="s">
        <v>29</v>
      </c>
      <c r="AM101" s="18" t="str">
        <f t="shared" si="34"/>
        <v>R2</v>
      </c>
      <c r="AN101" s="18" t="s">
        <v>64</v>
      </c>
      <c r="AO101" s="18" t="s">
        <v>79</v>
      </c>
      <c r="AP101" s="18" t="s">
        <v>92</v>
      </c>
      <c r="AQ101" s="18" t="s">
        <v>109</v>
      </c>
      <c r="AR101" s="18" t="s">
        <v>120</v>
      </c>
      <c r="AS101" s="18" t="s">
        <v>198</v>
      </c>
      <c r="AT101" s="18"/>
      <c r="AU101" s="18"/>
      <c r="AV101" s="18">
        <f>+VLOOKUP(AN101,Leyenda!$B$30:$E$34,3,FALSE)</f>
        <v>2</v>
      </c>
      <c r="AW101" s="18">
        <f>+VLOOKUP('2. Logging Brejo Seco'!AO101,Meteorizacion,3,FALSE)</f>
        <v>1</v>
      </c>
      <c r="AX101" s="18">
        <f>+VLOOKUP('2. Logging Brejo Seco'!AP101,Apertura,3,FALSE)</f>
        <v>3</v>
      </c>
      <c r="AY101" s="18">
        <f>+VLOOKUP('2. Logging Brejo Seco'!AQ101,Leyenda!$B$55:$D$59,3,FALSE)</f>
        <v>1</v>
      </c>
      <c r="AZ101" s="18">
        <f>+VLOOKUP('2. Logging Brejo Seco'!AR101,Relleno,3,FALSE)</f>
        <v>2</v>
      </c>
      <c r="BA101" s="18">
        <f t="shared" si="45"/>
        <v>9</v>
      </c>
      <c r="BB101" s="49">
        <f t="shared" si="29"/>
        <v>4</v>
      </c>
      <c r="BC101" s="49">
        <f>VLOOKUP(AM101,Leyenda!$B$4:$D$10,3,FALSE)</f>
        <v>2</v>
      </c>
      <c r="BD101" s="50">
        <f t="shared" si="35"/>
        <v>8</v>
      </c>
      <c r="BE101" s="49">
        <f t="shared" si="36"/>
        <v>9</v>
      </c>
      <c r="BF101" s="49">
        <f>VLOOKUP(AS101,Leyenda!$B$70:$D$75,3,FALSE)</f>
        <v>15</v>
      </c>
      <c r="BG101" s="67">
        <f t="shared" si="30"/>
        <v>23.5</v>
      </c>
      <c r="BH101" s="67">
        <f>VLOOKUP(AM101,Leyenda!$B$4:$E$10,4,FALSE)</f>
        <v>2</v>
      </c>
      <c r="BI101" s="67">
        <f t="shared" si="37"/>
        <v>10</v>
      </c>
      <c r="BJ101" s="67">
        <f t="shared" si="31"/>
        <v>4</v>
      </c>
      <c r="BK101" s="67">
        <f>+VLOOKUP('2. Logging Brejo Seco'!AP101,Leyenda!$B$47:$E$51,4,FALSE)</f>
        <v>3</v>
      </c>
      <c r="BL101" s="67">
        <f>+VLOOKUP('2. Logging Brejo Seco'!AQ101,Leyenda!$B$55:$E$59,4,FALSE)</f>
        <v>1</v>
      </c>
      <c r="BM101" s="67">
        <f>+VLOOKUP('2. Logging Brejo Seco'!AR101,Leyenda!$B$63:$E$67,3,FALSE)</f>
        <v>2</v>
      </c>
      <c r="BN101" s="67">
        <f>+VLOOKUP('2. Logging Brejo Seco'!AO101,Leyenda!$B$39:$E$43,4,FALSE)</f>
        <v>1</v>
      </c>
      <c r="BO101" s="67">
        <f>+VLOOKUP('2. Logging Brejo Seco'!AN101,Leyenda!$B$30:$E$34,4,FALSE)</f>
        <v>3</v>
      </c>
      <c r="BP101" s="67">
        <f>VLOOKUP(AS101,Leyenda!$B$71:$E$75,4,FALSE)</f>
        <v>10</v>
      </c>
      <c r="BQ101" s="125">
        <f t="shared" si="38"/>
        <v>36</v>
      </c>
      <c r="BR101" s="125">
        <f t="shared" si="39"/>
        <v>38</v>
      </c>
      <c r="BS101" s="240">
        <f t="shared" si="40"/>
        <v>4.0000000000000036E-2</v>
      </c>
      <c r="BT101" s="18"/>
    </row>
    <row r="102" spans="1:72" x14ac:dyDescent="0.25">
      <c r="A102" s="18" t="s">
        <v>6</v>
      </c>
      <c r="B102" s="18">
        <v>2024</v>
      </c>
      <c r="C102" s="18" t="s">
        <v>138</v>
      </c>
      <c r="D102" s="18" t="s">
        <v>10</v>
      </c>
      <c r="E102" s="18">
        <v>10</v>
      </c>
      <c r="F102" s="18">
        <v>10</v>
      </c>
      <c r="G102" s="18" t="s">
        <v>135</v>
      </c>
      <c r="H102" s="248">
        <f t="shared" si="42"/>
        <v>10</v>
      </c>
      <c r="I102" s="135"/>
      <c r="J102" s="18" t="s">
        <v>163</v>
      </c>
      <c r="K102" s="31">
        <f t="shared" si="41"/>
        <v>54.35</v>
      </c>
      <c r="L102" s="31">
        <v>54.85</v>
      </c>
      <c r="M102" s="4">
        <f t="shared" si="32"/>
        <v>0.5</v>
      </c>
      <c r="N102" s="5">
        <v>0.8</v>
      </c>
      <c r="O102" s="5">
        <f t="shared" si="27"/>
        <v>0.19999999999999996</v>
      </c>
      <c r="P102" s="31">
        <f t="shared" si="33"/>
        <v>0.4</v>
      </c>
      <c r="Q102" s="31">
        <f t="shared" si="28"/>
        <v>0.4</v>
      </c>
      <c r="R102" s="31">
        <v>80</v>
      </c>
      <c r="S102" s="31">
        <v>5</v>
      </c>
      <c r="T102" s="31">
        <v>0.4</v>
      </c>
      <c r="U102" s="31">
        <v>0.16</v>
      </c>
      <c r="V102" s="86">
        <f t="shared" si="43"/>
        <v>32</v>
      </c>
      <c r="W102" s="31">
        <v>4</v>
      </c>
      <c r="X102" s="31"/>
      <c r="Y102" s="31">
        <f t="shared" si="44"/>
        <v>4</v>
      </c>
      <c r="Z102" s="31">
        <f t="shared" si="47"/>
        <v>100</v>
      </c>
      <c r="AA102" s="18">
        <v>50</v>
      </c>
      <c r="AB102" s="18" t="s">
        <v>96</v>
      </c>
      <c r="AC102" s="18" t="s">
        <v>118</v>
      </c>
      <c r="AD102" s="18" t="s">
        <v>337</v>
      </c>
      <c r="AE102" s="18">
        <v>5</v>
      </c>
      <c r="AF102" s="18">
        <v>80</v>
      </c>
      <c r="AG102" s="18" t="s">
        <v>29</v>
      </c>
      <c r="AH102" s="18" t="str">
        <f t="shared" si="46"/>
        <v>R2</v>
      </c>
      <c r="AI102" s="18" t="str">
        <f>+VLOOKUP(AH102,Leyenda!$O$4:$U$10,6,FALSE)</f>
        <v>0,25-0,35</v>
      </c>
      <c r="AJ102" s="18" t="str">
        <f>+VLOOKUP(AH102,Leyenda!$O$4:$U$10,7,FALSE)</f>
        <v>No Blasting need</v>
      </c>
      <c r="AK102" s="18">
        <f>+VLOOKUP(AJ102,Leyenda!$U$4:$V$10,2,FALSE)</f>
        <v>2</v>
      </c>
      <c r="AL102" s="18" t="s">
        <v>32</v>
      </c>
      <c r="AM102" s="18" t="str">
        <f t="shared" si="34"/>
        <v>R2</v>
      </c>
      <c r="AN102" s="18" t="s">
        <v>66</v>
      </c>
      <c r="AO102" s="18" t="s">
        <v>81</v>
      </c>
      <c r="AP102" s="18" t="s">
        <v>92</v>
      </c>
      <c r="AQ102" s="18" t="s">
        <v>107</v>
      </c>
      <c r="AR102" s="18" t="s">
        <v>118</v>
      </c>
      <c r="AS102" s="18" t="s">
        <v>198</v>
      </c>
      <c r="AT102" s="18" t="s">
        <v>207</v>
      </c>
      <c r="AU102" s="18"/>
      <c r="AV102" s="18">
        <f>+VLOOKUP(AN102,Leyenda!$B$30:$E$34,3,FALSE)</f>
        <v>1</v>
      </c>
      <c r="AW102" s="18">
        <f>+VLOOKUP('2. Logging Brejo Seco'!AO102,Meteorizacion,3,FALSE)</f>
        <v>0</v>
      </c>
      <c r="AX102" s="18">
        <f>+VLOOKUP('2. Logging Brejo Seco'!AP102,Apertura,3,FALSE)</f>
        <v>3</v>
      </c>
      <c r="AY102" s="18">
        <f>+VLOOKUP('2. Logging Brejo Seco'!AQ102,Leyenda!$B$55:$D$59,3,FALSE)</f>
        <v>3</v>
      </c>
      <c r="AZ102" s="18">
        <f>+VLOOKUP('2. Logging Brejo Seco'!AR102,Relleno,3,FALSE)</f>
        <v>2</v>
      </c>
      <c r="BA102" s="18">
        <f t="shared" si="45"/>
        <v>9</v>
      </c>
      <c r="BB102" s="49">
        <f t="shared" si="29"/>
        <v>7</v>
      </c>
      <c r="BC102" s="49">
        <f>VLOOKUP(AM102,Leyenda!$B$4:$D$10,3,FALSE)</f>
        <v>2</v>
      </c>
      <c r="BD102" s="50">
        <f t="shared" si="35"/>
        <v>7</v>
      </c>
      <c r="BE102" s="49">
        <f t="shared" si="36"/>
        <v>9</v>
      </c>
      <c r="BF102" s="49">
        <f>VLOOKUP(AS102,Leyenda!$B$70:$D$75,3,FALSE)</f>
        <v>15</v>
      </c>
      <c r="BG102" s="67">
        <f t="shared" si="30"/>
        <v>29.5</v>
      </c>
      <c r="BH102" s="67">
        <f>VLOOKUP(AM102,Leyenda!$B$4:$E$10,4,FALSE)</f>
        <v>2</v>
      </c>
      <c r="BI102" s="67">
        <f t="shared" si="37"/>
        <v>8</v>
      </c>
      <c r="BJ102" s="67">
        <f t="shared" si="31"/>
        <v>7</v>
      </c>
      <c r="BK102" s="67">
        <f>+VLOOKUP('2. Logging Brejo Seco'!AP102,Leyenda!$B$47:$E$51,4,FALSE)</f>
        <v>3</v>
      </c>
      <c r="BL102" s="67">
        <f>+VLOOKUP('2. Logging Brejo Seco'!AQ102,Leyenda!$B$55:$E$59,4,FALSE)</f>
        <v>3</v>
      </c>
      <c r="BM102" s="67">
        <f>+VLOOKUP('2. Logging Brejo Seco'!AR102,Leyenda!$B$63:$E$67,3,FALSE)</f>
        <v>2</v>
      </c>
      <c r="BN102" s="67">
        <f>+VLOOKUP('2. Logging Brejo Seco'!AO102,Leyenda!$B$39:$E$43,4,FALSE)</f>
        <v>0</v>
      </c>
      <c r="BO102" s="67">
        <f>+VLOOKUP('2. Logging Brejo Seco'!AN102,Leyenda!$B$30:$E$34,4,FALSE)</f>
        <v>1</v>
      </c>
      <c r="BP102" s="67">
        <f>VLOOKUP(AS102,Leyenda!$B$71:$E$75,4,FALSE)</f>
        <v>10</v>
      </c>
      <c r="BQ102" s="125">
        <f t="shared" si="38"/>
        <v>36</v>
      </c>
      <c r="BR102" s="125">
        <f t="shared" si="39"/>
        <v>40</v>
      </c>
      <c r="BS102" s="240">
        <f t="shared" si="40"/>
        <v>0.19999999999999996</v>
      </c>
      <c r="BT102" s="18"/>
    </row>
    <row r="103" spans="1:72" x14ac:dyDescent="0.25">
      <c r="A103" s="18" t="s">
        <v>6</v>
      </c>
      <c r="B103" s="18">
        <v>2024</v>
      </c>
      <c r="C103" s="18" t="s">
        <v>138</v>
      </c>
      <c r="D103" s="18" t="s">
        <v>10</v>
      </c>
      <c r="E103" s="18">
        <v>10</v>
      </c>
      <c r="F103" s="18">
        <v>10</v>
      </c>
      <c r="G103" s="18" t="s">
        <v>135</v>
      </c>
      <c r="H103" s="248">
        <f t="shared" si="42"/>
        <v>10</v>
      </c>
      <c r="I103" s="135"/>
      <c r="J103" s="18" t="s">
        <v>163</v>
      </c>
      <c r="K103" s="31">
        <f t="shared" si="41"/>
        <v>54.85</v>
      </c>
      <c r="L103" s="31">
        <v>55.35</v>
      </c>
      <c r="M103" s="4">
        <f t="shared" si="32"/>
        <v>0.5</v>
      </c>
      <c r="N103" s="5">
        <v>0.66</v>
      </c>
      <c r="O103" s="5">
        <f t="shared" si="27"/>
        <v>0.33999999999999997</v>
      </c>
      <c r="P103" s="31">
        <f t="shared" si="33"/>
        <v>0.33</v>
      </c>
      <c r="Q103" s="31">
        <f t="shared" si="28"/>
        <v>0.33</v>
      </c>
      <c r="R103" s="31">
        <v>330</v>
      </c>
      <c r="S103" s="31">
        <v>1</v>
      </c>
      <c r="T103" s="31">
        <v>0.25</v>
      </c>
      <c r="U103" s="31">
        <v>0.16</v>
      </c>
      <c r="V103" s="86">
        <f t="shared" si="43"/>
        <v>32</v>
      </c>
      <c r="W103" s="31">
        <v>3</v>
      </c>
      <c r="X103" s="31"/>
      <c r="Y103" s="31">
        <f t="shared" si="44"/>
        <v>3</v>
      </c>
      <c r="Z103" s="31">
        <f t="shared" si="47"/>
        <v>83.333333333333329</v>
      </c>
      <c r="AA103" s="18">
        <v>38</v>
      </c>
      <c r="AB103" s="18" t="s">
        <v>96</v>
      </c>
      <c r="AC103" s="18" t="s">
        <v>116</v>
      </c>
      <c r="AD103" s="18" t="s">
        <v>337</v>
      </c>
      <c r="AE103" s="18">
        <v>1</v>
      </c>
      <c r="AF103" s="18">
        <v>330</v>
      </c>
      <c r="AG103" s="18" t="s">
        <v>29</v>
      </c>
      <c r="AH103" s="18" t="str">
        <f t="shared" si="46"/>
        <v>R2</v>
      </c>
      <c r="AI103" s="18" t="str">
        <f>+VLOOKUP(AH103,Leyenda!$O$4:$U$10,6,FALSE)</f>
        <v>0,25-0,35</v>
      </c>
      <c r="AJ103" s="18" t="str">
        <f>+VLOOKUP(AH103,Leyenda!$O$4:$U$10,7,FALSE)</f>
        <v>No Blasting need</v>
      </c>
      <c r="AK103" s="18">
        <f>+VLOOKUP(AJ103,Leyenda!$U$4:$V$10,2,FALSE)</f>
        <v>2</v>
      </c>
      <c r="AL103" s="18" t="s">
        <v>32</v>
      </c>
      <c r="AM103" s="18" t="str">
        <f t="shared" si="34"/>
        <v>R2</v>
      </c>
      <c r="AN103" s="18" t="s">
        <v>64</v>
      </c>
      <c r="AO103" s="18" t="s">
        <v>81</v>
      </c>
      <c r="AP103" s="18" t="s">
        <v>92</v>
      </c>
      <c r="AQ103" s="18" t="s">
        <v>109</v>
      </c>
      <c r="AR103" s="18" t="s">
        <v>120</v>
      </c>
      <c r="AS103" s="18" t="s">
        <v>198</v>
      </c>
      <c r="AT103" s="18" t="s">
        <v>207</v>
      </c>
      <c r="AU103" s="18"/>
      <c r="AV103" s="18">
        <f>+VLOOKUP(AN103,Leyenda!$B$30:$E$34,3,FALSE)</f>
        <v>2</v>
      </c>
      <c r="AW103" s="18">
        <f>+VLOOKUP('2. Logging Brejo Seco'!AO103,Meteorizacion,3,FALSE)</f>
        <v>0</v>
      </c>
      <c r="AX103" s="18">
        <f>+VLOOKUP('2. Logging Brejo Seco'!AP103,Apertura,3,FALSE)</f>
        <v>3</v>
      </c>
      <c r="AY103" s="18">
        <f>+VLOOKUP('2. Logging Brejo Seco'!AQ103,Leyenda!$B$55:$D$59,3,FALSE)</f>
        <v>1</v>
      </c>
      <c r="AZ103" s="18">
        <f>+VLOOKUP('2. Logging Brejo Seco'!AR103,Relleno,3,FALSE)</f>
        <v>2</v>
      </c>
      <c r="BA103" s="18">
        <f t="shared" si="45"/>
        <v>8</v>
      </c>
      <c r="BB103" s="49">
        <f t="shared" si="29"/>
        <v>7</v>
      </c>
      <c r="BC103" s="49">
        <f>VLOOKUP(AM103,Leyenda!$B$4:$D$10,3,FALSE)</f>
        <v>2</v>
      </c>
      <c r="BD103" s="50">
        <f t="shared" si="35"/>
        <v>7</v>
      </c>
      <c r="BE103" s="49">
        <f t="shared" si="36"/>
        <v>8</v>
      </c>
      <c r="BF103" s="49">
        <f>VLOOKUP(AS103,Leyenda!$B$70:$D$75,3,FALSE)</f>
        <v>15</v>
      </c>
      <c r="BG103" s="67">
        <f t="shared" si="30"/>
        <v>28</v>
      </c>
      <c r="BH103" s="67">
        <f>VLOOKUP(AM103,Leyenda!$B$4:$E$10,4,FALSE)</f>
        <v>2</v>
      </c>
      <c r="BI103" s="67">
        <f t="shared" si="37"/>
        <v>7</v>
      </c>
      <c r="BJ103" s="67">
        <f t="shared" si="31"/>
        <v>7</v>
      </c>
      <c r="BK103" s="67">
        <f>+VLOOKUP('2. Logging Brejo Seco'!AP103,Leyenda!$B$47:$E$51,4,FALSE)</f>
        <v>3</v>
      </c>
      <c r="BL103" s="67">
        <f>+VLOOKUP('2. Logging Brejo Seco'!AQ103,Leyenda!$B$55:$E$59,4,FALSE)</f>
        <v>1</v>
      </c>
      <c r="BM103" s="67">
        <f>+VLOOKUP('2. Logging Brejo Seco'!AR103,Leyenda!$B$63:$E$67,3,FALSE)</f>
        <v>2</v>
      </c>
      <c r="BN103" s="67">
        <f>+VLOOKUP('2. Logging Brejo Seco'!AO103,Leyenda!$B$39:$E$43,4,FALSE)</f>
        <v>0</v>
      </c>
      <c r="BO103" s="67">
        <f>+VLOOKUP('2. Logging Brejo Seco'!AN103,Leyenda!$B$30:$E$34,4,FALSE)</f>
        <v>3</v>
      </c>
      <c r="BP103" s="67">
        <f>VLOOKUP(AS103,Leyenda!$B$71:$E$75,4,FALSE)</f>
        <v>10</v>
      </c>
      <c r="BQ103" s="125">
        <f t="shared" si="38"/>
        <v>35</v>
      </c>
      <c r="BR103" s="125">
        <f t="shared" si="39"/>
        <v>39</v>
      </c>
      <c r="BS103" s="240">
        <f t="shared" si="40"/>
        <v>0.33999999999999997</v>
      </c>
      <c r="BT103" s="18"/>
    </row>
    <row r="104" spans="1:72" x14ac:dyDescent="0.25">
      <c r="A104" s="18" t="s">
        <v>6</v>
      </c>
      <c r="B104" s="18">
        <v>2024</v>
      </c>
      <c r="C104" s="18" t="s">
        <v>138</v>
      </c>
      <c r="D104" s="18" t="s">
        <v>10</v>
      </c>
      <c r="E104" s="18">
        <v>10</v>
      </c>
      <c r="F104" s="18">
        <v>10</v>
      </c>
      <c r="G104" s="18" t="s">
        <v>135</v>
      </c>
      <c r="H104" s="248">
        <f t="shared" si="42"/>
        <v>10</v>
      </c>
      <c r="I104" s="135"/>
      <c r="J104" s="18" t="s">
        <v>163</v>
      </c>
      <c r="K104" s="31">
        <f t="shared" si="41"/>
        <v>55.35</v>
      </c>
      <c r="L104" s="31">
        <v>55.85</v>
      </c>
      <c r="M104" s="4">
        <f t="shared" si="32"/>
        <v>0.5</v>
      </c>
      <c r="N104" s="5">
        <v>0.92</v>
      </c>
      <c r="O104" s="5">
        <f t="shared" si="27"/>
        <v>7.999999999999996E-2</v>
      </c>
      <c r="P104" s="31">
        <f t="shared" si="33"/>
        <v>0.46</v>
      </c>
      <c r="Q104" s="31">
        <f t="shared" si="28"/>
        <v>0.46</v>
      </c>
      <c r="R104" s="31">
        <v>23</v>
      </c>
      <c r="S104" s="31">
        <v>20</v>
      </c>
      <c r="T104" s="31">
        <v>0.45</v>
      </c>
      <c r="U104" s="31">
        <v>0.15</v>
      </c>
      <c r="V104" s="86">
        <f t="shared" si="43"/>
        <v>30</v>
      </c>
      <c r="W104" s="31">
        <v>5</v>
      </c>
      <c r="X104" s="31"/>
      <c r="Y104" s="31">
        <f t="shared" si="44"/>
        <v>5</v>
      </c>
      <c r="Z104" s="31">
        <f t="shared" si="47"/>
        <v>90</v>
      </c>
      <c r="AA104" s="18">
        <v>20</v>
      </c>
      <c r="AB104" s="18" t="s">
        <v>100</v>
      </c>
      <c r="AC104" s="18" t="s">
        <v>333</v>
      </c>
      <c r="AD104" s="18" t="s">
        <v>336</v>
      </c>
      <c r="AE104" s="18">
        <v>20</v>
      </c>
      <c r="AF104" s="18">
        <v>23</v>
      </c>
      <c r="AG104" s="18" t="s">
        <v>32</v>
      </c>
      <c r="AH104" s="18" t="str">
        <f t="shared" si="46"/>
        <v>R1</v>
      </c>
      <c r="AI104" s="18" t="str">
        <f>+VLOOKUP(AH104,Leyenda!$O$4:$U$10,6,FALSE)</f>
        <v>0,15-0,25</v>
      </c>
      <c r="AJ104" s="18" t="str">
        <f>+VLOOKUP(AH104,Leyenda!$O$4:$U$10,7,FALSE)</f>
        <v>No Blasting need</v>
      </c>
      <c r="AK104" s="18">
        <f>+VLOOKUP(AJ104,Leyenda!$U$4:$V$10,2,FALSE)</f>
        <v>2</v>
      </c>
      <c r="AL104" s="18" t="s">
        <v>34</v>
      </c>
      <c r="AM104" s="18" t="str">
        <f t="shared" si="34"/>
        <v>R1</v>
      </c>
      <c r="AN104" s="18" t="s">
        <v>66</v>
      </c>
      <c r="AO104" s="18" t="s">
        <v>81</v>
      </c>
      <c r="AP104" s="18" t="s">
        <v>100</v>
      </c>
      <c r="AQ104" s="18" t="s">
        <v>107</v>
      </c>
      <c r="AR104" s="18" t="s">
        <v>118</v>
      </c>
      <c r="AS104" s="18" t="s">
        <v>198</v>
      </c>
      <c r="AT104" s="18"/>
      <c r="AU104" s="18"/>
      <c r="AV104" s="18">
        <f>+VLOOKUP(AN104,Leyenda!$B$30:$E$34,3,FALSE)</f>
        <v>1</v>
      </c>
      <c r="AW104" s="18">
        <f>+VLOOKUP('2. Logging Brejo Seco'!AO104,Meteorizacion,3,FALSE)</f>
        <v>0</v>
      </c>
      <c r="AX104" s="18">
        <f>+VLOOKUP('2. Logging Brejo Seco'!AP104,Apertura,3,FALSE)</f>
        <v>0</v>
      </c>
      <c r="AY104" s="18">
        <f>+VLOOKUP('2. Logging Brejo Seco'!AQ104,Leyenda!$B$55:$D$59,3,FALSE)</f>
        <v>3</v>
      </c>
      <c r="AZ104" s="18">
        <f>+VLOOKUP('2. Logging Brejo Seco'!AR104,Relleno,3,FALSE)</f>
        <v>2</v>
      </c>
      <c r="BA104" s="18">
        <f t="shared" si="45"/>
        <v>6</v>
      </c>
      <c r="BB104" s="49">
        <f t="shared" si="29"/>
        <v>6</v>
      </c>
      <c r="BC104" s="49">
        <f>VLOOKUP(AM104,Leyenda!$B$4:$D$10,3,FALSE)</f>
        <v>1</v>
      </c>
      <c r="BD104" s="50">
        <f t="shared" si="35"/>
        <v>7</v>
      </c>
      <c r="BE104" s="49">
        <f t="shared" si="36"/>
        <v>6</v>
      </c>
      <c r="BF104" s="49">
        <f>VLOOKUP(AS104,Leyenda!$B$70:$D$75,3,FALSE)</f>
        <v>15</v>
      </c>
      <c r="BG104" s="67">
        <f t="shared" si="30"/>
        <v>24</v>
      </c>
      <c r="BH104" s="67">
        <f>VLOOKUP(AM104,Leyenda!$B$4:$E$10,4,FALSE)</f>
        <v>1</v>
      </c>
      <c r="BI104" s="67">
        <f t="shared" si="37"/>
        <v>8</v>
      </c>
      <c r="BJ104" s="67">
        <f t="shared" si="31"/>
        <v>6</v>
      </c>
      <c r="BK104" s="67">
        <f>+VLOOKUP('2. Logging Brejo Seco'!AP104,Leyenda!$B$47:$E$51,4,FALSE)</f>
        <v>0</v>
      </c>
      <c r="BL104" s="67">
        <f>+VLOOKUP('2. Logging Brejo Seco'!AQ104,Leyenda!$B$55:$E$59,4,FALSE)</f>
        <v>3</v>
      </c>
      <c r="BM104" s="67">
        <f>+VLOOKUP('2. Logging Brejo Seco'!AR104,Leyenda!$B$63:$E$67,3,FALSE)</f>
        <v>2</v>
      </c>
      <c r="BN104" s="67">
        <f>+VLOOKUP('2. Logging Brejo Seco'!AO104,Leyenda!$B$39:$E$43,4,FALSE)</f>
        <v>0</v>
      </c>
      <c r="BO104" s="67">
        <f>+VLOOKUP('2. Logging Brejo Seco'!AN104,Leyenda!$B$30:$E$34,4,FALSE)</f>
        <v>1</v>
      </c>
      <c r="BP104" s="67">
        <f>VLOOKUP(AS104,Leyenda!$B$71:$E$75,4,FALSE)</f>
        <v>10</v>
      </c>
      <c r="BQ104" s="125">
        <f t="shared" si="38"/>
        <v>31</v>
      </c>
      <c r="BR104" s="85">
        <f t="shared" si="39"/>
        <v>35</v>
      </c>
      <c r="BS104" s="240">
        <f t="shared" si="40"/>
        <v>7.999999999999996E-2</v>
      </c>
      <c r="BT104" s="18"/>
    </row>
    <row r="105" spans="1:72" x14ac:dyDescent="0.25">
      <c r="A105" s="18" t="s">
        <v>6</v>
      </c>
      <c r="B105" s="18">
        <v>2024</v>
      </c>
      <c r="C105" s="18" t="s">
        <v>138</v>
      </c>
      <c r="D105" s="18" t="s">
        <v>10</v>
      </c>
      <c r="E105" s="18">
        <v>10</v>
      </c>
      <c r="F105" s="18">
        <v>10</v>
      </c>
      <c r="G105" s="18" t="s">
        <v>135</v>
      </c>
      <c r="H105" s="248">
        <f t="shared" si="42"/>
        <v>10</v>
      </c>
      <c r="I105" s="135"/>
      <c r="J105" s="18" t="s">
        <v>163</v>
      </c>
      <c r="K105" s="31">
        <f t="shared" si="41"/>
        <v>55.85</v>
      </c>
      <c r="L105" s="31">
        <v>56.35</v>
      </c>
      <c r="M105" s="4">
        <f t="shared" si="32"/>
        <v>0.5</v>
      </c>
      <c r="N105" s="5">
        <v>0.8</v>
      </c>
      <c r="O105" s="5">
        <f t="shared" si="27"/>
        <v>0.19999999999999996</v>
      </c>
      <c r="P105" s="31">
        <f t="shared" si="33"/>
        <v>0.4</v>
      </c>
      <c r="Q105" s="31">
        <f t="shared" si="28"/>
        <v>0.4</v>
      </c>
      <c r="R105" s="31">
        <v>20</v>
      </c>
      <c r="S105" s="31">
        <v>20</v>
      </c>
      <c r="T105" s="31">
        <v>0.36</v>
      </c>
      <c r="U105" s="31">
        <v>0</v>
      </c>
      <c r="V105" s="86">
        <f t="shared" si="43"/>
        <v>0</v>
      </c>
      <c r="W105" s="31">
        <v>6</v>
      </c>
      <c r="X105" s="31"/>
      <c r="Y105" s="31">
        <f t="shared" si="44"/>
        <v>6</v>
      </c>
      <c r="Z105" s="31">
        <f t="shared" si="47"/>
        <v>60</v>
      </c>
      <c r="AA105" s="18">
        <v>0</v>
      </c>
      <c r="AB105" s="18" t="s">
        <v>96</v>
      </c>
      <c r="AC105" s="18" t="s">
        <v>333</v>
      </c>
      <c r="AD105" s="18" t="s">
        <v>335</v>
      </c>
      <c r="AE105" s="18">
        <v>20</v>
      </c>
      <c r="AF105" s="18">
        <v>20</v>
      </c>
      <c r="AG105" s="18" t="s">
        <v>34</v>
      </c>
      <c r="AH105" s="18" t="str">
        <f t="shared" si="46"/>
        <v>R0</v>
      </c>
      <c r="AI105" s="18">
        <f>+VLOOKUP(AH105,Leyenda!$O$4:$U$10,6,FALSE)</f>
        <v>0</v>
      </c>
      <c r="AJ105" s="18" t="str">
        <f>+VLOOKUP(AH105,Leyenda!$O$4:$U$10,7,FALSE)</f>
        <v>No Blasting need</v>
      </c>
      <c r="AK105" s="18">
        <f>+VLOOKUP(AJ105,Leyenda!$U$4:$V$10,2,FALSE)</f>
        <v>2</v>
      </c>
      <c r="AL105" s="18" t="s">
        <v>32</v>
      </c>
      <c r="AM105" s="18" t="str">
        <f t="shared" si="34"/>
        <v>R0</v>
      </c>
      <c r="AN105" s="18" t="s">
        <v>64</v>
      </c>
      <c r="AO105" s="18" t="s">
        <v>79</v>
      </c>
      <c r="AP105" s="18" t="s">
        <v>92</v>
      </c>
      <c r="AQ105" s="18" t="s">
        <v>109</v>
      </c>
      <c r="AR105" s="18" t="s">
        <v>122</v>
      </c>
      <c r="AS105" s="18" t="s">
        <v>198</v>
      </c>
      <c r="AT105" s="18"/>
      <c r="AU105" s="18"/>
      <c r="AV105" s="18">
        <f>+VLOOKUP(AN105,Leyenda!$B$30:$E$34,3,FALSE)</f>
        <v>2</v>
      </c>
      <c r="AW105" s="18">
        <f>+VLOOKUP('2. Logging Brejo Seco'!AO105,Meteorizacion,3,FALSE)</f>
        <v>1</v>
      </c>
      <c r="AX105" s="18">
        <f>+VLOOKUP('2. Logging Brejo Seco'!AP105,Apertura,3,FALSE)</f>
        <v>3</v>
      </c>
      <c r="AY105" s="18">
        <f>+VLOOKUP('2. Logging Brejo Seco'!AQ105,Leyenda!$B$55:$D$59,3,FALSE)</f>
        <v>1</v>
      </c>
      <c r="AZ105" s="18">
        <f>+VLOOKUP('2. Logging Brejo Seco'!AR105,Relleno,3,FALSE)</f>
        <v>0</v>
      </c>
      <c r="BA105" s="18">
        <f t="shared" si="45"/>
        <v>7</v>
      </c>
      <c r="BB105" s="49">
        <f t="shared" si="29"/>
        <v>0</v>
      </c>
      <c r="BC105" s="49">
        <f>VLOOKUP(AM105,Leyenda!$B$4:$D$10,3,FALSE)</f>
        <v>0</v>
      </c>
      <c r="BD105" s="50">
        <f t="shared" si="35"/>
        <v>6</v>
      </c>
      <c r="BE105" s="49">
        <f t="shared" si="36"/>
        <v>7</v>
      </c>
      <c r="BF105" s="49">
        <f>VLOOKUP(AS105,Leyenda!$B$70:$D$75,3,FALSE)</f>
        <v>15</v>
      </c>
      <c r="BG105" s="67">
        <f t="shared" si="30"/>
        <v>10.5</v>
      </c>
      <c r="BH105" s="67">
        <f>VLOOKUP(AM105,Leyenda!$B$4:$E$10,4,FALSE)</f>
        <v>0</v>
      </c>
      <c r="BI105" s="67">
        <f t="shared" si="37"/>
        <v>5</v>
      </c>
      <c r="BJ105" s="67">
        <f t="shared" si="31"/>
        <v>0</v>
      </c>
      <c r="BK105" s="67">
        <f>+VLOOKUP('2. Logging Brejo Seco'!AP105,Leyenda!$B$47:$E$51,4,FALSE)</f>
        <v>3</v>
      </c>
      <c r="BL105" s="67">
        <f>+VLOOKUP('2. Logging Brejo Seco'!AQ105,Leyenda!$B$55:$E$59,4,FALSE)</f>
        <v>1</v>
      </c>
      <c r="BM105" s="67">
        <f>+VLOOKUP('2. Logging Brejo Seco'!AR105,Leyenda!$B$63:$E$67,3,FALSE)</f>
        <v>0</v>
      </c>
      <c r="BN105" s="67">
        <f>+VLOOKUP('2. Logging Brejo Seco'!AO105,Leyenda!$B$39:$E$43,4,FALSE)</f>
        <v>1</v>
      </c>
      <c r="BO105" s="67">
        <f>+VLOOKUP('2. Logging Brejo Seco'!AN105,Leyenda!$B$30:$E$34,4,FALSE)</f>
        <v>3</v>
      </c>
      <c r="BP105" s="67">
        <f>VLOOKUP(AS105,Leyenda!$B$71:$E$75,4,FALSE)</f>
        <v>10</v>
      </c>
      <c r="BQ105" s="125">
        <f t="shared" si="38"/>
        <v>23</v>
      </c>
      <c r="BR105" s="85">
        <f t="shared" si="39"/>
        <v>28</v>
      </c>
      <c r="BS105" s="240">
        <f t="shared" si="40"/>
        <v>0.19999999999999996</v>
      </c>
      <c r="BT105" s="18"/>
    </row>
    <row r="106" spans="1:72" x14ac:dyDescent="0.25">
      <c r="A106" s="18" t="s">
        <v>6</v>
      </c>
      <c r="B106" s="18">
        <v>2024</v>
      </c>
      <c r="C106" s="18" t="s">
        <v>138</v>
      </c>
      <c r="D106" s="18" t="s">
        <v>10</v>
      </c>
      <c r="E106" s="18">
        <v>10</v>
      </c>
      <c r="F106" s="18">
        <v>10</v>
      </c>
      <c r="G106" s="18" t="s">
        <v>135</v>
      </c>
      <c r="H106" s="248">
        <f t="shared" si="42"/>
        <v>10</v>
      </c>
      <c r="I106" s="135"/>
      <c r="J106" s="18" t="s">
        <v>163</v>
      </c>
      <c r="K106" s="31">
        <f t="shared" si="41"/>
        <v>56.35</v>
      </c>
      <c r="L106" s="31">
        <v>56.85</v>
      </c>
      <c r="M106" s="4">
        <f t="shared" si="32"/>
        <v>0.5</v>
      </c>
      <c r="N106" s="5">
        <v>0.86</v>
      </c>
      <c r="O106" s="5">
        <f t="shared" si="27"/>
        <v>0.14000000000000001</v>
      </c>
      <c r="P106" s="31">
        <f t="shared" si="33"/>
        <v>0.43</v>
      </c>
      <c r="Q106" s="31">
        <f t="shared" si="28"/>
        <v>0.43</v>
      </c>
      <c r="R106" s="31">
        <v>430</v>
      </c>
      <c r="S106" s="31">
        <v>1</v>
      </c>
      <c r="T106" s="31">
        <v>0.43</v>
      </c>
      <c r="U106" s="31">
        <v>0</v>
      </c>
      <c r="V106" s="86">
        <f t="shared" si="43"/>
        <v>0</v>
      </c>
      <c r="W106" s="31">
        <v>5</v>
      </c>
      <c r="X106" s="31"/>
      <c r="Y106" s="31">
        <f t="shared" si="44"/>
        <v>5</v>
      </c>
      <c r="Z106" s="31">
        <f t="shared" si="47"/>
        <v>86</v>
      </c>
      <c r="AA106" s="18">
        <v>20</v>
      </c>
      <c r="AB106" s="18" t="s">
        <v>96</v>
      </c>
      <c r="AC106" s="18" t="s">
        <v>116</v>
      </c>
      <c r="AD106" s="18" t="s">
        <v>337</v>
      </c>
      <c r="AE106" s="18">
        <v>1</v>
      </c>
      <c r="AF106" s="18">
        <v>430</v>
      </c>
      <c r="AG106" s="18" t="s">
        <v>29</v>
      </c>
      <c r="AH106" s="18" t="str">
        <f t="shared" si="46"/>
        <v>R2</v>
      </c>
      <c r="AI106" s="18" t="str">
        <f>+VLOOKUP(AH106,Leyenda!$O$4:$U$10,6,FALSE)</f>
        <v>0,25-0,35</v>
      </c>
      <c r="AJ106" s="18" t="str">
        <f>+VLOOKUP(AH106,Leyenda!$O$4:$U$10,7,FALSE)</f>
        <v>No Blasting need</v>
      </c>
      <c r="AK106" s="18">
        <f>+VLOOKUP(AJ106,Leyenda!$U$4:$V$10,2,FALSE)</f>
        <v>2</v>
      </c>
      <c r="AL106" s="18" t="s">
        <v>32</v>
      </c>
      <c r="AM106" s="18" t="str">
        <f t="shared" si="34"/>
        <v>R2</v>
      </c>
      <c r="AN106" s="18" t="s">
        <v>64</v>
      </c>
      <c r="AO106" s="18" t="s">
        <v>77</v>
      </c>
      <c r="AP106" s="18" t="s">
        <v>96</v>
      </c>
      <c r="AQ106" s="18" t="s">
        <v>109</v>
      </c>
      <c r="AR106" s="18" t="s">
        <v>118</v>
      </c>
      <c r="AS106" s="18" t="s">
        <v>198</v>
      </c>
      <c r="AT106" s="18"/>
      <c r="AU106" s="18"/>
      <c r="AV106" s="18">
        <f>+VLOOKUP(AN106,Leyenda!$B$30:$E$34,3,FALSE)</f>
        <v>2</v>
      </c>
      <c r="AW106" s="18">
        <f>+VLOOKUP('2. Logging Brejo Seco'!AO106,Meteorizacion,3,FALSE)</f>
        <v>3</v>
      </c>
      <c r="AX106" s="18">
        <f>+VLOOKUP('2. Logging Brejo Seco'!AP106,Apertura,3,FALSE)</f>
        <v>1</v>
      </c>
      <c r="AY106" s="18">
        <f>+VLOOKUP('2. Logging Brejo Seco'!AQ106,Leyenda!$B$55:$D$59,3,FALSE)</f>
        <v>1</v>
      </c>
      <c r="AZ106" s="18">
        <f>+VLOOKUP('2. Logging Brejo Seco'!AR106,Relleno,3,FALSE)</f>
        <v>2</v>
      </c>
      <c r="BA106" s="18">
        <f t="shared" si="45"/>
        <v>9</v>
      </c>
      <c r="BB106" s="49">
        <f t="shared" si="29"/>
        <v>0</v>
      </c>
      <c r="BC106" s="49">
        <f>VLOOKUP(AM106,Leyenda!$B$4:$D$10,3,FALSE)</f>
        <v>2</v>
      </c>
      <c r="BD106" s="50">
        <f t="shared" si="35"/>
        <v>7</v>
      </c>
      <c r="BE106" s="49">
        <f t="shared" si="36"/>
        <v>9</v>
      </c>
      <c r="BF106" s="49">
        <f>VLOOKUP(AS106,Leyenda!$B$70:$D$75,3,FALSE)</f>
        <v>15</v>
      </c>
      <c r="BG106" s="67">
        <f t="shared" si="30"/>
        <v>13.5</v>
      </c>
      <c r="BH106" s="67">
        <f>VLOOKUP(AM106,Leyenda!$B$4:$E$10,4,FALSE)</f>
        <v>2</v>
      </c>
      <c r="BI106" s="67">
        <f t="shared" si="37"/>
        <v>7</v>
      </c>
      <c r="BJ106" s="67">
        <f t="shared" si="31"/>
        <v>0</v>
      </c>
      <c r="BK106" s="67">
        <f>+VLOOKUP('2. Logging Brejo Seco'!AP106,Leyenda!$B$47:$E$51,4,FALSE)</f>
        <v>1</v>
      </c>
      <c r="BL106" s="67">
        <f>+VLOOKUP('2. Logging Brejo Seco'!AQ106,Leyenda!$B$55:$E$59,4,FALSE)</f>
        <v>1</v>
      </c>
      <c r="BM106" s="67">
        <f>+VLOOKUP('2. Logging Brejo Seco'!AR106,Leyenda!$B$63:$E$67,3,FALSE)</f>
        <v>2</v>
      </c>
      <c r="BN106" s="67">
        <f>+VLOOKUP('2. Logging Brejo Seco'!AO106,Leyenda!$B$39:$E$43,4,FALSE)</f>
        <v>3</v>
      </c>
      <c r="BO106" s="67">
        <f>+VLOOKUP('2. Logging Brejo Seco'!AN106,Leyenda!$B$30:$E$34,4,FALSE)</f>
        <v>3</v>
      </c>
      <c r="BP106" s="67">
        <f>VLOOKUP(AS106,Leyenda!$B$71:$E$75,4,FALSE)</f>
        <v>10</v>
      </c>
      <c r="BQ106" s="125">
        <f t="shared" si="38"/>
        <v>29</v>
      </c>
      <c r="BR106" s="85">
        <f t="shared" si="39"/>
        <v>33</v>
      </c>
      <c r="BS106" s="240">
        <f t="shared" si="40"/>
        <v>0.14000000000000001</v>
      </c>
      <c r="BT106" s="18"/>
    </row>
    <row r="107" spans="1:72" x14ac:dyDescent="0.25">
      <c r="A107" s="18" t="s">
        <v>6</v>
      </c>
      <c r="B107" s="18">
        <v>2024</v>
      </c>
      <c r="C107" s="18" t="s">
        <v>138</v>
      </c>
      <c r="D107" s="18" t="s">
        <v>10</v>
      </c>
      <c r="E107" s="18">
        <v>10</v>
      </c>
      <c r="F107" s="18">
        <v>10</v>
      </c>
      <c r="G107" s="18" t="s">
        <v>135</v>
      </c>
      <c r="H107" s="248">
        <f t="shared" si="42"/>
        <v>10</v>
      </c>
      <c r="I107" s="135"/>
      <c r="J107" s="18" t="s">
        <v>163</v>
      </c>
      <c r="K107" s="31">
        <f t="shared" si="41"/>
        <v>56.85</v>
      </c>
      <c r="L107" s="31">
        <v>57.35</v>
      </c>
      <c r="M107" s="4">
        <f t="shared" si="32"/>
        <v>0.5</v>
      </c>
      <c r="N107" s="5">
        <v>0.6</v>
      </c>
      <c r="O107" s="5">
        <f t="shared" si="27"/>
        <v>0.4</v>
      </c>
      <c r="P107" s="31">
        <f t="shared" si="33"/>
        <v>0.3</v>
      </c>
      <c r="Q107" s="31">
        <f t="shared" si="28"/>
        <v>0.3</v>
      </c>
      <c r="R107" s="31">
        <v>15</v>
      </c>
      <c r="S107" s="31">
        <v>20</v>
      </c>
      <c r="T107" s="31">
        <v>0.28999999999999998</v>
      </c>
      <c r="U107" s="31">
        <v>0</v>
      </c>
      <c r="V107" s="86">
        <f t="shared" si="43"/>
        <v>0</v>
      </c>
      <c r="W107" s="31">
        <v>10</v>
      </c>
      <c r="X107" s="31"/>
      <c r="Y107" s="31">
        <f t="shared" si="44"/>
        <v>10</v>
      </c>
      <c r="Z107" s="31">
        <f t="shared" si="47"/>
        <v>29</v>
      </c>
      <c r="AA107" s="18">
        <v>0</v>
      </c>
      <c r="AB107" s="18" t="s">
        <v>100</v>
      </c>
      <c r="AC107" s="18" t="s">
        <v>333</v>
      </c>
      <c r="AD107" s="18" t="s">
        <v>336</v>
      </c>
      <c r="AE107" s="18">
        <v>20</v>
      </c>
      <c r="AF107" s="18">
        <v>15</v>
      </c>
      <c r="AG107" s="18" t="s">
        <v>32</v>
      </c>
      <c r="AH107" s="18" t="str">
        <f t="shared" si="46"/>
        <v>R1</v>
      </c>
      <c r="AI107" s="18" t="str">
        <f>+VLOOKUP(AH107,Leyenda!$O$4:$U$10,6,FALSE)</f>
        <v>0,15-0,25</v>
      </c>
      <c r="AJ107" s="18" t="str">
        <f>+VLOOKUP(AH107,Leyenda!$O$4:$U$10,7,FALSE)</f>
        <v>No Blasting need</v>
      </c>
      <c r="AK107" s="18">
        <f>+VLOOKUP(AJ107,Leyenda!$U$4:$V$10,2,FALSE)</f>
        <v>2</v>
      </c>
      <c r="AL107" s="18" t="s">
        <v>34</v>
      </c>
      <c r="AM107" s="18" t="str">
        <f t="shared" si="34"/>
        <v>R1</v>
      </c>
      <c r="AN107" s="18" t="s">
        <v>66</v>
      </c>
      <c r="AO107" s="18" t="s">
        <v>81</v>
      </c>
      <c r="AP107" s="18" t="s">
        <v>100</v>
      </c>
      <c r="AQ107" s="18" t="s">
        <v>109</v>
      </c>
      <c r="AR107" s="18" t="s">
        <v>122</v>
      </c>
      <c r="AS107" s="18" t="s">
        <v>198</v>
      </c>
      <c r="AT107" s="18"/>
      <c r="AU107" s="18"/>
      <c r="AV107" s="18">
        <f>+VLOOKUP(AN107,Leyenda!$B$30:$E$34,3,FALSE)</f>
        <v>1</v>
      </c>
      <c r="AW107" s="18">
        <f>+VLOOKUP('2. Logging Brejo Seco'!AO107,Meteorizacion,3,FALSE)</f>
        <v>0</v>
      </c>
      <c r="AX107" s="18">
        <f>+VLOOKUP('2. Logging Brejo Seco'!AP107,Apertura,3,FALSE)</f>
        <v>0</v>
      </c>
      <c r="AY107" s="18">
        <f>+VLOOKUP('2. Logging Brejo Seco'!AQ107,Leyenda!$B$55:$D$59,3,FALSE)</f>
        <v>1</v>
      </c>
      <c r="AZ107" s="18">
        <f>+VLOOKUP('2. Logging Brejo Seco'!AR107,Relleno,3,FALSE)</f>
        <v>0</v>
      </c>
      <c r="BA107" s="18">
        <f t="shared" si="45"/>
        <v>2</v>
      </c>
      <c r="BB107" s="49">
        <f t="shared" si="29"/>
        <v>0</v>
      </c>
      <c r="BC107" s="49">
        <f>VLOOKUP(AM107,Leyenda!$B$4:$D$10,3,FALSE)</f>
        <v>1</v>
      </c>
      <c r="BD107" s="50">
        <f t="shared" si="35"/>
        <v>5</v>
      </c>
      <c r="BE107" s="49">
        <f t="shared" si="36"/>
        <v>2</v>
      </c>
      <c r="BF107" s="49">
        <f>VLOOKUP(AS107,Leyenda!$B$70:$D$75,3,FALSE)</f>
        <v>15</v>
      </c>
      <c r="BG107" s="67">
        <f t="shared" si="30"/>
        <v>3</v>
      </c>
      <c r="BH107" s="67">
        <f>VLOOKUP(AM107,Leyenda!$B$4:$E$10,4,FALSE)</f>
        <v>1</v>
      </c>
      <c r="BI107" s="67">
        <f t="shared" si="37"/>
        <v>5</v>
      </c>
      <c r="BJ107" s="67">
        <f t="shared" si="31"/>
        <v>0</v>
      </c>
      <c r="BK107" s="67">
        <f>+VLOOKUP('2. Logging Brejo Seco'!AP107,Leyenda!$B$47:$E$51,4,FALSE)</f>
        <v>0</v>
      </c>
      <c r="BL107" s="67">
        <f>+VLOOKUP('2. Logging Brejo Seco'!AQ107,Leyenda!$B$55:$E$59,4,FALSE)</f>
        <v>1</v>
      </c>
      <c r="BM107" s="67">
        <f>+VLOOKUP('2. Logging Brejo Seco'!AR107,Leyenda!$B$63:$E$67,3,FALSE)</f>
        <v>0</v>
      </c>
      <c r="BN107" s="67">
        <f>+VLOOKUP('2. Logging Brejo Seco'!AO107,Leyenda!$B$39:$E$43,4,FALSE)</f>
        <v>0</v>
      </c>
      <c r="BO107" s="67">
        <f>+VLOOKUP('2. Logging Brejo Seco'!AN107,Leyenda!$B$30:$E$34,4,FALSE)</f>
        <v>1</v>
      </c>
      <c r="BP107" s="67">
        <f>VLOOKUP(AS107,Leyenda!$B$71:$E$75,4,FALSE)</f>
        <v>10</v>
      </c>
      <c r="BQ107" s="125">
        <f t="shared" si="38"/>
        <v>18</v>
      </c>
      <c r="BR107" s="85">
        <f t="shared" si="39"/>
        <v>23</v>
      </c>
      <c r="BS107" s="240">
        <f t="shared" si="40"/>
        <v>0.4</v>
      </c>
      <c r="BT107" s="18"/>
    </row>
    <row r="108" spans="1:72" x14ac:dyDescent="0.25">
      <c r="A108" s="18" t="s">
        <v>6</v>
      </c>
      <c r="B108" s="18">
        <v>2024</v>
      </c>
      <c r="C108" s="18" t="s">
        <v>138</v>
      </c>
      <c r="D108" s="18" t="s">
        <v>10</v>
      </c>
      <c r="E108" s="18">
        <v>10</v>
      </c>
      <c r="F108" s="18">
        <v>10</v>
      </c>
      <c r="G108" s="18" t="s">
        <v>135</v>
      </c>
      <c r="H108" s="248">
        <f t="shared" si="42"/>
        <v>10</v>
      </c>
      <c r="I108" s="135"/>
      <c r="J108" s="18" t="s">
        <v>163</v>
      </c>
      <c r="K108" s="31">
        <f t="shared" si="41"/>
        <v>57.35</v>
      </c>
      <c r="L108" s="31">
        <v>57.85</v>
      </c>
      <c r="M108" s="4">
        <f t="shared" si="32"/>
        <v>0.5</v>
      </c>
      <c r="N108" s="5">
        <v>1</v>
      </c>
      <c r="O108" s="5">
        <f t="shared" si="27"/>
        <v>0</v>
      </c>
      <c r="P108" s="31">
        <f t="shared" si="33"/>
        <v>0.5</v>
      </c>
      <c r="Q108" s="31">
        <f t="shared" si="28"/>
        <v>0.5</v>
      </c>
      <c r="R108" s="31">
        <v>25</v>
      </c>
      <c r="S108" s="31">
        <v>20</v>
      </c>
      <c r="T108" s="31">
        <v>0.25</v>
      </c>
      <c r="U108" s="31">
        <v>0</v>
      </c>
      <c r="V108" s="86">
        <f t="shared" si="43"/>
        <v>0</v>
      </c>
      <c r="W108" s="31">
        <v>15</v>
      </c>
      <c r="X108" s="31"/>
      <c r="Y108" s="31">
        <f t="shared" si="44"/>
        <v>15</v>
      </c>
      <c r="Z108" s="31">
        <f t="shared" si="47"/>
        <v>16.666666666666668</v>
      </c>
      <c r="AA108" s="18">
        <v>0</v>
      </c>
      <c r="AB108" s="18" t="s">
        <v>100</v>
      </c>
      <c r="AC108" s="18" t="s">
        <v>333</v>
      </c>
      <c r="AD108" s="18" t="s">
        <v>336</v>
      </c>
      <c r="AE108" s="18">
        <v>20</v>
      </c>
      <c r="AF108" s="18">
        <v>25</v>
      </c>
      <c r="AG108" s="18" t="s">
        <v>32</v>
      </c>
      <c r="AH108" s="18" t="str">
        <f t="shared" si="46"/>
        <v>R1</v>
      </c>
      <c r="AI108" s="18" t="str">
        <f>+VLOOKUP(AH108,Leyenda!$O$4:$U$10,6,FALSE)</f>
        <v>0,15-0,25</v>
      </c>
      <c r="AJ108" s="18" t="str">
        <f>+VLOOKUP(AH108,Leyenda!$O$4:$U$10,7,FALSE)</f>
        <v>No Blasting need</v>
      </c>
      <c r="AK108" s="18">
        <f>+VLOOKUP(AJ108,Leyenda!$U$4:$V$10,2,FALSE)</f>
        <v>2</v>
      </c>
      <c r="AL108" s="18" t="s">
        <v>34</v>
      </c>
      <c r="AM108" s="18" t="str">
        <f t="shared" si="34"/>
        <v>R1</v>
      </c>
      <c r="AN108" s="18" t="s">
        <v>66</v>
      </c>
      <c r="AO108" s="18" t="s">
        <v>81</v>
      </c>
      <c r="AP108" s="18" t="s">
        <v>100</v>
      </c>
      <c r="AQ108" s="18" t="s">
        <v>109</v>
      </c>
      <c r="AR108" s="18" t="s">
        <v>122</v>
      </c>
      <c r="AS108" s="18" t="s">
        <v>198</v>
      </c>
      <c r="AT108" s="18"/>
      <c r="AU108" s="18"/>
      <c r="AV108" s="18">
        <f>+VLOOKUP(AN108,Leyenda!$B$30:$E$34,3,FALSE)</f>
        <v>1</v>
      </c>
      <c r="AW108" s="18">
        <f>+VLOOKUP('2. Logging Brejo Seco'!AO108,Meteorizacion,3,FALSE)</f>
        <v>0</v>
      </c>
      <c r="AX108" s="18">
        <f>+VLOOKUP('2. Logging Brejo Seco'!AP108,Apertura,3,FALSE)</f>
        <v>0</v>
      </c>
      <c r="AY108" s="18">
        <f>+VLOOKUP('2. Logging Brejo Seco'!AQ108,Leyenda!$B$55:$D$59,3,FALSE)</f>
        <v>1</v>
      </c>
      <c r="AZ108" s="18">
        <f>+VLOOKUP('2. Logging Brejo Seco'!AR108,Relleno,3,FALSE)</f>
        <v>0</v>
      </c>
      <c r="BA108" s="18">
        <f t="shared" si="45"/>
        <v>2</v>
      </c>
      <c r="BB108" s="49">
        <f t="shared" si="29"/>
        <v>0</v>
      </c>
      <c r="BC108" s="49">
        <f>VLOOKUP(AM108,Leyenda!$B$4:$D$10,3,FALSE)</f>
        <v>1</v>
      </c>
      <c r="BD108" s="50">
        <f t="shared" si="35"/>
        <v>4</v>
      </c>
      <c r="BE108" s="49">
        <f t="shared" si="36"/>
        <v>2</v>
      </c>
      <c r="BF108" s="49">
        <f>VLOOKUP(AS108,Leyenda!$B$70:$D$75,3,FALSE)</f>
        <v>15</v>
      </c>
      <c r="BG108" s="67">
        <f t="shared" si="30"/>
        <v>3</v>
      </c>
      <c r="BH108" s="67">
        <f>VLOOKUP(AM108,Leyenda!$B$4:$E$10,4,FALSE)</f>
        <v>1</v>
      </c>
      <c r="BI108" s="67">
        <f t="shared" si="37"/>
        <v>5</v>
      </c>
      <c r="BJ108" s="67">
        <f t="shared" si="31"/>
        <v>0</v>
      </c>
      <c r="BK108" s="67">
        <f>+VLOOKUP('2. Logging Brejo Seco'!AP108,Leyenda!$B$47:$E$51,4,FALSE)</f>
        <v>0</v>
      </c>
      <c r="BL108" s="67">
        <f>+VLOOKUP('2. Logging Brejo Seco'!AQ108,Leyenda!$B$55:$E$59,4,FALSE)</f>
        <v>1</v>
      </c>
      <c r="BM108" s="67">
        <f>+VLOOKUP('2. Logging Brejo Seco'!AR108,Leyenda!$B$63:$E$67,3,FALSE)</f>
        <v>0</v>
      </c>
      <c r="BN108" s="67">
        <f>+VLOOKUP('2. Logging Brejo Seco'!AO108,Leyenda!$B$39:$E$43,4,FALSE)</f>
        <v>0</v>
      </c>
      <c r="BO108" s="67">
        <f>+VLOOKUP('2. Logging Brejo Seco'!AN108,Leyenda!$B$30:$E$34,4,FALSE)</f>
        <v>1</v>
      </c>
      <c r="BP108" s="67">
        <f>VLOOKUP(AS108,Leyenda!$B$71:$E$75,4,FALSE)</f>
        <v>10</v>
      </c>
      <c r="BQ108" s="125">
        <f t="shared" si="38"/>
        <v>18</v>
      </c>
      <c r="BR108" s="85">
        <f t="shared" si="39"/>
        <v>22</v>
      </c>
      <c r="BS108" s="240">
        <f t="shared" si="40"/>
        <v>0</v>
      </c>
      <c r="BT108" s="18"/>
    </row>
    <row r="109" spans="1:72" x14ac:dyDescent="0.25">
      <c r="A109" s="18" t="s">
        <v>6</v>
      </c>
      <c r="B109" s="18">
        <v>2024</v>
      </c>
      <c r="C109" s="18" t="s">
        <v>138</v>
      </c>
      <c r="D109" s="18" t="s">
        <v>10</v>
      </c>
      <c r="E109" s="18">
        <v>10</v>
      </c>
      <c r="F109" s="18">
        <v>10</v>
      </c>
      <c r="G109" s="18" t="s">
        <v>135</v>
      </c>
      <c r="H109" s="248">
        <f t="shared" si="42"/>
        <v>10</v>
      </c>
      <c r="I109" s="135"/>
      <c r="J109" s="18" t="s">
        <v>163</v>
      </c>
      <c r="K109" s="31">
        <f t="shared" si="41"/>
        <v>57.85</v>
      </c>
      <c r="L109" s="31">
        <v>58.35</v>
      </c>
      <c r="M109" s="4">
        <f t="shared" si="32"/>
        <v>0.5</v>
      </c>
      <c r="N109" s="5">
        <v>1</v>
      </c>
      <c r="O109" s="5">
        <f t="shared" si="27"/>
        <v>0</v>
      </c>
      <c r="P109" s="31">
        <f t="shared" si="33"/>
        <v>0.5</v>
      </c>
      <c r="Q109" s="31">
        <f t="shared" si="28"/>
        <v>0.5</v>
      </c>
      <c r="R109" s="31">
        <v>500</v>
      </c>
      <c r="S109" s="31">
        <v>1</v>
      </c>
      <c r="T109" s="31">
        <v>0.47</v>
      </c>
      <c r="U109" s="31">
        <v>0.4</v>
      </c>
      <c r="V109" s="86">
        <f t="shared" si="43"/>
        <v>80</v>
      </c>
      <c r="W109" s="31">
        <v>2</v>
      </c>
      <c r="X109" s="31"/>
      <c r="Y109" s="31">
        <f t="shared" si="44"/>
        <v>2</v>
      </c>
      <c r="Z109" s="31">
        <f t="shared" si="47"/>
        <v>235</v>
      </c>
      <c r="AA109" s="18">
        <v>100</v>
      </c>
      <c r="AB109" s="18" t="s">
        <v>96</v>
      </c>
      <c r="AC109" s="18" t="s">
        <v>116</v>
      </c>
      <c r="AD109" s="18" t="s">
        <v>334</v>
      </c>
      <c r="AE109" s="18">
        <v>1</v>
      </c>
      <c r="AF109" s="18">
        <v>500</v>
      </c>
      <c r="AG109" s="18" t="s">
        <v>27</v>
      </c>
      <c r="AH109" s="18" t="str">
        <f t="shared" si="46"/>
        <v>R3</v>
      </c>
      <c r="AI109" s="18" t="str">
        <f>+VLOOKUP(AH109,Leyenda!$O$4:$U$10,6,FALSE)</f>
        <v>0,35-0,50</v>
      </c>
      <c r="AJ109" s="18" t="str">
        <f>+VLOOKUP(AH109,Leyenda!$O$4:$U$10,7,FALSE)</f>
        <v>Easy to blast</v>
      </c>
      <c r="AK109" s="18">
        <f>+VLOOKUP(AJ109,Leyenda!$U$4:$V$10,2,FALSE)</f>
        <v>3</v>
      </c>
      <c r="AL109" s="18" t="s">
        <v>29</v>
      </c>
      <c r="AM109" s="18" t="str">
        <f t="shared" si="34"/>
        <v>R3</v>
      </c>
      <c r="AN109" s="18" t="s">
        <v>64</v>
      </c>
      <c r="AO109" s="18" t="s">
        <v>77</v>
      </c>
      <c r="AP109" s="18" t="s">
        <v>92</v>
      </c>
      <c r="AQ109" s="18" t="s">
        <v>107</v>
      </c>
      <c r="AR109" s="18" t="s">
        <v>118</v>
      </c>
      <c r="AS109" s="18" t="s">
        <v>198</v>
      </c>
      <c r="AT109" s="18" t="s">
        <v>207</v>
      </c>
      <c r="AU109" s="18"/>
      <c r="AV109" s="18">
        <f>+VLOOKUP(AN109,Leyenda!$B$30:$E$34,3,FALSE)</f>
        <v>2</v>
      </c>
      <c r="AW109" s="18">
        <f>+VLOOKUP('2. Logging Brejo Seco'!AO109,Meteorizacion,3,FALSE)</f>
        <v>3</v>
      </c>
      <c r="AX109" s="18">
        <f>+VLOOKUP('2. Logging Brejo Seco'!AP109,Apertura,3,FALSE)</f>
        <v>3</v>
      </c>
      <c r="AY109" s="18">
        <f>+VLOOKUP('2. Logging Brejo Seco'!AQ109,Leyenda!$B$55:$D$59,3,FALSE)</f>
        <v>3</v>
      </c>
      <c r="AZ109" s="18">
        <f>+VLOOKUP('2. Logging Brejo Seco'!AR109,Relleno,3,FALSE)</f>
        <v>2</v>
      </c>
      <c r="BA109" s="18">
        <f t="shared" si="45"/>
        <v>13</v>
      </c>
      <c r="BB109" s="49">
        <f t="shared" si="29"/>
        <v>16</v>
      </c>
      <c r="BC109" s="49">
        <f>VLOOKUP(AM109,Leyenda!$B$4:$D$10,3,FALSE)</f>
        <v>4</v>
      </c>
      <c r="BD109" s="50">
        <f t="shared" si="35"/>
        <v>10</v>
      </c>
      <c r="BE109" s="49">
        <f t="shared" si="36"/>
        <v>13</v>
      </c>
      <c r="BF109" s="49">
        <f>VLOOKUP(AS109,Leyenda!$B$70:$D$75,3,FALSE)</f>
        <v>15</v>
      </c>
      <c r="BG109" s="67">
        <f t="shared" si="30"/>
        <v>59.5</v>
      </c>
      <c r="BH109" s="67">
        <f>VLOOKUP(AM109,Leyenda!$B$4:$E$10,4,FALSE)</f>
        <v>4</v>
      </c>
      <c r="BI109" s="67">
        <f t="shared" si="37"/>
        <v>13</v>
      </c>
      <c r="BJ109" s="67">
        <f t="shared" si="31"/>
        <v>16</v>
      </c>
      <c r="BK109" s="67">
        <f>+VLOOKUP('2. Logging Brejo Seco'!AP109,Leyenda!$B$47:$E$51,4,FALSE)</f>
        <v>3</v>
      </c>
      <c r="BL109" s="67">
        <f>+VLOOKUP('2. Logging Brejo Seco'!AQ109,Leyenda!$B$55:$E$59,4,FALSE)</f>
        <v>3</v>
      </c>
      <c r="BM109" s="67">
        <f>+VLOOKUP('2. Logging Brejo Seco'!AR109,Leyenda!$B$63:$E$67,3,FALSE)</f>
        <v>2</v>
      </c>
      <c r="BN109" s="67">
        <f>+VLOOKUP('2. Logging Brejo Seco'!AO109,Leyenda!$B$39:$E$43,4,FALSE)</f>
        <v>3</v>
      </c>
      <c r="BO109" s="67">
        <f>+VLOOKUP('2. Logging Brejo Seco'!AN109,Leyenda!$B$30:$E$34,4,FALSE)</f>
        <v>3</v>
      </c>
      <c r="BP109" s="67">
        <f>VLOOKUP(AS109,Leyenda!$B$71:$E$75,4,FALSE)</f>
        <v>10</v>
      </c>
      <c r="BQ109" s="125">
        <f t="shared" si="38"/>
        <v>57</v>
      </c>
      <c r="BR109" s="85">
        <f t="shared" si="39"/>
        <v>58</v>
      </c>
      <c r="BS109" s="240">
        <f t="shared" si="40"/>
        <v>0</v>
      </c>
      <c r="BT109" s="18"/>
    </row>
    <row r="110" spans="1:72" x14ac:dyDescent="0.25">
      <c r="A110" s="18" t="s">
        <v>6</v>
      </c>
      <c r="B110" s="18">
        <v>2024</v>
      </c>
      <c r="C110" s="18" t="s">
        <v>138</v>
      </c>
      <c r="D110" s="18" t="s">
        <v>10</v>
      </c>
      <c r="E110" s="18">
        <v>10</v>
      </c>
      <c r="F110" s="18">
        <v>10</v>
      </c>
      <c r="G110" s="18" t="s">
        <v>135</v>
      </c>
      <c r="H110" s="248">
        <f t="shared" si="42"/>
        <v>10</v>
      </c>
      <c r="I110" s="135"/>
      <c r="J110" s="18" t="s">
        <v>163</v>
      </c>
      <c r="K110" s="31">
        <f t="shared" si="41"/>
        <v>58.35</v>
      </c>
      <c r="L110" s="31">
        <v>58.9</v>
      </c>
      <c r="M110" s="4">
        <f t="shared" si="32"/>
        <v>0.54999999999999716</v>
      </c>
      <c r="N110" s="5">
        <v>1</v>
      </c>
      <c r="O110" s="5">
        <f t="shared" si="27"/>
        <v>0</v>
      </c>
      <c r="P110" s="31">
        <f t="shared" si="33"/>
        <v>0.54999999999999716</v>
      </c>
      <c r="Q110" s="31">
        <f t="shared" si="28"/>
        <v>0.54999999999999716</v>
      </c>
      <c r="R110" s="31">
        <v>109.99999999999943</v>
      </c>
      <c r="S110" s="31">
        <v>5</v>
      </c>
      <c r="T110" s="31">
        <v>0.51</v>
      </c>
      <c r="U110" s="31">
        <v>0.3</v>
      </c>
      <c r="V110" s="86">
        <f t="shared" si="43"/>
        <v>54.545454545454831</v>
      </c>
      <c r="W110" s="31">
        <v>3</v>
      </c>
      <c r="X110" s="31"/>
      <c r="Y110" s="31">
        <f t="shared" si="44"/>
        <v>3</v>
      </c>
      <c r="Z110" s="31">
        <f t="shared" si="47"/>
        <v>170</v>
      </c>
      <c r="AA110" s="18">
        <v>45</v>
      </c>
      <c r="AB110" s="18" t="s">
        <v>92</v>
      </c>
      <c r="AC110" s="18" t="s">
        <v>118</v>
      </c>
      <c r="AD110" s="18" t="s">
        <v>334</v>
      </c>
      <c r="AE110" s="18">
        <v>5</v>
      </c>
      <c r="AF110" s="18">
        <v>109.99999999999943</v>
      </c>
      <c r="AG110" s="18" t="s">
        <v>27</v>
      </c>
      <c r="AH110" s="18" t="str">
        <f t="shared" si="46"/>
        <v>R3</v>
      </c>
      <c r="AI110" s="18" t="str">
        <f>+VLOOKUP(AH110,Leyenda!$O$4:$U$10,6,FALSE)</f>
        <v>0,35-0,50</v>
      </c>
      <c r="AJ110" s="18" t="str">
        <f>+VLOOKUP(AH110,Leyenda!$O$4:$U$10,7,FALSE)</f>
        <v>Easy to blast</v>
      </c>
      <c r="AK110" s="18">
        <f>+VLOOKUP(AJ110,Leyenda!$U$4:$V$10,2,FALSE)</f>
        <v>3</v>
      </c>
      <c r="AL110" s="18" t="s">
        <v>29</v>
      </c>
      <c r="AM110" s="18" t="str">
        <f t="shared" si="34"/>
        <v>R3</v>
      </c>
      <c r="AN110" s="18" t="s">
        <v>64</v>
      </c>
      <c r="AO110" s="18" t="s">
        <v>79</v>
      </c>
      <c r="AP110" s="18" t="s">
        <v>92</v>
      </c>
      <c r="AQ110" s="18" t="s">
        <v>107</v>
      </c>
      <c r="AR110" s="18" t="s">
        <v>118</v>
      </c>
      <c r="AS110" s="18" t="s">
        <v>198</v>
      </c>
      <c r="AT110" s="18"/>
      <c r="AU110" s="18"/>
      <c r="AV110" s="18">
        <f>+VLOOKUP(AN110,Leyenda!$B$30:$E$34,3,FALSE)</f>
        <v>2</v>
      </c>
      <c r="AW110" s="18">
        <f>+VLOOKUP('2. Logging Brejo Seco'!AO110,Meteorizacion,3,FALSE)</f>
        <v>1</v>
      </c>
      <c r="AX110" s="18">
        <f>+VLOOKUP('2. Logging Brejo Seco'!AP110,Apertura,3,FALSE)</f>
        <v>3</v>
      </c>
      <c r="AY110" s="18">
        <f>+VLOOKUP('2. Logging Brejo Seco'!AQ110,Leyenda!$B$55:$D$59,3,FALSE)</f>
        <v>3</v>
      </c>
      <c r="AZ110" s="18">
        <f>+VLOOKUP('2. Logging Brejo Seco'!AR110,Relleno,3,FALSE)</f>
        <v>2</v>
      </c>
      <c r="BA110" s="18">
        <f t="shared" si="45"/>
        <v>11</v>
      </c>
      <c r="BB110" s="49">
        <f t="shared" si="29"/>
        <v>11</v>
      </c>
      <c r="BC110" s="49">
        <f>VLOOKUP(AM110,Leyenda!$B$4:$D$10,3,FALSE)</f>
        <v>4</v>
      </c>
      <c r="BD110" s="50">
        <f t="shared" si="35"/>
        <v>9</v>
      </c>
      <c r="BE110" s="49">
        <f t="shared" si="36"/>
        <v>11</v>
      </c>
      <c r="BF110" s="49">
        <f>VLOOKUP(AS110,Leyenda!$B$70:$D$75,3,FALSE)</f>
        <v>15</v>
      </c>
      <c r="BG110" s="67">
        <f t="shared" si="30"/>
        <v>43.772727272727415</v>
      </c>
      <c r="BH110" s="67">
        <f>VLOOKUP(AM110,Leyenda!$B$4:$E$10,4,FALSE)</f>
        <v>4</v>
      </c>
      <c r="BI110" s="67">
        <f t="shared" si="37"/>
        <v>11</v>
      </c>
      <c r="BJ110" s="67">
        <f t="shared" si="31"/>
        <v>11</v>
      </c>
      <c r="BK110" s="67">
        <f>+VLOOKUP('2. Logging Brejo Seco'!AP110,Leyenda!$B$47:$E$51,4,FALSE)</f>
        <v>3</v>
      </c>
      <c r="BL110" s="67">
        <f>+VLOOKUP('2. Logging Brejo Seco'!AQ110,Leyenda!$B$55:$E$59,4,FALSE)</f>
        <v>3</v>
      </c>
      <c r="BM110" s="67">
        <f>+VLOOKUP('2. Logging Brejo Seco'!AR110,Leyenda!$B$63:$E$67,3,FALSE)</f>
        <v>2</v>
      </c>
      <c r="BN110" s="67">
        <f>+VLOOKUP('2. Logging Brejo Seco'!AO110,Leyenda!$B$39:$E$43,4,FALSE)</f>
        <v>1</v>
      </c>
      <c r="BO110" s="67">
        <f>+VLOOKUP('2. Logging Brejo Seco'!AN110,Leyenda!$B$30:$E$34,4,FALSE)</f>
        <v>3</v>
      </c>
      <c r="BP110" s="67">
        <f>VLOOKUP(AS110,Leyenda!$B$71:$E$75,4,FALSE)</f>
        <v>10</v>
      </c>
      <c r="BQ110" s="125">
        <f t="shared" si="38"/>
        <v>48</v>
      </c>
      <c r="BR110" s="85">
        <f t="shared" si="39"/>
        <v>50</v>
      </c>
      <c r="BS110" s="240">
        <f t="shared" si="40"/>
        <v>0</v>
      </c>
      <c r="BT110" s="18"/>
    </row>
    <row r="111" spans="1:72" x14ac:dyDescent="0.25">
      <c r="A111" s="18" t="s">
        <v>6</v>
      </c>
      <c r="B111" s="18">
        <v>2024</v>
      </c>
      <c r="C111" s="18" t="s">
        <v>138</v>
      </c>
      <c r="D111" s="18" t="s">
        <v>10</v>
      </c>
      <c r="E111" s="18">
        <v>10</v>
      </c>
      <c r="F111" s="18">
        <v>10</v>
      </c>
      <c r="G111" s="18" t="s">
        <v>135</v>
      </c>
      <c r="H111" s="248">
        <f t="shared" si="42"/>
        <v>10</v>
      </c>
      <c r="I111" s="135"/>
      <c r="J111" s="18" t="s">
        <v>163</v>
      </c>
      <c r="K111" s="31">
        <f t="shared" si="41"/>
        <v>58.9</v>
      </c>
      <c r="L111" s="31">
        <v>59.5</v>
      </c>
      <c r="M111" s="4">
        <f t="shared" si="32"/>
        <v>0.60000000000000142</v>
      </c>
      <c r="N111" s="5">
        <v>1</v>
      </c>
      <c r="O111" s="5">
        <f t="shared" si="27"/>
        <v>0</v>
      </c>
      <c r="P111" s="31">
        <f t="shared" si="33"/>
        <v>0.60000000000000142</v>
      </c>
      <c r="Q111" s="31">
        <f t="shared" si="28"/>
        <v>0.60000000000000142</v>
      </c>
      <c r="R111" s="31">
        <v>120.00000000000027</v>
      </c>
      <c r="S111" s="31">
        <v>5</v>
      </c>
      <c r="T111" s="31">
        <v>0.51</v>
      </c>
      <c r="U111" s="31">
        <v>0.42</v>
      </c>
      <c r="V111" s="86">
        <f t="shared" si="43"/>
        <v>69.999999999999829</v>
      </c>
      <c r="W111" s="31">
        <v>3</v>
      </c>
      <c r="X111" s="31"/>
      <c r="Y111" s="31">
        <f t="shared" si="44"/>
        <v>3</v>
      </c>
      <c r="Z111" s="31">
        <f t="shared" si="47"/>
        <v>170</v>
      </c>
      <c r="AA111" s="18">
        <v>83</v>
      </c>
      <c r="AB111" s="18" t="s">
        <v>96</v>
      </c>
      <c r="AC111" s="18" t="s">
        <v>118</v>
      </c>
      <c r="AD111" s="18" t="s">
        <v>334</v>
      </c>
      <c r="AE111" s="18">
        <v>5</v>
      </c>
      <c r="AF111" s="18">
        <v>120.00000000000027</v>
      </c>
      <c r="AG111" s="18" t="s">
        <v>27</v>
      </c>
      <c r="AH111" s="18" t="str">
        <f t="shared" si="46"/>
        <v>R3</v>
      </c>
      <c r="AI111" s="18" t="str">
        <f>+VLOOKUP(AH111,Leyenda!$O$4:$U$10,6,FALSE)</f>
        <v>0,35-0,50</v>
      </c>
      <c r="AJ111" s="18" t="str">
        <f>+VLOOKUP(AH111,Leyenda!$O$4:$U$10,7,FALSE)</f>
        <v>Easy to blast</v>
      </c>
      <c r="AK111" s="18">
        <f>+VLOOKUP(AJ111,Leyenda!$U$4:$V$10,2,FALSE)</f>
        <v>3</v>
      </c>
      <c r="AL111" s="18" t="s">
        <v>29</v>
      </c>
      <c r="AM111" s="18" t="str">
        <f t="shared" si="34"/>
        <v>R3</v>
      </c>
      <c r="AN111" s="18" t="s">
        <v>64</v>
      </c>
      <c r="AO111" s="18" t="s">
        <v>77</v>
      </c>
      <c r="AP111" s="18" t="s">
        <v>92</v>
      </c>
      <c r="AQ111" s="18" t="s">
        <v>107</v>
      </c>
      <c r="AR111" s="18" t="s">
        <v>118</v>
      </c>
      <c r="AS111" s="18" t="s">
        <v>198</v>
      </c>
      <c r="AT111" s="18"/>
      <c r="AU111" s="18"/>
      <c r="AV111" s="18">
        <f>+VLOOKUP(AN111,Leyenda!$B$30:$E$34,3,FALSE)</f>
        <v>2</v>
      </c>
      <c r="AW111" s="18">
        <f>+VLOOKUP('2. Logging Brejo Seco'!AO111,Meteorizacion,3,FALSE)</f>
        <v>3</v>
      </c>
      <c r="AX111" s="18">
        <f>+VLOOKUP('2. Logging Brejo Seco'!AP111,Apertura,3,FALSE)</f>
        <v>3</v>
      </c>
      <c r="AY111" s="18">
        <f>+VLOOKUP('2. Logging Brejo Seco'!AQ111,Leyenda!$B$55:$D$59,3,FALSE)</f>
        <v>3</v>
      </c>
      <c r="AZ111" s="18">
        <f>+VLOOKUP('2. Logging Brejo Seco'!AR111,Relleno,3,FALSE)</f>
        <v>2</v>
      </c>
      <c r="BA111" s="18">
        <f t="shared" si="45"/>
        <v>13</v>
      </c>
      <c r="BB111" s="49">
        <f t="shared" si="29"/>
        <v>14</v>
      </c>
      <c r="BC111" s="49">
        <f>VLOOKUP(AM111,Leyenda!$B$4:$D$10,3,FALSE)</f>
        <v>4</v>
      </c>
      <c r="BD111" s="50">
        <f t="shared" si="35"/>
        <v>9</v>
      </c>
      <c r="BE111" s="49">
        <f t="shared" si="36"/>
        <v>13</v>
      </c>
      <c r="BF111" s="49">
        <f>VLOOKUP(AS111,Leyenda!$B$70:$D$75,3,FALSE)</f>
        <v>15</v>
      </c>
      <c r="BG111" s="67">
        <f t="shared" si="30"/>
        <v>54.499999999999915</v>
      </c>
      <c r="BH111" s="67">
        <f>VLOOKUP(AM111,Leyenda!$B$4:$E$10,4,FALSE)</f>
        <v>4</v>
      </c>
      <c r="BI111" s="67">
        <f t="shared" si="37"/>
        <v>11</v>
      </c>
      <c r="BJ111" s="67">
        <f t="shared" si="31"/>
        <v>14</v>
      </c>
      <c r="BK111" s="67">
        <f>+VLOOKUP('2. Logging Brejo Seco'!AP111,Leyenda!$B$47:$E$51,4,FALSE)</f>
        <v>3</v>
      </c>
      <c r="BL111" s="67">
        <f>+VLOOKUP('2. Logging Brejo Seco'!AQ111,Leyenda!$B$55:$E$59,4,FALSE)</f>
        <v>3</v>
      </c>
      <c r="BM111" s="67">
        <f>+VLOOKUP('2. Logging Brejo Seco'!AR111,Leyenda!$B$63:$E$67,3,FALSE)</f>
        <v>2</v>
      </c>
      <c r="BN111" s="67">
        <f>+VLOOKUP('2. Logging Brejo Seco'!AO111,Leyenda!$B$39:$E$43,4,FALSE)</f>
        <v>3</v>
      </c>
      <c r="BO111" s="67">
        <f>+VLOOKUP('2. Logging Brejo Seco'!AN111,Leyenda!$B$30:$E$34,4,FALSE)</f>
        <v>3</v>
      </c>
      <c r="BP111" s="67">
        <f>VLOOKUP(AS111,Leyenda!$B$71:$E$75,4,FALSE)</f>
        <v>10</v>
      </c>
      <c r="BQ111" s="125">
        <f t="shared" si="38"/>
        <v>53</v>
      </c>
      <c r="BR111" s="85">
        <f t="shared" si="39"/>
        <v>55</v>
      </c>
      <c r="BS111" s="240">
        <f t="shared" si="40"/>
        <v>0</v>
      </c>
      <c r="BT111" s="18"/>
    </row>
    <row r="112" spans="1:72" x14ac:dyDescent="0.25">
      <c r="A112" s="18" t="s">
        <v>6</v>
      </c>
      <c r="B112" s="18">
        <v>2024</v>
      </c>
      <c r="C112" s="18" t="s">
        <v>138</v>
      </c>
      <c r="D112" s="18" t="s">
        <v>10</v>
      </c>
      <c r="E112" s="18">
        <v>10</v>
      </c>
      <c r="F112" s="18">
        <v>10</v>
      </c>
      <c r="G112" s="18" t="s">
        <v>135</v>
      </c>
      <c r="H112" s="248">
        <f t="shared" si="42"/>
        <v>10</v>
      </c>
      <c r="I112" s="135"/>
      <c r="J112" s="18" t="s">
        <v>163</v>
      </c>
      <c r="K112" s="31">
        <f t="shared" si="41"/>
        <v>59.5</v>
      </c>
      <c r="L112" s="31">
        <v>60</v>
      </c>
      <c r="M112" s="4">
        <f t="shared" si="32"/>
        <v>0.5</v>
      </c>
      <c r="N112" s="5">
        <v>1</v>
      </c>
      <c r="O112" s="5">
        <f t="shared" si="27"/>
        <v>0</v>
      </c>
      <c r="P112" s="31">
        <f t="shared" si="33"/>
        <v>0.5</v>
      </c>
      <c r="Q112" s="31">
        <f t="shared" si="28"/>
        <v>0.5</v>
      </c>
      <c r="R112" s="31">
        <v>100</v>
      </c>
      <c r="S112" s="31">
        <v>5</v>
      </c>
      <c r="T112" s="31">
        <v>0.5</v>
      </c>
      <c r="U112" s="31">
        <v>0.16</v>
      </c>
      <c r="V112" s="86">
        <f t="shared" si="43"/>
        <v>32</v>
      </c>
      <c r="W112" s="31">
        <v>5</v>
      </c>
      <c r="X112" s="31"/>
      <c r="Y112" s="31">
        <f t="shared" si="44"/>
        <v>5</v>
      </c>
      <c r="Z112" s="31">
        <f t="shared" si="47"/>
        <v>100</v>
      </c>
      <c r="AA112" s="18">
        <v>30</v>
      </c>
      <c r="AB112" s="18" t="s">
        <v>96</v>
      </c>
      <c r="AC112" s="18" t="s">
        <v>118</v>
      </c>
      <c r="AD112" s="18" t="s">
        <v>337</v>
      </c>
      <c r="AE112" s="18">
        <v>5</v>
      </c>
      <c r="AF112" s="18">
        <v>100</v>
      </c>
      <c r="AG112" s="18" t="s">
        <v>29</v>
      </c>
      <c r="AH112" s="18" t="str">
        <f t="shared" si="46"/>
        <v>R2</v>
      </c>
      <c r="AI112" s="18" t="str">
        <f>+VLOOKUP(AH112,Leyenda!$O$4:$U$10,6,FALSE)</f>
        <v>0,25-0,35</v>
      </c>
      <c r="AJ112" s="18" t="str">
        <f>+VLOOKUP(AH112,Leyenda!$O$4:$U$10,7,FALSE)</f>
        <v>No Blasting need</v>
      </c>
      <c r="AK112" s="18">
        <f>+VLOOKUP(AJ112,Leyenda!$U$4:$V$10,2,FALSE)</f>
        <v>2</v>
      </c>
      <c r="AL112" s="18" t="s">
        <v>29</v>
      </c>
      <c r="AM112" s="18" t="str">
        <f t="shared" si="34"/>
        <v>R2</v>
      </c>
      <c r="AN112" s="18" t="s">
        <v>64</v>
      </c>
      <c r="AO112" s="18" t="s">
        <v>77</v>
      </c>
      <c r="AP112" s="18" t="s">
        <v>92</v>
      </c>
      <c r="AQ112" s="18" t="s">
        <v>107</v>
      </c>
      <c r="AR112" s="18" t="s">
        <v>118</v>
      </c>
      <c r="AS112" s="18" t="s">
        <v>198</v>
      </c>
      <c r="AT112" s="18"/>
      <c r="AU112" s="18"/>
      <c r="AV112" s="18">
        <f>+VLOOKUP(AN112,Leyenda!$B$30:$E$34,3,FALSE)</f>
        <v>2</v>
      </c>
      <c r="AW112" s="18">
        <f>+VLOOKUP('2. Logging Brejo Seco'!AO112,Meteorizacion,3,FALSE)</f>
        <v>3</v>
      </c>
      <c r="AX112" s="18">
        <f>+VLOOKUP('2. Logging Brejo Seco'!AP112,Apertura,3,FALSE)</f>
        <v>3</v>
      </c>
      <c r="AY112" s="18">
        <f>+VLOOKUP('2. Logging Brejo Seco'!AQ112,Leyenda!$B$55:$D$59,3,FALSE)</f>
        <v>3</v>
      </c>
      <c r="AZ112" s="18">
        <f>+VLOOKUP('2. Logging Brejo Seco'!AR112,Relleno,3,FALSE)</f>
        <v>2</v>
      </c>
      <c r="BA112" s="18">
        <f t="shared" si="45"/>
        <v>13</v>
      </c>
      <c r="BB112" s="49">
        <f t="shared" si="29"/>
        <v>7</v>
      </c>
      <c r="BC112" s="49">
        <f>VLOOKUP(AM112,Leyenda!$B$4:$D$10,3,FALSE)</f>
        <v>2</v>
      </c>
      <c r="BD112" s="50">
        <f t="shared" si="35"/>
        <v>7</v>
      </c>
      <c r="BE112" s="49">
        <f t="shared" si="36"/>
        <v>13</v>
      </c>
      <c r="BF112" s="49">
        <f>VLOOKUP(AS112,Leyenda!$B$70:$D$75,3,FALSE)</f>
        <v>15</v>
      </c>
      <c r="BG112" s="67">
        <f t="shared" si="30"/>
        <v>35.5</v>
      </c>
      <c r="BH112" s="67">
        <f>VLOOKUP(AM112,Leyenda!$B$4:$E$10,4,FALSE)</f>
        <v>2</v>
      </c>
      <c r="BI112" s="67">
        <f t="shared" si="37"/>
        <v>8</v>
      </c>
      <c r="BJ112" s="67">
        <f t="shared" si="31"/>
        <v>7</v>
      </c>
      <c r="BK112" s="67">
        <f>+VLOOKUP('2. Logging Brejo Seco'!AP112,Leyenda!$B$47:$E$51,4,FALSE)</f>
        <v>3</v>
      </c>
      <c r="BL112" s="67">
        <f>+VLOOKUP('2. Logging Brejo Seco'!AQ112,Leyenda!$B$55:$E$59,4,FALSE)</f>
        <v>3</v>
      </c>
      <c r="BM112" s="67">
        <f>+VLOOKUP('2. Logging Brejo Seco'!AR112,Leyenda!$B$63:$E$67,3,FALSE)</f>
        <v>2</v>
      </c>
      <c r="BN112" s="67">
        <f>+VLOOKUP('2. Logging Brejo Seco'!AO112,Leyenda!$B$39:$E$43,4,FALSE)</f>
        <v>3</v>
      </c>
      <c r="BO112" s="67">
        <f>+VLOOKUP('2. Logging Brejo Seco'!AN112,Leyenda!$B$30:$E$34,4,FALSE)</f>
        <v>3</v>
      </c>
      <c r="BP112" s="67">
        <f>VLOOKUP(AS112,Leyenda!$B$71:$E$75,4,FALSE)</f>
        <v>10</v>
      </c>
      <c r="BQ112" s="125">
        <f t="shared" si="38"/>
        <v>41</v>
      </c>
      <c r="BR112" s="85">
        <f t="shared" si="39"/>
        <v>44</v>
      </c>
      <c r="BS112" s="240">
        <f t="shared" si="40"/>
        <v>0</v>
      </c>
      <c r="BT112" s="18"/>
    </row>
    <row r="113" spans="1:72" x14ac:dyDescent="0.25">
      <c r="A113" s="18" t="s">
        <v>6</v>
      </c>
      <c r="B113" s="18">
        <v>2024</v>
      </c>
      <c r="C113" s="18" t="s">
        <v>138</v>
      </c>
      <c r="D113" s="18" t="s">
        <v>245</v>
      </c>
      <c r="E113" s="18">
        <v>60</v>
      </c>
      <c r="F113" s="18">
        <v>60</v>
      </c>
      <c r="G113" s="18" t="s">
        <v>136</v>
      </c>
      <c r="H113" s="248">
        <f t="shared" si="42"/>
        <v>60</v>
      </c>
      <c r="I113" s="135"/>
      <c r="J113" s="18" t="s">
        <v>291</v>
      </c>
      <c r="K113" s="4">
        <v>0</v>
      </c>
      <c r="L113" s="4">
        <v>0.5</v>
      </c>
      <c r="M113" s="4">
        <f t="shared" si="32"/>
        <v>0.5</v>
      </c>
      <c r="N113" s="5">
        <v>0.66</v>
      </c>
      <c r="O113" s="5">
        <f>1-N113</f>
        <v>0.33999999999999997</v>
      </c>
      <c r="P113" s="31">
        <f t="shared" si="33"/>
        <v>0.33</v>
      </c>
      <c r="Q113" s="31">
        <f t="shared" si="28"/>
        <v>0.33</v>
      </c>
      <c r="R113" s="31">
        <v>16.5</v>
      </c>
      <c r="S113" s="31">
        <v>20</v>
      </c>
      <c r="T113" s="31">
        <v>0.25</v>
      </c>
      <c r="U113" s="31">
        <v>0</v>
      </c>
      <c r="V113" s="65">
        <f t="shared" si="43"/>
        <v>0</v>
      </c>
      <c r="W113" s="31">
        <v>10</v>
      </c>
      <c r="X113" s="31"/>
      <c r="Y113" s="31">
        <f t="shared" si="44"/>
        <v>10</v>
      </c>
      <c r="Z113" s="31">
        <f t="shared" si="47"/>
        <v>25</v>
      </c>
      <c r="AA113" s="18">
        <v>0</v>
      </c>
      <c r="AB113" s="18" t="s">
        <v>330</v>
      </c>
      <c r="AC113" s="18" t="s">
        <v>333</v>
      </c>
      <c r="AD113" s="18" t="s">
        <v>335</v>
      </c>
      <c r="AE113" s="18">
        <v>20</v>
      </c>
      <c r="AF113" s="18">
        <v>16.5</v>
      </c>
      <c r="AG113" s="18" t="s">
        <v>228</v>
      </c>
      <c r="AH113" s="18" t="s">
        <v>34</v>
      </c>
      <c r="AI113" s="18">
        <f>+VLOOKUP(AH113,Leyenda!$O$4:$U$10,6,FALSE)</f>
        <v>0</v>
      </c>
      <c r="AJ113" s="18" t="str">
        <f>+VLOOKUP(AH113,Leyenda!$O$4:$U$10,7,FALSE)</f>
        <v>No Blasting need</v>
      </c>
      <c r="AK113" s="18">
        <f>+VLOOKUP(AJ113,Leyenda!$U$4:$V$10,2,FALSE)</f>
        <v>2</v>
      </c>
      <c r="AL113" s="128" t="s">
        <v>228</v>
      </c>
      <c r="AM113" s="18" t="str">
        <f t="shared" si="34"/>
        <v>R0</v>
      </c>
      <c r="AN113" s="18" t="s">
        <v>69</v>
      </c>
      <c r="AO113" s="18" t="s">
        <v>81</v>
      </c>
      <c r="AP113" s="18" t="s">
        <v>100</v>
      </c>
      <c r="AQ113" s="18" t="s">
        <v>111</v>
      </c>
      <c r="AR113" s="18" t="s">
        <v>122</v>
      </c>
      <c r="AS113" s="18" t="s">
        <v>198</v>
      </c>
      <c r="AT113" s="18"/>
      <c r="AU113" s="18"/>
      <c r="AV113" s="18">
        <f>+VLOOKUP(AN113,Leyenda!$B$30:$E$34,3,FALSE)</f>
        <v>0</v>
      </c>
      <c r="AW113" s="18">
        <f>+VLOOKUP('2. Logging Brejo Seco'!AO113,Meteorizacion,3,FALSE)</f>
        <v>0</v>
      </c>
      <c r="AX113" s="18">
        <f>+VLOOKUP('2. Logging Brejo Seco'!AP113,Apertura,3,FALSE)</f>
        <v>0</v>
      </c>
      <c r="AY113" s="18">
        <f>+VLOOKUP('2. Logging Brejo Seco'!AQ113,Leyenda!$B$55:$D$59,3,FALSE)</f>
        <v>0</v>
      </c>
      <c r="AZ113" s="18">
        <f>+VLOOKUP('2. Logging Brejo Seco'!AR113,Relleno,3,FALSE)</f>
        <v>0</v>
      </c>
      <c r="BA113" s="18">
        <v>0</v>
      </c>
      <c r="BB113" s="49">
        <f t="shared" si="29"/>
        <v>0</v>
      </c>
      <c r="BC113" s="49">
        <f>VLOOKUP(AM113,Leyenda!$B$4:$D$10,3,FALSE)</f>
        <v>0</v>
      </c>
      <c r="BD113" s="50">
        <f t="shared" si="35"/>
        <v>5</v>
      </c>
      <c r="BE113" s="49">
        <f t="shared" si="36"/>
        <v>0</v>
      </c>
      <c r="BF113" s="49">
        <f>VLOOKUP(AS113,Leyenda!$B$70:$D$75,3,FALSE)</f>
        <v>15</v>
      </c>
      <c r="BG113" s="67">
        <f t="shared" si="30"/>
        <v>0</v>
      </c>
      <c r="BH113" s="67">
        <f>VLOOKUP(AM113,Leyenda!$B$4:$E$10,4,FALSE)</f>
        <v>0</v>
      </c>
      <c r="BI113" s="67">
        <f t="shared" si="37"/>
        <v>5</v>
      </c>
      <c r="BJ113" s="67">
        <f t="shared" si="31"/>
        <v>0</v>
      </c>
      <c r="BK113" s="67">
        <f>+VLOOKUP('2. Logging Brejo Seco'!AP113,Leyenda!$B$47:$E$51,4,FALSE)</f>
        <v>0</v>
      </c>
      <c r="BL113" s="67">
        <f>+VLOOKUP('2. Logging Brejo Seco'!AQ113,Leyenda!$B$55:$E$59,4,FALSE)</f>
        <v>0</v>
      </c>
      <c r="BM113" s="67">
        <f>+VLOOKUP('2. Logging Brejo Seco'!AR113,Leyenda!$B$63:$E$67,3,FALSE)</f>
        <v>0</v>
      </c>
      <c r="BN113" s="67">
        <f>+VLOOKUP('2. Logging Brejo Seco'!AO113,Leyenda!$B$39:$E$43,4,FALSE)</f>
        <v>0</v>
      </c>
      <c r="BO113" s="67">
        <f>+VLOOKUP('2. Logging Brejo Seco'!AN113,Leyenda!$B$30:$E$34,4,FALSE)</f>
        <v>0</v>
      </c>
      <c r="BP113" s="67">
        <f>VLOOKUP(AS113,Leyenda!$B$71:$E$75,4,FALSE)</f>
        <v>10</v>
      </c>
      <c r="BQ113" s="125">
        <f t="shared" si="38"/>
        <v>15</v>
      </c>
      <c r="BR113" s="85">
        <f t="shared" si="39"/>
        <v>20</v>
      </c>
      <c r="BS113" s="240">
        <f t="shared" si="40"/>
        <v>0.33999999999999997</v>
      </c>
      <c r="BT113" s="18" t="s">
        <v>731</v>
      </c>
    </row>
    <row r="114" spans="1:72" x14ac:dyDescent="0.25">
      <c r="A114" s="18" t="s">
        <v>6</v>
      </c>
      <c r="B114" s="18">
        <v>2024</v>
      </c>
      <c r="C114" s="18" t="s">
        <v>138</v>
      </c>
      <c r="D114" s="18" t="s">
        <v>245</v>
      </c>
      <c r="E114" s="18">
        <v>60</v>
      </c>
      <c r="F114" s="18">
        <v>60</v>
      </c>
      <c r="G114" s="18" t="s">
        <v>136</v>
      </c>
      <c r="H114" s="248">
        <f t="shared" si="42"/>
        <v>60</v>
      </c>
      <c r="I114" s="135"/>
      <c r="J114" s="18" t="s">
        <v>291</v>
      </c>
      <c r="K114" s="4">
        <f>+L113</f>
        <v>0.5</v>
      </c>
      <c r="L114" s="4">
        <v>1</v>
      </c>
      <c r="M114" s="4">
        <f t="shared" si="32"/>
        <v>0.5</v>
      </c>
      <c r="N114" s="5">
        <v>0.74</v>
      </c>
      <c r="O114" s="5">
        <f t="shared" ref="O114:O177" si="48">1-N114</f>
        <v>0.26</v>
      </c>
      <c r="P114" s="31">
        <f t="shared" si="33"/>
        <v>0.37</v>
      </c>
      <c r="Q114" s="31">
        <f t="shared" si="28"/>
        <v>0.37</v>
      </c>
      <c r="R114" s="31">
        <v>18.5</v>
      </c>
      <c r="S114" s="31">
        <v>20</v>
      </c>
      <c r="T114" s="31">
        <v>0.37</v>
      </c>
      <c r="U114" s="31">
        <v>0</v>
      </c>
      <c r="V114" s="65">
        <f t="shared" si="43"/>
        <v>0</v>
      </c>
      <c r="W114" s="31">
        <v>10</v>
      </c>
      <c r="X114" s="31"/>
      <c r="Y114" s="31">
        <f t="shared" si="44"/>
        <v>10</v>
      </c>
      <c r="Z114" s="31">
        <f t="shared" si="47"/>
        <v>37</v>
      </c>
      <c r="AA114" s="18">
        <v>0</v>
      </c>
      <c r="AB114" s="18" t="s">
        <v>330</v>
      </c>
      <c r="AC114" s="18" t="s">
        <v>333</v>
      </c>
      <c r="AD114" s="18" t="s">
        <v>335</v>
      </c>
      <c r="AE114" s="18">
        <v>20</v>
      </c>
      <c r="AF114" s="18">
        <v>18.5</v>
      </c>
      <c r="AG114" s="18" t="s">
        <v>228</v>
      </c>
      <c r="AH114" s="18" t="s">
        <v>34</v>
      </c>
      <c r="AI114" s="18">
        <f>+VLOOKUP(AH114,Leyenda!$O$4:$U$10,6,FALSE)</f>
        <v>0</v>
      </c>
      <c r="AJ114" s="18" t="str">
        <f>+VLOOKUP(AH114,Leyenda!$O$4:$U$10,7,FALSE)</f>
        <v>No Blasting need</v>
      </c>
      <c r="AK114" s="18">
        <f>+VLOOKUP(AJ114,Leyenda!$U$4:$V$10,2,FALSE)</f>
        <v>2</v>
      </c>
      <c r="AL114" s="18" t="s">
        <v>228</v>
      </c>
      <c r="AM114" s="18" t="str">
        <f t="shared" si="34"/>
        <v>R0</v>
      </c>
      <c r="AN114" s="18" t="s">
        <v>69</v>
      </c>
      <c r="AO114" s="18" t="s">
        <v>81</v>
      </c>
      <c r="AP114" s="18" t="s">
        <v>100</v>
      </c>
      <c r="AQ114" s="18" t="s">
        <v>111</v>
      </c>
      <c r="AR114" s="18" t="s">
        <v>122</v>
      </c>
      <c r="AS114" s="18" t="s">
        <v>198</v>
      </c>
      <c r="AT114" s="18"/>
      <c r="AU114" s="18"/>
      <c r="AV114" s="18">
        <f>+VLOOKUP(AN114,Leyenda!$B$30:$E$34,3,FALSE)</f>
        <v>0</v>
      </c>
      <c r="AW114" s="18">
        <f>+VLOOKUP('2. Logging Brejo Seco'!AO114,Meteorizacion,3,FALSE)</f>
        <v>0</v>
      </c>
      <c r="AX114" s="18">
        <f>+VLOOKUP('2. Logging Brejo Seco'!AP114,Apertura,3,FALSE)</f>
        <v>0</v>
      </c>
      <c r="AY114" s="18">
        <f>+VLOOKUP('2. Logging Brejo Seco'!AQ114,Leyenda!$B$55:$D$59,3,FALSE)</f>
        <v>0</v>
      </c>
      <c r="AZ114" s="18">
        <f>+VLOOKUP('2. Logging Brejo Seco'!AR114,Relleno,3,FALSE)</f>
        <v>0</v>
      </c>
      <c r="BA114" s="18">
        <v>0</v>
      </c>
      <c r="BB114" s="49">
        <f t="shared" si="29"/>
        <v>0</v>
      </c>
      <c r="BC114" s="49">
        <f>VLOOKUP(AM114,Leyenda!$B$4:$D$10,3,FALSE)</f>
        <v>0</v>
      </c>
      <c r="BD114" s="50">
        <f t="shared" si="35"/>
        <v>5</v>
      </c>
      <c r="BE114" s="49">
        <f t="shared" si="36"/>
        <v>0</v>
      </c>
      <c r="BF114" s="49">
        <f>VLOOKUP(AS114,Leyenda!$B$70:$D$75,3,FALSE)</f>
        <v>15</v>
      </c>
      <c r="BG114" s="67">
        <f t="shared" si="30"/>
        <v>0</v>
      </c>
      <c r="BH114" s="67">
        <f>VLOOKUP(AM114,Leyenda!$B$4:$E$10,4,FALSE)</f>
        <v>0</v>
      </c>
      <c r="BI114" s="67">
        <f t="shared" si="37"/>
        <v>5</v>
      </c>
      <c r="BJ114" s="67">
        <f t="shared" si="31"/>
        <v>0</v>
      </c>
      <c r="BK114" s="67">
        <f>+VLOOKUP('2. Logging Brejo Seco'!AP114,Leyenda!$B$47:$E$51,4,FALSE)</f>
        <v>0</v>
      </c>
      <c r="BL114" s="67">
        <f>+VLOOKUP('2. Logging Brejo Seco'!AQ114,Leyenda!$B$55:$E$59,4,FALSE)</f>
        <v>0</v>
      </c>
      <c r="BM114" s="67">
        <f>+VLOOKUP('2. Logging Brejo Seco'!AR114,Leyenda!$B$63:$E$67,3,FALSE)</f>
        <v>0</v>
      </c>
      <c r="BN114" s="67">
        <f>+VLOOKUP('2. Logging Brejo Seco'!AO114,Leyenda!$B$39:$E$43,4,FALSE)</f>
        <v>0</v>
      </c>
      <c r="BO114" s="67">
        <f>+VLOOKUP('2. Logging Brejo Seco'!AN114,Leyenda!$B$30:$E$34,4,FALSE)</f>
        <v>0</v>
      </c>
      <c r="BP114" s="67">
        <f>VLOOKUP(AS114,Leyenda!$B$71:$E$75,4,FALSE)</f>
        <v>10</v>
      </c>
      <c r="BQ114" s="125">
        <f t="shared" si="38"/>
        <v>15</v>
      </c>
      <c r="BR114" s="85">
        <f t="shared" si="39"/>
        <v>20</v>
      </c>
      <c r="BS114" s="240">
        <f t="shared" si="40"/>
        <v>0.26</v>
      </c>
      <c r="BT114" s="18" t="s">
        <v>731</v>
      </c>
    </row>
    <row r="115" spans="1:72" x14ac:dyDescent="0.25">
      <c r="A115" s="18" t="s">
        <v>6</v>
      </c>
      <c r="B115" s="18">
        <v>2024</v>
      </c>
      <c r="C115" s="18" t="s">
        <v>138</v>
      </c>
      <c r="D115" s="18" t="s">
        <v>245</v>
      </c>
      <c r="E115" s="18">
        <v>60</v>
      </c>
      <c r="F115" s="18">
        <v>60</v>
      </c>
      <c r="G115" s="18" t="s">
        <v>136</v>
      </c>
      <c r="H115" s="248">
        <f t="shared" si="42"/>
        <v>60</v>
      </c>
      <c r="I115" s="135"/>
      <c r="J115" s="18" t="s">
        <v>291</v>
      </c>
      <c r="K115" s="4">
        <f t="shared" ref="K115:K178" si="49">+L114</f>
        <v>1</v>
      </c>
      <c r="L115" s="4">
        <v>1.5</v>
      </c>
      <c r="M115" s="4">
        <f t="shared" si="32"/>
        <v>0.5</v>
      </c>
      <c r="N115" s="5">
        <v>0.78</v>
      </c>
      <c r="O115" s="5">
        <f t="shared" si="48"/>
        <v>0.21999999999999997</v>
      </c>
      <c r="P115" s="31">
        <f t="shared" si="33"/>
        <v>0.39</v>
      </c>
      <c r="Q115" s="31">
        <f t="shared" si="28"/>
        <v>0.39</v>
      </c>
      <c r="R115" s="31">
        <v>19.5</v>
      </c>
      <c r="S115" s="31">
        <v>20</v>
      </c>
      <c r="T115" s="31">
        <v>0.37</v>
      </c>
      <c r="U115" s="31">
        <v>0</v>
      </c>
      <c r="V115" s="65">
        <f t="shared" si="43"/>
        <v>0</v>
      </c>
      <c r="W115" s="31">
        <v>10</v>
      </c>
      <c r="X115" s="31"/>
      <c r="Y115" s="31">
        <f t="shared" si="44"/>
        <v>10</v>
      </c>
      <c r="Z115" s="31">
        <f t="shared" si="47"/>
        <v>37</v>
      </c>
      <c r="AA115" s="18">
        <v>0</v>
      </c>
      <c r="AB115" s="18" t="s">
        <v>330</v>
      </c>
      <c r="AC115" s="18" t="s">
        <v>333</v>
      </c>
      <c r="AD115" s="18" t="s">
        <v>335</v>
      </c>
      <c r="AE115" s="18">
        <v>20</v>
      </c>
      <c r="AF115" s="18">
        <v>19.5</v>
      </c>
      <c r="AG115" s="18" t="s">
        <v>228</v>
      </c>
      <c r="AH115" s="18" t="s">
        <v>34</v>
      </c>
      <c r="AI115" s="18">
        <f>+VLOOKUP(AH115,Leyenda!$O$4:$U$10,6,FALSE)</f>
        <v>0</v>
      </c>
      <c r="AJ115" s="18" t="str">
        <f>+VLOOKUP(AH115,Leyenda!$O$4:$U$10,7,FALSE)</f>
        <v>No Blasting need</v>
      </c>
      <c r="AK115" s="18">
        <f>+VLOOKUP(AJ115,Leyenda!$U$4:$V$10,2,FALSE)</f>
        <v>2</v>
      </c>
      <c r="AL115" s="18" t="s">
        <v>228</v>
      </c>
      <c r="AM115" s="18" t="str">
        <f t="shared" si="34"/>
        <v>R0</v>
      </c>
      <c r="AN115" s="18" t="s">
        <v>69</v>
      </c>
      <c r="AO115" s="18" t="s">
        <v>81</v>
      </c>
      <c r="AP115" s="18" t="s">
        <v>100</v>
      </c>
      <c r="AQ115" s="18" t="s">
        <v>111</v>
      </c>
      <c r="AR115" s="18" t="s">
        <v>122</v>
      </c>
      <c r="AS115" s="18" t="s">
        <v>198</v>
      </c>
      <c r="AT115" s="18"/>
      <c r="AU115" s="18"/>
      <c r="AV115" s="18">
        <f>+VLOOKUP(AN115,Leyenda!$B$30:$E$34,3,FALSE)</f>
        <v>0</v>
      </c>
      <c r="AW115" s="18">
        <f>+VLOOKUP('2. Logging Brejo Seco'!AO115,Meteorizacion,3,FALSE)</f>
        <v>0</v>
      </c>
      <c r="AX115" s="18">
        <f>+VLOOKUP('2. Logging Brejo Seco'!AP115,Apertura,3,FALSE)</f>
        <v>0</v>
      </c>
      <c r="AY115" s="18">
        <f>+VLOOKUP('2. Logging Brejo Seco'!AQ115,Leyenda!$B$55:$D$59,3,FALSE)</f>
        <v>0</v>
      </c>
      <c r="AZ115" s="18">
        <f>+VLOOKUP('2. Logging Brejo Seco'!AR115,Relleno,3,FALSE)</f>
        <v>0</v>
      </c>
      <c r="BA115" s="18">
        <v>0</v>
      </c>
      <c r="BB115" s="49">
        <f t="shared" si="29"/>
        <v>0</v>
      </c>
      <c r="BC115" s="49">
        <f>VLOOKUP(AM115,Leyenda!$B$4:$D$10,3,FALSE)</f>
        <v>0</v>
      </c>
      <c r="BD115" s="50">
        <f t="shared" si="35"/>
        <v>5</v>
      </c>
      <c r="BE115" s="49">
        <f t="shared" si="36"/>
        <v>0</v>
      </c>
      <c r="BF115" s="49">
        <f>VLOOKUP(AS115,Leyenda!$B$70:$D$75,3,FALSE)</f>
        <v>15</v>
      </c>
      <c r="BG115" s="67">
        <f t="shared" si="30"/>
        <v>0</v>
      </c>
      <c r="BH115" s="67">
        <f>VLOOKUP(AM115,Leyenda!$B$4:$E$10,4,FALSE)</f>
        <v>0</v>
      </c>
      <c r="BI115" s="67">
        <f t="shared" si="37"/>
        <v>5</v>
      </c>
      <c r="BJ115" s="67">
        <f t="shared" si="31"/>
        <v>0</v>
      </c>
      <c r="BK115" s="67">
        <f>+VLOOKUP('2. Logging Brejo Seco'!AP115,Leyenda!$B$47:$E$51,4,FALSE)</f>
        <v>0</v>
      </c>
      <c r="BL115" s="67">
        <f>+VLOOKUP('2. Logging Brejo Seco'!AQ115,Leyenda!$B$55:$E$59,4,FALSE)</f>
        <v>0</v>
      </c>
      <c r="BM115" s="67">
        <f>+VLOOKUP('2. Logging Brejo Seco'!AR115,Leyenda!$B$63:$E$67,3,FALSE)</f>
        <v>0</v>
      </c>
      <c r="BN115" s="67">
        <f>+VLOOKUP('2. Logging Brejo Seco'!AO115,Leyenda!$B$39:$E$43,4,FALSE)</f>
        <v>0</v>
      </c>
      <c r="BO115" s="67">
        <f>+VLOOKUP('2. Logging Brejo Seco'!AN115,Leyenda!$B$30:$E$34,4,FALSE)</f>
        <v>0</v>
      </c>
      <c r="BP115" s="67">
        <f>VLOOKUP(AS115,Leyenda!$B$71:$E$75,4,FALSE)</f>
        <v>10</v>
      </c>
      <c r="BQ115" s="125">
        <f t="shared" si="38"/>
        <v>15</v>
      </c>
      <c r="BR115" s="85">
        <f t="shared" si="39"/>
        <v>20</v>
      </c>
      <c r="BS115" s="240">
        <f t="shared" si="40"/>
        <v>0.21999999999999997</v>
      </c>
      <c r="BT115" s="18" t="s">
        <v>731</v>
      </c>
    </row>
    <row r="116" spans="1:72" x14ac:dyDescent="0.25">
      <c r="A116" s="18" t="s">
        <v>6</v>
      </c>
      <c r="B116" s="18">
        <v>2024</v>
      </c>
      <c r="C116" s="18" t="s">
        <v>138</v>
      </c>
      <c r="D116" s="18" t="s">
        <v>245</v>
      </c>
      <c r="E116" s="18">
        <v>40</v>
      </c>
      <c r="F116" s="18">
        <v>40</v>
      </c>
      <c r="G116" s="18" t="s">
        <v>153</v>
      </c>
      <c r="H116" s="248">
        <f t="shared" si="42"/>
        <v>40</v>
      </c>
      <c r="I116" s="135"/>
      <c r="J116" s="18" t="s">
        <v>291</v>
      </c>
      <c r="K116" s="4">
        <f t="shared" si="49"/>
        <v>1.5</v>
      </c>
      <c r="L116" s="4">
        <v>2</v>
      </c>
      <c r="M116" s="4">
        <f t="shared" si="32"/>
        <v>0.5</v>
      </c>
      <c r="N116" s="5">
        <v>0.54</v>
      </c>
      <c r="O116" s="5">
        <f t="shared" si="48"/>
        <v>0.45999999999999996</v>
      </c>
      <c r="P116" s="31">
        <f t="shared" si="33"/>
        <v>0.27</v>
      </c>
      <c r="Q116" s="31">
        <f t="shared" si="28"/>
        <v>0.27</v>
      </c>
      <c r="R116" s="31">
        <v>13.5</v>
      </c>
      <c r="S116" s="31">
        <v>20</v>
      </c>
      <c r="T116" s="31">
        <v>0.26</v>
      </c>
      <c r="U116" s="31">
        <v>0</v>
      </c>
      <c r="V116" s="65">
        <f t="shared" si="43"/>
        <v>0</v>
      </c>
      <c r="W116" s="31">
        <v>10</v>
      </c>
      <c r="X116" s="31"/>
      <c r="Y116" s="31">
        <f t="shared" si="44"/>
        <v>10</v>
      </c>
      <c r="Z116" s="31">
        <f t="shared" si="47"/>
        <v>26</v>
      </c>
      <c r="AA116" s="18">
        <v>0</v>
      </c>
      <c r="AB116" s="18" t="s">
        <v>330</v>
      </c>
      <c r="AC116" s="18" t="s">
        <v>333</v>
      </c>
      <c r="AD116" s="18" t="s">
        <v>335</v>
      </c>
      <c r="AE116" s="18">
        <v>20</v>
      </c>
      <c r="AF116" s="18">
        <v>13.5</v>
      </c>
      <c r="AG116" s="18" t="s">
        <v>228</v>
      </c>
      <c r="AH116" s="18" t="s">
        <v>34</v>
      </c>
      <c r="AI116" s="18">
        <f>+VLOOKUP(AH116,Leyenda!$O$4:$U$10,6,FALSE)</f>
        <v>0</v>
      </c>
      <c r="AJ116" s="18" t="str">
        <f>+VLOOKUP(AH116,Leyenda!$O$4:$U$10,7,FALSE)</f>
        <v>No Blasting need</v>
      </c>
      <c r="AK116" s="18">
        <f>+VLOOKUP(AJ116,Leyenda!$U$4:$V$10,2,FALSE)</f>
        <v>2</v>
      </c>
      <c r="AL116" s="18" t="s">
        <v>228</v>
      </c>
      <c r="AM116" s="18" t="str">
        <f t="shared" si="34"/>
        <v>R0</v>
      </c>
      <c r="AN116" s="18" t="s">
        <v>69</v>
      </c>
      <c r="AO116" s="18" t="s">
        <v>81</v>
      </c>
      <c r="AP116" s="18" t="s">
        <v>100</v>
      </c>
      <c r="AQ116" s="18" t="s">
        <v>111</v>
      </c>
      <c r="AR116" s="18" t="s">
        <v>122</v>
      </c>
      <c r="AS116" s="18" t="s">
        <v>198</v>
      </c>
      <c r="AT116" s="18"/>
      <c r="AU116" s="18"/>
      <c r="AV116" s="18">
        <f>+VLOOKUP(AN116,Leyenda!$B$30:$E$34,3,FALSE)</f>
        <v>0</v>
      </c>
      <c r="AW116" s="18">
        <f>+VLOOKUP('2. Logging Brejo Seco'!AO116,Meteorizacion,3,FALSE)</f>
        <v>0</v>
      </c>
      <c r="AX116" s="18">
        <f>+VLOOKUP('2. Logging Brejo Seco'!AP116,Apertura,3,FALSE)</f>
        <v>0</v>
      </c>
      <c r="AY116" s="18">
        <f>+VLOOKUP('2. Logging Brejo Seco'!AQ116,Leyenda!$B$55:$D$59,3,FALSE)</f>
        <v>0</v>
      </c>
      <c r="AZ116" s="18">
        <f>+VLOOKUP('2. Logging Brejo Seco'!AR116,Relleno,3,FALSE)</f>
        <v>0</v>
      </c>
      <c r="BA116" s="18">
        <v>0</v>
      </c>
      <c r="BB116" s="49">
        <f t="shared" si="29"/>
        <v>0</v>
      </c>
      <c r="BC116" s="49">
        <f>VLOOKUP(AM116,Leyenda!$B$4:$D$10,3,FALSE)</f>
        <v>0</v>
      </c>
      <c r="BD116" s="50">
        <f t="shared" si="35"/>
        <v>5</v>
      </c>
      <c r="BE116" s="49">
        <f t="shared" si="36"/>
        <v>0</v>
      </c>
      <c r="BF116" s="49">
        <f>VLOOKUP(AS116,Leyenda!$B$70:$D$75,3,FALSE)</f>
        <v>15</v>
      </c>
      <c r="BG116" s="67">
        <f t="shared" si="30"/>
        <v>0</v>
      </c>
      <c r="BH116" s="67">
        <f>VLOOKUP(AM116,Leyenda!$B$4:$E$10,4,FALSE)</f>
        <v>0</v>
      </c>
      <c r="BI116" s="67">
        <f t="shared" si="37"/>
        <v>5</v>
      </c>
      <c r="BJ116" s="67">
        <f t="shared" si="31"/>
        <v>0</v>
      </c>
      <c r="BK116" s="67">
        <f>+VLOOKUP('2. Logging Brejo Seco'!AP116,Leyenda!$B$47:$E$51,4,FALSE)</f>
        <v>0</v>
      </c>
      <c r="BL116" s="67">
        <f>+VLOOKUP('2. Logging Brejo Seco'!AQ116,Leyenda!$B$55:$E$59,4,FALSE)</f>
        <v>0</v>
      </c>
      <c r="BM116" s="67">
        <f>+VLOOKUP('2. Logging Brejo Seco'!AR116,Leyenda!$B$63:$E$67,3,FALSE)</f>
        <v>0</v>
      </c>
      <c r="BN116" s="67">
        <f>+VLOOKUP('2. Logging Brejo Seco'!AO116,Leyenda!$B$39:$E$43,4,FALSE)</f>
        <v>0</v>
      </c>
      <c r="BO116" s="67">
        <f>+VLOOKUP('2. Logging Brejo Seco'!AN116,Leyenda!$B$30:$E$34,4,FALSE)</f>
        <v>0</v>
      </c>
      <c r="BP116" s="67">
        <f>VLOOKUP(AS116,Leyenda!$B$71:$E$75,4,FALSE)</f>
        <v>10</v>
      </c>
      <c r="BQ116" s="125">
        <f t="shared" si="38"/>
        <v>15</v>
      </c>
      <c r="BR116" s="85">
        <f t="shared" si="39"/>
        <v>20</v>
      </c>
      <c r="BS116" s="240">
        <f t="shared" si="40"/>
        <v>0.45999999999999996</v>
      </c>
      <c r="BT116" s="18" t="s">
        <v>731</v>
      </c>
    </row>
    <row r="117" spans="1:72" x14ac:dyDescent="0.25">
      <c r="A117" s="18" t="s">
        <v>6</v>
      </c>
      <c r="B117" s="18">
        <v>2024</v>
      </c>
      <c r="C117" s="18" t="s">
        <v>138</v>
      </c>
      <c r="D117" s="18" t="s">
        <v>245</v>
      </c>
      <c r="E117" s="18">
        <v>40</v>
      </c>
      <c r="F117" s="18">
        <v>40</v>
      </c>
      <c r="G117" s="18" t="s">
        <v>153</v>
      </c>
      <c r="H117" s="248">
        <f t="shared" si="42"/>
        <v>40</v>
      </c>
      <c r="I117" s="135"/>
      <c r="J117" s="18" t="s">
        <v>291</v>
      </c>
      <c r="K117" s="4">
        <f t="shared" si="49"/>
        <v>2</v>
      </c>
      <c r="L117" s="4">
        <v>2.5</v>
      </c>
      <c r="M117" s="4">
        <f t="shared" si="32"/>
        <v>0.5</v>
      </c>
      <c r="N117" s="5">
        <v>0.56000000000000005</v>
      </c>
      <c r="O117" s="5">
        <f t="shared" si="48"/>
        <v>0.43999999999999995</v>
      </c>
      <c r="P117" s="31">
        <f t="shared" si="33"/>
        <v>0.28000000000000003</v>
      </c>
      <c r="Q117" s="31">
        <f t="shared" si="28"/>
        <v>0.28000000000000003</v>
      </c>
      <c r="R117" s="31">
        <v>14</v>
      </c>
      <c r="S117" s="31">
        <v>20</v>
      </c>
      <c r="T117" s="31">
        <v>0.26</v>
      </c>
      <c r="U117" s="31">
        <v>0</v>
      </c>
      <c r="V117" s="65">
        <f t="shared" si="43"/>
        <v>0</v>
      </c>
      <c r="W117" s="31">
        <v>10</v>
      </c>
      <c r="X117" s="31"/>
      <c r="Y117" s="31">
        <f t="shared" si="44"/>
        <v>10</v>
      </c>
      <c r="Z117" s="31">
        <f t="shared" si="47"/>
        <v>26</v>
      </c>
      <c r="AA117" s="18">
        <v>0</v>
      </c>
      <c r="AB117" s="18" t="s">
        <v>330</v>
      </c>
      <c r="AC117" s="18" t="s">
        <v>333</v>
      </c>
      <c r="AD117" s="18" t="s">
        <v>335</v>
      </c>
      <c r="AE117" s="18">
        <v>20</v>
      </c>
      <c r="AF117" s="18">
        <v>14</v>
      </c>
      <c r="AG117" s="18" t="s">
        <v>228</v>
      </c>
      <c r="AH117" s="18" t="s">
        <v>34</v>
      </c>
      <c r="AI117" s="18">
        <f>+VLOOKUP(AH117,Leyenda!$O$4:$U$10,6,FALSE)</f>
        <v>0</v>
      </c>
      <c r="AJ117" s="18" t="str">
        <f>+VLOOKUP(AH117,Leyenda!$O$4:$U$10,7,FALSE)</f>
        <v>No Blasting need</v>
      </c>
      <c r="AK117" s="18">
        <f>+VLOOKUP(AJ117,Leyenda!$U$4:$V$10,2,FALSE)</f>
        <v>2</v>
      </c>
      <c r="AL117" s="18" t="s">
        <v>228</v>
      </c>
      <c r="AM117" s="18" t="str">
        <f t="shared" si="34"/>
        <v>R0</v>
      </c>
      <c r="AN117" s="18" t="s">
        <v>69</v>
      </c>
      <c r="AO117" s="18" t="s">
        <v>81</v>
      </c>
      <c r="AP117" s="18" t="s">
        <v>100</v>
      </c>
      <c r="AQ117" s="18" t="s">
        <v>111</v>
      </c>
      <c r="AR117" s="18" t="s">
        <v>122</v>
      </c>
      <c r="AS117" s="18" t="s">
        <v>198</v>
      </c>
      <c r="AT117" s="18"/>
      <c r="AU117" s="18"/>
      <c r="AV117" s="18">
        <f>+VLOOKUP(AN117,Leyenda!$B$30:$E$34,3,FALSE)</f>
        <v>0</v>
      </c>
      <c r="AW117" s="18">
        <f>+VLOOKUP('2. Logging Brejo Seco'!AO117,Meteorizacion,3,FALSE)</f>
        <v>0</v>
      </c>
      <c r="AX117" s="18">
        <f>+VLOOKUP('2. Logging Brejo Seco'!AP117,Apertura,3,FALSE)</f>
        <v>0</v>
      </c>
      <c r="AY117" s="18">
        <f>+VLOOKUP('2. Logging Brejo Seco'!AQ117,Leyenda!$B$55:$D$59,3,FALSE)</f>
        <v>0</v>
      </c>
      <c r="AZ117" s="18">
        <f>+VLOOKUP('2. Logging Brejo Seco'!AR117,Relleno,3,FALSE)</f>
        <v>0</v>
      </c>
      <c r="BA117" s="18">
        <v>0</v>
      </c>
      <c r="BB117" s="49">
        <f t="shared" si="29"/>
        <v>0</v>
      </c>
      <c r="BC117" s="49">
        <f>VLOOKUP(AM117,Leyenda!$B$4:$D$10,3,FALSE)</f>
        <v>0</v>
      </c>
      <c r="BD117" s="50">
        <f t="shared" si="35"/>
        <v>5</v>
      </c>
      <c r="BE117" s="49">
        <f t="shared" si="36"/>
        <v>0</v>
      </c>
      <c r="BF117" s="49">
        <f>VLOOKUP(AS117,Leyenda!$B$70:$D$75,3,FALSE)</f>
        <v>15</v>
      </c>
      <c r="BG117" s="67">
        <f t="shared" si="30"/>
        <v>0</v>
      </c>
      <c r="BH117" s="67">
        <f>VLOOKUP(AM117,Leyenda!$B$4:$E$10,4,FALSE)</f>
        <v>0</v>
      </c>
      <c r="BI117" s="67">
        <f t="shared" si="37"/>
        <v>5</v>
      </c>
      <c r="BJ117" s="67">
        <f t="shared" si="31"/>
        <v>0</v>
      </c>
      <c r="BK117" s="67">
        <f>+VLOOKUP('2. Logging Brejo Seco'!AP117,Leyenda!$B$47:$E$51,4,FALSE)</f>
        <v>0</v>
      </c>
      <c r="BL117" s="67">
        <f>+VLOOKUP('2. Logging Brejo Seco'!AQ117,Leyenda!$B$55:$E$59,4,FALSE)</f>
        <v>0</v>
      </c>
      <c r="BM117" s="67">
        <f>+VLOOKUP('2. Logging Brejo Seco'!AR117,Leyenda!$B$63:$E$67,3,FALSE)</f>
        <v>0</v>
      </c>
      <c r="BN117" s="67">
        <f>+VLOOKUP('2. Logging Brejo Seco'!AO117,Leyenda!$B$39:$E$43,4,FALSE)</f>
        <v>0</v>
      </c>
      <c r="BO117" s="67">
        <f>+VLOOKUP('2. Logging Brejo Seco'!AN117,Leyenda!$B$30:$E$34,4,FALSE)</f>
        <v>0</v>
      </c>
      <c r="BP117" s="67">
        <f>VLOOKUP(AS117,Leyenda!$B$71:$E$75,4,FALSE)</f>
        <v>10</v>
      </c>
      <c r="BQ117" s="125">
        <f t="shared" si="38"/>
        <v>15</v>
      </c>
      <c r="BR117" s="85">
        <f t="shared" si="39"/>
        <v>20</v>
      </c>
      <c r="BS117" s="240">
        <f t="shared" si="40"/>
        <v>0.43999999999999995</v>
      </c>
      <c r="BT117" s="18" t="s">
        <v>731</v>
      </c>
    </row>
    <row r="118" spans="1:72" x14ac:dyDescent="0.25">
      <c r="A118" s="18" t="s">
        <v>6</v>
      </c>
      <c r="B118" s="18">
        <v>2024</v>
      </c>
      <c r="C118" s="18" t="s">
        <v>138</v>
      </c>
      <c r="D118" s="18" t="s">
        <v>245</v>
      </c>
      <c r="E118" s="18">
        <v>40</v>
      </c>
      <c r="F118" s="18">
        <v>40</v>
      </c>
      <c r="G118" s="18" t="s">
        <v>153</v>
      </c>
      <c r="H118" s="248">
        <f t="shared" si="42"/>
        <v>40</v>
      </c>
      <c r="I118" s="135"/>
      <c r="J118" s="18" t="s">
        <v>291</v>
      </c>
      <c r="K118" s="4">
        <f t="shared" si="49"/>
        <v>2.5</v>
      </c>
      <c r="L118" s="4">
        <v>3</v>
      </c>
      <c r="M118" s="4">
        <f t="shared" si="32"/>
        <v>0.5</v>
      </c>
      <c r="N118" s="5">
        <v>0.5</v>
      </c>
      <c r="O118" s="5">
        <f t="shared" si="48"/>
        <v>0.5</v>
      </c>
      <c r="P118" s="31">
        <f t="shared" si="33"/>
        <v>0.25</v>
      </c>
      <c r="Q118" s="31">
        <f t="shared" si="28"/>
        <v>0.25</v>
      </c>
      <c r="R118" s="31">
        <v>12.5</v>
      </c>
      <c r="S118" s="31">
        <v>20</v>
      </c>
      <c r="T118" s="31">
        <v>0.24</v>
      </c>
      <c r="U118" s="31">
        <v>0</v>
      </c>
      <c r="V118" s="65">
        <f t="shared" si="43"/>
        <v>0</v>
      </c>
      <c r="W118" s="31">
        <v>10</v>
      </c>
      <c r="X118" s="31"/>
      <c r="Y118" s="31">
        <f t="shared" si="44"/>
        <v>10</v>
      </c>
      <c r="Z118" s="31">
        <f t="shared" si="47"/>
        <v>24</v>
      </c>
      <c r="AA118" s="18">
        <v>0</v>
      </c>
      <c r="AB118" s="18" t="s">
        <v>330</v>
      </c>
      <c r="AC118" s="18" t="s">
        <v>333</v>
      </c>
      <c r="AD118" s="18" t="s">
        <v>335</v>
      </c>
      <c r="AE118" s="18">
        <v>20</v>
      </c>
      <c r="AF118" s="18">
        <v>12.5</v>
      </c>
      <c r="AG118" s="18" t="s">
        <v>228</v>
      </c>
      <c r="AH118" s="18" t="s">
        <v>34</v>
      </c>
      <c r="AI118" s="18">
        <f>+VLOOKUP(AH118,Leyenda!$O$4:$U$10,6,FALSE)</f>
        <v>0</v>
      </c>
      <c r="AJ118" s="18" t="str">
        <f>+VLOOKUP(AH118,Leyenda!$O$4:$U$10,7,FALSE)</f>
        <v>No Blasting need</v>
      </c>
      <c r="AK118" s="18">
        <f>+VLOOKUP(AJ118,Leyenda!$U$4:$V$10,2,FALSE)</f>
        <v>2</v>
      </c>
      <c r="AL118" s="18" t="s">
        <v>228</v>
      </c>
      <c r="AM118" s="18" t="str">
        <f t="shared" si="34"/>
        <v>R0</v>
      </c>
      <c r="AN118" s="18" t="s">
        <v>69</v>
      </c>
      <c r="AO118" s="18" t="s">
        <v>81</v>
      </c>
      <c r="AP118" s="18" t="s">
        <v>100</v>
      </c>
      <c r="AQ118" s="18" t="s">
        <v>111</v>
      </c>
      <c r="AR118" s="18" t="s">
        <v>122</v>
      </c>
      <c r="AS118" s="18" t="s">
        <v>198</v>
      </c>
      <c r="AT118" s="18"/>
      <c r="AU118" s="18"/>
      <c r="AV118" s="18">
        <f>+VLOOKUP(AN118,Leyenda!$B$30:$E$34,3,FALSE)</f>
        <v>0</v>
      </c>
      <c r="AW118" s="18">
        <f>+VLOOKUP('2. Logging Brejo Seco'!AO118,Meteorizacion,3,FALSE)</f>
        <v>0</v>
      </c>
      <c r="AX118" s="18">
        <f>+VLOOKUP('2. Logging Brejo Seco'!AP118,Apertura,3,FALSE)</f>
        <v>0</v>
      </c>
      <c r="AY118" s="18">
        <f>+VLOOKUP('2. Logging Brejo Seco'!AQ118,Leyenda!$B$55:$D$59,3,FALSE)</f>
        <v>0</v>
      </c>
      <c r="AZ118" s="18">
        <f>+VLOOKUP('2. Logging Brejo Seco'!AR118,Relleno,3,FALSE)</f>
        <v>0</v>
      </c>
      <c r="BA118" s="18">
        <v>0</v>
      </c>
      <c r="BB118" s="49">
        <f t="shared" si="29"/>
        <v>0</v>
      </c>
      <c r="BC118" s="49">
        <f>VLOOKUP(AM118,Leyenda!$B$4:$D$10,3,FALSE)</f>
        <v>0</v>
      </c>
      <c r="BD118" s="50">
        <f t="shared" si="35"/>
        <v>4</v>
      </c>
      <c r="BE118" s="49">
        <f t="shared" si="36"/>
        <v>0</v>
      </c>
      <c r="BF118" s="49">
        <f>VLOOKUP(AS118,Leyenda!$B$70:$D$75,3,FALSE)</f>
        <v>15</v>
      </c>
      <c r="BG118" s="67">
        <f t="shared" si="30"/>
        <v>0</v>
      </c>
      <c r="BH118" s="67">
        <f>VLOOKUP(AM118,Leyenda!$B$4:$E$10,4,FALSE)</f>
        <v>0</v>
      </c>
      <c r="BI118" s="67">
        <f t="shared" si="37"/>
        <v>5</v>
      </c>
      <c r="BJ118" s="67">
        <f t="shared" si="31"/>
        <v>0</v>
      </c>
      <c r="BK118" s="67">
        <f>+VLOOKUP('2. Logging Brejo Seco'!AP118,Leyenda!$B$47:$E$51,4,FALSE)</f>
        <v>0</v>
      </c>
      <c r="BL118" s="67">
        <f>+VLOOKUP('2. Logging Brejo Seco'!AQ118,Leyenda!$B$55:$E$59,4,FALSE)</f>
        <v>0</v>
      </c>
      <c r="BM118" s="67">
        <f>+VLOOKUP('2. Logging Brejo Seco'!AR118,Leyenda!$B$63:$E$67,3,FALSE)</f>
        <v>0</v>
      </c>
      <c r="BN118" s="67">
        <f>+VLOOKUP('2. Logging Brejo Seco'!AO118,Leyenda!$B$39:$E$43,4,FALSE)</f>
        <v>0</v>
      </c>
      <c r="BO118" s="67">
        <f>+VLOOKUP('2. Logging Brejo Seco'!AN118,Leyenda!$B$30:$E$34,4,FALSE)</f>
        <v>0</v>
      </c>
      <c r="BP118" s="67">
        <f>VLOOKUP(AS118,Leyenda!$B$71:$E$75,4,FALSE)</f>
        <v>10</v>
      </c>
      <c r="BQ118" s="125">
        <f t="shared" si="38"/>
        <v>15</v>
      </c>
      <c r="BR118" s="85">
        <f t="shared" si="39"/>
        <v>19</v>
      </c>
      <c r="BS118" s="240">
        <f t="shared" si="40"/>
        <v>0.5</v>
      </c>
      <c r="BT118" s="18" t="s">
        <v>731</v>
      </c>
    </row>
    <row r="119" spans="1:72" x14ac:dyDescent="0.25">
      <c r="A119" s="18" t="s">
        <v>6</v>
      </c>
      <c r="B119" s="18">
        <v>2024</v>
      </c>
      <c r="C119" s="18" t="s">
        <v>138</v>
      </c>
      <c r="D119" s="18" t="s">
        <v>245</v>
      </c>
      <c r="E119" s="18">
        <v>40</v>
      </c>
      <c r="F119" s="18">
        <v>40</v>
      </c>
      <c r="G119" s="18" t="s">
        <v>153</v>
      </c>
      <c r="H119" s="248">
        <f t="shared" si="42"/>
        <v>40</v>
      </c>
      <c r="I119" s="135"/>
      <c r="J119" s="18" t="s">
        <v>291</v>
      </c>
      <c r="K119" s="4">
        <f t="shared" si="49"/>
        <v>3</v>
      </c>
      <c r="L119" s="4">
        <v>3.5</v>
      </c>
      <c r="M119" s="4">
        <f t="shared" si="32"/>
        <v>0.5</v>
      </c>
      <c r="N119" s="5">
        <v>0.46</v>
      </c>
      <c r="O119" s="5">
        <f t="shared" si="48"/>
        <v>0.54</v>
      </c>
      <c r="P119" s="31">
        <f t="shared" si="33"/>
        <v>0.23</v>
      </c>
      <c r="Q119" s="31">
        <f t="shared" si="28"/>
        <v>0.23</v>
      </c>
      <c r="R119" s="31">
        <v>11.5</v>
      </c>
      <c r="S119" s="31">
        <v>20</v>
      </c>
      <c r="T119" s="31">
        <v>0.23</v>
      </c>
      <c r="U119" s="31">
        <v>0</v>
      </c>
      <c r="V119" s="65">
        <f t="shared" si="43"/>
        <v>0</v>
      </c>
      <c r="W119" s="31">
        <v>10</v>
      </c>
      <c r="X119" s="31"/>
      <c r="Y119" s="31">
        <f t="shared" si="44"/>
        <v>10</v>
      </c>
      <c r="Z119" s="31">
        <f t="shared" si="47"/>
        <v>23</v>
      </c>
      <c r="AA119" s="18">
        <v>0</v>
      </c>
      <c r="AB119" s="18" t="s">
        <v>330</v>
      </c>
      <c r="AC119" s="18" t="s">
        <v>333</v>
      </c>
      <c r="AD119" s="18" t="s">
        <v>335</v>
      </c>
      <c r="AE119" s="18">
        <v>20</v>
      </c>
      <c r="AF119" s="18">
        <v>11.5</v>
      </c>
      <c r="AG119" s="18" t="s">
        <v>228</v>
      </c>
      <c r="AH119" s="18" t="s">
        <v>34</v>
      </c>
      <c r="AI119" s="18">
        <f>+VLOOKUP(AH119,Leyenda!$O$4:$U$10,6,FALSE)</f>
        <v>0</v>
      </c>
      <c r="AJ119" s="18" t="str">
        <f>+VLOOKUP(AH119,Leyenda!$O$4:$U$10,7,FALSE)</f>
        <v>No Blasting need</v>
      </c>
      <c r="AK119" s="18">
        <f>+VLOOKUP(AJ119,Leyenda!$U$4:$V$10,2,FALSE)</f>
        <v>2</v>
      </c>
      <c r="AL119" s="18" t="s">
        <v>228</v>
      </c>
      <c r="AM119" s="18" t="str">
        <f t="shared" si="34"/>
        <v>R0</v>
      </c>
      <c r="AN119" s="18" t="s">
        <v>69</v>
      </c>
      <c r="AO119" s="18" t="s">
        <v>81</v>
      </c>
      <c r="AP119" s="18" t="s">
        <v>100</v>
      </c>
      <c r="AQ119" s="18" t="s">
        <v>111</v>
      </c>
      <c r="AR119" s="18" t="s">
        <v>122</v>
      </c>
      <c r="AS119" s="18" t="s">
        <v>198</v>
      </c>
      <c r="AT119" s="18"/>
      <c r="AU119" s="18"/>
      <c r="AV119" s="18">
        <f>+VLOOKUP(AN119,Leyenda!$B$30:$E$34,3,FALSE)</f>
        <v>0</v>
      </c>
      <c r="AW119" s="18">
        <f>+VLOOKUP('2. Logging Brejo Seco'!AO119,Meteorizacion,3,FALSE)</f>
        <v>0</v>
      </c>
      <c r="AX119" s="18">
        <f>+VLOOKUP('2. Logging Brejo Seco'!AP119,Apertura,3,FALSE)</f>
        <v>0</v>
      </c>
      <c r="AY119" s="18">
        <f>+VLOOKUP('2. Logging Brejo Seco'!AQ119,Leyenda!$B$55:$D$59,3,FALSE)</f>
        <v>0</v>
      </c>
      <c r="AZ119" s="18">
        <f>+VLOOKUP('2. Logging Brejo Seco'!AR119,Relleno,3,FALSE)</f>
        <v>0</v>
      </c>
      <c r="BA119" s="18">
        <v>0</v>
      </c>
      <c r="BB119" s="49">
        <f t="shared" si="29"/>
        <v>0</v>
      </c>
      <c r="BC119" s="49">
        <f>VLOOKUP(AM119,Leyenda!$B$4:$D$10,3,FALSE)</f>
        <v>0</v>
      </c>
      <c r="BD119" s="50">
        <f t="shared" si="35"/>
        <v>4</v>
      </c>
      <c r="BE119" s="49">
        <f t="shared" si="36"/>
        <v>0</v>
      </c>
      <c r="BF119" s="49">
        <f>VLOOKUP(AS119,Leyenda!$B$70:$D$75,3,FALSE)</f>
        <v>15</v>
      </c>
      <c r="BG119" s="67">
        <f t="shared" si="30"/>
        <v>0</v>
      </c>
      <c r="BH119" s="67">
        <f>VLOOKUP(AM119,Leyenda!$B$4:$E$10,4,FALSE)</f>
        <v>0</v>
      </c>
      <c r="BI119" s="67">
        <f t="shared" si="37"/>
        <v>5</v>
      </c>
      <c r="BJ119" s="67">
        <f t="shared" si="31"/>
        <v>0</v>
      </c>
      <c r="BK119" s="67">
        <f>+VLOOKUP('2. Logging Brejo Seco'!AP119,Leyenda!$B$47:$E$51,4,FALSE)</f>
        <v>0</v>
      </c>
      <c r="BL119" s="67">
        <f>+VLOOKUP('2. Logging Brejo Seco'!AQ119,Leyenda!$B$55:$E$59,4,FALSE)</f>
        <v>0</v>
      </c>
      <c r="BM119" s="67">
        <f>+VLOOKUP('2. Logging Brejo Seco'!AR119,Leyenda!$B$63:$E$67,3,FALSE)</f>
        <v>0</v>
      </c>
      <c r="BN119" s="67">
        <f>+VLOOKUP('2. Logging Brejo Seco'!AO119,Leyenda!$B$39:$E$43,4,FALSE)</f>
        <v>0</v>
      </c>
      <c r="BO119" s="67">
        <f>+VLOOKUP('2. Logging Brejo Seco'!AN119,Leyenda!$B$30:$E$34,4,FALSE)</f>
        <v>0</v>
      </c>
      <c r="BP119" s="67">
        <f>VLOOKUP(AS119,Leyenda!$B$71:$E$75,4,FALSE)</f>
        <v>10</v>
      </c>
      <c r="BQ119" s="125">
        <f t="shared" si="38"/>
        <v>15</v>
      </c>
      <c r="BR119" s="85">
        <f t="shared" si="39"/>
        <v>19</v>
      </c>
      <c r="BS119" s="240">
        <f t="shared" si="40"/>
        <v>0.54</v>
      </c>
      <c r="BT119" s="18" t="s">
        <v>731</v>
      </c>
    </row>
    <row r="120" spans="1:72" x14ac:dyDescent="0.25">
      <c r="A120" s="18" t="s">
        <v>6</v>
      </c>
      <c r="B120" s="18">
        <v>2024</v>
      </c>
      <c r="C120" s="18" t="s">
        <v>138</v>
      </c>
      <c r="D120" s="18" t="s">
        <v>245</v>
      </c>
      <c r="E120" s="18">
        <v>40</v>
      </c>
      <c r="F120" s="18">
        <v>40</v>
      </c>
      <c r="G120" s="18" t="s">
        <v>153</v>
      </c>
      <c r="H120" s="248">
        <f t="shared" si="42"/>
        <v>40</v>
      </c>
      <c r="I120" s="135"/>
      <c r="J120" s="18" t="s">
        <v>291</v>
      </c>
      <c r="K120" s="4">
        <f t="shared" si="49"/>
        <v>3.5</v>
      </c>
      <c r="L120" s="4">
        <v>4</v>
      </c>
      <c r="M120" s="4">
        <f t="shared" si="32"/>
        <v>0.5</v>
      </c>
      <c r="N120" s="5">
        <v>0.44</v>
      </c>
      <c r="O120" s="5">
        <f t="shared" si="48"/>
        <v>0.56000000000000005</v>
      </c>
      <c r="P120" s="31">
        <f t="shared" si="33"/>
        <v>0.22</v>
      </c>
      <c r="Q120" s="31">
        <f t="shared" si="28"/>
        <v>0.22</v>
      </c>
      <c r="R120" s="31">
        <v>11</v>
      </c>
      <c r="S120" s="31">
        <v>20</v>
      </c>
      <c r="T120" s="31">
        <v>0.22</v>
      </c>
      <c r="U120" s="31">
        <v>0</v>
      </c>
      <c r="V120" s="65">
        <f t="shared" si="43"/>
        <v>0</v>
      </c>
      <c r="W120" s="31">
        <v>10</v>
      </c>
      <c r="X120" s="31"/>
      <c r="Y120" s="31">
        <f t="shared" si="44"/>
        <v>10</v>
      </c>
      <c r="Z120" s="31">
        <f t="shared" si="47"/>
        <v>22</v>
      </c>
      <c r="AA120" s="18">
        <v>0</v>
      </c>
      <c r="AB120" s="18" t="s">
        <v>330</v>
      </c>
      <c r="AC120" s="18" t="s">
        <v>333</v>
      </c>
      <c r="AD120" s="18" t="s">
        <v>335</v>
      </c>
      <c r="AE120" s="18">
        <v>20</v>
      </c>
      <c r="AF120" s="18">
        <v>11</v>
      </c>
      <c r="AG120" s="18" t="s">
        <v>228</v>
      </c>
      <c r="AH120" s="18" t="s">
        <v>34</v>
      </c>
      <c r="AI120" s="18">
        <f>+VLOOKUP(AH120,Leyenda!$O$4:$U$10,6,FALSE)</f>
        <v>0</v>
      </c>
      <c r="AJ120" s="18" t="str">
        <f>+VLOOKUP(AH120,Leyenda!$O$4:$U$10,7,FALSE)</f>
        <v>No Blasting need</v>
      </c>
      <c r="AK120" s="18">
        <f>+VLOOKUP(AJ120,Leyenda!$U$4:$V$10,2,FALSE)</f>
        <v>2</v>
      </c>
      <c r="AL120" s="18" t="s">
        <v>228</v>
      </c>
      <c r="AM120" s="18" t="str">
        <f t="shared" si="34"/>
        <v>R0</v>
      </c>
      <c r="AN120" s="18" t="s">
        <v>69</v>
      </c>
      <c r="AO120" s="18" t="s">
        <v>81</v>
      </c>
      <c r="AP120" s="18" t="s">
        <v>100</v>
      </c>
      <c r="AQ120" s="18" t="s">
        <v>111</v>
      </c>
      <c r="AR120" s="18" t="s">
        <v>122</v>
      </c>
      <c r="AS120" s="18" t="s">
        <v>198</v>
      </c>
      <c r="AT120" s="18"/>
      <c r="AU120" s="18"/>
      <c r="AV120" s="18">
        <f>+VLOOKUP(AN120,Leyenda!$B$30:$E$34,3,FALSE)</f>
        <v>0</v>
      </c>
      <c r="AW120" s="18">
        <f>+VLOOKUP('2. Logging Brejo Seco'!AO120,Meteorizacion,3,FALSE)</f>
        <v>0</v>
      </c>
      <c r="AX120" s="18">
        <f>+VLOOKUP('2. Logging Brejo Seco'!AP120,Apertura,3,FALSE)</f>
        <v>0</v>
      </c>
      <c r="AY120" s="18">
        <f>+VLOOKUP('2. Logging Brejo Seco'!AQ120,Leyenda!$B$55:$D$59,3,FALSE)</f>
        <v>0</v>
      </c>
      <c r="AZ120" s="18">
        <f>+VLOOKUP('2. Logging Brejo Seco'!AR120,Relleno,3,FALSE)</f>
        <v>0</v>
      </c>
      <c r="BA120" s="18">
        <v>0</v>
      </c>
      <c r="BB120" s="49">
        <f t="shared" si="29"/>
        <v>0</v>
      </c>
      <c r="BC120" s="49">
        <f>VLOOKUP(AM120,Leyenda!$B$4:$D$10,3,FALSE)</f>
        <v>0</v>
      </c>
      <c r="BD120" s="50">
        <f t="shared" si="35"/>
        <v>4</v>
      </c>
      <c r="BE120" s="49">
        <f t="shared" si="36"/>
        <v>0</v>
      </c>
      <c r="BF120" s="49">
        <f>VLOOKUP(AS120,Leyenda!$B$70:$D$75,3,FALSE)</f>
        <v>15</v>
      </c>
      <c r="BG120" s="67">
        <f t="shared" si="30"/>
        <v>0</v>
      </c>
      <c r="BH120" s="67">
        <f>VLOOKUP(AM120,Leyenda!$B$4:$E$10,4,FALSE)</f>
        <v>0</v>
      </c>
      <c r="BI120" s="67">
        <f t="shared" si="37"/>
        <v>5</v>
      </c>
      <c r="BJ120" s="67">
        <f t="shared" si="31"/>
        <v>0</v>
      </c>
      <c r="BK120" s="67">
        <f>+VLOOKUP('2. Logging Brejo Seco'!AP120,Leyenda!$B$47:$E$51,4,FALSE)</f>
        <v>0</v>
      </c>
      <c r="BL120" s="67">
        <f>+VLOOKUP('2. Logging Brejo Seco'!AQ120,Leyenda!$B$55:$E$59,4,FALSE)</f>
        <v>0</v>
      </c>
      <c r="BM120" s="67">
        <f>+VLOOKUP('2. Logging Brejo Seco'!AR120,Leyenda!$B$63:$E$67,3,FALSE)</f>
        <v>0</v>
      </c>
      <c r="BN120" s="67">
        <f>+VLOOKUP('2. Logging Brejo Seco'!AO120,Leyenda!$B$39:$E$43,4,FALSE)</f>
        <v>0</v>
      </c>
      <c r="BO120" s="67">
        <f>+VLOOKUP('2. Logging Brejo Seco'!AN120,Leyenda!$B$30:$E$34,4,FALSE)</f>
        <v>0</v>
      </c>
      <c r="BP120" s="67">
        <f>VLOOKUP(AS120,Leyenda!$B$71:$E$75,4,FALSE)</f>
        <v>10</v>
      </c>
      <c r="BQ120" s="125">
        <f t="shared" si="38"/>
        <v>15</v>
      </c>
      <c r="BR120" s="85">
        <f t="shared" si="39"/>
        <v>19</v>
      </c>
      <c r="BS120" s="240">
        <f t="shared" si="40"/>
        <v>0.56000000000000005</v>
      </c>
      <c r="BT120" s="18" t="s">
        <v>731</v>
      </c>
    </row>
    <row r="121" spans="1:72" x14ac:dyDescent="0.25">
      <c r="A121" s="18" t="s">
        <v>6</v>
      </c>
      <c r="B121" s="18">
        <v>2024</v>
      </c>
      <c r="C121" s="18" t="s">
        <v>138</v>
      </c>
      <c r="D121" s="18" t="s">
        <v>245</v>
      </c>
      <c r="E121" s="18">
        <v>40</v>
      </c>
      <c r="F121" s="18">
        <v>40</v>
      </c>
      <c r="G121" s="18" t="s">
        <v>153</v>
      </c>
      <c r="H121" s="248">
        <f t="shared" si="42"/>
        <v>40</v>
      </c>
      <c r="I121" s="135"/>
      <c r="J121" s="18" t="s">
        <v>292</v>
      </c>
      <c r="K121" s="4">
        <f t="shared" si="49"/>
        <v>4</v>
      </c>
      <c r="L121" s="4">
        <v>4.5</v>
      </c>
      <c r="M121" s="4">
        <f t="shared" si="32"/>
        <v>0.5</v>
      </c>
      <c r="N121" s="5">
        <v>0.4</v>
      </c>
      <c r="O121" s="5">
        <f t="shared" si="48"/>
        <v>0.6</v>
      </c>
      <c r="P121" s="31">
        <f t="shared" si="33"/>
        <v>0.2</v>
      </c>
      <c r="Q121" s="31">
        <f t="shared" si="28"/>
        <v>0.2</v>
      </c>
      <c r="R121" s="31">
        <v>10</v>
      </c>
      <c r="S121" s="31">
        <v>20</v>
      </c>
      <c r="T121" s="31">
        <v>0.2</v>
      </c>
      <c r="U121" s="31">
        <v>0</v>
      </c>
      <c r="V121" s="65">
        <f t="shared" si="43"/>
        <v>0</v>
      </c>
      <c r="W121" s="31">
        <v>10</v>
      </c>
      <c r="X121" s="31"/>
      <c r="Y121" s="31">
        <f t="shared" si="44"/>
        <v>10</v>
      </c>
      <c r="Z121" s="31">
        <f t="shared" si="47"/>
        <v>20</v>
      </c>
      <c r="AA121" s="18">
        <v>0</v>
      </c>
      <c r="AB121" s="18" t="s">
        <v>330</v>
      </c>
      <c r="AC121" s="18" t="s">
        <v>333</v>
      </c>
      <c r="AD121" s="18" t="s">
        <v>336</v>
      </c>
      <c r="AE121" s="18">
        <v>20</v>
      </c>
      <c r="AF121" s="18">
        <v>10</v>
      </c>
      <c r="AG121" s="18" t="s">
        <v>228</v>
      </c>
      <c r="AH121" s="18" t="s">
        <v>34</v>
      </c>
      <c r="AI121" s="18">
        <f>+VLOOKUP(AH121,Leyenda!$O$4:$U$10,6,FALSE)</f>
        <v>0</v>
      </c>
      <c r="AJ121" s="18" t="str">
        <f>+VLOOKUP(AH121,Leyenda!$O$4:$U$10,7,FALSE)</f>
        <v>No Blasting need</v>
      </c>
      <c r="AK121" s="18">
        <f>+VLOOKUP(AJ121,Leyenda!$U$4:$V$10,2,FALSE)</f>
        <v>2</v>
      </c>
      <c r="AL121" s="18" t="s">
        <v>228</v>
      </c>
      <c r="AM121" s="18" t="str">
        <f t="shared" si="34"/>
        <v>R0</v>
      </c>
      <c r="AN121" s="18" t="s">
        <v>69</v>
      </c>
      <c r="AO121" s="18" t="s">
        <v>81</v>
      </c>
      <c r="AP121" s="18" t="s">
        <v>100</v>
      </c>
      <c r="AQ121" s="18" t="s">
        <v>111</v>
      </c>
      <c r="AR121" s="18" t="s">
        <v>122</v>
      </c>
      <c r="AS121" s="18" t="s">
        <v>198</v>
      </c>
      <c r="AT121" s="18"/>
      <c r="AU121" s="18"/>
      <c r="AV121" s="18">
        <f>+VLOOKUP(AN121,Leyenda!$B$30:$E$34,3,FALSE)</f>
        <v>0</v>
      </c>
      <c r="AW121" s="18">
        <f>+VLOOKUP('2. Logging Brejo Seco'!AO121,Meteorizacion,3,FALSE)</f>
        <v>0</v>
      </c>
      <c r="AX121" s="18">
        <f>+VLOOKUP('2. Logging Brejo Seco'!AP121,Apertura,3,FALSE)</f>
        <v>0</v>
      </c>
      <c r="AY121" s="18">
        <f>+VLOOKUP('2. Logging Brejo Seco'!AQ121,Leyenda!$B$55:$D$59,3,FALSE)</f>
        <v>0</v>
      </c>
      <c r="AZ121" s="18">
        <f>+VLOOKUP('2. Logging Brejo Seco'!AR121,Relleno,3,FALSE)</f>
        <v>0</v>
      </c>
      <c r="BA121" s="18">
        <v>0</v>
      </c>
      <c r="BB121" s="49">
        <f t="shared" si="29"/>
        <v>0</v>
      </c>
      <c r="BC121" s="49">
        <f>VLOOKUP(AM121,Leyenda!$B$4:$D$10,3,FALSE)</f>
        <v>0</v>
      </c>
      <c r="BD121" s="50">
        <f t="shared" si="35"/>
        <v>4</v>
      </c>
      <c r="BE121" s="49">
        <f t="shared" si="36"/>
        <v>0</v>
      </c>
      <c r="BF121" s="49">
        <f>VLOOKUP(AS121,Leyenda!$B$70:$D$75,3,FALSE)</f>
        <v>15</v>
      </c>
      <c r="BG121" s="67">
        <f t="shared" si="30"/>
        <v>0</v>
      </c>
      <c r="BH121" s="67">
        <f>VLOOKUP(AM121,Leyenda!$B$4:$E$10,4,FALSE)</f>
        <v>0</v>
      </c>
      <c r="BI121" s="67">
        <f t="shared" si="37"/>
        <v>5</v>
      </c>
      <c r="BJ121" s="67">
        <f t="shared" si="31"/>
        <v>0</v>
      </c>
      <c r="BK121" s="67">
        <f>+VLOOKUP('2. Logging Brejo Seco'!AP121,Leyenda!$B$47:$E$51,4,FALSE)</f>
        <v>0</v>
      </c>
      <c r="BL121" s="67">
        <f>+VLOOKUP('2. Logging Brejo Seco'!AQ121,Leyenda!$B$55:$E$59,4,FALSE)</f>
        <v>0</v>
      </c>
      <c r="BM121" s="67">
        <f>+VLOOKUP('2. Logging Brejo Seco'!AR121,Leyenda!$B$63:$E$67,3,FALSE)</f>
        <v>0</v>
      </c>
      <c r="BN121" s="67">
        <f>+VLOOKUP('2. Logging Brejo Seco'!AO121,Leyenda!$B$39:$E$43,4,FALSE)</f>
        <v>0</v>
      </c>
      <c r="BO121" s="67">
        <f>+VLOOKUP('2. Logging Brejo Seco'!AN121,Leyenda!$B$30:$E$34,4,FALSE)</f>
        <v>0</v>
      </c>
      <c r="BP121" s="67">
        <f>VLOOKUP(AS121,Leyenda!$B$71:$E$75,4,FALSE)</f>
        <v>10</v>
      </c>
      <c r="BQ121" s="125">
        <f t="shared" si="38"/>
        <v>15</v>
      </c>
      <c r="BR121" s="85">
        <f t="shared" si="39"/>
        <v>19</v>
      </c>
      <c r="BS121" s="240">
        <f t="shared" si="40"/>
        <v>0.6</v>
      </c>
      <c r="BT121" s="18" t="s">
        <v>731</v>
      </c>
    </row>
    <row r="122" spans="1:72" x14ac:dyDescent="0.25">
      <c r="A122" s="18" t="s">
        <v>6</v>
      </c>
      <c r="B122" s="18">
        <v>2024</v>
      </c>
      <c r="C122" s="18" t="s">
        <v>138</v>
      </c>
      <c r="D122" s="18" t="s">
        <v>245</v>
      </c>
      <c r="E122" s="18">
        <v>50</v>
      </c>
      <c r="F122" s="18">
        <v>50</v>
      </c>
      <c r="G122" s="18" t="s">
        <v>154</v>
      </c>
      <c r="H122" s="248">
        <f t="shared" si="42"/>
        <v>50</v>
      </c>
      <c r="I122" s="135"/>
      <c r="J122" s="18" t="s">
        <v>292</v>
      </c>
      <c r="K122" s="4">
        <f t="shared" si="49"/>
        <v>4.5</v>
      </c>
      <c r="L122" s="4">
        <v>5</v>
      </c>
      <c r="M122" s="4">
        <f t="shared" si="32"/>
        <v>0.5</v>
      </c>
      <c r="N122" s="5">
        <v>0.54</v>
      </c>
      <c r="O122" s="5">
        <f t="shared" si="48"/>
        <v>0.45999999999999996</v>
      </c>
      <c r="P122" s="31">
        <f t="shared" si="33"/>
        <v>0.27</v>
      </c>
      <c r="Q122" s="31">
        <f t="shared" si="28"/>
        <v>0.27</v>
      </c>
      <c r="R122" s="31">
        <v>13.5</v>
      </c>
      <c r="S122" s="31">
        <v>20</v>
      </c>
      <c r="T122" s="31">
        <v>0.24</v>
      </c>
      <c r="U122" s="31">
        <v>0</v>
      </c>
      <c r="V122" s="65">
        <f t="shared" si="43"/>
        <v>0</v>
      </c>
      <c r="W122" s="31">
        <v>10</v>
      </c>
      <c r="X122" s="31"/>
      <c r="Y122" s="31">
        <f t="shared" si="44"/>
        <v>10</v>
      </c>
      <c r="Z122" s="31">
        <f t="shared" si="47"/>
        <v>24</v>
      </c>
      <c r="AA122" s="18">
        <v>0</v>
      </c>
      <c r="AB122" s="18" t="s">
        <v>330</v>
      </c>
      <c r="AC122" s="18" t="s">
        <v>333</v>
      </c>
      <c r="AD122" s="18" t="s">
        <v>336</v>
      </c>
      <c r="AE122" s="18">
        <v>20</v>
      </c>
      <c r="AF122" s="18">
        <v>13.5</v>
      </c>
      <c r="AG122" s="18" t="s">
        <v>228</v>
      </c>
      <c r="AH122" s="18" t="s">
        <v>34</v>
      </c>
      <c r="AI122" s="18">
        <f>+VLOOKUP(AH122,Leyenda!$O$4:$U$10,6,FALSE)</f>
        <v>0</v>
      </c>
      <c r="AJ122" s="18" t="str">
        <f>+VLOOKUP(AH122,Leyenda!$O$4:$U$10,7,FALSE)</f>
        <v>No Blasting need</v>
      </c>
      <c r="AK122" s="18">
        <f>+VLOOKUP(AJ122,Leyenda!$U$4:$V$10,2,FALSE)</f>
        <v>2</v>
      </c>
      <c r="AL122" s="18" t="s">
        <v>228</v>
      </c>
      <c r="AM122" s="18" t="str">
        <f t="shared" si="34"/>
        <v>R0</v>
      </c>
      <c r="AN122" s="18" t="s">
        <v>69</v>
      </c>
      <c r="AO122" s="18" t="s">
        <v>81</v>
      </c>
      <c r="AP122" s="18" t="s">
        <v>100</v>
      </c>
      <c r="AQ122" s="18" t="s">
        <v>111</v>
      </c>
      <c r="AR122" s="18" t="s">
        <v>122</v>
      </c>
      <c r="AS122" s="18" t="s">
        <v>198</v>
      </c>
      <c r="AT122" s="18"/>
      <c r="AU122" s="18"/>
      <c r="AV122" s="18">
        <f>+VLOOKUP(AN122,Leyenda!$B$30:$E$34,3,FALSE)</f>
        <v>0</v>
      </c>
      <c r="AW122" s="18">
        <f>+VLOOKUP('2. Logging Brejo Seco'!AO122,Meteorizacion,3,FALSE)</f>
        <v>0</v>
      </c>
      <c r="AX122" s="18">
        <f>+VLOOKUP('2. Logging Brejo Seco'!AP122,Apertura,3,FALSE)</f>
        <v>0</v>
      </c>
      <c r="AY122" s="18">
        <f>+VLOOKUP('2. Logging Brejo Seco'!AQ122,Leyenda!$B$55:$D$59,3,FALSE)</f>
        <v>0</v>
      </c>
      <c r="AZ122" s="18">
        <f>+VLOOKUP('2. Logging Brejo Seco'!AR122,Relleno,3,FALSE)</f>
        <v>0</v>
      </c>
      <c r="BA122" s="18">
        <f t="shared" si="45"/>
        <v>0</v>
      </c>
      <c r="BB122" s="49">
        <f t="shared" si="29"/>
        <v>0</v>
      </c>
      <c r="BC122" s="49">
        <f>VLOOKUP(AM122,Leyenda!$B$4:$D$10,3,FALSE)</f>
        <v>0</v>
      </c>
      <c r="BD122" s="50">
        <f t="shared" si="35"/>
        <v>4</v>
      </c>
      <c r="BE122" s="49">
        <f t="shared" si="36"/>
        <v>0</v>
      </c>
      <c r="BF122" s="49">
        <f>VLOOKUP(AS122,Leyenda!$B$70:$D$75,3,FALSE)</f>
        <v>15</v>
      </c>
      <c r="BG122" s="67">
        <f t="shared" si="30"/>
        <v>0</v>
      </c>
      <c r="BH122" s="67">
        <f>VLOOKUP(AM122,Leyenda!$B$4:$E$10,4,FALSE)</f>
        <v>0</v>
      </c>
      <c r="BI122" s="67">
        <f t="shared" si="37"/>
        <v>5</v>
      </c>
      <c r="BJ122" s="67">
        <f t="shared" si="31"/>
        <v>0</v>
      </c>
      <c r="BK122" s="67">
        <f>+VLOOKUP('2. Logging Brejo Seco'!AP122,Leyenda!$B$47:$E$51,4,FALSE)</f>
        <v>0</v>
      </c>
      <c r="BL122" s="67">
        <f>+VLOOKUP('2. Logging Brejo Seco'!AQ122,Leyenda!$B$55:$E$59,4,FALSE)</f>
        <v>0</v>
      </c>
      <c r="BM122" s="67">
        <f>+VLOOKUP('2. Logging Brejo Seco'!AR122,Leyenda!$B$63:$E$67,3,FALSE)</f>
        <v>0</v>
      </c>
      <c r="BN122" s="67">
        <f>+VLOOKUP('2. Logging Brejo Seco'!AO122,Leyenda!$B$39:$E$43,4,FALSE)</f>
        <v>0</v>
      </c>
      <c r="BO122" s="67">
        <f>+VLOOKUP('2. Logging Brejo Seco'!AN122,Leyenda!$B$30:$E$34,4,FALSE)</f>
        <v>0</v>
      </c>
      <c r="BP122" s="67">
        <f>VLOOKUP(AS122,Leyenda!$B$71:$E$75,4,FALSE)</f>
        <v>10</v>
      </c>
      <c r="BQ122" s="125">
        <f t="shared" si="38"/>
        <v>15</v>
      </c>
      <c r="BR122" s="85">
        <f t="shared" si="39"/>
        <v>19</v>
      </c>
      <c r="BS122" s="240">
        <f t="shared" si="40"/>
        <v>0.45999999999999996</v>
      </c>
      <c r="BT122" s="18" t="s">
        <v>731</v>
      </c>
    </row>
    <row r="123" spans="1:72" x14ac:dyDescent="0.25">
      <c r="A123" s="18" t="s">
        <v>6</v>
      </c>
      <c r="B123" s="18">
        <v>2024</v>
      </c>
      <c r="C123" s="18" t="s">
        <v>138</v>
      </c>
      <c r="D123" s="18" t="s">
        <v>245</v>
      </c>
      <c r="E123" s="18">
        <v>50</v>
      </c>
      <c r="F123" s="18">
        <v>50</v>
      </c>
      <c r="G123" s="18" t="s">
        <v>154</v>
      </c>
      <c r="H123" s="248">
        <f t="shared" si="42"/>
        <v>50</v>
      </c>
      <c r="I123" s="135"/>
      <c r="J123" s="18" t="s">
        <v>292</v>
      </c>
      <c r="K123" s="4">
        <f t="shared" si="49"/>
        <v>5</v>
      </c>
      <c r="L123" s="4">
        <v>5.5</v>
      </c>
      <c r="M123" s="4">
        <f t="shared" si="32"/>
        <v>0.5</v>
      </c>
      <c r="N123" s="5">
        <v>0.32</v>
      </c>
      <c r="O123" s="5">
        <f t="shared" si="48"/>
        <v>0.67999999999999994</v>
      </c>
      <c r="P123" s="31">
        <f t="shared" si="33"/>
        <v>0.16</v>
      </c>
      <c r="Q123" s="31">
        <f t="shared" si="28"/>
        <v>0.16</v>
      </c>
      <c r="R123" s="31">
        <v>8</v>
      </c>
      <c r="S123" s="31">
        <v>20</v>
      </c>
      <c r="T123" s="31">
        <v>0.15</v>
      </c>
      <c r="U123" s="31">
        <v>0</v>
      </c>
      <c r="V123" s="65">
        <f t="shared" si="43"/>
        <v>0</v>
      </c>
      <c r="W123" s="31">
        <v>10</v>
      </c>
      <c r="X123" s="31"/>
      <c r="Y123" s="31">
        <f t="shared" si="44"/>
        <v>10</v>
      </c>
      <c r="Z123" s="31">
        <f t="shared" si="47"/>
        <v>15</v>
      </c>
      <c r="AA123" s="18">
        <v>0</v>
      </c>
      <c r="AB123" s="18" t="s">
        <v>330</v>
      </c>
      <c r="AC123" s="18" t="s">
        <v>333</v>
      </c>
      <c r="AD123" s="18" t="s">
        <v>336</v>
      </c>
      <c r="AE123" s="18">
        <v>20</v>
      </c>
      <c r="AF123" s="18">
        <v>8</v>
      </c>
      <c r="AG123" s="18" t="s">
        <v>228</v>
      </c>
      <c r="AH123" s="18" t="s">
        <v>34</v>
      </c>
      <c r="AI123" s="18">
        <f>+VLOOKUP(AH123,Leyenda!$O$4:$U$10,6,FALSE)</f>
        <v>0</v>
      </c>
      <c r="AJ123" s="18" t="str">
        <f>+VLOOKUP(AH123,Leyenda!$O$4:$U$10,7,FALSE)</f>
        <v>No Blasting need</v>
      </c>
      <c r="AK123" s="18">
        <f>+VLOOKUP(AJ123,Leyenda!$U$4:$V$10,2,FALSE)</f>
        <v>2</v>
      </c>
      <c r="AL123" s="18" t="s">
        <v>228</v>
      </c>
      <c r="AM123" s="18" t="str">
        <f t="shared" si="34"/>
        <v>R0</v>
      </c>
      <c r="AN123" s="18" t="s">
        <v>69</v>
      </c>
      <c r="AO123" s="18" t="s">
        <v>81</v>
      </c>
      <c r="AP123" s="18" t="s">
        <v>100</v>
      </c>
      <c r="AQ123" s="18" t="s">
        <v>111</v>
      </c>
      <c r="AR123" s="18" t="s">
        <v>122</v>
      </c>
      <c r="AS123" s="18" t="s">
        <v>198</v>
      </c>
      <c r="AT123" s="18" t="s">
        <v>229</v>
      </c>
      <c r="AU123" s="18"/>
      <c r="AV123" s="18">
        <f>+VLOOKUP(AN123,Leyenda!$B$30:$E$34,3,FALSE)</f>
        <v>0</v>
      </c>
      <c r="AW123" s="18">
        <f>+VLOOKUP('2. Logging Brejo Seco'!AO123,Meteorizacion,3,FALSE)</f>
        <v>0</v>
      </c>
      <c r="AX123" s="18">
        <f>+VLOOKUP('2. Logging Brejo Seco'!AP123,Apertura,3,FALSE)</f>
        <v>0</v>
      </c>
      <c r="AY123" s="18">
        <f>+VLOOKUP('2. Logging Brejo Seco'!AQ123,Leyenda!$B$55:$D$59,3,FALSE)</f>
        <v>0</v>
      </c>
      <c r="AZ123" s="18">
        <f>+VLOOKUP('2. Logging Brejo Seco'!AR123,Relleno,3,FALSE)</f>
        <v>0</v>
      </c>
      <c r="BA123" s="18">
        <f t="shared" si="45"/>
        <v>0</v>
      </c>
      <c r="BB123" s="49">
        <f t="shared" si="29"/>
        <v>0</v>
      </c>
      <c r="BC123" s="49">
        <f>VLOOKUP(AM123,Leyenda!$B$4:$D$10,3,FALSE)</f>
        <v>0</v>
      </c>
      <c r="BD123" s="50">
        <f t="shared" si="35"/>
        <v>4</v>
      </c>
      <c r="BE123" s="49">
        <f t="shared" si="36"/>
        <v>0</v>
      </c>
      <c r="BF123" s="49">
        <f>VLOOKUP(AS123,Leyenda!$B$70:$D$75,3,FALSE)</f>
        <v>15</v>
      </c>
      <c r="BG123" s="67">
        <f t="shared" si="30"/>
        <v>0</v>
      </c>
      <c r="BH123" s="67">
        <f>VLOOKUP(AM123,Leyenda!$B$4:$E$10,4,FALSE)</f>
        <v>0</v>
      </c>
      <c r="BI123" s="67">
        <f t="shared" si="37"/>
        <v>5</v>
      </c>
      <c r="BJ123" s="67">
        <f t="shared" si="31"/>
        <v>0</v>
      </c>
      <c r="BK123" s="67">
        <f>+VLOOKUP('2. Logging Brejo Seco'!AP123,Leyenda!$B$47:$E$51,4,FALSE)</f>
        <v>0</v>
      </c>
      <c r="BL123" s="67">
        <f>+VLOOKUP('2. Logging Brejo Seco'!AQ123,Leyenda!$B$55:$E$59,4,FALSE)</f>
        <v>0</v>
      </c>
      <c r="BM123" s="67">
        <f>+VLOOKUP('2. Logging Brejo Seco'!AR123,Leyenda!$B$63:$E$67,3,FALSE)</f>
        <v>0</v>
      </c>
      <c r="BN123" s="67">
        <f>+VLOOKUP('2. Logging Brejo Seco'!AO123,Leyenda!$B$39:$E$43,4,FALSE)</f>
        <v>0</v>
      </c>
      <c r="BO123" s="67">
        <f>+VLOOKUP('2. Logging Brejo Seco'!AN123,Leyenda!$B$30:$E$34,4,FALSE)</f>
        <v>0</v>
      </c>
      <c r="BP123" s="67">
        <f>VLOOKUP(AS123,Leyenda!$B$71:$E$75,4,FALSE)</f>
        <v>10</v>
      </c>
      <c r="BQ123" s="125">
        <f t="shared" si="38"/>
        <v>15</v>
      </c>
      <c r="BR123" s="85">
        <f t="shared" si="39"/>
        <v>19</v>
      </c>
      <c r="BS123" s="240">
        <f t="shared" si="40"/>
        <v>0.67999999999999994</v>
      </c>
      <c r="BT123" s="18" t="s">
        <v>731</v>
      </c>
    </row>
    <row r="124" spans="1:72" x14ac:dyDescent="0.25">
      <c r="A124" s="18" t="s">
        <v>6</v>
      </c>
      <c r="B124" s="18">
        <v>2024</v>
      </c>
      <c r="C124" s="18" t="s">
        <v>138</v>
      </c>
      <c r="D124" s="18" t="s">
        <v>245</v>
      </c>
      <c r="E124" s="18">
        <v>50</v>
      </c>
      <c r="F124" s="18">
        <v>40</v>
      </c>
      <c r="G124" s="18" t="s">
        <v>154</v>
      </c>
      <c r="H124" s="248">
        <f t="shared" si="42"/>
        <v>40</v>
      </c>
      <c r="I124" s="135"/>
      <c r="J124" s="18" t="s">
        <v>292</v>
      </c>
      <c r="K124" s="4">
        <f t="shared" si="49"/>
        <v>5.5</v>
      </c>
      <c r="L124" s="4">
        <v>6</v>
      </c>
      <c r="M124" s="4">
        <f t="shared" si="32"/>
        <v>0.5</v>
      </c>
      <c r="N124" s="5">
        <v>0.54</v>
      </c>
      <c r="O124" s="5">
        <f t="shared" si="48"/>
        <v>0.45999999999999996</v>
      </c>
      <c r="P124" s="31">
        <f t="shared" si="33"/>
        <v>0.27</v>
      </c>
      <c r="Q124" s="31">
        <f t="shared" si="28"/>
        <v>0.27</v>
      </c>
      <c r="R124" s="31">
        <v>13.5</v>
      </c>
      <c r="S124" s="31">
        <v>20</v>
      </c>
      <c r="T124" s="31">
        <v>0.19</v>
      </c>
      <c r="U124" s="31">
        <v>0.19</v>
      </c>
      <c r="V124" s="65">
        <f t="shared" si="43"/>
        <v>38</v>
      </c>
      <c r="W124" s="31">
        <v>5</v>
      </c>
      <c r="X124" s="31"/>
      <c r="Y124" s="31">
        <f t="shared" si="44"/>
        <v>5</v>
      </c>
      <c r="Z124" s="31">
        <f t="shared" si="47"/>
        <v>38</v>
      </c>
      <c r="AA124" s="18">
        <v>44</v>
      </c>
      <c r="AB124" s="18" t="s">
        <v>330</v>
      </c>
      <c r="AC124" s="18" t="s">
        <v>333</v>
      </c>
      <c r="AD124" s="18" t="s">
        <v>336</v>
      </c>
      <c r="AE124" s="18">
        <v>20</v>
      </c>
      <c r="AF124" s="18">
        <v>13.5</v>
      </c>
      <c r="AG124" s="18" t="s">
        <v>27</v>
      </c>
      <c r="AH124" s="18" t="s">
        <v>27</v>
      </c>
      <c r="AI124" s="18" t="str">
        <f>+VLOOKUP(AH124,Leyenda!$O$4:$U$10,6,FALSE)</f>
        <v>0,35-0,50</v>
      </c>
      <c r="AJ124" s="18" t="str">
        <f>+VLOOKUP(AH124,Leyenda!$O$4:$U$10,7,FALSE)</f>
        <v>Easy to blast</v>
      </c>
      <c r="AK124" s="18">
        <f>+VLOOKUP(AJ124,Leyenda!$U$4:$V$10,2,FALSE)</f>
        <v>3</v>
      </c>
      <c r="AL124" s="18" t="s">
        <v>22</v>
      </c>
      <c r="AM124" s="18" t="str">
        <f t="shared" si="34"/>
        <v>R3</v>
      </c>
      <c r="AN124" s="18" t="s">
        <v>66</v>
      </c>
      <c r="AO124" s="18" t="s">
        <v>79</v>
      </c>
      <c r="AP124" s="18" t="s">
        <v>92</v>
      </c>
      <c r="AQ124" s="18" t="s">
        <v>111</v>
      </c>
      <c r="AR124" s="18" t="s">
        <v>122</v>
      </c>
      <c r="AS124" s="18" t="s">
        <v>198</v>
      </c>
      <c r="AT124" s="18" t="s">
        <v>229</v>
      </c>
      <c r="AU124" s="18"/>
      <c r="AV124" s="18">
        <f>+VLOOKUP(AN124,Leyenda!$B$30:$E$34,3,FALSE)</f>
        <v>1</v>
      </c>
      <c r="AW124" s="18">
        <f>+VLOOKUP('2. Logging Brejo Seco'!AO124,Meteorizacion,3,FALSE)</f>
        <v>1</v>
      </c>
      <c r="AX124" s="18">
        <f>+VLOOKUP('2. Logging Brejo Seco'!AP124,Apertura,3,FALSE)</f>
        <v>3</v>
      </c>
      <c r="AY124" s="18">
        <f>+VLOOKUP('2. Logging Brejo Seco'!AQ124,Leyenda!$B$55:$D$59,3,FALSE)</f>
        <v>0</v>
      </c>
      <c r="AZ124" s="18">
        <f>+VLOOKUP('2. Logging Brejo Seco'!AR124,Relleno,3,FALSE)</f>
        <v>0</v>
      </c>
      <c r="BA124" s="18">
        <f t="shared" si="45"/>
        <v>5</v>
      </c>
      <c r="BB124" s="49">
        <f t="shared" si="29"/>
        <v>8</v>
      </c>
      <c r="BC124" s="49">
        <f>VLOOKUP(AM124,Leyenda!$B$4:$D$10,3,FALSE)</f>
        <v>4</v>
      </c>
      <c r="BD124" s="50">
        <f t="shared" si="35"/>
        <v>5</v>
      </c>
      <c r="BE124" s="49">
        <f t="shared" si="36"/>
        <v>5</v>
      </c>
      <c r="BF124" s="49">
        <f>VLOOKUP(AS124,Leyenda!$B$70:$D$75,3,FALSE)</f>
        <v>15</v>
      </c>
      <c r="BG124" s="67">
        <f t="shared" si="30"/>
        <v>26.5</v>
      </c>
      <c r="BH124" s="67">
        <f>VLOOKUP(AM124,Leyenda!$B$4:$E$10,4,FALSE)</f>
        <v>4</v>
      </c>
      <c r="BI124" s="125">
        <f t="shared" si="37"/>
        <v>5</v>
      </c>
      <c r="BJ124" s="125">
        <f t="shared" si="31"/>
        <v>8</v>
      </c>
      <c r="BK124" s="125">
        <f>+VLOOKUP('2. Logging Brejo Seco'!AP124,Leyenda!$B$47:$E$51,4,FALSE)</f>
        <v>3</v>
      </c>
      <c r="BL124" s="125">
        <f>+VLOOKUP('2. Logging Brejo Seco'!AQ124,Leyenda!$B$55:$E$59,4,FALSE)</f>
        <v>0</v>
      </c>
      <c r="BM124" s="125">
        <f>+VLOOKUP('2. Logging Brejo Seco'!AR124,Leyenda!$B$63:$E$67,3,FALSE)</f>
        <v>0</v>
      </c>
      <c r="BN124" s="125">
        <f>+VLOOKUP('2. Logging Brejo Seco'!AO124,Leyenda!$B$39:$E$43,4,FALSE)</f>
        <v>1</v>
      </c>
      <c r="BO124" s="125">
        <f>+VLOOKUP('2. Logging Brejo Seco'!AN124,Leyenda!$B$30:$E$34,4,FALSE)</f>
        <v>1</v>
      </c>
      <c r="BP124" s="125">
        <f>VLOOKUP(AS124,Leyenda!$B$71:$E$75,4,FALSE)</f>
        <v>10</v>
      </c>
      <c r="BQ124" s="125">
        <f t="shared" si="38"/>
        <v>32</v>
      </c>
      <c r="BR124" s="85">
        <f t="shared" si="39"/>
        <v>37</v>
      </c>
      <c r="BS124" s="240">
        <f t="shared" si="40"/>
        <v>0.45999999999999996</v>
      </c>
      <c r="BT124" s="18" t="s">
        <v>738</v>
      </c>
    </row>
    <row r="125" spans="1:72" x14ac:dyDescent="0.25">
      <c r="A125" s="18" t="s">
        <v>6</v>
      </c>
      <c r="B125" s="18">
        <v>2024</v>
      </c>
      <c r="C125" s="18" t="s">
        <v>138</v>
      </c>
      <c r="D125" s="18" t="s">
        <v>245</v>
      </c>
      <c r="E125" s="18">
        <v>50</v>
      </c>
      <c r="F125" s="18">
        <v>40</v>
      </c>
      <c r="G125" s="18" t="s">
        <v>154</v>
      </c>
      <c r="H125" s="248">
        <f t="shared" si="42"/>
        <v>40</v>
      </c>
      <c r="I125" s="135"/>
      <c r="J125" s="18" t="s">
        <v>292</v>
      </c>
      <c r="K125" s="4">
        <f t="shared" si="49"/>
        <v>6</v>
      </c>
      <c r="L125" s="4">
        <v>6.5</v>
      </c>
      <c r="M125" s="4">
        <f t="shared" si="32"/>
        <v>0.5</v>
      </c>
      <c r="N125" s="5">
        <v>0.52</v>
      </c>
      <c r="O125" s="5">
        <f t="shared" si="48"/>
        <v>0.48</v>
      </c>
      <c r="P125" s="31">
        <f t="shared" si="33"/>
        <v>0.26</v>
      </c>
      <c r="Q125" s="31">
        <f t="shared" si="28"/>
        <v>0.26</v>
      </c>
      <c r="R125" s="31">
        <v>13</v>
      </c>
      <c r="S125" s="31">
        <v>20</v>
      </c>
      <c r="T125" s="31">
        <v>0.2</v>
      </c>
      <c r="U125" s="31">
        <v>0</v>
      </c>
      <c r="V125" s="65">
        <f t="shared" si="43"/>
        <v>0</v>
      </c>
      <c r="W125" s="31">
        <v>10</v>
      </c>
      <c r="X125" s="31"/>
      <c r="Y125" s="31">
        <f t="shared" si="44"/>
        <v>10</v>
      </c>
      <c r="Z125" s="31">
        <f t="shared" si="47"/>
        <v>20</v>
      </c>
      <c r="AA125" s="18">
        <v>0</v>
      </c>
      <c r="AB125" s="18" t="s">
        <v>330</v>
      </c>
      <c r="AC125" s="18" t="s">
        <v>333</v>
      </c>
      <c r="AD125" s="18" t="s">
        <v>336</v>
      </c>
      <c r="AE125" s="18">
        <v>20</v>
      </c>
      <c r="AF125" s="18">
        <v>13</v>
      </c>
      <c r="AG125" s="18" t="s">
        <v>27</v>
      </c>
      <c r="AH125" s="18" t="s">
        <v>27</v>
      </c>
      <c r="AI125" s="18" t="str">
        <f>+VLOOKUP(AH125,Leyenda!$O$4:$U$10,6,FALSE)</f>
        <v>0,35-0,50</v>
      </c>
      <c r="AJ125" s="18" t="str">
        <f>+VLOOKUP(AH125,Leyenda!$O$4:$U$10,7,FALSE)</f>
        <v>Easy to blast</v>
      </c>
      <c r="AK125" s="18">
        <f>+VLOOKUP(AJ125,Leyenda!$U$4:$V$10,2,FALSE)</f>
        <v>3</v>
      </c>
      <c r="AL125" s="18" t="s">
        <v>22</v>
      </c>
      <c r="AM125" s="18" t="str">
        <f t="shared" si="34"/>
        <v>R3</v>
      </c>
      <c r="AN125" s="18" t="s">
        <v>69</v>
      </c>
      <c r="AO125" s="18" t="s">
        <v>79</v>
      </c>
      <c r="AP125" s="18" t="s">
        <v>96</v>
      </c>
      <c r="AQ125" s="18" t="s">
        <v>109</v>
      </c>
      <c r="AR125" s="18" t="s">
        <v>122</v>
      </c>
      <c r="AS125" s="18" t="s">
        <v>198</v>
      </c>
      <c r="AT125" s="18" t="s">
        <v>230</v>
      </c>
      <c r="AU125" s="18"/>
      <c r="AV125" s="18">
        <f>+VLOOKUP(AN125,Leyenda!$B$30:$E$34,3,FALSE)</f>
        <v>0</v>
      </c>
      <c r="AW125" s="18">
        <f>+VLOOKUP('2. Logging Brejo Seco'!AO125,Meteorizacion,3,FALSE)</f>
        <v>1</v>
      </c>
      <c r="AX125" s="18">
        <f>+VLOOKUP('2. Logging Brejo Seco'!AP125,Apertura,3,FALSE)</f>
        <v>1</v>
      </c>
      <c r="AY125" s="18">
        <f>+VLOOKUP('2. Logging Brejo Seco'!AQ125,Leyenda!$B$55:$D$59,3,FALSE)</f>
        <v>1</v>
      </c>
      <c r="AZ125" s="18">
        <f>+VLOOKUP('2. Logging Brejo Seco'!AR125,Relleno,3,FALSE)</f>
        <v>0</v>
      </c>
      <c r="BA125" s="18">
        <f t="shared" si="45"/>
        <v>3</v>
      </c>
      <c r="BB125" s="49">
        <f t="shared" si="29"/>
        <v>0</v>
      </c>
      <c r="BC125" s="49">
        <f>VLOOKUP(AM125,Leyenda!$B$4:$D$10,3,FALSE)</f>
        <v>4</v>
      </c>
      <c r="BD125" s="50">
        <f t="shared" si="35"/>
        <v>4</v>
      </c>
      <c r="BE125" s="49">
        <f t="shared" si="36"/>
        <v>3</v>
      </c>
      <c r="BF125" s="49">
        <f>VLOOKUP(AS125,Leyenda!$B$70:$D$75,3,FALSE)</f>
        <v>15</v>
      </c>
      <c r="BG125" s="67">
        <f t="shared" si="30"/>
        <v>4.5</v>
      </c>
      <c r="BH125" s="67">
        <f>VLOOKUP(AM125,Leyenda!$B$4:$E$10,4,FALSE)</f>
        <v>4</v>
      </c>
      <c r="BI125" s="125">
        <f t="shared" si="37"/>
        <v>5</v>
      </c>
      <c r="BJ125" s="125">
        <f t="shared" si="31"/>
        <v>0</v>
      </c>
      <c r="BK125" s="125">
        <f>+VLOOKUP('2. Logging Brejo Seco'!AP125,Leyenda!$B$47:$E$51,4,FALSE)</f>
        <v>1</v>
      </c>
      <c r="BL125" s="125">
        <f>+VLOOKUP('2. Logging Brejo Seco'!AQ125,Leyenda!$B$55:$E$59,4,FALSE)</f>
        <v>1</v>
      </c>
      <c r="BM125" s="125">
        <f>+VLOOKUP('2. Logging Brejo Seco'!AR125,Leyenda!$B$63:$E$67,3,FALSE)</f>
        <v>0</v>
      </c>
      <c r="BN125" s="125">
        <f>+VLOOKUP('2. Logging Brejo Seco'!AO125,Leyenda!$B$39:$E$43,4,FALSE)</f>
        <v>1</v>
      </c>
      <c r="BO125" s="125">
        <f>+VLOOKUP('2. Logging Brejo Seco'!AN125,Leyenda!$B$30:$E$34,4,FALSE)</f>
        <v>0</v>
      </c>
      <c r="BP125" s="125">
        <f>VLOOKUP(AS125,Leyenda!$B$71:$E$75,4,FALSE)</f>
        <v>10</v>
      </c>
      <c r="BQ125" s="125">
        <f t="shared" si="38"/>
        <v>22</v>
      </c>
      <c r="BR125" s="85">
        <f t="shared" si="39"/>
        <v>26</v>
      </c>
      <c r="BS125" s="240">
        <f t="shared" si="40"/>
        <v>0.48</v>
      </c>
      <c r="BT125" s="18" t="s">
        <v>739</v>
      </c>
    </row>
    <row r="126" spans="1:72" x14ac:dyDescent="0.25">
      <c r="A126" s="18" t="s">
        <v>6</v>
      </c>
      <c r="B126" s="18">
        <v>2024</v>
      </c>
      <c r="C126" s="18" t="s">
        <v>138</v>
      </c>
      <c r="D126" s="18" t="s">
        <v>245</v>
      </c>
      <c r="E126" s="18">
        <v>50</v>
      </c>
      <c r="F126" s="18">
        <v>40</v>
      </c>
      <c r="G126" s="18" t="s">
        <v>154</v>
      </c>
      <c r="H126" s="248">
        <f t="shared" si="42"/>
        <v>40</v>
      </c>
      <c r="I126" s="135"/>
      <c r="J126" s="18" t="s">
        <v>292</v>
      </c>
      <c r="K126" s="4">
        <f t="shared" si="49"/>
        <v>6.5</v>
      </c>
      <c r="L126" s="4">
        <v>7</v>
      </c>
      <c r="M126" s="4">
        <f t="shared" si="32"/>
        <v>0.5</v>
      </c>
      <c r="N126" s="5">
        <v>0.54</v>
      </c>
      <c r="O126" s="5">
        <f t="shared" si="48"/>
        <v>0.45999999999999996</v>
      </c>
      <c r="P126" s="31">
        <f t="shared" si="33"/>
        <v>0.27</v>
      </c>
      <c r="Q126" s="31">
        <f t="shared" si="28"/>
        <v>0.27</v>
      </c>
      <c r="R126" s="31">
        <v>13.5</v>
      </c>
      <c r="S126" s="31">
        <v>20</v>
      </c>
      <c r="T126" s="31">
        <v>0.24</v>
      </c>
      <c r="U126" s="31">
        <v>0</v>
      </c>
      <c r="V126" s="65">
        <f t="shared" si="43"/>
        <v>0</v>
      </c>
      <c r="W126" s="31">
        <v>10</v>
      </c>
      <c r="X126" s="31"/>
      <c r="Y126" s="31">
        <f t="shared" si="44"/>
        <v>10</v>
      </c>
      <c r="Z126" s="31">
        <f t="shared" si="47"/>
        <v>24</v>
      </c>
      <c r="AA126" s="18">
        <v>0</v>
      </c>
      <c r="AB126" s="18" t="s">
        <v>330</v>
      </c>
      <c r="AC126" s="18" t="s">
        <v>333</v>
      </c>
      <c r="AD126" s="18" t="s">
        <v>336</v>
      </c>
      <c r="AE126" s="18">
        <v>20</v>
      </c>
      <c r="AF126" s="18">
        <v>13.5</v>
      </c>
      <c r="AG126" s="18" t="s">
        <v>24</v>
      </c>
      <c r="AH126" s="18" t="s">
        <v>27</v>
      </c>
      <c r="AI126" s="18" t="str">
        <f>+VLOOKUP(AH126,Leyenda!$O$4:$U$10,6,FALSE)</f>
        <v>0,35-0,50</v>
      </c>
      <c r="AJ126" s="18" t="str">
        <f>+VLOOKUP(AH126,Leyenda!$O$4:$U$10,7,FALSE)</f>
        <v>Easy to blast</v>
      </c>
      <c r="AK126" s="18">
        <f>+VLOOKUP(AJ126,Leyenda!$U$4:$V$10,2,FALSE)</f>
        <v>3</v>
      </c>
      <c r="AL126" s="18" t="s">
        <v>22</v>
      </c>
      <c r="AM126" s="18" t="str">
        <f t="shared" si="34"/>
        <v>R3</v>
      </c>
      <c r="AN126" s="18" t="s">
        <v>69</v>
      </c>
      <c r="AO126" s="18" t="s">
        <v>79</v>
      </c>
      <c r="AP126" s="18" t="s">
        <v>96</v>
      </c>
      <c r="AQ126" s="18" t="s">
        <v>109</v>
      </c>
      <c r="AR126" s="18" t="s">
        <v>122</v>
      </c>
      <c r="AS126" s="18" t="s">
        <v>198</v>
      </c>
      <c r="AT126" s="18" t="s">
        <v>230</v>
      </c>
      <c r="AU126" s="18"/>
      <c r="AV126" s="18">
        <f>+VLOOKUP(AN126,Leyenda!$B$30:$E$34,3,FALSE)</f>
        <v>0</v>
      </c>
      <c r="AW126" s="18">
        <f>+VLOOKUP('2. Logging Brejo Seco'!AO126,Meteorizacion,3,FALSE)</f>
        <v>1</v>
      </c>
      <c r="AX126" s="18">
        <f>+VLOOKUP('2. Logging Brejo Seco'!AP126,Apertura,3,FALSE)</f>
        <v>1</v>
      </c>
      <c r="AY126" s="18">
        <f>+VLOOKUP('2. Logging Brejo Seco'!AQ126,Leyenda!$B$55:$D$59,3,FALSE)</f>
        <v>1</v>
      </c>
      <c r="AZ126" s="18">
        <f>+VLOOKUP('2. Logging Brejo Seco'!AR126,Relleno,3,FALSE)</f>
        <v>0</v>
      </c>
      <c r="BA126" s="18">
        <f t="shared" si="45"/>
        <v>3</v>
      </c>
      <c r="BB126" s="49">
        <f t="shared" si="29"/>
        <v>0</v>
      </c>
      <c r="BC126" s="49">
        <f>VLOOKUP(AM126,Leyenda!$B$4:$D$10,3,FALSE)</f>
        <v>4</v>
      </c>
      <c r="BD126" s="50">
        <f t="shared" si="35"/>
        <v>4</v>
      </c>
      <c r="BE126" s="49">
        <f t="shared" si="36"/>
        <v>3</v>
      </c>
      <c r="BF126" s="49">
        <f>VLOOKUP(AS126,Leyenda!$B$70:$D$75,3,FALSE)</f>
        <v>15</v>
      </c>
      <c r="BG126" s="67">
        <f t="shared" si="30"/>
        <v>4.5</v>
      </c>
      <c r="BH126" s="67">
        <f>VLOOKUP(AM126,Leyenda!$B$4:$E$10,4,FALSE)</f>
        <v>4</v>
      </c>
      <c r="BI126" s="125">
        <f t="shared" si="37"/>
        <v>5</v>
      </c>
      <c r="BJ126" s="125">
        <f t="shared" si="31"/>
        <v>0</v>
      </c>
      <c r="BK126" s="125">
        <f>+VLOOKUP('2. Logging Brejo Seco'!AP126,Leyenda!$B$47:$E$51,4,FALSE)</f>
        <v>1</v>
      </c>
      <c r="BL126" s="125">
        <f>+VLOOKUP('2. Logging Brejo Seco'!AQ126,Leyenda!$B$55:$E$59,4,FALSE)</f>
        <v>1</v>
      </c>
      <c r="BM126" s="125">
        <f>+VLOOKUP('2. Logging Brejo Seco'!AR126,Leyenda!$B$63:$E$67,3,FALSE)</f>
        <v>0</v>
      </c>
      <c r="BN126" s="125">
        <f>+VLOOKUP('2. Logging Brejo Seco'!AO126,Leyenda!$B$39:$E$43,4,FALSE)</f>
        <v>1</v>
      </c>
      <c r="BO126" s="125">
        <f>+VLOOKUP('2. Logging Brejo Seco'!AN126,Leyenda!$B$30:$E$34,4,FALSE)</f>
        <v>0</v>
      </c>
      <c r="BP126" s="125">
        <f>VLOOKUP(AS126,Leyenda!$B$71:$E$75,4,FALSE)</f>
        <v>10</v>
      </c>
      <c r="BQ126" s="125">
        <f t="shared" si="38"/>
        <v>22</v>
      </c>
      <c r="BR126" s="85">
        <f t="shared" si="39"/>
        <v>26</v>
      </c>
      <c r="BS126" s="240">
        <f t="shared" si="40"/>
        <v>0.45999999999999996</v>
      </c>
      <c r="BT126" s="18" t="s">
        <v>738</v>
      </c>
    </row>
    <row r="127" spans="1:72" x14ac:dyDescent="0.25">
      <c r="A127" s="18" t="s">
        <v>6</v>
      </c>
      <c r="B127" s="18">
        <v>2024</v>
      </c>
      <c r="C127" s="18" t="s">
        <v>138</v>
      </c>
      <c r="D127" s="18" t="s">
        <v>245</v>
      </c>
      <c r="E127" s="18">
        <v>50</v>
      </c>
      <c r="F127" s="18">
        <v>40</v>
      </c>
      <c r="G127" s="18" t="s">
        <v>154</v>
      </c>
      <c r="H127" s="248">
        <f t="shared" si="42"/>
        <v>40</v>
      </c>
      <c r="I127" s="135"/>
      <c r="J127" s="18" t="s">
        <v>292</v>
      </c>
      <c r="K127" s="4">
        <f t="shared" si="49"/>
        <v>7</v>
      </c>
      <c r="L127" s="4">
        <v>7.5</v>
      </c>
      <c r="M127" s="4">
        <f t="shared" si="32"/>
        <v>0.5</v>
      </c>
      <c r="N127" s="5">
        <v>0.44</v>
      </c>
      <c r="O127" s="5">
        <f t="shared" si="48"/>
        <v>0.56000000000000005</v>
      </c>
      <c r="P127" s="31">
        <f t="shared" si="33"/>
        <v>0.22</v>
      </c>
      <c r="Q127" s="31">
        <f t="shared" si="28"/>
        <v>0.22</v>
      </c>
      <c r="R127" s="31">
        <v>11</v>
      </c>
      <c r="S127" s="31">
        <v>20</v>
      </c>
      <c r="T127" s="31">
        <v>0.17</v>
      </c>
      <c r="U127" s="31">
        <v>0.12</v>
      </c>
      <c r="V127" s="65">
        <f t="shared" si="43"/>
        <v>24</v>
      </c>
      <c r="W127" s="31">
        <v>3</v>
      </c>
      <c r="X127" s="31"/>
      <c r="Y127" s="31">
        <f t="shared" si="44"/>
        <v>3</v>
      </c>
      <c r="Z127" s="31">
        <f t="shared" si="47"/>
        <v>56.666666666666664</v>
      </c>
      <c r="AA127" s="18">
        <v>0</v>
      </c>
      <c r="AB127" s="18" t="s">
        <v>330</v>
      </c>
      <c r="AC127" s="18" t="s">
        <v>333</v>
      </c>
      <c r="AD127" s="18" t="s">
        <v>336</v>
      </c>
      <c r="AE127" s="18">
        <v>20</v>
      </c>
      <c r="AF127" s="18">
        <v>11</v>
      </c>
      <c r="AG127" s="18" t="s">
        <v>24</v>
      </c>
      <c r="AH127" s="18" t="s">
        <v>27</v>
      </c>
      <c r="AI127" s="18" t="str">
        <f>+VLOOKUP(AH127,Leyenda!$O$4:$U$10,6,FALSE)</f>
        <v>0,35-0,50</v>
      </c>
      <c r="AJ127" s="18" t="str">
        <f>+VLOOKUP(AH127,Leyenda!$O$4:$U$10,7,FALSE)</f>
        <v>Easy to blast</v>
      </c>
      <c r="AK127" s="18">
        <f>+VLOOKUP(AJ127,Leyenda!$U$4:$V$10,2,FALSE)</f>
        <v>3</v>
      </c>
      <c r="AL127" s="18" t="s">
        <v>22</v>
      </c>
      <c r="AM127" s="18" t="str">
        <f t="shared" si="34"/>
        <v>R3</v>
      </c>
      <c r="AN127" s="18" t="s">
        <v>69</v>
      </c>
      <c r="AO127" s="18" t="s">
        <v>81</v>
      </c>
      <c r="AP127" s="18" t="s">
        <v>100</v>
      </c>
      <c r="AQ127" s="18" t="s">
        <v>111</v>
      </c>
      <c r="AR127" s="18" t="s">
        <v>122</v>
      </c>
      <c r="AS127" s="18" t="s">
        <v>198</v>
      </c>
      <c r="AT127" s="18" t="s">
        <v>231</v>
      </c>
      <c r="AU127" s="18"/>
      <c r="AV127" s="18">
        <f>+VLOOKUP(AN127,Leyenda!$B$30:$E$34,3,FALSE)</f>
        <v>0</v>
      </c>
      <c r="AW127" s="18">
        <f>+VLOOKUP('2. Logging Brejo Seco'!AO127,Meteorizacion,3,FALSE)</f>
        <v>0</v>
      </c>
      <c r="AX127" s="18">
        <f>+VLOOKUP('2. Logging Brejo Seco'!AP127,Apertura,3,FALSE)</f>
        <v>0</v>
      </c>
      <c r="AY127" s="18">
        <f>+VLOOKUP('2. Logging Brejo Seco'!AQ127,Leyenda!$B$55:$D$59,3,FALSE)</f>
        <v>0</v>
      </c>
      <c r="AZ127" s="18">
        <f>+VLOOKUP('2. Logging Brejo Seco'!AR127,Relleno,3,FALSE)</f>
        <v>0</v>
      </c>
      <c r="BA127" s="18">
        <f t="shared" si="45"/>
        <v>0</v>
      </c>
      <c r="BB127" s="49">
        <f t="shared" si="29"/>
        <v>5</v>
      </c>
      <c r="BC127" s="49">
        <f>VLOOKUP(AM127,Leyenda!$B$4:$D$10,3,FALSE)</f>
        <v>4</v>
      </c>
      <c r="BD127" s="50">
        <f t="shared" si="35"/>
        <v>6</v>
      </c>
      <c r="BE127" s="49">
        <f t="shared" si="36"/>
        <v>0</v>
      </c>
      <c r="BF127" s="49">
        <f>VLOOKUP(AS127,Leyenda!$B$70:$D$75,3,FALSE)</f>
        <v>15</v>
      </c>
      <c r="BG127" s="67">
        <f t="shared" si="30"/>
        <v>12</v>
      </c>
      <c r="BH127" s="67">
        <f>VLOOKUP(AM127,Leyenda!$B$4:$E$10,4,FALSE)</f>
        <v>4</v>
      </c>
      <c r="BI127" s="125">
        <f t="shared" si="37"/>
        <v>5</v>
      </c>
      <c r="BJ127" s="125">
        <f t="shared" si="31"/>
        <v>5</v>
      </c>
      <c r="BK127" s="125">
        <f>+VLOOKUP('2. Logging Brejo Seco'!AP127,Leyenda!$B$47:$E$51,4,FALSE)</f>
        <v>0</v>
      </c>
      <c r="BL127" s="125">
        <f>+VLOOKUP('2. Logging Brejo Seco'!AQ127,Leyenda!$B$55:$E$59,4,FALSE)</f>
        <v>0</v>
      </c>
      <c r="BM127" s="125">
        <f>+VLOOKUP('2. Logging Brejo Seco'!AR127,Leyenda!$B$63:$E$67,3,FALSE)</f>
        <v>0</v>
      </c>
      <c r="BN127" s="125">
        <f>+VLOOKUP('2. Logging Brejo Seco'!AO127,Leyenda!$B$39:$E$43,4,FALSE)</f>
        <v>0</v>
      </c>
      <c r="BO127" s="125">
        <f>+VLOOKUP('2. Logging Brejo Seco'!AN127,Leyenda!$B$30:$E$34,4,FALSE)</f>
        <v>0</v>
      </c>
      <c r="BP127" s="125">
        <f>VLOOKUP(AS127,Leyenda!$B$71:$E$75,4,FALSE)</f>
        <v>10</v>
      </c>
      <c r="BQ127" s="125">
        <f t="shared" si="38"/>
        <v>24</v>
      </c>
      <c r="BR127" s="85">
        <f t="shared" si="39"/>
        <v>30</v>
      </c>
      <c r="BS127" s="240">
        <f t="shared" si="40"/>
        <v>0.56000000000000005</v>
      </c>
      <c r="BT127" s="18" t="s">
        <v>737</v>
      </c>
    </row>
    <row r="128" spans="1:72" x14ac:dyDescent="0.25">
      <c r="A128" s="18" t="s">
        <v>6</v>
      </c>
      <c r="B128" s="18">
        <v>2024</v>
      </c>
      <c r="C128" s="18" t="s">
        <v>138</v>
      </c>
      <c r="D128" s="18" t="s">
        <v>245</v>
      </c>
      <c r="E128" s="18">
        <v>50</v>
      </c>
      <c r="F128" s="18">
        <v>40</v>
      </c>
      <c r="G128" s="18" t="s">
        <v>154</v>
      </c>
      <c r="H128" s="248">
        <f t="shared" si="42"/>
        <v>40</v>
      </c>
      <c r="I128" s="135"/>
      <c r="J128" s="18" t="s">
        <v>292</v>
      </c>
      <c r="K128" s="4">
        <f t="shared" si="49"/>
        <v>7.5</v>
      </c>
      <c r="L128" s="4">
        <v>8</v>
      </c>
      <c r="M128" s="4">
        <f t="shared" si="32"/>
        <v>0.5</v>
      </c>
      <c r="N128" s="5">
        <v>0.6</v>
      </c>
      <c r="O128" s="5">
        <f t="shared" si="48"/>
        <v>0.4</v>
      </c>
      <c r="P128" s="31">
        <f t="shared" si="33"/>
        <v>0.3</v>
      </c>
      <c r="Q128" s="31">
        <f t="shared" si="28"/>
        <v>0.3</v>
      </c>
      <c r="R128" s="31">
        <v>15</v>
      </c>
      <c r="S128" s="31">
        <v>20</v>
      </c>
      <c r="T128" s="31">
        <v>0.21</v>
      </c>
      <c r="U128" s="31">
        <v>0.21</v>
      </c>
      <c r="V128" s="65">
        <f t="shared" si="43"/>
        <v>42</v>
      </c>
      <c r="W128" s="31">
        <v>3</v>
      </c>
      <c r="X128" s="31"/>
      <c r="Y128" s="31">
        <f t="shared" si="44"/>
        <v>3</v>
      </c>
      <c r="Z128" s="31">
        <f t="shared" si="47"/>
        <v>70</v>
      </c>
      <c r="AA128" s="18">
        <v>46</v>
      </c>
      <c r="AB128" s="18" t="s">
        <v>330</v>
      </c>
      <c r="AC128" s="18" t="s">
        <v>333</v>
      </c>
      <c r="AD128" s="18" t="s">
        <v>336</v>
      </c>
      <c r="AE128" s="18">
        <v>20</v>
      </c>
      <c r="AF128" s="18">
        <v>15</v>
      </c>
      <c r="AG128" s="18" t="s">
        <v>24</v>
      </c>
      <c r="AH128" s="18" t="s">
        <v>24</v>
      </c>
      <c r="AI128" s="18" t="str">
        <f>+VLOOKUP(AH128,Leyenda!$O$4:$U$10,6,FALSE)</f>
        <v>0,50-0,80</v>
      </c>
      <c r="AJ128" s="18" t="str">
        <f>+VLOOKUP(AH128,Leyenda!$O$4:$U$10,7,FALSE)</f>
        <v>Fairly easy to blast</v>
      </c>
      <c r="AK128" s="18">
        <f>+VLOOKUP(AJ128,Leyenda!$U$4:$V$10,2,FALSE)</f>
        <v>4</v>
      </c>
      <c r="AL128" s="18" t="s">
        <v>22</v>
      </c>
      <c r="AM128" s="18" t="str">
        <f t="shared" si="34"/>
        <v>R4</v>
      </c>
      <c r="AN128" s="18" t="s">
        <v>69</v>
      </c>
      <c r="AO128" s="18" t="s">
        <v>81</v>
      </c>
      <c r="AP128" s="18" t="s">
        <v>100</v>
      </c>
      <c r="AQ128" s="18" t="s">
        <v>111</v>
      </c>
      <c r="AR128" s="18" t="s">
        <v>122</v>
      </c>
      <c r="AS128" s="18" t="s">
        <v>198</v>
      </c>
      <c r="AT128" s="18" t="s">
        <v>232</v>
      </c>
      <c r="AU128" s="18"/>
      <c r="AV128" s="18">
        <f>+VLOOKUP(AN128,Leyenda!$B$30:$E$34,3,FALSE)</f>
        <v>0</v>
      </c>
      <c r="AW128" s="18">
        <f>+VLOOKUP('2. Logging Brejo Seco'!AO128,Meteorizacion,3,FALSE)</f>
        <v>0</v>
      </c>
      <c r="AX128" s="18">
        <f>+VLOOKUP('2. Logging Brejo Seco'!AP128,Apertura,3,FALSE)</f>
        <v>0</v>
      </c>
      <c r="AY128" s="18">
        <f>+VLOOKUP('2. Logging Brejo Seco'!AQ128,Leyenda!$B$55:$D$59,3,FALSE)</f>
        <v>0</v>
      </c>
      <c r="AZ128" s="18">
        <f>+VLOOKUP('2. Logging Brejo Seco'!AR128,Relleno,3,FALSE)</f>
        <v>0</v>
      </c>
      <c r="BA128" s="18">
        <f t="shared" si="45"/>
        <v>0</v>
      </c>
      <c r="BB128" s="49">
        <f t="shared" si="29"/>
        <v>9</v>
      </c>
      <c r="BC128" s="49">
        <f>VLOOKUP(AM128,Leyenda!$B$4:$D$10,3,FALSE)</f>
        <v>7</v>
      </c>
      <c r="BD128" s="50">
        <f t="shared" si="35"/>
        <v>6</v>
      </c>
      <c r="BE128" s="49">
        <f t="shared" si="36"/>
        <v>0</v>
      </c>
      <c r="BF128" s="49">
        <f>VLOOKUP(AS128,Leyenda!$B$70:$D$75,3,FALSE)</f>
        <v>15</v>
      </c>
      <c r="BG128" s="67">
        <f t="shared" si="30"/>
        <v>21</v>
      </c>
      <c r="BH128" s="67">
        <f>VLOOKUP(AM128,Leyenda!$B$4:$E$10,4,FALSE)</f>
        <v>7</v>
      </c>
      <c r="BI128" s="125">
        <f t="shared" si="37"/>
        <v>6</v>
      </c>
      <c r="BJ128" s="125">
        <f t="shared" si="31"/>
        <v>9</v>
      </c>
      <c r="BK128" s="125">
        <f>+VLOOKUP('2. Logging Brejo Seco'!AP128,Leyenda!$B$47:$E$51,4,FALSE)</f>
        <v>0</v>
      </c>
      <c r="BL128" s="125">
        <f>+VLOOKUP('2. Logging Brejo Seco'!AQ128,Leyenda!$B$55:$E$59,4,FALSE)</f>
        <v>0</v>
      </c>
      <c r="BM128" s="125">
        <f>+VLOOKUP('2. Logging Brejo Seco'!AR128,Leyenda!$B$63:$E$67,3,FALSE)</f>
        <v>0</v>
      </c>
      <c r="BN128" s="125">
        <f>+VLOOKUP('2. Logging Brejo Seco'!AO128,Leyenda!$B$39:$E$43,4,FALSE)</f>
        <v>0</v>
      </c>
      <c r="BO128" s="125">
        <f>+VLOOKUP('2. Logging Brejo Seco'!AN128,Leyenda!$B$30:$E$34,4,FALSE)</f>
        <v>0</v>
      </c>
      <c r="BP128" s="125">
        <f>VLOOKUP(AS128,Leyenda!$B$71:$E$75,4,FALSE)</f>
        <v>10</v>
      </c>
      <c r="BQ128" s="125">
        <f t="shared" si="38"/>
        <v>32</v>
      </c>
      <c r="BR128" s="85">
        <f t="shared" si="39"/>
        <v>37</v>
      </c>
      <c r="BS128" s="240">
        <f t="shared" si="40"/>
        <v>0.4</v>
      </c>
      <c r="BT128" s="18" t="s">
        <v>736</v>
      </c>
    </row>
    <row r="129" spans="1:72" x14ac:dyDescent="0.25">
      <c r="A129" s="18" t="s">
        <v>6</v>
      </c>
      <c r="B129" s="18">
        <v>2024</v>
      </c>
      <c r="C129" s="18" t="s">
        <v>138</v>
      </c>
      <c r="D129" s="18" t="s">
        <v>245</v>
      </c>
      <c r="E129" s="18">
        <v>50</v>
      </c>
      <c r="F129" s="18">
        <v>40</v>
      </c>
      <c r="G129" s="18" t="s">
        <v>154</v>
      </c>
      <c r="H129" s="248">
        <f t="shared" si="42"/>
        <v>40</v>
      </c>
      <c r="I129" s="135"/>
      <c r="J129" s="18" t="s">
        <v>292</v>
      </c>
      <c r="K129" s="4">
        <f t="shared" si="49"/>
        <v>8</v>
      </c>
      <c r="L129" s="4">
        <v>8.5</v>
      </c>
      <c r="M129" s="4">
        <f t="shared" si="32"/>
        <v>0.5</v>
      </c>
      <c r="N129" s="5">
        <v>0.48</v>
      </c>
      <c r="O129" s="5">
        <f t="shared" si="48"/>
        <v>0.52</v>
      </c>
      <c r="P129" s="31">
        <f t="shared" si="33"/>
        <v>0.24</v>
      </c>
      <c r="Q129" s="31">
        <f t="shared" si="28"/>
        <v>0.24</v>
      </c>
      <c r="R129" s="31">
        <v>12</v>
      </c>
      <c r="S129" s="31">
        <v>20</v>
      </c>
      <c r="T129" s="31">
        <v>0.23</v>
      </c>
      <c r="U129" s="31">
        <v>0</v>
      </c>
      <c r="V129" s="65">
        <f t="shared" si="43"/>
        <v>0</v>
      </c>
      <c r="W129" s="31">
        <v>3</v>
      </c>
      <c r="X129" s="31"/>
      <c r="Y129" s="31">
        <f t="shared" si="44"/>
        <v>3</v>
      </c>
      <c r="Z129" s="31">
        <f t="shared" si="47"/>
        <v>76.666666666666671</v>
      </c>
      <c r="AA129" s="18">
        <v>0</v>
      </c>
      <c r="AB129" s="18" t="s">
        <v>330</v>
      </c>
      <c r="AC129" s="18" t="s">
        <v>333</v>
      </c>
      <c r="AD129" s="18" t="s">
        <v>336</v>
      </c>
      <c r="AE129" s="18">
        <v>20</v>
      </c>
      <c r="AF129" s="18">
        <v>12</v>
      </c>
      <c r="AG129" s="18" t="s">
        <v>24</v>
      </c>
      <c r="AH129" s="18" t="s">
        <v>27</v>
      </c>
      <c r="AI129" s="18" t="str">
        <f>+VLOOKUP(AH129,Leyenda!$O$4:$U$10,6,FALSE)</f>
        <v>0,35-0,50</v>
      </c>
      <c r="AJ129" s="18" t="str">
        <f>+VLOOKUP(AH129,Leyenda!$O$4:$U$10,7,FALSE)</f>
        <v>Easy to blast</v>
      </c>
      <c r="AK129" s="18">
        <f>+VLOOKUP(AJ129,Leyenda!$U$4:$V$10,2,FALSE)</f>
        <v>3</v>
      </c>
      <c r="AL129" s="18" t="s">
        <v>22</v>
      </c>
      <c r="AM129" s="18" t="str">
        <f t="shared" si="34"/>
        <v>R3</v>
      </c>
      <c r="AN129" s="18" t="s">
        <v>69</v>
      </c>
      <c r="AO129" s="18" t="s">
        <v>81</v>
      </c>
      <c r="AP129" s="18" t="s">
        <v>96</v>
      </c>
      <c r="AQ129" s="18" t="s">
        <v>109</v>
      </c>
      <c r="AR129" s="18" t="s">
        <v>122</v>
      </c>
      <c r="AS129" s="18" t="s">
        <v>198</v>
      </c>
      <c r="AT129" s="18" t="s">
        <v>230</v>
      </c>
      <c r="AU129" s="18"/>
      <c r="AV129" s="18">
        <f>+VLOOKUP(AN129,Leyenda!$B$30:$E$34,3,FALSE)</f>
        <v>0</v>
      </c>
      <c r="AW129" s="18">
        <f>+VLOOKUP('2. Logging Brejo Seco'!AO129,Meteorizacion,3,FALSE)</f>
        <v>0</v>
      </c>
      <c r="AX129" s="18">
        <f>+VLOOKUP('2. Logging Brejo Seco'!AP129,Apertura,3,FALSE)</f>
        <v>1</v>
      </c>
      <c r="AY129" s="18">
        <f>+VLOOKUP('2. Logging Brejo Seco'!AQ129,Leyenda!$B$55:$D$59,3,FALSE)</f>
        <v>1</v>
      </c>
      <c r="AZ129" s="18">
        <f>+VLOOKUP('2. Logging Brejo Seco'!AR129,Relleno,3,FALSE)</f>
        <v>0</v>
      </c>
      <c r="BA129" s="18">
        <f t="shared" si="45"/>
        <v>2</v>
      </c>
      <c r="BB129" s="49">
        <f t="shared" si="29"/>
        <v>0</v>
      </c>
      <c r="BC129" s="49">
        <f>VLOOKUP(AM129,Leyenda!$B$4:$D$10,3,FALSE)</f>
        <v>4</v>
      </c>
      <c r="BD129" s="50">
        <f t="shared" si="35"/>
        <v>7</v>
      </c>
      <c r="BE129" s="49">
        <f t="shared" si="36"/>
        <v>2</v>
      </c>
      <c r="BF129" s="49">
        <f>VLOOKUP(AS129,Leyenda!$B$70:$D$75,3,FALSE)</f>
        <v>15</v>
      </c>
      <c r="BG129" s="67">
        <f t="shared" si="30"/>
        <v>3</v>
      </c>
      <c r="BH129" s="67">
        <f>VLOOKUP(AM129,Leyenda!$B$4:$E$10,4,FALSE)</f>
        <v>4</v>
      </c>
      <c r="BI129" s="125">
        <f t="shared" si="37"/>
        <v>7</v>
      </c>
      <c r="BJ129" s="125">
        <f t="shared" si="31"/>
        <v>0</v>
      </c>
      <c r="BK129" s="125">
        <f>+VLOOKUP('2. Logging Brejo Seco'!AP129,Leyenda!$B$47:$E$51,4,FALSE)</f>
        <v>1</v>
      </c>
      <c r="BL129" s="125">
        <f>+VLOOKUP('2. Logging Brejo Seco'!AQ129,Leyenda!$B$55:$E$59,4,FALSE)</f>
        <v>1</v>
      </c>
      <c r="BM129" s="125">
        <f>+VLOOKUP('2. Logging Brejo Seco'!AR129,Leyenda!$B$63:$E$67,3,FALSE)</f>
        <v>0</v>
      </c>
      <c r="BN129" s="125">
        <f>+VLOOKUP('2. Logging Brejo Seco'!AO129,Leyenda!$B$39:$E$43,4,FALSE)</f>
        <v>0</v>
      </c>
      <c r="BO129" s="125">
        <f>+VLOOKUP('2. Logging Brejo Seco'!AN129,Leyenda!$B$30:$E$34,4,FALSE)</f>
        <v>0</v>
      </c>
      <c r="BP129" s="125">
        <f>VLOOKUP(AS129,Leyenda!$B$71:$E$75,4,FALSE)</f>
        <v>10</v>
      </c>
      <c r="BQ129" s="125">
        <f t="shared" si="38"/>
        <v>23</v>
      </c>
      <c r="BR129" s="85">
        <f t="shared" si="39"/>
        <v>28</v>
      </c>
      <c r="BS129" s="240">
        <f t="shared" si="40"/>
        <v>0.52</v>
      </c>
      <c r="BT129" s="18" t="s">
        <v>735</v>
      </c>
    </row>
    <row r="130" spans="1:72" x14ac:dyDescent="0.25">
      <c r="A130" s="18" t="s">
        <v>6</v>
      </c>
      <c r="B130" s="18">
        <v>2024</v>
      </c>
      <c r="C130" s="18" t="s">
        <v>138</v>
      </c>
      <c r="D130" s="18" t="s">
        <v>245</v>
      </c>
      <c r="E130" s="18">
        <v>50</v>
      </c>
      <c r="F130" s="18">
        <v>40</v>
      </c>
      <c r="G130" s="18" t="s">
        <v>154</v>
      </c>
      <c r="H130" s="248">
        <f t="shared" si="42"/>
        <v>40</v>
      </c>
      <c r="I130" s="135"/>
      <c r="J130" s="18" t="s">
        <v>292</v>
      </c>
      <c r="K130" s="4">
        <f t="shared" si="49"/>
        <v>8.5</v>
      </c>
      <c r="L130" s="4">
        <v>9</v>
      </c>
      <c r="M130" s="4">
        <f t="shared" si="32"/>
        <v>0.5</v>
      </c>
      <c r="N130" s="5">
        <v>0.3</v>
      </c>
      <c r="O130" s="5">
        <f t="shared" si="48"/>
        <v>0.7</v>
      </c>
      <c r="P130" s="31">
        <f t="shared" si="33"/>
        <v>0.15</v>
      </c>
      <c r="Q130" s="31">
        <f t="shared" si="28"/>
        <v>0.15</v>
      </c>
      <c r="R130" s="31">
        <v>7.5</v>
      </c>
      <c r="S130" s="31">
        <v>20</v>
      </c>
      <c r="T130" s="31">
        <v>0.13</v>
      </c>
      <c r="U130" s="31">
        <v>0</v>
      </c>
      <c r="V130" s="65">
        <f t="shared" si="43"/>
        <v>0</v>
      </c>
      <c r="W130" s="31">
        <v>5</v>
      </c>
      <c r="X130" s="31"/>
      <c r="Y130" s="31">
        <f t="shared" si="44"/>
        <v>5</v>
      </c>
      <c r="Z130" s="31">
        <f t="shared" si="47"/>
        <v>26</v>
      </c>
      <c r="AA130" s="18">
        <v>0</v>
      </c>
      <c r="AB130" s="18" t="s">
        <v>330</v>
      </c>
      <c r="AC130" s="18" t="s">
        <v>333</v>
      </c>
      <c r="AD130" s="18" t="s">
        <v>336</v>
      </c>
      <c r="AE130" s="18">
        <v>20</v>
      </c>
      <c r="AF130" s="18">
        <v>7.5</v>
      </c>
      <c r="AG130" s="18" t="s">
        <v>24</v>
      </c>
      <c r="AH130" s="18" t="s">
        <v>27</v>
      </c>
      <c r="AI130" s="18" t="str">
        <f>+VLOOKUP(AH130,Leyenda!$O$4:$U$10,6,FALSE)</f>
        <v>0,35-0,50</v>
      </c>
      <c r="AJ130" s="18" t="str">
        <f>+VLOOKUP(AH130,Leyenda!$O$4:$U$10,7,FALSE)</f>
        <v>Easy to blast</v>
      </c>
      <c r="AK130" s="18">
        <f>+VLOOKUP(AJ130,Leyenda!$U$4:$V$10,2,FALSE)</f>
        <v>3</v>
      </c>
      <c r="AL130" s="18" t="s">
        <v>22</v>
      </c>
      <c r="AM130" s="18" t="str">
        <f t="shared" si="34"/>
        <v>R3</v>
      </c>
      <c r="AN130" s="18" t="s">
        <v>69</v>
      </c>
      <c r="AO130" s="18" t="s">
        <v>81</v>
      </c>
      <c r="AP130" s="18" t="s">
        <v>100</v>
      </c>
      <c r="AQ130" s="18" t="s">
        <v>111</v>
      </c>
      <c r="AR130" s="18" t="s">
        <v>122</v>
      </c>
      <c r="AS130" s="18" t="s">
        <v>198</v>
      </c>
      <c r="AT130" s="18" t="s">
        <v>230</v>
      </c>
      <c r="AU130" s="18"/>
      <c r="AV130" s="18">
        <f>+VLOOKUP(AN130,Leyenda!$B$30:$E$34,3,FALSE)</f>
        <v>0</v>
      </c>
      <c r="AW130" s="18">
        <f>+VLOOKUP('2. Logging Brejo Seco'!AO130,Meteorizacion,3,FALSE)</f>
        <v>0</v>
      </c>
      <c r="AX130" s="18">
        <f>+VLOOKUP('2. Logging Brejo Seco'!AP130,Apertura,3,FALSE)</f>
        <v>0</v>
      </c>
      <c r="AY130" s="18">
        <f>+VLOOKUP('2. Logging Brejo Seco'!AQ130,Leyenda!$B$55:$D$59,3,FALSE)</f>
        <v>0</v>
      </c>
      <c r="AZ130" s="18">
        <f>+VLOOKUP('2. Logging Brejo Seco'!AR130,Relleno,3,FALSE)</f>
        <v>0</v>
      </c>
      <c r="BA130" s="18">
        <f t="shared" si="45"/>
        <v>0</v>
      </c>
      <c r="BB130" s="49">
        <f t="shared" si="29"/>
        <v>0</v>
      </c>
      <c r="BC130" s="49">
        <f>VLOOKUP(AM130,Leyenda!$B$4:$D$10,3,FALSE)</f>
        <v>4</v>
      </c>
      <c r="BD130" s="50">
        <f t="shared" si="35"/>
        <v>5</v>
      </c>
      <c r="BE130" s="49">
        <f t="shared" si="36"/>
        <v>0</v>
      </c>
      <c r="BF130" s="49">
        <f>VLOOKUP(AS130,Leyenda!$B$70:$D$75,3,FALSE)</f>
        <v>15</v>
      </c>
      <c r="BG130" s="67">
        <f t="shared" si="30"/>
        <v>0</v>
      </c>
      <c r="BH130" s="67">
        <f>VLOOKUP(AM130,Leyenda!$B$4:$E$10,4,FALSE)</f>
        <v>4</v>
      </c>
      <c r="BI130" s="125">
        <f t="shared" si="37"/>
        <v>5</v>
      </c>
      <c r="BJ130" s="125">
        <f t="shared" si="31"/>
        <v>0</v>
      </c>
      <c r="BK130" s="125">
        <f>+VLOOKUP('2. Logging Brejo Seco'!AP130,Leyenda!$B$47:$E$51,4,FALSE)</f>
        <v>0</v>
      </c>
      <c r="BL130" s="125">
        <f>+VLOOKUP('2. Logging Brejo Seco'!AQ130,Leyenda!$B$55:$E$59,4,FALSE)</f>
        <v>0</v>
      </c>
      <c r="BM130" s="125">
        <f>+VLOOKUP('2. Logging Brejo Seco'!AR130,Leyenda!$B$63:$E$67,3,FALSE)</f>
        <v>0</v>
      </c>
      <c r="BN130" s="125">
        <f>+VLOOKUP('2. Logging Brejo Seco'!AO130,Leyenda!$B$39:$E$43,4,FALSE)</f>
        <v>0</v>
      </c>
      <c r="BO130" s="125">
        <f>+VLOOKUP('2. Logging Brejo Seco'!AN130,Leyenda!$B$30:$E$34,4,FALSE)</f>
        <v>0</v>
      </c>
      <c r="BP130" s="125">
        <f>VLOOKUP(AS130,Leyenda!$B$71:$E$75,4,FALSE)</f>
        <v>10</v>
      </c>
      <c r="BQ130" s="125">
        <f t="shared" si="38"/>
        <v>19</v>
      </c>
      <c r="BR130" s="85">
        <f t="shared" si="39"/>
        <v>24</v>
      </c>
      <c r="BS130" s="240">
        <f t="shared" si="40"/>
        <v>0.7</v>
      </c>
      <c r="BT130" s="18" t="s">
        <v>734</v>
      </c>
    </row>
    <row r="131" spans="1:72" x14ac:dyDescent="0.25">
      <c r="A131" s="18" t="s">
        <v>6</v>
      </c>
      <c r="B131" s="18">
        <v>2024</v>
      </c>
      <c r="C131" s="18" t="s">
        <v>138</v>
      </c>
      <c r="D131" s="18" t="s">
        <v>245</v>
      </c>
      <c r="E131" s="18">
        <v>50</v>
      </c>
      <c r="F131" s="18">
        <v>40</v>
      </c>
      <c r="G131" s="18" t="s">
        <v>154</v>
      </c>
      <c r="H131" s="248">
        <f t="shared" si="42"/>
        <v>40</v>
      </c>
      <c r="I131" s="135"/>
      <c r="J131" s="18" t="s">
        <v>292</v>
      </c>
      <c r="K131" s="4">
        <f t="shared" si="49"/>
        <v>9</v>
      </c>
      <c r="L131" s="4">
        <v>9.5</v>
      </c>
      <c r="M131" s="4">
        <f t="shared" si="32"/>
        <v>0.5</v>
      </c>
      <c r="N131" s="5">
        <v>0.42</v>
      </c>
      <c r="O131" s="5">
        <f t="shared" si="48"/>
        <v>0.58000000000000007</v>
      </c>
      <c r="P131" s="31">
        <f t="shared" si="33"/>
        <v>0.21</v>
      </c>
      <c r="Q131" s="31">
        <f t="shared" ref="Q131:Q194" si="50">+N131*M131</f>
        <v>0.21</v>
      </c>
      <c r="R131" s="31">
        <v>10.5</v>
      </c>
      <c r="S131" s="31">
        <v>20</v>
      </c>
      <c r="T131" s="31">
        <v>0.2</v>
      </c>
      <c r="U131" s="31">
        <v>0</v>
      </c>
      <c r="V131" s="65">
        <f t="shared" si="43"/>
        <v>0</v>
      </c>
      <c r="W131" s="31">
        <v>5</v>
      </c>
      <c r="X131" s="31"/>
      <c r="Y131" s="31">
        <f t="shared" si="44"/>
        <v>5</v>
      </c>
      <c r="Z131" s="31">
        <f t="shared" si="47"/>
        <v>40</v>
      </c>
      <c r="AA131" s="18">
        <v>0</v>
      </c>
      <c r="AB131" s="18" t="s">
        <v>330</v>
      </c>
      <c r="AC131" s="18" t="s">
        <v>333</v>
      </c>
      <c r="AD131" s="18" t="s">
        <v>336</v>
      </c>
      <c r="AE131" s="18">
        <v>20</v>
      </c>
      <c r="AF131" s="18">
        <v>10.5</v>
      </c>
      <c r="AG131" s="18" t="s">
        <v>24</v>
      </c>
      <c r="AH131" s="18" t="s">
        <v>29</v>
      </c>
      <c r="AI131" s="18" t="str">
        <f>+VLOOKUP(AH131,Leyenda!$O$4:$U$10,6,FALSE)</f>
        <v>0,25-0,35</v>
      </c>
      <c r="AJ131" s="18" t="str">
        <f>+VLOOKUP(AH131,Leyenda!$O$4:$U$10,7,FALSE)</f>
        <v>No Blasting need</v>
      </c>
      <c r="AK131" s="18">
        <f>+VLOOKUP(AJ131,Leyenda!$U$4:$V$10,2,FALSE)</f>
        <v>2</v>
      </c>
      <c r="AL131" s="18" t="s">
        <v>22</v>
      </c>
      <c r="AM131" s="18" t="str">
        <f t="shared" si="34"/>
        <v>R2</v>
      </c>
      <c r="AN131" s="18" t="s">
        <v>64</v>
      </c>
      <c r="AO131" s="18" t="s">
        <v>79</v>
      </c>
      <c r="AP131" s="18" t="s">
        <v>92</v>
      </c>
      <c r="AQ131" s="18" t="s">
        <v>107</v>
      </c>
      <c r="AR131" s="18" t="s">
        <v>120</v>
      </c>
      <c r="AS131" s="18" t="s">
        <v>198</v>
      </c>
      <c r="AT131" s="18" t="s">
        <v>233</v>
      </c>
      <c r="AU131" s="18"/>
      <c r="AV131" s="18">
        <f>+VLOOKUP(AN131,Leyenda!$B$30:$E$34,3,FALSE)</f>
        <v>2</v>
      </c>
      <c r="AW131" s="18">
        <f>+VLOOKUP('2. Logging Brejo Seco'!AO131,Meteorizacion,3,FALSE)</f>
        <v>1</v>
      </c>
      <c r="AX131" s="18">
        <f>+VLOOKUP('2. Logging Brejo Seco'!AP131,Apertura,3,FALSE)</f>
        <v>3</v>
      </c>
      <c r="AY131" s="18">
        <f>+VLOOKUP('2. Logging Brejo Seco'!AQ131,Leyenda!$B$55:$D$59,3,FALSE)</f>
        <v>3</v>
      </c>
      <c r="AZ131" s="18">
        <f>+VLOOKUP('2. Logging Brejo Seco'!AR131,Relleno,3,FALSE)</f>
        <v>2</v>
      </c>
      <c r="BA131" s="18">
        <f t="shared" si="45"/>
        <v>11</v>
      </c>
      <c r="BB131" s="49">
        <f t="shared" ref="BB131:BB194" si="51">ROUND(-0.0002*POWER(V131,2)+0.2197*V131,0)</f>
        <v>0</v>
      </c>
      <c r="BC131" s="49">
        <f>VLOOKUP(AM131,Leyenda!$B$4:$D$10,3,FALSE)</f>
        <v>2</v>
      </c>
      <c r="BD131" s="50">
        <f t="shared" si="35"/>
        <v>5</v>
      </c>
      <c r="BE131" s="49">
        <f t="shared" si="36"/>
        <v>11</v>
      </c>
      <c r="BF131" s="49">
        <f>VLOOKUP(AS131,Leyenda!$B$70:$D$75,3,FALSE)</f>
        <v>15</v>
      </c>
      <c r="BG131" s="67">
        <f t="shared" ref="BG131:BG194" si="52">1.5*BA131+(V131*0.5)</f>
        <v>16.5</v>
      </c>
      <c r="BH131" s="67">
        <f>VLOOKUP(AM131,Leyenda!$B$4:$E$10,4,FALSE)</f>
        <v>2</v>
      </c>
      <c r="BI131" s="125">
        <f t="shared" si="37"/>
        <v>5</v>
      </c>
      <c r="BJ131" s="125">
        <f t="shared" ref="BJ131:BJ194" si="53">ROUND(-0.0002*POWER(V131,2)+0.2197*V131,0)</f>
        <v>0</v>
      </c>
      <c r="BK131" s="125">
        <f>+VLOOKUP('2. Logging Brejo Seco'!AP131,Leyenda!$B$47:$E$51,4,FALSE)</f>
        <v>3</v>
      </c>
      <c r="BL131" s="125">
        <f>+VLOOKUP('2. Logging Brejo Seco'!AQ131,Leyenda!$B$55:$E$59,4,FALSE)</f>
        <v>3</v>
      </c>
      <c r="BM131" s="125">
        <f>+VLOOKUP('2. Logging Brejo Seco'!AR131,Leyenda!$B$63:$E$67,3,FALSE)</f>
        <v>2</v>
      </c>
      <c r="BN131" s="125">
        <f>+VLOOKUP('2. Logging Brejo Seco'!AO131,Leyenda!$B$39:$E$43,4,FALSE)</f>
        <v>1</v>
      </c>
      <c r="BO131" s="125">
        <f>+VLOOKUP('2. Logging Brejo Seco'!AN131,Leyenda!$B$30:$E$34,4,FALSE)</f>
        <v>3</v>
      </c>
      <c r="BP131" s="125">
        <f>VLOOKUP(AS131,Leyenda!$B$71:$E$75,4,FALSE)</f>
        <v>10</v>
      </c>
      <c r="BQ131" s="125">
        <f t="shared" si="38"/>
        <v>29</v>
      </c>
      <c r="BR131" s="85">
        <f t="shared" si="39"/>
        <v>33</v>
      </c>
      <c r="BS131" s="240">
        <f t="shared" si="40"/>
        <v>0.58000000000000007</v>
      </c>
      <c r="BT131" s="18" t="s">
        <v>734</v>
      </c>
    </row>
    <row r="132" spans="1:72" x14ac:dyDescent="0.25">
      <c r="A132" s="18" t="s">
        <v>6</v>
      </c>
      <c r="B132" s="18">
        <v>2024</v>
      </c>
      <c r="C132" s="18" t="s">
        <v>138</v>
      </c>
      <c r="D132" s="18" t="s">
        <v>245</v>
      </c>
      <c r="E132" s="18">
        <v>50</v>
      </c>
      <c r="F132" s="18">
        <v>40</v>
      </c>
      <c r="G132" s="18" t="s">
        <v>154</v>
      </c>
      <c r="H132" s="248">
        <f t="shared" si="42"/>
        <v>40</v>
      </c>
      <c r="I132" s="135"/>
      <c r="J132" s="18" t="s">
        <v>292</v>
      </c>
      <c r="K132" s="4">
        <f t="shared" si="49"/>
        <v>9.5</v>
      </c>
      <c r="L132" s="4">
        <v>10</v>
      </c>
      <c r="M132" s="4">
        <f t="shared" ref="M132:M195" si="54">+L132-K132</f>
        <v>0.5</v>
      </c>
      <c r="N132" s="5">
        <v>0.34</v>
      </c>
      <c r="O132" s="5">
        <f t="shared" si="48"/>
        <v>0.65999999999999992</v>
      </c>
      <c r="P132" s="31">
        <f t="shared" ref="P132:P195" si="55">+M132*N132</f>
        <v>0.17</v>
      </c>
      <c r="Q132" s="31">
        <f t="shared" si="50"/>
        <v>0.17</v>
      </c>
      <c r="R132" s="31">
        <v>8.5</v>
      </c>
      <c r="S132" s="31">
        <v>20</v>
      </c>
      <c r="T132" s="31">
        <v>0.15</v>
      </c>
      <c r="U132" s="31">
        <v>0</v>
      </c>
      <c r="V132" s="65">
        <f t="shared" si="43"/>
        <v>0</v>
      </c>
      <c r="W132" s="31">
        <v>3</v>
      </c>
      <c r="X132" s="31"/>
      <c r="Y132" s="31">
        <f t="shared" si="44"/>
        <v>3</v>
      </c>
      <c r="Z132" s="31">
        <f t="shared" si="47"/>
        <v>50</v>
      </c>
      <c r="AA132" s="18">
        <v>0</v>
      </c>
      <c r="AB132" s="18" t="s">
        <v>330</v>
      </c>
      <c r="AC132" s="18" t="s">
        <v>333</v>
      </c>
      <c r="AD132" s="18" t="s">
        <v>336</v>
      </c>
      <c r="AE132" s="18">
        <v>20</v>
      </c>
      <c r="AF132" s="18">
        <v>8.5</v>
      </c>
      <c r="AG132" s="18" t="s">
        <v>27</v>
      </c>
      <c r="AH132" s="18" t="s">
        <v>29</v>
      </c>
      <c r="AI132" s="18" t="str">
        <f>+VLOOKUP(AH132,Leyenda!$O$4:$U$10,6,FALSE)</f>
        <v>0,25-0,35</v>
      </c>
      <c r="AJ132" s="18" t="str">
        <f>+VLOOKUP(AH132,Leyenda!$O$4:$U$10,7,FALSE)</f>
        <v>No Blasting need</v>
      </c>
      <c r="AK132" s="18">
        <f>+VLOOKUP(AJ132,Leyenda!$U$4:$V$10,2,FALSE)</f>
        <v>2</v>
      </c>
      <c r="AL132" s="18" t="s">
        <v>22</v>
      </c>
      <c r="AM132" s="18" t="str">
        <f t="shared" ref="AM132:AM195" si="56">+AH132</f>
        <v>R2</v>
      </c>
      <c r="AN132" s="18" t="s">
        <v>66</v>
      </c>
      <c r="AO132" s="18" t="s">
        <v>79</v>
      </c>
      <c r="AP132" s="18" t="s">
        <v>96</v>
      </c>
      <c r="AQ132" s="18" t="s">
        <v>109</v>
      </c>
      <c r="AR132" s="18" t="s">
        <v>120</v>
      </c>
      <c r="AS132" s="18" t="s">
        <v>198</v>
      </c>
      <c r="AT132" s="18" t="s">
        <v>230</v>
      </c>
      <c r="AU132" s="18"/>
      <c r="AV132" s="18">
        <f>+VLOOKUP(AN132,Leyenda!$B$30:$E$34,3,FALSE)</f>
        <v>1</v>
      </c>
      <c r="AW132" s="18">
        <f>+VLOOKUP('2. Logging Brejo Seco'!AO132,Meteorizacion,3,FALSE)</f>
        <v>1</v>
      </c>
      <c r="AX132" s="18">
        <f>+VLOOKUP('2. Logging Brejo Seco'!AP132,Apertura,3,FALSE)</f>
        <v>1</v>
      </c>
      <c r="AY132" s="18">
        <f>+VLOOKUP('2. Logging Brejo Seco'!AQ132,Leyenda!$B$55:$D$59,3,FALSE)</f>
        <v>1</v>
      </c>
      <c r="AZ132" s="18">
        <f>+VLOOKUP('2. Logging Brejo Seco'!AR132,Relleno,3,FALSE)</f>
        <v>2</v>
      </c>
      <c r="BA132" s="18">
        <f t="shared" si="45"/>
        <v>6</v>
      </c>
      <c r="BB132" s="49">
        <f t="shared" si="51"/>
        <v>0</v>
      </c>
      <c r="BC132" s="49">
        <f>VLOOKUP(AM132,Leyenda!$B$4:$D$10,3,FALSE)</f>
        <v>2</v>
      </c>
      <c r="BD132" s="50">
        <f t="shared" ref="BD132:BD195" si="57">IF(Z132="",ROUND((IF(Z132&lt;=400,1.5478*POWER(Z132,0.3351),-2*POWER(10,-6)*POWER(Z132,2)+0.0091*Z132+8.1704)),0),ROUND((IF(Z132&lt;=400,1.5478*POWER(Z132,0.3351),-2*POWER(10,-6)*POWER(Z132,2)+0.0091*Z132+8.1704)),0))</f>
        <v>6</v>
      </c>
      <c r="BE132" s="49">
        <f t="shared" ref="BE132:BE195" si="58">+BA132</f>
        <v>6</v>
      </c>
      <c r="BF132" s="49">
        <f>VLOOKUP(AS132,Leyenda!$B$70:$D$75,3,FALSE)</f>
        <v>15</v>
      </c>
      <c r="BG132" s="67">
        <f t="shared" si="52"/>
        <v>9</v>
      </c>
      <c r="BH132" s="67">
        <f>VLOOKUP(AM132,Leyenda!$B$4:$E$10,4,FALSE)</f>
        <v>2</v>
      </c>
      <c r="BI132" s="125">
        <f t="shared" ref="BI132:BI195" si="59">IF(Z132="",ROUND(IF(Z132&lt;=50,5,IF(Z132&gt;=3000,30,6.038*LN(Z132)-19.63)),0),ROUND(IF(Z132&lt;=50,5,IF(Z132&gt;=3000,30,6.038*LN(Z132)-19.63)),0))</f>
        <v>5</v>
      </c>
      <c r="BJ132" s="125">
        <f t="shared" si="53"/>
        <v>0</v>
      </c>
      <c r="BK132" s="125">
        <f>+VLOOKUP('2. Logging Brejo Seco'!AP132,Leyenda!$B$47:$E$51,4,FALSE)</f>
        <v>1</v>
      </c>
      <c r="BL132" s="125">
        <f>+VLOOKUP('2. Logging Brejo Seco'!AQ132,Leyenda!$B$55:$E$59,4,FALSE)</f>
        <v>1</v>
      </c>
      <c r="BM132" s="125">
        <f>+VLOOKUP('2. Logging Brejo Seco'!AR132,Leyenda!$B$63:$E$67,3,FALSE)</f>
        <v>2</v>
      </c>
      <c r="BN132" s="125">
        <f>+VLOOKUP('2. Logging Brejo Seco'!AO132,Leyenda!$B$39:$E$43,4,FALSE)</f>
        <v>1</v>
      </c>
      <c r="BO132" s="125">
        <f>+VLOOKUP('2. Logging Brejo Seco'!AN132,Leyenda!$B$30:$E$34,4,FALSE)</f>
        <v>1</v>
      </c>
      <c r="BP132" s="125">
        <f>VLOOKUP(AS132,Leyenda!$B$71:$E$75,4,FALSE)</f>
        <v>10</v>
      </c>
      <c r="BQ132" s="125">
        <f t="shared" ref="BQ132:BQ195" si="60">+BH132+BI132+BJ132+BK132+BL132+BM132+BN132+BO132+BP132</f>
        <v>23</v>
      </c>
      <c r="BR132" s="85">
        <f t="shared" ref="BR132:BR195" si="61">+BC132+BD132+BB132+BE132+BF132</f>
        <v>29</v>
      </c>
      <c r="BS132" s="240">
        <f t="shared" ref="BS132:BS195" si="62">1-N132</f>
        <v>0.65999999999999992</v>
      </c>
      <c r="BT132" s="18" t="s">
        <v>733</v>
      </c>
    </row>
    <row r="133" spans="1:72" x14ac:dyDescent="0.25">
      <c r="A133" s="18" t="s">
        <v>6</v>
      </c>
      <c r="B133" s="18">
        <v>2024</v>
      </c>
      <c r="C133" s="18" t="s">
        <v>138</v>
      </c>
      <c r="D133" s="18" t="s">
        <v>245</v>
      </c>
      <c r="E133" s="18">
        <v>50</v>
      </c>
      <c r="F133" s="18">
        <v>40</v>
      </c>
      <c r="G133" s="18" t="s">
        <v>154</v>
      </c>
      <c r="H133" s="248">
        <f t="shared" si="42"/>
        <v>40</v>
      </c>
      <c r="I133" s="135"/>
      <c r="J133" s="18" t="s">
        <v>292</v>
      </c>
      <c r="K133" s="4">
        <f t="shared" si="49"/>
        <v>10</v>
      </c>
      <c r="L133" s="4">
        <v>10.5</v>
      </c>
      <c r="M133" s="4">
        <f t="shared" si="54"/>
        <v>0.5</v>
      </c>
      <c r="N133" s="5">
        <v>0.62</v>
      </c>
      <c r="O133" s="5">
        <f t="shared" si="48"/>
        <v>0.38</v>
      </c>
      <c r="P133" s="31">
        <f t="shared" si="55"/>
        <v>0.31</v>
      </c>
      <c r="Q133" s="31">
        <f t="shared" si="50"/>
        <v>0.31</v>
      </c>
      <c r="R133" s="31">
        <v>15.5</v>
      </c>
      <c r="S133" s="31">
        <v>20</v>
      </c>
      <c r="T133" s="31">
        <v>0.3</v>
      </c>
      <c r="U133" s="31">
        <v>0.12</v>
      </c>
      <c r="V133" s="65">
        <f t="shared" si="43"/>
        <v>24</v>
      </c>
      <c r="W133" s="31">
        <v>5</v>
      </c>
      <c r="X133" s="31"/>
      <c r="Y133" s="31">
        <f t="shared" si="44"/>
        <v>5</v>
      </c>
      <c r="Z133" s="31">
        <f t="shared" si="47"/>
        <v>60</v>
      </c>
      <c r="AA133" s="18">
        <v>38</v>
      </c>
      <c r="AB133" s="18" t="s">
        <v>330</v>
      </c>
      <c r="AC133" s="18" t="s">
        <v>333</v>
      </c>
      <c r="AD133" s="18" t="s">
        <v>336</v>
      </c>
      <c r="AE133" s="18">
        <v>20</v>
      </c>
      <c r="AF133" s="18">
        <v>15.5</v>
      </c>
      <c r="AG133" s="18" t="s">
        <v>27</v>
      </c>
      <c r="AH133" s="18" t="s">
        <v>27</v>
      </c>
      <c r="AI133" s="18" t="str">
        <f>+VLOOKUP(AH133,Leyenda!$O$4:$U$10,6,FALSE)</f>
        <v>0,35-0,50</v>
      </c>
      <c r="AJ133" s="18" t="str">
        <f>+VLOOKUP(AH133,Leyenda!$O$4:$U$10,7,FALSE)</f>
        <v>Easy to blast</v>
      </c>
      <c r="AK133" s="18">
        <f>+VLOOKUP(AJ133,Leyenda!$U$4:$V$10,2,FALSE)</f>
        <v>3</v>
      </c>
      <c r="AL133" s="18" t="s">
        <v>22</v>
      </c>
      <c r="AM133" s="18" t="str">
        <f t="shared" si="56"/>
        <v>R3</v>
      </c>
      <c r="AN133" s="18" t="s">
        <v>64</v>
      </c>
      <c r="AO133" s="18" t="s">
        <v>79</v>
      </c>
      <c r="AP133" s="18" t="s">
        <v>96</v>
      </c>
      <c r="AQ133" s="18" t="s">
        <v>107</v>
      </c>
      <c r="AR133" s="18" t="s">
        <v>116</v>
      </c>
      <c r="AS133" s="18" t="s">
        <v>198</v>
      </c>
      <c r="AT133" s="18" t="s">
        <v>234</v>
      </c>
      <c r="AU133" s="18"/>
      <c r="AV133" s="18">
        <f>+VLOOKUP(AN133,Leyenda!$B$30:$E$34,3,FALSE)</f>
        <v>2</v>
      </c>
      <c r="AW133" s="18">
        <f>+VLOOKUP('2. Logging Brejo Seco'!AO133,Meteorizacion,3,FALSE)</f>
        <v>1</v>
      </c>
      <c r="AX133" s="18">
        <f>+VLOOKUP('2. Logging Brejo Seco'!AP133,Apertura,3,FALSE)</f>
        <v>1</v>
      </c>
      <c r="AY133" s="18">
        <f>+VLOOKUP('2. Logging Brejo Seco'!AQ133,Leyenda!$B$55:$D$59,3,FALSE)</f>
        <v>3</v>
      </c>
      <c r="AZ133" s="18">
        <f>+VLOOKUP('2. Logging Brejo Seco'!AR133,Relleno,3,FALSE)</f>
        <v>4</v>
      </c>
      <c r="BA133" s="18">
        <f t="shared" si="45"/>
        <v>11</v>
      </c>
      <c r="BB133" s="49">
        <f t="shared" si="51"/>
        <v>5</v>
      </c>
      <c r="BC133" s="49">
        <f>VLOOKUP(AM133,Leyenda!$B$4:$D$10,3,FALSE)</f>
        <v>4</v>
      </c>
      <c r="BD133" s="50">
        <f t="shared" si="57"/>
        <v>6</v>
      </c>
      <c r="BE133" s="49">
        <f t="shared" si="58"/>
        <v>11</v>
      </c>
      <c r="BF133" s="49">
        <f>VLOOKUP(AS133,Leyenda!$B$70:$D$75,3,FALSE)</f>
        <v>15</v>
      </c>
      <c r="BG133" s="67">
        <f t="shared" si="52"/>
        <v>28.5</v>
      </c>
      <c r="BH133" s="67">
        <f>VLOOKUP(AM133,Leyenda!$B$4:$E$10,4,FALSE)</f>
        <v>4</v>
      </c>
      <c r="BI133" s="125">
        <f t="shared" si="59"/>
        <v>5</v>
      </c>
      <c r="BJ133" s="125">
        <f t="shared" si="53"/>
        <v>5</v>
      </c>
      <c r="BK133" s="125">
        <f>+VLOOKUP('2. Logging Brejo Seco'!AP133,Leyenda!$B$47:$E$51,4,FALSE)</f>
        <v>1</v>
      </c>
      <c r="BL133" s="125">
        <f>+VLOOKUP('2. Logging Brejo Seco'!AQ133,Leyenda!$B$55:$E$59,4,FALSE)</f>
        <v>3</v>
      </c>
      <c r="BM133" s="125">
        <f>+VLOOKUP('2. Logging Brejo Seco'!AR133,Leyenda!$B$63:$E$67,3,FALSE)</f>
        <v>4</v>
      </c>
      <c r="BN133" s="125">
        <f>+VLOOKUP('2. Logging Brejo Seco'!AO133,Leyenda!$B$39:$E$43,4,FALSE)</f>
        <v>1</v>
      </c>
      <c r="BO133" s="125">
        <f>+VLOOKUP('2. Logging Brejo Seco'!AN133,Leyenda!$B$30:$E$34,4,FALSE)</f>
        <v>3</v>
      </c>
      <c r="BP133" s="125">
        <f>VLOOKUP(AS133,Leyenda!$B$71:$E$75,4,FALSE)</f>
        <v>10</v>
      </c>
      <c r="BQ133" s="125">
        <f t="shared" si="60"/>
        <v>36</v>
      </c>
      <c r="BR133" s="85">
        <f t="shared" si="61"/>
        <v>41</v>
      </c>
      <c r="BS133" s="240">
        <f t="shared" si="62"/>
        <v>0.38</v>
      </c>
      <c r="BT133" s="18" t="s">
        <v>744</v>
      </c>
    </row>
    <row r="134" spans="1:72" x14ac:dyDescent="0.25">
      <c r="A134" s="18" t="s">
        <v>6</v>
      </c>
      <c r="B134" s="18">
        <v>2024</v>
      </c>
      <c r="C134" s="18" t="s">
        <v>138</v>
      </c>
      <c r="D134" s="18" t="s">
        <v>245</v>
      </c>
      <c r="E134" s="18">
        <v>50</v>
      </c>
      <c r="F134" s="18">
        <v>40</v>
      </c>
      <c r="G134" s="18" t="s">
        <v>154</v>
      </c>
      <c r="H134" s="248">
        <f t="shared" si="42"/>
        <v>40</v>
      </c>
      <c r="I134" s="135"/>
      <c r="J134" s="18" t="s">
        <v>292</v>
      </c>
      <c r="K134" s="4">
        <f t="shared" si="49"/>
        <v>10.5</v>
      </c>
      <c r="L134" s="4">
        <v>11</v>
      </c>
      <c r="M134" s="4">
        <f t="shared" si="54"/>
        <v>0.5</v>
      </c>
      <c r="N134" s="5">
        <v>0.57999999999999996</v>
      </c>
      <c r="O134" s="5">
        <f t="shared" si="48"/>
        <v>0.42000000000000004</v>
      </c>
      <c r="P134" s="31">
        <f t="shared" si="55"/>
        <v>0.28999999999999998</v>
      </c>
      <c r="Q134" s="31">
        <f t="shared" si="50"/>
        <v>0.28999999999999998</v>
      </c>
      <c r="R134" s="31">
        <v>14.5</v>
      </c>
      <c r="S134" s="31">
        <v>20</v>
      </c>
      <c r="T134" s="31">
        <v>0.27</v>
      </c>
      <c r="U134" s="31">
        <v>0.27</v>
      </c>
      <c r="V134" s="65">
        <f t="shared" si="43"/>
        <v>54</v>
      </c>
      <c r="W134" s="31">
        <v>2</v>
      </c>
      <c r="X134" s="31"/>
      <c r="Y134" s="31">
        <f t="shared" si="44"/>
        <v>2</v>
      </c>
      <c r="Z134" s="31">
        <f t="shared" si="47"/>
        <v>135</v>
      </c>
      <c r="AA134" s="18">
        <v>56</v>
      </c>
      <c r="AB134" s="18" t="s">
        <v>330</v>
      </c>
      <c r="AC134" s="18" t="s">
        <v>333</v>
      </c>
      <c r="AD134" s="18" t="s">
        <v>336</v>
      </c>
      <c r="AE134" s="18">
        <v>20</v>
      </c>
      <c r="AF134" s="18">
        <v>14.5</v>
      </c>
      <c r="AG134" s="18" t="s">
        <v>24</v>
      </c>
      <c r="AH134" s="18" t="s">
        <v>27</v>
      </c>
      <c r="AI134" s="18" t="str">
        <f>+VLOOKUP(AH134,Leyenda!$O$4:$U$10,6,FALSE)</f>
        <v>0,35-0,50</v>
      </c>
      <c r="AJ134" s="18" t="str">
        <f>+VLOOKUP(AH134,Leyenda!$O$4:$U$10,7,FALSE)</f>
        <v>Easy to blast</v>
      </c>
      <c r="AK134" s="18">
        <f>+VLOOKUP(AJ134,Leyenda!$U$4:$V$10,2,FALSE)</f>
        <v>3</v>
      </c>
      <c r="AL134" s="18" t="s">
        <v>22</v>
      </c>
      <c r="AM134" s="18" t="str">
        <f t="shared" si="56"/>
        <v>R3</v>
      </c>
      <c r="AN134" s="18" t="s">
        <v>64</v>
      </c>
      <c r="AO134" s="18" t="s">
        <v>79</v>
      </c>
      <c r="AP134" s="18" t="s">
        <v>96</v>
      </c>
      <c r="AQ134" s="18" t="s">
        <v>107</v>
      </c>
      <c r="AR134" s="18" t="s">
        <v>116</v>
      </c>
      <c r="AS134" s="18" t="s">
        <v>198</v>
      </c>
      <c r="AT134" s="18" t="s">
        <v>234</v>
      </c>
      <c r="AU134" s="18"/>
      <c r="AV134" s="18">
        <f>+VLOOKUP(AN134,Leyenda!$B$30:$E$34,3,FALSE)</f>
        <v>2</v>
      </c>
      <c r="AW134" s="18">
        <f>+VLOOKUP('2. Logging Brejo Seco'!AO134,Meteorizacion,3,FALSE)</f>
        <v>1</v>
      </c>
      <c r="AX134" s="18">
        <f>+VLOOKUP('2. Logging Brejo Seco'!AP134,Apertura,3,FALSE)</f>
        <v>1</v>
      </c>
      <c r="AY134" s="18">
        <f>+VLOOKUP('2. Logging Brejo Seco'!AQ134,Leyenda!$B$55:$D$59,3,FALSE)</f>
        <v>3</v>
      </c>
      <c r="AZ134" s="18">
        <f>+VLOOKUP('2. Logging Brejo Seco'!AR134,Relleno,3,FALSE)</f>
        <v>4</v>
      </c>
      <c r="BA134" s="18">
        <f t="shared" si="45"/>
        <v>11</v>
      </c>
      <c r="BB134" s="49">
        <f t="shared" si="51"/>
        <v>11</v>
      </c>
      <c r="BC134" s="49">
        <f>VLOOKUP(AM134,Leyenda!$B$4:$D$10,3,FALSE)</f>
        <v>4</v>
      </c>
      <c r="BD134" s="50">
        <f t="shared" si="57"/>
        <v>8</v>
      </c>
      <c r="BE134" s="49">
        <f t="shared" si="58"/>
        <v>11</v>
      </c>
      <c r="BF134" s="49">
        <f>VLOOKUP(AS134,Leyenda!$B$70:$D$75,3,FALSE)</f>
        <v>15</v>
      </c>
      <c r="BG134" s="67">
        <f t="shared" si="52"/>
        <v>43.5</v>
      </c>
      <c r="BH134" s="67">
        <f>VLOOKUP(AM134,Leyenda!$B$4:$E$10,4,FALSE)</f>
        <v>4</v>
      </c>
      <c r="BI134" s="125">
        <f t="shared" si="59"/>
        <v>10</v>
      </c>
      <c r="BJ134" s="125">
        <f t="shared" si="53"/>
        <v>11</v>
      </c>
      <c r="BK134" s="125">
        <f>+VLOOKUP('2. Logging Brejo Seco'!AP134,Leyenda!$B$47:$E$51,4,FALSE)</f>
        <v>1</v>
      </c>
      <c r="BL134" s="125">
        <f>+VLOOKUP('2. Logging Brejo Seco'!AQ134,Leyenda!$B$55:$E$59,4,FALSE)</f>
        <v>3</v>
      </c>
      <c r="BM134" s="125">
        <f>+VLOOKUP('2. Logging Brejo Seco'!AR134,Leyenda!$B$63:$E$67,3,FALSE)</f>
        <v>4</v>
      </c>
      <c r="BN134" s="125">
        <f>+VLOOKUP('2. Logging Brejo Seco'!AO134,Leyenda!$B$39:$E$43,4,FALSE)</f>
        <v>1</v>
      </c>
      <c r="BO134" s="125">
        <f>+VLOOKUP('2. Logging Brejo Seco'!AN134,Leyenda!$B$30:$E$34,4,FALSE)</f>
        <v>3</v>
      </c>
      <c r="BP134" s="125">
        <f>VLOOKUP(AS134,Leyenda!$B$71:$E$75,4,FALSE)</f>
        <v>10</v>
      </c>
      <c r="BQ134" s="125">
        <f t="shared" si="60"/>
        <v>47</v>
      </c>
      <c r="BR134" s="85">
        <f t="shared" si="61"/>
        <v>49</v>
      </c>
      <c r="BS134" s="240">
        <f t="shared" si="62"/>
        <v>0.42000000000000004</v>
      </c>
      <c r="BT134" s="18" t="s">
        <v>744</v>
      </c>
    </row>
    <row r="135" spans="1:72" x14ac:dyDescent="0.25">
      <c r="A135" s="18" t="s">
        <v>6</v>
      </c>
      <c r="B135" s="18">
        <v>2024</v>
      </c>
      <c r="C135" s="18" t="s">
        <v>138</v>
      </c>
      <c r="D135" s="18" t="s">
        <v>245</v>
      </c>
      <c r="E135" s="18">
        <v>50</v>
      </c>
      <c r="F135" s="18">
        <v>40</v>
      </c>
      <c r="G135" s="18" t="s">
        <v>154</v>
      </c>
      <c r="H135" s="248">
        <f t="shared" si="42"/>
        <v>40</v>
      </c>
      <c r="I135" s="135"/>
      <c r="J135" s="18" t="s">
        <v>292</v>
      </c>
      <c r="K135" s="4">
        <f t="shared" si="49"/>
        <v>11</v>
      </c>
      <c r="L135" s="4">
        <v>11.5</v>
      </c>
      <c r="M135" s="4">
        <f t="shared" si="54"/>
        <v>0.5</v>
      </c>
      <c r="N135" s="5">
        <v>0.5</v>
      </c>
      <c r="O135" s="5">
        <f t="shared" si="48"/>
        <v>0.5</v>
      </c>
      <c r="P135" s="31">
        <f t="shared" si="55"/>
        <v>0.25</v>
      </c>
      <c r="Q135" s="31">
        <f t="shared" si="50"/>
        <v>0.25</v>
      </c>
      <c r="R135" s="31">
        <v>12.5</v>
      </c>
      <c r="S135" s="31">
        <v>20</v>
      </c>
      <c r="T135" s="31">
        <v>0.24</v>
      </c>
      <c r="U135" s="31">
        <v>0</v>
      </c>
      <c r="V135" s="65">
        <f t="shared" si="43"/>
        <v>0</v>
      </c>
      <c r="W135" s="31">
        <v>4</v>
      </c>
      <c r="X135" s="31"/>
      <c r="Y135" s="31">
        <f t="shared" si="44"/>
        <v>4</v>
      </c>
      <c r="Z135" s="31">
        <f t="shared" si="47"/>
        <v>60</v>
      </c>
      <c r="AA135" s="18">
        <v>0</v>
      </c>
      <c r="AB135" s="18" t="s">
        <v>330</v>
      </c>
      <c r="AC135" s="18" t="s">
        <v>333</v>
      </c>
      <c r="AD135" s="18" t="s">
        <v>336</v>
      </c>
      <c r="AE135" s="18">
        <v>20</v>
      </c>
      <c r="AF135" s="18">
        <v>12.5</v>
      </c>
      <c r="AG135" s="18" t="s">
        <v>24</v>
      </c>
      <c r="AH135" s="18" t="s">
        <v>27</v>
      </c>
      <c r="AI135" s="18" t="str">
        <f>+VLOOKUP(AH135,Leyenda!$O$4:$U$10,6,FALSE)</f>
        <v>0,35-0,50</v>
      </c>
      <c r="AJ135" s="18" t="str">
        <f>+VLOOKUP(AH135,Leyenda!$O$4:$U$10,7,FALSE)</f>
        <v>Easy to blast</v>
      </c>
      <c r="AK135" s="18">
        <f>+VLOOKUP(AJ135,Leyenda!$U$4:$V$10,2,FALSE)</f>
        <v>3</v>
      </c>
      <c r="AL135" s="18" t="s">
        <v>22</v>
      </c>
      <c r="AM135" s="18" t="str">
        <f t="shared" si="56"/>
        <v>R3</v>
      </c>
      <c r="AN135" s="18" t="s">
        <v>64</v>
      </c>
      <c r="AO135" s="18" t="s">
        <v>81</v>
      </c>
      <c r="AP135" s="18" t="s">
        <v>96</v>
      </c>
      <c r="AQ135" s="18" t="s">
        <v>107</v>
      </c>
      <c r="AR135" s="18" t="s">
        <v>120</v>
      </c>
      <c r="AS135" s="18" t="s">
        <v>198</v>
      </c>
      <c r="AT135" s="18" t="s">
        <v>234</v>
      </c>
      <c r="AU135" s="18"/>
      <c r="AV135" s="18">
        <f>+VLOOKUP(AN135,Leyenda!$B$30:$E$34,3,FALSE)</f>
        <v>2</v>
      </c>
      <c r="AW135" s="18">
        <f>+VLOOKUP('2. Logging Brejo Seco'!AO135,Meteorizacion,3,FALSE)</f>
        <v>0</v>
      </c>
      <c r="AX135" s="18">
        <f>+VLOOKUP('2. Logging Brejo Seco'!AP135,Apertura,3,FALSE)</f>
        <v>1</v>
      </c>
      <c r="AY135" s="18">
        <f>+VLOOKUP('2. Logging Brejo Seco'!AQ135,Leyenda!$B$55:$D$59,3,FALSE)</f>
        <v>3</v>
      </c>
      <c r="AZ135" s="18">
        <f>+VLOOKUP('2. Logging Brejo Seco'!AR135,Relleno,3,FALSE)</f>
        <v>2</v>
      </c>
      <c r="BA135" s="18">
        <f t="shared" si="45"/>
        <v>8</v>
      </c>
      <c r="BB135" s="49">
        <f t="shared" si="51"/>
        <v>0</v>
      </c>
      <c r="BC135" s="49">
        <f>VLOOKUP(AM135,Leyenda!$B$4:$D$10,3,FALSE)</f>
        <v>4</v>
      </c>
      <c r="BD135" s="50">
        <f t="shared" si="57"/>
        <v>6</v>
      </c>
      <c r="BE135" s="49">
        <f t="shared" si="58"/>
        <v>8</v>
      </c>
      <c r="BF135" s="49">
        <f>VLOOKUP(AS135,Leyenda!$B$70:$D$75,3,FALSE)</f>
        <v>15</v>
      </c>
      <c r="BG135" s="67">
        <f t="shared" si="52"/>
        <v>12</v>
      </c>
      <c r="BH135" s="67">
        <f>VLOOKUP(AM135,Leyenda!$B$4:$E$10,4,FALSE)</f>
        <v>4</v>
      </c>
      <c r="BI135" s="125">
        <f t="shared" si="59"/>
        <v>5</v>
      </c>
      <c r="BJ135" s="125">
        <f t="shared" si="53"/>
        <v>0</v>
      </c>
      <c r="BK135" s="125">
        <f>+VLOOKUP('2. Logging Brejo Seco'!AP135,Leyenda!$B$47:$E$51,4,FALSE)</f>
        <v>1</v>
      </c>
      <c r="BL135" s="125">
        <f>+VLOOKUP('2. Logging Brejo Seco'!AQ135,Leyenda!$B$55:$E$59,4,FALSE)</f>
        <v>3</v>
      </c>
      <c r="BM135" s="125">
        <f>+VLOOKUP('2. Logging Brejo Seco'!AR135,Leyenda!$B$63:$E$67,3,FALSE)</f>
        <v>2</v>
      </c>
      <c r="BN135" s="125">
        <f>+VLOOKUP('2. Logging Brejo Seco'!AO135,Leyenda!$B$39:$E$43,4,FALSE)</f>
        <v>0</v>
      </c>
      <c r="BO135" s="125">
        <f>+VLOOKUP('2. Logging Brejo Seco'!AN135,Leyenda!$B$30:$E$34,4,FALSE)</f>
        <v>3</v>
      </c>
      <c r="BP135" s="125">
        <f>VLOOKUP(AS135,Leyenda!$B$71:$E$75,4,FALSE)</f>
        <v>10</v>
      </c>
      <c r="BQ135" s="125">
        <f t="shared" si="60"/>
        <v>28</v>
      </c>
      <c r="BR135" s="85">
        <f t="shared" si="61"/>
        <v>33</v>
      </c>
      <c r="BS135" s="240">
        <f t="shared" si="62"/>
        <v>0.5</v>
      </c>
      <c r="BT135" s="18" t="s">
        <v>744</v>
      </c>
    </row>
    <row r="136" spans="1:72" x14ac:dyDescent="0.25">
      <c r="A136" s="18" t="s">
        <v>6</v>
      </c>
      <c r="B136" s="18">
        <v>2024</v>
      </c>
      <c r="C136" s="18" t="s">
        <v>138</v>
      </c>
      <c r="D136" s="18" t="s">
        <v>245</v>
      </c>
      <c r="E136" s="18">
        <v>50</v>
      </c>
      <c r="F136" s="18">
        <v>40</v>
      </c>
      <c r="G136" s="18" t="s">
        <v>154</v>
      </c>
      <c r="H136" s="248">
        <f t="shared" si="42"/>
        <v>40</v>
      </c>
      <c r="I136" s="135"/>
      <c r="J136" s="18" t="s">
        <v>292</v>
      </c>
      <c r="K136" s="4">
        <f t="shared" si="49"/>
        <v>11.5</v>
      </c>
      <c r="L136" s="4">
        <v>12</v>
      </c>
      <c r="M136" s="4">
        <f t="shared" si="54"/>
        <v>0.5</v>
      </c>
      <c r="N136" s="5">
        <v>0.54</v>
      </c>
      <c r="O136" s="5">
        <f t="shared" si="48"/>
        <v>0.45999999999999996</v>
      </c>
      <c r="P136" s="31">
        <f t="shared" si="55"/>
        <v>0.27</v>
      </c>
      <c r="Q136" s="31">
        <f t="shared" si="50"/>
        <v>0.27</v>
      </c>
      <c r="R136" s="31">
        <v>13.5</v>
      </c>
      <c r="S136" s="31">
        <v>20</v>
      </c>
      <c r="T136" s="31">
        <v>0.26</v>
      </c>
      <c r="U136" s="31">
        <v>0</v>
      </c>
      <c r="V136" s="65">
        <f t="shared" si="43"/>
        <v>0</v>
      </c>
      <c r="W136" s="31">
        <v>6</v>
      </c>
      <c r="X136" s="31"/>
      <c r="Y136" s="31">
        <f t="shared" si="44"/>
        <v>6</v>
      </c>
      <c r="Z136" s="31">
        <f t="shared" si="47"/>
        <v>43.333333333333336</v>
      </c>
      <c r="AA136" s="18">
        <v>0</v>
      </c>
      <c r="AB136" s="18" t="s">
        <v>330</v>
      </c>
      <c r="AC136" s="18" t="s">
        <v>333</v>
      </c>
      <c r="AD136" s="18" t="s">
        <v>336</v>
      </c>
      <c r="AE136" s="18">
        <v>20</v>
      </c>
      <c r="AF136" s="18">
        <v>13.5</v>
      </c>
      <c r="AG136" s="18" t="s">
        <v>24</v>
      </c>
      <c r="AH136" s="18" t="s">
        <v>24</v>
      </c>
      <c r="AI136" s="18" t="str">
        <f>+VLOOKUP(AH136,Leyenda!$O$4:$U$10,6,FALSE)</f>
        <v>0,50-0,80</v>
      </c>
      <c r="AJ136" s="18" t="str">
        <f>+VLOOKUP(AH136,Leyenda!$O$4:$U$10,7,FALSE)</f>
        <v>Fairly easy to blast</v>
      </c>
      <c r="AK136" s="18">
        <f>+VLOOKUP(AJ136,Leyenda!$U$4:$V$10,2,FALSE)</f>
        <v>4</v>
      </c>
      <c r="AL136" s="18" t="s">
        <v>22</v>
      </c>
      <c r="AM136" s="18" t="str">
        <f t="shared" si="56"/>
        <v>R4</v>
      </c>
      <c r="AN136" s="18" t="s">
        <v>66</v>
      </c>
      <c r="AO136" s="18" t="s">
        <v>79</v>
      </c>
      <c r="AP136" s="18" t="s">
        <v>96</v>
      </c>
      <c r="AQ136" s="18" t="s">
        <v>109</v>
      </c>
      <c r="AR136" s="18" t="s">
        <v>120</v>
      </c>
      <c r="AS136" s="18" t="s">
        <v>198</v>
      </c>
      <c r="AT136" s="18"/>
      <c r="AU136" s="18"/>
      <c r="AV136" s="18">
        <f>+VLOOKUP(AN136,Leyenda!$B$30:$E$34,3,FALSE)</f>
        <v>1</v>
      </c>
      <c r="AW136" s="18">
        <f>+VLOOKUP('2. Logging Brejo Seco'!AO136,Meteorizacion,3,FALSE)</f>
        <v>1</v>
      </c>
      <c r="AX136" s="18">
        <f>+VLOOKUP('2. Logging Brejo Seco'!AP136,Apertura,3,FALSE)</f>
        <v>1</v>
      </c>
      <c r="AY136" s="18">
        <f>+VLOOKUP('2. Logging Brejo Seco'!AQ136,Leyenda!$B$55:$D$59,3,FALSE)</f>
        <v>1</v>
      </c>
      <c r="AZ136" s="18">
        <f>+VLOOKUP('2. Logging Brejo Seco'!AR136,Relleno,3,FALSE)</f>
        <v>2</v>
      </c>
      <c r="BA136" s="18">
        <f t="shared" si="45"/>
        <v>6</v>
      </c>
      <c r="BB136" s="49">
        <f t="shared" si="51"/>
        <v>0</v>
      </c>
      <c r="BC136" s="49">
        <f>VLOOKUP(AM136,Leyenda!$B$4:$D$10,3,FALSE)</f>
        <v>7</v>
      </c>
      <c r="BD136" s="50">
        <f t="shared" si="57"/>
        <v>5</v>
      </c>
      <c r="BE136" s="49">
        <f t="shared" si="58"/>
        <v>6</v>
      </c>
      <c r="BF136" s="49">
        <f>VLOOKUP(AS136,Leyenda!$B$70:$D$75,3,FALSE)</f>
        <v>15</v>
      </c>
      <c r="BG136" s="67">
        <f t="shared" si="52"/>
        <v>9</v>
      </c>
      <c r="BH136" s="67">
        <f>VLOOKUP(AM136,Leyenda!$B$4:$E$10,4,FALSE)</f>
        <v>7</v>
      </c>
      <c r="BI136" s="125">
        <f t="shared" si="59"/>
        <v>5</v>
      </c>
      <c r="BJ136" s="125">
        <f t="shared" si="53"/>
        <v>0</v>
      </c>
      <c r="BK136" s="125">
        <f>+VLOOKUP('2. Logging Brejo Seco'!AP136,Leyenda!$B$47:$E$51,4,FALSE)</f>
        <v>1</v>
      </c>
      <c r="BL136" s="125">
        <f>+VLOOKUP('2. Logging Brejo Seco'!AQ136,Leyenda!$B$55:$E$59,4,FALSE)</f>
        <v>1</v>
      </c>
      <c r="BM136" s="125">
        <f>+VLOOKUP('2. Logging Brejo Seco'!AR136,Leyenda!$B$63:$E$67,3,FALSE)</f>
        <v>2</v>
      </c>
      <c r="BN136" s="125">
        <f>+VLOOKUP('2. Logging Brejo Seco'!AO136,Leyenda!$B$39:$E$43,4,FALSE)</f>
        <v>1</v>
      </c>
      <c r="BO136" s="125">
        <f>+VLOOKUP('2. Logging Brejo Seco'!AN136,Leyenda!$B$30:$E$34,4,FALSE)</f>
        <v>1</v>
      </c>
      <c r="BP136" s="125">
        <f>VLOOKUP(AS136,Leyenda!$B$71:$E$75,4,FALSE)</f>
        <v>10</v>
      </c>
      <c r="BQ136" s="125">
        <f t="shared" si="60"/>
        <v>28</v>
      </c>
      <c r="BR136" s="85">
        <f t="shared" si="61"/>
        <v>33</v>
      </c>
      <c r="BS136" s="240">
        <f t="shared" si="62"/>
        <v>0.45999999999999996</v>
      </c>
      <c r="BT136" s="18" t="s">
        <v>744</v>
      </c>
    </row>
    <row r="137" spans="1:72" x14ac:dyDescent="0.25">
      <c r="A137" s="18" t="s">
        <v>6</v>
      </c>
      <c r="B137" s="18">
        <v>2024</v>
      </c>
      <c r="C137" s="18" t="s">
        <v>138</v>
      </c>
      <c r="D137" s="18" t="s">
        <v>245</v>
      </c>
      <c r="E137" s="18">
        <v>50</v>
      </c>
      <c r="F137" s="18">
        <v>40</v>
      </c>
      <c r="G137" s="18" t="s">
        <v>154</v>
      </c>
      <c r="H137" s="248">
        <f t="shared" si="42"/>
        <v>40</v>
      </c>
      <c r="I137" s="135"/>
      <c r="J137" s="18" t="s">
        <v>292</v>
      </c>
      <c r="K137" s="4">
        <f t="shared" si="49"/>
        <v>12</v>
      </c>
      <c r="L137" s="4">
        <v>12.5</v>
      </c>
      <c r="M137" s="4">
        <f t="shared" si="54"/>
        <v>0.5</v>
      </c>
      <c r="N137" s="5">
        <v>0.88</v>
      </c>
      <c r="O137" s="5">
        <f t="shared" si="48"/>
        <v>0.12</v>
      </c>
      <c r="P137" s="31">
        <f t="shared" si="55"/>
        <v>0.44</v>
      </c>
      <c r="Q137" s="31">
        <f t="shared" si="50"/>
        <v>0.44</v>
      </c>
      <c r="R137" s="31">
        <v>22</v>
      </c>
      <c r="S137" s="31">
        <v>20</v>
      </c>
      <c r="T137" s="31">
        <v>0.41</v>
      </c>
      <c r="U137" s="31">
        <v>0.23</v>
      </c>
      <c r="V137" s="65">
        <f t="shared" si="43"/>
        <v>46</v>
      </c>
      <c r="W137" s="31">
        <v>4</v>
      </c>
      <c r="X137" s="31"/>
      <c r="Y137" s="31">
        <f t="shared" si="44"/>
        <v>4</v>
      </c>
      <c r="Z137" s="31">
        <f t="shared" si="47"/>
        <v>102.5</v>
      </c>
      <c r="AA137" s="18">
        <v>54</v>
      </c>
      <c r="AB137" s="18" t="s">
        <v>330</v>
      </c>
      <c r="AC137" s="18" t="s">
        <v>333</v>
      </c>
      <c r="AD137" s="18" t="s">
        <v>336</v>
      </c>
      <c r="AE137" s="18">
        <v>20</v>
      </c>
      <c r="AF137" s="18">
        <v>22</v>
      </c>
      <c r="AG137" s="18" t="s">
        <v>29</v>
      </c>
      <c r="AH137" s="18" t="s">
        <v>24</v>
      </c>
      <c r="AI137" s="18" t="str">
        <f>+VLOOKUP(AH137,Leyenda!$O$4:$U$10,6,FALSE)</f>
        <v>0,50-0,80</v>
      </c>
      <c r="AJ137" s="18" t="str">
        <f>+VLOOKUP(AH137,Leyenda!$O$4:$U$10,7,FALSE)</f>
        <v>Fairly easy to blast</v>
      </c>
      <c r="AK137" s="18">
        <f>+VLOOKUP(AJ137,Leyenda!$U$4:$V$10,2,FALSE)</f>
        <v>4</v>
      </c>
      <c r="AL137" s="18" t="s">
        <v>29</v>
      </c>
      <c r="AM137" s="18" t="str">
        <f t="shared" si="56"/>
        <v>R4</v>
      </c>
      <c r="AN137" s="18" t="s">
        <v>69</v>
      </c>
      <c r="AO137" s="18" t="s">
        <v>81</v>
      </c>
      <c r="AP137" s="18" t="s">
        <v>96</v>
      </c>
      <c r="AQ137" s="18" t="s">
        <v>109</v>
      </c>
      <c r="AR137" s="18" t="s">
        <v>120</v>
      </c>
      <c r="AS137" s="18" t="s">
        <v>198</v>
      </c>
      <c r="AT137" s="18" t="s">
        <v>236</v>
      </c>
      <c r="AU137" s="18"/>
      <c r="AV137" s="18">
        <f>+VLOOKUP(AN137,Leyenda!$B$30:$E$34,3,FALSE)</f>
        <v>0</v>
      </c>
      <c r="AW137" s="18">
        <f>+VLOOKUP('2. Logging Brejo Seco'!AO137,Meteorizacion,3,FALSE)</f>
        <v>0</v>
      </c>
      <c r="AX137" s="18">
        <f>+VLOOKUP('2. Logging Brejo Seco'!AP137,Apertura,3,FALSE)</f>
        <v>1</v>
      </c>
      <c r="AY137" s="18">
        <f>+VLOOKUP('2. Logging Brejo Seco'!AQ137,Leyenda!$B$55:$D$59,3,FALSE)</f>
        <v>1</v>
      </c>
      <c r="AZ137" s="18">
        <f>+VLOOKUP('2. Logging Brejo Seco'!AR137,Relleno,3,FALSE)</f>
        <v>2</v>
      </c>
      <c r="BA137" s="18">
        <f t="shared" si="45"/>
        <v>4</v>
      </c>
      <c r="BB137" s="49">
        <f t="shared" si="51"/>
        <v>10</v>
      </c>
      <c r="BC137" s="49">
        <f>VLOOKUP(AM137,Leyenda!$B$4:$D$10,3,FALSE)</f>
        <v>7</v>
      </c>
      <c r="BD137" s="50">
        <f t="shared" si="57"/>
        <v>7</v>
      </c>
      <c r="BE137" s="49">
        <f t="shared" si="58"/>
        <v>4</v>
      </c>
      <c r="BF137" s="49">
        <f>VLOOKUP(AS137,Leyenda!$B$70:$D$75,3,FALSE)</f>
        <v>15</v>
      </c>
      <c r="BG137" s="67">
        <f t="shared" si="52"/>
        <v>29</v>
      </c>
      <c r="BH137" s="67">
        <f>VLOOKUP(AM137,Leyenda!$B$4:$E$10,4,FALSE)</f>
        <v>7</v>
      </c>
      <c r="BI137" s="125">
        <f t="shared" si="59"/>
        <v>8</v>
      </c>
      <c r="BJ137" s="125">
        <f t="shared" si="53"/>
        <v>10</v>
      </c>
      <c r="BK137" s="125">
        <f>+VLOOKUP('2. Logging Brejo Seco'!AP137,Leyenda!$B$47:$E$51,4,FALSE)</f>
        <v>1</v>
      </c>
      <c r="BL137" s="125">
        <f>+VLOOKUP('2. Logging Brejo Seco'!AQ137,Leyenda!$B$55:$E$59,4,FALSE)</f>
        <v>1</v>
      </c>
      <c r="BM137" s="125">
        <f>+VLOOKUP('2. Logging Brejo Seco'!AR137,Leyenda!$B$63:$E$67,3,FALSE)</f>
        <v>2</v>
      </c>
      <c r="BN137" s="125">
        <f>+VLOOKUP('2. Logging Brejo Seco'!AO137,Leyenda!$B$39:$E$43,4,FALSE)</f>
        <v>0</v>
      </c>
      <c r="BO137" s="125">
        <f>+VLOOKUP('2. Logging Brejo Seco'!AN137,Leyenda!$B$30:$E$34,4,FALSE)</f>
        <v>0</v>
      </c>
      <c r="BP137" s="125">
        <f>VLOOKUP(AS137,Leyenda!$B$71:$E$75,4,FALSE)</f>
        <v>10</v>
      </c>
      <c r="BQ137" s="125">
        <f t="shared" si="60"/>
        <v>39</v>
      </c>
      <c r="BR137" s="85">
        <f t="shared" si="61"/>
        <v>43</v>
      </c>
      <c r="BS137" s="240">
        <f t="shared" si="62"/>
        <v>0.12</v>
      </c>
      <c r="BT137" s="18" t="s">
        <v>744</v>
      </c>
    </row>
    <row r="138" spans="1:72" x14ac:dyDescent="0.25">
      <c r="A138" s="18" t="s">
        <v>6</v>
      </c>
      <c r="B138" s="18">
        <v>2024</v>
      </c>
      <c r="C138" s="18" t="s">
        <v>138</v>
      </c>
      <c r="D138" s="18" t="s">
        <v>245</v>
      </c>
      <c r="E138" s="18">
        <v>50</v>
      </c>
      <c r="F138" s="18">
        <v>40</v>
      </c>
      <c r="G138" s="18" t="s">
        <v>154</v>
      </c>
      <c r="H138" s="248">
        <f t="shared" ref="H138:H201" si="63">+F138</f>
        <v>40</v>
      </c>
      <c r="I138" s="135"/>
      <c r="J138" s="18" t="s">
        <v>292</v>
      </c>
      <c r="K138" s="4">
        <f t="shared" si="49"/>
        <v>12.5</v>
      </c>
      <c r="L138" s="4">
        <v>13</v>
      </c>
      <c r="M138" s="4">
        <f t="shared" si="54"/>
        <v>0.5</v>
      </c>
      <c r="N138" s="5">
        <v>0.9</v>
      </c>
      <c r="O138" s="5">
        <f t="shared" si="48"/>
        <v>9.9999999999999978E-2</v>
      </c>
      <c r="P138" s="31">
        <f t="shared" si="55"/>
        <v>0.45</v>
      </c>
      <c r="Q138" s="31">
        <f t="shared" si="50"/>
        <v>0.45</v>
      </c>
      <c r="R138" s="31">
        <v>22.5</v>
      </c>
      <c r="S138" s="31">
        <v>20</v>
      </c>
      <c r="T138" s="31">
        <v>0.43</v>
      </c>
      <c r="U138" s="31">
        <v>0.34</v>
      </c>
      <c r="V138" s="65">
        <f t="shared" ref="V138:V201" si="64">+U138/M138*100</f>
        <v>68</v>
      </c>
      <c r="W138" s="31">
        <v>2</v>
      </c>
      <c r="X138" s="31"/>
      <c r="Y138" s="31">
        <f t="shared" si="44"/>
        <v>2</v>
      </c>
      <c r="Z138" s="31">
        <f t="shared" si="47"/>
        <v>215</v>
      </c>
      <c r="AA138" s="18">
        <v>46</v>
      </c>
      <c r="AB138" s="18" t="s">
        <v>330</v>
      </c>
      <c r="AC138" s="18" t="s">
        <v>333</v>
      </c>
      <c r="AD138" s="18" t="s">
        <v>336</v>
      </c>
      <c r="AE138" s="18">
        <v>20</v>
      </c>
      <c r="AF138" s="18">
        <v>22.5</v>
      </c>
      <c r="AG138" s="18" t="s">
        <v>22</v>
      </c>
      <c r="AH138" s="18" t="s">
        <v>24</v>
      </c>
      <c r="AI138" s="18" t="str">
        <f>+VLOOKUP(AH138,Leyenda!$O$4:$U$10,6,FALSE)</f>
        <v>0,50-0,80</v>
      </c>
      <c r="AJ138" s="18" t="str">
        <f>+VLOOKUP(AH138,Leyenda!$O$4:$U$10,7,FALSE)</f>
        <v>Fairly easy to blast</v>
      </c>
      <c r="AK138" s="18">
        <f>+VLOOKUP(AJ138,Leyenda!$U$4:$V$10,2,FALSE)</f>
        <v>4</v>
      </c>
      <c r="AL138" s="18" t="s">
        <v>22</v>
      </c>
      <c r="AM138" s="18" t="str">
        <f t="shared" si="56"/>
        <v>R4</v>
      </c>
      <c r="AN138" s="18" t="s">
        <v>64</v>
      </c>
      <c r="AO138" s="18" t="s">
        <v>79</v>
      </c>
      <c r="AP138" s="18" t="s">
        <v>96</v>
      </c>
      <c r="AQ138" s="18" t="s">
        <v>107</v>
      </c>
      <c r="AR138" s="18" t="s">
        <v>118</v>
      </c>
      <c r="AS138" s="18" t="s">
        <v>198</v>
      </c>
      <c r="AT138" s="18" t="s">
        <v>236</v>
      </c>
      <c r="AU138" s="18"/>
      <c r="AV138" s="18">
        <f>+VLOOKUP(AN138,Leyenda!$B$30:$E$34,3,FALSE)</f>
        <v>2</v>
      </c>
      <c r="AW138" s="18">
        <f>+VLOOKUP('2. Logging Brejo Seco'!AO138,Meteorizacion,3,FALSE)</f>
        <v>1</v>
      </c>
      <c r="AX138" s="18">
        <f>+VLOOKUP('2. Logging Brejo Seco'!AP138,Apertura,3,FALSE)</f>
        <v>1</v>
      </c>
      <c r="AY138" s="18">
        <f>+VLOOKUP('2. Logging Brejo Seco'!AQ138,Leyenda!$B$55:$D$59,3,FALSE)</f>
        <v>3</v>
      </c>
      <c r="AZ138" s="18">
        <f>+VLOOKUP('2. Logging Brejo Seco'!AR138,Relleno,3,FALSE)</f>
        <v>2</v>
      </c>
      <c r="BA138" s="18">
        <f t="shared" ref="BA138:BA201" si="65">+SUM(AV138:AZ138)</f>
        <v>9</v>
      </c>
      <c r="BB138" s="49">
        <f t="shared" si="51"/>
        <v>14</v>
      </c>
      <c r="BC138" s="49">
        <f>VLOOKUP(AM138,Leyenda!$B$4:$D$10,3,FALSE)</f>
        <v>7</v>
      </c>
      <c r="BD138" s="50">
        <f t="shared" si="57"/>
        <v>9</v>
      </c>
      <c r="BE138" s="49">
        <f t="shared" si="58"/>
        <v>9</v>
      </c>
      <c r="BF138" s="49">
        <f>VLOOKUP(AS138,Leyenda!$B$70:$D$75,3,FALSE)</f>
        <v>15</v>
      </c>
      <c r="BG138" s="67">
        <f t="shared" si="52"/>
        <v>47.5</v>
      </c>
      <c r="BH138" s="67">
        <f>VLOOKUP(AM138,Leyenda!$B$4:$E$10,4,FALSE)</f>
        <v>7</v>
      </c>
      <c r="BI138" s="125">
        <f t="shared" si="59"/>
        <v>13</v>
      </c>
      <c r="BJ138" s="125">
        <f t="shared" si="53"/>
        <v>14</v>
      </c>
      <c r="BK138" s="125">
        <f>+VLOOKUP('2. Logging Brejo Seco'!AP138,Leyenda!$B$47:$E$51,4,FALSE)</f>
        <v>1</v>
      </c>
      <c r="BL138" s="125">
        <f>+VLOOKUP('2. Logging Brejo Seco'!AQ138,Leyenda!$B$55:$E$59,4,FALSE)</f>
        <v>3</v>
      </c>
      <c r="BM138" s="125">
        <f>+VLOOKUP('2. Logging Brejo Seco'!AR138,Leyenda!$B$63:$E$67,3,FALSE)</f>
        <v>2</v>
      </c>
      <c r="BN138" s="125">
        <f>+VLOOKUP('2. Logging Brejo Seco'!AO138,Leyenda!$B$39:$E$43,4,FALSE)</f>
        <v>1</v>
      </c>
      <c r="BO138" s="125">
        <f>+VLOOKUP('2. Logging Brejo Seco'!AN138,Leyenda!$B$30:$E$34,4,FALSE)</f>
        <v>3</v>
      </c>
      <c r="BP138" s="125">
        <f>VLOOKUP(AS138,Leyenda!$B$71:$E$75,4,FALSE)</f>
        <v>10</v>
      </c>
      <c r="BQ138" s="125">
        <f t="shared" si="60"/>
        <v>54</v>
      </c>
      <c r="BR138" s="85">
        <f t="shared" si="61"/>
        <v>54</v>
      </c>
      <c r="BS138" s="240">
        <f t="shared" si="62"/>
        <v>9.9999999999999978E-2</v>
      </c>
      <c r="BT138" s="18" t="s">
        <v>744</v>
      </c>
    </row>
    <row r="139" spans="1:72" x14ac:dyDescent="0.25">
      <c r="A139" s="18" t="s">
        <v>6</v>
      </c>
      <c r="B139" s="18">
        <v>2024</v>
      </c>
      <c r="C139" s="18" t="s">
        <v>138</v>
      </c>
      <c r="D139" s="18" t="s">
        <v>245</v>
      </c>
      <c r="E139" s="18">
        <v>50</v>
      </c>
      <c r="F139" s="18">
        <v>40</v>
      </c>
      <c r="G139" s="18" t="s">
        <v>154</v>
      </c>
      <c r="H139" s="248">
        <f t="shared" si="63"/>
        <v>40</v>
      </c>
      <c r="I139" s="135"/>
      <c r="J139" s="18" t="s">
        <v>292</v>
      </c>
      <c r="K139" s="4">
        <f t="shared" si="49"/>
        <v>13</v>
      </c>
      <c r="L139" s="4">
        <v>13.5</v>
      </c>
      <c r="M139" s="4">
        <f t="shared" si="54"/>
        <v>0.5</v>
      </c>
      <c r="N139" s="5">
        <v>0.64</v>
      </c>
      <c r="O139" s="5">
        <f t="shared" si="48"/>
        <v>0.36</v>
      </c>
      <c r="P139" s="31">
        <f t="shared" si="55"/>
        <v>0.32</v>
      </c>
      <c r="Q139" s="31">
        <f t="shared" si="50"/>
        <v>0.32</v>
      </c>
      <c r="R139" s="31">
        <v>16</v>
      </c>
      <c r="S139" s="31">
        <v>20</v>
      </c>
      <c r="T139" s="31">
        <v>0.21</v>
      </c>
      <c r="U139" s="31">
        <v>0.12</v>
      </c>
      <c r="V139" s="65">
        <f t="shared" si="64"/>
        <v>24</v>
      </c>
      <c r="W139" s="31">
        <v>3</v>
      </c>
      <c r="X139" s="31"/>
      <c r="Y139" s="31">
        <f t="shared" si="44"/>
        <v>3</v>
      </c>
      <c r="Z139" s="31">
        <f t="shared" si="47"/>
        <v>70</v>
      </c>
      <c r="AA139" s="18">
        <v>0</v>
      </c>
      <c r="AB139" s="18" t="s">
        <v>330</v>
      </c>
      <c r="AC139" s="18" t="s">
        <v>333</v>
      </c>
      <c r="AD139" s="18" t="s">
        <v>336</v>
      </c>
      <c r="AE139" s="18">
        <v>20</v>
      </c>
      <c r="AF139" s="18">
        <v>16</v>
      </c>
      <c r="AG139" s="18" t="s">
        <v>27</v>
      </c>
      <c r="AH139" s="18" t="s">
        <v>27</v>
      </c>
      <c r="AI139" s="18" t="str">
        <f>+VLOOKUP(AH139,Leyenda!$O$4:$U$10,6,FALSE)</f>
        <v>0,35-0,50</v>
      </c>
      <c r="AJ139" s="18" t="str">
        <f>+VLOOKUP(AH139,Leyenda!$O$4:$U$10,7,FALSE)</f>
        <v>Easy to blast</v>
      </c>
      <c r="AK139" s="18">
        <f>+VLOOKUP(AJ139,Leyenda!$U$4:$V$10,2,FALSE)</f>
        <v>3</v>
      </c>
      <c r="AL139" s="18" t="s">
        <v>22</v>
      </c>
      <c r="AM139" s="18" t="str">
        <f t="shared" si="56"/>
        <v>R3</v>
      </c>
      <c r="AN139" s="18" t="s">
        <v>64</v>
      </c>
      <c r="AO139" s="18" t="s">
        <v>79</v>
      </c>
      <c r="AP139" s="18" t="s">
        <v>96</v>
      </c>
      <c r="AQ139" s="18" t="s">
        <v>107</v>
      </c>
      <c r="AR139" s="18" t="s">
        <v>120</v>
      </c>
      <c r="AS139" s="18" t="s">
        <v>198</v>
      </c>
      <c r="AT139" s="18" t="s">
        <v>236</v>
      </c>
      <c r="AU139" s="18"/>
      <c r="AV139" s="18">
        <f>+VLOOKUP(AN139,Leyenda!$B$30:$E$34,3,FALSE)</f>
        <v>2</v>
      </c>
      <c r="AW139" s="18">
        <f>+VLOOKUP('2. Logging Brejo Seco'!AO139,Meteorizacion,3,FALSE)</f>
        <v>1</v>
      </c>
      <c r="AX139" s="18">
        <f>+VLOOKUP('2. Logging Brejo Seco'!AP139,Apertura,3,FALSE)</f>
        <v>1</v>
      </c>
      <c r="AY139" s="18">
        <f>+VLOOKUP('2. Logging Brejo Seco'!AQ139,Leyenda!$B$55:$D$59,3,FALSE)</f>
        <v>3</v>
      </c>
      <c r="AZ139" s="18">
        <f>+VLOOKUP('2. Logging Brejo Seco'!AR139,Relleno,3,FALSE)</f>
        <v>2</v>
      </c>
      <c r="BA139" s="18">
        <f t="shared" si="65"/>
        <v>9</v>
      </c>
      <c r="BB139" s="49">
        <f t="shared" si="51"/>
        <v>5</v>
      </c>
      <c r="BC139" s="49">
        <f>VLOOKUP(AM139,Leyenda!$B$4:$D$10,3,FALSE)</f>
        <v>4</v>
      </c>
      <c r="BD139" s="50">
        <f t="shared" si="57"/>
        <v>6</v>
      </c>
      <c r="BE139" s="49">
        <f t="shared" si="58"/>
        <v>9</v>
      </c>
      <c r="BF139" s="49">
        <f>VLOOKUP(AS139,Leyenda!$B$70:$D$75,3,FALSE)</f>
        <v>15</v>
      </c>
      <c r="BG139" s="67">
        <f t="shared" si="52"/>
        <v>25.5</v>
      </c>
      <c r="BH139" s="67">
        <f>VLOOKUP(AM139,Leyenda!$B$4:$E$10,4,FALSE)</f>
        <v>4</v>
      </c>
      <c r="BI139" s="125">
        <f t="shared" si="59"/>
        <v>6</v>
      </c>
      <c r="BJ139" s="125">
        <f t="shared" si="53"/>
        <v>5</v>
      </c>
      <c r="BK139" s="125">
        <f>+VLOOKUP('2. Logging Brejo Seco'!AP139,Leyenda!$B$47:$E$51,4,FALSE)</f>
        <v>1</v>
      </c>
      <c r="BL139" s="125">
        <f>+VLOOKUP('2. Logging Brejo Seco'!AQ139,Leyenda!$B$55:$E$59,4,FALSE)</f>
        <v>3</v>
      </c>
      <c r="BM139" s="125">
        <f>+VLOOKUP('2. Logging Brejo Seco'!AR139,Leyenda!$B$63:$E$67,3,FALSE)</f>
        <v>2</v>
      </c>
      <c r="BN139" s="125">
        <f>+VLOOKUP('2. Logging Brejo Seco'!AO139,Leyenda!$B$39:$E$43,4,FALSE)</f>
        <v>1</v>
      </c>
      <c r="BO139" s="125">
        <f>+VLOOKUP('2. Logging Brejo Seco'!AN139,Leyenda!$B$30:$E$34,4,FALSE)</f>
        <v>3</v>
      </c>
      <c r="BP139" s="125">
        <f>VLOOKUP(AS139,Leyenda!$B$71:$E$75,4,FALSE)</f>
        <v>10</v>
      </c>
      <c r="BQ139" s="125">
        <f t="shared" si="60"/>
        <v>35</v>
      </c>
      <c r="BR139" s="85">
        <f t="shared" si="61"/>
        <v>39</v>
      </c>
      <c r="BS139" s="240">
        <f t="shared" si="62"/>
        <v>0.36</v>
      </c>
      <c r="BT139" s="18" t="s">
        <v>744</v>
      </c>
    </row>
    <row r="140" spans="1:72" x14ac:dyDescent="0.25">
      <c r="A140" s="18" t="s">
        <v>6</v>
      </c>
      <c r="B140" s="18">
        <v>2024</v>
      </c>
      <c r="C140" s="18" t="s">
        <v>138</v>
      </c>
      <c r="D140" s="18" t="s">
        <v>245</v>
      </c>
      <c r="E140" s="18">
        <v>50</v>
      </c>
      <c r="F140" s="18">
        <v>40</v>
      </c>
      <c r="G140" s="18" t="s">
        <v>154</v>
      </c>
      <c r="H140" s="248">
        <f t="shared" si="63"/>
        <v>40</v>
      </c>
      <c r="I140" s="135"/>
      <c r="J140" s="18" t="s">
        <v>292</v>
      </c>
      <c r="K140" s="4">
        <f t="shared" si="49"/>
        <v>13.5</v>
      </c>
      <c r="L140" s="4">
        <v>14</v>
      </c>
      <c r="M140" s="4">
        <f t="shared" si="54"/>
        <v>0.5</v>
      </c>
      <c r="N140" s="5">
        <v>0.54</v>
      </c>
      <c r="O140" s="5">
        <f t="shared" si="48"/>
        <v>0.45999999999999996</v>
      </c>
      <c r="P140" s="31">
        <f t="shared" si="55"/>
        <v>0.27</v>
      </c>
      <c r="Q140" s="31">
        <f t="shared" si="50"/>
        <v>0.27</v>
      </c>
      <c r="R140" s="31">
        <v>13.5</v>
      </c>
      <c r="S140" s="31">
        <v>20</v>
      </c>
      <c r="T140" s="31">
        <v>0.22</v>
      </c>
      <c r="U140" s="31">
        <v>0</v>
      </c>
      <c r="V140" s="65">
        <f t="shared" si="64"/>
        <v>0</v>
      </c>
      <c r="W140" s="31">
        <v>3</v>
      </c>
      <c r="X140" s="31"/>
      <c r="Y140" s="31">
        <f t="shared" ref="Y140:Y181" si="66">+W140+X140</f>
        <v>3</v>
      </c>
      <c r="Z140" s="31">
        <f t="shared" si="47"/>
        <v>73.333333333333329</v>
      </c>
      <c r="AA140" s="18">
        <v>26</v>
      </c>
      <c r="AB140" s="18" t="s">
        <v>330</v>
      </c>
      <c r="AC140" s="18" t="s">
        <v>333</v>
      </c>
      <c r="AD140" s="18" t="s">
        <v>337</v>
      </c>
      <c r="AE140" s="18">
        <v>20</v>
      </c>
      <c r="AF140" s="18">
        <v>13.5</v>
      </c>
      <c r="AG140" s="18" t="s">
        <v>27</v>
      </c>
      <c r="AH140" s="18" t="s">
        <v>27</v>
      </c>
      <c r="AI140" s="18" t="str">
        <f>+VLOOKUP(AH140,Leyenda!$O$4:$U$10,6,FALSE)</f>
        <v>0,35-0,50</v>
      </c>
      <c r="AJ140" s="18" t="str">
        <f>+VLOOKUP(AH140,Leyenda!$O$4:$U$10,7,FALSE)</f>
        <v>Easy to blast</v>
      </c>
      <c r="AK140" s="18">
        <f>+VLOOKUP(AJ140,Leyenda!$U$4:$V$10,2,FALSE)</f>
        <v>3</v>
      </c>
      <c r="AL140" s="18" t="s">
        <v>22</v>
      </c>
      <c r="AM140" s="18" t="str">
        <f t="shared" si="56"/>
        <v>R3</v>
      </c>
      <c r="AN140" s="18" t="s">
        <v>66</v>
      </c>
      <c r="AO140" s="18" t="s">
        <v>79</v>
      </c>
      <c r="AP140" s="18" t="s">
        <v>96</v>
      </c>
      <c r="AQ140" s="18" t="s">
        <v>109</v>
      </c>
      <c r="AR140" s="18" t="s">
        <v>122</v>
      </c>
      <c r="AS140" s="18" t="s">
        <v>198</v>
      </c>
      <c r="AT140" s="18" t="s">
        <v>236</v>
      </c>
      <c r="AU140" s="18"/>
      <c r="AV140" s="18">
        <f>+VLOOKUP(AN140,Leyenda!$B$30:$E$34,3,FALSE)</f>
        <v>1</v>
      </c>
      <c r="AW140" s="18">
        <f>+VLOOKUP('2. Logging Brejo Seco'!AO140,Meteorizacion,3,FALSE)</f>
        <v>1</v>
      </c>
      <c r="AX140" s="18">
        <f>+VLOOKUP('2. Logging Brejo Seco'!AP140,Apertura,3,FALSE)</f>
        <v>1</v>
      </c>
      <c r="AY140" s="18">
        <f>+VLOOKUP('2. Logging Brejo Seco'!AQ140,Leyenda!$B$55:$D$59,3,FALSE)</f>
        <v>1</v>
      </c>
      <c r="AZ140" s="18">
        <f>+VLOOKUP('2. Logging Brejo Seco'!AR140,Relleno,3,FALSE)</f>
        <v>0</v>
      </c>
      <c r="BA140" s="18">
        <f t="shared" si="65"/>
        <v>4</v>
      </c>
      <c r="BB140" s="49">
        <f t="shared" si="51"/>
        <v>0</v>
      </c>
      <c r="BC140" s="49">
        <f>VLOOKUP(AM140,Leyenda!$B$4:$D$10,3,FALSE)</f>
        <v>4</v>
      </c>
      <c r="BD140" s="50">
        <f t="shared" si="57"/>
        <v>7</v>
      </c>
      <c r="BE140" s="49">
        <f t="shared" si="58"/>
        <v>4</v>
      </c>
      <c r="BF140" s="49">
        <f>VLOOKUP(AS140,Leyenda!$B$70:$D$75,3,FALSE)</f>
        <v>15</v>
      </c>
      <c r="BG140" s="67">
        <f t="shared" si="52"/>
        <v>6</v>
      </c>
      <c r="BH140" s="67">
        <f>VLOOKUP(AM140,Leyenda!$B$4:$E$10,4,FALSE)</f>
        <v>4</v>
      </c>
      <c r="BI140" s="125">
        <f t="shared" si="59"/>
        <v>6</v>
      </c>
      <c r="BJ140" s="125">
        <f t="shared" si="53"/>
        <v>0</v>
      </c>
      <c r="BK140" s="125">
        <f>+VLOOKUP('2. Logging Brejo Seco'!AP140,Leyenda!$B$47:$E$51,4,FALSE)</f>
        <v>1</v>
      </c>
      <c r="BL140" s="125">
        <f>+VLOOKUP('2. Logging Brejo Seco'!AQ140,Leyenda!$B$55:$E$59,4,FALSE)</f>
        <v>1</v>
      </c>
      <c r="BM140" s="125">
        <f>+VLOOKUP('2. Logging Brejo Seco'!AR140,Leyenda!$B$63:$E$67,3,FALSE)</f>
        <v>0</v>
      </c>
      <c r="BN140" s="125">
        <f>+VLOOKUP('2. Logging Brejo Seco'!AO140,Leyenda!$B$39:$E$43,4,FALSE)</f>
        <v>1</v>
      </c>
      <c r="BO140" s="125">
        <f>+VLOOKUP('2. Logging Brejo Seco'!AN140,Leyenda!$B$30:$E$34,4,FALSE)</f>
        <v>1</v>
      </c>
      <c r="BP140" s="125">
        <f>VLOOKUP(AS140,Leyenda!$B$71:$E$75,4,FALSE)</f>
        <v>10</v>
      </c>
      <c r="BQ140" s="125">
        <f t="shared" si="60"/>
        <v>24</v>
      </c>
      <c r="BR140" s="85">
        <f t="shared" si="61"/>
        <v>30</v>
      </c>
      <c r="BS140" s="240">
        <f t="shared" si="62"/>
        <v>0.45999999999999996</v>
      </c>
      <c r="BT140" s="18" t="s">
        <v>744</v>
      </c>
    </row>
    <row r="141" spans="1:72" x14ac:dyDescent="0.25">
      <c r="A141" s="18" t="s">
        <v>6</v>
      </c>
      <c r="B141" s="18">
        <v>2024</v>
      </c>
      <c r="C141" s="18" t="s">
        <v>138</v>
      </c>
      <c r="D141" s="18" t="s">
        <v>245</v>
      </c>
      <c r="E141" s="18">
        <v>50</v>
      </c>
      <c r="F141" s="18">
        <v>40</v>
      </c>
      <c r="G141" s="18" t="s">
        <v>154</v>
      </c>
      <c r="H141" s="248">
        <f t="shared" si="63"/>
        <v>40</v>
      </c>
      <c r="I141" s="135"/>
      <c r="J141" s="18" t="s">
        <v>292</v>
      </c>
      <c r="K141" s="4">
        <f t="shared" si="49"/>
        <v>14</v>
      </c>
      <c r="L141" s="4">
        <v>14.5</v>
      </c>
      <c r="M141" s="4">
        <f t="shared" si="54"/>
        <v>0.5</v>
      </c>
      <c r="N141" s="5">
        <v>0.22</v>
      </c>
      <c r="O141" s="5">
        <f t="shared" si="48"/>
        <v>0.78</v>
      </c>
      <c r="P141" s="31">
        <f t="shared" si="55"/>
        <v>0.11</v>
      </c>
      <c r="Q141" s="31">
        <f t="shared" si="50"/>
        <v>0.11</v>
      </c>
      <c r="R141" s="31">
        <v>5.5</v>
      </c>
      <c r="S141" s="31">
        <v>20</v>
      </c>
      <c r="T141" s="31">
        <v>0.1</v>
      </c>
      <c r="U141" s="31">
        <v>0.1</v>
      </c>
      <c r="V141" s="65">
        <f t="shared" si="64"/>
        <v>20</v>
      </c>
      <c r="W141" s="31">
        <v>1</v>
      </c>
      <c r="X141" s="31"/>
      <c r="Y141" s="31">
        <f t="shared" si="66"/>
        <v>1</v>
      </c>
      <c r="Z141" s="31">
        <f t="shared" si="47"/>
        <v>100</v>
      </c>
      <c r="AA141" s="18">
        <v>24</v>
      </c>
      <c r="AB141" s="18" t="s">
        <v>330</v>
      </c>
      <c r="AC141" s="18" t="s">
        <v>333</v>
      </c>
      <c r="AD141" s="18" t="s">
        <v>337</v>
      </c>
      <c r="AE141" s="18">
        <v>20</v>
      </c>
      <c r="AF141" s="18">
        <v>5.5</v>
      </c>
      <c r="AG141" s="18" t="s">
        <v>27</v>
      </c>
      <c r="AH141" s="18" t="s">
        <v>27</v>
      </c>
      <c r="AI141" s="18" t="str">
        <f>+VLOOKUP(AH141,Leyenda!$O$4:$U$10,6,FALSE)</f>
        <v>0,35-0,50</v>
      </c>
      <c r="AJ141" s="18" t="str">
        <f>+VLOOKUP(AH141,Leyenda!$O$4:$U$10,7,FALSE)</f>
        <v>Easy to blast</v>
      </c>
      <c r="AK141" s="18">
        <f>+VLOOKUP(AJ141,Leyenda!$U$4:$V$10,2,FALSE)</f>
        <v>3</v>
      </c>
      <c r="AL141" s="18" t="s">
        <v>22</v>
      </c>
      <c r="AM141" s="18" t="str">
        <f t="shared" si="56"/>
        <v>R3</v>
      </c>
      <c r="AN141" s="18" t="s">
        <v>66</v>
      </c>
      <c r="AO141" s="18" t="s">
        <v>79</v>
      </c>
      <c r="AP141" s="18" t="s">
        <v>96</v>
      </c>
      <c r="AQ141" s="18" t="s">
        <v>109</v>
      </c>
      <c r="AR141" s="18" t="s">
        <v>122</v>
      </c>
      <c r="AS141" s="18" t="s">
        <v>198</v>
      </c>
      <c r="AT141" s="18" t="s">
        <v>236</v>
      </c>
      <c r="AU141" s="18"/>
      <c r="AV141" s="18">
        <f>+VLOOKUP(AN141,Leyenda!$B$30:$E$34,3,FALSE)</f>
        <v>1</v>
      </c>
      <c r="AW141" s="18">
        <f>+VLOOKUP('2. Logging Brejo Seco'!AO141,Meteorizacion,3,FALSE)</f>
        <v>1</v>
      </c>
      <c r="AX141" s="18">
        <f>+VLOOKUP('2. Logging Brejo Seco'!AP141,Apertura,3,FALSE)</f>
        <v>1</v>
      </c>
      <c r="AY141" s="18">
        <f>+VLOOKUP('2. Logging Brejo Seco'!AQ141,Leyenda!$B$55:$D$59,3,FALSE)</f>
        <v>1</v>
      </c>
      <c r="AZ141" s="18">
        <f>+VLOOKUP('2. Logging Brejo Seco'!AR141,Relleno,3,FALSE)</f>
        <v>0</v>
      </c>
      <c r="BA141" s="18">
        <f t="shared" si="65"/>
        <v>4</v>
      </c>
      <c r="BB141" s="49">
        <f t="shared" si="51"/>
        <v>4</v>
      </c>
      <c r="BC141" s="49">
        <f>VLOOKUP(AM141,Leyenda!$B$4:$D$10,3,FALSE)</f>
        <v>4</v>
      </c>
      <c r="BD141" s="50">
        <f t="shared" si="57"/>
        <v>7</v>
      </c>
      <c r="BE141" s="49">
        <f t="shared" si="58"/>
        <v>4</v>
      </c>
      <c r="BF141" s="49">
        <f>VLOOKUP(AS141,Leyenda!$B$70:$D$75,3,FALSE)</f>
        <v>15</v>
      </c>
      <c r="BG141" s="67">
        <f t="shared" si="52"/>
        <v>16</v>
      </c>
      <c r="BH141" s="67">
        <f>VLOOKUP(AM141,Leyenda!$B$4:$E$10,4,FALSE)</f>
        <v>4</v>
      </c>
      <c r="BI141" s="125">
        <f t="shared" si="59"/>
        <v>8</v>
      </c>
      <c r="BJ141" s="125">
        <f t="shared" si="53"/>
        <v>4</v>
      </c>
      <c r="BK141" s="125">
        <f>+VLOOKUP('2. Logging Brejo Seco'!AP141,Leyenda!$B$47:$E$51,4,FALSE)</f>
        <v>1</v>
      </c>
      <c r="BL141" s="125">
        <f>+VLOOKUP('2. Logging Brejo Seco'!AQ141,Leyenda!$B$55:$E$59,4,FALSE)</f>
        <v>1</v>
      </c>
      <c r="BM141" s="125">
        <f>+VLOOKUP('2. Logging Brejo Seco'!AR141,Leyenda!$B$63:$E$67,3,FALSE)</f>
        <v>0</v>
      </c>
      <c r="BN141" s="125">
        <f>+VLOOKUP('2. Logging Brejo Seco'!AO141,Leyenda!$B$39:$E$43,4,FALSE)</f>
        <v>1</v>
      </c>
      <c r="BO141" s="125">
        <f>+VLOOKUP('2. Logging Brejo Seco'!AN141,Leyenda!$B$30:$E$34,4,FALSE)</f>
        <v>1</v>
      </c>
      <c r="BP141" s="125">
        <f>VLOOKUP(AS141,Leyenda!$B$71:$E$75,4,FALSE)</f>
        <v>10</v>
      </c>
      <c r="BQ141" s="125">
        <f t="shared" si="60"/>
        <v>30</v>
      </c>
      <c r="BR141" s="85">
        <f t="shared" si="61"/>
        <v>34</v>
      </c>
      <c r="BS141" s="240">
        <f t="shared" si="62"/>
        <v>0.78</v>
      </c>
      <c r="BT141" s="18" t="s">
        <v>744</v>
      </c>
    </row>
    <row r="142" spans="1:72" x14ac:dyDescent="0.25">
      <c r="A142" s="18" t="s">
        <v>6</v>
      </c>
      <c r="B142" s="18">
        <v>2024</v>
      </c>
      <c r="C142" s="18" t="s">
        <v>138</v>
      </c>
      <c r="D142" s="18" t="s">
        <v>245</v>
      </c>
      <c r="E142" s="18">
        <v>50</v>
      </c>
      <c r="F142" s="18">
        <v>40</v>
      </c>
      <c r="G142" s="18" t="s">
        <v>154</v>
      </c>
      <c r="H142" s="248">
        <f t="shared" si="63"/>
        <v>40</v>
      </c>
      <c r="I142" s="135"/>
      <c r="J142" s="18" t="s">
        <v>292</v>
      </c>
      <c r="K142" s="4">
        <f t="shared" si="49"/>
        <v>14.5</v>
      </c>
      <c r="L142" s="4">
        <v>15</v>
      </c>
      <c r="M142" s="4">
        <f t="shared" si="54"/>
        <v>0.5</v>
      </c>
      <c r="N142" s="5">
        <v>0.28000000000000003</v>
      </c>
      <c r="O142" s="5">
        <f t="shared" si="48"/>
        <v>0.72</v>
      </c>
      <c r="P142" s="31">
        <f t="shared" si="55"/>
        <v>0.14000000000000001</v>
      </c>
      <c r="Q142" s="31">
        <f t="shared" si="50"/>
        <v>0.14000000000000001</v>
      </c>
      <c r="R142" s="31">
        <v>28</v>
      </c>
      <c r="S142" s="31">
        <v>5</v>
      </c>
      <c r="T142" s="31">
        <v>0.14000000000000001</v>
      </c>
      <c r="U142" s="31">
        <v>0</v>
      </c>
      <c r="V142" s="65">
        <f t="shared" si="64"/>
        <v>0</v>
      </c>
      <c r="W142" s="31">
        <v>2</v>
      </c>
      <c r="X142" s="31"/>
      <c r="Y142" s="31">
        <f t="shared" si="66"/>
        <v>2</v>
      </c>
      <c r="Z142" s="31">
        <f t="shared" si="47"/>
        <v>70</v>
      </c>
      <c r="AA142" s="18">
        <v>0</v>
      </c>
      <c r="AB142" s="18" t="s">
        <v>330</v>
      </c>
      <c r="AC142" s="18" t="s">
        <v>118</v>
      </c>
      <c r="AD142" s="18" t="s">
        <v>337</v>
      </c>
      <c r="AE142" s="18">
        <v>5</v>
      </c>
      <c r="AF142" s="18">
        <v>28</v>
      </c>
      <c r="AG142" s="18" t="s">
        <v>27</v>
      </c>
      <c r="AH142" s="18" t="s">
        <v>27</v>
      </c>
      <c r="AI142" s="18" t="str">
        <f>+VLOOKUP(AH142,Leyenda!$O$4:$U$10,6,FALSE)</f>
        <v>0,35-0,50</v>
      </c>
      <c r="AJ142" s="18" t="str">
        <f>+VLOOKUP(AH142,Leyenda!$O$4:$U$10,7,FALSE)</f>
        <v>Easy to blast</v>
      </c>
      <c r="AK142" s="18">
        <f>+VLOOKUP(AJ142,Leyenda!$U$4:$V$10,2,FALSE)</f>
        <v>3</v>
      </c>
      <c r="AL142" s="18" t="s">
        <v>22</v>
      </c>
      <c r="AM142" s="18" t="str">
        <f t="shared" si="56"/>
        <v>R3</v>
      </c>
      <c r="AN142" s="18" t="s">
        <v>66</v>
      </c>
      <c r="AO142" s="18" t="s">
        <v>79</v>
      </c>
      <c r="AP142" s="18" t="s">
        <v>96</v>
      </c>
      <c r="AQ142" s="18" t="s">
        <v>109</v>
      </c>
      <c r="AR142" s="18" t="s">
        <v>122</v>
      </c>
      <c r="AS142" s="18" t="s">
        <v>198</v>
      </c>
      <c r="AT142" s="18" t="s">
        <v>236</v>
      </c>
      <c r="AU142" s="18"/>
      <c r="AV142" s="18">
        <f>+VLOOKUP(AN142,Leyenda!$B$30:$E$34,3,FALSE)</f>
        <v>1</v>
      </c>
      <c r="AW142" s="18">
        <f>+VLOOKUP('2. Logging Brejo Seco'!AO142,Meteorizacion,3,FALSE)</f>
        <v>1</v>
      </c>
      <c r="AX142" s="18">
        <f>+VLOOKUP('2. Logging Brejo Seco'!AP142,Apertura,3,FALSE)</f>
        <v>1</v>
      </c>
      <c r="AY142" s="18">
        <f>+VLOOKUP('2. Logging Brejo Seco'!AQ142,Leyenda!$B$55:$D$59,3,FALSE)</f>
        <v>1</v>
      </c>
      <c r="AZ142" s="18">
        <f>+VLOOKUP('2. Logging Brejo Seco'!AR142,Relleno,3,FALSE)</f>
        <v>0</v>
      </c>
      <c r="BA142" s="18">
        <f t="shared" si="65"/>
        <v>4</v>
      </c>
      <c r="BB142" s="49">
        <f t="shared" si="51"/>
        <v>0</v>
      </c>
      <c r="BC142" s="49">
        <f>VLOOKUP(AM142,Leyenda!$B$4:$D$10,3,FALSE)</f>
        <v>4</v>
      </c>
      <c r="BD142" s="50">
        <f t="shared" si="57"/>
        <v>6</v>
      </c>
      <c r="BE142" s="49">
        <f t="shared" si="58"/>
        <v>4</v>
      </c>
      <c r="BF142" s="49">
        <f>VLOOKUP(AS142,Leyenda!$B$70:$D$75,3,FALSE)</f>
        <v>15</v>
      </c>
      <c r="BG142" s="67">
        <f t="shared" si="52"/>
        <v>6</v>
      </c>
      <c r="BH142" s="67">
        <f>VLOOKUP(AM142,Leyenda!$B$4:$E$10,4,FALSE)</f>
        <v>4</v>
      </c>
      <c r="BI142" s="125">
        <f t="shared" si="59"/>
        <v>6</v>
      </c>
      <c r="BJ142" s="125">
        <f t="shared" si="53"/>
        <v>0</v>
      </c>
      <c r="BK142" s="125">
        <f>+VLOOKUP('2. Logging Brejo Seco'!AP142,Leyenda!$B$47:$E$51,4,FALSE)</f>
        <v>1</v>
      </c>
      <c r="BL142" s="125">
        <f>+VLOOKUP('2. Logging Brejo Seco'!AQ142,Leyenda!$B$55:$E$59,4,FALSE)</f>
        <v>1</v>
      </c>
      <c r="BM142" s="125">
        <f>+VLOOKUP('2. Logging Brejo Seco'!AR142,Leyenda!$B$63:$E$67,3,FALSE)</f>
        <v>0</v>
      </c>
      <c r="BN142" s="125">
        <f>+VLOOKUP('2. Logging Brejo Seco'!AO142,Leyenda!$B$39:$E$43,4,FALSE)</f>
        <v>1</v>
      </c>
      <c r="BO142" s="125">
        <f>+VLOOKUP('2. Logging Brejo Seco'!AN142,Leyenda!$B$30:$E$34,4,FALSE)</f>
        <v>1</v>
      </c>
      <c r="BP142" s="125">
        <f>VLOOKUP(AS142,Leyenda!$B$71:$E$75,4,FALSE)</f>
        <v>10</v>
      </c>
      <c r="BQ142" s="125">
        <f t="shared" si="60"/>
        <v>24</v>
      </c>
      <c r="BR142" s="85">
        <f t="shared" si="61"/>
        <v>29</v>
      </c>
      <c r="BS142" s="240">
        <f t="shared" si="62"/>
        <v>0.72</v>
      </c>
      <c r="BT142" s="18" t="s">
        <v>744</v>
      </c>
    </row>
    <row r="143" spans="1:72" x14ac:dyDescent="0.25">
      <c r="A143" s="18" t="s">
        <v>6</v>
      </c>
      <c r="B143" s="18">
        <v>2024</v>
      </c>
      <c r="C143" s="18" t="s">
        <v>138</v>
      </c>
      <c r="D143" s="18" t="s">
        <v>245</v>
      </c>
      <c r="E143" s="18">
        <v>50</v>
      </c>
      <c r="F143" s="18">
        <v>40</v>
      </c>
      <c r="G143" s="18" t="s">
        <v>154</v>
      </c>
      <c r="H143" s="248">
        <f t="shared" si="63"/>
        <v>40</v>
      </c>
      <c r="I143" s="135"/>
      <c r="J143" s="18" t="s">
        <v>292</v>
      </c>
      <c r="K143" s="4">
        <f t="shared" si="49"/>
        <v>15</v>
      </c>
      <c r="L143" s="4">
        <v>15.5</v>
      </c>
      <c r="M143" s="4">
        <f t="shared" si="54"/>
        <v>0.5</v>
      </c>
      <c r="N143" s="5">
        <v>0.42</v>
      </c>
      <c r="O143" s="5">
        <f t="shared" si="48"/>
        <v>0.58000000000000007</v>
      </c>
      <c r="P143" s="31">
        <f t="shared" si="55"/>
        <v>0.21</v>
      </c>
      <c r="Q143" s="31">
        <f t="shared" si="50"/>
        <v>0.21</v>
      </c>
      <c r="R143" s="31">
        <v>10.5</v>
      </c>
      <c r="S143" s="31">
        <v>20</v>
      </c>
      <c r="T143" s="31">
        <v>0.16</v>
      </c>
      <c r="U143" s="31">
        <v>0.1</v>
      </c>
      <c r="V143" s="65">
        <f t="shared" si="64"/>
        <v>20</v>
      </c>
      <c r="W143" s="31">
        <v>3</v>
      </c>
      <c r="X143" s="31"/>
      <c r="Y143" s="31">
        <f t="shared" si="66"/>
        <v>3</v>
      </c>
      <c r="Z143" s="31">
        <f t="shared" si="47"/>
        <v>53.333333333333336</v>
      </c>
      <c r="AA143" s="18">
        <v>0</v>
      </c>
      <c r="AB143" s="18" t="s">
        <v>330</v>
      </c>
      <c r="AC143" s="18" t="s">
        <v>333</v>
      </c>
      <c r="AD143" s="18" t="s">
        <v>337</v>
      </c>
      <c r="AE143" s="18">
        <v>20</v>
      </c>
      <c r="AF143" s="18">
        <v>10.5</v>
      </c>
      <c r="AG143" s="18" t="s">
        <v>29</v>
      </c>
      <c r="AH143" s="18" t="s">
        <v>29</v>
      </c>
      <c r="AI143" s="18" t="str">
        <f>+VLOOKUP(AH143,Leyenda!$O$4:$U$10,6,FALSE)</f>
        <v>0,25-0,35</v>
      </c>
      <c r="AJ143" s="18" t="str">
        <f>+VLOOKUP(AG143,Leyenda!$O$4:$U$10,7,FALSE)</f>
        <v>No Blasting need</v>
      </c>
      <c r="AK143" s="18">
        <f>+VLOOKUP(AJ143,Leyenda!$U$4:$V$10,2,FALSE)</f>
        <v>2</v>
      </c>
      <c r="AL143" s="18" t="s">
        <v>22</v>
      </c>
      <c r="AM143" s="18" t="str">
        <f t="shared" si="56"/>
        <v>R2</v>
      </c>
      <c r="AN143" s="18" t="s">
        <v>66</v>
      </c>
      <c r="AO143" s="18" t="s">
        <v>79</v>
      </c>
      <c r="AP143" s="18" t="s">
        <v>96</v>
      </c>
      <c r="AQ143" s="18" t="s">
        <v>109</v>
      </c>
      <c r="AR143" s="18" t="s">
        <v>122</v>
      </c>
      <c r="AS143" s="18" t="s">
        <v>198</v>
      </c>
      <c r="AT143" s="18" t="s">
        <v>236</v>
      </c>
      <c r="AU143" s="18"/>
      <c r="AV143" s="18">
        <f>+VLOOKUP(AN143,Leyenda!$B$30:$E$34,3,FALSE)</f>
        <v>1</v>
      </c>
      <c r="AW143" s="18">
        <f>+VLOOKUP('2. Logging Brejo Seco'!AO143,Meteorizacion,3,FALSE)</f>
        <v>1</v>
      </c>
      <c r="AX143" s="18">
        <f>+VLOOKUP('2. Logging Brejo Seco'!AP143,Apertura,3,FALSE)</f>
        <v>1</v>
      </c>
      <c r="AY143" s="18">
        <f>+VLOOKUP('2. Logging Brejo Seco'!AQ143,Leyenda!$B$55:$D$59,3,FALSE)</f>
        <v>1</v>
      </c>
      <c r="AZ143" s="18">
        <f>+VLOOKUP('2. Logging Brejo Seco'!AR143,Relleno,3,FALSE)</f>
        <v>0</v>
      </c>
      <c r="BA143" s="18">
        <f t="shared" si="65"/>
        <v>4</v>
      </c>
      <c r="BB143" s="49">
        <f t="shared" si="51"/>
        <v>4</v>
      </c>
      <c r="BC143" s="49">
        <f>VLOOKUP(AM143,Leyenda!$B$4:$D$10,3,FALSE)</f>
        <v>2</v>
      </c>
      <c r="BD143" s="50">
        <f t="shared" si="57"/>
        <v>6</v>
      </c>
      <c r="BE143" s="49">
        <f t="shared" si="58"/>
        <v>4</v>
      </c>
      <c r="BF143" s="49">
        <f>VLOOKUP(AS143,Leyenda!$B$70:$D$75,3,FALSE)</f>
        <v>15</v>
      </c>
      <c r="BG143" s="67">
        <f t="shared" si="52"/>
        <v>16</v>
      </c>
      <c r="BH143" s="67">
        <f>VLOOKUP(AM143,Leyenda!$B$4:$E$10,4,FALSE)</f>
        <v>2</v>
      </c>
      <c r="BI143" s="125">
        <f t="shared" si="59"/>
        <v>4</v>
      </c>
      <c r="BJ143" s="125">
        <f t="shared" si="53"/>
        <v>4</v>
      </c>
      <c r="BK143" s="125">
        <f>+VLOOKUP('2. Logging Brejo Seco'!AP143,Leyenda!$B$47:$E$51,4,FALSE)</f>
        <v>1</v>
      </c>
      <c r="BL143" s="125">
        <f>+VLOOKUP('2. Logging Brejo Seco'!AQ143,Leyenda!$B$55:$E$59,4,FALSE)</f>
        <v>1</v>
      </c>
      <c r="BM143" s="125">
        <f>+VLOOKUP('2. Logging Brejo Seco'!AR143,Leyenda!$B$63:$E$67,3,FALSE)</f>
        <v>0</v>
      </c>
      <c r="BN143" s="125">
        <f>+VLOOKUP('2. Logging Brejo Seco'!AO143,Leyenda!$B$39:$E$43,4,FALSE)</f>
        <v>1</v>
      </c>
      <c r="BO143" s="125">
        <f>+VLOOKUP('2. Logging Brejo Seco'!AN143,Leyenda!$B$30:$E$34,4,FALSE)</f>
        <v>1</v>
      </c>
      <c r="BP143" s="125">
        <f>VLOOKUP(AS143,Leyenda!$B$71:$E$75,4,FALSE)</f>
        <v>10</v>
      </c>
      <c r="BQ143" s="125">
        <f t="shared" si="60"/>
        <v>24</v>
      </c>
      <c r="BR143" s="85">
        <f t="shared" si="61"/>
        <v>31</v>
      </c>
      <c r="BS143" s="240">
        <f t="shared" si="62"/>
        <v>0.58000000000000007</v>
      </c>
      <c r="BT143" s="18" t="s">
        <v>744</v>
      </c>
    </row>
    <row r="144" spans="1:72" x14ac:dyDescent="0.25">
      <c r="A144" s="18" t="s">
        <v>6</v>
      </c>
      <c r="B144" s="18">
        <v>2024</v>
      </c>
      <c r="C144" s="18" t="s">
        <v>138</v>
      </c>
      <c r="D144" s="18" t="s">
        <v>245</v>
      </c>
      <c r="E144" s="18">
        <v>50</v>
      </c>
      <c r="F144" s="18">
        <v>40</v>
      </c>
      <c r="G144" s="18" t="s">
        <v>154</v>
      </c>
      <c r="H144" s="248">
        <f t="shared" si="63"/>
        <v>40</v>
      </c>
      <c r="I144" s="135"/>
      <c r="J144" s="18" t="s">
        <v>292</v>
      </c>
      <c r="K144" s="4">
        <f t="shared" si="49"/>
        <v>15.5</v>
      </c>
      <c r="L144" s="4">
        <v>16</v>
      </c>
      <c r="M144" s="4">
        <f t="shared" si="54"/>
        <v>0.5</v>
      </c>
      <c r="N144" s="5">
        <v>0.34</v>
      </c>
      <c r="O144" s="5">
        <f t="shared" si="48"/>
        <v>0.65999999999999992</v>
      </c>
      <c r="P144" s="31">
        <f t="shared" si="55"/>
        <v>0.17</v>
      </c>
      <c r="Q144" s="31">
        <f t="shared" si="50"/>
        <v>0.17</v>
      </c>
      <c r="R144" s="31">
        <v>8.5</v>
      </c>
      <c r="S144" s="31">
        <v>20</v>
      </c>
      <c r="T144" s="31">
        <v>0.16</v>
      </c>
      <c r="U144" s="31">
        <v>0</v>
      </c>
      <c r="V144" s="65">
        <f t="shared" si="64"/>
        <v>0</v>
      </c>
      <c r="W144" s="31">
        <v>5</v>
      </c>
      <c r="X144" s="31"/>
      <c r="Y144" s="31">
        <f t="shared" si="66"/>
        <v>5</v>
      </c>
      <c r="Z144" s="31">
        <f t="shared" si="47"/>
        <v>32</v>
      </c>
      <c r="AA144" s="18">
        <v>0</v>
      </c>
      <c r="AB144" s="18" t="s">
        <v>330</v>
      </c>
      <c r="AC144" s="18" t="s">
        <v>333</v>
      </c>
      <c r="AD144" s="18" t="s">
        <v>337</v>
      </c>
      <c r="AE144" s="18">
        <v>20</v>
      </c>
      <c r="AF144" s="18">
        <v>8.5</v>
      </c>
      <c r="AG144" s="18" t="s">
        <v>32</v>
      </c>
      <c r="AH144" s="18" t="s">
        <v>32</v>
      </c>
      <c r="AI144" s="18" t="str">
        <f>+VLOOKUP(AH144,Leyenda!$O$4:$U$10,6,FALSE)</f>
        <v>0,15-0,25</v>
      </c>
      <c r="AJ144" s="18" t="str">
        <f>+VLOOKUP(AG144,Leyenda!$O$4:$U$10,7,FALSE)</f>
        <v>No Blasting need</v>
      </c>
      <c r="AK144" s="18">
        <f>+VLOOKUP(AJ144,Leyenda!$U$4:$V$10,2,FALSE)</f>
        <v>2</v>
      </c>
      <c r="AL144" s="18" t="s">
        <v>22</v>
      </c>
      <c r="AM144" s="18" t="str">
        <f t="shared" si="56"/>
        <v>R1</v>
      </c>
      <c r="AN144" s="18" t="s">
        <v>66</v>
      </c>
      <c r="AO144" s="18" t="s">
        <v>79</v>
      </c>
      <c r="AP144" s="18" t="s">
        <v>96</v>
      </c>
      <c r="AQ144" s="18" t="s">
        <v>109</v>
      </c>
      <c r="AR144" s="18" t="s">
        <v>122</v>
      </c>
      <c r="AS144" s="18" t="s">
        <v>198</v>
      </c>
      <c r="AT144" s="18" t="s">
        <v>236</v>
      </c>
      <c r="AU144" s="18"/>
      <c r="AV144" s="18">
        <f>+VLOOKUP(AN144,Leyenda!$B$30:$E$34,3,FALSE)</f>
        <v>1</v>
      </c>
      <c r="AW144" s="18">
        <f>+VLOOKUP('2. Logging Brejo Seco'!AO144,Meteorizacion,3,FALSE)</f>
        <v>1</v>
      </c>
      <c r="AX144" s="18">
        <f>+VLOOKUP('2. Logging Brejo Seco'!AP144,Apertura,3,FALSE)</f>
        <v>1</v>
      </c>
      <c r="AY144" s="18">
        <f>+VLOOKUP('2. Logging Brejo Seco'!AQ144,Leyenda!$B$55:$D$59,3,FALSE)</f>
        <v>1</v>
      </c>
      <c r="AZ144" s="18">
        <f>+VLOOKUP('2. Logging Brejo Seco'!AR144,Relleno,3,FALSE)</f>
        <v>0</v>
      </c>
      <c r="BA144" s="18">
        <f t="shared" si="65"/>
        <v>4</v>
      </c>
      <c r="BB144" s="49">
        <f t="shared" si="51"/>
        <v>0</v>
      </c>
      <c r="BC144" s="49">
        <f>VLOOKUP(AM144,Leyenda!$B$4:$D$10,3,FALSE)</f>
        <v>1</v>
      </c>
      <c r="BD144" s="50">
        <f t="shared" si="57"/>
        <v>5</v>
      </c>
      <c r="BE144" s="49">
        <f t="shared" si="58"/>
        <v>4</v>
      </c>
      <c r="BF144" s="49">
        <f>VLOOKUP(AS144,Leyenda!$B$70:$D$75,3,FALSE)</f>
        <v>15</v>
      </c>
      <c r="BG144" s="67">
        <f t="shared" si="52"/>
        <v>6</v>
      </c>
      <c r="BH144" s="67">
        <f>VLOOKUP(AM144,Leyenda!$B$4:$E$10,4,FALSE)</f>
        <v>1</v>
      </c>
      <c r="BI144" s="125">
        <f t="shared" si="59"/>
        <v>5</v>
      </c>
      <c r="BJ144" s="125">
        <f t="shared" si="53"/>
        <v>0</v>
      </c>
      <c r="BK144" s="125">
        <f>+VLOOKUP('2. Logging Brejo Seco'!AP144,Leyenda!$B$47:$E$51,4,FALSE)</f>
        <v>1</v>
      </c>
      <c r="BL144" s="125">
        <f>+VLOOKUP('2. Logging Brejo Seco'!AQ144,Leyenda!$B$55:$E$59,4,FALSE)</f>
        <v>1</v>
      </c>
      <c r="BM144" s="125">
        <f>+VLOOKUP('2. Logging Brejo Seco'!AR144,Leyenda!$B$63:$E$67,3,FALSE)</f>
        <v>0</v>
      </c>
      <c r="BN144" s="125">
        <f>+VLOOKUP('2. Logging Brejo Seco'!AO144,Leyenda!$B$39:$E$43,4,FALSE)</f>
        <v>1</v>
      </c>
      <c r="BO144" s="125">
        <f>+VLOOKUP('2. Logging Brejo Seco'!AN144,Leyenda!$B$30:$E$34,4,FALSE)</f>
        <v>1</v>
      </c>
      <c r="BP144" s="125">
        <f>VLOOKUP(AS144,Leyenda!$B$71:$E$75,4,FALSE)</f>
        <v>10</v>
      </c>
      <c r="BQ144" s="125">
        <f t="shared" si="60"/>
        <v>20</v>
      </c>
      <c r="BR144" s="85">
        <f t="shared" si="61"/>
        <v>25</v>
      </c>
      <c r="BS144" s="240">
        <f t="shared" si="62"/>
        <v>0.65999999999999992</v>
      </c>
      <c r="BT144" s="18" t="s">
        <v>744</v>
      </c>
    </row>
    <row r="145" spans="1:72" x14ac:dyDescent="0.25">
      <c r="A145" s="18" t="s">
        <v>6</v>
      </c>
      <c r="B145" s="18">
        <v>2024</v>
      </c>
      <c r="C145" s="18" t="s">
        <v>138</v>
      </c>
      <c r="D145" s="18" t="s">
        <v>245</v>
      </c>
      <c r="E145" s="18">
        <v>50</v>
      </c>
      <c r="F145" s="18">
        <v>50</v>
      </c>
      <c r="G145" s="18" t="s">
        <v>154</v>
      </c>
      <c r="H145" s="248">
        <f t="shared" si="63"/>
        <v>50</v>
      </c>
      <c r="I145" s="135"/>
      <c r="J145" s="18" t="s">
        <v>292</v>
      </c>
      <c r="K145" s="4">
        <f t="shared" si="49"/>
        <v>16</v>
      </c>
      <c r="L145" s="4">
        <v>16.5</v>
      </c>
      <c r="M145" s="4">
        <f t="shared" si="54"/>
        <v>0.5</v>
      </c>
      <c r="N145" s="5">
        <v>0.3</v>
      </c>
      <c r="O145" s="5">
        <f t="shared" si="48"/>
        <v>0.7</v>
      </c>
      <c r="P145" s="31">
        <f t="shared" si="55"/>
        <v>0.15</v>
      </c>
      <c r="Q145" s="31">
        <f t="shared" si="50"/>
        <v>0.15</v>
      </c>
      <c r="R145" s="31">
        <v>7.5</v>
      </c>
      <c r="S145" s="31">
        <v>20</v>
      </c>
      <c r="T145" s="31">
        <v>0.14000000000000001</v>
      </c>
      <c r="U145" s="31">
        <v>0</v>
      </c>
      <c r="V145" s="65">
        <f t="shared" si="64"/>
        <v>0</v>
      </c>
      <c r="W145" s="31">
        <v>4</v>
      </c>
      <c r="X145" s="31"/>
      <c r="Y145" s="31">
        <f t="shared" si="66"/>
        <v>4</v>
      </c>
      <c r="Z145" s="31">
        <f t="shared" si="47"/>
        <v>35</v>
      </c>
      <c r="AA145" s="18">
        <v>0</v>
      </c>
      <c r="AB145" s="18" t="s">
        <v>330</v>
      </c>
      <c r="AC145" s="18" t="s">
        <v>333</v>
      </c>
      <c r="AD145" s="18" t="s">
        <v>337</v>
      </c>
      <c r="AE145" s="18">
        <v>20</v>
      </c>
      <c r="AF145" s="18">
        <v>7.5</v>
      </c>
      <c r="AG145" s="18" t="s">
        <v>32</v>
      </c>
      <c r="AH145" s="18" t="s">
        <v>32</v>
      </c>
      <c r="AI145" s="18" t="str">
        <f>+VLOOKUP(AH145,Leyenda!$O$4:$U$10,6,FALSE)</f>
        <v>0,15-0,25</v>
      </c>
      <c r="AJ145" s="18" t="str">
        <f>+VLOOKUP(AG145,Leyenda!$O$4:$U$10,7,FALSE)</f>
        <v>No Blasting need</v>
      </c>
      <c r="AK145" s="18">
        <f>+VLOOKUP(AJ145,Leyenda!$U$4:$V$10,2,FALSE)</f>
        <v>2</v>
      </c>
      <c r="AL145" s="18" t="s">
        <v>27</v>
      </c>
      <c r="AM145" s="18" t="str">
        <f t="shared" si="56"/>
        <v>R1</v>
      </c>
      <c r="AN145" s="18" t="s">
        <v>66</v>
      </c>
      <c r="AO145" s="18" t="s">
        <v>79</v>
      </c>
      <c r="AP145" s="18" t="s">
        <v>96</v>
      </c>
      <c r="AQ145" s="18" t="s">
        <v>109</v>
      </c>
      <c r="AR145" s="18" t="s">
        <v>122</v>
      </c>
      <c r="AS145" s="18" t="s">
        <v>198</v>
      </c>
      <c r="AT145" s="18" t="s">
        <v>237</v>
      </c>
      <c r="AU145" s="18"/>
      <c r="AV145" s="18">
        <f>+VLOOKUP(AN145,Leyenda!$B$30:$E$34,3,FALSE)</f>
        <v>1</v>
      </c>
      <c r="AW145" s="18">
        <f>+VLOOKUP('2. Logging Brejo Seco'!AO145,Meteorizacion,3,FALSE)</f>
        <v>1</v>
      </c>
      <c r="AX145" s="18">
        <f>+VLOOKUP('2. Logging Brejo Seco'!AP145,Apertura,3,FALSE)</f>
        <v>1</v>
      </c>
      <c r="AY145" s="18">
        <f>+VLOOKUP('2. Logging Brejo Seco'!AQ145,Leyenda!$B$55:$D$59,3,FALSE)</f>
        <v>1</v>
      </c>
      <c r="AZ145" s="18">
        <f>+VLOOKUP('2. Logging Brejo Seco'!AR145,Relleno,3,FALSE)</f>
        <v>0</v>
      </c>
      <c r="BA145" s="18">
        <f t="shared" si="65"/>
        <v>4</v>
      </c>
      <c r="BB145" s="49">
        <f t="shared" si="51"/>
        <v>0</v>
      </c>
      <c r="BC145" s="49">
        <f>VLOOKUP(AM145,Leyenda!$B$4:$D$10,3,FALSE)</f>
        <v>1</v>
      </c>
      <c r="BD145" s="50">
        <f t="shared" si="57"/>
        <v>5</v>
      </c>
      <c r="BE145" s="49">
        <f t="shared" si="58"/>
        <v>4</v>
      </c>
      <c r="BF145" s="49">
        <f>VLOOKUP(AS145,Leyenda!$B$70:$D$75,3,FALSE)</f>
        <v>15</v>
      </c>
      <c r="BG145" s="67">
        <f t="shared" si="52"/>
        <v>6</v>
      </c>
      <c r="BH145" s="67">
        <f>VLOOKUP(AM145,Leyenda!$B$4:$E$10,4,FALSE)</f>
        <v>1</v>
      </c>
      <c r="BI145" s="67">
        <f t="shared" si="59"/>
        <v>5</v>
      </c>
      <c r="BJ145" s="67">
        <f t="shared" si="53"/>
        <v>0</v>
      </c>
      <c r="BK145" s="67">
        <f>+VLOOKUP('2. Logging Brejo Seco'!AP145,Leyenda!$B$47:$E$51,4,FALSE)</f>
        <v>1</v>
      </c>
      <c r="BL145" s="67">
        <f>+VLOOKUP('2. Logging Brejo Seco'!AQ145,Leyenda!$B$55:$E$59,4,FALSE)</f>
        <v>1</v>
      </c>
      <c r="BM145" s="67">
        <f>+VLOOKUP('2. Logging Brejo Seco'!AR145,Leyenda!$B$63:$E$67,3,FALSE)</f>
        <v>0</v>
      </c>
      <c r="BN145" s="67">
        <f>+VLOOKUP('2. Logging Brejo Seco'!AO145,Leyenda!$B$39:$E$43,4,FALSE)</f>
        <v>1</v>
      </c>
      <c r="BO145" s="67">
        <f>+VLOOKUP('2. Logging Brejo Seco'!AN145,Leyenda!$B$30:$E$34,4,FALSE)</f>
        <v>1</v>
      </c>
      <c r="BP145" s="67">
        <f>VLOOKUP(AS145,Leyenda!$B$71:$E$75,4,FALSE)</f>
        <v>10</v>
      </c>
      <c r="BQ145" s="125">
        <f t="shared" si="60"/>
        <v>20</v>
      </c>
      <c r="BR145" s="85">
        <f t="shared" si="61"/>
        <v>25</v>
      </c>
      <c r="BS145" s="240">
        <f t="shared" si="62"/>
        <v>0.7</v>
      </c>
      <c r="BT145" s="18" t="s">
        <v>744</v>
      </c>
    </row>
    <row r="146" spans="1:72" x14ac:dyDescent="0.25">
      <c r="A146" s="18" t="s">
        <v>6</v>
      </c>
      <c r="B146" s="18">
        <v>2024</v>
      </c>
      <c r="C146" s="18" t="s">
        <v>138</v>
      </c>
      <c r="D146" s="18" t="s">
        <v>245</v>
      </c>
      <c r="E146" s="18">
        <v>50</v>
      </c>
      <c r="F146" s="18">
        <v>50</v>
      </c>
      <c r="G146" s="18" t="s">
        <v>154</v>
      </c>
      <c r="H146" s="248">
        <f t="shared" si="63"/>
        <v>50</v>
      </c>
      <c r="I146" s="135"/>
      <c r="J146" s="18" t="s">
        <v>292</v>
      </c>
      <c r="K146" s="4">
        <f t="shared" si="49"/>
        <v>16.5</v>
      </c>
      <c r="L146" s="4">
        <v>17</v>
      </c>
      <c r="M146" s="4">
        <f t="shared" si="54"/>
        <v>0.5</v>
      </c>
      <c r="N146" s="5">
        <v>0.28000000000000003</v>
      </c>
      <c r="O146" s="5">
        <f t="shared" si="48"/>
        <v>0.72</v>
      </c>
      <c r="P146" s="31">
        <f t="shared" si="55"/>
        <v>0.14000000000000001</v>
      </c>
      <c r="Q146" s="31">
        <f t="shared" si="50"/>
        <v>0.14000000000000001</v>
      </c>
      <c r="R146" s="31">
        <v>28</v>
      </c>
      <c r="S146" s="31">
        <v>5</v>
      </c>
      <c r="T146" s="31">
        <v>0.14000000000000001</v>
      </c>
      <c r="U146" s="31">
        <v>0</v>
      </c>
      <c r="V146" s="65">
        <f t="shared" si="64"/>
        <v>0</v>
      </c>
      <c r="W146" s="31">
        <v>5</v>
      </c>
      <c r="X146" s="31"/>
      <c r="Y146" s="31">
        <f t="shared" si="66"/>
        <v>5</v>
      </c>
      <c r="Z146" s="31">
        <f t="shared" si="47"/>
        <v>28</v>
      </c>
      <c r="AA146" s="18">
        <v>0</v>
      </c>
      <c r="AB146" s="18" t="s">
        <v>330</v>
      </c>
      <c r="AC146" s="18" t="s">
        <v>118</v>
      </c>
      <c r="AD146" s="18" t="s">
        <v>337</v>
      </c>
      <c r="AE146" s="18">
        <v>5</v>
      </c>
      <c r="AF146" s="18">
        <v>28</v>
      </c>
      <c r="AG146" s="18" t="s">
        <v>32</v>
      </c>
      <c r="AH146" s="18" t="s">
        <v>32</v>
      </c>
      <c r="AI146" s="18" t="str">
        <f>+VLOOKUP(AH146,Leyenda!$O$4:$U$10,6,FALSE)</f>
        <v>0,15-0,25</v>
      </c>
      <c r="AJ146" s="18" t="str">
        <f>+VLOOKUP(AG146,Leyenda!$O$4:$U$10,7,FALSE)</f>
        <v>No Blasting need</v>
      </c>
      <c r="AK146" s="18">
        <f>+VLOOKUP(AJ146,Leyenda!$U$4:$V$10,2,FALSE)</f>
        <v>2</v>
      </c>
      <c r="AL146" s="18" t="s">
        <v>27</v>
      </c>
      <c r="AM146" s="18" t="str">
        <f t="shared" si="56"/>
        <v>R1</v>
      </c>
      <c r="AN146" s="18" t="s">
        <v>66</v>
      </c>
      <c r="AO146" s="18" t="s">
        <v>79</v>
      </c>
      <c r="AP146" s="18" t="s">
        <v>96</v>
      </c>
      <c r="AQ146" s="18" t="s">
        <v>109</v>
      </c>
      <c r="AR146" s="18" t="s">
        <v>122</v>
      </c>
      <c r="AS146" s="18" t="s">
        <v>198</v>
      </c>
      <c r="AT146" s="18" t="s">
        <v>237</v>
      </c>
      <c r="AU146" s="18"/>
      <c r="AV146" s="18">
        <f>+VLOOKUP(AN146,Leyenda!$B$30:$E$34,3,FALSE)</f>
        <v>1</v>
      </c>
      <c r="AW146" s="18">
        <f>+VLOOKUP('2. Logging Brejo Seco'!AO146,Meteorizacion,3,FALSE)</f>
        <v>1</v>
      </c>
      <c r="AX146" s="18">
        <f>+VLOOKUP('2. Logging Brejo Seco'!AP146,Apertura,3,FALSE)</f>
        <v>1</v>
      </c>
      <c r="AY146" s="18">
        <f>+VLOOKUP('2. Logging Brejo Seco'!AQ146,Leyenda!$B$55:$D$59,3,FALSE)</f>
        <v>1</v>
      </c>
      <c r="AZ146" s="18">
        <f>+VLOOKUP('2. Logging Brejo Seco'!AR146,Relleno,3,FALSE)</f>
        <v>0</v>
      </c>
      <c r="BA146" s="18">
        <f t="shared" si="65"/>
        <v>4</v>
      </c>
      <c r="BB146" s="49">
        <f t="shared" si="51"/>
        <v>0</v>
      </c>
      <c r="BC146" s="49">
        <f>VLOOKUP(AM146,Leyenda!$B$4:$D$10,3,FALSE)</f>
        <v>1</v>
      </c>
      <c r="BD146" s="50">
        <f t="shared" si="57"/>
        <v>5</v>
      </c>
      <c r="BE146" s="49">
        <f t="shared" si="58"/>
        <v>4</v>
      </c>
      <c r="BF146" s="49">
        <f>VLOOKUP(AS146,Leyenda!$B$70:$D$75,3,FALSE)</f>
        <v>15</v>
      </c>
      <c r="BG146" s="67">
        <f t="shared" si="52"/>
        <v>6</v>
      </c>
      <c r="BH146" s="67">
        <f>VLOOKUP(AM146,Leyenda!$B$4:$E$10,4,FALSE)</f>
        <v>1</v>
      </c>
      <c r="BI146" s="67">
        <f t="shared" si="59"/>
        <v>5</v>
      </c>
      <c r="BJ146" s="67">
        <f t="shared" si="53"/>
        <v>0</v>
      </c>
      <c r="BK146" s="67">
        <f>+VLOOKUP('2. Logging Brejo Seco'!AP146,Leyenda!$B$47:$E$51,4,FALSE)</f>
        <v>1</v>
      </c>
      <c r="BL146" s="67">
        <f>+VLOOKUP('2. Logging Brejo Seco'!AQ146,Leyenda!$B$55:$E$59,4,FALSE)</f>
        <v>1</v>
      </c>
      <c r="BM146" s="67">
        <f>+VLOOKUP('2. Logging Brejo Seco'!AR146,Leyenda!$B$63:$E$67,3,FALSE)</f>
        <v>0</v>
      </c>
      <c r="BN146" s="67">
        <f>+VLOOKUP('2. Logging Brejo Seco'!AO146,Leyenda!$B$39:$E$43,4,FALSE)</f>
        <v>1</v>
      </c>
      <c r="BO146" s="67">
        <f>+VLOOKUP('2. Logging Brejo Seco'!AN146,Leyenda!$B$30:$E$34,4,FALSE)</f>
        <v>1</v>
      </c>
      <c r="BP146" s="67">
        <f>VLOOKUP(AS146,Leyenda!$B$71:$E$75,4,FALSE)</f>
        <v>10</v>
      </c>
      <c r="BQ146" s="125">
        <f t="shared" si="60"/>
        <v>20</v>
      </c>
      <c r="BR146" s="85">
        <f t="shared" si="61"/>
        <v>25</v>
      </c>
      <c r="BS146" s="240">
        <f t="shared" si="62"/>
        <v>0.72</v>
      </c>
      <c r="BT146" s="18" t="s">
        <v>744</v>
      </c>
    </row>
    <row r="147" spans="1:72" x14ac:dyDescent="0.25">
      <c r="A147" s="18" t="s">
        <v>6</v>
      </c>
      <c r="B147" s="18">
        <v>2024</v>
      </c>
      <c r="C147" s="18" t="s">
        <v>138</v>
      </c>
      <c r="D147" s="18" t="s">
        <v>245</v>
      </c>
      <c r="E147" s="18">
        <v>50</v>
      </c>
      <c r="F147" s="18">
        <v>50</v>
      </c>
      <c r="G147" s="18" t="s">
        <v>154</v>
      </c>
      <c r="H147" s="248">
        <f t="shared" si="63"/>
        <v>50</v>
      </c>
      <c r="I147" s="135"/>
      <c r="J147" s="18" t="s">
        <v>292</v>
      </c>
      <c r="K147" s="4">
        <f t="shared" si="49"/>
        <v>17</v>
      </c>
      <c r="L147" s="4">
        <v>17.5</v>
      </c>
      <c r="M147" s="4">
        <f t="shared" si="54"/>
        <v>0.5</v>
      </c>
      <c r="N147" s="5">
        <v>0.22</v>
      </c>
      <c r="O147" s="5">
        <f t="shared" si="48"/>
        <v>0.78</v>
      </c>
      <c r="P147" s="31">
        <f t="shared" si="55"/>
        <v>0.11</v>
      </c>
      <c r="Q147" s="31">
        <f t="shared" si="50"/>
        <v>0.11</v>
      </c>
      <c r="R147" s="31">
        <v>5.5</v>
      </c>
      <c r="S147" s="31">
        <v>20</v>
      </c>
      <c r="T147" s="31">
        <v>0.11</v>
      </c>
      <c r="U147" s="31">
        <v>0</v>
      </c>
      <c r="V147" s="65">
        <f t="shared" si="64"/>
        <v>0</v>
      </c>
      <c r="W147" s="31">
        <v>3</v>
      </c>
      <c r="X147" s="31"/>
      <c r="Y147" s="31">
        <f t="shared" si="66"/>
        <v>3</v>
      </c>
      <c r="Z147" s="31">
        <f t="shared" si="47"/>
        <v>36.666666666666664</v>
      </c>
      <c r="AA147" s="18">
        <v>0</v>
      </c>
      <c r="AB147" s="18" t="s">
        <v>330</v>
      </c>
      <c r="AC147" s="18" t="s">
        <v>333</v>
      </c>
      <c r="AD147" s="18" t="s">
        <v>337</v>
      </c>
      <c r="AE147" s="18">
        <v>20</v>
      </c>
      <c r="AF147" s="18">
        <v>5.5</v>
      </c>
      <c r="AG147" s="18" t="s">
        <v>32</v>
      </c>
      <c r="AH147" s="18" t="s">
        <v>32</v>
      </c>
      <c r="AI147" s="18" t="str">
        <f>+VLOOKUP(AH147,Leyenda!$O$4:$U$10,6,FALSE)</f>
        <v>0,15-0,25</v>
      </c>
      <c r="AJ147" s="18" t="str">
        <f>+VLOOKUP(AG147,Leyenda!$O$4:$U$10,7,FALSE)</f>
        <v>No Blasting need</v>
      </c>
      <c r="AK147" s="18">
        <f>+VLOOKUP(AJ147,Leyenda!$U$4:$V$10,2,FALSE)</f>
        <v>2</v>
      </c>
      <c r="AL147" s="18" t="s">
        <v>27</v>
      </c>
      <c r="AM147" s="18" t="str">
        <f t="shared" si="56"/>
        <v>R1</v>
      </c>
      <c r="AN147" s="18" t="s">
        <v>66</v>
      </c>
      <c r="AO147" s="18" t="s">
        <v>79</v>
      </c>
      <c r="AP147" s="18" t="s">
        <v>96</v>
      </c>
      <c r="AQ147" s="18" t="s">
        <v>109</v>
      </c>
      <c r="AR147" s="18" t="s">
        <v>122</v>
      </c>
      <c r="AS147" s="18" t="s">
        <v>198</v>
      </c>
      <c r="AT147" s="18" t="s">
        <v>237</v>
      </c>
      <c r="AU147" s="18"/>
      <c r="AV147" s="18">
        <f>+VLOOKUP(AN147,Leyenda!$B$30:$E$34,3,FALSE)</f>
        <v>1</v>
      </c>
      <c r="AW147" s="18">
        <f>+VLOOKUP('2. Logging Brejo Seco'!AO147,Meteorizacion,3,FALSE)</f>
        <v>1</v>
      </c>
      <c r="AX147" s="18">
        <f>+VLOOKUP('2. Logging Brejo Seco'!AP147,Apertura,3,FALSE)</f>
        <v>1</v>
      </c>
      <c r="AY147" s="18">
        <f>+VLOOKUP('2. Logging Brejo Seco'!AQ147,Leyenda!$B$55:$D$59,3,FALSE)</f>
        <v>1</v>
      </c>
      <c r="AZ147" s="18">
        <f>+VLOOKUP('2. Logging Brejo Seco'!AR147,Relleno,3,FALSE)</f>
        <v>0</v>
      </c>
      <c r="BA147" s="18">
        <f t="shared" si="65"/>
        <v>4</v>
      </c>
      <c r="BB147" s="49">
        <f t="shared" si="51"/>
        <v>0</v>
      </c>
      <c r="BC147" s="49">
        <f>VLOOKUP(AM147,Leyenda!$B$4:$D$10,3,FALSE)</f>
        <v>1</v>
      </c>
      <c r="BD147" s="50">
        <f t="shared" si="57"/>
        <v>5</v>
      </c>
      <c r="BE147" s="49">
        <f t="shared" si="58"/>
        <v>4</v>
      </c>
      <c r="BF147" s="49">
        <f>VLOOKUP(AS147,Leyenda!$B$70:$D$75,3,FALSE)</f>
        <v>15</v>
      </c>
      <c r="BG147" s="67">
        <f t="shared" si="52"/>
        <v>6</v>
      </c>
      <c r="BH147" s="67">
        <f>VLOOKUP(AM147,Leyenda!$B$4:$E$10,4,FALSE)</f>
        <v>1</v>
      </c>
      <c r="BI147" s="67">
        <f t="shared" si="59"/>
        <v>5</v>
      </c>
      <c r="BJ147" s="67">
        <f t="shared" si="53"/>
        <v>0</v>
      </c>
      <c r="BK147" s="67">
        <f>+VLOOKUP('2. Logging Brejo Seco'!AP147,Leyenda!$B$47:$E$51,4,FALSE)</f>
        <v>1</v>
      </c>
      <c r="BL147" s="67">
        <f>+VLOOKUP('2. Logging Brejo Seco'!AQ147,Leyenda!$B$55:$E$59,4,FALSE)</f>
        <v>1</v>
      </c>
      <c r="BM147" s="67">
        <f>+VLOOKUP('2. Logging Brejo Seco'!AR147,Leyenda!$B$63:$E$67,3,FALSE)</f>
        <v>0</v>
      </c>
      <c r="BN147" s="67">
        <f>+VLOOKUP('2. Logging Brejo Seco'!AO147,Leyenda!$B$39:$E$43,4,FALSE)</f>
        <v>1</v>
      </c>
      <c r="BO147" s="67">
        <f>+VLOOKUP('2. Logging Brejo Seco'!AN147,Leyenda!$B$30:$E$34,4,FALSE)</f>
        <v>1</v>
      </c>
      <c r="BP147" s="67">
        <f>VLOOKUP(AS147,Leyenda!$B$71:$E$75,4,FALSE)</f>
        <v>10</v>
      </c>
      <c r="BQ147" s="125">
        <f t="shared" si="60"/>
        <v>20</v>
      </c>
      <c r="BR147" s="85">
        <f t="shared" si="61"/>
        <v>25</v>
      </c>
      <c r="BS147" s="240">
        <f t="shared" si="62"/>
        <v>0.78</v>
      </c>
      <c r="BT147" s="18" t="s">
        <v>743</v>
      </c>
    </row>
    <row r="148" spans="1:72" x14ac:dyDescent="0.25">
      <c r="A148" s="18" t="s">
        <v>6</v>
      </c>
      <c r="B148" s="18">
        <v>2024</v>
      </c>
      <c r="C148" s="18" t="s">
        <v>138</v>
      </c>
      <c r="D148" s="18" t="s">
        <v>245</v>
      </c>
      <c r="E148" s="18">
        <v>50</v>
      </c>
      <c r="F148" s="18">
        <v>50</v>
      </c>
      <c r="G148" s="18" t="s">
        <v>154</v>
      </c>
      <c r="H148" s="248">
        <f t="shared" si="63"/>
        <v>50</v>
      </c>
      <c r="I148" s="135"/>
      <c r="J148" s="18" t="s">
        <v>292</v>
      </c>
      <c r="K148" s="4">
        <f t="shared" si="49"/>
        <v>17.5</v>
      </c>
      <c r="L148" s="4">
        <v>18</v>
      </c>
      <c r="M148" s="4">
        <f t="shared" si="54"/>
        <v>0.5</v>
      </c>
      <c r="N148" s="5">
        <v>0.22</v>
      </c>
      <c r="O148" s="5">
        <f t="shared" si="48"/>
        <v>0.78</v>
      </c>
      <c r="P148" s="31">
        <f t="shared" si="55"/>
        <v>0.11</v>
      </c>
      <c r="Q148" s="31">
        <f t="shared" si="50"/>
        <v>0.11</v>
      </c>
      <c r="R148" s="31">
        <v>22</v>
      </c>
      <c r="S148" s="31">
        <v>5</v>
      </c>
      <c r="T148" s="31">
        <v>0.11</v>
      </c>
      <c r="U148" s="31">
        <v>0</v>
      </c>
      <c r="V148" s="65">
        <f t="shared" si="64"/>
        <v>0</v>
      </c>
      <c r="W148" s="31">
        <v>5</v>
      </c>
      <c r="X148" s="31"/>
      <c r="Y148" s="31">
        <f t="shared" si="66"/>
        <v>5</v>
      </c>
      <c r="Z148" s="31">
        <f t="shared" si="47"/>
        <v>22</v>
      </c>
      <c r="AA148" s="18">
        <v>0</v>
      </c>
      <c r="AB148" s="18" t="s">
        <v>330</v>
      </c>
      <c r="AC148" s="18" t="s">
        <v>118</v>
      </c>
      <c r="AD148" s="18" t="s">
        <v>337</v>
      </c>
      <c r="AE148" s="18">
        <v>5</v>
      </c>
      <c r="AF148" s="18">
        <v>22</v>
      </c>
      <c r="AG148" s="18" t="s">
        <v>32</v>
      </c>
      <c r="AH148" s="18" t="s">
        <v>32</v>
      </c>
      <c r="AI148" s="18" t="str">
        <f>+VLOOKUP(AH148,Leyenda!$O$4:$U$10,6,FALSE)</f>
        <v>0,15-0,25</v>
      </c>
      <c r="AJ148" s="18" t="str">
        <f>+VLOOKUP(AG148,Leyenda!$O$4:$U$10,7,FALSE)</f>
        <v>No Blasting need</v>
      </c>
      <c r="AK148" s="18">
        <f>+VLOOKUP(AJ148,Leyenda!$U$4:$V$10,2,FALSE)</f>
        <v>2</v>
      </c>
      <c r="AL148" s="18" t="s">
        <v>27</v>
      </c>
      <c r="AM148" s="18" t="str">
        <f t="shared" si="56"/>
        <v>R1</v>
      </c>
      <c r="AN148" s="18" t="s">
        <v>66</v>
      </c>
      <c r="AO148" s="18" t="s">
        <v>79</v>
      </c>
      <c r="AP148" s="18" t="s">
        <v>96</v>
      </c>
      <c r="AQ148" s="18" t="s">
        <v>109</v>
      </c>
      <c r="AR148" s="18" t="s">
        <v>122</v>
      </c>
      <c r="AS148" s="18" t="s">
        <v>198</v>
      </c>
      <c r="AT148" s="18" t="s">
        <v>237</v>
      </c>
      <c r="AU148" s="18"/>
      <c r="AV148" s="18">
        <f>+VLOOKUP(AN148,Leyenda!$B$30:$E$34,3,FALSE)</f>
        <v>1</v>
      </c>
      <c r="AW148" s="18">
        <f>+VLOOKUP('2. Logging Brejo Seco'!AO148,Meteorizacion,3,FALSE)</f>
        <v>1</v>
      </c>
      <c r="AX148" s="18">
        <f>+VLOOKUP('2. Logging Brejo Seco'!AP148,Apertura,3,FALSE)</f>
        <v>1</v>
      </c>
      <c r="AY148" s="18">
        <f>+VLOOKUP('2. Logging Brejo Seco'!AQ148,Leyenda!$B$55:$D$59,3,FALSE)</f>
        <v>1</v>
      </c>
      <c r="AZ148" s="18">
        <f>+VLOOKUP('2. Logging Brejo Seco'!AR148,Relleno,3,FALSE)</f>
        <v>0</v>
      </c>
      <c r="BA148" s="18">
        <f t="shared" si="65"/>
        <v>4</v>
      </c>
      <c r="BB148" s="49">
        <f t="shared" si="51"/>
        <v>0</v>
      </c>
      <c r="BC148" s="49">
        <f>VLOOKUP(AM148,Leyenda!$B$4:$D$10,3,FALSE)</f>
        <v>1</v>
      </c>
      <c r="BD148" s="50">
        <f t="shared" si="57"/>
        <v>4</v>
      </c>
      <c r="BE148" s="49">
        <f t="shared" si="58"/>
        <v>4</v>
      </c>
      <c r="BF148" s="49">
        <f>VLOOKUP(AS148,Leyenda!$B$70:$D$75,3,FALSE)</f>
        <v>15</v>
      </c>
      <c r="BG148" s="67">
        <f t="shared" si="52"/>
        <v>6</v>
      </c>
      <c r="BH148" s="67">
        <f>VLOOKUP(AM148,Leyenda!$B$4:$E$10,4,FALSE)</f>
        <v>1</v>
      </c>
      <c r="BI148" s="67">
        <f t="shared" si="59"/>
        <v>5</v>
      </c>
      <c r="BJ148" s="67">
        <f t="shared" si="53"/>
        <v>0</v>
      </c>
      <c r="BK148" s="67">
        <f>+VLOOKUP('2. Logging Brejo Seco'!AP148,Leyenda!$B$47:$E$51,4,FALSE)</f>
        <v>1</v>
      </c>
      <c r="BL148" s="67">
        <f>+VLOOKUP('2. Logging Brejo Seco'!AQ148,Leyenda!$B$55:$E$59,4,FALSE)</f>
        <v>1</v>
      </c>
      <c r="BM148" s="67">
        <f>+VLOOKUP('2. Logging Brejo Seco'!AR148,Leyenda!$B$63:$E$67,3,FALSE)</f>
        <v>0</v>
      </c>
      <c r="BN148" s="67">
        <f>+VLOOKUP('2. Logging Brejo Seco'!AO148,Leyenda!$B$39:$E$43,4,FALSE)</f>
        <v>1</v>
      </c>
      <c r="BO148" s="67">
        <f>+VLOOKUP('2. Logging Brejo Seco'!AN148,Leyenda!$B$30:$E$34,4,FALSE)</f>
        <v>1</v>
      </c>
      <c r="BP148" s="67">
        <f>VLOOKUP(AS148,Leyenda!$B$71:$E$75,4,FALSE)</f>
        <v>10</v>
      </c>
      <c r="BQ148" s="125">
        <f t="shared" si="60"/>
        <v>20</v>
      </c>
      <c r="BR148" s="85">
        <f t="shared" si="61"/>
        <v>24</v>
      </c>
      <c r="BS148" s="240">
        <f t="shared" si="62"/>
        <v>0.78</v>
      </c>
      <c r="BT148" s="18" t="s">
        <v>743</v>
      </c>
    </row>
    <row r="149" spans="1:72" x14ac:dyDescent="0.25">
      <c r="A149" s="18" t="s">
        <v>6</v>
      </c>
      <c r="B149" s="18">
        <v>2024</v>
      </c>
      <c r="C149" s="18" t="s">
        <v>138</v>
      </c>
      <c r="D149" s="18" t="s">
        <v>245</v>
      </c>
      <c r="E149" s="18">
        <v>50</v>
      </c>
      <c r="F149" s="18">
        <v>50</v>
      </c>
      <c r="G149" s="18" t="s">
        <v>154</v>
      </c>
      <c r="H149" s="248">
        <f t="shared" si="63"/>
        <v>50</v>
      </c>
      <c r="I149" s="135"/>
      <c r="J149" s="18" t="s">
        <v>292</v>
      </c>
      <c r="K149" s="4">
        <f t="shared" si="49"/>
        <v>18</v>
      </c>
      <c r="L149" s="4">
        <v>18.5</v>
      </c>
      <c r="M149" s="4">
        <f t="shared" si="54"/>
        <v>0.5</v>
      </c>
      <c r="N149" s="5">
        <v>0</v>
      </c>
      <c r="O149" s="5">
        <f t="shared" si="48"/>
        <v>1</v>
      </c>
      <c r="P149" s="31">
        <f t="shared" si="55"/>
        <v>0</v>
      </c>
      <c r="Q149" s="31">
        <f t="shared" si="50"/>
        <v>0</v>
      </c>
      <c r="R149" s="31" t="s">
        <v>348</v>
      </c>
      <c r="S149" s="31">
        <v>20</v>
      </c>
      <c r="T149" s="31">
        <v>0</v>
      </c>
      <c r="U149" s="31">
        <v>0</v>
      </c>
      <c r="V149" s="65">
        <f t="shared" si="64"/>
        <v>0</v>
      </c>
      <c r="W149" s="31">
        <v>10</v>
      </c>
      <c r="X149" s="31"/>
      <c r="Y149" s="31">
        <f t="shared" si="66"/>
        <v>10</v>
      </c>
      <c r="Z149" s="31">
        <v>10</v>
      </c>
      <c r="AA149" s="18">
        <v>0</v>
      </c>
      <c r="AB149" s="18" t="s">
        <v>330</v>
      </c>
      <c r="AC149" s="18" t="s">
        <v>333</v>
      </c>
      <c r="AD149" s="18" t="s">
        <v>337</v>
      </c>
      <c r="AE149" s="18">
        <v>20</v>
      </c>
      <c r="AF149" s="18" t="s">
        <v>348</v>
      </c>
      <c r="AG149" s="18" t="s">
        <v>34</v>
      </c>
      <c r="AH149" s="18" t="s">
        <v>34</v>
      </c>
      <c r="AI149" s="18">
        <f>+VLOOKUP(AH149,Leyenda!$O$4:$U$10,6,FALSE)</f>
        <v>0</v>
      </c>
      <c r="AJ149" s="18" t="str">
        <f>+VLOOKUP(AG149,Leyenda!$O$4:$U$10,7,FALSE)</f>
        <v>No Blasting need</v>
      </c>
      <c r="AK149" s="18">
        <f>+VLOOKUP(AJ149,Leyenda!$U$4:$V$10,2,FALSE)</f>
        <v>2</v>
      </c>
      <c r="AL149" s="18" t="s">
        <v>27</v>
      </c>
      <c r="AM149" s="18" t="str">
        <f t="shared" si="56"/>
        <v>R0</v>
      </c>
      <c r="AN149" s="18" t="s">
        <v>66</v>
      </c>
      <c r="AO149" s="18" t="s">
        <v>79</v>
      </c>
      <c r="AP149" s="18" t="s">
        <v>96</v>
      </c>
      <c r="AQ149" s="18" t="s">
        <v>109</v>
      </c>
      <c r="AR149" s="18" t="s">
        <v>122</v>
      </c>
      <c r="AS149" s="18" t="s">
        <v>198</v>
      </c>
      <c r="AT149" s="18"/>
      <c r="AU149" s="18"/>
      <c r="AV149" s="18">
        <f>+VLOOKUP(AN149,Leyenda!$B$30:$E$34,3,FALSE)</f>
        <v>1</v>
      </c>
      <c r="AW149" s="18">
        <f>+VLOOKUP('2. Logging Brejo Seco'!AO149,Meteorizacion,3,FALSE)</f>
        <v>1</v>
      </c>
      <c r="AX149" s="18">
        <f>+VLOOKUP('2. Logging Brejo Seco'!AP149,Apertura,3,FALSE)</f>
        <v>1</v>
      </c>
      <c r="AY149" s="18">
        <f>+VLOOKUP('2. Logging Brejo Seco'!AQ149,Leyenda!$B$55:$D$59,3,FALSE)</f>
        <v>1</v>
      </c>
      <c r="AZ149" s="18">
        <f>+VLOOKUP('2. Logging Brejo Seco'!AR149,Relleno,3,FALSE)</f>
        <v>0</v>
      </c>
      <c r="BA149" s="18">
        <f t="shared" si="65"/>
        <v>4</v>
      </c>
      <c r="BB149" s="49">
        <f t="shared" si="51"/>
        <v>0</v>
      </c>
      <c r="BC149" s="49">
        <f>VLOOKUP(AM149,Leyenda!$B$4:$D$10,3,FALSE)</f>
        <v>0</v>
      </c>
      <c r="BD149" s="50">
        <f t="shared" si="57"/>
        <v>3</v>
      </c>
      <c r="BE149" s="49">
        <f t="shared" si="58"/>
        <v>4</v>
      </c>
      <c r="BF149" s="49">
        <f>VLOOKUP(AS149,Leyenda!$B$70:$D$75,3,FALSE)</f>
        <v>15</v>
      </c>
      <c r="BG149" s="67">
        <f t="shared" si="52"/>
        <v>6</v>
      </c>
      <c r="BH149" s="67">
        <f>VLOOKUP(AM149,Leyenda!$B$4:$E$10,4,FALSE)</f>
        <v>0</v>
      </c>
      <c r="BI149" s="67">
        <f t="shared" si="59"/>
        <v>5</v>
      </c>
      <c r="BJ149" s="67">
        <f t="shared" si="53"/>
        <v>0</v>
      </c>
      <c r="BK149" s="67">
        <f>+VLOOKUP('2. Logging Brejo Seco'!AP149,Leyenda!$B$47:$E$51,4,FALSE)</f>
        <v>1</v>
      </c>
      <c r="BL149" s="67">
        <f>+VLOOKUP('2. Logging Brejo Seco'!AQ149,Leyenda!$B$55:$E$59,4,FALSE)</f>
        <v>1</v>
      </c>
      <c r="BM149" s="67">
        <f>+VLOOKUP('2. Logging Brejo Seco'!AR149,Leyenda!$B$63:$E$67,3,FALSE)</f>
        <v>0</v>
      </c>
      <c r="BN149" s="67">
        <f>+VLOOKUP('2. Logging Brejo Seco'!AO149,Leyenda!$B$39:$E$43,4,FALSE)</f>
        <v>1</v>
      </c>
      <c r="BO149" s="67">
        <f>+VLOOKUP('2. Logging Brejo Seco'!AN149,Leyenda!$B$30:$E$34,4,FALSE)</f>
        <v>1</v>
      </c>
      <c r="BP149" s="67">
        <f>VLOOKUP(AS149,Leyenda!$B$71:$E$75,4,FALSE)</f>
        <v>10</v>
      </c>
      <c r="BQ149" s="125">
        <f t="shared" si="60"/>
        <v>19</v>
      </c>
      <c r="BR149" s="85">
        <f t="shared" si="61"/>
        <v>22</v>
      </c>
      <c r="BS149" s="240">
        <f t="shared" si="62"/>
        <v>1</v>
      </c>
      <c r="BT149" s="18" t="s">
        <v>743</v>
      </c>
    </row>
    <row r="150" spans="1:72" x14ac:dyDescent="0.25">
      <c r="A150" s="18" t="s">
        <v>6</v>
      </c>
      <c r="B150" s="18">
        <v>2024</v>
      </c>
      <c r="C150" s="18" t="s">
        <v>138</v>
      </c>
      <c r="D150" s="18" t="s">
        <v>245</v>
      </c>
      <c r="E150" s="18">
        <v>50</v>
      </c>
      <c r="F150" s="18">
        <v>50</v>
      </c>
      <c r="G150" s="18" t="s">
        <v>154</v>
      </c>
      <c r="H150" s="248">
        <f t="shared" si="63"/>
        <v>50</v>
      </c>
      <c r="I150" s="135"/>
      <c r="J150" s="18" t="s">
        <v>293</v>
      </c>
      <c r="K150" s="4">
        <f t="shared" si="49"/>
        <v>18.5</v>
      </c>
      <c r="L150" s="4">
        <v>19</v>
      </c>
      <c r="M150" s="4">
        <f t="shared" si="54"/>
        <v>0.5</v>
      </c>
      <c r="N150" s="5">
        <v>0.14000000000000001</v>
      </c>
      <c r="O150" s="5">
        <f t="shared" si="48"/>
        <v>0.86</v>
      </c>
      <c r="P150" s="31">
        <f t="shared" si="55"/>
        <v>7.0000000000000007E-2</v>
      </c>
      <c r="Q150" s="31">
        <f t="shared" si="50"/>
        <v>7.0000000000000007E-2</v>
      </c>
      <c r="R150" s="31">
        <v>3.5</v>
      </c>
      <c r="S150" s="31">
        <v>20</v>
      </c>
      <c r="T150" s="31">
        <v>0.1</v>
      </c>
      <c r="U150" s="31">
        <v>0</v>
      </c>
      <c r="V150" s="65">
        <f t="shared" si="64"/>
        <v>0</v>
      </c>
      <c r="W150" s="31">
        <v>10</v>
      </c>
      <c r="X150" s="31"/>
      <c r="Y150" s="31">
        <f t="shared" si="66"/>
        <v>10</v>
      </c>
      <c r="Z150" s="31">
        <f t="shared" si="47"/>
        <v>10</v>
      </c>
      <c r="AA150" s="18">
        <v>0</v>
      </c>
      <c r="AB150" s="18" t="s">
        <v>330</v>
      </c>
      <c r="AC150" s="18" t="s">
        <v>333</v>
      </c>
      <c r="AD150" s="18" t="s">
        <v>337</v>
      </c>
      <c r="AE150" s="18">
        <v>20</v>
      </c>
      <c r="AF150" s="18">
        <v>3.5</v>
      </c>
      <c r="AG150" s="18" t="s">
        <v>32</v>
      </c>
      <c r="AH150" s="18" t="s">
        <v>32</v>
      </c>
      <c r="AI150" s="18" t="str">
        <f>+VLOOKUP(AH150,Leyenda!$O$4:$U$10,6,FALSE)</f>
        <v>0,15-0,25</v>
      </c>
      <c r="AJ150" s="18" t="str">
        <f>+VLOOKUP(AG150,Leyenda!$O$4:$U$10,7,FALSE)</f>
        <v>No Blasting need</v>
      </c>
      <c r="AK150" s="18">
        <f>+VLOOKUP(AJ150,Leyenda!$U$4:$V$10,2,FALSE)</f>
        <v>2</v>
      </c>
      <c r="AL150" s="18" t="s">
        <v>239</v>
      </c>
      <c r="AM150" s="18" t="str">
        <f t="shared" si="56"/>
        <v>R1</v>
      </c>
      <c r="AN150" s="18" t="s">
        <v>69</v>
      </c>
      <c r="AO150" s="18" t="s">
        <v>81</v>
      </c>
      <c r="AP150" s="18" t="s">
        <v>100</v>
      </c>
      <c r="AQ150" s="18" t="s">
        <v>109</v>
      </c>
      <c r="AR150" s="18" t="s">
        <v>122</v>
      </c>
      <c r="AS150" s="18" t="s">
        <v>198</v>
      </c>
      <c r="AT150" s="18" t="s">
        <v>238</v>
      </c>
      <c r="AU150" s="18"/>
      <c r="AV150" s="18">
        <f>+VLOOKUP(AN150,Leyenda!$B$30:$E$34,3,FALSE)</f>
        <v>0</v>
      </c>
      <c r="AW150" s="18">
        <f>+VLOOKUP('2. Logging Brejo Seco'!AO150,Meteorizacion,3,FALSE)</f>
        <v>0</v>
      </c>
      <c r="AX150" s="18">
        <f>+VLOOKUP('2. Logging Brejo Seco'!AP150,Apertura,3,FALSE)</f>
        <v>0</v>
      </c>
      <c r="AY150" s="18">
        <f>+VLOOKUP('2. Logging Brejo Seco'!AQ150,Leyenda!$B$55:$D$59,3,FALSE)</f>
        <v>1</v>
      </c>
      <c r="AZ150" s="18">
        <f>+VLOOKUP('2. Logging Brejo Seco'!AR150,Relleno,3,FALSE)</f>
        <v>0</v>
      </c>
      <c r="BA150" s="18">
        <f t="shared" si="65"/>
        <v>1</v>
      </c>
      <c r="BB150" s="49">
        <f t="shared" si="51"/>
        <v>0</v>
      </c>
      <c r="BC150" s="49">
        <f>VLOOKUP(AM150,Leyenda!$B$4:$D$10,3,FALSE)</f>
        <v>1</v>
      </c>
      <c r="BD150" s="50">
        <f t="shared" si="57"/>
        <v>3</v>
      </c>
      <c r="BE150" s="49">
        <f t="shared" si="58"/>
        <v>1</v>
      </c>
      <c r="BF150" s="49">
        <f>VLOOKUP(AS150,Leyenda!$B$70:$D$75,3,FALSE)</f>
        <v>15</v>
      </c>
      <c r="BG150" s="67">
        <f t="shared" si="52"/>
        <v>1.5</v>
      </c>
      <c r="BH150" s="67">
        <f>VLOOKUP(AM150,Leyenda!$B$4:$E$10,4,FALSE)</f>
        <v>1</v>
      </c>
      <c r="BI150" s="67">
        <f t="shared" si="59"/>
        <v>5</v>
      </c>
      <c r="BJ150" s="67">
        <f t="shared" si="53"/>
        <v>0</v>
      </c>
      <c r="BK150" s="67">
        <f>+VLOOKUP('2. Logging Brejo Seco'!AP150,Leyenda!$B$47:$E$51,4,FALSE)</f>
        <v>0</v>
      </c>
      <c r="BL150" s="67">
        <f>+VLOOKUP('2. Logging Brejo Seco'!AQ150,Leyenda!$B$55:$E$59,4,FALSE)</f>
        <v>1</v>
      </c>
      <c r="BM150" s="67">
        <f>+VLOOKUP('2. Logging Brejo Seco'!AR150,Leyenda!$B$63:$E$67,3,FALSE)</f>
        <v>0</v>
      </c>
      <c r="BN150" s="67">
        <f>+VLOOKUP('2. Logging Brejo Seco'!AO150,Leyenda!$B$39:$E$43,4,FALSE)</f>
        <v>0</v>
      </c>
      <c r="BO150" s="67">
        <f>+VLOOKUP('2. Logging Brejo Seco'!AN150,Leyenda!$B$30:$E$34,4,FALSE)</f>
        <v>0</v>
      </c>
      <c r="BP150" s="67">
        <f>VLOOKUP(AS150,Leyenda!$B$71:$E$75,4,FALSE)</f>
        <v>10</v>
      </c>
      <c r="BQ150" s="125">
        <f t="shared" si="60"/>
        <v>17</v>
      </c>
      <c r="BR150" s="85">
        <f t="shared" si="61"/>
        <v>20</v>
      </c>
      <c r="BS150" s="240">
        <f t="shared" si="62"/>
        <v>0.86</v>
      </c>
      <c r="BT150" s="18" t="s">
        <v>743</v>
      </c>
    </row>
    <row r="151" spans="1:72" x14ac:dyDescent="0.25">
      <c r="A151" s="18" t="s">
        <v>6</v>
      </c>
      <c r="B151" s="18">
        <v>2024</v>
      </c>
      <c r="C151" s="18" t="s">
        <v>138</v>
      </c>
      <c r="D151" s="18" t="s">
        <v>245</v>
      </c>
      <c r="E151" s="18">
        <v>50</v>
      </c>
      <c r="F151" s="18">
        <v>50</v>
      </c>
      <c r="G151" s="18" t="s">
        <v>154</v>
      </c>
      <c r="H151" s="248">
        <f t="shared" si="63"/>
        <v>50</v>
      </c>
      <c r="I151" s="135"/>
      <c r="J151" s="18" t="s">
        <v>293</v>
      </c>
      <c r="K151" s="4">
        <f t="shared" si="49"/>
        <v>19</v>
      </c>
      <c r="L151" s="4">
        <v>19.5</v>
      </c>
      <c r="M151" s="4">
        <f t="shared" si="54"/>
        <v>0.5</v>
      </c>
      <c r="N151" s="5">
        <v>0.38</v>
      </c>
      <c r="O151" s="5">
        <f t="shared" si="48"/>
        <v>0.62</v>
      </c>
      <c r="P151" s="31">
        <f t="shared" si="55"/>
        <v>0.19</v>
      </c>
      <c r="Q151" s="31">
        <f t="shared" si="50"/>
        <v>0.19</v>
      </c>
      <c r="R151" s="31">
        <v>9.5</v>
      </c>
      <c r="S151" s="31">
        <v>20</v>
      </c>
      <c r="T151" s="31">
        <v>0.18</v>
      </c>
      <c r="U151" s="31">
        <v>0</v>
      </c>
      <c r="V151" s="65">
        <f t="shared" si="64"/>
        <v>0</v>
      </c>
      <c r="W151" s="31">
        <v>5</v>
      </c>
      <c r="X151" s="31"/>
      <c r="Y151" s="31">
        <f t="shared" si="66"/>
        <v>5</v>
      </c>
      <c r="Z151" s="31">
        <f t="shared" si="47"/>
        <v>36</v>
      </c>
      <c r="AA151" s="18">
        <v>0</v>
      </c>
      <c r="AB151" s="18" t="s">
        <v>330</v>
      </c>
      <c r="AC151" s="18" t="s">
        <v>333</v>
      </c>
      <c r="AD151" s="18" t="s">
        <v>337</v>
      </c>
      <c r="AE151" s="18">
        <v>20</v>
      </c>
      <c r="AF151" s="18">
        <v>9.5</v>
      </c>
      <c r="AG151" s="18" t="s">
        <v>32</v>
      </c>
      <c r="AH151" s="18" t="s">
        <v>32</v>
      </c>
      <c r="AI151" s="18" t="str">
        <f>+VLOOKUP(AH151,Leyenda!$O$4:$U$10,6,FALSE)</f>
        <v>0,15-0,25</v>
      </c>
      <c r="AJ151" s="18" t="str">
        <f>+VLOOKUP(AG151,Leyenda!$O$4:$U$10,7,FALSE)</f>
        <v>No Blasting need</v>
      </c>
      <c r="AK151" s="18">
        <f>+VLOOKUP(AJ151,Leyenda!$U$4:$V$10,2,FALSE)</f>
        <v>2</v>
      </c>
      <c r="AL151" s="18" t="s">
        <v>239</v>
      </c>
      <c r="AM151" s="18" t="str">
        <f t="shared" si="56"/>
        <v>R1</v>
      </c>
      <c r="AN151" s="18" t="s">
        <v>69</v>
      </c>
      <c r="AO151" s="18" t="s">
        <v>81</v>
      </c>
      <c r="AP151" s="18" t="s">
        <v>100</v>
      </c>
      <c r="AQ151" s="18" t="s">
        <v>109</v>
      </c>
      <c r="AR151" s="18" t="s">
        <v>122</v>
      </c>
      <c r="AS151" s="18" t="s">
        <v>198</v>
      </c>
      <c r="AT151" s="18" t="s">
        <v>238</v>
      </c>
      <c r="AU151" s="18"/>
      <c r="AV151" s="18">
        <f>+VLOOKUP(AN151,Leyenda!$B$30:$E$34,3,FALSE)</f>
        <v>0</v>
      </c>
      <c r="AW151" s="18">
        <f>+VLOOKUP('2. Logging Brejo Seco'!AO151,Meteorizacion,3,FALSE)</f>
        <v>0</v>
      </c>
      <c r="AX151" s="18">
        <f>+VLOOKUP('2. Logging Brejo Seco'!AP151,Apertura,3,FALSE)</f>
        <v>0</v>
      </c>
      <c r="AY151" s="18">
        <f>+VLOOKUP('2. Logging Brejo Seco'!AQ151,Leyenda!$B$55:$D$59,3,FALSE)</f>
        <v>1</v>
      </c>
      <c r="AZ151" s="18">
        <f>+VLOOKUP('2. Logging Brejo Seco'!AR151,Relleno,3,FALSE)</f>
        <v>0</v>
      </c>
      <c r="BA151" s="18">
        <f t="shared" si="65"/>
        <v>1</v>
      </c>
      <c r="BB151" s="49">
        <f t="shared" si="51"/>
        <v>0</v>
      </c>
      <c r="BC151" s="49">
        <f>VLOOKUP(AM151,Leyenda!$B$4:$D$10,3,FALSE)</f>
        <v>1</v>
      </c>
      <c r="BD151" s="50">
        <f t="shared" si="57"/>
        <v>5</v>
      </c>
      <c r="BE151" s="49">
        <f t="shared" si="58"/>
        <v>1</v>
      </c>
      <c r="BF151" s="49">
        <f>VLOOKUP(AS151,Leyenda!$B$70:$D$75,3,FALSE)</f>
        <v>15</v>
      </c>
      <c r="BG151" s="67">
        <f t="shared" si="52"/>
        <v>1.5</v>
      </c>
      <c r="BH151" s="67">
        <f>VLOOKUP(AM151,Leyenda!$B$4:$E$10,4,FALSE)</f>
        <v>1</v>
      </c>
      <c r="BI151" s="67">
        <f t="shared" si="59"/>
        <v>5</v>
      </c>
      <c r="BJ151" s="67">
        <f t="shared" si="53"/>
        <v>0</v>
      </c>
      <c r="BK151" s="67">
        <f>+VLOOKUP('2. Logging Brejo Seco'!AP151,Leyenda!$B$47:$E$51,4,FALSE)</f>
        <v>0</v>
      </c>
      <c r="BL151" s="67">
        <f>+VLOOKUP('2. Logging Brejo Seco'!AQ151,Leyenda!$B$55:$E$59,4,FALSE)</f>
        <v>1</v>
      </c>
      <c r="BM151" s="67">
        <f>+VLOOKUP('2. Logging Brejo Seco'!AR151,Leyenda!$B$63:$E$67,3,FALSE)</f>
        <v>0</v>
      </c>
      <c r="BN151" s="67">
        <f>+VLOOKUP('2. Logging Brejo Seco'!AO151,Leyenda!$B$39:$E$43,4,FALSE)</f>
        <v>0</v>
      </c>
      <c r="BO151" s="67">
        <f>+VLOOKUP('2. Logging Brejo Seco'!AN151,Leyenda!$B$30:$E$34,4,FALSE)</f>
        <v>0</v>
      </c>
      <c r="BP151" s="67">
        <f>VLOOKUP(AS151,Leyenda!$B$71:$E$75,4,FALSE)</f>
        <v>10</v>
      </c>
      <c r="BQ151" s="125">
        <f t="shared" si="60"/>
        <v>17</v>
      </c>
      <c r="BR151" s="85">
        <f t="shared" si="61"/>
        <v>22</v>
      </c>
      <c r="BS151" s="240">
        <f t="shared" si="62"/>
        <v>0.62</v>
      </c>
      <c r="BT151" s="18" t="s">
        <v>743</v>
      </c>
    </row>
    <row r="152" spans="1:72" x14ac:dyDescent="0.25">
      <c r="A152" s="18" t="s">
        <v>6</v>
      </c>
      <c r="B152" s="18">
        <v>2024</v>
      </c>
      <c r="C152" s="18" t="s">
        <v>138</v>
      </c>
      <c r="D152" s="18" t="s">
        <v>245</v>
      </c>
      <c r="E152" s="18">
        <v>50</v>
      </c>
      <c r="F152" s="18">
        <v>50</v>
      </c>
      <c r="G152" s="18" t="s">
        <v>154</v>
      </c>
      <c r="H152" s="248">
        <f t="shared" si="63"/>
        <v>50</v>
      </c>
      <c r="I152" s="135"/>
      <c r="J152" s="18" t="s">
        <v>293</v>
      </c>
      <c r="K152" s="4">
        <f t="shared" si="49"/>
        <v>19.5</v>
      </c>
      <c r="L152" s="4">
        <v>20</v>
      </c>
      <c r="M152" s="4">
        <f t="shared" si="54"/>
        <v>0.5</v>
      </c>
      <c r="N152" s="5">
        <v>0.62</v>
      </c>
      <c r="O152" s="5">
        <f t="shared" si="48"/>
        <v>0.38</v>
      </c>
      <c r="P152" s="31">
        <f t="shared" si="55"/>
        <v>0.31</v>
      </c>
      <c r="Q152" s="31">
        <f t="shared" si="50"/>
        <v>0.31</v>
      </c>
      <c r="R152" s="31">
        <v>15.5</v>
      </c>
      <c r="S152" s="31">
        <v>20</v>
      </c>
      <c r="T152" s="31">
        <v>0.31</v>
      </c>
      <c r="U152" s="31">
        <v>0</v>
      </c>
      <c r="V152" s="65">
        <f t="shared" si="64"/>
        <v>0</v>
      </c>
      <c r="W152" s="31">
        <v>6</v>
      </c>
      <c r="X152" s="31"/>
      <c r="Y152" s="31">
        <f t="shared" si="66"/>
        <v>6</v>
      </c>
      <c r="Z152" s="31">
        <f t="shared" si="47"/>
        <v>51.666666666666664</v>
      </c>
      <c r="AA152" s="18">
        <v>0</v>
      </c>
      <c r="AB152" s="18" t="s">
        <v>330</v>
      </c>
      <c r="AC152" s="18" t="s">
        <v>333</v>
      </c>
      <c r="AD152" s="18" t="s">
        <v>337</v>
      </c>
      <c r="AE152" s="18">
        <v>20</v>
      </c>
      <c r="AF152" s="18">
        <v>15.5</v>
      </c>
      <c r="AG152" s="18" t="s">
        <v>32</v>
      </c>
      <c r="AH152" s="18" t="s">
        <v>32</v>
      </c>
      <c r="AI152" s="18" t="str">
        <f>+VLOOKUP(AH152,Leyenda!$O$4:$U$10,6,FALSE)</f>
        <v>0,15-0,25</v>
      </c>
      <c r="AJ152" s="18" t="str">
        <f>+VLOOKUP(AG152,Leyenda!$O$4:$U$10,7,FALSE)</f>
        <v>No Blasting need</v>
      </c>
      <c r="AK152" s="18">
        <f>+VLOOKUP(AJ152,Leyenda!$U$4:$V$10,2,FALSE)</f>
        <v>2</v>
      </c>
      <c r="AL152" s="18" t="s">
        <v>239</v>
      </c>
      <c r="AM152" s="18" t="str">
        <f t="shared" si="56"/>
        <v>R1</v>
      </c>
      <c r="AN152" s="18" t="s">
        <v>69</v>
      </c>
      <c r="AO152" s="18" t="s">
        <v>81</v>
      </c>
      <c r="AP152" s="18" t="s">
        <v>100</v>
      </c>
      <c r="AQ152" s="18" t="s">
        <v>109</v>
      </c>
      <c r="AR152" s="18" t="s">
        <v>122</v>
      </c>
      <c r="AS152" s="18" t="s">
        <v>198</v>
      </c>
      <c r="AT152" s="18" t="s">
        <v>238</v>
      </c>
      <c r="AU152" s="18"/>
      <c r="AV152" s="18">
        <f>+VLOOKUP(AN152,Leyenda!$B$30:$E$34,3,FALSE)</f>
        <v>0</v>
      </c>
      <c r="AW152" s="18">
        <f>+VLOOKUP('2. Logging Brejo Seco'!AO152,Meteorizacion,3,FALSE)</f>
        <v>0</v>
      </c>
      <c r="AX152" s="18">
        <f>+VLOOKUP('2. Logging Brejo Seco'!AP152,Apertura,3,FALSE)</f>
        <v>0</v>
      </c>
      <c r="AY152" s="18">
        <f>+VLOOKUP('2. Logging Brejo Seco'!AQ152,Leyenda!$B$55:$D$59,3,FALSE)</f>
        <v>1</v>
      </c>
      <c r="AZ152" s="18">
        <f>+VLOOKUP('2. Logging Brejo Seco'!AR152,Relleno,3,FALSE)</f>
        <v>0</v>
      </c>
      <c r="BA152" s="18">
        <f t="shared" si="65"/>
        <v>1</v>
      </c>
      <c r="BB152" s="49">
        <f t="shared" si="51"/>
        <v>0</v>
      </c>
      <c r="BC152" s="49">
        <f>VLOOKUP(AM152,Leyenda!$B$4:$D$10,3,FALSE)</f>
        <v>1</v>
      </c>
      <c r="BD152" s="50">
        <f t="shared" si="57"/>
        <v>6</v>
      </c>
      <c r="BE152" s="49">
        <f t="shared" si="58"/>
        <v>1</v>
      </c>
      <c r="BF152" s="49">
        <f>VLOOKUP(AS152,Leyenda!$B$70:$D$75,3,FALSE)</f>
        <v>15</v>
      </c>
      <c r="BG152" s="67">
        <f t="shared" si="52"/>
        <v>1.5</v>
      </c>
      <c r="BH152" s="67">
        <f>VLOOKUP(AM152,Leyenda!$B$4:$E$10,4,FALSE)</f>
        <v>1</v>
      </c>
      <c r="BI152" s="67">
        <f t="shared" si="59"/>
        <v>4</v>
      </c>
      <c r="BJ152" s="67">
        <f t="shared" si="53"/>
        <v>0</v>
      </c>
      <c r="BK152" s="67">
        <f>+VLOOKUP('2. Logging Brejo Seco'!AP152,Leyenda!$B$47:$E$51,4,FALSE)</f>
        <v>0</v>
      </c>
      <c r="BL152" s="67">
        <f>+VLOOKUP('2. Logging Brejo Seco'!AQ152,Leyenda!$B$55:$E$59,4,FALSE)</f>
        <v>1</v>
      </c>
      <c r="BM152" s="67">
        <f>+VLOOKUP('2. Logging Brejo Seco'!AR152,Leyenda!$B$63:$E$67,3,FALSE)</f>
        <v>0</v>
      </c>
      <c r="BN152" s="67">
        <f>+VLOOKUP('2. Logging Brejo Seco'!AO152,Leyenda!$B$39:$E$43,4,FALSE)</f>
        <v>0</v>
      </c>
      <c r="BO152" s="67">
        <f>+VLOOKUP('2. Logging Brejo Seco'!AN152,Leyenda!$B$30:$E$34,4,FALSE)</f>
        <v>0</v>
      </c>
      <c r="BP152" s="67">
        <f>VLOOKUP(AS152,Leyenda!$B$71:$E$75,4,FALSE)</f>
        <v>10</v>
      </c>
      <c r="BQ152" s="125">
        <f t="shared" si="60"/>
        <v>16</v>
      </c>
      <c r="BR152" s="85">
        <f t="shared" si="61"/>
        <v>23</v>
      </c>
      <c r="BS152" s="240">
        <f t="shared" si="62"/>
        <v>0.38</v>
      </c>
      <c r="BT152" s="18" t="s">
        <v>743</v>
      </c>
    </row>
    <row r="153" spans="1:72" x14ac:dyDescent="0.25">
      <c r="A153" s="18" t="s">
        <v>6</v>
      </c>
      <c r="B153" s="18">
        <v>2024</v>
      </c>
      <c r="C153" s="18" t="s">
        <v>138</v>
      </c>
      <c r="D153" s="18" t="s">
        <v>245</v>
      </c>
      <c r="E153" s="18">
        <v>50</v>
      </c>
      <c r="F153" s="18">
        <v>50</v>
      </c>
      <c r="G153" s="18" t="s">
        <v>154</v>
      </c>
      <c r="H153" s="248">
        <f t="shared" si="63"/>
        <v>50</v>
      </c>
      <c r="I153" s="135"/>
      <c r="J153" s="18" t="s">
        <v>293</v>
      </c>
      <c r="K153" s="4">
        <f t="shared" si="49"/>
        <v>20</v>
      </c>
      <c r="L153" s="4">
        <v>20.5</v>
      </c>
      <c r="M153" s="4">
        <f t="shared" si="54"/>
        <v>0.5</v>
      </c>
      <c r="N153" s="5">
        <v>0.5</v>
      </c>
      <c r="O153" s="5">
        <f t="shared" si="48"/>
        <v>0.5</v>
      </c>
      <c r="P153" s="31">
        <f t="shared" si="55"/>
        <v>0.25</v>
      </c>
      <c r="Q153" s="31">
        <f t="shared" si="50"/>
        <v>0.25</v>
      </c>
      <c r="R153" s="31">
        <v>12.5</v>
      </c>
      <c r="S153" s="31">
        <v>20</v>
      </c>
      <c r="T153" s="31">
        <v>0.24</v>
      </c>
      <c r="U153" s="31">
        <v>0</v>
      </c>
      <c r="V153" s="65">
        <f t="shared" si="64"/>
        <v>0</v>
      </c>
      <c r="W153" s="31">
        <v>4</v>
      </c>
      <c r="X153" s="31"/>
      <c r="Y153" s="31">
        <f t="shared" si="66"/>
        <v>4</v>
      </c>
      <c r="Z153" s="31">
        <f t="shared" si="47"/>
        <v>60</v>
      </c>
      <c r="AA153" s="18">
        <v>0</v>
      </c>
      <c r="AB153" s="18" t="s">
        <v>330</v>
      </c>
      <c r="AC153" s="18" t="s">
        <v>333</v>
      </c>
      <c r="AD153" s="18" t="s">
        <v>337</v>
      </c>
      <c r="AE153" s="18">
        <v>20</v>
      </c>
      <c r="AF153" s="18">
        <v>12.5</v>
      </c>
      <c r="AG153" s="18" t="s">
        <v>32</v>
      </c>
      <c r="AH153" s="18" t="s">
        <v>32</v>
      </c>
      <c r="AI153" s="18" t="str">
        <f>+VLOOKUP(AH153,Leyenda!$O$4:$U$10,6,FALSE)</f>
        <v>0,15-0,25</v>
      </c>
      <c r="AJ153" s="18" t="str">
        <f>+VLOOKUP(AG153,Leyenda!$O$4:$U$10,7,FALSE)</f>
        <v>No Blasting need</v>
      </c>
      <c r="AK153" s="18">
        <f>+VLOOKUP(AJ153,Leyenda!$U$4:$V$10,2,FALSE)</f>
        <v>2</v>
      </c>
      <c r="AL153" s="18" t="s">
        <v>239</v>
      </c>
      <c r="AM153" s="18" t="str">
        <f t="shared" si="56"/>
        <v>R1</v>
      </c>
      <c r="AN153" s="18" t="s">
        <v>69</v>
      </c>
      <c r="AO153" s="18" t="s">
        <v>81</v>
      </c>
      <c r="AP153" s="18" t="s">
        <v>100</v>
      </c>
      <c r="AQ153" s="18" t="s">
        <v>109</v>
      </c>
      <c r="AR153" s="18" t="s">
        <v>122</v>
      </c>
      <c r="AS153" s="18" t="s">
        <v>198</v>
      </c>
      <c r="AT153" s="18" t="s">
        <v>238</v>
      </c>
      <c r="AU153" s="18"/>
      <c r="AV153" s="18">
        <f>+VLOOKUP(AN153,Leyenda!$B$30:$E$34,3,FALSE)</f>
        <v>0</v>
      </c>
      <c r="AW153" s="18">
        <f>+VLOOKUP('2. Logging Brejo Seco'!AO153,Meteorizacion,3,FALSE)</f>
        <v>0</v>
      </c>
      <c r="AX153" s="18">
        <f>+VLOOKUP('2. Logging Brejo Seco'!AP153,Apertura,3,FALSE)</f>
        <v>0</v>
      </c>
      <c r="AY153" s="18">
        <f>+VLOOKUP('2. Logging Brejo Seco'!AQ153,Leyenda!$B$55:$D$59,3,FALSE)</f>
        <v>1</v>
      </c>
      <c r="AZ153" s="18">
        <f>+VLOOKUP('2. Logging Brejo Seco'!AR153,Relleno,3,FALSE)</f>
        <v>0</v>
      </c>
      <c r="BA153" s="18">
        <f t="shared" si="65"/>
        <v>1</v>
      </c>
      <c r="BB153" s="49">
        <f t="shared" si="51"/>
        <v>0</v>
      </c>
      <c r="BC153" s="49">
        <f>VLOOKUP(AM153,Leyenda!$B$4:$D$10,3,FALSE)</f>
        <v>1</v>
      </c>
      <c r="BD153" s="50">
        <f t="shared" si="57"/>
        <v>6</v>
      </c>
      <c r="BE153" s="49">
        <f t="shared" si="58"/>
        <v>1</v>
      </c>
      <c r="BF153" s="49">
        <f>VLOOKUP(AS153,Leyenda!$B$70:$D$75,3,FALSE)</f>
        <v>15</v>
      </c>
      <c r="BG153" s="67">
        <f t="shared" si="52"/>
        <v>1.5</v>
      </c>
      <c r="BH153" s="67">
        <f>VLOOKUP(AM153,Leyenda!$B$4:$E$10,4,FALSE)</f>
        <v>1</v>
      </c>
      <c r="BI153" s="67">
        <f t="shared" si="59"/>
        <v>5</v>
      </c>
      <c r="BJ153" s="67">
        <f t="shared" si="53"/>
        <v>0</v>
      </c>
      <c r="BK153" s="67">
        <f>+VLOOKUP('2. Logging Brejo Seco'!AP153,Leyenda!$B$47:$E$51,4,FALSE)</f>
        <v>0</v>
      </c>
      <c r="BL153" s="67">
        <f>+VLOOKUP('2. Logging Brejo Seco'!AQ153,Leyenda!$B$55:$E$59,4,FALSE)</f>
        <v>1</v>
      </c>
      <c r="BM153" s="67">
        <f>+VLOOKUP('2. Logging Brejo Seco'!AR153,Leyenda!$B$63:$E$67,3,FALSE)</f>
        <v>0</v>
      </c>
      <c r="BN153" s="67">
        <f>+VLOOKUP('2. Logging Brejo Seco'!AO153,Leyenda!$B$39:$E$43,4,FALSE)</f>
        <v>0</v>
      </c>
      <c r="BO153" s="67">
        <f>+VLOOKUP('2. Logging Brejo Seco'!AN153,Leyenda!$B$30:$E$34,4,FALSE)</f>
        <v>0</v>
      </c>
      <c r="BP153" s="67">
        <f>VLOOKUP(AS153,Leyenda!$B$71:$E$75,4,FALSE)</f>
        <v>10</v>
      </c>
      <c r="BQ153" s="125">
        <f t="shared" si="60"/>
        <v>17</v>
      </c>
      <c r="BR153" s="85">
        <f t="shared" si="61"/>
        <v>23</v>
      </c>
      <c r="BS153" s="240">
        <f t="shared" si="62"/>
        <v>0.5</v>
      </c>
      <c r="BT153" s="18" t="s">
        <v>743</v>
      </c>
    </row>
    <row r="154" spans="1:72" x14ac:dyDescent="0.25">
      <c r="A154" s="18" t="s">
        <v>6</v>
      </c>
      <c r="B154" s="18">
        <v>2024</v>
      </c>
      <c r="C154" s="18" t="s">
        <v>138</v>
      </c>
      <c r="D154" s="18" t="s">
        <v>245</v>
      </c>
      <c r="E154" s="18">
        <v>50</v>
      </c>
      <c r="F154" s="18">
        <v>50</v>
      </c>
      <c r="G154" s="18" t="s">
        <v>154</v>
      </c>
      <c r="H154" s="248">
        <f t="shared" si="63"/>
        <v>50</v>
      </c>
      <c r="I154" s="135"/>
      <c r="J154" s="18" t="s">
        <v>293</v>
      </c>
      <c r="K154" s="4">
        <f t="shared" si="49"/>
        <v>20.5</v>
      </c>
      <c r="L154" s="4">
        <v>21</v>
      </c>
      <c r="M154" s="4">
        <f t="shared" si="54"/>
        <v>0.5</v>
      </c>
      <c r="N154" s="5">
        <v>0.48</v>
      </c>
      <c r="O154" s="5">
        <f t="shared" si="48"/>
        <v>0.52</v>
      </c>
      <c r="P154" s="31">
        <f t="shared" si="55"/>
        <v>0.24</v>
      </c>
      <c r="Q154" s="31">
        <f t="shared" si="50"/>
        <v>0.24</v>
      </c>
      <c r="R154" s="31">
        <v>12</v>
      </c>
      <c r="S154" s="31">
        <v>20</v>
      </c>
      <c r="T154" s="31">
        <v>0.22</v>
      </c>
      <c r="U154" s="31">
        <v>0</v>
      </c>
      <c r="V154" s="65">
        <f t="shared" si="64"/>
        <v>0</v>
      </c>
      <c r="W154" s="31">
        <v>6</v>
      </c>
      <c r="X154" s="31"/>
      <c r="Y154" s="31">
        <f t="shared" si="66"/>
        <v>6</v>
      </c>
      <c r="Z154" s="31">
        <f t="shared" si="47"/>
        <v>36.666666666666664</v>
      </c>
      <c r="AA154" s="18">
        <v>0</v>
      </c>
      <c r="AB154" s="18" t="s">
        <v>330</v>
      </c>
      <c r="AC154" s="18" t="s">
        <v>333</v>
      </c>
      <c r="AD154" s="18" t="s">
        <v>337</v>
      </c>
      <c r="AE154" s="18">
        <v>20</v>
      </c>
      <c r="AF154" s="18">
        <v>12</v>
      </c>
      <c r="AG154" s="18" t="s">
        <v>32</v>
      </c>
      <c r="AH154" s="18" t="s">
        <v>32</v>
      </c>
      <c r="AI154" s="18" t="str">
        <f>+VLOOKUP(AH154,Leyenda!$O$4:$U$10,6,FALSE)</f>
        <v>0,15-0,25</v>
      </c>
      <c r="AJ154" s="18" t="str">
        <f>+VLOOKUP(AG154,Leyenda!$O$4:$U$10,7,FALSE)</f>
        <v>No Blasting need</v>
      </c>
      <c r="AK154" s="18">
        <f>+VLOOKUP(AJ154,Leyenda!$U$4:$V$10,2,FALSE)</f>
        <v>2</v>
      </c>
      <c r="AL154" s="18" t="s">
        <v>239</v>
      </c>
      <c r="AM154" s="18" t="str">
        <f t="shared" si="56"/>
        <v>R1</v>
      </c>
      <c r="AN154" s="18" t="s">
        <v>69</v>
      </c>
      <c r="AO154" s="18" t="s">
        <v>81</v>
      </c>
      <c r="AP154" s="18" t="s">
        <v>100</v>
      </c>
      <c r="AQ154" s="18" t="s">
        <v>109</v>
      </c>
      <c r="AR154" s="18" t="s">
        <v>122</v>
      </c>
      <c r="AS154" s="18" t="s">
        <v>198</v>
      </c>
      <c r="AT154" s="18" t="s">
        <v>238</v>
      </c>
      <c r="AU154" s="18"/>
      <c r="AV154" s="18">
        <f>+VLOOKUP(AN154,Leyenda!$B$30:$E$34,3,FALSE)</f>
        <v>0</v>
      </c>
      <c r="AW154" s="18">
        <f>+VLOOKUP('2. Logging Brejo Seco'!AO154,Meteorizacion,3,FALSE)</f>
        <v>0</v>
      </c>
      <c r="AX154" s="18">
        <f>+VLOOKUP('2. Logging Brejo Seco'!AP154,Apertura,3,FALSE)</f>
        <v>0</v>
      </c>
      <c r="AY154" s="18">
        <f>+VLOOKUP('2. Logging Brejo Seco'!AQ154,Leyenda!$B$55:$D$59,3,FALSE)</f>
        <v>1</v>
      </c>
      <c r="AZ154" s="18">
        <f>+VLOOKUP('2. Logging Brejo Seco'!AR154,Relleno,3,FALSE)</f>
        <v>0</v>
      </c>
      <c r="BA154" s="18">
        <f t="shared" si="65"/>
        <v>1</v>
      </c>
      <c r="BB154" s="49">
        <f t="shared" si="51"/>
        <v>0</v>
      </c>
      <c r="BC154" s="49">
        <f>VLOOKUP(AM154,Leyenda!$B$4:$D$10,3,FALSE)</f>
        <v>1</v>
      </c>
      <c r="BD154" s="50">
        <f t="shared" si="57"/>
        <v>5</v>
      </c>
      <c r="BE154" s="49">
        <f t="shared" si="58"/>
        <v>1</v>
      </c>
      <c r="BF154" s="49">
        <f>VLOOKUP(AS154,Leyenda!$B$70:$D$75,3,FALSE)</f>
        <v>15</v>
      </c>
      <c r="BG154" s="67">
        <f t="shared" si="52"/>
        <v>1.5</v>
      </c>
      <c r="BH154" s="67">
        <f>VLOOKUP(AM154,Leyenda!$B$4:$E$10,4,FALSE)</f>
        <v>1</v>
      </c>
      <c r="BI154" s="67">
        <f t="shared" si="59"/>
        <v>5</v>
      </c>
      <c r="BJ154" s="67">
        <f t="shared" si="53"/>
        <v>0</v>
      </c>
      <c r="BK154" s="67">
        <f>+VLOOKUP('2. Logging Brejo Seco'!AP154,Leyenda!$B$47:$E$51,4,FALSE)</f>
        <v>0</v>
      </c>
      <c r="BL154" s="67">
        <f>+VLOOKUP('2. Logging Brejo Seco'!AQ154,Leyenda!$B$55:$E$59,4,FALSE)</f>
        <v>1</v>
      </c>
      <c r="BM154" s="67">
        <f>+VLOOKUP('2. Logging Brejo Seco'!AR154,Leyenda!$B$63:$E$67,3,FALSE)</f>
        <v>0</v>
      </c>
      <c r="BN154" s="67">
        <f>+VLOOKUP('2. Logging Brejo Seco'!AO154,Leyenda!$B$39:$E$43,4,FALSE)</f>
        <v>0</v>
      </c>
      <c r="BO154" s="67">
        <f>+VLOOKUP('2. Logging Brejo Seco'!AN154,Leyenda!$B$30:$E$34,4,FALSE)</f>
        <v>0</v>
      </c>
      <c r="BP154" s="67">
        <f>VLOOKUP(AS154,Leyenda!$B$71:$E$75,4,FALSE)</f>
        <v>10</v>
      </c>
      <c r="BQ154" s="125">
        <f t="shared" si="60"/>
        <v>17</v>
      </c>
      <c r="BR154" s="85">
        <f t="shared" si="61"/>
        <v>22</v>
      </c>
      <c r="BS154" s="240">
        <f t="shared" si="62"/>
        <v>0.52</v>
      </c>
      <c r="BT154" s="18" t="s">
        <v>743</v>
      </c>
    </row>
    <row r="155" spans="1:72" x14ac:dyDescent="0.25">
      <c r="A155" s="18" t="s">
        <v>6</v>
      </c>
      <c r="B155" s="18">
        <v>2024</v>
      </c>
      <c r="C155" s="18" t="s">
        <v>138</v>
      </c>
      <c r="D155" s="18" t="s">
        <v>245</v>
      </c>
      <c r="E155" s="18">
        <v>50</v>
      </c>
      <c r="F155" s="18">
        <v>50</v>
      </c>
      <c r="G155" s="18" t="s">
        <v>154</v>
      </c>
      <c r="H155" s="248">
        <f t="shared" si="63"/>
        <v>50</v>
      </c>
      <c r="I155" s="135"/>
      <c r="J155" s="18" t="s">
        <v>293</v>
      </c>
      <c r="K155" s="4">
        <f t="shared" si="49"/>
        <v>21</v>
      </c>
      <c r="L155" s="4">
        <v>21.5</v>
      </c>
      <c r="M155" s="4">
        <f t="shared" si="54"/>
        <v>0.5</v>
      </c>
      <c r="N155" s="5">
        <v>0.5</v>
      </c>
      <c r="O155" s="5">
        <f t="shared" si="48"/>
        <v>0.5</v>
      </c>
      <c r="P155" s="31">
        <f t="shared" si="55"/>
        <v>0.25</v>
      </c>
      <c r="Q155" s="31">
        <f t="shared" si="50"/>
        <v>0.25</v>
      </c>
      <c r="R155" s="31">
        <v>12.5</v>
      </c>
      <c r="S155" s="31">
        <v>20</v>
      </c>
      <c r="T155" s="84">
        <v>0.23</v>
      </c>
      <c r="U155" s="31">
        <v>0</v>
      </c>
      <c r="V155" s="65">
        <f t="shared" si="64"/>
        <v>0</v>
      </c>
      <c r="W155" s="31">
        <v>5</v>
      </c>
      <c r="X155" s="31"/>
      <c r="Y155" s="31">
        <f t="shared" si="66"/>
        <v>5</v>
      </c>
      <c r="Z155" s="31">
        <f t="shared" si="47"/>
        <v>46</v>
      </c>
      <c r="AA155" s="18">
        <v>0</v>
      </c>
      <c r="AB155" s="18" t="s">
        <v>330</v>
      </c>
      <c r="AC155" s="18" t="s">
        <v>333</v>
      </c>
      <c r="AD155" s="18" t="s">
        <v>337</v>
      </c>
      <c r="AE155" s="18">
        <v>20</v>
      </c>
      <c r="AF155" s="18">
        <v>12.5</v>
      </c>
      <c r="AG155" s="18" t="s">
        <v>32</v>
      </c>
      <c r="AH155" s="18" t="s">
        <v>32</v>
      </c>
      <c r="AI155" s="18" t="str">
        <f>+VLOOKUP(AH155,Leyenda!$O$4:$U$10,6,FALSE)</f>
        <v>0,15-0,25</v>
      </c>
      <c r="AJ155" s="18" t="str">
        <f>+VLOOKUP(AG155,Leyenda!$O$4:$U$10,7,FALSE)</f>
        <v>No Blasting need</v>
      </c>
      <c r="AK155" s="18">
        <f>+VLOOKUP(AJ155,Leyenda!$U$4:$V$10,2,FALSE)</f>
        <v>2</v>
      </c>
      <c r="AL155" s="18" t="s">
        <v>239</v>
      </c>
      <c r="AM155" s="18" t="str">
        <f t="shared" si="56"/>
        <v>R1</v>
      </c>
      <c r="AN155" s="18" t="s">
        <v>69</v>
      </c>
      <c r="AO155" s="18" t="s">
        <v>81</v>
      </c>
      <c r="AP155" s="18" t="s">
        <v>100</v>
      </c>
      <c r="AQ155" s="18" t="s">
        <v>109</v>
      </c>
      <c r="AR155" s="18" t="s">
        <v>122</v>
      </c>
      <c r="AS155" s="18" t="s">
        <v>198</v>
      </c>
      <c r="AT155" s="18" t="s">
        <v>238</v>
      </c>
      <c r="AU155" s="18"/>
      <c r="AV155" s="18">
        <f>+VLOOKUP(AN155,Leyenda!$B$30:$E$34,3,FALSE)</f>
        <v>0</v>
      </c>
      <c r="AW155" s="18">
        <f>+VLOOKUP('2. Logging Brejo Seco'!AO155,Meteorizacion,3,FALSE)</f>
        <v>0</v>
      </c>
      <c r="AX155" s="18">
        <f>+VLOOKUP('2. Logging Brejo Seco'!AP155,Apertura,3,FALSE)</f>
        <v>0</v>
      </c>
      <c r="AY155" s="18">
        <f>+VLOOKUP('2. Logging Brejo Seco'!AQ155,Leyenda!$B$55:$D$59,3,FALSE)</f>
        <v>1</v>
      </c>
      <c r="AZ155" s="18">
        <f>+VLOOKUP('2. Logging Brejo Seco'!AR155,Relleno,3,FALSE)</f>
        <v>0</v>
      </c>
      <c r="BA155" s="18">
        <f t="shared" si="65"/>
        <v>1</v>
      </c>
      <c r="BB155" s="49">
        <f t="shared" si="51"/>
        <v>0</v>
      </c>
      <c r="BC155" s="49">
        <f>VLOOKUP(AM155,Leyenda!$B$4:$D$10,3,FALSE)</f>
        <v>1</v>
      </c>
      <c r="BD155" s="50">
        <f t="shared" si="57"/>
        <v>6</v>
      </c>
      <c r="BE155" s="49">
        <f t="shared" si="58"/>
        <v>1</v>
      </c>
      <c r="BF155" s="49">
        <f>VLOOKUP(AS155,Leyenda!$B$70:$D$75,3,FALSE)</f>
        <v>15</v>
      </c>
      <c r="BG155" s="67">
        <f t="shared" si="52"/>
        <v>1.5</v>
      </c>
      <c r="BH155" s="67">
        <f>VLOOKUP(AM155,Leyenda!$B$4:$E$10,4,FALSE)</f>
        <v>1</v>
      </c>
      <c r="BI155" s="67">
        <f t="shared" si="59"/>
        <v>5</v>
      </c>
      <c r="BJ155" s="67">
        <f t="shared" si="53"/>
        <v>0</v>
      </c>
      <c r="BK155" s="67">
        <f>+VLOOKUP('2. Logging Brejo Seco'!AP155,Leyenda!$B$47:$E$51,4,FALSE)</f>
        <v>0</v>
      </c>
      <c r="BL155" s="67">
        <f>+VLOOKUP('2. Logging Brejo Seco'!AQ155,Leyenda!$B$55:$E$59,4,FALSE)</f>
        <v>1</v>
      </c>
      <c r="BM155" s="67">
        <f>+VLOOKUP('2. Logging Brejo Seco'!AR155,Leyenda!$B$63:$E$67,3,FALSE)</f>
        <v>0</v>
      </c>
      <c r="BN155" s="67">
        <f>+VLOOKUP('2. Logging Brejo Seco'!AO155,Leyenda!$B$39:$E$43,4,FALSE)</f>
        <v>0</v>
      </c>
      <c r="BO155" s="67">
        <f>+VLOOKUP('2. Logging Brejo Seco'!AN155,Leyenda!$B$30:$E$34,4,FALSE)</f>
        <v>0</v>
      </c>
      <c r="BP155" s="67">
        <f>VLOOKUP(AS155,Leyenda!$B$71:$E$75,4,FALSE)</f>
        <v>10</v>
      </c>
      <c r="BQ155" s="125">
        <f t="shared" si="60"/>
        <v>17</v>
      </c>
      <c r="BR155" s="85">
        <f t="shared" si="61"/>
        <v>23</v>
      </c>
      <c r="BS155" s="240">
        <f t="shared" si="62"/>
        <v>0.5</v>
      </c>
      <c r="BT155" s="18" t="s">
        <v>743</v>
      </c>
    </row>
    <row r="156" spans="1:72" x14ac:dyDescent="0.25">
      <c r="A156" s="18" t="s">
        <v>6</v>
      </c>
      <c r="B156" s="18">
        <v>2024</v>
      </c>
      <c r="C156" s="18" t="s">
        <v>138</v>
      </c>
      <c r="D156" s="18" t="s">
        <v>245</v>
      </c>
      <c r="E156" s="18">
        <v>50</v>
      </c>
      <c r="F156" s="18">
        <v>50</v>
      </c>
      <c r="G156" s="18" t="s">
        <v>154</v>
      </c>
      <c r="H156" s="248">
        <f t="shared" si="63"/>
        <v>50</v>
      </c>
      <c r="I156" s="135"/>
      <c r="J156" s="18" t="s">
        <v>293</v>
      </c>
      <c r="K156" s="4">
        <f t="shared" si="49"/>
        <v>21.5</v>
      </c>
      <c r="L156" s="4">
        <v>22</v>
      </c>
      <c r="M156" s="4">
        <f t="shared" si="54"/>
        <v>0.5</v>
      </c>
      <c r="N156" s="5">
        <v>0.42</v>
      </c>
      <c r="O156" s="5">
        <f t="shared" si="48"/>
        <v>0.58000000000000007</v>
      </c>
      <c r="P156" s="31">
        <f t="shared" si="55"/>
        <v>0.21</v>
      </c>
      <c r="Q156" s="31">
        <f t="shared" si="50"/>
        <v>0.21</v>
      </c>
      <c r="R156" s="31">
        <v>10.5</v>
      </c>
      <c r="S156" s="31">
        <v>20</v>
      </c>
      <c r="T156" s="31">
        <v>0.17</v>
      </c>
      <c r="U156" s="31">
        <v>0</v>
      </c>
      <c r="V156" s="65">
        <f t="shared" si="64"/>
        <v>0</v>
      </c>
      <c r="W156" s="31">
        <v>5</v>
      </c>
      <c r="X156" s="31"/>
      <c r="Y156" s="31">
        <f t="shared" si="66"/>
        <v>5</v>
      </c>
      <c r="Z156" s="31">
        <f t="shared" si="47"/>
        <v>34</v>
      </c>
      <c r="AA156" s="18">
        <v>0</v>
      </c>
      <c r="AB156" s="18" t="s">
        <v>330</v>
      </c>
      <c r="AC156" s="18" t="s">
        <v>333</v>
      </c>
      <c r="AD156" s="18" t="s">
        <v>337</v>
      </c>
      <c r="AE156" s="18">
        <v>20</v>
      </c>
      <c r="AF156" s="18">
        <v>10.5</v>
      </c>
      <c r="AG156" s="18" t="s">
        <v>32</v>
      </c>
      <c r="AH156" s="18" t="s">
        <v>32</v>
      </c>
      <c r="AI156" s="18" t="str">
        <f>+VLOOKUP(AH156,Leyenda!$O$4:$U$10,6,FALSE)</f>
        <v>0,15-0,25</v>
      </c>
      <c r="AJ156" s="18" t="str">
        <f>+VLOOKUP(AG156,Leyenda!$O$4:$U$10,7,FALSE)</f>
        <v>No Blasting need</v>
      </c>
      <c r="AK156" s="18">
        <f>+VLOOKUP(AJ156,Leyenda!$U$4:$V$10,2,FALSE)</f>
        <v>2</v>
      </c>
      <c r="AL156" s="18" t="s">
        <v>239</v>
      </c>
      <c r="AM156" s="18" t="str">
        <f t="shared" si="56"/>
        <v>R1</v>
      </c>
      <c r="AN156" s="18" t="s">
        <v>69</v>
      </c>
      <c r="AO156" s="18" t="s">
        <v>81</v>
      </c>
      <c r="AP156" s="18" t="s">
        <v>100</v>
      </c>
      <c r="AQ156" s="18" t="s">
        <v>109</v>
      </c>
      <c r="AR156" s="18" t="s">
        <v>122</v>
      </c>
      <c r="AS156" s="18" t="s">
        <v>198</v>
      </c>
      <c r="AT156" s="18" t="s">
        <v>238</v>
      </c>
      <c r="AU156" s="18"/>
      <c r="AV156" s="18">
        <f>+VLOOKUP(AN156,Leyenda!$B$30:$E$34,3,FALSE)</f>
        <v>0</v>
      </c>
      <c r="AW156" s="18">
        <f>+VLOOKUP('2. Logging Brejo Seco'!AO156,Meteorizacion,3,FALSE)</f>
        <v>0</v>
      </c>
      <c r="AX156" s="18">
        <f>+VLOOKUP('2. Logging Brejo Seco'!AP156,Apertura,3,FALSE)</f>
        <v>0</v>
      </c>
      <c r="AY156" s="18">
        <f>+VLOOKUP('2. Logging Brejo Seco'!AQ156,Leyenda!$B$55:$D$59,3,FALSE)</f>
        <v>1</v>
      </c>
      <c r="AZ156" s="18">
        <f>+VLOOKUP('2. Logging Brejo Seco'!AR156,Relleno,3,FALSE)</f>
        <v>0</v>
      </c>
      <c r="BA156" s="18">
        <f t="shared" si="65"/>
        <v>1</v>
      </c>
      <c r="BB156" s="49">
        <f t="shared" si="51"/>
        <v>0</v>
      </c>
      <c r="BC156" s="49">
        <f>VLOOKUP(AM156,Leyenda!$B$4:$D$10,3,FALSE)</f>
        <v>1</v>
      </c>
      <c r="BD156" s="50">
        <f t="shared" si="57"/>
        <v>5</v>
      </c>
      <c r="BE156" s="49">
        <f t="shared" si="58"/>
        <v>1</v>
      </c>
      <c r="BF156" s="49">
        <f>VLOOKUP(AS156,Leyenda!$B$70:$D$75,3,FALSE)</f>
        <v>15</v>
      </c>
      <c r="BG156" s="67">
        <f t="shared" si="52"/>
        <v>1.5</v>
      </c>
      <c r="BH156" s="67">
        <f>VLOOKUP(AM156,Leyenda!$B$4:$E$10,4,FALSE)</f>
        <v>1</v>
      </c>
      <c r="BI156" s="67">
        <f t="shared" si="59"/>
        <v>5</v>
      </c>
      <c r="BJ156" s="67">
        <f t="shared" si="53"/>
        <v>0</v>
      </c>
      <c r="BK156" s="67">
        <f>+VLOOKUP('2. Logging Brejo Seco'!AP156,Leyenda!$B$47:$E$51,4,FALSE)</f>
        <v>0</v>
      </c>
      <c r="BL156" s="67">
        <f>+VLOOKUP('2. Logging Brejo Seco'!AQ156,Leyenda!$B$55:$E$59,4,FALSE)</f>
        <v>1</v>
      </c>
      <c r="BM156" s="67">
        <f>+VLOOKUP('2. Logging Brejo Seco'!AR156,Leyenda!$B$63:$E$67,3,FALSE)</f>
        <v>0</v>
      </c>
      <c r="BN156" s="67">
        <f>+VLOOKUP('2. Logging Brejo Seco'!AO156,Leyenda!$B$39:$E$43,4,FALSE)</f>
        <v>0</v>
      </c>
      <c r="BO156" s="67">
        <f>+VLOOKUP('2. Logging Brejo Seco'!AN156,Leyenda!$B$30:$E$34,4,FALSE)</f>
        <v>0</v>
      </c>
      <c r="BP156" s="67">
        <f>VLOOKUP(AS156,Leyenda!$B$71:$E$75,4,FALSE)</f>
        <v>10</v>
      </c>
      <c r="BQ156" s="125">
        <f t="shared" si="60"/>
        <v>17</v>
      </c>
      <c r="BR156" s="85">
        <f t="shared" si="61"/>
        <v>22</v>
      </c>
      <c r="BS156" s="240">
        <f t="shared" si="62"/>
        <v>0.58000000000000007</v>
      </c>
      <c r="BT156" s="18" t="s">
        <v>743</v>
      </c>
    </row>
    <row r="157" spans="1:72" x14ac:dyDescent="0.25">
      <c r="A157" s="18" t="s">
        <v>6</v>
      </c>
      <c r="B157" s="18">
        <v>2024</v>
      </c>
      <c r="C157" s="18" t="s">
        <v>138</v>
      </c>
      <c r="D157" s="18" t="s">
        <v>245</v>
      </c>
      <c r="E157" s="18">
        <v>50</v>
      </c>
      <c r="F157" s="18">
        <v>50</v>
      </c>
      <c r="G157" s="18" t="s">
        <v>154</v>
      </c>
      <c r="H157" s="248">
        <f t="shared" si="63"/>
        <v>50</v>
      </c>
      <c r="I157" s="135"/>
      <c r="J157" s="18" t="s">
        <v>293</v>
      </c>
      <c r="K157" s="4">
        <f t="shared" si="49"/>
        <v>22</v>
      </c>
      <c r="L157" s="4">
        <v>22.5</v>
      </c>
      <c r="M157" s="4">
        <f t="shared" si="54"/>
        <v>0.5</v>
      </c>
      <c r="N157" s="5">
        <v>0.34</v>
      </c>
      <c r="O157" s="5">
        <f t="shared" si="48"/>
        <v>0.65999999999999992</v>
      </c>
      <c r="P157" s="31">
        <f t="shared" si="55"/>
        <v>0.17</v>
      </c>
      <c r="Q157" s="31">
        <f t="shared" si="50"/>
        <v>0.17</v>
      </c>
      <c r="R157" s="31">
        <v>34</v>
      </c>
      <c r="S157" s="31">
        <v>5</v>
      </c>
      <c r="T157" s="31">
        <v>0.15</v>
      </c>
      <c r="U157" s="31">
        <v>0</v>
      </c>
      <c r="V157" s="65">
        <f t="shared" si="64"/>
        <v>0</v>
      </c>
      <c r="W157" s="31">
        <v>5</v>
      </c>
      <c r="X157" s="31"/>
      <c r="Y157" s="31">
        <f t="shared" si="66"/>
        <v>5</v>
      </c>
      <c r="Z157" s="31">
        <f t="shared" si="47"/>
        <v>30</v>
      </c>
      <c r="AA157" s="18">
        <v>0</v>
      </c>
      <c r="AB157" s="18" t="s">
        <v>330</v>
      </c>
      <c r="AC157" s="18" t="s">
        <v>118</v>
      </c>
      <c r="AD157" s="18" t="s">
        <v>334</v>
      </c>
      <c r="AE157" s="18">
        <v>5</v>
      </c>
      <c r="AF157" s="18">
        <v>34</v>
      </c>
      <c r="AG157" s="18" t="s">
        <v>32</v>
      </c>
      <c r="AH157" s="18" t="s">
        <v>32</v>
      </c>
      <c r="AI157" s="18" t="str">
        <f>+VLOOKUP(AH157,Leyenda!$O$4:$U$10,6,FALSE)</f>
        <v>0,15-0,25</v>
      </c>
      <c r="AJ157" s="18" t="str">
        <f>+VLOOKUP(AG157,Leyenda!$O$4:$U$10,7,FALSE)</f>
        <v>No Blasting need</v>
      </c>
      <c r="AK157" s="18">
        <f>+VLOOKUP(AJ157,Leyenda!$U$4:$V$10,2,FALSE)</f>
        <v>2</v>
      </c>
      <c r="AL157" s="18" t="s">
        <v>239</v>
      </c>
      <c r="AM157" s="18" t="str">
        <f t="shared" si="56"/>
        <v>R1</v>
      </c>
      <c r="AN157" s="18" t="s">
        <v>69</v>
      </c>
      <c r="AO157" s="18" t="s">
        <v>81</v>
      </c>
      <c r="AP157" s="18" t="s">
        <v>100</v>
      </c>
      <c r="AQ157" s="18" t="s">
        <v>109</v>
      </c>
      <c r="AR157" s="18" t="s">
        <v>122</v>
      </c>
      <c r="AS157" s="18" t="s">
        <v>198</v>
      </c>
      <c r="AT157" s="18" t="s">
        <v>238</v>
      </c>
      <c r="AU157" s="18"/>
      <c r="AV157" s="18">
        <f>+VLOOKUP(AN157,Leyenda!$B$30:$E$34,3,FALSE)</f>
        <v>0</v>
      </c>
      <c r="AW157" s="18">
        <f>+VLOOKUP('2. Logging Brejo Seco'!AO157,Meteorizacion,3,FALSE)</f>
        <v>0</v>
      </c>
      <c r="AX157" s="18">
        <f>+VLOOKUP('2. Logging Brejo Seco'!AP157,Apertura,3,FALSE)</f>
        <v>0</v>
      </c>
      <c r="AY157" s="18">
        <f>+VLOOKUP('2. Logging Brejo Seco'!AQ157,Leyenda!$B$55:$D$59,3,FALSE)</f>
        <v>1</v>
      </c>
      <c r="AZ157" s="18">
        <f>+VLOOKUP('2. Logging Brejo Seco'!AR157,Relleno,3,FALSE)</f>
        <v>0</v>
      </c>
      <c r="BA157" s="18">
        <f t="shared" si="65"/>
        <v>1</v>
      </c>
      <c r="BB157" s="49">
        <f t="shared" si="51"/>
        <v>0</v>
      </c>
      <c r="BC157" s="49">
        <f>VLOOKUP(AM157,Leyenda!$B$4:$D$10,3,FALSE)</f>
        <v>1</v>
      </c>
      <c r="BD157" s="50">
        <f t="shared" si="57"/>
        <v>5</v>
      </c>
      <c r="BE157" s="49">
        <f t="shared" si="58"/>
        <v>1</v>
      </c>
      <c r="BF157" s="49">
        <f>VLOOKUP(AS157,Leyenda!$B$70:$D$75,3,FALSE)</f>
        <v>15</v>
      </c>
      <c r="BG157" s="67">
        <f t="shared" si="52"/>
        <v>1.5</v>
      </c>
      <c r="BH157" s="67">
        <f>VLOOKUP(AM157,Leyenda!$B$4:$E$10,4,FALSE)</f>
        <v>1</v>
      </c>
      <c r="BI157" s="67">
        <f t="shared" si="59"/>
        <v>5</v>
      </c>
      <c r="BJ157" s="67">
        <f t="shared" si="53"/>
        <v>0</v>
      </c>
      <c r="BK157" s="67">
        <f>+VLOOKUP('2. Logging Brejo Seco'!AP157,Leyenda!$B$47:$E$51,4,FALSE)</f>
        <v>0</v>
      </c>
      <c r="BL157" s="67">
        <f>+VLOOKUP('2. Logging Brejo Seco'!AQ157,Leyenda!$B$55:$E$59,4,FALSE)</f>
        <v>1</v>
      </c>
      <c r="BM157" s="67">
        <f>+VLOOKUP('2. Logging Brejo Seco'!AR157,Leyenda!$B$63:$E$67,3,FALSE)</f>
        <v>0</v>
      </c>
      <c r="BN157" s="67">
        <f>+VLOOKUP('2. Logging Brejo Seco'!AO157,Leyenda!$B$39:$E$43,4,FALSE)</f>
        <v>0</v>
      </c>
      <c r="BO157" s="67">
        <f>+VLOOKUP('2. Logging Brejo Seco'!AN157,Leyenda!$B$30:$E$34,4,FALSE)</f>
        <v>0</v>
      </c>
      <c r="BP157" s="67">
        <f>VLOOKUP(AS157,Leyenda!$B$71:$E$75,4,FALSE)</f>
        <v>10</v>
      </c>
      <c r="BQ157" s="125">
        <f t="shared" si="60"/>
        <v>17</v>
      </c>
      <c r="BR157" s="85">
        <f t="shared" si="61"/>
        <v>22</v>
      </c>
      <c r="BS157" s="240">
        <f t="shared" si="62"/>
        <v>0.65999999999999992</v>
      </c>
      <c r="BT157" s="18" t="s">
        <v>743</v>
      </c>
    </row>
    <row r="158" spans="1:72" x14ac:dyDescent="0.25">
      <c r="A158" s="18" t="s">
        <v>6</v>
      </c>
      <c r="B158" s="18">
        <v>2024</v>
      </c>
      <c r="C158" s="18" t="s">
        <v>138</v>
      </c>
      <c r="D158" s="18" t="s">
        <v>245</v>
      </c>
      <c r="E158" s="18">
        <v>50</v>
      </c>
      <c r="F158" s="18">
        <v>50</v>
      </c>
      <c r="G158" s="18" t="s">
        <v>154</v>
      </c>
      <c r="H158" s="248">
        <f t="shared" si="63"/>
        <v>50</v>
      </c>
      <c r="I158" s="135"/>
      <c r="J158" s="18" t="s">
        <v>293</v>
      </c>
      <c r="K158" s="4">
        <f t="shared" si="49"/>
        <v>22.5</v>
      </c>
      <c r="L158" s="4">
        <v>23</v>
      </c>
      <c r="M158" s="4">
        <f t="shared" si="54"/>
        <v>0.5</v>
      </c>
      <c r="N158" s="5">
        <v>0.4</v>
      </c>
      <c r="O158" s="5">
        <f t="shared" si="48"/>
        <v>0.6</v>
      </c>
      <c r="P158" s="31">
        <f t="shared" si="55"/>
        <v>0.2</v>
      </c>
      <c r="Q158" s="31">
        <f t="shared" si="50"/>
        <v>0.2</v>
      </c>
      <c r="R158" s="31">
        <v>200</v>
      </c>
      <c r="S158" s="31">
        <v>1</v>
      </c>
      <c r="T158" s="31">
        <v>0.19</v>
      </c>
      <c r="U158" s="31">
        <v>0</v>
      </c>
      <c r="V158" s="65">
        <f t="shared" si="64"/>
        <v>0</v>
      </c>
      <c r="W158" s="31">
        <v>10</v>
      </c>
      <c r="X158" s="31"/>
      <c r="Y158" s="31">
        <f t="shared" si="66"/>
        <v>10</v>
      </c>
      <c r="Z158" s="31">
        <f t="shared" si="47"/>
        <v>19</v>
      </c>
      <c r="AA158" s="18">
        <v>0</v>
      </c>
      <c r="AB158" s="18" t="s">
        <v>96</v>
      </c>
      <c r="AC158" s="18" t="s">
        <v>116</v>
      </c>
      <c r="AD158" s="18" t="s">
        <v>334</v>
      </c>
      <c r="AE158" s="18">
        <v>1</v>
      </c>
      <c r="AF158" s="18">
        <v>200</v>
      </c>
      <c r="AG158" s="18" t="s">
        <v>32</v>
      </c>
      <c r="AH158" s="18" t="s">
        <v>32</v>
      </c>
      <c r="AI158" s="18" t="str">
        <f>+VLOOKUP(AH158,Leyenda!$O$4:$U$10,6,FALSE)</f>
        <v>0,15-0,25</v>
      </c>
      <c r="AJ158" s="18" t="str">
        <f>+VLOOKUP(AG158,Leyenda!$O$4:$U$10,7,FALSE)</f>
        <v>No Blasting need</v>
      </c>
      <c r="AK158" s="18">
        <f>+VLOOKUP(AJ158,Leyenda!$U$4:$V$10,2,FALSE)</f>
        <v>2</v>
      </c>
      <c r="AL158" s="18" t="s">
        <v>239</v>
      </c>
      <c r="AM158" s="18" t="str">
        <f t="shared" si="56"/>
        <v>R1</v>
      </c>
      <c r="AN158" s="18" t="s">
        <v>69</v>
      </c>
      <c r="AO158" s="18" t="s">
        <v>81</v>
      </c>
      <c r="AP158" s="18" t="s">
        <v>100</v>
      </c>
      <c r="AQ158" s="18" t="s">
        <v>109</v>
      </c>
      <c r="AR158" s="18" t="s">
        <v>122</v>
      </c>
      <c r="AS158" s="18" t="s">
        <v>198</v>
      </c>
      <c r="AT158" s="18" t="s">
        <v>238</v>
      </c>
      <c r="AU158" s="18"/>
      <c r="AV158" s="18">
        <f>+VLOOKUP(AN158,Leyenda!$B$30:$E$34,3,FALSE)</f>
        <v>0</v>
      </c>
      <c r="AW158" s="18">
        <f>+VLOOKUP('2. Logging Brejo Seco'!AO158,Meteorizacion,3,FALSE)</f>
        <v>0</v>
      </c>
      <c r="AX158" s="18">
        <f>+VLOOKUP('2. Logging Brejo Seco'!AP158,Apertura,3,FALSE)</f>
        <v>0</v>
      </c>
      <c r="AY158" s="18">
        <f>+VLOOKUP('2. Logging Brejo Seco'!AQ158,Leyenda!$B$55:$D$59,3,FALSE)</f>
        <v>1</v>
      </c>
      <c r="AZ158" s="18">
        <f>+VLOOKUP('2. Logging Brejo Seco'!AR158,Relleno,3,FALSE)</f>
        <v>0</v>
      </c>
      <c r="BA158" s="18">
        <f t="shared" si="65"/>
        <v>1</v>
      </c>
      <c r="BB158" s="49">
        <f t="shared" si="51"/>
        <v>0</v>
      </c>
      <c r="BC158" s="49">
        <f>VLOOKUP(AM158,Leyenda!$B$4:$D$10,3,FALSE)</f>
        <v>1</v>
      </c>
      <c r="BD158" s="50">
        <f t="shared" si="57"/>
        <v>4</v>
      </c>
      <c r="BE158" s="49">
        <f t="shared" si="58"/>
        <v>1</v>
      </c>
      <c r="BF158" s="49">
        <f>VLOOKUP(AS158,Leyenda!$B$70:$D$75,3,FALSE)</f>
        <v>15</v>
      </c>
      <c r="BG158" s="67">
        <f t="shared" si="52"/>
        <v>1.5</v>
      </c>
      <c r="BH158" s="67">
        <f>VLOOKUP(AM158,Leyenda!$B$4:$E$10,4,FALSE)</f>
        <v>1</v>
      </c>
      <c r="BI158" s="67">
        <f t="shared" si="59"/>
        <v>5</v>
      </c>
      <c r="BJ158" s="67">
        <f t="shared" si="53"/>
        <v>0</v>
      </c>
      <c r="BK158" s="67">
        <f>+VLOOKUP('2. Logging Brejo Seco'!AP158,Leyenda!$B$47:$E$51,4,FALSE)</f>
        <v>0</v>
      </c>
      <c r="BL158" s="67">
        <f>+VLOOKUP('2. Logging Brejo Seco'!AQ158,Leyenda!$B$55:$E$59,4,FALSE)</f>
        <v>1</v>
      </c>
      <c r="BM158" s="67">
        <f>+VLOOKUP('2. Logging Brejo Seco'!AR158,Leyenda!$B$63:$E$67,3,FALSE)</f>
        <v>0</v>
      </c>
      <c r="BN158" s="67">
        <f>+VLOOKUP('2. Logging Brejo Seco'!AO158,Leyenda!$B$39:$E$43,4,FALSE)</f>
        <v>0</v>
      </c>
      <c r="BO158" s="67">
        <f>+VLOOKUP('2. Logging Brejo Seco'!AN158,Leyenda!$B$30:$E$34,4,FALSE)</f>
        <v>0</v>
      </c>
      <c r="BP158" s="67">
        <f>VLOOKUP(AS158,Leyenda!$B$71:$E$75,4,FALSE)</f>
        <v>10</v>
      </c>
      <c r="BQ158" s="125">
        <f t="shared" si="60"/>
        <v>17</v>
      </c>
      <c r="BR158" s="85">
        <f t="shared" si="61"/>
        <v>21</v>
      </c>
      <c r="BS158" s="240">
        <f t="shared" si="62"/>
        <v>0.6</v>
      </c>
      <c r="BT158" s="18" t="s">
        <v>747</v>
      </c>
    </row>
    <row r="159" spans="1:72" x14ac:dyDescent="0.25">
      <c r="A159" s="18" t="s">
        <v>6</v>
      </c>
      <c r="B159" s="18">
        <v>2024</v>
      </c>
      <c r="C159" s="18" t="s">
        <v>138</v>
      </c>
      <c r="D159" s="18" t="s">
        <v>245</v>
      </c>
      <c r="E159" s="18">
        <v>50</v>
      </c>
      <c r="F159" s="18">
        <v>50</v>
      </c>
      <c r="G159" s="18" t="s">
        <v>154</v>
      </c>
      <c r="H159" s="248">
        <f t="shared" si="63"/>
        <v>50</v>
      </c>
      <c r="I159" s="135"/>
      <c r="J159" s="18" t="s">
        <v>293</v>
      </c>
      <c r="K159" s="4">
        <f t="shared" si="49"/>
        <v>23</v>
      </c>
      <c r="L159" s="4">
        <v>23.5</v>
      </c>
      <c r="M159" s="4">
        <f t="shared" si="54"/>
        <v>0.5</v>
      </c>
      <c r="N159" s="5">
        <v>0.28000000000000003</v>
      </c>
      <c r="O159" s="5">
        <f t="shared" si="48"/>
        <v>0.72</v>
      </c>
      <c r="P159" s="31">
        <f t="shared" si="55"/>
        <v>0.14000000000000001</v>
      </c>
      <c r="Q159" s="31">
        <f t="shared" si="50"/>
        <v>0.14000000000000001</v>
      </c>
      <c r="R159" s="31">
        <v>28</v>
      </c>
      <c r="S159" s="31">
        <v>5</v>
      </c>
      <c r="T159" s="31">
        <v>0.12</v>
      </c>
      <c r="U159" s="31">
        <v>0</v>
      </c>
      <c r="V159" s="65">
        <f t="shared" si="64"/>
        <v>0</v>
      </c>
      <c r="W159" s="31">
        <v>5</v>
      </c>
      <c r="X159" s="31"/>
      <c r="Y159" s="31">
        <f t="shared" si="66"/>
        <v>5</v>
      </c>
      <c r="Z159" s="31">
        <f t="shared" si="47"/>
        <v>24</v>
      </c>
      <c r="AA159" s="18">
        <v>0</v>
      </c>
      <c r="AB159" s="18" t="s">
        <v>96</v>
      </c>
      <c r="AC159" s="18" t="s">
        <v>118</v>
      </c>
      <c r="AD159" s="18" t="s">
        <v>334</v>
      </c>
      <c r="AE159" s="18">
        <v>5</v>
      </c>
      <c r="AF159" s="18">
        <v>28</v>
      </c>
      <c r="AG159" s="18" t="s">
        <v>32</v>
      </c>
      <c r="AH159" s="18" t="s">
        <v>32</v>
      </c>
      <c r="AI159" s="18" t="str">
        <f>+VLOOKUP(AH159,Leyenda!$O$4:$U$10,6,FALSE)</f>
        <v>0,15-0,25</v>
      </c>
      <c r="AJ159" s="18" t="str">
        <f>+VLOOKUP(AG159,Leyenda!$O$4:$U$10,7,FALSE)</f>
        <v>No Blasting need</v>
      </c>
      <c r="AK159" s="18">
        <f>+VLOOKUP(AJ159,Leyenda!$U$4:$V$10,2,FALSE)</f>
        <v>2</v>
      </c>
      <c r="AL159" s="18" t="s">
        <v>239</v>
      </c>
      <c r="AM159" s="18" t="str">
        <f t="shared" si="56"/>
        <v>R1</v>
      </c>
      <c r="AN159" s="18" t="s">
        <v>69</v>
      </c>
      <c r="AO159" s="18" t="s">
        <v>81</v>
      </c>
      <c r="AP159" s="18" t="s">
        <v>100</v>
      </c>
      <c r="AQ159" s="18" t="s">
        <v>109</v>
      </c>
      <c r="AR159" s="18" t="s">
        <v>122</v>
      </c>
      <c r="AS159" s="18" t="s">
        <v>198</v>
      </c>
      <c r="AT159" s="18" t="s">
        <v>238</v>
      </c>
      <c r="AU159" s="18"/>
      <c r="AV159" s="18">
        <f>+VLOOKUP(AN159,Leyenda!$B$30:$E$34,3,FALSE)</f>
        <v>0</v>
      </c>
      <c r="AW159" s="18">
        <f>+VLOOKUP('2. Logging Brejo Seco'!AO159,Meteorizacion,3,FALSE)</f>
        <v>0</v>
      </c>
      <c r="AX159" s="18">
        <f>+VLOOKUP('2. Logging Brejo Seco'!AP159,Apertura,3,FALSE)</f>
        <v>0</v>
      </c>
      <c r="AY159" s="18">
        <f>+VLOOKUP('2. Logging Brejo Seco'!AQ159,Leyenda!$B$55:$D$59,3,FALSE)</f>
        <v>1</v>
      </c>
      <c r="AZ159" s="18">
        <f>+VLOOKUP('2. Logging Brejo Seco'!AR159,Relleno,3,FALSE)</f>
        <v>0</v>
      </c>
      <c r="BA159" s="18">
        <f t="shared" si="65"/>
        <v>1</v>
      </c>
      <c r="BB159" s="49">
        <f t="shared" si="51"/>
        <v>0</v>
      </c>
      <c r="BC159" s="49">
        <f>VLOOKUP(AM159,Leyenda!$B$4:$D$10,3,FALSE)</f>
        <v>1</v>
      </c>
      <c r="BD159" s="50">
        <f t="shared" si="57"/>
        <v>4</v>
      </c>
      <c r="BE159" s="49">
        <f t="shared" si="58"/>
        <v>1</v>
      </c>
      <c r="BF159" s="49">
        <f>VLOOKUP(AS159,Leyenda!$B$70:$D$75,3,FALSE)</f>
        <v>15</v>
      </c>
      <c r="BG159" s="67">
        <f t="shared" si="52"/>
        <v>1.5</v>
      </c>
      <c r="BH159" s="67">
        <f>VLOOKUP(AM159,Leyenda!$B$4:$E$10,4,FALSE)</f>
        <v>1</v>
      </c>
      <c r="BI159" s="67">
        <f t="shared" si="59"/>
        <v>5</v>
      </c>
      <c r="BJ159" s="67">
        <f t="shared" si="53"/>
        <v>0</v>
      </c>
      <c r="BK159" s="67">
        <f>+VLOOKUP('2. Logging Brejo Seco'!AP159,Leyenda!$B$47:$E$51,4,FALSE)</f>
        <v>0</v>
      </c>
      <c r="BL159" s="67">
        <f>+VLOOKUP('2. Logging Brejo Seco'!AQ159,Leyenda!$B$55:$E$59,4,FALSE)</f>
        <v>1</v>
      </c>
      <c r="BM159" s="67">
        <f>+VLOOKUP('2. Logging Brejo Seco'!AR159,Leyenda!$B$63:$E$67,3,FALSE)</f>
        <v>0</v>
      </c>
      <c r="BN159" s="67">
        <f>+VLOOKUP('2. Logging Brejo Seco'!AO159,Leyenda!$B$39:$E$43,4,FALSE)</f>
        <v>0</v>
      </c>
      <c r="BO159" s="67">
        <f>+VLOOKUP('2. Logging Brejo Seco'!AN159,Leyenda!$B$30:$E$34,4,FALSE)</f>
        <v>0</v>
      </c>
      <c r="BP159" s="67">
        <f>VLOOKUP(AS159,Leyenda!$B$71:$E$75,4,FALSE)</f>
        <v>10</v>
      </c>
      <c r="BQ159" s="125">
        <f t="shared" si="60"/>
        <v>17</v>
      </c>
      <c r="BR159" s="85">
        <f t="shared" si="61"/>
        <v>21</v>
      </c>
      <c r="BS159" s="240">
        <f t="shared" si="62"/>
        <v>0.72</v>
      </c>
      <c r="BT159" s="18" t="s">
        <v>747</v>
      </c>
    </row>
    <row r="160" spans="1:72" x14ac:dyDescent="0.25">
      <c r="A160" s="18" t="s">
        <v>6</v>
      </c>
      <c r="B160" s="18">
        <v>2024</v>
      </c>
      <c r="C160" s="18" t="s">
        <v>138</v>
      </c>
      <c r="D160" s="18" t="s">
        <v>245</v>
      </c>
      <c r="E160" s="18">
        <v>50</v>
      </c>
      <c r="F160" s="18">
        <v>50</v>
      </c>
      <c r="G160" s="18" t="s">
        <v>154</v>
      </c>
      <c r="H160" s="248">
        <f t="shared" si="63"/>
        <v>50</v>
      </c>
      <c r="I160" s="135"/>
      <c r="J160" s="18" t="s">
        <v>293</v>
      </c>
      <c r="K160" s="4">
        <f t="shared" si="49"/>
        <v>23.5</v>
      </c>
      <c r="L160" s="4">
        <v>24</v>
      </c>
      <c r="M160" s="4">
        <f t="shared" si="54"/>
        <v>0.5</v>
      </c>
      <c r="N160" s="5">
        <v>0.4</v>
      </c>
      <c r="O160" s="5">
        <f t="shared" si="48"/>
        <v>0.6</v>
      </c>
      <c r="P160" s="31">
        <f t="shared" si="55"/>
        <v>0.2</v>
      </c>
      <c r="Q160" s="31">
        <f t="shared" si="50"/>
        <v>0.2</v>
      </c>
      <c r="R160" s="31">
        <v>200</v>
      </c>
      <c r="S160" s="31">
        <v>1</v>
      </c>
      <c r="T160" s="31">
        <v>0.19</v>
      </c>
      <c r="U160" s="31">
        <v>0</v>
      </c>
      <c r="V160" s="65">
        <f t="shared" si="64"/>
        <v>0</v>
      </c>
      <c r="W160" s="31">
        <v>10</v>
      </c>
      <c r="X160" s="31"/>
      <c r="Y160" s="31">
        <f t="shared" si="66"/>
        <v>10</v>
      </c>
      <c r="Z160" s="31">
        <f t="shared" ref="Z160:Z181" si="67">+IF(T160=0,"",(T160*1000)/Y160)</f>
        <v>19</v>
      </c>
      <c r="AA160" s="18">
        <v>0</v>
      </c>
      <c r="AB160" s="18" t="s">
        <v>96</v>
      </c>
      <c r="AC160" s="18" t="s">
        <v>116</v>
      </c>
      <c r="AD160" s="18" t="s">
        <v>334</v>
      </c>
      <c r="AE160" s="18">
        <v>1</v>
      </c>
      <c r="AF160" s="18">
        <v>200</v>
      </c>
      <c r="AG160" s="18" t="s">
        <v>32</v>
      </c>
      <c r="AH160" s="18" t="s">
        <v>32</v>
      </c>
      <c r="AI160" s="18" t="str">
        <f>+VLOOKUP(AH160,Leyenda!$O$4:$U$10,6,FALSE)</f>
        <v>0,15-0,25</v>
      </c>
      <c r="AJ160" s="18" t="str">
        <f>+VLOOKUP(AG160,Leyenda!$O$4:$U$10,7,FALSE)</f>
        <v>No Blasting need</v>
      </c>
      <c r="AK160" s="18">
        <f>+VLOOKUP(AJ160,Leyenda!$U$4:$V$10,2,FALSE)</f>
        <v>2</v>
      </c>
      <c r="AL160" s="18" t="s">
        <v>239</v>
      </c>
      <c r="AM160" s="18" t="str">
        <f t="shared" si="56"/>
        <v>R1</v>
      </c>
      <c r="AN160" s="18" t="s">
        <v>69</v>
      </c>
      <c r="AO160" s="18" t="s">
        <v>81</v>
      </c>
      <c r="AP160" s="18" t="s">
        <v>100</v>
      </c>
      <c r="AQ160" s="18" t="s">
        <v>109</v>
      </c>
      <c r="AR160" s="18" t="s">
        <v>122</v>
      </c>
      <c r="AS160" s="18" t="s">
        <v>198</v>
      </c>
      <c r="AT160" s="18" t="s">
        <v>238</v>
      </c>
      <c r="AU160" s="18"/>
      <c r="AV160" s="18">
        <f>+VLOOKUP(AN160,Leyenda!$B$30:$E$34,3,FALSE)</f>
        <v>0</v>
      </c>
      <c r="AW160" s="18">
        <f>+VLOOKUP('2. Logging Brejo Seco'!AO160,Meteorizacion,3,FALSE)</f>
        <v>0</v>
      </c>
      <c r="AX160" s="18">
        <f>+VLOOKUP('2. Logging Brejo Seco'!AP160,Apertura,3,FALSE)</f>
        <v>0</v>
      </c>
      <c r="AY160" s="18">
        <f>+VLOOKUP('2. Logging Brejo Seco'!AQ160,Leyenda!$B$55:$D$59,3,FALSE)</f>
        <v>1</v>
      </c>
      <c r="AZ160" s="18">
        <f>+VLOOKUP('2. Logging Brejo Seco'!AR160,Relleno,3,FALSE)</f>
        <v>0</v>
      </c>
      <c r="BA160" s="18">
        <f t="shared" si="65"/>
        <v>1</v>
      </c>
      <c r="BB160" s="49">
        <f t="shared" si="51"/>
        <v>0</v>
      </c>
      <c r="BC160" s="49">
        <f>VLOOKUP(AM160,Leyenda!$B$4:$D$10,3,FALSE)</f>
        <v>1</v>
      </c>
      <c r="BD160" s="50">
        <f t="shared" si="57"/>
        <v>4</v>
      </c>
      <c r="BE160" s="49">
        <f t="shared" si="58"/>
        <v>1</v>
      </c>
      <c r="BF160" s="49">
        <f>VLOOKUP(AS160,Leyenda!$B$70:$D$75,3,FALSE)</f>
        <v>15</v>
      </c>
      <c r="BG160" s="67">
        <f t="shared" si="52"/>
        <v>1.5</v>
      </c>
      <c r="BH160" s="67">
        <f>VLOOKUP(AM160,Leyenda!$B$4:$E$10,4,FALSE)</f>
        <v>1</v>
      </c>
      <c r="BI160" s="67">
        <f t="shared" si="59"/>
        <v>5</v>
      </c>
      <c r="BJ160" s="67">
        <f t="shared" si="53"/>
        <v>0</v>
      </c>
      <c r="BK160" s="67">
        <f>+VLOOKUP('2. Logging Brejo Seco'!AP160,Leyenda!$B$47:$E$51,4,FALSE)</f>
        <v>0</v>
      </c>
      <c r="BL160" s="67">
        <f>+VLOOKUP('2. Logging Brejo Seco'!AQ160,Leyenda!$B$55:$E$59,4,FALSE)</f>
        <v>1</v>
      </c>
      <c r="BM160" s="67">
        <f>+VLOOKUP('2. Logging Brejo Seco'!AR160,Leyenda!$B$63:$E$67,3,FALSE)</f>
        <v>0</v>
      </c>
      <c r="BN160" s="67">
        <f>+VLOOKUP('2. Logging Brejo Seco'!AO160,Leyenda!$B$39:$E$43,4,FALSE)</f>
        <v>0</v>
      </c>
      <c r="BO160" s="67">
        <f>+VLOOKUP('2. Logging Brejo Seco'!AN160,Leyenda!$B$30:$E$34,4,FALSE)</f>
        <v>0</v>
      </c>
      <c r="BP160" s="67">
        <f>VLOOKUP(AS160,Leyenda!$B$71:$E$75,4,FALSE)</f>
        <v>10</v>
      </c>
      <c r="BQ160" s="125">
        <f t="shared" si="60"/>
        <v>17</v>
      </c>
      <c r="BR160" s="85">
        <f t="shared" si="61"/>
        <v>21</v>
      </c>
      <c r="BS160" s="240">
        <f t="shared" si="62"/>
        <v>0.6</v>
      </c>
      <c r="BT160" s="18" t="s">
        <v>747</v>
      </c>
    </row>
    <row r="161" spans="1:72" x14ac:dyDescent="0.25">
      <c r="A161" s="18" t="s">
        <v>6</v>
      </c>
      <c r="B161" s="18">
        <v>2024</v>
      </c>
      <c r="C161" s="18" t="s">
        <v>138</v>
      </c>
      <c r="D161" s="18" t="s">
        <v>245</v>
      </c>
      <c r="E161" s="18">
        <v>50</v>
      </c>
      <c r="F161" s="18">
        <v>50</v>
      </c>
      <c r="G161" s="18" t="s">
        <v>154</v>
      </c>
      <c r="H161" s="248">
        <f t="shared" si="63"/>
        <v>50</v>
      </c>
      <c r="I161" s="135"/>
      <c r="J161" s="18" t="s">
        <v>293</v>
      </c>
      <c r="K161" s="4">
        <f t="shared" si="49"/>
        <v>24</v>
      </c>
      <c r="L161" s="4">
        <v>24.5</v>
      </c>
      <c r="M161" s="4">
        <f t="shared" si="54"/>
        <v>0.5</v>
      </c>
      <c r="N161" s="5">
        <v>0.42</v>
      </c>
      <c r="O161" s="5">
        <f t="shared" si="48"/>
        <v>0.58000000000000007</v>
      </c>
      <c r="P161" s="31">
        <f t="shared" si="55"/>
        <v>0.21</v>
      </c>
      <c r="Q161" s="31">
        <f t="shared" si="50"/>
        <v>0.21</v>
      </c>
      <c r="R161" s="31">
        <v>42</v>
      </c>
      <c r="S161" s="31">
        <v>5</v>
      </c>
      <c r="T161" s="31">
        <v>0.21</v>
      </c>
      <c r="U161" s="31">
        <v>0</v>
      </c>
      <c r="V161" s="65">
        <f t="shared" si="64"/>
        <v>0</v>
      </c>
      <c r="W161" s="31">
        <v>0</v>
      </c>
      <c r="X161" s="31"/>
      <c r="Y161" s="31">
        <f t="shared" si="66"/>
        <v>0</v>
      </c>
      <c r="Z161" s="31"/>
      <c r="AA161" s="18">
        <v>0</v>
      </c>
      <c r="AB161" s="18" t="s">
        <v>96</v>
      </c>
      <c r="AC161" s="18" t="s">
        <v>118</v>
      </c>
      <c r="AD161" s="18" t="s">
        <v>334</v>
      </c>
      <c r="AE161" s="18">
        <v>5</v>
      </c>
      <c r="AF161" s="18">
        <v>42</v>
      </c>
      <c r="AG161" s="18" t="s">
        <v>32</v>
      </c>
      <c r="AH161" s="18" t="s">
        <v>32</v>
      </c>
      <c r="AI161" s="18" t="str">
        <f>+VLOOKUP(AH161,Leyenda!$O$4:$U$10,6,FALSE)</f>
        <v>0,15-0,25</v>
      </c>
      <c r="AJ161" s="18" t="str">
        <f>+VLOOKUP(AG161,Leyenda!$O$4:$U$10,7,FALSE)</f>
        <v>No Blasting need</v>
      </c>
      <c r="AK161" s="18">
        <f>+VLOOKUP(AJ161,Leyenda!$U$4:$V$10,2,FALSE)</f>
        <v>2</v>
      </c>
      <c r="AL161" s="18" t="s">
        <v>239</v>
      </c>
      <c r="AM161" s="18" t="str">
        <f t="shared" si="56"/>
        <v>R1</v>
      </c>
      <c r="AN161" s="18" t="s">
        <v>69</v>
      </c>
      <c r="AO161" s="18" t="s">
        <v>81</v>
      </c>
      <c r="AP161" s="18" t="s">
        <v>100</v>
      </c>
      <c r="AQ161" s="18" t="s">
        <v>109</v>
      </c>
      <c r="AR161" s="18" t="s">
        <v>122</v>
      </c>
      <c r="AS161" s="18" t="s">
        <v>198</v>
      </c>
      <c r="AT161" s="18" t="s">
        <v>238</v>
      </c>
      <c r="AU161" s="18"/>
      <c r="AV161" s="18">
        <f>+VLOOKUP(AN161,Leyenda!$B$30:$E$34,3,FALSE)</f>
        <v>0</v>
      </c>
      <c r="AW161" s="18">
        <f>+VLOOKUP('2. Logging Brejo Seco'!AO161,Meteorizacion,3,FALSE)</f>
        <v>0</v>
      </c>
      <c r="AX161" s="18">
        <f>+VLOOKUP('2. Logging Brejo Seco'!AP161,Apertura,3,FALSE)</f>
        <v>0</v>
      </c>
      <c r="AY161" s="18">
        <f>+VLOOKUP('2. Logging Brejo Seco'!AQ161,Leyenda!$B$55:$D$59,3,FALSE)</f>
        <v>1</v>
      </c>
      <c r="AZ161" s="18">
        <f>+VLOOKUP('2. Logging Brejo Seco'!AR161,Relleno,3,FALSE)</f>
        <v>0</v>
      </c>
      <c r="BA161" s="18">
        <f t="shared" si="65"/>
        <v>1</v>
      </c>
      <c r="BB161" s="49">
        <f t="shared" si="51"/>
        <v>0</v>
      </c>
      <c r="BC161" s="49">
        <f>VLOOKUP(AM161,Leyenda!$B$4:$D$10,3,FALSE)</f>
        <v>1</v>
      </c>
      <c r="BD161" s="50">
        <f t="shared" si="57"/>
        <v>0</v>
      </c>
      <c r="BE161" s="49">
        <f t="shared" si="58"/>
        <v>1</v>
      </c>
      <c r="BF161" s="49">
        <f>VLOOKUP(AS161,Leyenda!$B$70:$D$75,3,FALSE)</f>
        <v>15</v>
      </c>
      <c r="BG161" s="67">
        <f t="shared" si="52"/>
        <v>1.5</v>
      </c>
      <c r="BH161" s="67">
        <f>VLOOKUP(AM161,Leyenda!$B$4:$E$10,4,FALSE)</f>
        <v>1</v>
      </c>
      <c r="BI161" s="67">
        <f t="shared" si="59"/>
        <v>5</v>
      </c>
      <c r="BJ161" s="67">
        <f t="shared" si="53"/>
        <v>0</v>
      </c>
      <c r="BK161" s="67">
        <f>+VLOOKUP('2. Logging Brejo Seco'!AP161,Leyenda!$B$47:$E$51,4,FALSE)</f>
        <v>0</v>
      </c>
      <c r="BL161" s="67">
        <f>+VLOOKUP('2. Logging Brejo Seco'!AQ161,Leyenda!$B$55:$E$59,4,FALSE)</f>
        <v>1</v>
      </c>
      <c r="BM161" s="67">
        <f>+VLOOKUP('2. Logging Brejo Seco'!AR161,Leyenda!$B$63:$E$67,3,FALSE)</f>
        <v>0</v>
      </c>
      <c r="BN161" s="67">
        <f>+VLOOKUP('2. Logging Brejo Seco'!AO161,Leyenda!$B$39:$E$43,4,FALSE)</f>
        <v>0</v>
      </c>
      <c r="BO161" s="67">
        <f>+VLOOKUP('2. Logging Brejo Seco'!AN161,Leyenda!$B$30:$E$34,4,FALSE)</f>
        <v>0</v>
      </c>
      <c r="BP161" s="67">
        <f>VLOOKUP(AS161,Leyenda!$B$71:$E$75,4,FALSE)</f>
        <v>10</v>
      </c>
      <c r="BQ161" s="125">
        <f t="shared" si="60"/>
        <v>17</v>
      </c>
      <c r="BR161" s="85">
        <f t="shared" si="61"/>
        <v>17</v>
      </c>
      <c r="BS161" s="240">
        <f t="shared" si="62"/>
        <v>0.58000000000000007</v>
      </c>
      <c r="BT161" s="18" t="s">
        <v>747</v>
      </c>
    </row>
    <row r="162" spans="1:72" x14ac:dyDescent="0.25">
      <c r="A162" s="18" t="s">
        <v>6</v>
      </c>
      <c r="B162" s="18">
        <v>2024</v>
      </c>
      <c r="C162" s="18" t="s">
        <v>138</v>
      </c>
      <c r="D162" s="18" t="s">
        <v>245</v>
      </c>
      <c r="E162" s="18">
        <v>50</v>
      </c>
      <c r="F162" s="18">
        <v>50</v>
      </c>
      <c r="G162" s="18" t="s">
        <v>154</v>
      </c>
      <c r="H162" s="248">
        <f t="shared" si="63"/>
        <v>50</v>
      </c>
      <c r="I162" s="135"/>
      <c r="J162" s="18" t="s">
        <v>293</v>
      </c>
      <c r="K162" s="4">
        <f t="shared" si="49"/>
        <v>24.5</v>
      </c>
      <c r="L162" s="4">
        <v>25</v>
      </c>
      <c r="M162" s="4">
        <f t="shared" si="54"/>
        <v>0.5</v>
      </c>
      <c r="N162" s="5">
        <v>0.52</v>
      </c>
      <c r="O162" s="5">
        <f t="shared" si="48"/>
        <v>0.48</v>
      </c>
      <c r="P162" s="31">
        <f t="shared" si="55"/>
        <v>0.26</v>
      </c>
      <c r="Q162" s="31">
        <f t="shared" si="50"/>
        <v>0.26</v>
      </c>
      <c r="R162" s="31">
        <v>52</v>
      </c>
      <c r="S162" s="31">
        <v>5</v>
      </c>
      <c r="T162" s="31">
        <v>0.2</v>
      </c>
      <c r="U162" s="31">
        <v>0</v>
      </c>
      <c r="V162" s="65">
        <f t="shared" si="64"/>
        <v>0</v>
      </c>
      <c r="W162" s="31">
        <v>10</v>
      </c>
      <c r="X162" s="31"/>
      <c r="Y162" s="31">
        <f t="shared" si="66"/>
        <v>10</v>
      </c>
      <c r="Z162" s="31">
        <f t="shared" si="67"/>
        <v>20</v>
      </c>
      <c r="AA162" s="18">
        <v>0</v>
      </c>
      <c r="AB162" s="18" t="s">
        <v>96</v>
      </c>
      <c r="AC162" s="18" t="s">
        <v>118</v>
      </c>
      <c r="AD162" s="18" t="s">
        <v>334</v>
      </c>
      <c r="AE162" s="18">
        <v>5</v>
      </c>
      <c r="AF162" s="18">
        <v>52</v>
      </c>
      <c r="AG162" s="18" t="s">
        <v>32</v>
      </c>
      <c r="AH162" s="18" t="s">
        <v>32</v>
      </c>
      <c r="AI162" s="18" t="str">
        <f>+VLOOKUP(AH162,Leyenda!$O$4:$U$10,6,FALSE)</f>
        <v>0,15-0,25</v>
      </c>
      <c r="AJ162" s="18" t="str">
        <f>+VLOOKUP(AG162,Leyenda!$O$4:$U$10,7,FALSE)</f>
        <v>No Blasting need</v>
      </c>
      <c r="AK162" s="18">
        <f>+VLOOKUP(AJ162,Leyenda!$U$4:$V$10,2,FALSE)</f>
        <v>2</v>
      </c>
      <c r="AL162" s="18" t="s">
        <v>239</v>
      </c>
      <c r="AM162" s="18" t="str">
        <f t="shared" si="56"/>
        <v>R1</v>
      </c>
      <c r="AN162" s="18" t="s">
        <v>69</v>
      </c>
      <c r="AO162" s="18" t="s">
        <v>81</v>
      </c>
      <c r="AP162" s="18" t="s">
        <v>100</v>
      </c>
      <c r="AQ162" s="18" t="s">
        <v>109</v>
      </c>
      <c r="AR162" s="18" t="s">
        <v>122</v>
      </c>
      <c r="AS162" s="18" t="s">
        <v>198</v>
      </c>
      <c r="AT162" s="18" t="s">
        <v>238</v>
      </c>
      <c r="AU162" s="18"/>
      <c r="AV162" s="18">
        <f>+VLOOKUP(AN162,Leyenda!$B$30:$E$34,3,FALSE)</f>
        <v>0</v>
      </c>
      <c r="AW162" s="18">
        <f>+VLOOKUP('2. Logging Brejo Seco'!AO162,Meteorizacion,3,FALSE)</f>
        <v>0</v>
      </c>
      <c r="AX162" s="18">
        <f>+VLOOKUP('2. Logging Brejo Seco'!AP162,Apertura,3,FALSE)</f>
        <v>0</v>
      </c>
      <c r="AY162" s="18">
        <f>+VLOOKUP('2. Logging Brejo Seco'!AQ162,Leyenda!$B$55:$D$59,3,FALSE)</f>
        <v>1</v>
      </c>
      <c r="AZ162" s="18">
        <f>+VLOOKUP('2. Logging Brejo Seco'!AR162,Relleno,3,FALSE)</f>
        <v>0</v>
      </c>
      <c r="BA162" s="18">
        <f t="shared" si="65"/>
        <v>1</v>
      </c>
      <c r="BB162" s="49">
        <f t="shared" si="51"/>
        <v>0</v>
      </c>
      <c r="BC162" s="49">
        <f>VLOOKUP(AM162,Leyenda!$B$4:$D$10,3,FALSE)</f>
        <v>1</v>
      </c>
      <c r="BD162" s="50">
        <f t="shared" si="57"/>
        <v>4</v>
      </c>
      <c r="BE162" s="49">
        <f t="shared" si="58"/>
        <v>1</v>
      </c>
      <c r="BF162" s="49">
        <f>VLOOKUP(AS162,Leyenda!$B$70:$D$75,3,FALSE)</f>
        <v>15</v>
      </c>
      <c r="BG162" s="67">
        <f t="shared" si="52"/>
        <v>1.5</v>
      </c>
      <c r="BH162" s="67">
        <f>VLOOKUP(AM162,Leyenda!$B$4:$E$10,4,FALSE)</f>
        <v>1</v>
      </c>
      <c r="BI162" s="67">
        <f t="shared" si="59"/>
        <v>5</v>
      </c>
      <c r="BJ162" s="67">
        <f t="shared" si="53"/>
        <v>0</v>
      </c>
      <c r="BK162" s="67">
        <f>+VLOOKUP('2. Logging Brejo Seco'!AP162,Leyenda!$B$47:$E$51,4,FALSE)</f>
        <v>0</v>
      </c>
      <c r="BL162" s="67">
        <f>+VLOOKUP('2. Logging Brejo Seco'!AQ162,Leyenda!$B$55:$E$59,4,FALSE)</f>
        <v>1</v>
      </c>
      <c r="BM162" s="67">
        <f>+VLOOKUP('2. Logging Brejo Seco'!AR162,Leyenda!$B$63:$E$67,3,FALSE)</f>
        <v>0</v>
      </c>
      <c r="BN162" s="67">
        <f>+VLOOKUP('2. Logging Brejo Seco'!AO162,Leyenda!$B$39:$E$43,4,FALSE)</f>
        <v>0</v>
      </c>
      <c r="BO162" s="67">
        <f>+VLOOKUP('2. Logging Brejo Seco'!AN162,Leyenda!$B$30:$E$34,4,FALSE)</f>
        <v>0</v>
      </c>
      <c r="BP162" s="67">
        <f>VLOOKUP(AS162,Leyenda!$B$71:$E$75,4,FALSE)</f>
        <v>10</v>
      </c>
      <c r="BQ162" s="125">
        <f t="shared" si="60"/>
        <v>17</v>
      </c>
      <c r="BR162" s="85">
        <f t="shared" si="61"/>
        <v>21</v>
      </c>
      <c r="BS162" s="240">
        <f t="shared" si="62"/>
        <v>0.48</v>
      </c>
      <c r="BT162" s="18" t="s">
        <v>747</v>
      </c>
    </row>
    <row r="163" spans="1:72" x14ac:dyDescent="0.25">
      <c r="A163" s="18" t="s">
        <v>6</v>
      </c>
      <c r="B163" s="18">
        <v>2024</v>
      </c>
      <c r="C163" s="18" t="s">
        <v>138</v>
      </c>
      <c r="D163" s="18" t="s">
        <v>245</v>
      </c>
      <c r="E163" s="18">
        <v>50</v>
      </c>
      <c r="F163" s="18">
        <v>50</v>
      </c>
      <c r="G163" s="18" t="s">
        <v>154</v>
      </c>
      <c r="H163" s="248">
        <f t="shared" si="63"/>
        <v>50</v>
      </c>
      <c r="I163" s="135"/>
      <c r="J163" s="18" t="s">
        <v>293</v>
      </c>
      <c r="K163" s="4">
        <f t="shared" si="49"/>
        <v>25</v>
      </c>
      <c r="L163" s="4">
        <v>25.5</v>
      </c>
      <c r="M163" s="4">
        <f t="shared" si="54"/>
        <v>0.5</v>
      </c>
      <c r="N163" s="5">
        <v>0.5</v>
      </c>
      <c r="O163" s="5">
        <f t="shared" si="48"/>
        <v>0.5</v>
      </c>
      <c r="P163" s="31">
        <f t="shared" si="55"/>
        <v>0.25</v>
      </c>
      <c r="Q163" s="31">
        <f t="shared" si="50"/>
        <v>0.25</v>
      </c>
      <c r="R163" s="31">
        <v>50</v>
      </c>
      <c r="S163" s="31">
        <v>5</v>
      </c>
      <c r="T163" s="31">
        <v>0.23</v>
      </c>
      <c r="U163" s="31">
        <v>0</v>
      </c>
      <c r="V163" s="65">
        <f t="shared" si="64"/>
        <v>0</v>
      </c>
      <c r="W163" s="31">
        <v>10</v>
      </c>
      <c r="X163" s="31"/>
      <c r="Y163" s="31">
        <f t="shared" si="66"/>
        <v>10</v>
      </c>
      <c r="Z163" s="31">
        <f t="shared" si="67"/>
        <v>23</v>
      </c>
      <c r="AA163" s="18">
        <v>0</v>
      </c>
      <c r="AB163" s="18" t="s">
        <v>96</v>
      </c>
      <c r="AC163" s="18" t="s">
        <v>118</v>
      </c>
      <c r="AD163" s="18" t="s">
        <v>334</v>
      </c>
      <c r="AE163" s="18">
        <v>5</v>
      </c>
      <c r="AF163" s="18">
        <v>50</v>
      </c>
      <c r="AG163" s="18" t="s">
        <v>32</v>
      </c>
      <c r="AH163" s="18" t="s">
        <v>32</v>
      </c>
      <c r="AI163" s="18" t="str">
        <f>+VLOOKUP(AH163,Leyenda!$O$4:$U$10,6,FALSE)</f>
        <v>0,15-0,25</v>
      </c>
      <c r="AJ163" s="18" t="str">
        <f>+VLOOKUP(AG163,Leyenda!$O$4:$U$10,7,FALSE)</f>
        <v>No Blasting need</v>
      </c>
      <c r="AK163" s="18">
        <f>+VLOOKUP(AJ163,Leyenda!$U$4:$V$10,2,FALSE)</f>
        <v>2</v>
      </c>
      <c r="AL163" s="18" t="s">
        <v>239</v>
      </c>
      <c r="AM163" s="18" t="str">
        <f t="shared" si="56"/>
        <v>R1</v>
      </c>
      <c r="AN163" s="18" t="s">
        <v>69</v>
      </c>
      <c r="AO163" s="18" t="s">
        <v>81</v>
      </c>
      <c r="AP163" s="18" t="s">
        <v>100</v>
      </c>
      <c r="AQ163" s="18" t="s">
        <v>109</v>
      </c>
      <c r="AR163" s="18" t="s">
        <v>122</v>
      </c>
      <c r="AS163" s="18" t="s">
        <v>198</v>
      </c>
      <c r="AT163" s="18" t="s">
        <v>238</v>
      </c>
      <c r="AU163" s="18"/>
      <c r="AV163" s="18">
        <f>+VLOOKUP(AN163,Leyenda!$B$30:$E$34,3,FALSE)</f>
        <v>0</v>
      </c>
      <c r="AW163" s="18">
        <f>+VLOOKUP('2. Logging Brejo Seco'!AO163,Meteorizacion,3,FALSE)</f>
        <v>0</v>
      </c>
      <c r="AX163" s="18">
        <f>+VLOOKUP('2. Logging Brejo Seco'!AP163,Apertura,3,FALSE)</f>
        <v>0</v>
      </c>
      <c r="AY163" s="18">
        <f>+VLOOKUP('2. Logging Brejo Seco'!AQ163,Leyenda!$B$55:$D$59,3,FALSE)</f>
        <v>1</v>
      </c>
      <c r="AZ163" s="18">
        <f>+VLOOKUP('2. Logging Brejo Seco'!AR163,Relleno,3,FALSE)</f>
        <v>0</v>
      </c>
      <c r="BA163" s="18">
        <f t="shared" si="65"/>
        <v>1</v>
      </c>
      <c r="BB163" s="49">
        <f t="shared" si="51"/>
        <v>0</v>
      </c>
      <c r="BC163" s="49">
        <f>VLOOKUP(AM163,Leyenda!$B$4:$D$10,3,FALSE)</f>
        <v>1</v>
      </c>
      <c r="BD163" s="50">
        <f t="shared" si="57"/>
        <v>4</v>
      </c>
      <c r="BE163" s="49">
        <f t="shared" si="58"/>
        <v>1</v>
      </c>
      <c r="BF163" s="49">
        <f>VLOOKUP(AS163,Leyenda!$B$70:$D$75,3,FALSE)</f>
        <v>15</v>
      </c>
      <c r="BG163" s="67">
        <f t="shared" si="52"/>
        <v>1.5</v>
      </c>
      <c r="BH163" s="67">
        <f>VLOOKUP(AM163,Leyenda!$B$4:$E$10,4,FALSE)</f>
        <v>1</v>
      </c>
      <c r="BI163" s="67">
        <f t="shared" si="59"/>
        <v>5</v>
      </c>
      <c r="BJ163" s="67">
        <f t="shared" si="53"/>
        <v>0</v>
      </c>
      <c r="BK163" s="67">
        <f>+VLOOKUP('2. Logging Brejo Seco'!AP163,Leyenda!$B$47:$E$51,4,FALSE)</f>
        <v>0</v>
      </c>
      <c r="BL163" s="67">
        <f>+VLOOKUP('2. Logging Brejo Seco'!AQ163,Leyenda!$B$55:$E$59,4,FALSE)</f>
        <v>1</v>
      </c>
      <c r="BM163" s="67">
        <f>+VLOOKUP('2. Logging Brejo Seco'!AR163,Leyenda!$B$63:$E$67,3,FALSE)</f>
        <v>0</v>
      </c>
      <c r="BN163" s="67">
        <f>+VLOOKUP('2. Logging Brejo Seco'!AO163,Leyenda!$B$39:$E$43,4,FALSE)</f>
        <v>0</v>
      </c>
      <c r="BO163" s="67">
        <f>+VLOOKUP('2. Logging Brejo Seco'!AN163,Leyenda!$B$30:$E$34,4,FALSE)</f>
        <v>0</v>
      </c>
      <c r="BP163" s="67">
        <f>VLOOKUP(AS163,Leyenda!$B$71:$E$75,4,FALSE)</f>
        <v>10</v>
      </c>
      <c r="BQ163" s="125">
        <f t="shared" si="60"/>
        <v>17</v>
      </c>
      <c r="BR163" s="85">
        <f t="shared" si="61"/>
        <v>21</v>
      </c>
      <c r="BS163" s="240">
        <f t="shared" si="62"/>
        <v>0.5</v>
      </c>
      <c r="BT163" s="18" t="s">
        <v>747</v>
      </c>
    </row>
    <row r="164" spans="1:72" x14ac:dyDescent="0.25">
      <c r="A164" s="18" t="s">
        <v>6</v>
      </c>
      <c r="B164" s="18">
        <v>2024</v>
      </c>
      <c r="C164" s="18" t="s">
        <v>138</v>
      </c>
      <c r="D164" s="18" t="s">
        <v>245</v>
      </c>
      <c r="E164" s="18">
        <v>50</v>
      </c>
      <c r="F164" s="18">
        <v>50</v>
      </c>
      <c r="G164" s="18" t="s">
        <v>154</v>
      </c>
      <c r="H164" s="248">
        <f t="shared" si="63"/>
        <v>50</v>
      </c>
      <c r="I164" s="135"/>
      <c r="J164" s="18" t="s">
        <v>293</v>
      </c>
      <c r="K164" s="4">
        <f t="shared" si="49"/>
        <v>25.5</v>
      </c>
      <c r="L164" s="4">
        <v>26</v>
      </c>
      <c r="M164" s="4">
        <f t="shared" si="54"/>
        <v>0.5</v>
      </c>
      <c r="N164" s="5">
        <v>0.5</v>
      </c>
      <c r="O164" s="5">
        <f t="shared" si="48"/>
        <v>0.5</v>
      </c>
      <c r="P164" s="31">
        <f t="shared" si="55"/>
        <v>0.25</v>
      </c>
      <c r="Q164" s="31">
        <f t="shared" si="50"/>
        <v>0.25</v>
      </c>
      <c r="R164" s="31">
        <v>50</v>
      </c>
      <c r="S164" s="31">
        <v>5</v>
      </c>
      <c r="T164" s="31">
        <v>0.25</v>
      </c>
      <c r="U164" s="31">
        <v>0</v>
      </c>
      <c r="V164" s="65">
        <f t="shared" si="64"/>
        <v>0</v>
      </c>
      <c r="W164" s="31">
        <v>10</v>
      </c>
      <c r="X164" s="31"/>
      <c r="Y164" s="31">
        <f t="shared" si="66"/>
        <v>10</v>
      </c>
      <c r="Z164" s="31">
        <f t="shared" si="67"/>
        <v>25</v>
      </c>
      <c r="AA164" s="18">
        <v>0</v>
      </c>
      <c r="AB164" s="18" t="s">
        <v>96</v>
      </c>
      <c r="AC164" s="18" t="s">
        <v>118</v>
      </c>
      <c r="AD164" s="18" t="s">
        <v>334</v>
      </c>
      <c r="AE164" s="18">
        <v>5</v>
      </c>
      <c r="AF164" s="18">
        <v>50</v>
      </c>
      <c r="AG164" s="18" t="s">
        <v>32</v>
      </c>
      <c r="AH164" s="18" t="s">
        <v>32</v>
      </c>
      <c r="AI164" s="18" t="str">
        <f>+VLOOKUP(AH164,Leyenda!$O$4:$U$10,6,FALSE)</f>
        <v>0,15-0,25</v>
      </c>
      <c r="AJ164" s="18" t="str">
        <f>+VLOOKUP(AG164,Leyenda!$O$4:$U$10,7,FALSE)</f>
        <v>No Blasting need</v>
      </c>
      <c r="AK164" s="18">
        <f>+VLOOKUP(AJ164,Leyenda!$U$4:$V$10,2,FALSE)</f>
        <v>2</v>
      </c>
      <c r="AL164" s="18" t="s">
        <v>239</v>
      </c>
      <c r="AM164" s="18" t="str">
        <f t="shared" si="56"/>
        <v>R1</v>
      </c>
      <c r="AN164" s="18" t="s">
        <v>69</v>
      </c>
      <c r="AO164" s="18" t="s">
        <v>81</v>
      </c>
      <c r="AP164" s="18" t="s">
        <v>100</v>
      </c>
      <c r="AQ164" s="18" t="s">
        <v>109</v>
      </c>
      <c r="AR164" s="18" t="s">
        <v>122</v>
      </c>
      <c r="AS164" s="18" t="s">
        <v>198</v>
      </c>
      <c r="AT164" s="18" t="s">
        <v>238</v>
      </c>
      <c r="AU164" s="18"/>
      <c r="AV164" s="18">
        <f>+VLOOKUP(AN164,Leyenda!$B$30:$E$34,3,FALSE)</f>
        <v>0</v>
      </c>
      <c r="AW164" s="18">
        <f>+VLOOKUP('2. Logging Brejo Seco'!AO164,Meteorizacion,3,FALSE)</f>
        <v>0</v>
      </c>
      <c r="AX164" s="18">
        <f>+VLOOKUP('2. Logging Brejo Seco'!AP164,Apertura,3,FALSE)</f>
        <v>0</v>
      </c>
      <c r="AY164" s="18">
        <f>+VLOOKUP('2. Logging Brejo Seco'!AQ164,Leyenda!$B$55:$D$59,3,FALSE)</f>
        <v>1</v>
      </c>
      <c r="AZ164" s="18">
        <f>+VLOOKUP('2. Logging Brejo Seco'!AR164,Relleno,3,FALSE)</f>
        <v>0</v>
      </c>
      <c r="BA164" s="18">
        <f t="shared" si="65"/>
        <v>1</v>
      </c>
      <c r="BB164" s="49">
        <f t="shared" si="51"/>
        <v>0</v>
      </c>
      <c r="BC164" s="49">
        <f>VLOOKUP(AM164,Leyenda!$B$4:$D$10,3,FALSE)</f>
        <v>1</v>
      </c>
      <c r="BD164" s="50">
        <f t="shared" si="57"/>
        <v>5</v>
      </c>
      <c r="BE164" s="49">
        <f t="shared" si="58"/>
        <v>1</v>
      </c>
      <c r="BF164" s="49">
        <f>VLOOKUP(AS164,Leyenda!$B$70:$D$75,3,FALSE)</f>
        <v>15</v>
      </c>
      <c r="BG164" s="67">
        <f t="shared" si="52"/>
        <v>1.5</v>
      </c>
      <c r="BH164" s="67">
        <f>VLOOKUP(AM164,Leyenda!$B$4:$E$10,4,FALSE)</f>
        <v>1</v>
      </c>
      <c r="BI164" s="67">
        <f t="shared" si="59"/>
        <v>5</v>
      </c>
      <c r="BJ164" s="67">
        <f t="shared" si="53"/>
        <v>0</v>
      </c>
      <c r="BK164" s="67">
        <f>+VLOOKUP('2. Logging Brejo Seco'!AP164,Leyenda!$B$47:$E$51,4,FALSE)</f>
        <v>0</v>
      </c>
      <c r="BL164" s="67">
        <f>+VLOOKUP('2. Logging Brejo Seco'!AQ164,Leyenda!$B$55:$E$59,4,FALSE)</f>
        <v>1</v>
      </c>
      <c r="BM164" s="67">
        <f>+VLOOKUP('2. Logging Brejo Seco'!AR164,Leyenda!$B$63:$E$67,3,FALSE)</f>
        <v>0</v>
      </c>
      <c r="BN164" s="67">
        <f>+VLOOKUP('2. Logging Brejo Seco'!AO164,Leyenda!$B$39:$E$43,4,FALSE)</f>
        <v>0</v>
      </c>
      <c r="BO164" s="67">
        <f>+VLOOKUP('2. Logging Brejo Seco'!AN164,Leyenda!$B$30:$E$34,4,FALSE)</f>
        <v>0</v>
      </c>
      <c r="BP164" s="67">
        <f>VLOOKUP(AS164,Leyenda!$B$71:$E$75,4,FALSE)</f>
        <v>10</v>
      </c>
      <c r="BQ164" s="125">
        <f t="shared" si="60"/>
        <v>17</v>
      </c>
      <c r="BR164" s="85">
        <f t="shared" si="61"/>
        <v>22</v>
      </c>
      <c r="BS164" s="240">
        <f t="shared" si="62"/>
        <v>0.5</v>
      </c>
      <c r="BT164" s="18" t="s">
        <v>747</v>
      </c>
    </row>
    <row r="165" spans="1:72" x14ac:dyDescent="0.25">
      <c r="A165" s="18" t="s">
        <v>6</v>
      </c>
      <c r="B165" s="18">
        <v>2024</v>
      </c>
      <c r="C165" s="18" t="s">
        <v>138</v>
      </c>
      <c r="D165" s="18" t="s">
        <v>245</v>
      </c>
      <c r="E165" s="18">
        <v>40</v>
      </c>
      <c r="F165" s="18">
        <v>40</v>
      </c>
      <c r="G165" s="18" t="s">
        <v>153</v>
      </c>
      <c r="H165" s="248">
        <f t="shared" si="63"/>
        <v>40</v>
      </c>
      <c r="I165" s="135"/>
      <c r="J165" s="18" t="s">
        <v>293</v>
      </c>
      <c r="K165" s="4">
        <f t="shared" si="49"/>
        <v>26</v>
      </c>
      <c r="L165" s="4">
        <v>26.5</v>
      </c>
      <c r="M165" s="4">
        <f t="shared" si="54"/>
        <v>0.5</v>
      </c>
      <c r="N165" s="5">
        <v>0.57999999999999996</v>
      </c>
      <c r="O165" s="5">
        <f t="shared" si="48"/>
        <v>0.42000000000000004</v>
      </c>
      <c r="P165" s="31">
        <f t="shared" si="55"/>
        <v>0.28999999999999998</v>
      </c>
      <c r="Q165" s="31">
        <f t="shared" si="50"/>
        <v>0.28999999999999998</v>
      </c>
      <c r="R165" s="31">
        <v>290</v>
      </c>
      <c r="S165" s="31">
        <v>1</v>
      </c>
      <c r="T165" s="31">
        <v>0.28000000000000003</v>
      </c>
      <c r="U165" s="31">
        <v>0</v>
      </c>
      <c r="V165" s="65">
        <f t="shared" si="64"/>
        <v>0</v>
      </c>
      <c r="W165" s="31">
        <v>10</v>
      </c>
      <c r="X165" s="31"/>
      <c r="Y165" s="31">
        <f t="shared" si="66"/>
        <v>10</v>
      </c>
      <c r="Z165" s="31">
        <f t="shared" si="67"/>
        <v>28</v>
      </c>
      <c r="AA165" s="18">
        <v>0</v>
      </c>
      <c r="AB165" s="18" t="s">
        <v>96</v>
      </c>
      <c r="AC165" s="18" t="s">
        <v>116</v>
      </c>
      <c r="AD165" s="18" t="s">
        <v>334</v>
      </c>
      <c r="AE165" s="18">
        <v>1</v>
      </c>
      <c r="AF165" s="18">
        <v>290</v>
      </c>
      <c r="AG165" s="18" t="s">
        <v>32</v>
      </c>
      <c r="AH165" s="18" t="s">
        <v>32</v>
      </c>
      <c r="AI165" s="18" t="str">
        <f>+VLOOKUP(AH165,Leyenda!$O$4:$U$10,6,FALSE)</f>
        <v>0,15-0,25</v>
      </c>
      <c r="AJ165" s="18" t="str">
        <f>+VLOOKUP(AG165,Leyenda!$O$4:$U$10,7,FALSE)</f>
        <v>No Blasting need</v>
      </c>
      <c r="AK165" s="18">
        <f>+VLOOKUP(AJ165,Leyenda!$U$4:$V$10,2,FALSE)</f>
        <v>2</v>
      </c>
      <c r="AL165" s="18" t="s">
        <v>239</v>
      </c>
      <c r="AM165" s="18" t="str">
        <f t="shared" si="56"/>
        <v>R1</v>
      </c>
      <c r="AN165" s="18" t="s">
        <v>69</v>
      </c>
      <c r="AO165" s="18" t="s">
        <v>81</v>
      </c>
      <c r="AP165" s="18" t="s">
        <v>100</v>
      </c>
      <c r="AQ165" s="18" t="s">
        <v>109</v>
      </c>
      <c r="AR165" s="18" t="s">
        <v>122</v>
      </c>
      <c r="AS165" s="18" t="s">
        <v>198</v>
      </c>
      <c r="AT165" s="18" t="s">
        <v>238</v>
      </c>
      <c r="AU165" s="18"/>
      <c r="AV165" s="18">
        <f>+VLOOKUP(AN165,Leyenda!$B$30:$E$34,3,FALSE)</f>
        <v>0</v>
      </c>
      <c r="AW165" s="18">
        <f>+VLOOKUP('2. Logging Brejo Seco'!AO165,Meteorizacion,3,FALSE)</f>
        <v>0</v>
      </c>
      <c r="AX165" s="18">
        <f>+VLOOKUP('2. Logging Brejo Seco'!AP165,Apertura,3,FALSE)</f>
        <v>0</v>
      </c>
      <c r="AY165" s="18">
        <f>+VLOOKUP('2. Logging Brejo Seco'!AQ165,Leyenda!$B$55:$D$59,3,FALSE)</f>
        <v>1</v>
      </c>
      <c r="AZ165" s="18">
        <f>+VLOOKUP('2. Logging Brejo Seco'!AR165,Relleno,3,FALSE)</f>
        <v>0</v>
      </c>
      <c r="BA165" s="18">
        <f t="shared" si="65"/>
        <v>1</v>
      </c>
      <c r="BB165" s="49">
        <f t="shared" si="51"/>
        <v>0</v>
      </c>
      <c r="BC165" s="49">
        <f>VLOOKUP(AM165,Leyenda!$B$4:$D$10,3,FALSE)</f>
        <v>1</v>
      </c>
      <c r="BD165" s="50">
        <f t="shared" si="57"/>
        <v>5</v>
      </c>
      <c r="BE165" s="49">
        <f t="shared" si="58"/>
        <v>1</v>
      </c>
      <c r="BF165" s="49">
        <f>VLOOKUP(AS165,Leyenda!$B$70:$D$75,3,FALSE)</f>
        <v>15</v>
      </c>
      <c r="BG165" s="67">
        <f t="shared" si="52"/>
        <v>1.5</v>
      </c>
      <c r="BH165" s="67">
        <f>VLOOKUP(AM165,Leyenda!$B$4:$E$10,4,FALSE)</f>
        <v>1</v>
      </c>
      <c r="BI165" s="67">
        <f t="shared" si="59"/>
        <v>5</v>
      </c>
      <c r="BJ165" s="67">
        <f t="shared" si="53"/>
        <v>0</v>
      </c>
      <c r="BK165" s="67">
        <f>+VLOOKUP('2. Logging Brejo Seco'!AP165,Leyenda!$B$47:$E$51,4,FALSE)</f>
        <v>0</v>
      </c>
      <c r="BL165" s="67">
        <f>+VLOOKUP('2. Logging Brejo Seco'!AQ165,Leyenda!$B$55:$E$59,4,FALSE)</f>
        <v>1</v>
      </c>
      <c r="BM165" s="67">
        <f>+VLOOKUP('2. Logging Brejo Seco'!AR165,Leyenda!$B$63:$E$67,3,FALSE)</f>
        <v>0</v>
      </c>
      <c r="BN165" s="67">
        <f>+VLOOKUP('2. Logging Brejo Seco'!AO165,Leyenda!$B$39:$E$43,4,FALSE)</f>
        <v>0</v>
      </c>
      <c r="BO165" s="67">
        <f>+VLOOKUP('2. Logging Brejo Seco'!AN165,Leyenda!$B$30:$E$34,4,FALSE)</f>
        <v>0</v>
      </c>
      <c r="BP165" s="67">
        <f>VLOOKUP(AS165,Leyenda!$B$71:$E$75,4,FALSE)</f>
        <v>10</v>
      </c>
      <c r="BQ165" s="125">
        <f t="shared" si="60"/>
        <v>17</v>
      </c>
      <c r="BR165" s="85">
        <f t="shared" si="61"/>
        <v>22</v>
      </c>
      <c r="BS165" s="240">
        <f t="shared" si="62"/>
        <v>0.42000000000000004</v>
      </c>
      <c r="BT165" s="18" t="s">
        <v>747</v>
      </c>
    </row>
    <row r="166" spans="1:72" x14ac:dyDescent="0.25">
      <c r="A166" s="18" t="s">
        <v>6</v>
      </c>
      <c r="B166" s="18">
        <v>2024</v>
      </c>
      <c r="C166" s="18" t="s">
        <v>138</v>
      </c>
      <c r="D166" s="18" t="s">
        <v>245</v>
      </c>
      <c r="E166" s="18">
        <v>40</v>
      </c>
      <c r="F166" s="18">
        <v>40</v>
      </c>
      <c r="G166" s="18" t="s">
        <v>153</v>
      </c>
      <c r="H166" s="248">
        <f t="shared" si="63"/>
        <v>40</v>
      </c>
      <c r="I166" s="135"/>
      <c r="J166" s="18" t="s">
        <v>293</v>
      </c>
      <c r="K166" s="4">
        <f t="shared" si="49"/>
        <v>26.5</v>
      </c>
      <c r="L166" s="4">
        <v>27</v>
      </c>
      <c r="M166" s="4">
        <f t="shared" si="54"/>
        <v>0.5</v>
      </c>
      <c r="N166" s="5">
        <v>0.52</v>
      </c>
      <c r="O166" s="5">
        <f t="shared" si="48"/>
        <v>0.48</v>
      </c>
      <c r="P166" s="31">
        <f t="shared" si="55"/>
        <v>0.26</v>
      </c>
      <c r="Q166" s="31">
        <f t="shared" si="50"/>
        <v>0.26</v>
      </c>
      <c r="R166" s="31">
        <v>260</v>
      </c>
      <c r="S166" s="31">
        <v>1</v>
      </c>
      <c r="T166" s="31">
        <v>0.24</v>
      </c>
      <c r="U166" s="31">
        <v>0</v>
      </c>
      <c r="V166" s="65">
        <f t="shared" si="64"/>
        <v>0</v>
      </c>
      <c r="W166" s="31">
        <v>10</v>
      </c>
      <c r="X166" s="31"/>
      <c r="Y166" s="31">
        <f t="shared" si="66"/>
        <v>10</v>
      </c>
      <c r="Z166" s="31">
        <f t="shared" si="67"/>
        <v>24</v>
      </c>
      <c r="AA166" s="18">
        <v>0</v>
      </c>
      <c r="AB166" s="18" t="s">
        <v>96</v>
      </c>
      <c r="AC166" s="18" t="s">
        <v>116</v>
      </c>
      <c r="AD166" s="18" t="s">
        <v>334</v>
      </c>
      <c r="AE166" s="18">
        <v>1</v>
      </c>
      <c r="AF166" s="18">
        <v>260</v>
      </c>
      <c r="AG166" s="18" t="s">
        <v>32</v>
      </c>
      <c r="AH166" s="18" t="s">
        <v>32</v>
      </c>
      <c r="AI166" s="18" t="str">
        <f>+VLOOKUP(AH166,Leyenda!$O$4:$U$10,6,FALSE)</f>
        <v>0,15-0,25</v>
      </c>
      <c r="AJ166" s="18" t="str">
        <f>+VLOOKUP(AG166,Leyenda!$O$4:$U$10,7,FALSE)</f>
        <v>No Blasting need</v>
      </c>
      <c r="AK166" s="18">
        <f>+VLOOKUP(AJ166,Leyenda!$U$4:$V$10,2,FALSE)</f>
        <v>2</v>
      </c>
      <c r="AL166" s="18" t="s">
        <v>239</v>
      </c>
      <c r="AM166" s="18" t="str">
        <f t="shared" si="56"/>
        <v>R1</v>
      </c>
      <c r="AN166" s="18" t="s">
        <v>69</v>
      </c>
      <c r="AO166" s="18" t="s">
        <v>81</v>
      </c>
      <c r="AP166" s="18" t="s">
        <v>100</v>
      </c>
      <c r="AQ166" s="18" t="s">
        <v>109</v>
      </c>
      <c r="AR166" s="18" t="s">
        <v>122</v>
      </c>
      <c r="AS166" s="18" t="s">
        <v>198</v>
      </c>
      <c r="AT166" s="18" t="s">
        <v>238</v>
      </c>
      <c r="AU166" s="18"/>
      <c r="AV166" s="18">
        <f>+VLOOKUP(AN166,Leyenda!$B$30:$E$34,3,FALSE)</f>
        <v>0</v>
      </c>
      <c r="AW166" s="18">
        <f>+VLOOKUP('2. Logging Brejo Seco'!AO166,Meteorizacion,3,FALSE)</f>
        <v>0</v>
      </c>
      <c r="AX166" s="18">
        <f>+VLOOKUP('2. Logging Brejo Seco'!AP166,Apertura,3,FALSE)</f>
        <v>0</v>
      </c>
      <c r="AY166" s="18">
        <f>+VLOOKUP('2. Logging Brejo Seco'!AQ166,Leyenda!$B$55:$D$59,3,FALSE)</f>
        <v>1</v>
      </c>
      <c r="AZ166" s="18">
        <f>+VLOOKUP('2. Logging Brejo Seco'!AR166,Relleno,3,FALSE)</f>
        <v>0</v>
      </c>
      <c r="BA166" s="18">
        <f t="shared" si="65"/>
        <v>1</v>
      </c>
      <c r="BB166" s="49">
        <f t="shared" si="51"/>
        <v>0</v>
      </c>
      <c r="BC166" s="49">
        <f>VLOOKUP(AM166,Leyenda!$B$4:$D$10,3,FALSE)</f>
        <v>1</v>
      </c>
      <c r="BD166" s="50">
        <f t="shared" si="57"/>
        <v>4</v>
      </c>
      <c r="BE166" s="49">
        <f t="shared" si="58"/>
        <v>1</v>
      </c>
      <c r="BF166" s="49">
        <f>VLOOKUP(AS166,Leyenda!$B$70:$D$75,3,FALSE)</f>
        <v>15</v>
      </c>
      <c r="BG166" s="67">
        <f t="shared" si="52"/>
        <v>1.5</v>
      </c>
      <c r="BH166" s="67">
        <f>VLOOKUP(AM166,Leyenda!$B$4:$E$10,4,FALSE)</f>
        <v>1</v>
      </c>
      <c r="BI166" s="67">
        <f t="shared" si="59"/>
        <v>5</v>
      </c>
      <c r="BJ166" s="67">
        <f t="shared" si="53"/>
        <v>0</v>
      </c>
      <c r="BK166" s="67">
        <f>+VLOOKUP('2. Logging Brejo Seco'!AP166,Leyenda!$B$47:$E$51,4,FALSE)</f>
        <v>0</v>
      </c>
      <c r="BL166" s="67">
        <f>+VLOOKUP('2. Logging Brejo Seco'!AQ166,Leyenda!$B$55:$E$59,4,FALSE)</f>
        <v>1</v>
      </c>
      <c r="BM166" s="67">
        <f>+VLOOKUP('2. Logging Brejo Seco'!AR166,Leyenda!$B$63:$E$67,3,FALSE)</f>
        <v>0</v>
      </c>
      <c r="BN166" s="67">
        <f>+VLOOKUP('2. Logging Brejo Seco'!AO166,Leyenda!$B$39:$E$43,4,FALSE)</f>
        <v>0</v>
      </c>
      <c r="BO166" s="67">
        <f>+VLOOKUP('2. Logging Brejo Seco'!AN166,Leyenda!$B$30:$E$34,4,FALSE)</f>
        <v>0</v>
      </c>
      <c r="BP166" s="67">
        <f>VLOOKUP(AS166,Leyenda!$B$71:$E$75,4,FALSE)</f>
        <v>10</v>
      </c>
      <c r="BQ166" s="125">
        <f t="shared" si="60"/>
        <v>17</v>
      </c>
      <c r="BR166" s="85">
        <f t="shared" si="61"/>
        <v>21</v>
      </c>
      <c r="BS166" s="240">
        <f t="shared" si="62"/>
        <v>0.48</v>
      </c>
      <c r="BT166" s="18" t="s">
        <v>747</v>
      </c>
    </row>
    <row r="167" spans="1:72" x14ac:dyDescent="0.25">
      <c r="A167" s="18" t="s">
        <v>6</v>
      </c>
      <c r="B167" s="18">
        <v>2024</v>
      </c>
      <c r="C167" s="18" t="s">
        <v>138</v>
      </c>
      <c r="D167" s="18" t="s">
        <v>245</v>
      </c>
      <c r="E167" s="18">
        <v>40</v>
      </c>
      <c r="F167" s="18">
        <v>40</v>
      </c>
      <c r="G167" s="18" t="s">
        <v>153</v>
      </c>
      <c r="H167" s="248">
        <f t="shared" si="63"/>
        <v>40</v>
      </c>
      <c r="I167" s="135"/>
      <c r="J167" s="18" t="s">
        <v>293</v>
      </c>
      <c r="K167" s="4">
        <f t="shared" si="49"/>
        <v>27</v>
      </c>
      <c r="L167" s="4">
        <v>27.5</v>
      </c>
      <c r="M167" s="4">
        <f t="shared" si="54"/>
        <v>0.5</v>
      </c>
      <c r="N167" s="5">
        <v>0.42</v>
      </c>
      <c r="O167" s="5">
        <f t="shared" si="48"/>
        <v>0.58000000000000007</v>
      </c>
      <c r="P167" s="31">
        <f t="shared" si="55"/>
        <v>0.21</v>
      </c>
      <c r="Q167" s="31">
        <f t="shared" si="50"/>
        <v>0.21</v>
      </c>
      <c r="R167" s="31">
        <v>210</v>
      </c>
      <c r="S167" s="31">
        <v>1</v>
      </c>
      <c r="T167" s="31">
        <v>0.21</v>
      </c>
      <c r="U167" s="31">
        <v>0</v>
      </c>
      <c r="V167" s="65">
        <f t="shared" si="64"/>
        <v>0</v>
      </c>
      <c r="W167" s="31">
        <v>5</v>
      </c>
      <c r="X167" s="31"/>
      <c r="Y167" s="31">
        <f t="shared" si="66"/>
        <v>5</v>
      </c>
      <c r="Z167" s="31">
        <f t="shared" si="67"/>
        <v>42</v>
      </c>
      <c r="AA167" s="18">
        <v>0</v>
      </c>
      <c r="AB167" s="18" t="s">
        <v>96</v>
      </c>
      <c r="AC167" s="18" t="s">
        <v>116</v>
      </c>
      <c r="AD167" s="18" t="s">
        <v>334</v>
      </c>
      <c r="AE167" s="18">
        <v>1</v>
      </c>
      <c r="AF167" s="18">
        <v>210</v>
      </c>
      <c r="AG167" s="18" t="s">
        <v>32</v>
      </c>
      <c r="AH167" s="18" t="s">
        <v>32</v>
      </c>
      <c r="AI167" s="18" t="str">
        <f>+VLOOKUP(AH167,Leyenda!$O$4:$U$10,6,FALSE)</f>
        <v>0,15-0,25</v>
      </c>
      <c r="AJ167" s="18" t="str">
        <f>+VLOOKUP(AG167,Leyenda!$O$4:$U$10,7,FALSE)</f>
        <v>No Blasting need</v>
      </c>
      <c r="AK167" s="18">
        <f>+VLOOKUP(AJ167,Leyenda!$U$4:$V$10,2,FALSE)</f>
        <v>2</v>
      </c>
      <c r="AL167" s="18" t="s">
        <v>239</v>
      </c>
      <c r="AM167" s="18" t="str">
        <f t="shared" si="56"/>
        <v>R1</v>
      </c>
      <c r="AN167" s="18" t="s">
        <v>69</v>
      </c>
      <c r="AO167" s="18" t="s">
        <v>81</v>
      </c>
      <c r="AP167" s="18" t="s">
        <v>100</v>
      </c>
      <c r="AQ167" s="18" t="s">
        <v>109</v>
      </c>
      <c r="AR167" s="18" t="s">
        <v>122</v>
      </c>
      <c r="AS167" s="18" t="s">
        <v>198</v>
      </c>
      <c r="AT167" s="18" t="s">
        <v>238</v>
      </c>
      <c r="AU167" s="18"/>
      <c r="AV167" s="18">
        <f>+VLOOKUP(AN167,Leyenda!$B$30:$E$34,3,FALSE)</f>
        <v>0</v>
      </c>
      <c r="AW167" s="18">
        <f>+VLOOKUP('2. Logging Brejo Seco'!AO167,Meteorizacion,3,FALSE)</f>
        <v>0</v>
      </c>
      <c r="AX167" s="18">
        <f>+VLOOKUP('2. Logging Brejo Seco'!AP167,Apertura,3,FALSE)</f>
        <v>0</v>
      </c>
      <c r="AY167" s="18">
        <f>+VLOOKUP('2. Logging Brejo Seco'!AQ167,Leyenda!$B$55:$D$59,3,FALSE)</f>
        <v>1</v>
      </c>
      <c r="AZ167" s="18">
        <f>+VLOOKUP('2. Logging Brejo Seco'!AR167,Relleno,3,FALSE)</f>
        <v>0</v>
      </c>
      <c r="BA167" s="18">
        <f t="shared" si="65"/>
        <v>1</v>
      </c>
      <c r="BB167" s="49">
        <f t="shared" si="51"/>
        <v>0</v>
      </c>
      <c r="BC167" s="49">
        <f>VLOOKUP(AM167,Leyenda!$B$4:$D$10,3,FALSE)</f>
        <v>1</v>
      </c>
      <c r="BD167" s="50">
        <f t="shared" si="57"/>
        <v>5</v>
      </c>
      <c r="BE167" s="49">
        <f t="shared" si="58"/>
        <v>1</v>
      </c>
      <c r="BF167" s="49">
        <f>VLOOKUP(AS167,Leyenda!$B$70:$D$75,3,FALSE)</f>
        <v>15</v>
      </c>
      <c r="BG167" s="67">
        <f t="shared" si="52"/>
        <v>1.5</v>
      </c>
      <c r="BH167" s="67">
        <f>VLOOKUP(AM167,Leyenda!$B$4:$E$10,4,FALSE)</f>
        <v>1</v>
      </c>
      <c r="BI167" s="67">
        <f t="shared" si="59"/>
        <v>5</v>
      </c>
      <c r="BJ167" s="67">
        <f t="shared" si="53"/>
        <v>0</v>
      </c>
      <c r="BK167" s="67">
        <f>+VLOOKUP('2. Logging Brejo Seco'!AP167,Leyenda!$B$47:$E$51,4,FALSE)</f>
        <v>0</v>
      </c>
      <c r="BL167" s="67">
        <f>+VLOOKUP('2. Logging Brejo Seco'!AQ167,Leyenda!$B$55:$E$59,4,FALSE)</f>
        <v>1</v>
      </c>
      <c r="BM167" s="67">
        <f>+VLOOKUP('2. Logging Brejo Seco'!AR167,Leyenda!$B$63:$E$67,3,FALSE)</f>
        <v>0</v>
      </c>
      <c r="BN167" s="67">
        <f>+VLOOKUP('2. Logging Brejo Seco'!AO167,Leyenda!$B$39:$E$43,4,FALSE)</f>
        <v>0</v>
      </c>
      <c r="BO167" s="67">
        <f>+VLOOKUP('2. Logging Brejo Seco'!AN167,Leyenda!$B$30:$E$34,4,FALSE)</f>
        <v>0</v>
      </c>
      <c r="BP167" s="67">
        <f>VLOOKUP(AS167,Leyenda!$B$71:$E$75,4,FALSE)</f>
        <v>10</v>
      </c>
      <c r="BQ167" s="125">
        <f t="shared" si="60"/>
        <v>17</v>
      </c>
      <c r="BR167" s="85">
        <f t="shared" si="61"/>
        <v>22</v>
      </c>
      <c r="BS167" s="240">
        <f t="shared" si="62"/>
        <v>0.58000000000000007</v>
      </c>
      <c r="BT167" s="18" t="s">
        <v>747</v>
      </c>
    </row>
    <row r="168" spans="1:72" x14ac:dyDescent="0.25">
      <c r="A168" s="18" t="s">
        <v>6</v>
      </c>
      <c r="B168" s="18">
        <v>2024</v>
      </c>
      <c r="C168" s="18" t="s">
        <v>138</v>
      </c>
      <c r="D168" s="18" t="s">
        <v>245</v>
      </c>
      <c r="E168" s="18">
        <v>40</v>
      </c>
      <c r="F168" s="18">
        <v>40</v>
      </c>
      <c r="G168" s="18" t="s">
        <v>153</v>
      </c>
      <c r="H168" s="248">
        <f t="shared" si="63"/>
        <v>40</v>
      </c>
      <c r="I168" s="135"/>
      <c r="J168" s="18" t="s">
        <v>293</v>
      </c>
      <c r="K168" s="4">
        <f t="shared" si="49"/>
        <v>27.5</v>
      </c>
      <c r="L168" s="4">
        <v>28</v>
      </c>
      <c r="M168" s="4">
        <f t="shared" si="54"/>
        <v>0.5</v>
      </c>
      <c r="N168" s="5">
        <v>0.4</v>
      </c>
      <c r="O168" s="5">
        <f t="shared" si="48"/>
        <v>0.6</v>
      </c>
      <c r="P168" s="31">
        <f t="shared" si="55"/>
        <v>0.2</v>
      </c>
      <c r="Q168" s="31">
        <f t="shared" si="50"/>
        <v>0.2</v>
      </c>
      <c r="R168" s="31">
        <v>200</v>
      </c>
      <c r="S168" s="31">
        <v>1</v>
      </c>
      <c r="T168" s="84">
        <v>0.2</v>
      </c>
      <c r="U168" s="31">
        <v>0</v>
      </c>
      <c r="V168" s="65">
        <f t="shared" si="64"/>
        <v>0</v>
      </c>
      <c r="W168" s="31">
        <v>10</v>
      </c>
      <c r="X168" s="31"/>
      <c r="Y168" s="31">
        <f t="shared" si="66"/>
        <v>10</v>
      </c>
      <c r="Z168" s="31">
        <f t="shared" si="67"/>
        <v>20</v>
      </c>
      <c r="AA168" s="18">
        <v>0</v>
      </c>
      <c r="AB168" s="18" t="s">
        <v>96</v>
      </c>
      <c r="AC168" s="18" t="s">
        <v>116</v>
      </c>
      <c r="AD168" s="18" t="s">
        <v>334</v>
      </c>
      <c r="AE168" s="18">
        <v>1</v>
      </c>
      <c r="AF168" s="18">
        <v>200</v>
      </c>
      <c r="AG168" s="18" t="s">
        <v>32</v>
      </c>
      <c r="AH168" s="18" t="s">
        <v>32</v>
      </c>
      <c r="AI168" s="18" t="str">
        <f>+VLOOKUP(AH168,Leyenda!$O$4:$U$10,6,FALSE)</f>
        <v>0,15-0,25</v>
      </c>
      <c r="AJ168" s="18" t="str">
        <f>+VLOOKUP(AG168,Leyenda!$O$4:$U$10,7,FALSE)</f>
        <v>No Blasting need</v>
      </c>
      <c r="AK168" s="18">
        <f>+VLOOKUP(AJ168,Leyenda!$U$4:$V$10,2,FALSE)</f>
        <v>2</v>
      </c>
      <c r="AL168" s="18" t="s">
        <v>239</v>
      </c>
      <c r="AM168" s="18" t="str">
        <f t="shared" si="56"/>
        <v>R1</v>
      </c>
      <c r="AN168" s="18" t="s">
        <v>69</v>
      </c>
      <c r="AO168" s="18" t="s">
        <v>81</v>
      </c>
      <c r="AP168" s="18" t="s">
        <v>100</v>
      </c>
      <c r="AQ168" s="18" t="s">
        <v>109</v>
      </c>
      <c r="AR168" s="18" t="s">
        <v>122</v>
      </c>
      <c r="AS168" s="18" t="s">
        <v>198</v>
      </c>
      <c r="AT168" s="18" t="s">
        <v>238</v>
      </c>
      <c r="AU168" s="18"/>
      <c r="AV168" s="18">
        <f>+VLOOKUP(AN168,Leyenda!$B$30:$E$34,3,FALSE)</f>
        <v>0</v>
      </c>
      <c r="AW168" s="18">
        <f>+VLOOKUP('2. Logging Brejo Seco'!AO168,Meteorizacion,3,FALSE)</f>
        <v>0</v>
      </c>
      <c r="AX168" s="18">
        <f>+VLOOKUP('2. Logging Brejo Seco'!AP168,Apertura,3,FALSE)</f>
        <v>0</v>
      </c>
      <c r="AY168" s="18">
        <f>+VLOOKUP('2. Logging Brejo Seco'!AQ168,Leyenda!$B$55:$D$59,3,FALSE)</f>
        <v>1</v>
      </c>
      <c r="AZ168" s="18">
        <f>+VLOOKUP('2. Logging Brejo Seco'!AR168,Relleno,3,FALSE)</f>
        <v>0</v>
      </c>
      <c r="BA168" s="18">
        <f t="shared" si="65"/>
        <v>1</v>
      </c>
      <c r="BB168" s="49">
        <f t="shared" si="51"/>
        <v>0</v>
      </c>
      <c r="BC168" s="49">
        <f>VLOOKUP(AM168,Leyenda!$B$4:$D$10,3,FALSE)</f>
        <v>1</v>
      </c>
      <c r="BD168" s="50">
        <f t="shared" si="57"/>
        <v>4</v>
      </c>
      <c r="BE168" s="49">
        <f t="shared" si="58"/>
        <v>1</v>
      </c>
      <c r="BF168" s="49">
        <f>VLOOKUP(AS168,Leyenda!$B$70:$D$75,3,FALSE)</f>
        <v>15</v>
      </c>
      <c r="BG168" s="67">
        <f t="shared" si="52"/>
        <v>1.5</v>
      </c>
      <c r="BH168" s="67">
        <f>VLOOKUP(AM168,Leyenda!$B$4:$E$10,4,FALSE)</f>
        <v>1</v>
      </c>
      <c r="BI168" s="67">
        <f t="shared" si="59"/>
        <v>5</v>
      </c>
      <c r="BJ168" s="67">
        <f t="shared" si="53"/>
        <v>0</v>
      </c>
      <c r="BK168" s="67">
        <f>+VLOOKUP('2. Logging Brejo Seco'!AP168,Leyenda!$B$47:$E$51,4,FALSE)</f>
        <v>0</v>
      </c>
      <c r="BL168" s="67">
        <f>+VLOOKUP('2. Logging Brejo Seco'!AQ168,Leyenda!$B$55:$E$59,4,FALSE)</f>
        <v>1</v>
      </c>
      <c r="BM168" s="67">
        <f>+VLOOKUP('2. Logging Brejo Seco'!AR168,Leyenda!$B$63:$E$67,3,FALSE)</f>
        <v>0</v>
      </c>
      <c r="BN168" s="67">
        <f>+VLOOKUP('2. Logging Brejo Seco'!AO168,Leyenda!$B$39:$E$43,4,FALSE)</f>
        <v>0</v>
      </c>
      <c r="BO168" s="67">
        <f>+VLOOKUP('2. Logging Brejo Seco'!AN168,Leyenda!$B$30:$E$34,4,FALSE)</f>
        <v>0</v>
      </c>
      <c r="BP168" s="67">
        <f>VLOOKUP(AS168,Leyenda!$B$71:$E$75,4,FALSE)</f>
        <v>10</v>
      </c>
      <c r="BQ168" s="125">
        <f t="shared" si="60"/>
        <v>17</v>
      </c>
      <c r="BR168" s="85">
        <f t="shared" si="61"/>
        <v>21</v>
      </c>
      <c r="BS168" s="240">
        <f t="shared" si="62"/>
        <v>0.6</v>
      </c>
      <c r="BT168" s="18" t="s">
        <v>747</v>
      </c>
    </row>
    <row r="169" spans="1:72" x14ac:dyDescent="0.25">
      <c r="A169" s="18" t="s">
        <v>6</v>
      </c>
      <c r="B169" s="18">
        <v>2024</v>
      </c>
      <c r="C169" s="18" t="s">
        <v>138</v>
      </c>
      <c r="D169" s="18" t="s">
        <v>245</v>
      </c>
      <c r="E169" s="18">
        <v>40</v>
      </c>
      <c r="F169" s="18">
        <v>40</v>
      </c>
      <c r="G169" s="18" t="s">
        <v>153</v>
      </c>
      <c r="H169" s="248">
        <f t="shared" si="63"/>
        <v>40</v>
      </c>
      <c r="I169" s="135"/>
      <c r="J169" s="18" t="s">
        <v>293</v>
      </c>
      <c r="K169" s="4">
        <f t="shared" si="49"/>
        <v>28</v>
      </c>
      <c r="L169" s="4">
        <v>28.5</v>
      </c>
      <c r="M169" s="4">
        <f t="shared" si="54"/>
        <v>0.5</v>
      </c>
      <c r="N169" s="5">
        <v>0</v>
      </c>
      <c r="O169" s="5">
        <f t="shared" si="48"/>
        <v>1</v>
      </c>
      <c r="P169" s="31">
        <f t="shared" si="55"/>
        <v>0</v>
      </c>
      <c r="Q169" s="31">
        <f t="shared" si="50"/>
        <v>0</v>
      </c>
      <c r="R169" s="31" t="s">
        <v>348</v>
      </c>
      <c r="S169" s="31">
        <v>1</v>
      </c>
      <c r="T169" s="31">
        <v>0.5</v>
      </c>
      <c r="U169" s="31">
        <v>0</v>
      </c>
      <c r="V169" s="65">
        <f t="shared" si="64"/>
        <v>0</v>
      </c>
      <c r="W169" s="31">
        <v>10</v>
      </c>
      <c r="X169" s="31"/>
      <c r="Y169" s="31">
        <f t="shared" si="66"/>
        <v>10</v>
      </c>
      <c r="Z169" s="31"/>
      <c r="AA169" s="18">
        <v>0</v>
      </c>
      <c r="AB169" s="18" t="s">
        <v>96</v>
      </c>
      <c r="AC169" s="18" t="s">
        <v>116</v>
      </c>
      <c r="AD169" s="18" t="s">
        <v>334</v>
      </c>
      <c r="AE169" s="18">
        <v>1</v>
      </c>
      <c r="AF169" s="18" t="s">
        <v>348</v>
      </c>
      <c r="AG169" s="18" t="s">
        <v>32</v>
      </c>
      <c r="AH169" s="18" t="s">
        <v>32</v>
      </c>
      <c r="AI169" s="18" t="str">
        <f>+VLOOKUP(AH169,Leyenda!$O$4:$U$10,6,FALSE)</f>
        <v>0,15-0,25</v>
      </c>
      <c r="AJ169" s="18" t="str">
        <f>+VLOOKUP(AG169,Leyenda!$O$4:$U$10,7,FALSE)</f>
        <v>No Blasting need</v>
      </c>
      <c r="AK169" s="18">
        <f>+VLOOKUP(AJ169,Leyenda!$U$4:$V$10,2,FALSE)</f>
        <v>2</v>
      </c>
      <c r="AL169" s="18" t="s">
        <v>239</v>
      </c>
      <c r="AM169" s="18" t="str">
        <f t="shared" si="56"/>
        <v>R1</v>
      </c>
      <c r="AN169" s="18" t="s">
        <v>69</v>
      </c>
      <c r="AO169" s="18" t="s">
        <v>81</v>
      </c>
      <c r="AP169" s="18" t="s">
        <v>100</v>
      </c>
      <c r="AQ169" s="18" t="s">
        <v>109</v>
      </c>
      <c r="AR169" s="18" t="s">
        <v>122</v>
      </c>
      <c r="AS169" s="18" t="s">
        <v>198</v>
      </c>
      <c r="AT169" s="18" t="s">
        <v>238</v>
      </c>
      <c r="AU169" s="18"/>
      <c r="AV169" s="18">
        <f>+VLOOKUP(AN169,Leyenda!$B$30:$E$34,3,FALSE)</f>
        <v>0</v>
      </c>
      <c r="AW169" s="18">
        <f>+VLOOKUP('2. Logging Brejo Seco'!AO169,Meteorizacion,3,FALSE)</f>
        <v>0</v>
      </c>
      <c r="AX169" s="18">
        <f>+VLOOKUP('2. Logging Brejo Seco'!AP169,Apertura,3,FALSE)</f>
        <v>0</v>
      </c>
      <c r="AY169" s="18">
        <f>+VLOOKUP('2. Logging Brejo Seco'!AQ169,Leyenda!$B$55:$D$59,3,FALSE)</f>
        <v>1</v>
      </c>
      <c r="AZ169" s="18">
        <f>+VLOOKUP('2. Logging Brejo Seco'!AR169,Relleno,3,FALSE)</f>
        <v>0</v>
      </c>
      <c r="BA169" s="18">
        <f t="shared" si="65"/>
        <v>1</v>
      </c>
      <c r="BB169" s="49">
        <f t="shared" si="51"/>
        <v>0</v>
      </c>
      <c r="BC169" s="49">
        <f>VLOOKUP(AM169,Leyenda!$B$4:$D$10,3,FALSE)</f>
        <v>1</v>
      </c>
      <c r="BD169" s="50">
        <f t="shared" si="57"/>
        <v>0</v>
      </c>
      <c r="BE169" s="49">
        <f t="shared" si="58"/>
        <v>1</v>
      </c>
      <c r="BF169" s="49">
        <f>VLOOKUP(AS169,Leyenda!$B$70:$D$75,3,FALSE)</f>
        <v>15</v>
      </c>
      <c r="BG169" s="67">
        <f t="shared" si="52"/>
        <v>1.5</v>
      </c>
      <c r="BH169" s="67">
        <f>VLOOKUP(AM169,Leyenda!$B$4:$E$10,4,FALSE)</f>
        <v>1</v>
      </c>
      <c r="BI169" s="67">
        <f t="shared" si="59"/>
        <v>5</v>
      </c>
      <c r="BJ169" s="67">
        <f t="shared" si="53"/>
        <v>0</v>
      </c>
      <c r="BK169" s="67">
        <f>+VLOOKUP('2. Logging Brejo Seco'!AP169,Leyenda!$B$47:$E$51,4,FALSE)</f>
        <v>0</v>
      </c>
      <c r="BL169" s="67">
        <f>+VLOOKUP('2. Logging Brejo Seco'!AQ169,Leyenda!$B$55:$E$59,4,FALSE)</f>
        <v>1</v>
      </c>
      <c r="BM169" s="67">
        <f>+VLOOKUP('2. Logging Brejo Seco'!AR169,Leyenda!$B$63:$E$67,3,FALSE)</f>
        <v>0</v>
      </c>
      <c r="BN169" s="67">
        <f>+VLOOKUP('2. Logging Brejo Seco'!AO169,Leyenda!$B$39:$E$43,4,FALSE)</f>
        <v>0</v>
      </c>
      <c r="BO169" s="67">
        <f>+VLOOKUP('2. Logging Brejo Seco'!AN169,Leyenda!$B$30:$E$34,4,FALSE)</f>
        <v>0</v>
      </c>
      <c r="BP169" s="67">
        <f>VLOOKUP(AS169,Leyenda!$B$71:$E$75,4,FALSE)</f>
        <v>10</v>
      </c>
      <c r="BQ169" s="125">
        <f t="shared" si="60"/>
        <v>17</v>
      </c>
      <c r="BR169" s="85">
        <f t="shared" si="61"/>
        <v>17</v>
      </c>
      <c r="BS169" s="240">
        <f t="shared" si="62"/>
        <v>1</v>
      </c>
      <c r="BT169" s="18" t="s">
        <v>747</v>
      </c>
    </row>
    <row r="170" spans="1:72" x14ac:dyDescent="0.25">
      <c r="A170" s="18" t="s">
        <v>6</v>
      </c>
      <c r="B170" s="18">
        <v>2024</v>
      </c>
      <c r="C170" s="18" t="s">
        <v>138</v>
      </c>
      <c r="D170" s="18" t="s">
        <v>245</v>
      </c>
      <c r="E170" s="18">
        <v>40</v>
      </c>
      <c r="F170" s="18">
        <v>40</v>
      </c>
      <c r="G170" s="18" t="s">
        <v>153</v>
      </c>
      <c r="H170" s="248">
        <f t="shared" si="63"/>
        <v>40</v>
      </c>
      <c r="I170" s="135"/>
      <c r="J170" s="18" t="s">
        <v>293</v>
      </c>
      <c r="K170" s="4">
        <f t="shared" si="49"/>
        <v>28.5</v>
      </c>
      <c r="L170" s="4">
        <v>29</v>
      </c>
      <c r="M170" s="4">
        <f t="shared" si="54"/>
        <v>0.5</v>
      </c>
      <c r="N170" s="5">
        <v>0.26</v>
      </c>
      <c r="O170" s="5">
        <f t="shared" si="48"/>
        <v>0.74</v>
      </c>
      <c r="P170" s="31">
        <f t="shared" si="55"/>
        <v>0.13</v>
      </c>
      <c r="Q170" s="31">
        <f t="shared" si="50"/>
        <v>0.13</v>
      </c>
      <c r="R170" s="31">
        <v>26</v>
      </c>
      <c r="S170" s="31">
        <v>5</v>
      </c>
      <c r="T170" s="31">
        <v>0.13</v>
      </c>
      <c r="U170" s="31">
        <v>0</v>
      </c>
      <c r="V170" s="65">
        <f t="shared" si="64"/>
        <v>0</v>
      </c>
      <c r="W170" s="31">
        <v>10</v>
      </c>
      <c r="X170" s="31"/>
      <c r="Y170" s="31">
        <f t="shared" si="66"/>
        <v>10</v>
      </c>
      <c r="Z170" s="31">
        <f t="shared" si="67"/>
        <v>13</v>
      </c>
      <c r="AA170" s="18">
        <v>0</v>
      </c>
      <c r="AB170" s="18" t="s">
        <v>96</v>
      </c>
      <c r="AC170" s="18" t="s">
        <v>118</v>
      </c>
      <c r="AD170" s="18" t="s">
        <v>334</v>
      </c>
      <c r="AE170" s="18">
        <v>5</v>
      </c>
      <c r="AF170" s="18">
        <v>26</v>
      </c>
      <c r="AG170" s="18" t="s">
        <v>32</v>
      </c>
      <c r="AH170" s="18" t="s">
        <v>32</v>
      </c>
      <c r="AI170" s="18" t="str">
        <f>+VLOOKUP(AH170,Leyenda!$O$4:$U$10,6,FALSE)</f>
        <v>0,15-0,25</v>
      </c>
      <c r="AJ170" s="18" t="str">
        <f>+VLOOKUP(AG170,Leyenda!$O$4:$U$10,7,FALSE)</f>
        <v>No Blasting need</v>
      </c>
      <c r="AK170" s="18">
        <f>+VLOOKUP(AJ170,Leyenda!$U$4:$V$10,2,FALSE)</f>
        <v>2</v>
      </c>
      <c r="AL170" s="18" t="s">
        <v>239</v>
      </c>
      <c r="AM170" s="18" t="str">
        <f t="shared" si="56"/>
        <v>R1</v>
      </c>
      <c r="AN170" s="18" t="s">
        <v>69</v>
      </c>
      <c r="AO170" s="18" t="s">
        <v>81</v>
      </c>
      <c r="AP170" s="18" t="s">
        <v>100</v>
      </c>
      <c r="AQ170" s="18" t="s">
        <v>109</v>
      </c>
      <c r="AR170" s="18" t="s">
        <v>122</v>
      </c>
      <c r="AS170" s="18" t="s">
        <v>198</v>
      </c>
      <c r="AT170" s="18" t="s">
        <v>238</v>
      </c>
      <c r="AU170" s="18"/>
      <c r="AV170" s="18">
        <f>+VLOOKUP(AN170,Leyenda!$B$30:$E$34,3,FALSE)</f>
        <v>0</v>
      </c>
      <c r="AW170" s="18">
        <f>+VLOOKUP('2. Logging Brejo Seco'!AO170,Meteorizacion,3,FALSE)</f>
        <v>0</v>
      </c>
      <c r="AX170" s="18">
        <f>+VLOOKUP('2. Logging Brejo Seco'!AP170,Apertura,3,FALSE)</f>
        <v>0</v>
      </c>
      <c r="AY170" s="18">
        <f>+VLOOKUP('2. Logging Brejo Seco'!AQ170,Leyenda!$B$55:$D$59,3,FALSE)</f>
        <v>1</v>
      </c>
      <c r="AZ170" s="18">
        <f>+VLOOKUP('2. Logging Brejo Seco'!AR170,Relleno,3,FALSE)</f>
        <v>0</v>
      </c>
      <c r="BA170" s="18">
        <f t="shared" si="65"/>
        <v>1</v>
      </c>
      <c r="BB170" s="49">
        <f t="shared" si="51"/>
        <v>0</v>
      </c>
      <c r="BC170" s="49">
        <f>VLOOKUP(AM170,Leyenda!$B$4:$D$10,3,FALSE)</f>
        <v>1</v>
      </c>
      <c r="BD170" s="50">
        <f t="shared" si="57"/>
        <v>4</v>
      </c>
      <c r="BE170" s="49">
        <f t="shared" si="58"/>
        <v>1</v>
      </c>
      <c r="BF170" s="49">
        <f>VLOOKUP(AS170,Leyenda!$B$70:$D$75,3,FALSE)</f>
        <v>15</v>
      </c>
      <c r="BG170" s="67">
        <f t="shared" si="52"/>
        <v>1.5</v>
      </c>
      <c r="BH170" s="67">
        <f>VLOOKUP(AM170,Leyenda!$B$4:$E$10,4,FALSE)</f>
        <v>1</v>
      </c>
      <c r="BI170" s="67">
        <f t="shared" si="59"/>
        <v>5</v>
      </c>
      <c r="BJ170" s="67">
        <f t="shared" si="53"/>
        <v>0</v>
      </c>
      <c r="BK170" s="67">
        <f>+VLOOKUP('2. Logging Brejo Seco'!AP170,Leyenda!$B$47:$E$51,4,FALSE)</f>
        <v>0</v>
      </c>
      <c r="BL170" s="67">
        <f>+VLOOKUP('2. Logging Brejo Seco'!AQ170,Leyenda!$B$55:$E$59,4,FALSE)</f>
        <v>1</v>
      </c>
      <c r="BM170" s="67">
        <f>+VLOOKUP('2. Logging Brejo Seco'!AR170,Leyenda!$B$63:$E$67,3,FALSE)</f>
        <v>0</v>
      </c>
      <c r="BN170" s="67">
        <f>+VLOOKUP('2. Logging Brejo Seco'!AO170,Leyenda!$B$39:$E$43,4,FALSE)</f>
        <v>0</v>
      </c>
      <c r="BO170" s="67">
        <f>+VLOOKUP('2. Logging Brejo Seco'!AN170,Leyenda!$B$30:$E$34,4,FALSE)</f>
        <v>0</v>
      </c>
      <c r="BP170" s="67">
        <f>VLOOKUP(AS170,Leyenda!$B$71:$E$75,4,FALSE)</f>
        <v>10</v>
      </c>
      <c r="BQ170" s="125">
        <f t="shared" si="60"/>
        <v>17</v>
      </c>
      <c r="BR170" s="85">
        <f t="shared" si="61"/>
        <v>21</v>
      </c>
      <c r="BS170" s="240">
        <f t="shared" si="62"/>
        <v>0.74</v>
      </c>
      <c r="BT170" s="18" t="s">
        <v>747</v>
      </c>
    </row>
    <row r="171" spans="1:72" x14ac:dyDescent="0.25">
      <c r="A171" s="18" t="s">
        <v>6</v>
      </c>
      <c r="B171" s="18">
        <v>2024</v>
      </c>
      <c r="C171" s="18" t="s">
        <v>138</v>
      </c>
      <c r="D171" s="18" t="s">
        <v>245</v>
      </c>
      <c r="E171" s="18">
        <v>40</v>
      </c>
      <c r="F171" s="18">
        <v>40</v>
      </c>
      <c r="G171" s="18" t="s">
        <v>153</v>
      </c>
      <c r="H171" s="248">
        <f t="shared" si="63"/>
        <v>40</v>
      </c>
      <c r="I171" s="135"/>
      <c r="J171" s="18" t="s">
        <v>293</v>
      </c>
      <c r="K171" s="4">
        <f t="shared" si="49"/>
        <v>29</v>
      </c>
      <c r="L171" s="4">
        <v>29.5</v>
      </c>
      <c r="M171" s="4">
        <f t="shared" si="54"/>
        <v>0.5</v>
      </c>
      <c r="N171" s="5">
        <v>0.34</v>
      </c>
      <c r="O171" s="5">
        <f t="shared" si="48"/>
        <v>0.65999999999999992</v>
      </c>
      <c r="P171" s="31">
        <f t="shared" si="55"/>
        <v>0.17</v>
      </c>
      <c r="Q171" s="31">
        <f t="shared" si="50"/>
        <v>0.17</v>
      </c>
      <c r="R171" s="31">
        <v>170</v>
      </c>
      <c r="S171" s="31">
        <v>1</v>
      </c>
      <c r="T171" s="31">
        <v>0.17</v>
      </c>
      <c r="U171" s="31">
        <v>0</v>
      </c>
      <c r="V171" s="65">
        <f t="shared" si="64"/>
        <v>0</v>
      </c>
      <c r="W171" s="31">
        <v>10</v>
      </c>
      <c r="X171" s="31"/>
      <c r="Y171" s="31">
        <f t="shared" si="66"/>
        <v>10</v>
      </c>
      <c r="Z171" s="31">
        <f t="shared" si="67"/>
        <v>17</v>
      </c>
      <c r="AA171" s="18">
        <v>0</v>
      </c>
      <c r="AB171" s="18" t="s">
        <v>96</v>
      </c>
      <c r="AC171" s="18" t="s">
        <v>116</v>
      </c>
      <c r="AD171" s="18" t="s">
        <v>334</v>
      </c>
      <c r="AE171" s="18">
        <v>1</v>
      </c>
      <c r="AF171" s="18">
        <v>170</v>
      </c>
      <c r="AG171" s="18" t="s">
        <v>32</v>
      </c>
      <c r="AH171" s="18" t="s">
        <v>32</v>
      </c>
      <c r="AI171" s="18" t="str">
        <f>+VLOOKUP(AH171,Leyenda!$O$4:$U$10,6,FALSE)</f>
        <v>0,15-0,25</v>
      </c>
      <c r="AJ171" s="18" t="str">
        <f>+VLOOKUP(AG171,Leyenda!$O$4:$U$10,7,FALSE)</f>
        <v>No Blasting need</v>
      </c>
      <c r="AK171" s="18">
        <f>+VLOOKUP(AJ171,Leyenda!$U$4:$V$10,2,FALSE)</f>
        <v>2</v>
      </c>
      <c r="AL171" s="18" t="s">
        <v>239</v>
      </c>
      <c r="AM171" s="18" t="str">
        <f t="shared" si="56"/>
        <v>R1</v>
      </c>
      <c r="AN171" s="18" t="s">
        <v>69</v>
      </c>
      <c r="AO171" s="18" t="s">
        <v>81</v>
      </c>
      <c r="AP171" s="18" t="s">
        <v>100</v>
      </c>
      <c r="AQ171" s="18" t="s">
        <v>109</v>
      </c>
      <c r="AR171" s="18" t="s">
        <v>122</v>
      </c>
      <c r="AS171" s="18" t="s">
        <v>198</v>
      </c>
      <c r="AT171" s="18"/>
      <c r="AU171" s="18"/>
      <c r="AV171" s="18">
        <f>+VLOOKUP(AN171,Leyenda!$B$30:$E$34,3,FALSE)</f>
        <v>0</v>
      </c>
      <c r="AW171" s="18">
        <f>+VLOOKUP('2. Logging Brejo Seco'!AO171,Meteorizacion,3,FALSE)</f>
        <v>0</v>
      </c>
      <c r="AX171" s="18">
        <f>+VLOOKUP('2. Logging Brejo Seco'!AP171,Apertura,3,FALSE)</f>
        <v>0</v>
      </c>
      <c r="AY171" s="18">
        <f>+VLOOKUP('2. Logging Brejo Seco'!AQ171,Leyenda!$B$55:$D$59,3,FALSE)</f>
        <v>1</v>
      </c>
      <c r="AZ171" s="18">
        <f>+VLOOKUP('2. Logging Brejo Seco'!AR171,Relleno,3,FALSE)</f>
        <v>0</v>
      </c>
      <c r="BA171" s="18">
        <f t="shared" si="65"/>
        <v>1</v>
      </c>
      <c r="BB171" s="49">
        <f t="shared" si="51"/>
        <v>0</v>
      </c>
      <c r="BC171" s="49">
        <f>VLOOKUP(AM171,Leyenda!$B$4:$D$10,3,FALSE)</f>
        <v>1</v>
      </c>
      <c r="BD171" s="50">
        <f t="shared" si="57"/>
        <v>4</v>
      </c>
      <c r="BE171" s="49">
        <f t="shared" si="58"/>
        <v>1</v>
      </c>
      <c r="BF171" s="49">
        <f>VLOOKUP(AS171,Leyenda!$B$70:$D$75,3,FALSE)</f>
        <v>15</v>
      </c>
      <c r="BG171" s="67">
        <f t="shared" si="52"/>
        <v>1.5</v>
      </c>
      <c r="BH171" s="67">
        <f>VLOOKUP(AM171,Leyenda!$B$4:$E$10,4,FALSE)</f>
        <v>1</v>
      </c>
      <c r="BI171" s="67">
        <f t="shared" si="59"/>
        <v>5</v>
      </c>
      <c r="BJ171" s="67">
        <f t="shared" si="53"/>
        <v>0</v>
      </c>
      <c r="BK171" s="67">
        <f>+VLOOKUP('2. Logging Brejo Seco'!AP171,Leyenda!$B$47:$E$51,4,FALSE)</f>
        <v>0</v>
      </c>
      <c r="BL171" s="67">
        <f>+VLOOKUP('2. Logging Brejo Seco'!AQ171,Leyenda!$B$55:$E$59,4,FALSE)</f>
        <v>1</v>
      </c>
      <c r="BM171" s="67">
        <f>+VLOOKUP('2. Logging Brejo Seco'!AR171,Leyenda!$B$63:$E$67,3,FALSE)</f>
        <v>0</v>
      </c>
      <c r="BN171" s="67">
        <f>+VLOOKUP('2. Logging Brejo Seco'!AO171,Leyenda!$B$39:$E$43,4,FALSE)</f>
        <v>0</v>
      </c>
      <c r="BO171" s="67">
        <f>+VLOOKUP('2. Logging Brejo Seco'!AN171,Leyenda!$B$30:$E$34,4,FALSE)</f>
        <v>0</v>
      </c>
      <c r="BP171" s="67">
        <f>VLOOKUP(AS171,Leyenda!$B$71:$E$75,4,FALSE)</f>
        <v>10</v>
      </c>
      <c r="BQ171" s="125">
        <f t="shared" si="60"/>
        <v>17</v>
      </c>
      <c r="BR171" s="85">
        <f t="shared" si="61"/>
        <v>21</v>
      </c>
      <c r="BS171" s="240">
        <f t="shared" si="62"/>
        <v>0.65999999999999992</v>
      </c>
      <c r="BT171" s="18" t="s">
        <v>747</v>
      </c>
    </row>
    <row r="172" spans="1:72" x14ac:dyDescent="0.25">
      <c r="A172" s="18" t="s">
        <v>6</v>
      </c>
      <c r="B172" s="18">
        <v>2024</v>
      </c>
      <c r="C172" s="18" t="s">
        <v>138</v>
      </c>
      <c r="D172" s="18" t="s">
        <v>245</v>
      </c>
      <c r="E172" s="18">
        <v>40</v>
      </c>
      <c r="F172" s="18">
        <v>40</v>
      </c>
      <c r="G172" s="18" t="s">
        <v>153</v>
      </c>
      <c r="H172" s="248">
        <f t="shared" si="63"/>
        <v>40</v>
      </c>
      <c r="I172" s="135"/>
      <c r="J172" s="18" t="s">
        <v>293</v>
      </c>
      <c r="K172" s="4">
        <f t="shared" si="49"/>
        <v>29.5</v>
      </c>
      <c r="L172" s="4">
        <v>30</v>
      </c>
      <c r="M172" s="4">
        <f t="shared" si="54"/>
        <v>0.5</v>
      </c>
      <c r="N172" s="5">
        <v>0.36</v>
      </c>
      <c r="O172" s="5">
        <f t="shared" si="48"/>
        <v>0.64</v>
      </c>
      <c r="P172" s="31">
        <f t="shared" si="55"/>
        <v>0.18</v>
      </c>
      <c r="Q172" s="31">
        <f t="shared" si="50"/>
        <v>0.18</v>
      </c>
      <c r="R172" s="31">
        <v>36</v>
      </c>
      <c r="S172" s="31">
        <v>5</v>
      </c>
      <c r="T172" s="31">
        <v>0.16</v>
      </c>
      <c r="U172" s="31">
        <v>0</v>
      </c>
      <c r="V172" s="65">
        <f t="shared" si="64"/>
        <v>0</v>
      </c>
      <c r="W172" s="31">
        <v>10</v>
      </c>
      <c r="X172" s="31"/>
      <c r="Y172" s="31">
        <f t="shared" si="66"/>
        <v>10</v>
      </c>
      <c r="Z172" s="31">
        <f t="shared" si="67"/>
        <v>16</v>
      </c>
      <c r="AA172" s="18">
        <v>0</v>
      </c>
      <c r="AB172" s="18" t="s">
        <v>96</v>
      </c>
      <c r="AC172" s="18" t="s">
        <v>118</v>
      </c>
      <c r="AD172" s="18" t="s">
        <v>334</v>
      </c>
      <c r="AE172" s="18">
        <v>5</v>
      </c>
      <c r="AF172" s="18">
        <v>36</v>
      </c>
      <c r="AG172" s="18" t="s">
        <v>32</v>
      </c>
      <c r="AH172" s="18" t="s">
        <v>32</v>
      </c>
      <c r="AI172" s="18" t="str">
        <f>+VLOOKUP(AH172,Leyenda!$O$4:$U$10,6,FALSE)</f>
        <v>0,15-0,25</v>
      </c>
      <c r="AJ172" s="18" t="str">
        <f>+VLOOKUP(AG172,Leyenda!$O$4:$U$10,7,FALSE)</f>
        <v>No Blasting need</v>
      </c>
      <c r="AK172" s="18">
        <f>+VLOOKUP(AJ172,Leyenda!$U$4:$V$10,2,FALSE)</f>
        <v>2</v>
      </c>
      <c r="AL172" s="18" t="s">
        <v>239</v>
      </c>
      <c r="AM172" s="18" t="str">
        <f t="shared" si="56"/>
        <v>R1</v>
      </c>
      <c r="AN172" s="18" t="s">
        <v>69</v>
      </c>
      <c r="AO172" s="18" t="s">
        <v>81</v>
      </c>
      <c r="AP172" s="18" t="s">
        <v>100</v>
      </c>
      <c r="AQ172" s="18" t="s">
        <v>109</v>
      </c>
      <c r="AR172" s="18" t="s">
        <v>122</v>
      </c>
      <c r="AS172" s="18" t="s">
        <v>198</v>
      </c>
      <c r="AT172" s="18"/>
      <c r="AU172" s="18"/>
      <c r="AV172" s="18">
        <f>+VLOOKUP(AN172,Leyenda!$B$30:$E$34,3,FALSE)</f>
        <v>0</v>
      </c>
      <c r="AW172" s="18">
        <f>+VLOOKUP('2. Logging Brejo Seco'!AO172,Meteorizacion,3,FALSE)</f>
        <v>0</v>
      </c>
      <c r="AX172" s="18">
        <f>+VLOOKUP('2. Logging Brejo Seco'!AP172,Apertura,3,FALSE)</f>
        <v>0</v>
      </c>
      <c r="AY172" s="18">
        <f>+VLOOKUP('2. Logging Brejo Seco'!AQ172,Leyenda!$B$55:$D$59,3,FALSE)</f>
        <v>1</v>
      </c>
      <c r="AZ172" s="18">
        <f>+VLOOKUP('2. Logging Brejo Seco'!AR172,Relleno,3,FALSE)</f>
        <v>0</v>
      </c>
      <c r="BA172" s="18">
        <f t="shared" si="65"/>
        <v>1</v>
      </c>
      <c r="BB172" s="49">
        <f t="shared" si="51"/>
        <v>0</v>
      </c>
      <c r="BC172" s="49">
        <f>VLOOKUP(AM172,Leyenda!$B$4:$D$10,3,FALSE)</f>
        <v>1</v>
      </c>
      <c r="BD172" s="50">
        <f t="shared" si="57"/>
        <v>4</v>
      </c>
      <c r="BE172" s="49">
        <f t="shared" si="58"/>
        <v>1</v>
      </c>
      <c r="BF172" s="49">
        <f>VLOOKUP(AS172,Leyenda!$B$70:$D$75,3,FALSE)</f>
        <v>15</v>
      </c>
      <c r="BG172" s="67">
        <f t="shared" si="52"/>
        <v>1.5</v>
      </c>
      <c r="BH172" s="67">
        <f>VLOOKUP(AM172,Leyenda!$B$4:$E$10,4,FALSE)</f>
        <v>1</v>
      </c>
      <c r="BI172" s="67">
        <f t="shared" si="59"/>
        <v>5</v>
      </c>
      <c r="BJ172" s="67">
        <f t="shared" si="53"/>
        <v>0</v>
      </c>
      <c r="BK172" s="67">
        <f>+VLOOKUP('2. Logging Brejo Seco'!AP172,Leyenda!$B$47:$E$51,4,FALSE)</f>
        <v>0</v>
      </c>
      <c r="BL172" s="67">
        <f>+VLOOKUP('2. Logging Brejo Seco'!AQ172,Leyenda!$B$55:$E$59,4,FALSE)</f>
        <v>1</v>
      </c>
      <c r="BM172" s="67">
        <f>+VLOOKUP('2. Logging Brejo Seco'!AR172,Leyenda!$B$63:$E$67,3,FALSE)</f>
        <v>0</v>
      </c>
      <c r="BN172" s="67">
        <f>+VLOOKUP('2. Logging Brejo Seco'!AO172,Leyenda!$B$39:$E$43,4,FALSE)</f>
        <v>0</v>
      </c>
      <c r="BO172" s="67">
        <f>+VLOOKUP('2. Logging Brejo Seco'!AN172,Leyenda!$B$30:$E$34,4,FALSE)</f>
        <v>0</v>
      </c>
      <c r="BP172" s="67">
        <f>VLOOKUP(AS172,Leyenda!$B$71:$E$75,4,FALSE)</f>
        <v>10</v>
      </c>
      <c r="BQ172" s="125">
        <f t="shared" si="60"/>
        <v>17</v>
      </c>
      <c r="BR172" s="85">
        <f t="shared" si="61"/>
        <v>21</v>
      </c>
      <c r="BS172" s="240">
        <f t="shared" si="62"/>
        <v>0.64</v>
      </c>
      <c r="BT172" s="18" t="s">
        <v>747</v>
      </c>
    </row>
    <row r="173" spans="1:72" x14ac:dyDescent="0.25">
      <c r="A173" s="18" t="s">
        <v>6</v>
      </c>
      <c r="B173" s="18">
        <v>2024</v>
      </c>
      <c r="C173" s="18" t="s">
        <v>138</v>
      </c>
      <c r="D173" s="18" t="s">
        <v>245</v>
      </c>
      <c r="E173" s="18">
        <v>40</v>
      </c>
      <c r="F173" s="18">
        <v>40</v>
      </c>
      <c r="G173" s="18" t="s">
        <v>153</v>
      </c>
      <c r="H173" s="248">
        <f t="shared" si="63"/>
        <v>40</v>
      </c>
      <c r="I173" s="135"/>
      <c r="J173" s="18" t="s">
        <v>293</v>
      </c>
      <c r="K173" s="4">
        <f t="shared" si="49"/>
        <v>30</v>
      </c>
      <c r="L173" s="4">
        <v>30.5</v>
      </c>
      <c r="M173" s="4">
        <f t="shared" si="54"/>
        <v>0.5</v>
      </c>
      <c r="N173" s="5">
        <v>0.3</v>
      </c>
      <c r="O173" s="5">
        <f t="shared" si="48"/>
        <v>0.7</v>
      </c>
      <c r="P173" s="31">
        <f t="shared" si="55"/>
        <v>0.15</v>
      </c>
      <c r="Q173" s="31">
        <f t="shared" si="50"/>
        <v>0.15</v>
      </c>
      <c r="R173" s="31">
        <v>7.5</v>
      </c>
      <c r="S173" s="31">
        <v>20</v>
      </c>
      <c r="T173" s="31">
        <v>0.14000000000000001</v>
      </c>
      <c r="U173" s="31">
        <v>0</v>
      </c>
      <c r="V173" s="65">
        <f t="shared" si="64"/>
        <v>0</v>
      </c>
      <c r="W173" s="31">
        <v>10</v>
      </c>
      <c r="X173" s="31"/>
      <c r="Y173" s="31">
        <f t="shared" si="66"/>
        <v>10</v>
      </c>
      <c r="Z173" s="31">
        <f t="shared" si="67"/>
        <v>14</v>
      </c>
      <c r="AA173" s="18">
        <v>0</v>
      </c>
      <c r="AB173" s="18" t="s">
        <v>96</v>
      </c>
      <c r="AC173" s="18" t="s">
        <v>333</v>
      </c>
      <c r="AD173" s="18" t="s">
        <v>337</v>
      </c>
      <c r="AE173" s="18">
        <v>20</v>
      </c>
      <c r="AF173" s="18">
        <v>7.5</v>
      </c>
      <c r="AG173" s="18" t="s">
        <v>32</v>
      </c>
      <c r="AH173" s="18" t="s">
        <v>32</v>
      </c>
      <c r="AI173" s="18" t="str">
        <f>+VLOOKUP(AH173,Leyenda!$O$4:$U$10,6,FALSE)</f>
        <v>0,15-0,25</v>
      </c>
      <c r="AJ173" s="18" t="str">
        <f>+VLOOKUP(AG173,Leyenda!$O$4:$U$10,7,FALSE)</f>
        <v>No Blasting need</v>
      </c>
      <c r="AK173" s="18">
        <f>+VLOOKUP(AJ173,Leyenda!$U$4:$V$10,2,FALSE)</f>
        <v>2</v>
      </c>
      <c r="AL173" s="18" t="s">
        <v>239</v>
      </c>
      <c r="AM173" s="18" t="str">
        <f t="shared" si="56"/>
        <v>R1</v>
      </c>
      <c r="AN173" s="18" t="s">
        <v>69</v>
      </c>
      <c r="AO173" s="18" t="s">
        <v>81</v>
      </c>
      <c r="AP173" s="18" t="s">
        <v>100</v>
      </c>
      <c r="AQ173" s="18" t="s">
        <v>109</v>
      </c>
      <c r="AR173" s="18" t="s">
        <v>122</v>
      </c>
      <c r="AS173" s="18" t="s">
        <v>198</v>
      </c>
      <c r="AT173" s="18"/>
      <c r="AU173" s="18"/>
      <c r="AV173" s="18">
        <f>+VLOOKUP(AN173,Leyenda!$B$30:$E$34,3,FALSE)</f>
        <v>0</v>
      </c>
      <c r="AW173" s="18">
        <f>+VLOOKUP('2. Logging Brejo Seco'!AO173,Meteorizacion,3,FALSE)</f>
        <v>0</v>
      </c>
      <c r="AX173" s="18">
        <f>+VLOOKUP('2. Logging Brejo Seco'!AP173,Apertura,3,FALSE)</f>
        <v>0</v>
      </c>
      <c r="AY173" s="18">
        <f>+VLOOKUP('2. Logging Brejo Seco'!AQ173,Leyenda!$B$55:$D$59,3,FALSE)</f>
        <v>1</v>
      </c>
      <c r="AZ173" s="18">
        <f>+VLOOKUP('2. Logging Brejo Seco'!AR173,Relleno,3,FALSE)</f>
        <v>0</v>
      </c>
      <c r="BA173" s="18">
        <f t="shared" si="65"/>
        <v>1</v>
      </c>
      <c r="BB173" s="49">
        <f t="shared" si="51"/>
        <v>0</v>
      </c>
      <c r="BC173" s="49">
        <f>VLOOKUP(AM173,Leyenda!$B$4:$D$10,3,FALSE)</f>
        <v>1</v>
      </c>
      <c r="BD173" s="50">
        <f t="shared" si="57"/>
        <v>4</v>
      </c>
      <c r="BE173" s="49">
        <f t="shared" si="58"/>
        <v>1</v>
      </c>
      <c r="BF173" s="49">
        <f>VLOOKUP(AS173,Leyenda!$B$70:$D$75,3,FALSE)</f>
        <v>15</v>
      </c>
      <c r="BG173" s="67">
        <f t="shared" si="52"/>
        <v>1.5</v>
      </c>
      <c r="BH173" s="67">
        <f>VLOOKUP(AM173,Leyenda!$B$4:$E$10,4,FALSE)</f>
        <v>1</v>
      </c>
      <c r="BI173" s="67">
        <f t="shared" si="59"/>
        <v>5</v>
      </c>
      <c r="BJ173" s="67">
        <f t="shared" si="53"/>
        <v>0</v>
      </c>
      <c r="BK173" s="67">
        <f>+VLOOKUP('2. Logging Brejo Seco'!AP173,Leyenda!$B$47:$E$51,4,FALSE)</f>
        <v>0</v>
      </c>
      <c r="BL173" s="67">
        <f>+VLOOKUP('2. Logging Brejo Seco'!AQ173,Leyenda!$B$55:$E$59,4,FALSE)</f>
        <v>1</v>
      </c>
      <c r="BM173" s="67">
        <f>+VLOOKUP('2. Logging Brejo Seco'!AR173,Leyenda!$B$63:$E$67,3,FALSE)</f>
        <v>0</v>
      </c>
      <c r="BN173" s="67">
        <f>+VLOOKUP('2. Logging Brejo Seco'!AO173,Leyenda!$B$39:$E$43,4,FALSE)</f>
        <v>0</v>
      </c>
      <c r="BO173" s="67">
        <f>+VLOOKUP('2. Logging Brejo Seco'!AN173,Leyenda!$B$30:$E$34,4,FALSE)</f>
        <v>0</v>
      </c>
      <c r="BP173" s="67">
        <f>VLOOKUP(AS173,Leyenda!$B$71:$E$75,4,FALSE)</f>
        <v>10</v>
      </c>
      <c r="BQ173" s="125">
        <f t="shared" si="60"/>
        <v>17</v>
      </c>
      <c r="BR173" s="85">
        <f t="shared" si="61"/>
        <v>21</v>
      </c>
      <c r="BS173" s="240">
        <f t="shared" si="62"/>
        <v>0.7</v>
      </c>
      <c r="BT173" s="18" t="s">
        <v>747</v>
      </c>
    </row>
    <row r="174" spans="1:72" x14ac:dyDescent="0.25">
      <c r="A174" s="18" t="s">
        <v>6</v>
      </c>
      <c r="B174" s="18">
        <v>2024</v>
      </c>
      <c r="C174" s="18" t="s">
        <v>138</v>
      </c>
      <c r="D174" s="18" t="s">
        <v>245</v>
      </c>
      <c r="E174" s="18">
        <v>40</v>
      </c>
      <c r="F174" s="18">
        <v>40</v>
      </c>
      <c r="G174" s="18" t="s">
        <v>153</v>
      </c>
      <c r="H174" s="248">
        <f t="shared" si="63"/>
        <v>40</v>
      </c>
      <c r="I174" s="135"/>
      <c r="J174" s="18" t="s">
        <v>293</v>
      </c>
      <c r="K174" s="4">
        <f t="shared" si="49"/>
        <v>30.5</v>
      </c>
      <c r="L174" s="4">
        <v>31</v>
      </c>
      <c r="M174" s="4">
        <f t="shared" si="54"/>
        <v>0.5</v>
      </c>
      <c r="N174" s="5">
        <v>0.36</v>
      </c>
      <c r="O174" s="5">
        <f t="shared" si="48"/>
        <v>0.64</v>
      </c>
      <c r="P174" s="31">
        <f t="shared" si="55"/>
        <v>0.18</v>
      </c>
      <c r="Q174" s="31">
        <f t="shared" si="50"/>
        <v>0.18</v>
      </c>
      <c r="R174" s="31">
        <v>9</v>
      </c>
      <c r="S174" s="31">
        <v>20</v>
      </c>
      <c r="T174" s="31">
        <v>0.17</v>
      </c>
      <c r="U174" s="31">
        <v>0</v>
      </c>
      <c r="V174" s="65">
        <f t="shared" si="64"/>
        <v>0</v>
      </c>
      <c r="W174" s="31">
        <v>10</v>
      </c>
      <c r="X174" s="31"/>
      <c r="Y174" s="31">
        <f t="shared" si="66"/>
        <v>10</v>
      </c>
      <c r="Z174" s="31">
        <f t="shared" si="67"/>
        <v>17</v>
      </c>
      <c r="AA174" s="18">
        <v>0</v>
      </c>
      <c r="AB174" s="18" t="s">
        <v>96</v>
      </c>
      <c r="AC174" s="18" t="s">
        <v>333</v>
      </c>
      <c r="AD174" s="18" t="s">
        <v>337</v>
      </c>
      <c r="AE174" s="18">
        <v>20</v>
      </c>
      <c r="AF174" s="18">
        <v>9</v>
      </c>
      <c r="AG174" s="18" t="s">
        <v>32</v>
      </c>
      <c r="AH174" s="18" t="s">
        <v>32</v>
      </c>
      <c r="AI174" s="18" t="str">
        <f>+VLOOKUP(AH174,Leyenda!$O$4:$U$10,6,FALSE)</f>
        <v>0,15-0,25</v>
      </c>
      <c r="AJ174" s="18" t="str">
        <f>+VLOOKUP(AG174,Leyenda!$O$4:$U$10,7,FALSE)</f>
        <v>No Blasting need</v>
      </c>
      <c r="AK174" s="18">
        <f>+VLOOKUP(AJ174,Leyenda!$U$4:$V$10,2,FALSE)</f>
        <v>2</v>
      </c>
      <c r="AL174" s="18" t="s">
        <v>239</v>
      </c>
      <c r="AM174" s="18" t="str">
        <f t="shared" si="56"/>
        <v>R1</v>
      </c>
      <c r="AN174" s="18" t="s">
        <v>69</v>
      </c>
      <c r="AO174" s="18" t="s">
        <v>81</v>
      </c>
      <c r="AP174" s="18" t="s">
        <v>100</v>
      </c>
      <c r="AQ174" s="18" t="s">
        <v>109</v>
      </c>
      <c r="AR174" s="18" t="s">
        <v>122</v>
      </c>
      <c r="AS174" s="18" t="s">
        <v>198</v>
      </c>
      <c r="AT174" s="18"/>
      <c r="AU174" s="18"/>
      <c r="AV174" s="18">
        <f>+VLOOKUP(AN174,Leyenda!$B$30:$E$34,3,FALSE)</f>
        <v>0</v>
      </c>
      <c r="AW174" s="18">
        <f>+VLOOKUP('2. Logging Brejo Seco'!AO174,Meteorizacion,3,FALSE)</f>
        <v>0</v>
      </c>
      <c r="AX174" s="18">
        <f>+VLOOKUP('2. Logging Brejo Seco'!AP174,Apertura,3,FALSE)</f>
        <v>0</v>
      </c>
      <c r="AY174" s="18">
        <f>+VLOOKUP('2. Logging Brejo Seco'!AQ174,Leyenda!$B$55:$D$59,3,FALSE)</f>
        <v>1</v>
      </c>
      <c r="AZ174" s="18">
        <f>+VLOOKUP('2. Logging Brejo Seco'!AR174,Relleno,3,FALSE)</f>
        <v>0</v>
      </c>
      <c r="BA174" s="18">
        <f t="shared" si="65"/>
        <v>1</v>
      </c>
      <c r="BB174" s="49">
        <f t="shared" si="51"/>
        <v>0</v>
      </c>
      <c r="BC174" s="49">
        <f>VLOOKUP(AM174,Leyenda!$B$4:$D$10,3,FALSE)</f>
        <v>1</v>
      </c>
      <c r="BD174" s="50">
        <f t="shared" si="57"/>
        <v>4</v>
      </c>
      <c r="BE174" s="49">
        <f t="shared" si="58"/>
        <v>1</v>
      </c>
      <c r="BF174" s="49">
        <f>VLOOKUP(AS174,Leyenda!$B$70:$D$75,3,FALSE)</f>
        <v>15</v>
      </c>
      <c r="BG174" s="67">
        <f t="shared" si="52"/>
        <v>1.5</v>
      </c>
      <c r="BH174" s="67">
        <f>VLOOKUP(AM174,Leyenda!$B$4:$E$10,4,FALSE)</f>
        <v>1</v>
      </c>
      <c r="BI174" s="67">
        <f t="shared" si="59"/>
        <v>5</v>
      </c>
      <c r="BJ174" s="67">
        <f t="shared" si="53"/>
        <v>0</v>
      </c>
      <c r="BK174" s="67">
        <f>+VLOOKUP('2. Logging Brejo Seco'!AP174,Leyenda!$B$47:$E$51,4,FALSE)</f>
        <v>0</v>
      </c>
      <c r="BL174" s="67">
        <f>+VLOOKUP('2. Logging Brejo Seco'!AQ174,Leyenda!$B$55:$E$59,4,FALSE)</f>
        <v>1</v>
      </c>
      <c r="BM174" s="67">
        <f>+VLOOKUP('2. Logging Brejo Seco'!AR174,Leyenda!$B$63:$E$67,3,FALSE)</f>
        <v>0</v>
      </c>
      <c r="BN174" s="67">
        <f>+VLOOKUP('2. Logging Brejo Seco'!AO174,Leyenda!$B$39:$E$43,4,FALSE)</f>
        <v>0</v>
      </c>
      <c r="BO174" s="67">
        <f>+VLOOKUP('2. Logging Brejo Seco'!AN174,Leyenda!$B$30:$E$34,4,FALSE)</f>
        <v>0</v>
      </c>
      <c r="BP174" s="67">
        <f>VLOOKUP(AS174,Leyenda!$B$71:$E$75,4,FALSE)</f>
        <v>10</v>
      </c>
      <c r="BQ174" s="125">
        <f t="shared" si="60"/>
        <v>17</v>
      </c>
      <c r="BR174" s="85">
        <f t="shared" si="61"/>
        <v>21</v>
      </c>
      <c r="BS174" s="240">
        <f t="shared" si="62"/>
        <v>0.64</v>
      </c>
      <c r="BT174" s="18" t="s">
        <v>747</v>
      </c>
    </row>
    <row r="175" spans="1:72" x14ac:dyDescent="0.25">
      <c r="A175" s="18" t="s">
        <v>6</v>
      </c>
      <c r="B175" s="18">
        <v>2024</v>
      </c>
      <c r="C175" s="18" t="s">
        <v>138</v>
      </c>
      <c r="D175" s="18" t="s">
        <v>245</v>
      </c>
      <c r="E175" s="18">
        <v>40</v>
      </c>
      <c r="F175" s="18">
        <v>40</v>
      </c>
      <c r="G175" s="18" t="s">
        <v>153</v>
      </c>
      <c r="H175" s="248">
        <f t="shared" si="63"/>
        <v>40</v>
      </c>
      <c r="I175" s="135"/>
      <c r="J175" s="18" t="s">
        <v>293</v>
      </c>
      <c r="K175" s="4">
        <f t="shared" si="49"/>
        <v>31</v>
      </c>
      <c r="L175" s="4">
        <v>31.5</v>
      </c>
      <c r="M175" s="4">
        <f t="shared" si="54"/>
        <v>0.5</v>
      </c>
      <c r="N175" s="5">
        <v>0.5</v>
      </c>
      <c r="O175" s="5">
        <f t="shared" si="48"/>
        <v>0.5</v>
      </c>
      <c r="P175" s="31">
        <f t="shared" si="55"/>
        <v>0.25</v>
      </c>
      <c r="Q175" s="31">
        <f t="shared" si="50"/>
        <v>0.25</v>
      </c>
      <c r="R175" s="31">
        <v>12.5</v>
      </c>
      <c r="S175" s="31">
        <v>20</v>
      </c>
      <c r="T175" s="31">
        <v>0.23</v>
      </c>
      <c r="U175" s="31">
        <v>0</v>
      </c>
      <c r="V175" s="65">
        <f t="shared" si="64"/>
        <v>0</v>
      </c>
      <c r="W175" s="31">
        <v>10</v>
      </c>
      <c r="X175" s="31"/>
      <c r="Y175" s="31">
        <f t="shared" si="66"/>
        <v>10</v>
      </c>
      <c r="Z175" s="31">
        <f t="shared" si="67"/>
        <v>23</v>
      </c>
      <c r="AA175" s="18">
        <v>0</v>
      </c>
      <c r="AB175" s="18" t="s">
        <v>96</v>
      </c>
      <c r="AC175" s="18" t="s">
        <v>333</v>
      </c>
      <c r="AD175" s="18" t="s">
        <v>337</v>
      </c>
      <c r="AE175" s="18">
        <v>20</v>
      </c>
      <c r="AF175" s="18">
        <v>12.5</v>
      </c>
      <c r="AG175" s="18" t="s">
        <v>32</v>
      </c>
      <c r="AH175" s="18" t="s">
        <v>32</v>
      </c>
      <c r="AI175" s="18" t="str">
        <f>+VLOOKUP(AH175,Leyenda!$O$4:$U$10,6,FALSE)</f>
        <v>0,15-0,25</v>
      </c>
      <c r="AJ175" s="18" t="str">
        <f>+VLOOKUP(AG175,Leyenda!$O$4:$U$10,7,FALSE)</f>
        <v>No Blasting need</v>
      </c>
      <c r="AK175" s="18">
        <f>+VLOOKUP(AJ175,Leyenda!$U$4:$V$10,2,FALSE)</f>
        <v>2</v>
      </c>
      <c r="AL175" s="18" t="s">
        <v>239</v>
      </c>
      <c r="AM175" s="18" t="str">
        <f t="shared" si="56"/>
        <v>R1</v>
      </c>
      <c r="AN175" s="18" t="s">
        <v>69</v>
      </c>
      <c r="AO175" s="18" t="s">
        <v>81</v>
      </c>
      <c r="AP175" s="18" t="s">
        <v>100</v>
      </c>
      <c r="AQ175" s="18" t="s">
        <v>109</v>
      </c>
      <c r="AR175" s="18" t="s">
        <v>122</v>
      </c>
      <c r="AS175" s="18" t="s">
        <v>198</v>
      </c>
      <c r="AT175" s="18"/>
      <c r="AU175" s="18"/>
      <c r="AV175" s="18">
        <f>+VLOOKUP(AN175,Leyenda!$B$30:$E$34,3,FALSE)</f>
        <v>0</v>
      </c>
      <c r="AW175" s="18">
        <f>+VLOOKUP('2. Logging Brejo Seco'!AO175,Meteorizacion,3,FALSE)</f>
        <v>0</v>
      </c>
      <c r="AX175" s="18">
        <f>+VLOOKUP('2. Logging Brejo Seco'!AP175,Apertura,3,FALSE)</f>
        <v>0</v>
      </c>
      <c r="AY175" s="18">
        <f>+VLOOKUP('2. Logging Brejo Seco'!AQ175,Leyenda!$B$55:$D$59,3,FALSE)</f>
        <v>1</v>
      </c>
      <c r="AZ175" s="18">
        <f>+VLOOKUP('2. Logging Brejo Seco'!AR175,Relleno,3,FALSE)</f>
        <v>0</v>
      </c>
      <c r="BA175" s="18">
        <f t="shared" si="65"/>
        <v>1</v>
      </c>
      <c r="BB175" s="49">
        <f t="shared" si="51"/>
        <v>0</v>
      </c>
      <c r="BC175" s="49">
        <f>VLOOKUP(AM175,Leyenda!$B$4:$D$10,3,FALSE)</f>
        <v>1</v>
      </c>
      <c r="BD175" s="50">
        <f t="shared" si="57"/>
        <v>4</v>
      </c>
      <c r="BE175" s="49">
        <f t="shared" si="58"/>
        <v>1</v>
      </c>
      <c r="BF175" s="49">
        <f>VLOOKUP(AS175,Leyenda!$B$70:$D$75,3,FALSE)</f>
        <v>15</v>
      </c>
      <c r="BG175" s="67">
        <f t="shared" si="52"/>
        <v>1.5</v>
      </c>
      <c r="BH175" s="67">
        <f>VLOOKUP(AM175,Leyenda!$B$4:$E$10,4,FALSE)</f>
        <v>1</v>
      </c>
      <c r="BI175" s="67">
        <f t="shared" si="59"/>
        <v>5</v>
      </c>
      <c r="BJ175" s="67">
        <f t="shared" si="53"/>
        <v>0</v>
      </c>
      <c r="BK175" s="67">
        <f>+VLOOKUP('2. Logging Brejo Seco'!AP175,Leyenda!$B$47:$E$51,4,FALSE)</f>
        <v>0</v>
      </c>
      <c r="BL175" s="67">
        <f>+VLOOKUP('2. Logging Brejo Seco'!AQ175,Leyenda!$B$55:$E$59,4,FALSE)</f>
        <v>1</v>
      </c>
      <c r="BM175" s="67">
        <f>+VLOOKUP('2. Logging Brejo Seco'!AR175,Leyenda!$B$63:$E$67,3,FALSE)</f>
        <v>0</v>
      </c>
      <c r="BN175" s="67">
        <f>+VLOOKUP('2. Logging Brejo Seco'!AO175,Leyenda!$B$39:$E$43,4,FALSE)</f>
        <v>0</v>
      </c>
      <c r="BO175" s="67">
        <f>+VLOOKUP('2. Logging Brejo Seco'!AN175,Leyenda!$B$30:$E$34,4,FALSE)</f>
        <v>0</v>
      </c>
      <c r="BP175" s="67">
        <f>VLOOKUP(AS175,Leyenda!$B$71:$E$75,4,FALSE)</f>
        <v>10</v>
      </c>
      <c r="BQ175" s="125">
        <f t="shared" si="60"/>
        <v>17</v>
      </c>
      <c r="BR175" s="85">
        <f t="shared" si="61"/>
        <v>21</v>
      </c>
      <c r="BS175" s="240">
        <f t="shared" si="62"/>
        <v>0.5</v>
      </c>
      <c r="BT175" s="18" t="s">
        <v>747</v>
      </c>
    </row>
    <row r="176" spans="1:72" x14ac:dyDescent="0.25">
      <c r="A176" s="18" t="s">
        <v>6</v>
      </c>
      <c r="B176" s="18">
        <v>2024</v>
      </c>
      <c r="C176" s="18" t="s">
        <v>138</v>
      </c>
      <c r="D176" s="18" t="s">
        <v>245</v>
      </c>
      <c r="E176" s="18">
        <v>40</v>
      </c>
      <c r="F176" s="18">
        <v>40</v>
      </c>
      <c r="G176" s="18" t="s">
        <v>153</v>
      </c>
      <c r="H176" s="248">
        <f t="shared" si="63"/>
        <v>40</v>
      </c>
      <c r="I176" s="135"/>
      <c r="J176" s="18" t="s">
        <v>294</v>
      </c>
      <c r="K176" s="4">
        <f t="shared" si="49"/>
        <v>31.5</v>
      </c>
      <c r="L176" s="4">
        <v>32</v>
      </c>
      <c r="M176" s="4">
        <f t="shared" si="54"/>
        <v>0.5</v>
      </c>
      <c r="N176" s="5">
        <v>0.42</v>
      </c>
      <c r="O176" s="5">
        <f t="shared" si="48"/>
        <v>0.58000000000000007</v>
      </c>
      <c r="P176" s="31">
        <f t="shared" si="55"/>
        <v>0.21</v>
      </c>
      <c r="Q176" s="31">
        <f t="shared" si="50"/>
        <v>0.21</v>
      </c>
      <c r="R176" s="31">
        <v>10.5</v>
      </c>
      <c r="S176" s="31">
        <v>20</v>
      </c>
      <c r="T176" s="31">
        <v>0.2</v>
      </c>
      <c r="U176" s="31">
        <v>0</v>
      </c>
      <c r="V176" s="65">
        <f t="shared" si="64"/>
        <v>0</v>
      </c>
      <c r="W176" s="31">
        <v>10</v>
      </c>
      <c r="X176" s="31"/>
      <c r="Y176" s="31">
        <f t="shared" si="66"/>
        <v>10</v>
      </c>
      <c r="Z176" s="31">
        <f t="shared" si="67"/>
        <v>20</v>
      </c>
      <c r="AA176" s="18">
        <v>0</v>
      </c>
      <c r="AB176" s="18" t="s">
        <v>96</v>
      </c>
      <c r="AC176" s="18" t="s">
        <v>333</v>
      </c>
      <c r="AD176" s="18" t="s">
        <v>337</v>
      </c>
      <c r="AE176" s="18">
        <v>20</v>
      </c>
      <c r="AF176" s="18">
        <v>10.5</v>
      </c>
      <c r="AG176" s="18" t="s">
        <v>32</v>
      </c>
      <c r="AH176" s="18" t="s">
        <v>32</v>
      </c>
      <c r="AI176" s="18" t="str">
        <f>+VLOOKUP(AH176,Leyenda!$O$4:$U$10,6,FALSE)</f>
        <v>0,15-0,25</v>
      </c>
      <c r="AJ176" s="18" t="str">
        <f>+VLOOKUP(AG176,Leyenda!$O$4:$U$10,7,FALSE)</f>
        <v>No Blasting need</v>
      </c>
      <c r="AK176" s="18">
        <f>+VLOOKUP(AJ176,Leyenda!$U$4:$V$10,2,FALSE)</f>
        <v>2</v>
      </c>
      <c r="AL176" s="18" t="s">
        <v>239</v>
      </c>
      <c r="AM176" s="18" t="str">
        <f t="shared" si="56"/>
        <v>R1</v>
      </c>
      <c r="AN176" s="18" t="s">
        <v>69</v>
      </c>
      <c r="AO176" s="18" t="s">
        <v>81</v>
      </c>
      <c r="AP176" s="18" t="s">
        <v>100</v>
      </c>
      <c r="AQ176" s="18" t="s">
        <v>109</v>
      </c>
      <c r="AR176" s="18" t="s">
        <v>122</v>
      </c>
      <c r="AS176" s="18" t="s">
        <v>198</v>
      </c>
      <c r="AT176" s="18"/>
      <c r="AU176" s="18"/>
      <c r="AV176" s="18">
        <f>+VLOOKUP(AN176,Leyenda!$B$30:$E$34,3,FALSE)</f>
        <v>0</v>
      </c>
      <c r="AW176" s="18">
        <f>+VLOOKUP('2. Logging Brejo Seco'!AO176,Meteorizacion,3,FALSE)</f>
        <v>0</v>
      </c>
      <c r="AX176" s="18">
        <f>+VLOOKUP('2. Logging Brejo Seco'!AP176,Apertura,3,FALSE)</f>
        <v>0</v>
      </c>
      <c r="AY176" s="18">
        <f>+VLOOKUP('2. Logging Brejo Seco'!AQ176,Leyenda!$B$55:$D$59,3,FALSE)</f>
        <v>1</v>
      </c>
      <c r="AZ176" s="18">
        <f>+VLOOKUP('2. Logging Brejo Seco'!AR176,Relleno,3,FALSE)</f>
        <v>0</v>
      </c>
      <c r="BA176" s="18">
        <f t="shared" si="65"/>
        <v>1</v>
      </c>
      <c r="BB176" s="49">
        <f t="shared" si="51"/>
        <v>0</v>
      </c>
      <c r="BC176" s="49">
        <f>VLOOKUP(AM176,Leyenda!$B$4:$D$10,3,FALSE)</f>
        <v>1</v>
      </c>
      <c r="BD176" s="50">
        <f t="shared" si="57"/>
        <v>4</v>
      </c>
      <c r="BE176" s="49">
        <f t="shared" si="58"/>
        <v>1</v>
      </c>
      <c r="BF176" s="49">
        <f>VLOOKUP(AS176,Leyenda!$B$70:$D$75,3,FALSE)</f>
        <v>15</v>
      </c>
      <c r="BG176" s="67">
        <f t="shared" si="52"/>
        <v>1.5</v>
      </c>
      <c r="BH176" s="67">
        <f>VLOOKUP(AM176,Leyenda!$B$4:$E$10,4,FALSE)</f>
        <v>1</v>
      </c>
      <c r="BI176" s="67">
        <f t="shared" si="59"/>
        <v>5</v>
      </c>
      <c r="BJ176" s="67">
        <f t="shared" si="53"/>
        <v>0</v>
      </c>
      <c r="BK176" s="67">
        <f>+VLOOKUP('2. Logging Brejo Seco'!AP176,Leyenda!$B$47:$E$51,4,FALSE)</f>
        <v>0</v>
      </c>
      <c r="BL176" s="67">
        <f>+VLOOKUP('2. Logging Brejo Seco'!AQ176,Leyenda!$B$55:$E$59,4,FALSE)</f>
        <v>1</v>
      </c>
      <c r="BM176" s="67">
        <f>+VLOOKUP('2. Logging Brejo Seco'!AR176,Leyenda!$B$63:$E$67,3,FALSE)</f>
        <v>0</v>
      </c>
      <c r="BN176" s="67">
        <f>+VLOOKUP('2. Logging Brejo Seco'!AO176,Leyenda!$B$39:$E$43,4,FALSE)</f>
        <v>0</v>
      </c>
      <c r="BO176" s="67">
        <f>+VLOOKUP('2. Logging Brejo Seco'!AN176,Leyenda!$B$30:$E$34,4,FALSE)</f>
        <v>0</v>
      </c>
      <c r="BP176" s="67">
        <f>VLOOKUP(AS176,Leyenda!$B$71:$E$75,4,FALSE)</f>
        <v>10</v>
      </c>
      <c r="BQ176" s="125">
        <f t="shared" si="60"/>
        <v>17</v>
      </c>
      <c r="BR176" s="85">
        <f t="shared" si="61"/>
        <v>21</v>
      </c>
      <c r="BS176" s="240">
        <f t="shared" si="62"/>
        <v>0.58000000000000007</v>
      </c>
      <c r="BT176" s="18" t="s">
        <v>746</v>
      </c>
    </row>
    <row r="177" spans="1:72" x14ac:dyDescent="0.25">
      <c r="A177" s="18" t="s">
        <v>6</v>
      </c>
      <c r="B177" s="18">
        <v>2024</v>
      </c>
      <c r="C177" s="18" t="s">
        <v>138</v>
      </c>
      <c r="D177" s="18" t="s">
        <v>245</v>
      </c>
      <c r="E177" s="18">
        <v>40</v>
      </c>
      <c r="F177" s="18">
        <v>40</v>
      </c>
      <c r="G177" s="18" t="s">
        <v>153</v>
      </c>
      <c r="H177" s="248">
        <f t="shared" si="63"/>
        <v>40</v>
      </c>
      <c r="I177" s="135"/>
      <c r="J177" s="18" t="s">
        <v>294</v>
      </c>
      <c r="K177" s="4">
        <f t="shared" si="49"/>
        <v>32</v>
      </c>
      <c r="L177" s="4">
        <v>32.5</v>
      </c>
      <c r="M177" s="4">
        <f t="shared" si="54"/>
        <v>0.5</v>
      </c>
      <c r="N177" s="5">
        <v>0.36</v>
      </c>
      <c r="O177" s="5">
        <f t="shared" si="48"/>
        <v>0.64</v>
      </c>
      <c r="P177" s="31">
        <f t="shared" si="55"/>
        <v>0.18</v>
      </c>
      <c r="Q177" s="31">
        <f t="shared" si="50"/>
        <v>0.18</v>
      </c>
      <c r="R177" s="31">
        <v>9</v>
      </c>
      <c r="S177" s="31">
        <v>20</v>
      </c>
      <c r="T177" s="31">
        <v>0.17</v>
      </c>
      <c r="U177" s="31">
        <v>0</v>
      </c>
      <c r="V177" s="65">
        <f t="shared" si="64"/>
        <v>0</v>
      </c>
      <c r="W177" s="31">
        <v>10</v>
      </c>
      <c r="X177" s="31"/>
      <c r="Y177" s="31">
        <f t="shared" si="66"/>
        <v>10</v>
      </c>
      <c r="Z177" s="31">
        <f t="shared" si="67"/>
        <v>17</v>
      </c>
      <c r="AA177" s="18">
        <v>0</v>
      </c>
      <c r="AB177" s="18" t="s">
        <v>96</v>
      </c>
      <c r="AC177" s="18" t="s">
        <v>333</v>
      </c>
      <c r="AD177" s="18" t="s">
        <v>337</v>
      </c>
      <c r="AE177" s="18">
        <v>20</v>
      </c>
      <c r="AF177" s="18">
        <v>9</v>
      </c>
      <c r="AG177" s="18" t="s">
        <v>32</v>
      </c>
      <c r="AH177" s="18" t="s">
        <v>32</v>
      </c>
      <c r="AI177" s="18" t="str">
        <f>+VLOOKUP(AH177,Leyenda!$O$4:$U$10,6,FALSE)</f>
        <v>0,15-0,25</v>
      </c>
      <c r="AJ177" s="18" t="str">
        <f>+VLOOKUP(AG177,Leyenda!$O$4:$U$10,7,FALSE)</f>
        <v>No Blasting need</v>
      </c>
      <c r="AK177" s="18">
        <f>+VLOOKUP(AJ177,Leyenda!$U$4:$V$10,2,FALSE)</f>
        <v>2</v>
      </c>
      <c r="AL177" s="18" t="s">
        <v>27</v>
      </c>
      <c r="AM177" s="18" t="str">
        <f t="shared" si="56"/>
        <v>R1</v>
      </c>
      <c r="AN177" s="18" t="s">
        <v>66</v>
      </c>
      <c r="AO177" s="18" t="s">
        <v>79</v>
      </c>
      <c r="AP177" s="18" t="s">
        <v>96</v>
      </c>
      <c r="AQ177" s="18" t="s">
        <v>107</v>
      </c>
      <c r="AR177" s="18" t="s">
        <v>120</v>
      </c>
      <c r="AS177" s="18" t="s">
        <v>198</v>
      </c>
      <c r="AT177" s="18" t="s">
        <v>240</v>
      </c>
      <c r="AU177" s="18"/>
      <c r="AV177" s="18">
        <f>+VLOOKUP(AN177,Leyenda!$B$30:$E$34,3,FALSE)</f>
        <v>1</v>
      </c>
      <c r="AW177" s="18">
        <f>+VLOOKUP('2. Logging Brejo Seco'!AO177,Meteorizacion,3,FALSE)</f>
        <v>1</v>
      </c>
      <c r="AX177" s="18">
        <f>+VLOOKUP('2. Logging Brejo Seco'!AP177,Apertura,3,FALSE)</f>
        <v>1</v>
      </c>
      <c r="AY177" s="18">
        <f>+VLOOKUP('2. Logging Brejo Seco'!AQ177,Leyenda!$B$55:$D$59,3,FALSE)</f>
        <v>3</v>
      </c>
      <c r="AZ177" s="18">
        <f>+VLOOKUP('2. Logging Brejo Seco'!AR177,Relleno,3,FALSE)</f>
        <v>2</v>
      </c>
      <c r="BA177" s="18">
        <f t="shared" si="65"/>
        <v>8</v>
      </c>
      <c r="BB177" s="49">
        <f t="shared" si="51"/>
        <v>0</v>
      </c>
      <c r="BC177" s="49">
        <f>VLOOKUP(AM177,Leyenda!$B$4:$D$10,3,FALSE)</f>
        <v>1</v>
      </c>
      <c r="BD177" s="50">
        <f t="shared" si="57"/>
        <v>4</v>
      </c>
      <c r="BE177" s="49">
        <f t="shared" si="58"/>
        <v>8</v>
      </c>
      <c r="BF177" s="49">
        <f>VLOOKUP(AS177,Leyenda!$B$70:$D$75,3,FALSE)</f>
        <v>15</v>
      </c>
      <c r="BG177" s="67">
        <f t="shared" si="52"/>
        <v>12</v>
      </c>
      <c r="BH177" s="67">
        <f>VLOOKUP(AM177,Leyenda!$B$4:$E$10,4,FALSE)</f>
        <v>1</v>
      </c>
      <c r="BI177" s="67">
        <f t="shared" si="59"/>
        <v>5</v>
      </c>
      <c r="BJ177" s="67">
        <f t="shared" si="53"/>
        <v>0</v>
      </c>
      <c r="BK177" s="67">
        <f>+VLOOKUP('2. Logging Brejo Seco'!AP177,Leyenda!$B$47:$E$51,4,FALSE)</f>
        <v>1</v>
      </c>
      <c r="BL177" s="67">
        <f>+VLOOKUP('2. Logging Brejo Seco'!AQ177,Leyenda!$B$55:$E$59,4,FALSE)</f>
        <v>3</v>
      </c>
      <c r="BM177" s="67">
        <f>+VLOOKUP('2. Logging Brejo Seco'!AR177,Leyenda!$B$63:$E$67,3,FALSE)</f>
        <v>2</v>
      </c>
      <c r="BN177" s="67">
        <f>+VLOOKUP('2. Logging Brejo Seco'!AO177,Leyenda!$B$39:$E$43,4,FALSE)</f>
        <v>1</v>
      </c>
      <c r="BO177" s="67">
        <f>+VLOOKUP('2. Logging Brejo Seco'!AN177,Leyenda!$B$30:$E$34,4,FALSE)</f>
        <v>1</v>
      </c>
      <c r="BP177" s="67">
        <f>VLOOKUP(AS177,Leyenda!$B$71:$E$75,4,FALSE)</f>
        <v>10</v>
      </c>
      <c r="BQ177" s="125">
        <f t="shared" si="60"/>
        <v>24</v>
      </c>
      <c r="BR177" s="85">
        <f t="shared" si="61"/>
        <v>28</v>
      </c>
      <c r="BS177" s="240">
        <f t="shared" si="62"/>
        <v>0.64</v>
      </c>
      <c r="BT177" s="18" t="s">
        <v>746</v>
      </c>
    </row>
    <row r="178" spans="1:72" x14ac:dyDescent="0.25">
      <c r="A178" s="18" t="s">
        <v>6</v>
      </c>
      <c r="B178" s="18">
        <v>2024</v>
      </c>
      <c r="C178" s="18" t="s">
        <v>138</v>
      </c>
      <c r="D178" s="18" t="s">
        <v>245</v>
      </c>
      <c r="E178" s="18">
        <v>40</v>
      </c>
      <c r="F178" s="18">
        <v>40</v>
      </c>
      <c r="G178" s="18" t="s">
        <v>153</v>
      </c>
      <c r="H178" s="248">
        <f t="shared" si="63"/>
        <v>40</v>
      </c>
      <c r="I178" s="135"/>
      <c r="J178" s="18" t="s">
        <v>294</v>
      </c>
      <c r="K178" s="4">
        <f t="shared" si="49"/>
        <v>32.5</v>
      </c>
      <c r="L178" s="4">
        <v>33</v>
      </c>
      <c r="M178" s="4">
        <f t="shared" si="54"/>
        <v>0.5</v>
      </c>
      <c r="N178" s="5">
        <v>0.36</v>
      </c>
      <c r="O178" s="5">
        <f t="shared" ref="O178:O241" si="68">1-N178</f>
        <v>0.64</v>
      </c>
      <c r="P178" s="31">
        <f t="shared" si="55"/>
        <v>0.18</v>
      </c>
      <c r="Q178" s="31">
        <f t="shared" si="50"/>
        <v>0.18</v>
      </c>
      <c r="R178" s="31">
        <v>180</v>
      </c>
      <c r="S178" s="31">
        <v>1</v>
      </c>
      <c r="T178" s="31">
        <v>0.18</v>
      </c>
      <c r="U178" s="31">
        <v>0</v>
      </c>
      <c r="V178" s="65">
        <f t="shared" si="64"/>
        <v>0</v>
      </c>
      <c r="W178" s="31">
        <v>10</v>
      </c>
      <c r="X178" s="31"/>
      <c r="Y178" s="31">
        <f t="shared" si="66"/>
        <v>10</v>
      </c>
      <c r="Z178" s="31">
        <f t="shared" si="67"/>
        <v>18</v>
      </c>
      <c r="AA178" s="18">
        <v>0</v>
      </c>
      <c r="AB178" s="18" t="s">
        <v>96</v>
      </c>
      <c r="AC178" s="18" t="s">
        <v>116</v>
      </c>
      <c r="AD178" s="18" t="s">
        <v>337</v>
      </c>
      <c r="AE178" s="18">
        <v>1</v>
      </c>
      <c r="AF178" s="18">
        <v>180</v>
      </c>
      <c r="AG178" s="18" t="s">
        <v>32</v>
      </c>
      <c r="AH178" s="18" t="s">
        <v>32</v>
      </c>
      <c r="AI178" s="18" t="str">
        <f>+VLOOKUP(AH178,Leyenda!$O$4:$U$10,6,FALSE)</f>
        <v>0,15-0,25</v>
      </c>
      <c r="AJ178" s="18" t="str">
        <f>+VLOOKUP(AG178,Leyenda!$O$4:$U$10,7,FALSE)</f>
        <v>No Blasting need</v>
      </c>
      <c r="AK178" s="18">
        <f>+VLOOKUP(AJ178,Leyenda!$U$4:$V$10,2,FALSE)</f>
        <v>2</v>
      </c>
      <c r="AL178" s="18" t="s">
        <v>27</v>
      </c>
      <c r="AM178" s="18" t="str">
        <f t="shared" si="56"/>
        <v>R1</v>
      </c>
      <c r="AN178" s="18" t="s">
        <v>66</v>
      </c>
      <c r="AO178" s="18" t="s">
        <v>79</v>
      </c>
      <c r="AP178" s="18" t="s">
        <v>96</v>
      </c>
      <c r="AQ178" s="18" t="s">
        <v>107</v>
      </c>
      <c r="AR178" s="18" t="s">
        <v>120</v>
      </c>
      <c r="AS178" s="18" t="s">
        <v>198</v>
      </c>
      <c r="AT178" s="18" t="s">
        <v>240</v>
      </c>
      <c r="AU178" s="18"/>
      <c r="AV178" s="18">
        <f>+VLOOKUP(AN178,Leyenda!$B$30:$E$34,3,FALSE)</f>
        <v>1</v>
      </c>
      <c r="AW178" s="18">
        <f>+VLOOKUP('2. Logging Brejo Seco'!AO178,Meteorizacion,3,FALSE)</f>
        <v>1</v>
      </c>
      <c r="AX178" s="18">
        <f>+VLOOKUP('2. Logging Brejo Seco'!AP178,Apertura,3,FALSE)</f>
        <v>1</v>
      </c>
      <c r="AY178" s="18">
        <f>+VLOOKUP('2. Logging Brejo Seco'!AQ178,Leyenda!$B$55:$D$59,3,FALSE)</f>
        <v>3</v>
      </c>
      <c r="AZ178" s="18">
        <f>+VLOOKUP('2. Logging Brejo Seco'!AR178,Relleno,3,FALSE)</f>
        <v>2</v>
      </c>
      <c r="BA178" s="18">
        <f t="shared" si="65"/>
        <v>8</v>
      </c>
      <c r="BB178" s="49">
        <f t="shared" si="51"/>
        <v>0</v>
      </c>
      <c r="BC178" s="49">
        <f>VLOOKUP(AM178,Leyenda!$B$4:$D$10,3,FALSE)</f>
        <v>1</v>
      </c>
      <c r="BD178" s="50">
        <f t="shared" si="57"/>
        <v>4</v>
      </c>
      <c r="BE178" s="49">
        <f t="shared" si="58"/>
        <v>8</v>
      </c>
      <c r="BF178" s="49">
        <f>VLOOKUP(AS178,Leyenda!$B$70:$D$75,3,FALSE)</f>
        <v>15</v>
      </c>
      <c r="BG178" s="67">
        <f t="shared" si="52"/>
        <v>12</v>
      </c>
      <c r="BH178" s="67">
        <f>VLOOKUP(AM178,Leyenda!$B$4:$E$10,4,FALSE)</f>
        <v>1</v>
      </c>
      <c r="BI178" s="67">
        <f t="shared" si="59"/>
        <v>5</v>
      </c>
      <c r="BJ178" s="67">
        <f t="shared" si="53"/>
        <v>0</v>
      </c>
      <c r="BK178" s="67">
        <f>+VLOOKUP('2. Logging Brejo Seco'!AP178,Leyenda!$B$47:$E$51,4,FALSE)</f>
        <v>1</v>
      </c>
      <c r="BL178" s="67">
        <f>+VLOOKUP('2. Logging Brejo Seco'!AQ178,Leyenda!$B$55:$E$59,4,FALSE)</f>
        <v>3</v>
      </c>
      <c r="BM178" s="67">
        <f>+VLOOKUP('2. Logging Brejo Seco'!AR178,Leyenda!$B$63:$E$67,3,FALSE)</f>
        <v>2</v>
      </c>
      <c r="BN178" s="67">
        <f>+VLOOKUP('2. Logging Brejo Seco'!AO178,Leyenda!$B$39:$E$43,4,FALSE)</f>
        <v>1</v>
      </c>
      <c r="BO178" s="67">
        <f>+VLOOKUP('2. Logging Brejo Seco'!AN178,Leyenda!$B$30:$E$34,4,FALSE)</f>
        <v>1</v>
      </c>
      <c r="BP178" s="67">
        <f>VLOOKUP(AS178,Leyenda!$B$71:$E$75,4,FALSE)</f>
        <v>10</v>
      </c>
      <c r="BQ178" s="125">
        <f t="shared" si="60"/>
        <v>24</v>
      </c>
      <c r="BR178" s="85">
        <f t="shared" si="61"/>
        <v>28</v>
      </c>
      <c r="BS178" s="240">
        <f t="shared" si="62"/>
        <v>0.64</v>
      </c>
      <c r="BT178" s="18" t="s">
        <v>746</v>
      </c>
    </row>
    <row r="179" spans="1:72" x14ac:dyDescent="0.25">
      <c r="A179" s="18" t="s">
        <v>6</v>
      </c>
      <c r="B179" s="18">
        <v>2024</v>
      </c>
      <c r="C179" s="18" t="s">
        <v>138</v>
      </c>
      <c r="D179" s="18" t="s">
        <v>245</v>
      </c>
      <c r="E179" s="18">
        <v>40</v>
      </c>
      <c r="F179" s="18">
        <v>40</v>
      </c>
      <c r="G179" s="18" t="s">
        <v>153</v>
      </c>
      <c r="H179" s="248">
        <f t="shared" si="63"/>
        <v>40</v>
      </c>
      <c r="I179" s="135"/>
      <c r="J179" s="18" t="s">
        <v>294</v>
      </c>
      <c r="K179" s="4">
        <f t="shared" ref="K179:K232" si="69">+L178</f>
        <v>33</v>
      </c>
      <c r="L179" s="4">
        <v>33.5</v>
      </c>
      <c r="M179" s="4">
        <f t="shared" si="54"/>
        <v>0.5</v>
      </c>
      <c r="N179" s="5">
        <v>0.38</v>
      </c>
      <c r="O179" s="5">
        <f t="shared" si="68"/>
        <v>0.62</v>
      </c>
      <c r="P179" s="31">
        <f t="shared" si="55"/>
        <v>0.19</v>
      </c>
      <c r="Q179" s="31">
        <f t="shared" si="50"/>
        <v>0.19</v>
      </c>
      <c r="R179" s="31">
        <v>190</v>
      </c>
      <c r="S179" s="31">
        <v>1</v>
      </c>
      <c r="T179" s="31">
        <v>0.19</v>
      </c>
      <c r="U179" s="31">
        <v>0</v>
      </c>
      <c r="V179" s="65">
        <f t="shared" si="64"/>
        <v>0</v>
      </c>
      <c r="W179" s="31">
        <v>10</v>
      </c>
      <c r="X179" s="31"/>
      <c r="Y179" s="31">
        <f t="shared" si="66"/>
        <v>10</v>
      </c>
      <c r="Z179" s="31">
        <f t="shared" si="67"/>
        <v>19</v>
      </c>
      <c r="AA179" s="18">
        <v>0</v>
      </c>
      <c r="AB179" s="18" t="s">
        <v>100</v>
      </c>
      <c r="AC179" s="18" t="s">
        <v>116</v>
      </c>
      <c r="AD179" s="18" t="s">
        <v>337</v>
      </c>
      <c r="AE179" s="18">
        <v>1</v>
      </c>
      <c r="AF179" s="18">
        <v>190</v>
      </c>
      <c r="AG179" s="18" t="s">
        <v>32</v>
      </c>
      <c r="AH179" s="18" t="s">
        <v>32</v>
      </c>
      <c r="AI179" s="18" t="str">
        <f>+VLOOKUP(AH179,Leyenda!$O$4:$U$10,6,FALSE)</f>
        <v>0,15-0,25</v>
      </c>
      <c r="AJ179" s="18" t="str">
        <f>+VLOOKUP(AG179,Leyenda!$O$4:$U$10,7,FALSE)</f>
        <v>No Blasting need</v>
      </c>
      <c r="AK179" s="18">
        <f>+VLOOKUP(AJ179,Leyenda!$U$4:$V$10,2,FALSE)</f>
        <v>2</v>
      </c>
      <c r="AL179" s="18" t="s">
        <v>27</v>
      </c>
      <c r="AM179" s="18" t="str">
        <f t="shared" si="56"/>
        <v>R1</v>
      </c>
      <c r="AN179" s="18" t="s">
        <v>66</v>
      </c>
      <c r="AO179" s="18" t="s">
        <v>79</v>
      </c>
      <c r="AP179" s="18" t="s">
        <v>96</v>
      </c>
      <c r="AQ179" s="18" t="s">
        <v>107</v>
      </c>
      <c r="AR179" s="18" t="s">
        <v>120</v>
      </c>
      <c r="AS179" s="18" t="s">
        <v>198</v>
      </c>
      <c r="AT179" s="18" t="s">
        <v>240</v>
      </c>
      <c r="AU179" s="18"/>
      <c r="AV179" s="18">
        <f>+VLOOKUP(AN179,Leyenda!$B$30:$E$34,3,FALSE)</f>
        <v>1</v>
      </c>
      <c r="AW179" s="18">
        <f>+VLOOKUP('2. Logging Brejo Seco'!AO179,Meteorizacion,3,FALSE)</f>
        <v>1</v>
      </c>
      <c r="AX179" s="18">
        <f>+VLOOKUP('2. Logging Brejo Seco'!AP179,Apertura,3,FALSE)</f>
        <v>1</v>
      </c>
      <c r="AY179" s="18">
        <f>+VLOOKUP('2. Logging Brejo Seco'!AQ179,Leyenda!$B$55:$D$59,3,FALSE)</f>
        <v>3</v>
      </c>
      <c r="AZ179" s="18">
        <f>+VLOOKUP('2. Logging Brejo Seco'!AR179,Relleno,3,FALSE)</f>
        <v>2</v>
      </c>
      <c r="BA179" s="18">
        <f t="shared" si="65"/>
        <v>8</v>
      </c>
      <c r="BB179" s="49">
        <f t="shared" si="51"/>
        <v>0</v>
      </c>
      <c r="BC179" s="49">
        <f>VLOOKUP(AM179,Leyenda!$B$4:$D$10,3,FALSE)</f>
        <v>1</v>
      </c>
      <c r="BD179" s="50">
        <f t="shared" si="57"/>
        <v>4</v>
      </c>
      <c r="BE179" s="49">
        <f t="shared" si="58"/>
        <v>8</v>
      </c>
      <c r="BF179" s="49">
        <f>VLOOKUP(AS179,Leyenda!$B$70:$D$75,3,FALSE)</f>
        <v>15</v>
      </c>
      <c r="BG179" s="67">
        <f t="shared" si="52"/>
        <v>12</v>
      </c>
      <c r="BH179" s="67">
        <f>VLOOKUP(AM179,Leyenda!$B$4:$E$10,4,FALSE)</f>
        <v>1</v>
      </c>
      <c r="BI179" s="67">
        <f t="shared" si="59"/>
        <v>5</v>
      </c>
      <c r="BJ179" s="67">
        <f t="shared" si="53"/>
        <v>0</v>
      </c>
      <c r="BK179" s="67">
        <f>+VLOOKUP('2. Logging Brejo Seco'!AP179,Leyenda!$B$47:$E$51,4,FALSE)</f>
        <v>1</v>
      </c>
      <c r="BL179" s="67">
        <f>+VLOOKUP('2. Logging Brejo Seco'!AQ179,Leyenda!$B$55:$E$59,4,FALSE)</f>
        <v>3</v>
      </c>
      <c r="BM179" s="67">
        <f>+VLOOKUP('2. Logging Brejo Seco'!AR179,Leyenda!$B$63:$E$67,3,FALSE)</f>
        <v>2</v>
      </c>
      <c r="BN179" s="67">
        <f>+VLOOKUP('2. Logging Brejo Seco'!AO179,Leyenda!$B$39:$E$43,4,FALSE)</f>
        <v>1</v>
      </c>
      <c r="BO179" s="67">
        <f>+VLOOKUP('2. Logging Brejo Seco'!AN179,Leyenda!$B$30:$E$34,4,FALSE)</f>
        <v>1</v>
      </c>
      <c r="BP179" s="67">
        <f>VLOOKUP(AS179,Leyenda!$B$71:$E$75,4,FALSE)</f>
        <v>10</v>
      </c>
      <c r="BQ179" s="125">
        <f t="shared" si="60"/>
        <v>24</v>
      </c>
      <c r="BR179" s="85">
        <f t="shared" si="61"/>
        <v>28</v>
      </c>
      <c r="BS179" s="240">
        <f t="shared" si="62"/>
        <v>0.62</v>
      </c>
      <c r="BT179" s="18" t="s">
        <v>746</v>
      </c>
    </row>
    <row r="180" spans="1:72" x14ac:dyDescent="0.25">
      <c r="A180" s="18" t="s">
        <v>6</v>
      </c>
      <c r="B180" s="18">
        <v>2024</v>
      </c>
      <c r="C180" s="18" t="s">
        <v>138</v>
      </c>
      <c r="D180" s="18" t="s">
        <v>245</v>
      </c>
      <c r="E180" s="18">
        <v>40</v>
      </c>
      <c r="F180" s="18">
        <v>40</v>
      </c>
      <c r="G180" s="18" t="s">
        <v>153</v>
      </c>
      <c r="H180" s="248">
        <f t="shared" si="63"/>
        <v>40</v>
      </c>
      <c r="I180" s="135"/>
      <c r="J180" s="18" t="s">
        <v>294</v>
      </c>
      <c r="K180" s="4">
        <f t="shared" si="69"/>
        <v>33.5</v>
      </c>
      <c r="L180" s="4">
        <v>34</v>
      </c>
      <c r="M180" s="4">
        <f t="shared" si="54"/>
        <v>0.5</v>
      </c>
      <c r="N180" s="5">
        <v>0.42</v>
      </c>
      <c r="O180" s="5">
        <f t="shared" si="68"/>
        <v>0.58000000000000007</v>
      </c>
      <c r="P180" s="31">
        <f t="shared" si="55"/>
        <v>0.21</v>
      </c>
      <c r="Q180" s="31">
        <f t="shared" si="50"/>
        <v>0.21</v>
      </c>
      <c r="R180" s="31">
        <v>42</v>
      </c>
      <c r="S180" s="31">
        <v>5</v>
      </c>
      <c r="T180" s="31">
        <v>0.18</v>
      </c>
      <c r="U180" s="31">
        <v>0</v>
      </c>
      <c r="V180" s="65">
        <f t="shared" si="64"/>
        <v>0</v>
      </c>
      <c r="W180" s="31">
        <v>11</v>
      </c>
      <c r="X180" s="31"/>
      <c r="Y180" s="31">
        <f t="shared" si="66"/>
        <v>11</v>
      </c>
      <c r="Z180" s="31">
        <f t="shared" si="67"/>
        <v>16.363636363636363</v>
      </c>
      <c r="AA180" s="18">
        <v>0</v>
      </c>
      <c r="AB180" s="18" t="s">
        <v>100</v>
      </c>
      <c r="AC180" s="18" t="s">
        <v>118</v>
      </c>
      <c r="AD180" s="18" t="s">
        <v>337</v>
      </c>
      <c r="AE180" s="18">
        <v>5</v>
      </c>
      <c r="AF180" s="18">
        <v>42</v>
      </c>
      <c r="AG180" s="18" t="s">
        <v>32</v>
      </c>
      <c r="AH180" s="18" t="s">
        <v>32</v>
      </c>
      <c r="AI180" s="18" t="str">
        <f>+VLOOKUP(AH180,Leyenda!$O$4:$U$10,6,FALSE)</f>
        <v>0,15-0,25</v>
      </c>
      <c r="AJ180" s="18" t="str">
        <f>+VLOOKUP(AG180,Leyenda!$O$4:$U$10,7,FALSE)</f>
        <v>No Blasting need</v>
      </c>
      <c r="AK180" s="18">
        <f>+VLOOKUP(AJ180,Leyenda!$U$4:$V$10,2,FALSE)</f>
        <v>2</v>
      </c>
      <c r="AL180" s="18" t="s">
        <v>27</v>
      </c>
      <c r="AM180" s="18" t="str">
        <f t="shared" si="56"/>
        <v>R1</v>
      </c>
      <c r="AN180" s="18" t="s">
        <v>66</v>
      </c>
      <c r="AO180" s="18" t="s">
        <v>79</v>
      </c>
      <c r="AP180" s="18" t="s">
        <v>96</v>
      </c>
      <c r="AQ180" s="18" t="s">
        <v>107</v>
      </c>
      <c r="AR180" s="18" t="s">
        <v>120</v>
      </c>
      <c r="AS180" s="18" t="s">
        <v>198</v>
      </c>
      <c r="AT180" s="18" t="s">
        <v>240</v>
      </c>
      <c r="AU180" s="18"/>
      <c r="AV180" s="18">
        <f>+VLOOKUP(AN180,Leyenda!$B$30:$E$34,3,FALSE)</f>
        <v>1</v>
      </c>
      <c r="AW180" s="18">
        <f>+VLOOKUP('2. Logging Brejo Seco'!AO180,Meteorizacion,3,FALSE)</f>
        <v>1</v>
      </c>
      <c r="AX180" s="18">
        <f>+VLOOKUP('2. Logging Brejo Seco'!AP180,Apertura,3,FALSE)</f>
        <v>1</v>
      </c>
      <c r="AY180" s="18">
        <f>+VLOOKUP('2. Logging Brejo Seco'!AQ180,Leyenda!$B$55:$D$59,3,FALSE)</f>
        <v>3</v>
      </c>
      <c r="AZ180" s="18">
        <f>+VLOOKUP('2. Logging Brejo Seco'!AR180,Relleno,3,FALSE)</f>
        <v>2</v>
      </c>
      <c r="BA180" s="18">
        <f t="shared" si="65"/>
        <v>8</v>
      </c>
      <c r="BB180" s="49">
        <f t="shared" si="51"/>
        <v>0</v>
      </c>
      <c r="BC180" s="49">
        <f>VLOOKUP(AM180,Leyenda!$B$4:$D$10,3,FALSE)</f>
        <v>1</v>
      </c>
      <c r="BD180" s="50">
        <f t="shared" si="57"/>
        <v>4</v>
      </c>
      <c r="BE180" s="49">
        <f t="shared" si="58"/>
        <v>8</v>
      </c>
      <c r="BF180" s="49">
        <f>VLOOKUP(AS180,Leyenda!$B$70:$D$75,3,FALSE)</f>
        <v>15</v>
      </c>
      <c r="BG180" s="67">
        <f t="shared" si="52"/>
        <v>12</v>
      </c>
      <c r="BH180" s="67">
        <f>VLOOKUP(AM180,Leyenda!$B$4:$E$10,4,FALSE)</f>
        <v>1</v>
      </c>
      <c r="BI180" s="67">
        <f t="shared" si="59"/>
        <v>5</v>
      </c>
      <c r="BJ180" s="67">
        <f t="shared" si="53"/>
        <v>0</v>
      </c>
      <c r="BK180" s="67">
        <f>+VLOOKUP('2. Logging Brejo Seco'!AP180,Leyenda!$B$47:$E$51,4,FALSE)</f>
        <v>1</v>
      </c>
      <c r="BL180" s="67">
        <f>+VLOOKUP('2. Logging Brejo Seco'!AQ180,Leyenda!$B$55:$E$59,4,FALSE)</f>
        <v>3</v>
      </c>
      <c r="BM180" s="67">
        <f>+VLOOKUP('2. Logging Brejo Seco'!AR180,Leyenda!$B$63:$E$67,3,FALSE)</f>
        <v>2</v>
      </c>
      <c r="BN180" s="67">
        <f>+VLOOKUP('2. Logging Brejo Seco'!AO180,Leyenda!$B$39:$E$43,4,FALSE)</f>
        <v>1</v>
      </c>
      <c r="BO180" s="67">
        <f>+VLOOKUP('2. Logging Brejo Seco'!AN180,Leyenda!$B$30:$E$34,4,FALSE)</f>
        <v>1</v>
      </c>
      <c r="BP180" s="67">
        <f>VLOOKUP(AS180,Leyenda!$B$71:$E$75,4,FALSE)</f>
        <v>10</v>
      </c>
      <c r="BQ180" s="125">
        <f t="shared" si="60"/>
        <v>24</v>
      </c>
      <c r="BR180" s="85">
        <f t="shared" si="61"/>
        <v>28</v>
      </c>
      <c r="BS180" s="240">
        <f t="shared" si="62"/>
        <v>0.58000000000000007</v>
      </c>
      <c r="BT180" s="18" t="s">
        <v>746</v>
      </c>
    </row>
    <row r="181" spans="1:72" x14ac:dyDescent="0.25">
      <c r="A181" s="18" t="s">
        <v>6</v>
      </c>
      <c r="B181" s="18">
        <v>2024</v>
      </c>
      <c r="C181" s="18" t="s">
        <v>138</v>
      </c>
      <c r="D181" s="18" t="s">
        <v>245</v>
      </c>
      <c r="E181" s="18">
        <v>40</v>
      </c>
      <c r="F181" s="18">
        <v>40</v>
      </c>
      <c r="G181" s="18" t="s">
        <v>153</v>
      </c>
      <c r="H181" s="248">
        <f t="shared" si="63"/>
        <v>40</v>
      </c>
      <c r="I181" s="135"/>
      <c r="J181" s="18" t="s">
        <v>294</v>
      </c>
      <c r="K181" s="4">
        <f t="shared" si="69"/>
        <v>34</v>
      </c>
      <c r="L181" s="4">
        <v>34.5</v>
      </c>
      <c r="M181" s="4">
        <f t="shared" si="54"/>
        <v>0.5</v>
      </c>
      <c r="N181" s="5">
        <v>0.24</v>
      </c>
      <c r="O181" s="5">
        <f t="shared" si="68"/>
        <v>0.76</v>
      </c>
      <c r="P181" s="31">
        <f t="shared" si="55"/>
        <v>0.12</v>
      </c>
      <c r="Q181" s="31">
        <f t="shared" si="50"/>
        <v>0.12</v>
      </c>
      <c r="R181" s="31">
        <v>6</v>
      </c>
      <c r="S181" s="31">
        <v>20</v>
      </c>
      <c r="T181" s="31">
        <v>0.12</v>
      </c>
      <c r="U181" s="31">
        <v>0</v>
      </c>
      <c r="V181" s="65">
        <f t="shared" si="64"/>
        <v>0</v>
      </c>
      <c r="W181" s="31">
        <v>11</v>
      </c>
      <c r="X181" s="31"/>
      <c r="Y181" s="31">
        <f t="shared" si="66"/>
        <v>11</v>
      </c>
      <c r="Z181" s="31">
        <f t="shared" si="67"/>
        <v>10.909090909090908</v>
      </c>
      <c r="AA181" s="18">
        <v>0</v>
      </c>
      <c r="AB181" s="18" t="s">
        <v>100</v>
      </c>
      <c r="AC181" s="18" t="s">
        <v>333</v>
      </c>
      <c r="AD181" s="18" t="s">
        <v>337</v>
      </c>
      <c r="AE181" s="18">
        <v>20</v>
      </c>
      <c r="AF181" s="18">
        <v>6</v>
      </c>
      <c r="AG181" s="18" t="s">
        <v>32</v>
      </c>
      <c r="AH181" s="18" t="s">
        <v>32</v>
      </c>
      <c r="AI181" s="18" t="str">
        <f>+VLOOKUP(AH181,Leyenda!$O$4:$U$10,6,FALSE)</f>
        <v>0,15-0,25</v>
      </c>
      <c r="AJ181" s="18" t="str">
        <f>+VLOOKUP(AG181,Leyenda!$O$4:$U$10,7,FALSE)</f>
        <v>No Blasting need</v>
      </c>
      <c r="AK181" s="18">
        <f>+VLOOKUP(AJ181,Leyenda!$U$4:$V$10,2,FALSE)</f>
        <v>2</v>
      </c>
      <c r="AL181" s="18" t="s">
        <v>27</v>
      </c>
      <c r="AM181" s="18" t="str">
        <f t="shared" si="56"/>
        <v>R1</v>
      </c>
      <c r="AN181" s="18" t="s">
        <v>66</v>
      </c>
      <c r="AO181" s="18" t="s">
        <v>79</v>
      </c>
      <c r="AP181" s="18" t="s">
        <v>96</v>
      </c>
      <c r="AQ181" s="18" t="s">
        <v>107</v>
      </c>
      <c r="AR181" s="18" t="s">
        <v>120</v>
      </c>
      <c r="AS181" s="18" t="s">
        <v>198</v>
      </c>
      <c r="AT181" s="18" t="s">
        <v>240</v>
      </c>
      <c r="AU181" s="18"/>
      <c r="AV181" s="18">
        <f>+VLOOKUP(AN181,Leyenda!$B$30:$E$34,3,FALSE)</f>
        <v>1</v>
      </c>
      <c r="AW181" s="18">
        <f>+VLOOKUP('2. Logging Brejo Seco'!AO181,Meteorizacion,3,FALSE)</f>
        <v>1</v>
      </c>
      <c r="AX181" s="18">
        <f>+VLOOKUP('2. Logging Brejo Seco'!AP181,Apertura,3,FALSE)</f>
        <v>1</v>
      </c>
      <c r="AY181" s="18">
        <f>+VLOOKUP('2. Logging Brejo Seco'!AQ181,Leyenda!$B$55:$D$59,3,FALSE)</f>
        <v>3</v>
      </c>
      <c r="AZ181" s="18">
        <f>+VLOOKUP('2. Logging Brejo Seco'!AR181,Relleno,3,FALSE)</f>
        <v>2</v>
      </c>
      <c r="BA181" s="18">
        <f t="shared" si="65"/>
        <v>8</v>
      </c>
      <c r="BB181" s="49">
        <f t="shared" si="51"/>
        <v>0</v>
      </c>
      <c r="BC181" s="49">
        <f>VLOOKUP(AM181,Leyenda!$B$4:$D$10,3,FALSE)</f>
        <v>1</v>
      </c>
      <c r="BD181" s="50">
        <f t="shared" si="57"/>
        <v>3</v>
      </c>
      <c r="BE181" s="49">
        <f t="shared" si="58"/>
        <v>8</v>
      </c>
      <c r="BF181" s="49">
        <f>VLOOKUP(AS181,Leyenda!$B$70:$D$75,3,FALSE)</f>
        <v>15</v>
      </c>
      <c r="BG181" s="67">
        <f t="shared" si="52"/>
        <v>12</v>
      </c>
      <c r="BH181" s="67">
        <f>VLOOKUP(AM181,Leyenda!$B$4:$E$10,4,FALSE)</f>
        <v>1</v>
      </c>
      <c r="BI181" s="67">
        <f t="shared" si="59"/>
        <v>5</v>
      </c>
      <c r="BJ181" s="67">
        <f t="shared" si="53"/>
        <v>0</v>
      </c>
      <c r="BK181" s="67">
        <f>+VLOOKUP('2. Logging Brejo Seco'!AP181,Leyenda!$B$47:$E$51,4,FALSE)</f>
        <v>1</v>
      </c>
      <c r="BL181" s="67">
        <f>+VLOOKUP('2. Logging Brejo Seco'!AQ181,Leyenda!$B$55:$E$59,4,FALSE)</f>
        <v>3</v>
      </c>
      <c r="BM181" s="67">
        <f>+VLOOKUP('2. Logging Brejo Seco'!AR181,Leyenda!$B$63:$E$67,3,FALSE)</f>
        <v>2</v>
      </c>
      <c r="BN181" s="67">
        <f>+VLOOKUP('2. Logging Brejo Seco'!AO181,Leyenda!$B$39:$E$43,4,FALSE)</f>
        <v>1</v>
      </c>
      <c r="BO181" s="67">
        <f>+VLOOKUP('2. Logging Brejo Seco'!AN181,Leyenda!$B$30:$E$34,4,FALSE)</f>
        <v>1</v>
      </c>
      <c r="BP181" s="67">
        <f>VLOOKUP(AS181,Leyenda!$B$71:$E$75,4,FALSE)</f>
        <v>10</v>
      </c>
      <c r="BQ181" s="125">
        <f t="shared" si="60"/>
        <v>24</v>
      </c>
      <c r="BR181" s="85">
        <f t="shared" si="61"/>
        <v>27</v>
      </c>
      <c r="BS181" s="240">
        <f t="shared" si="62"/>
        <v>0.76</v>
      </c>
      <c r="BT181" s="18" t="s">
        <v>746</v>
      </c>
    </row>
    <row r="182" spans="1:72" x14ac:dyDescent="0.25">
      <c r="A182" s="18" t="s">
        <v>6</v>
      </c>
      <c r="B182" s="18">
        <v>2024</v>
      </c>
      <c r="C182" s="18" t="s">
        <v>138</v>
      </c>
      <c r="D182" s="18" t="s">
        <v>245</v>
      </c>
      <c r="E182" s="18">
        <v>40</v>
      </c>
      <c r="F182" s="18">
        <v>40</v>
      </c>
      <c r="G182" s="18" t="s">
        <v>153</v>
      </c>
      <c r="H182" s="248">
        <f t="shared" si="63"/>
        <v>40</v>
      </c>
      <c r="I182" s="135"/>
      <c r="J182" s="18" t="s">
        <v>294</v>
      </c>
      <c r="K182" s="4">
        <f t="shared" si="69"/>
        <v>34.5</v>
      </c>
      <c r="L182" s="4">
        <v>35</v>
      </c>
      <c r="M182" s="4">
        <f t="shared" si="54"/>
        <v>0.5</v>
      </c>
      <c r="N182" s="5">
        <v>0</v>
      </c>
      <c r="O182" s="5">
        <f t="shared" si="68"/>
        <v>1</v>
      </c>
      <c r="P182" s="31">
        <f t="shared" si="55"/>
        <v>0</v>
      </c>
      <c r="Q182" s="31">
        <f t="shared" si="50"/>
        <v>0</v>
      </c>
      <c r="R182" s="31" t="s">
        <v>348</v>
      </c>
      <c r="S182" s="31">
        <v>1</v>
      </c>
      <c r="T182" s="31">
        <v>0</v>
      </c>
      <c r="U182" s="31">
        <v>0</v>
      </c>
      <c r="V182" s="65">
        <f t="shared" si="64"/>
        <v>0</v>
      </c>
      <c r="W182" s="31"/>
      <c r="X182" s="31"/>
      <c r="Y182" s="31"/>
      <c r="Z182" s="31"/>
      <c r="AA182" s="18">
        <v>0</v>
      </c>
      <c r="AB182" s="18" t="s">
        <v>100</v>
      </c>
      <c r="AC182" s="18" t="s">
        <v>116</v>
      </c>
      <c r="AD182" s="18" t="s">
        <v>337</v>
      </c>
      <c r="AE182" s="18">
        <v>1</v>
      </c>
      <c r="AF182" s="18" t="s">
        <v>348</v>
      </c>
      <c r="AG182" s="18" t="s">
        <v>34</v>
      </c>
      <c r="AH182" s="18" t="s">
        <v>34</v>
      </c>
      <c r="AI182" s="18">
        <f>+VLOOKUP(AH182,Leyenda!$O$4:$U$10,6,FALSE)</f>
        <v>0</v>
      </c>
      <c r="AJ182" s="18" t="str">
        <f>+VLOOKUP(AG182,Leyenda!$O$4:$U$10,7,FALSE)</f>
        <v>No Blasting need</v>
      </c>
      <c r="AK182" s="18">
        <f>+VLOOKUP(AJ182,Leyenda!$U$4:$V$10,2,FALSE)</f>
        <v>2</v>
      </c>
      <c r="AL182" s="18" t="s">
        <v>27</v>
      </c>
      <c r="AM182" s="18" t="str">
        <f t="shared" si="56"/>
        <v>R0</v>
      </c>
      <c r="AN182" s="18" t="s">
        <v>66</v>
      </c>
      <c r="AO182" s="18" t="s">
        <v>79</v>
      </c>
      <c r="AP182" s="18" t="s">
        <v>96</v>
      </c>
      <c r="AQ182" s="18" t="s">
        <v>107</v>
      </c>
      <c r="AR182" s="18" t="s">
        <v>120</v>
      </c>
      <c r="AS182" s="18" t="s">
        <v>198</v>
      </c>
      <c r="AT182" s="18" t="s">
        <v>240</v>
      </c>
      <c r="AU182" s="18"/>
      <c r="AV182" s="18">
        <f>+VLOOKUP(AN182,Leyenda!$B$30:$E$34,3,FALSE)</f>
        <v>1</v>
      </c>
      <c r="AW182" s="18">
        <f>+VLOOKUP('2. Logging Brejo Seco'!AO182,Meteorizacion,3,FALSE)</f>
        <v>1</v>
      </c>
      <c r="AX182" s="18">
        <f>+VLOOKUP('2. Logging Brejo Seco'!AP182,Apertura,3,FALSE)</f>
        <v>1</v>
      </c>
      <c r="AY182" s="18">
        <f>+VLOOKUP('2. Logging Brejo Seco'!AQ182,Leyenda!$B$55:$D$59,3,FALSE)</f>
        <v>3</v>
      </c>
      <c r="AZ182" s="18">
        <f>+VLOOKUP('2. Logging Brejo Seco'!AR182,Relleno,3,FALSE)</f>
        <v>2</v>
      </c>
      <c r="BA182" s="18">
        <f t="shared" si="65"/>
        <v>8</v>
      </c>
      <c r="BB182" s="49">
        <f t="shared" si="51"/>
        <v>0</v>
      </c>
      <c r="BC182" s="49">
        <f>VLOOKUP(AM182,Leyenda!$B$4:$D$10,3,FALSE)</f>
        <v>0</v>
      </c>
      <c r="BD182" s="50">
        <f t="shared" si="57"/>
        <v>0</v>
      </c>
      <c r="BE182" s="49">
        <f t="shared" si="58"/>
        <v>8</v>
      </c>
      <c r="BF182" s="49">
        <f>VLOOKUP(AS182,Leyenda!$B$70:$D$75,3,FALSE)</f>
        <v>15</v>
      </c>
      <c r="BG182" s="67">
        <f t="shared" si="52"/>
        <v>12</v>
      </c>
      <c r="BH182" s="67">
        <f>VLOOKUP(AM182,Leyenda!$B$4:$E$10,4,FALSE)</f>
        <v>0</v>
      </c>
      <c r="BI182" s="67">
        <f t="shared" si="59"/>
        <v>5</v>
      </c>
      <c r="BJ182" s="67">
        <f t="shared" si="53"/>
        <v>0</v>
      </c>
      <c r="BK182" s="67">
        <f>+VLOOKUP('2. Logging Brejo Seco'!AP182,Leyenda!$B$47:$E$51,4,FALSE)</f>
        <v>1</v>
      </c>
      <c r="BL182" s="67">
        <f>+VLOOKUP('2. Logging Brejo Seco'!AQ182,Leyenda!$B$55:$E$59,4,FALSE)</f>
        <v>3</v>
      </c>
      <c r="BM182" s="67">
        <f>+VLOOKUP('2. Logging Brejo Seco'!AR182,Leyenda!$B$63:$E$67,3,FALSE)</f>
        <v>2</v>
      </c>
      <c r="BN182" s="67">
        <f>+VLOOKUP('2. Logging Brejo Seco'!AO182,Leyenda!$B$39:$E$43,4,FALSE)</f>
        <v>1</v>
      </c>
      <c r="BO182" s="67">
        <f>+VLOOKUP('2. Logging Brejo Seco'!AN182,Leyenda!$B$30:$E$34,4,FALSE)</f>
        <v>1</v>
      </c>
      <c r="BP182" s="67">
        <f>VLOOKUP(AS182,Leyenda!$B$71:$E$75,4,FALSE)</f>
        <v>10</v>
      </c>
      <c r="BQ182" s="125">
        <f t="shared" si="60"/>
        <v>23</v>
      </c>
      <c r="BR182" s="85">
        <f t="shared" si="61"/>
        <v>23</v>
      </c>
      <c r="BS182" s="240">
        <f t="shared" si="62"/>
        <v>1</v>
      </c>
      <c r="BT182" s="18" t="s">
        <v>745</v>
      </c>
    </row>
    <row r="183" spans="1:72" x14ac:dyDescent="0.25">
      <c r="A183" s="18" t="s">
        <v>6</v>
      </c>
      <c r="B183" s="18">
        <v>2024</v>
      </c>
      <c r="C183" s="18" t="s">
        <v>138</v>
      </c>
      <c r="D183" s="18" t="s">
        <v>245</v>
      </c>
      <c r="E183" s="18">
        <v>40</v>
      </c>
      <c r="F183" s="18">
        <v>40</v>
      </c>
      <c r="G183" s="18" t="s">
        <v>153</v>
      </c>
      <c r="H183" s="248">
        <f t="shared" si="63"/>
        <v>40</v>
      </c>
      <c r="I183" s="135"/>
      <c r="J183" s="18" t="s">
        <v>294</v>
      </c>
      <c r="K183" s="4">
        <f t="shared" si="69"/>
        <v>35</v>
      </c>
      <c r="L183" s="4">
        <v>35.5</v>
      </c>
      <c r="M183" s="4">
        <f t="shared" si="54"/>
        <v>0.5</v>
      </c>
      <c r="N183" s="5">
        <v>0.26</v>
      </c>
      <c r="O183" s="5">
        <f t="shared" si="68"/>
        <v>0.74</v>
      </c>
      <c r="P183" s="31">
        <f t="shared" si="55"/>
        <v>0.13</v>
      </c>
      <c r="Q183" s="31">
        <f t="shared" si="50"/>
        <v>0.13</v>
      </c>
      <c r="R183" s="31">
        <v>6.5</v>
      </c>
      <c r="S183" s="31">
        <v>20</v>
      </c>
      <c r="T183" s="31">
        <v>0.12</v>
      </c>
      <c r="U183" s="31">
        <v>0</v>
      </c>
      <c r="V183" s="65">
        <f t="shared" si="64"/>
        <v>0</v>
      </c>
      <c r="W183" s="31">
        <v>5</v>
      </c>
      <c r="X183" s="31"/>
      <c r="Y183" s="31">
        <f>+W183+X183</f>
        <v>5</v>
      </c>
      <c r="Z183" s="31">
        <f>+IF(T183=0,"",(T183*1000)/Y183)</f>
        <v>24</v>
      </c>
      <c r="AA183" s="18">
        <v>0</v>
      </c>
      <c r="AB183" s="18" t="s">
        <v>100</v>
      </c>
      <c r="AC183" s="18" t="s">
        <v>333</v>
      </c>
      <c r="AD183" s="18" t="s">
        <v>337</v>
      </c>
      <c r="AE183" s="18">
        <v>20</v>
      </c>
      <c r="AF183" s="18">
        <v>6.5</v>
      </c>
      <c r="AG183" s="18" t="s">
        <v>32</v>
      </c>
      <c r="AH183" s="18" t="s">
        <v>32</v>
      </c>
      <c r="AI183" s="18" t="str">
        <f>+VLOOKUP(AH183,Leyenda!$O$4:$U$10,6,FALSE)</f>
        <v>0,15-0,25</v>
      </c>
      <c r="AJ183" s="18" t="str">
        <f>+VLOOKUP(AG183,Leyenda!$O$4:$U$10,7,FALSE)</f>
        <v>No Blasting need</v>
      </c>
      <c r="AK183" s="18">
        <f>+VLOOKUP(AJ183,Leyenda!$U$4:$V$10,2,FALSE)</f>
        <v>2</v>
      </c>
      <c r="AL183" s="18" t="s">
        <v>27</v>
      </c>
      <c r="AM183" s="18" t="str">
        <f t="shared" si="56"/>
        <v>R1</v>
      </c>
      <c r="AN183" s="18" t="s">
        <v>66</v>
      </c>
      <c r="AO183" s="18" t="s">
        <v>79</v>
      </c>
      <c r="AP183" s="18" t="s">
        <v>96</v>
      </c>
      <c r="AQ183" s="18" t="s">
        <v>107</v>
      </c>
      <c r="AR183" s="18" t="s">
        <v>120</v>
      </c>
      <c r="AS183" s="18" t="s">
        <v>198</v>
      </c>
      <c r="AT183" s="18" t="s">
        <v>240</v>
      </c>
      <c r="AU183" s="18"/>
      <c r="AV183" s="18">
        <f>+VLOOKUP(AN183,Leyenda!$B$30:$E$34,3,FALSE)</f>
        <v>1</v>
      </c>
      <c r="AW183" s="18">
        <f>+VLOOKUP('2. Logging Brejo Seco'!AO183,Meteorizacion,3,FALSE)</f>
        <v>1</v>
      </c>
      <c r="AX183" s="18">
        <f>+VLOOKUP('2. Logging Brejo Seco'!AP183,Apertura,3,FALSE)</f>
        <v>1</v>
      </c>
      <c r="AY183" s="18">
        <f>+VLOOKUP('2. Logging Brejo Seco'!AQ183,Leyenda!$B$55:$D$59,3,FALSE)</f>
        <v>3</v>
      </c>
      <c r="AZ183" s="18">
        <f>+VLOOKUP('2. Logging Brejo Seco'!AR183,Relleno,3,FALSE)</f>
        <v>2</v>
      </c>
      <c r="BA183" s="18">
        <f t="shared" si="65"/>
        <v>8</v>
      </c>
      <c r="BB183" s="49">
        <f t="shared" si="51"/>
        <v>0</v>
      </c>
      <c r="BC183" s="49">
        <f>VLOOKUP(AM183,Leyenda!$B$4:$D$10,3,FALSE)</f>
        <v>1</v>
      </c>
      <c r="BD183" s="50">
        <f t="shared" si="57"/>
        <v>4</v>
      </c>
      <c r="BE183" s="49">
        <f t="shared" si="58"/>
        <v>8</v>
      </c>
      <c r="BF183" s="49">
        <f>VLOOKUP(AS183,Leyenda!$B$70:$D$75,3,FALSE)</f>
        <v>15</v>
      </c>
      <c r="BG183" s="67">
        <f t="shared" si="52"/>
        <v>12</v>
      </c>
      <c r="BH183" s="67">
        <f>VLOOKUP(AM183,Leyenda!$B$4:$E$10,4,FALSE)</f>
        <v>1</v>
      </c>
      <c r="BI183" s="67">
        <f t="shared" si="59"/>
        <v>5</v>
      </c>
      <c r="BJ183" s="67">
        <f t="shared" si="53"/>
        <v>0</v>
      </c>
      <c r="BK183" s="67">
        <f>+VLOOKUP('2. Logging Brejo Seco'!AP183,Leyenda!$B$47:$E$51,4,FALSE)</f>
        <v>1</v>
      </c>
      <c r="BL183" s="67">
        <f>+VLOOKUP('2. Logging Brejo Seco'!AQ183,Leyenda!$B$55:$E$59,4,FALSE)</f>
        <v>3</v>
      </c>
      <c r="BM183" s="67">
        <f>+VLOOKUP('2. Logging Brejo Seco'!AR183,Leyenda!$B$63:$E$67,3,FALSE)</f>
        <v>2</v>
      </c>
      <c r="BN183" s="67">
        <f>+VLOOKUP('2. Logging Brejo Seco'!AO183,Leyenda!$B$39:$E$43,4,FALSE)</f>
        <v>1</v>
      </c>
      <c r="BO183" s="67">
        <f>+VLOOKUP('2. Logging Brejo Seco'!AN183,Leyenda!$B$30:$E$34,4,FALSE)</f>
        <v>1</v>
      </c>
      <c r="BP183" s="67">
        <f>VLOOKUP(AS183,Leyenda!$B$71:$E$75,4,FALSE)</f>
        <v>10</v>
      </c>
      <c r="BQ183" s="125">
        <f t="shared" si="60"/>
        <v>24</v>
      </c>
      <c r="BR183" s="85">
        <f t="shared" si="61"/>
        <v>28</v>
      </c>
      <c r="BS183" s="240">
        <f t="shared" si="62"/>
        <v>0.74</v>
      </c>
      <c r="BT183" s="18" t="s">
        <v>746</v>
      </c>
    </row>
    <row r="184" spans="1:72" x14ac:dyDescent="0.25">
      <c r="A184" s="18" t="s">
        <v>6</v>
      </c>
      <c r="B184" s="18">
        <v>2024</v>
      </c>
      <c r="C184" s="18" t="s">
        <v>138</v>
      </c>
      <c r="D184" s="18" t="s">
        <v>245</v>
      </c>
      <c r="E184" s="18">
        <v>40</v>
      </c>
      <c r="F184" s="18">
        <v>40</v>
      </c>
      <c r="G184" s="18" t="s">
        <v>153</v>
      </c>
      <c r="H184" s="248">
        <f t="shared" si="63"/>
        <v>40</v>
      </c>
      <c r="I184" s="135"/>
      <c r="J184" s="18" t="s">
        <v>294</v>
      </c>
      <c r="K184" s="4">
        <f t="shared" si="69"/>
        <v>35.5</v>
      </c>
      <c r="L184" s="4">
        <v>36</v>
      </c>
      <c r="M184" s="4">
        <f t="shared" si="54"/>
        <v>0.5</v>
      </c>
      <c r="N184" s="5">
        <v>0</v>
      </c>
      <c r="O184" s="5">
        <f t="shared" si="68"/>
        <v>1</v>
      </c>
      <c r="P184" s="31">
        <f t="shared" si="55"/>
        <v>0</v>
      </c>
      <c r="Q184" s="31">
        <f t="shared" si="50"/>
        <v>0</v>
      </c>
      <c r="R184" s="31" t="s">
        <v>348</v>
      </c>
      <c r="S184" s="31">
        <v>20</v>
      </c>
      <c r="T184" s="31"/>
      <c r="U184" s="31"/>
      <c r="V184" s="65">
        <f t="shared" si="64"/>
        <v>0</v>
      </c>
      <c r="W184" s="31"/>
      <c r="X184" s="31"/>
      <c r="Y184" s="31"/>
      <c r="Z184" s="31"/>
      <c r="AA184" s="18">
        <v>0</v>
      </c>
      <c r="AB184" s="18" t="s">
        <v>100</v>
      </c>
      <c r="AC184" s="18" t="s">
        <v>333</v>
      </c>
      <c r="AD184" s="18" t="s">
        <v>337</v>
      </c>
      <c r="AE184" s="18">
        <v>20</v>
      </c>
      <c r="AF184" s="18" t="s">
        <v>348</v>
      </c>
      <c r="AG184" s="18" t="s">
        <v>34</v>
      </c>
      <c r="AH184" s="18" t="s">
        <v>34</v>
      </c>
      <c r="AI184" s="18">
        <f>+VLOOKUP(AH184,Leyenda!$O$4:$U$10,6,FALSE)</f>
        <v>0</v>
      </c>
      <c r="AJ184" s="18" t="str">
        <f>+VLOOKUP(AG184,Leyenda!$O$4:$U$10,7,FALSE)</f>
        <v>No Blasting need</v>
      </c>
      <c r="AK184" s="18">
        <f>+VLOOKUP(AJ184,Leyenda!$U$4:$V$10,2,FALSE)</f>
        <v>2</v>
      </c>
      <c r="AL184" s="18" t="s">
        <v>27</v>
      </c>
      <c r="AM184" s="18" t="str">
        <f t="shared" si="56"/>
        <v>R0</v>
      </c>
      <c r="AN184" s="18" t="s">
        <v>66</v>
      </c>
      <c r="AO184" s="18" t="s">
        <v>79</v>
      </c>
      <c r="AP184" s="18" t="s">
        <v>96</v>
      </c>
      <c r="AQ184" s="18" t="s">
        <v>107</v>
      </c>
      <c r="AR184" s="18" t="s">
        <v>120</v>
      </c>
      <c r="AS184" s="18" t="s">
        <v>198</v>
      </c>
      <c r="AT184" s="18" t="s">
        <v>240</v>
      </c>
      <c r="AU184" s="18"/>
      <c r="AV184" s="18">
        <f>+VLOOKUP(AN184,Leyenda!$B$30:$E$34,3,FALSE)</f>
        <v>1</v>
      </c>
      <c r="AW184" s="18">
        <f>+VLOOKUP('2. Logging Brejo Seco'!AO184,Meteorizacion,3,FALSE)</f>
        <v>1</v>
      </c>
      <c r="AX184" s="18">
        <f>+VLOOKUP('2. Logging Brejo Seco'!AP184,Apertura,3,FALSE)</f>
        <v>1</v>
      </c>
      <c r="AY184" s="18">
        <f>+VLOOKUP('2. Logging Brejo Seco'!AQ184,Leyenda!$B$55:$D$59,3,FALSE)</f>
        <v>3</v>
      </c>
      <c r="AZ184" s="18">
        <f>+VLOOKUP('2. Logging Brejo Seco'!AR184,Relleno,3,FALSE)</f>
        <v>2</v>
      </c>
      <c r="BA184" s="18">
        <f t="shared" si="65"/>
        <v>8</v>
      </c>
      <c r="BB184" s="49">
        <f t="shared" si="51"/>
        <v>0</v>
      </c>
      <c r="BC184" s="49">
        <f>VLOOKUP(AM184,Leyenda!$B$4:$D$10,3,FALSE)</f>
        <v>0</v>
      </c>
      <c r="BD184" s="50">
        <f t="shared" si="57"/>
        <v>0</v>
      </c>
      <c r="BE184" s="49">
        <f t="shared" si="58"/>
        <v>8</v>
      </c>
      <c r="BF184" s="49">
        <f>VLOOKUP(AS184,Leyenda!$B$70:$D$75,3,FALSE)</f>
        <v>15</v>
      </c>
      <c r="BG184" s="67">
        <f t="shared" si="52"/>
        <v>12</v>
      </c>
      <c r="BH184" s="67">
        <f>VLOOKUP(AM184,Leyenda!$B$4:$E$10,4,FALSE)</f>
        <v>0</v>
      </c>
      <c r="BI184" s="67">
        <f t="shared" si="59"/>
        <v>5</v>
      </c>
      <c r="BJ184" s="67">
        <f t="shared" si="53"/>
        <v>0</v>
      </c>
      <c r="BK184" s="67">
        <f>+VLOOKUP('2. Logging Brejo Seco'!AP184,Leyenda!$B$47:$E$51,4,FALSE)</f>
        <v>1</v>
      </c>
      <c r="BL184" s="67">
        <f>+VLOOKUP('2. Logging Brejo Seco'!AQ184,Leyenda!$B$55:$E$59,4,FALSE)</f>
        <v>3</v>
      </c>
      <c r="BM184" s="67">
        <f>+VLOOKUP('2. Logging Brejo Seco'!AR184,Leyenda!$B$63:$E$67,3,FALSE)</f>
        <v>2</v>
      </c>
      <c r="BN184" s="67">
        <f>+VLOOKUP('2. Logging Brejo Seco'!AO184,Leyenda!$B$39:$E$43,4,FALSE)</f>
        <v>1</v>
      </c>
      <c r="BO184" s="67">
        <f>+VLOOKUP('2. Logging Brejo Seco'!AN184,Leyenda!$B$30:$E$34,4,FALSE)</f>
        <v>1</v>
      </c>
      <c r="BP184" s="67">
        <f>VLOOKUP(AS184,Leyenda!$B$71:$E$75,4,FALSE)</f>
        <v>10</v>
      </c>
      <c r="BQ184" s="125">
        <f t="shared" si="60"/>
        <v>23</v>
      </c>
      <c r="BR184" s="85">
        <f t="shared" si="61"/>
        <v>23</v>
      </c>
      <c r="BS184" s="240">
        <f t="shared" si="62"/>
        <v>1</v>
      </c>
      <c r="BT184" s="18" t="s">
        <v>745</v>
      </c>
    </row>
    <row r="185" spans="1:72" x14ac:dyDescent="0.25">
      <c r="A185" s="18" t="s">
        <v>6</v>
      </c>
      <c r="B185" s="18">
        <v>2024</v>
      </c>
      <c r="C185" s="18" t="s">
        <v>138</v>
      </c>
      <c r="D185" s="18" t="s">
        <v>245</v>
      </c>
      <c r="E185" s="18">
        <v>40</v>
      </c>
      <c r="F185" s="18">
        <v>40</v>
      </c>
      <c r="G185" s="18" t="s">
        <v>153</v>
      </c>
      <c r="H185" s="248">
        <f t="shared" si="63"/>
        <v>40</v>
      </c>
      <c r="I185" s="135"/>
      <c r="J185" s="18" t="s">
        <v>294</v>
      </c>
      <c r="K185" s="4">
        <f t="shared" si="69"/>
        <v>36</v>
      </c>
      <c r="L185" s="4">
        <v>36.5</v>
      </c>
      <c r="M185" s="4">
        <f t="shared" si="54"/>
        <v>0.5</v>
      </c>
      <c r="N185" s="5">
        <v>0.32</v>
      </c>
      <c r="O185" s="5">
        <f t="shared" si="68"/>
        <v>0.67999999999999994</v>
      </c>
      <c r="P185" s="31">
        <f t="shared" si="55"/>
        <v>0.16</v>
      </c>
      <c r="Q185" s="31">
        <f t="shared" si="50"/>
        <v>0.16</v>
      </c>
      <c r="R185" s="31">
        <v>8</v>
      </c>
      <c r="S185" s="31">
        <v>20</v>
      </c>
      <c r="T185" s="31">
        <v>0.24</v>
      </c>
      <c r="U185" s="31">
        <v>0</v>
      </c>
      <c r="V185" s="65">
        <f t="shared" si="64"/>
        <v>0</v>
      </c>
      <c r="W185" s="31">
        <v>10</v>
      </c>
      <c r="X185" s="31"/>
      <c r="Y185" s="31">
        <f t="shared" ref="Y185:Y248" si="70">+W185+X185</f>
        <v>10</v>
      </c>
      <c r="Z185" s="31">
        <f t="shared" ref="Z185:Z248" si="71">+IF(T185=0,"",(T185*1000)/Y185)</f>
        <v>24</v>
      </c>
      <c r="AA185" s="18">
        <v>0</v>
      </c>
      <c r="AB185" s="18" t="s">
        <v>100</v>
      </c>
      <c r="AC185" s="18" t="s">
        <v>333</v>
      </c>
      <c r="AD185" s="18" t="s">
        <v>337</v>
      </c>
      <c r="AE185" s="18">
        <v>20</v>
      </c>
      <c r="AF185" s="18">
        <v>8</v>
      </c>
      <c r="AG185" s="18" t="s">
        <v>32</v>
      </c>
      <c r="AH185" s="18" t="s">
        <v>32</v>
      </c>
      <c r="AI185" s="18" t="str">
        <f>+VLOOKUP(AH185,Leyenda!$O$4:$U$10,6,FALSE)</f>
        <v>0,15-0,25</v>
      </c>
      <c r="AJ185" s="18" t="str">
        <f>+VLOOKUP(AG185,Leyenda!$O$4:$U$10,7,FALSE)</f>
        <v>No Blasting need</v>
      </c>
      <c r="AK185" s="18">
        <f>+VLOOKUP(AJ185,Leyenda!$U$4:$V$10,2,FALSE)</f>
        <v>2</v>
      </c>
      <c r="AL185" s="18" t="s">
        <v>27</v>
      </c>
      <c r="AM185" s="18" t="str">
        <f t="shared" si="56"/>
        <v>R1</v>
      </c>
      <c r="AN185" s="18" t="s">
        <v>66</v>
      </c>
      <c r="AO185" s="18" t="s">
        <v>79</v>
      </c>
      <c r="AP185" s="18" t="s">
        <v>96</v>
      </c>
      <c r="AQ185" s="18" t="s">
        <v>107</v>
      </c>
      <c r="AR185" s="18" t="s">
        <v>120</v>
      </c>
      <c r="AS185" s="18" t="s">
        <v>198</v>
      </c>
      <c r="AT185" s="18" t="s">
        <v>240</v>
      </c>
      <c r="AU185" s="18"/>
      <c r="AV185" s="18">
        <f>+VLOOKUP(AN185,Leyenda!$B$30:$E$34,3,FALSE)</f>
        <v>1</v>
      </c>
      <c r="AW185" s="18">
        <f>+VLOOKUP('2. Logging Brejo Seco'!AO185,Meteorizacion,3,FALSE)</f>
        <v>1</v>
      </c>
      <c r="AX185" s="18">
        <f>+VLOOKUP('2. Logging Brejo Seco'!AP185,Apertura,3,FALSE)</f>
        <v>1</v>
      </c>
      <c r="AY185" s="18">
        <f>+VLOOKUP('2. Logging Brejo Seco'!AQ185,Leyenda!$B$55:$D$59,3,FALSE)</f>
        <v>3</v>
      </c>
      <c r="AZ185" s="18">
        <f>+VLOOKUP('2. Logging Brejo Seco'!AR185,Relleno,3,FALSE)</f>
        <v>2</v>
      </c>
      <c r="BA185" s="18">
        <f t="shared" si="65"/>
        <v>8</v>
      </c>
      <c r="BB185" s="49">
        <f t="shared" si="51"/>
        <v>0</v>
      </c>
      <c r="BC185" s="49">
        <f>VLOOKUP(AM185,Leyenda!$B$4:$D$10,3,FALSE)</f>
        <v>1</v>
      </c>
      <c r="BD185" s="50">
        <f t="shared" si="57"/>
        <v>4</v>
      </c>
      <c r="BE185" s="49">
        <f t="shared" si="58"/>
        <v>8</v>
      </c>
      <c r="BF185" s="49">
        <f>VLOOKUP(AS185,Leyenda!$B$70:$D$75,3,FALSE)</f>
        <v>15</v>
      </c>
      <c r="BG185" s="67">
        <f t="shared" si="52"/>
        <v>12</v>
      </c>
      <c r="BH185" s="67">
        <f>VLOOKUP(AM185,Leyenda!$B$4:$E$10,4,FALSE)</f>
        <v>1</v>
      </c>
      <c r="BI185" s="67">
        <f t="shared" si="59"/>
        <v>5</v>
      </c>
      <c r="BJ185" s="67">
        <f t="shared" si="53"/>
        <v>0</v>
      </c>
      <c r="BK185" s="67">
        <f>+VLOOKUP('2. Logging Brejo Seco'!AP185,Leyenda!$B$47:$E$51,4,FALSE)</f>
        <v>1</v>
      </c>
      <c r="BL185" s="67">
        <f>+VLOOKUP('2. Logging Brejo Seco'!AQ185,Leyenda!$B$55:$E$59,4,FALSE)</f>
        <v>3</v>
      </c>
      <c r="BM185" s="67">
        <f>+VLOOKUP('2. Logging Brejo Seco'!AR185,Leyenda!$B$63:$E$67,3,FALSE)</f>
        <v>2</v>
      </c>
      <c r="BN185" s="67">
        <f>+VLOOKUP('2. Logging Brejo Seco'!AO185,Leyenda!$B$39:$E$43,4,FALSE)</f>
        <v>1</v>
      </c>
      <c r="BO185" s="67">
        <f>+VLOOKUP('2. Logging Brejo Seco'!AN185,Leyenda!$B$30:$E$34,4,FALSE)</f>
        <v>1</v>
      </c>
      <c r="BP185" s="67">
        <f>VLOOKUP(AS185,Leyenda!$B$71:$E$75,4,FALSE)</f>
        <v>10</v>
      </c>
      <c r="BQ185" s="125">
        <f t="shared" si="60"/>
        <v>24</v>
      </c>
      <c r="BR185" s="85">
        <f t="shared" si="61"/>
        <v>28</v>
      </c>
      <c r="BS185" s="240">
        <f t="shared" si="62"/>
        <v>0.67999999999999994</v>
      </c>
      <c r="BT185" s="18"/>
    </row>
    <row r="186" spans="1:72" x14ac:dyDescent="0.25">
      <c r="A186" s="18" t="s">
        <v>6</v>
      </c>
      <c r="B186" s="18">
        <v>2024</v>
      </c>
      <c r="C186" s="18" t="s">
        <v>138</v>
      </c>
      <c r="D186" s="18" t="s">
        <v>245</v>
      </c>
      <c r="E186" s="18">
        <v>40</v>
      </c>
      <c r="F186" s="18">
        <v>40</v>
      </c>
      <c r="G186" s="18" t="s">
        <v>153</v>
      </c>
      <c r="H186" s="248">
        <f t="shared" si="63"/>
        <v>40</v>
      </c>
      <c r="I186" s="135"/>
      <c r="J186" s="18" t="s">
        <v>294</v>
      </c>
      <c r="K186" s="4">
        <f t="shared" si="69"/>
        <v>36.5</v>
      </c>
      <c r="L186" s="4">
        <v>37</v>
      </c>
      <c r="M186" s="4">
        <f t="shared" si="54"/>
        <v>0.5</v>
      </c>
      <c r="N186" s="5">
        <v>0.3</v>
      </c>
      <c r="O186" s="5">
        <f t="shared" si="68"/>
        <v>0.7</v>
      </c>
      <c r="P186" s="31">
        <f t="shared" si="55"/>
        <v>0.15</v>
      </c>
      <c r="Q186" s="31">
        <f t="shared" si="50"/>
        <v>0.15</v>
      </c>
      <c r="R186" s="31">
        <v>7.5</v>
      </c>
      <c r="S186" s="31">
        <v>20</v>
      </c>
      <c r="T186" s="31">
        <v>0.11</v>
      </c>
      <c r="U186" s="31">
        <v>0</v>
      </c>
      <c r="V186" s="65">
        <f t="shared" si="64"/>
        <v>0</v>
      </c>
      <c r="W186" s="31">
        <v>10</v>
      </c>
      <c r="X186" s="31"/>
      <c r="Y186" s="31">
        <f t="shared" si="70"/>
        <v>10</v>
      </c>
      <c r="Z186" s="31">
        <f t="shared" si="71"/>
        <v>11</v>
      </c>
      <c r="AA186" s="18">
        <v>0</v>
      </c>
      <c r="AB186" s="18" t="s">
        <v>100</v>
      </c>
      <c r="AC186" s="18" t="s">
        <v>333</v>
      </c>
      <c r="AD186" s="18" t="s">
        <v>337</v>
      </c>
      <c r="AE186" s="18">
        <v>20</v>
      </c>
      <c r="AF186" s="18">
        <v>7.5</v>
      </c>
      <c r="AG186" s="18" t="s">
        <v>32</v>
      </c>
      <c r="AH186" s="18" t="s">
        <v>32</v>
      </c>
      <c r="AI186" s="18" t="str">
        <f>+VLOOKUP(AH186,Leyenda!$O$4:$U$10,6,FALSE)</f>
        <v>0,15-0,25</v>
      </c>
      <c r="AJ186" s="18" t="str">
        <f>+VLOOKUP(AG186,Leyenda!$O$4:$U$10,7,FALSE)</f>
        <v>No Blasting need</v>
      </c>
      <c r="AK186" s="18">
        <f>+VLOOKUP(AJ186,Leyenda!$U$4:$V$10,2,FALSE)</f>
        <v>2</v>
      </c>
      <c r="AL186" s="18" t="s">
        <v>27</v>
      </c>
      <c r="AM186" s="18" t="str">
        <f t="shared" si="56"/>
        <v>R1</v>
      </c>
      <c r="AN186" s="18" t="s">
        <v>66</v>
      </c>
      <c r="AO186" s="18" t="s">
        <v>79</v>
      </c>
      <c r="AP186" s="18" t="s">
        <v>96</v>
      </c>
      <c r="AQ186" s="18" t="s">
        <v>107</v>
      </c>
      <c r="AR186" s="18" t="s">
        <v>120</v>
      </c>
      <c r="AS186" s="18" t="s">
        <v>198</v>
      </c>
      <c r="AT186" s="18" t="s">
        <v>240</v>
      </c>
      <c r="AU186" s="18"/>
      <c r="AV186" s="18">
        <f>+VLOOKUP(AN186,Leyenda!$B$30:$E$34,3,FALSE)</f>
        <v>1</v>
      </c>
      <c r="AW186" s="18">
        <f>+VLOOKUP('2. Logging Brejo Seco'!AO186,Meteorizacion,3,FALSE)</f>
        <v>1</v>
      </c>
      <c r="AX186" s="18">
        <f>+VLOOKUP('2. Logging Brejo Seco'!AP186,Apertura,3,FALSE)</f>
        <v>1</v>
      </c>
      <c r="AY186" s="18">
        <f>+VLOOKUP('2. Logging Brejo Seco'!AQ186,Leyenda!$B$55:$D$59,3,FALSE)</f>
        <v>3</v>
      </c>
      <c r="AZ186" s="18">
        <f>+VLOOKUP('2. Logging Brejo Seco'!AR186,Relleno,3,FALSE)</f>
        <v>2</v>
      </c>
      <c r="BA186" s="18">
        <f t="shared" si="65"/>
        <v>8</v>
      </c>
      <c r="BB186" s="49">
        <f t="shared" si="51"/>
        <v>0</v>
      </c>
      <c r="BC186" s="49">
        <f>VLOOKUP(AM186,Leyenda!$B$4:$D$10,3,FALSE)</f>
        <v>1</v>
      </c>
      <c r="BD186" s="50">
        <f t="shared" si="57"/>
        <v>3</v>
      </c>
      <c r="BE186" s="49">
        <f t="shared" si="58"/>
        <v>8</v>
      </c>
      <c r="BF186" s="49">
        <f>VLOOKUP(AS186,Leyenda!$B$70:$D$75,3,FALSE)</f>
        <v>15</v>
      </c>
      <c r="BG186" s="67">
        <f t="shared" si="52"/>
        <v>12</v>
      </c>
      <c r="BH186" s="67">
        <f>VLOOKUP(AM186,Leyenda!$B$4:$E$10,4,FALSE)</f>
        <v>1</v>
      </c>
      <c r="BI186" s="67">
        <f t="shared" si="59"/>
        <v>5</v>
      </c>
      <c r="BJ186" s="67">
        <f t="shared" si="53"/>
        <v>0</v>
      </c>
      <c r="BK186" s="67">
        <f>+VLOOKUP('2. Logging Brejo Seco'!AP186,Leyenda!$B$47:$E$51,4,FALSE)</f>
        <v>1</v>
      </c>
      <c r="BL186" s="67">
        <f>+VLOOKUP('2. Logging Brejo Seco'!AQ186,Leyenda!$B$55:$E$59,4,FALSE)</f>
        <v>3</v>
      </c>
      <c r="BM186" s="67">
        <f>+VLOOKUP('2. Logging Brejo Seco'!AR186,Leyenda!$B$63:$E$67,3,FALSE)</f>
        <v>2</v>
      </c>
      <c r="BN186" s="67">
        <f>+VLOOKUP('2. Logging Brejo Seco'!AO186,Leyenda!$B$39:$E$43,4,FALSE)</f>
        <v>1</v>
      </c>
      <c r="BO186" s="67">
        <f>+VLOOKUP('2. Logging Brejo Seco'!AN186,Leyenda!$B$30:$E$34,4,FALSE)</f>
        <v>1</v>
      </c>
      <c r="BP186" s="67">
        <f>VLOOKUP(AS186,Leyenda!$B$71:$E$75,4,FALSE)</f>
        <v>10</v>
      </c>
      <c r="BQ186" s="125">
        <f t="shared" si="60"/>
        <v>24</v>
      </c>
      <c r="BR186" s="85">
        <f t="shared" si="61"/>
        <v>27</v>
      </c>
      <c r="BS186" s="240">
        <f t="shared" si="62"/>
        <v>0.7</v>
      </c>
      <c r="BT186" s="18"/>
    </row>
    <row r="187" spans="1:72" x14ac:dyDescent="0.25">
      <c r="A187" s="18" t="s">
        <v>6</v>
      </c>
      <c r="B187" s="18">
        <v>2024</v>
      </c>
      <c r="C187" s="18" t="s">
        <v>138</v>
      </c>
      <c r="D187" s="18" t="s">
        <v>245</v>
      </c>
      <c r="E187" s="18">
        <v>40</v>
      </c>
      <c r="F187" s="18">
        <v>40</v>
      </c>
      <c r="G187" s="18" t="s">
        <v>153</v>
      </c>
      <c r="H187" s="248">
        <f t="shared" si="63"/>
        <v>40</v>
      </c>
      <c r="I187" s="135"/>
      <c r="J187" s="18" t="s">
        <v>294</v>
      </c>
      <c r="K187" s="4">
        <f t="shared" si="69"/>
        <v>37</v>
      </c>
      <c r="L187" s="4">
        <v>37.5</v>
      </c>
      <c r="M187" s="4">
        <f t="shared" si="54"/>
        <v>0.5</v>
      </c>
      <c r="N187" s="5">
        <v>0.28000000000000003</v>
      </c>
      <c r="O187" s="5">
        <f t="shared" si="68"/>
        <v>0.72</v>
      </c>
      <c r="P187" s="31">
        <f t="shared" si="55"/>
        <v>0.14000000000000001</v>
      </c>
      <c r="Q187" s="31">
        <f t="shared" si="50"/>
        <v>0.14000000000000001</v>
      </c>
      <c r="R187" s="31">
        <v>28</v>
      </c>
      <c r="S187" s="31">
        <v>5</v>
      </c>
      <c r="T187" s="31">
        <v>0.12</v>
      </c>
      <c r="U187" s="31">
        <v>0</v>
      </c>
      <c r="V187" s="65">
        <f t="shared" si="64"/>
        <v>0</v>
      </c>
      <c r="W187" s="31">
        <v>10</v>
      </c>
      <c r="X187" s="31"/>
      <c r="Y187" s="31">
        <f t="shared" si="70"/>
        <v>10</v>
      </c>
      <c r="Z187" s="31">
        <f t="shared" si="71"/>
        <v>12</v>
      </c>
      <c r="AA187" s="18">
        <v>0</v>
      </c>
      <c r="AB187" s="18" t="s">
        <v>100</v>
      </c>
      <c r="AC187" s="18" t="s">
        <v>118</v>
      </c>
      <c r="AD187" s="18" t="s">
        <v>337</v>
      </c>
      <c r="AE187" s="18">
        <v>5</v>
      </c>
      <c r="AF187" s="18">
        <v>28</v>
      </c>
      <c r="AG187" s="18" t="s">
        <v>32</v>
      </c>
      <c r="AH187" s="18" t="s">
        <v>32</v>
      </c>
      <c r="AI187" s="18" t="str">
        <f>+VLOOKUP(AH187,Leyenda!$O$4:$U$10,6,FALSE)</f>
        <v>0,15-0,25</v>
      </c>
      <c r="AJ187" s="18" t="str">
        <f>+VLOOKUP(AG187,Leyenda!$O$4:$U$10,7,FALSE)</f>
        <v>No Blasting need</v>
      </c>
      <c r="AK187" s="18">
        <f>+VLOOKUP(AJ187,Leyenda!$U$4:$V$10,2,FALSE)</f>
        <v>2</v>
      </c>
      <c r="AL187" s="18" t="s">
        <v>27</v>
      </c>
      <c r="AM187" s="18" t="str">
        <f t="shared" si="56"/>
        <v>R1</v>
      </c>
      <c r="AN187" s="18" t="s">
        <v>66</v>
      </c>
      <c r="AO187" s="18" t="s">
        <v>79</v>
      </c>
      <c r="AP187" s="18" t="s">
        <v>96</v>
      </c>
      <c r="AQ187" s="18" t="s">
        <v>107</v>
      </c>
      <c r="AR187" s="18" t="s">
        <v>120</v>
      </c>
      <c r="AS187" s="18" t="s">
        <v>198</v>
      </c>
      <c r="AT187" s="18" t="s">
        <v>240</v>
      </c>
      <c r="AU187" s="18"/>
      <c r="AV187" s="18">
        <f>+VLOOKUP(AN187,Leyenda!$B$30:$E$34,3,FALSE)</f>
        <v>1</v>
      </c>
      <c r="AW187" s="18">
        <f>+VLOOKUP('2. Logging Brejo Seco'!AO187,Meteorizacion,3,FALSE)</f>
        <v>1</v>
      </c>
      <c r="AX187" s="18">
        <f>+VLOOKUP('2. Logging Brejo Seco'!AP187,Apertura,3,FALSE)</f>
        <v>1</v>
      </c>
      <c r="AY187" s="18">
        <f>+VLOOKUP('2. Logging Brejo Seco'!AQ187,Leyenda!$B$55:$D$59,3,FALSE)</f>
        <v>3</v>
      </c>
      <c r="AZ187" s="18">
        <f>+VLOOKUP('2. Logging Brejo Seco'!AR187,Relleno,3,FALSE)</f>
        <v>2</v>
      </c>
      <c r="BA187" s="18">
        <f t="shared" si="65"/>
        <v>8</v>
      </c>
      <c r="BB187" s="49">
        <f t="shared" si="51"/>
        <v>0</v>
      </c>
      <c r="BC187" s="49">
        <f>VLOOKUP(AM187,Leyenda!$B$4:$D$10,3,FALSE)</f>
        <v>1</v>
      </c>
      <c r="BD187" s="50">
        <f t="shared" si="57"/>
        <v>4</v>
      </c>
      <c r="BE187" s="49">
        <f t="shared" si="58"/>
        <v>8</v>
      </c>
      <c r="BF187" s="49">
        <f>VLOOKUP(AS187,Leyenda!$B$70:$D$75,3,FALSE)</f>
        <v>15</v>
      </c>
      <c r="BG187" s="67">
        <f t="shared" si="52"/>
        <v>12</v>
      </c>
      <c r="BH187" s="67">
        <f>VLOOKUP(AM187,Leyenda!$B$4:$E$10,4,FALSE)</f>
        <v>1</v>
      </c>
      <c r="BI187" s="67">
        <f t="shared" si="59"/>
        <v>5</v>
      </c>
      <c r="BJ187" s="67">
        <f t="shared" si="53"/>
        <v>0</v>
      </c>
      <c r="BK187" s="67">
        <f>+VLOOKUP('2. Logging Brejo Seco'!AP187,Leyenda!$B$47:$E$51,4,FALSE)</f>
        <v>1</v>
      </c>
      <c r="BL187" s="67">
        <f>+VLOOKUP('2. Logging Brejo Seco'!AQ187,Leyenda!$B$55:$E$59,4,FALSE)</f>
        <v>3</v>
      </c>
      <c r="BM187" s="67">
        <f>+VLOOKUP('2. Logging Brejo Seco'!AR187,Leyenda!$B$63:$E$67,3,FALSE)</f>
        <v>2</v>
      </c>
      <c r="BN187" s="67">
        <f>+VLOOKUP('2. Logging Brejo Seco'!AO187,Leyenda!$B$39:$E$43,4,FALSE)</f>
        <v>1</v>
      </c>
      <c r="BO187" s="67">
        <f>+VLOOKUP('2. Logging Brejo Seco'!AN187,Leyenda!$B$30:$E$34,4,FALSE)</f>
        <v>1</v>
      </c>
      <c r="BP187" s="67">
        <f>VLOOKUP(AS187,Leyenda!$B$71:$E$75,4,FALSE)</f>
        <v>10</v>
      </c>
      <c r="BQ187" s="125">
        <f t="shared" si="60"/>
        <v>24</v>
      </c>
      <c r="BR187" s="85">
        <f t="shared" si="61"/>
        <v>28</v>
      </c>
      <c r="BS187" s="240">
        <f t="shared" si="62"/>
        <v>0.72</v>
      </c>
      <c r="BT187" s="18"/>
    </row>
    <row r="188" spans="1:72" x14ac:dyDescent="0.25">
      <c r="A188" s="18" t="s">
        <v>6</v>
      </c>
      <c r="B188" s="18">
        <v>2024</v>
      </c>
      <c r="C188" s="18" t="s">
        <v>138</v>
      </c>
      <c r="D188" s="18" t="s">
        <v>245</v>
      </c>
      <c r="E188" s="18">
        <v>40</v>
      </c>
      <c r="F188" s="18">
        <v>40</v>
      </c>
      <c r="G188" s="18" t="s">
        <v>153</v>
      </c>
      <c r="H188" s="248">
        <f t="shared" si="63"/>
        <v>40</v>
      </c>
      <c r="I188" s="135"/>
      <c r="J188" s="18" t="s">
        <v>294</v>
      </c>
      <c r="K188" s="4">
        <f t="shared" si="69"/>
        <v>37.5</v>
      </c>
      <c r="L188" s="4">
        <v>38</v>
      </c>
      <c r="M188" s="4">
        <f t="shared" si="54"/>
        <v>0.5</v>
      </c>
      <c r="N188" s="5">
        <v>0.54</v>
      </c>
      <c r="O188" s="5">
        <f t="shared" si="68"/>
        <v>0.45999999999999996</v>
      </c>
      <c r="P188" s="31">
        <f t="shared" si="55"/>
        <v>0.27</v>
      </c>
      <c r="Q188" s="31">
        <f t="shared" si="50"/>
        <v>0.27</v>
      </c>
      <c r="R188" s="31">
        <v>54</v>
      </c>
      <c r="S188" s="31">
        <v>5</v>
      </c>
      <c r="T188" s="31">
        <v>0.26</v>
      </c>
      <c r="U188" s="31">
        <v>0</v>
      </c>
      <c r="V188" s="65">
        <f t="shared" si="64"/>
        <v>0</v>
      </c>
      <c r="W188" s="31">
        <v>3</v>
      </c>
      <c r="X188" s="31"/>
      <c r="Y188" s="31">
        <f t="shared" si="70"/>
        <v>3</v>
      </c>
      <c r="Z188" s="31">
        <f t="shared" si="71"/>
        <v>86.666666666666671</v>
      </c>
      <c r="AA188" s="18">
        <v>0</v>
      </c>
      <c r="AB188" s="18" t="s">
        <v>100</v>
      </c>
      <c r="AC188" s="18" t="s">
        <v>118</v>
      </c>
      <c r="AD188" s="18" t="s">
        <v>337</v>
      </c>
      <c r="AE188" s="18">
        <v>5</v>
      </c>
      <c r="AF188" s="18">
        <v>54</v>
      </c>
      <c r="AG188" s="18" t="s">
        <v>29</v>
      </c>
      <c r="AH188" s="18" t="s">
        <v>29</v>
      </c>
      <c r="AI188" s="18" t="str">
        <f>+VLOOKUP(AH188,Leyenda!$O$4:$U$10,6,FALSE)</f>
        <v>0,25-0,35</v>
      </c>
      <c r="AJ188" s="18" t="str">
        <f>+VLOOKUP(AG188,Leyenda!$O$4:$U$10,7,FALSE)</f>
        <v>No Blasting need</v>
      </c>
      <c r="AK188" s="18">
        <f>+VLOOKUP(AJ188,Leyenda!$U$4:$V$10,2,FALSE)</f>
        <v>2</v>
      </c>
      <c r="AL188" s="18" t="s">
        <v>27</v>
      </c>
      <c r="AM188" s="18" t="str">
        <f t="shared" si="56"/>
        <v>R2</v>
      </c>
      <c r="AN188" s="18" t="s">
        <v>64</v>
      </c>
      <c r="AO188" s="18" t="s">
        <v>79</v>
      </c>
      <c r="AP188" s="18" t="s">
        <v>96</v>
      </c>
      <c r="AQ188" s="18" t="s">
        <v>109</v>
      </c>
      <c r="AR188" s="18" t="s">
        <v>120</v>
      </c>
      <c r="AS188" s="18" t="s">
        <v>198</v>
      </c>
      <c r="AT188" s="18" t="s">
        <v>241</v>
      </c>
      <c r="AU188" s="18"/>
      <c r="AV188" s="18">
        <f>+VLOOKUP(AN188,Leyenda!$B$30:$E$34,3,FALSE)</f>
        <v>2</v>
      </c>
      <c r="AW188" s="18">
        <f>+VLOOKUP('2. Logging Brejo Seco'!AO188,Meteorizacion,3,FALSE)</f>
        <v>1</v>
      </c>
      <c r="AX188" s="18">
        <f>+VLOOKUP('2. Logging Brejo Seco'!AP188,Apertura,3,FALSE)</f>
        <v>1</v>
      </c>
      <c r="AY188" s="18">
        <f>+VLOOKUP('2. Logging Brejo Seco'!AQ188,Leyenda!$B$55:$D$59,3,FALSE)</f>
        <v>1</v>
      </c>
      <c r="AZ188" s="18">
        <f>+VLOOKUP('2. Logging Brejo Seco'!AR188,Relleno,3,FALSE)</f>
        <v>2</v>
      </c>
      <c r="BA188" s="18">
        <f t="shared" si="65"/>
        <v>7</v>
      </c>
      <c r="BB188" s="49">
        <f t="shared" si="51"/>
        <v>0</v>
      </c>
      <c r="BC188" s="49">
        <f>VLOOKUP(AM188,Leyenda!$B$4:$D$10,3,FALSE)</f>
        <v>2</v>
      </c>
      <c r="BD188" s="50">
        <f t="shared" si="57"/>
        <v>7</v>
      </c>
      <c r="BE188" s="49">
        <f t="shared" si="58"/>
        <v>7</v>
      </c>
      <c r="BF188" s="49">
        <f>VLOOKUP(AS188,Leyenda!$B$70:$D$75,3,FALSE)</f>
        <v>15</v>
      </c>
      <c r="BG188" s="67">
        <f t="shared" si="52"/>
        <v>10.5</v>
      </c>
      <c r="BH188" s="67">
        <f>VLOOKUP(AM188,Leyenda!$B$4:$E$10,4,FALSE)</f>
        <v>2</v>
      </c>
      <c r="BI188" s="67">
        <f t="shared" si="59"/>
        <v>7</v>
      </c>
      <c r="BJ188" s="67">
        <f t="shared" si="53"/>
        <v>0</v>
      </c>
      <c r="BK188" s="67">
        <f>+VLOOKUP('2. Logging Brejo Seco'!AP188,Leyenda!$B$47:$E$51,4,FALSE)</f>
        <v>1</v>
      </c>
      <c r="BL188" s="67">
        <f>+VLOOKUP('2. Logging Brejo Seco'!AQ188,Leyenda!$B$55:$E$59,4,FALSE)</f>
        <v>1</v>
      </c>
      <c r="BM188" s="67">
        <f>+VLOOKUP('2. Logging Brejo Seco'!AR188,Leyenda!$B$63:$E$67,3,FALSE)</f>
        <v>2</v>
      </c>
      <c r="BN188" s="67">
        <f>+VLOOKUP('2. Logging Brejo Seco'!AO188,Leyenda!$B$39:$E$43,4,FALSE)</f>
        <v>1</v>
      </c>
      <c r="BO188" s="67">
        <f>+VLOOKUP('2. Logging Brejo Seco'!AN188,Leyenda!$B$30:$E$34,4,FALSE)</f>
        <v>3</v>
      </c>
      <c r="BP188" s="67">
        <f>VLOOKUP(AS188,Leyenda!$B$71:$E$75,4,FALSE)</f>
        <v>10</v>
      </c>
      <c r="BQ188" s="125">
        <f t="shared" si="60"/>
        <v>27</v>
      </c>
      <c r="BR188" s="85">
        <f t="shared" si="61"/>
        <v>31</v>
      </c>
      <c r="BS188" s="240">
        <f t="shared" si="62"/>
        <v>0.45999999999999996</v>
      </c>
      <c r="BT188" s="18"/>
    </row>
    <row r="189" spans="1:72" x14ac:dyDescent="0.25">
      <c r="A189" s="18" t="s">
        <v>6</v>
      </c>
      <c r="B189" s="18">
        <v>2024</v>
      </c>
      <c r="C189" s="18" t="s">
        <v>138</v>
      </c>
      <c r="D189" s="18" t="s">
        <v>245</v>
      </c>
      <c r="E189" s="18">
        <v>40</v>
      </c>
      <c r="F189" s="18">
        <v>40</v>
      </c>
      <c r="G189" s="18" t="s">
        <v>153</v>
      </c>
      <c r="H189" s="248">
        <f t="shared" si="63"/>
        <v>40</v>
      </c>
      <c r="I189" s="135"/>
      <c r="J189" s="18" t="s">
        <v>295</v>
      </c>
      <c r="K189" s="4">
        <f t="shared" si="69"/>
        <v>38</v>
      </c>
      <c r="L189" s="4">
        <v>38.5</v>
      </c>
      <c r="M189" s="4">
        <f t="shared" si="54"/>
        <v>0.5</v>
      </c>
      <c r="N189" s="5">
        <v>0.54</v>
      </c>
      <c r="O189" s="5">
        <f t="shared" si="68"/>
        <v>0.45999999999999996</v>
      </c>
      <c r="P189" s="31">
        <f t="shared" si="55"/>
        <v>0.27</v>
      </c>
      <c r="Q189" s="31">
        <f t="shared" si="50"/>
        <v>0.27</v>
      </c>
      <c r="R189" s="31">
        <v>270</v>
      </c>
      <c r="S189" s="31">
        <v>1</v>
      </c>
      <c r="T189" s="31">
        <v>0.26</v>
      </c>
      <c r="U189" s="31">
        <v>0</v>
      </c>
      <c r="V189" s="65">
        <f t="shared" si="64"/>
        <v>0</v>
      </c>
      <c r="W189" s="31">
        <v>10</v>
      </c>
      <c r="X189" s="31"/>
      <c r="Y189" s="31">
        <f t="shared" si="70"/>
        <v>10</v>
      </c>
      <c r="Z189" s="31">
        <f t="shared" si="71"/>
        <v>26</v>
      </c>
      <c r="AA189" s="18">
        <v>0</v>
      </c>
      <c r="AB189" s="18" t="s">
        <v>100</v>
      </c>
      <c r="AC189" s="18" t="s">
        <v>116</v>
      </c>
      <c r="AD189" s="18" t="s">
        <v>337</v>
      </c>
      <c r="AE189" s="18">
        <v>1</v>
      </c>
      <c r="AF189" s="18">
        <v>270</v>
      </c>
      <c r="AG189" s="18" t="s">
        <v>34</v>
      </c>
      <c r="AH189" s="18" t="s">
        <v>34</v>
      </c>
      <c r="AI189" s="18">
        <f>+VLOOKUP(AH189,Leyenda!$O$4:$U$10,6,FALSE)</f>
        <v>0</v>
      </c>
      <c r="AJ189" s="18" t="str">
        <f>+VLOOKUP(AG189,Leyenda!$O$4:$U$10,7,FALSE)</f>
        <v>No Blasting need</v>
      </c>
      <c r="AK189" s="18">
        <f>+VLOOKUP(AJ189,Leyenda!$U$4:$V$10,2,FALSE)</f>
        <v>2</v>
      </c>
      <c r="AL189" s="18" t="s">
        <v>228</v>
      </c>
      <c r="AM189" s="18" t="str">
        <f t="shared" si="56"/>
        <v>R0</v>
      </c>
      <c r="AN189" s="18" t="s">
        <v>66</v>
      </c>
      <c r="AO189" s="18" t="s">
        <v>81</v>
      </c>
      <c r="AP189" s="18" t="s">
        <v>100</v>
      </c>
      <c r="AQ189" s="18" t="s">
        <v>109</v>
      </c>
      <c r="AR189" s="18" t="s">
        <v>122</v>
      </c>
      <c r="AS189" s="18" t="s">
        <v>198</v>
      </c>
      <c r="AT189" s="18" t="s">
        <v>241</v>
      </c>
      <c r="AU189" s="18"/>
      <c r="AV189" s="18">
        <f>+VLOOKUP(AN189,Leyenda!$B$30:$E$34,3,FALSE)</f>
        <v>1</v>
      </c>
      <c r="AW189" s="18">
        <f>+VLOOKUP('2. Logging Brejo Seco'!AO189,Meteorizacion,3,FALSE)</f>
        <v>0</v>
      </c>
      <c r="AX189" s="18">
        <f>+VLOOKUP('2. Logging Brejo Seco'!AP189,Apertura,3,FALSE)</f>
        <v>0</v>
      </c>
      <c r="AY189" s="18">
        <f>+VLOOKUP('2. Logging Brejo Seco'!AQ189,Leyenda!$B$55:$D$59,3,FALSE)</f>
        <v>1</v>
      </c>
      <c r="AZ189" s="18">
        <f>+VLOOKUP('2. Logging Brejo Seco'!AR189,Relleno,3,FALSE)</f>
        <v>0</v>
      </c>
      <c r="BA189" s="18">
        <f t="shared" si="65"/>
        <v>2</v>
      </c>
      <c r="BB189" s="49">
        <f t="shared" si="51"/>
        <v>0</v>
      </c>
      <c r="BC189" s="49">
        <f>VLOOKUP(AM189,Leyenda!$B$4:$D$10,3,FALSE)</f>
        <v>0</v>
      </c>
      <c r="BD189" s="50">
        <f t="shared" si="57"/>
        <v>5</v>
      </c>
      <c r="BE189" s="49">
        <f t="shared" si="58"/>
        <v>2</v>
      </c>
      <c r="BF189" s="49">
        <f>VLOOKUP(AS189,Leyenda!$B$70:$D$75,3,FALSE)</f>
        <v>15</v>
      </c>
      <c r="BG189" s="67">
        <f t="shared" si="52"/>
        <v>3</v>
      </c>
      <c r="BH189" s="67">
        <f>VLOOKUP(AM189,Leyenda!$B$4:$E$10,4,FALSE)</f>
        <v>0</v>
      </c>
      <c r="BI189" s="67">
        <f t="shared" si="59"/>
        <v>5</v>
      </c>
      <c r="BJ189" s="67">
        <f t="shared" si="53"/>
        <v>0</v>
      </c>
      <c r="BK189" s="67">
        <f>+VLOOKUP('2. Logging Brejo Seco'!AP189,Leyenda!$B$47:$E$51,4,FALSE)</f>
        <v>0</v>
      </c>
      <c r="BL189" s="67">
        <f>+VLOOKUP('2. Logging Brejo Seco'!AQ189,Leyenda!$B$55:$E$59,4,FALSE)</f>
        <v>1</v>
      </c>
      <c r="BM189" s="67">
        <f>+VLOOKUP('2. Logging Brejo Seco'!AR189,Leyenda!$B$63:$E$67,3,FALSE)</f>
        <v>0</v>
      </c>
      <c r="BN189" s="67">
        <f>+VLOOKUP('2. Logging Brejo Seco'!AO189,Leyenda!$B$39:$E$43,4,FALSE)</f>
        <v>0</v>
      </c>
      <c r="BO189" s="67">
        <f>+VLOOKUP('2. Logging Brejo Seco'!AN189,Leyenda!$B$30:$E$34,4,FALSE)</f>
        <v>1</v>
      </c>
      <c r="BP189" s="67">
        <f>VLOOKUP(AS189,Leyenda!$B$71:$E$75,4,FALSE)</f>
        <v>10</v>
      </c>
      <c r="BQ189" s="125">
        <f t="shared" si="60"/>
        <v>17</v>
      </c>
      <c r="BR189" s="85">
        <f t="shared" si="61"/>
        <v>22</v>
      </c>
      <c r="BS189" s="240">
        <f t="shared" si="62"/>
        <v>0.45999999999999996</v>
      </c>
      <c r="BT189" s="18"/>
    </row>
    <row r="190" spans="1:72" x14ac:dyDescent="0.25">
      <c r="A190" s="18" t="s">
        <v>6</v>
      </c>
      <c r="B190" s="18">
        <v>2024</v>
      </c>
      <c r="C190" s="18" t="s">
        <v>138</v>
      </c>
      <c r="D190" s="18" t="s">
        <v>245</v>
      </c>
      <c r="E190" s="18">
        <v>40</v>
      </c>
      <c r="F190" s="18">
        <v>40</v>
      </c>
      <c r="G190" s="18" t="s">
        <v>153</v>
      </c>
      <c r="H190" s="248">
        <f t="shared" si="63"/>
        <v>40</v>
      </c>
      <c r="I190" s="135"/>
      <c r="J190" s="18" t="s">
        <v>295</v>
      </c>
      <c r="K190" s="4">
        <f t="shared" si="69"/>
        <v>38.5</v>
      </c>
      <c r="L190" s="4">
        <v>39</v>
      </c>
      <c r="M190" s="4">
        <f t="shared" si="54"/>
        <v>0.5</v>
      </c>
      <c r="N190" s="5">
        <v>0.38</v>
      </c>
      <c r="O190" s="5">
        <f t="shared" si="68"/>
        <v>0.62</v>
      </c>
      <c r="P190" s="31">
        <f t="shared" si="55"/>
        <v>0.19</v>
      </c>
      <c r="Q190" s="31">
        <f t="shared" si="50"/>
        <v>0.19</v>
      </c>
      <c r="R190" s="31">
        <v>38</v>
      </c>
      <c r="S190" s="31">
        <v>5</v>
      </c>
      <c r="T190" s="31">
        <v>0.16</v>
      </c>
      <c r="U190" s="31">
        <v>0</v>
      </c>
      <c r="V190" s="65">
        <f t="shared" si="64"/>
        <v>0</v>
      </c>
      <c r="W190" s="31">
        <v>15</v>
      </c>
      <c r="X190" s="31"/>
      <c r="Y190" s="31">
        <f t="shared" si="70"/>
        <v>15</v>
      </c>
      <c r="Z190" s="31">
        <f t="shared" si="71"/>
        <v>10.666666666666666</v>
      </c>
      <c r="AA190" s="18">
        <v>0</v>
      </c>
      <c r="AB190" s="18" t="s">
        <v>330</v>
      </c>
      <c r="AC190" s="18" t="s">
        <v>118</v>
      </c>
      <c r="AD190" s="18" t="s">
        <v>334</v>
      </c>
      <c r="AE190" s="18">
        <v>5</v>
      </c>
      <c r="AF190" s="18">
        <v>38</v>
      </c>
      <c r="AG190" s="18" t="s">
        <v>29</v>
      </c>
      <c r="AH190" s="18" t="s">
        <v>29</v>
      </c>
      <c r="AI190" s="18" t="str">
        <f>+VLOOKUP(AH190,Leyenda!$O$4:$U$10,6,FALSE)</f>
        <v>0,25-0,35</v>
      </c>
      <c r="AJ190" s="18" t="str">
        <f>+VLOOKUP(AG190,Leyenda!$O$4:$U$10,7,FALSE)</f>
        <v>No Blasting need</v>
      </c>
      <c r="AK190" s="18">
        <f>+VLOOKUP(AJ190,Leyenda!$U$4:$V$10,2,FALSE)</f>
        <v>2</v>
      </c>
      <c r="AL190" s="18" t="s">
        <v>228</v>
      </c>
      <c r="AM190" s="18" t="str">
        <f t="shared" si="56"/>
        <v>R2</v>
      </c>
      <c r="AN190" s="18" t="s">
        <v>66</v>
      </c>
      <c r="AO190" s="18" t="s">
        <v>81</v>
      </c>
      <c r="AP190" s="18" t="s">
        <v>100</v>
      </c>
      <c r="AQ190" s="18" t="s">
        <v>109</v>
      </c>
      <c r="AR190" s="18" t="s">
        <v>122</v>
      </c>
      <c r="AS190" s="18" t="s">
        <v>198</v>
      </c>
      <c r="AT190" s="18" t="s">
        <v>241</v>
      </c>
      <c r="AU190" s="18"/>
      <c r="AV190" s="18">
        <f>+VLOOKUP(AN190,Leyenda!$B$30:$E$34,3,FALSE)</f>
        <v>1</v>
      </c>
      <c r="AW190" s="18">
        <f>+VLOOKUP('2. Logging Brejo Seco'!AO190,Meteorizacion,3,FALSE)</f>
        <v>0</v>
      </c>
      <c r="AX190" s="18">
        <f>+VLOOKUP('2. Logging Brejo Seco'!AP190,Apertura,3,FALSE)</f>
        <v>0</v>
      </c>
      <c r="AY190" s="18">
        <f>+VLOOKUP('2. Logging Brejo Seco'!AQ190,Leyenda!$B$55:$D$59,3,FALSE)</f>
        <v>1</v>
      </c>
      <c r="AZ190" s="18">
        <f>+VLOOKUP('2. Logging Brejo Seco'!AR190,Relleno,3,FALSE)</f>
        <v>0</v>
      </c>
      <c r="BA190" s="18">
        <f t="shared" si="65"/>
        <v>2</v>
      </c>
      <c r="BB190" s="49">
        <f t="shared" si="51"/>
        <v>0</v>
      </c>
      <c r="BC190" s="49">
        <f>VLOOKUP(AM190,Leyenda!$B$4:$D$10,3,FALSE)</f>
        <v>2</v>
      </c>
      <c r="BD190" s="50">
        <f t="shared" si="57"/>
        <v>3</v>
      </c>
      <c r="BE190" s="49">
        <f t="shared" si="58"/>
        <v>2</v>
      </c>
      <c r="BF190" s="49">
        <f>VLOOKUP(AS190,Leyenda!$B$70:$D$75,3,FALSE)</f>
        <v>15</v>
      </c>
      <c r="BG190" s="67">
        <f t="shared" si="52"/>
        <v>3</v>
      </c>
      <c r="BH190" s="67">
        <f>VLOOKUP(AM190,Leyenda!$B$4:$E$10,4,FALSE)</f>
        <v>2</v>
      </c>
      <c r="BI190" s="67">
        <f t="shared" si="59"/>
        <v>5</v>
      </c>
      <c r="BJ190" s="67">
        <f t="shared" si="53"/>
        <v>0</v>
      </c>
      <c r="BK190" s="67">
        <f>+VLOOKUP('2. Logging Brejo Seco'!AP190,Leyenda!$B$47:$E$51,4,FALSE)</f>
        <v>0</v>
      </c>
      <c r="BL190" s="67">
        <f>+VLOOKUP('2. Logging Brejo Seco'!AQ190,Leyenda!$B$55:$E$59,4,FALSE)</f>
        <v>1</v>
      </c>
      <c r="BM190" s="67">
        <f>+VLOOKUP('2. Logging Brejo Seco'!AR190,Leyenda!$B$63:$E$67,3,FALSE)</f>
        <v>0</v>
      </c>
      <c r="BN190" s="67">
        <f>+VLOOKUP('2. Logging Brejo Seco'!AO190,Leyenda!$B$39:$E$43,4,FALSE)</f>
        <v>0</v>
      </c>
      <c r="BO190" s="67">
        <f>+VLOOKUP('2. Logging Brejo Seco'!AN190,Leyenda!$B$30:$E$34,4,FALSE)</f>
        <v>1</v>
      </c>
      <c r="BP190" s="67">
        <f>VLOOKUP(AS190,Leyenda!$B$71:$E$75,4,FALSE)</f>
        <v>10</v>
      </c>
      <c r="BQ190" s="125">
        <f t="shared" si="60"/>
        <v>19</v>
      </c>
      <c r="BR190" s="85">
        <f t="shared" si="61"/>
        <v>22</v>
      </c>
      <c r="BS190" s="240">
        <f t="shared" si="62"/>
        <v>0.62</v>
      </c>
      <c r="BT190" s="18"/>
    </row>
    <row r="191" spans="1:72" x14ac:dyDescent="0.25">
      <c r="A191" s="18" t="s">
        <v>6</v>
      </c>
      <c r="B191" s="18">
        <v>2024</v>
      </c>
      <c r="C191" s="18" t="s">
        <v>138</v>
      </c>
      <c r="D191" s="18" t="s">
        <v>245</v>
      </c>
      <c r="E191" s="18">
        <v>40</v>
      </c>
      <c r="F191" s="18">
        <v>40</v>
      </c>
      <c r="G191" s="18" t="s">
        <v>153</v>
      </c>
      <c r="H191" s="248">
        <f t="shared" si="63"/>
        <v>40</v>
      </c>
      <c r="I191" s="135"/>
      <c r="J191" s="18" t="s">
        <v>295</v>
      </c>
      <c r="K191" s="4">
        <f t="shared" si="69"/>
        <v>39</v>
      </c>
      <c r="L191" s="4">
        <v>39.5</v>
      </c>
      <c r="M191" s="4">
        <f t="shared" si="54"/>
        <v>0.5</v>
      </c>
      <c r="N191" s="5">
        <v>0.4</v>
      </c>
      <c r="O191" s="5">
        <f t="shared" si="68"/>
        <v>0.6</v>
      </c>
      <c r="P191" s="31">
        <f t="shared" si="55"/>
        <v>0.2</v>
      </c>
      <c r="Q191" s="31">
        <f t="shared" si="50"/>
        <v>0.2</v>
      </c>
      <c r="R191" s="31">
        <v>200</v>
      </c>
      <c r="S191" s="31">
        <v>1</v>
      </c>
      <c r="T191" s="31">
        <v>0.18</v>
      </c>
      <c r="U191" s="31">
        <v>0</v>
      </c>
      <c r="V191" s="65">
        <f t="shared" si="64"/>
        <v>0</v>
      </c>
      <c r="W191" s="31">
        <v>15</v>
      </c>
      <c r="X191" s="31"/>
      <c r="Y191" s="31">
        <f t="shared" si="70"/>
        <v>15</v>
      </c>
      <c r="Z191" s="31">
        <f t="shared" si="71"/>
        <v>12</v>
      </c>
      <c r="AA191" s="18">
        <v>0</v>
      </c>
      <c r="AB191" s="18" t="s">
        <v>330</v>
      </c>
      <c r="AC191" s="18" t="s">
        <v>116</v>
      </c>
      <c r="AD191" s="18" t="s">
        <v>334</v>
      </c>
      <c r="AE191" s="18">
        <v>1</v>
      </c>
      <c r="AF191" s="18">
        <v>200</v>
      </c>
      <c r="AG191" s="18" t="s">
        <v>29</v>
      </c>
      <c r="AH191" s="18" t="s">
        <v>29</v>
      </c>
      <c r="AI191" s="18" t="str">
        <f>+VLOOKUP(AH191,Leyenda!$O$4:$U$10,6,FALSE)</f>
        <v>0,25-0,35</v>
      </c>
      <c r="AJ191" s="18" t="str">
        <f>+VLOOKUP(AG191,Leyenda!$O$4:$U$10,7,FALSE)</f>
        <v>No Blasting need</v>
      </c>
      <c r="AK191" s="18">
        <f>+VLOOKUP(AJ191,Leyenda!$U$4:$V$10,2,FALSE)</f>
        <v>2</v>
      </c>
      <c r="AL191" s="18" t="s">
        <v>228</v>
      </c>
      <c r="AM191" s="18" t="str">
        <f t="shared" si="56"/>
        <v>R2</v>
      </c>
      <c r="AN191" s="18" t="s">
        <v>66</v>
      </c>
      <c r="AO191" s="18" t="s">
        <v>81</v>
      </c>
      <c r="AP191" s="18" t="s">
        <v>100</v>
      </c>
      <c r="AQ191" s="18" t="s">
        <v>109</v>
      </c>
      <c r="AR191" s="18" t="s">
        <v>122</v>
      </c>
      <c r="AS191" s="18" t="s">
        <v>198</v>
      </c>
      <c r="AT191" s="18" t="s">
        <v>241</v>
      </c>
      <c r="AU191" s="18"/>
      <c r="AV191" s="18">
        <f>+VLOOKUP(AN191,Leyenda!$B$30:$E$34,3,FALSE)</f>
        <v>1</v>
      </c>
      <c r="AW191" s="18">
        <f>+VLOOKUP('2. Logging Brejo Seco'!AO191,Meteorizacion,3,FALSE)</f>
        <v>0</v>
      </c>
      <c r="AX191" s="18">
        <f>+VLOOKUP('2. Logging Brejo Seco'!AP191,Apertura,3,FALSE)</f>
        <v>0</v>
      </c>
      <c r="AY191" s="18">
        <f>+VLOOKUP('2. Logging Brejo Seco'!AQ191,Leyenda!$B$55:$D$59,3,FALSE)</f>
        <v>1</v>
      </c>
      <c r="AZ191" s="18">
        <f>+VLOOKUP('2. Logging Brejo Seco'!AR191,Relleno,3,FALSE)</f>
        <v>0</v>
      </c>
      <c r="BA191" s="18">
        <f t="shared" si="65"/>
        <v>2</v>
      </c>
      <c r="BB191" s="49">
        <f t="shared" si="51"/>
        <v>0</v>
      </c>
      <c r="BC191" s="49">
        <f>VLOOKUP(AM191,Leyenda!$B$4:$D$10,3,FALSE)</f>
        <v>2</v>
      </c>
      <c r="BD191" s="50">
        <f t="shared" si="57"/>
        <v>4</v>
      </c>
      <c r="BE191" s="49">
        <f t="shared" si="58"/>
        <v>2</v>
      </c>
      <c r="BF191" s="49">
        <f>VLOOKUP(AS191,Leyenda!$B$70:$D$75,3,FALSE)</f>
        <v>15</v>
      </c>
      <c r="BG191" s="67">
        <f t="shared" si="52"/>
        <v>3</v>
      </c>
      <c r="BH191" s="67">
        <f>VLOOKUP(AM191,Leyenda!$B$4:$E$10,4,FALSE)</f>
        <v>2</v>
      </c>
      <c r="BI191" s="67">
        <f t="shared" si="59"/>
        <v>5</v>
      </c>
      <c r="BJ191" s="67">
        <f t="shared" si="53"/>
        <v>0</v>
      </c>
      <c r="BK191" s="67">
        <f>+VLOOKUP('2. Logging Brejo Seco'!AP191,Leyenda!$B$47:$E$51,4,FALSE)</f>
        <v>0</v>
      </c>
      <c r="BL191" s="67">
        <f>+VLOOKUP('2. Logging Brejo Seco'!AQ191,Leyenda!$B$55:$E$59,4,FALSE)</f>
        <v>1</v>
      </c>
      <c r="BM191" s="67">
        <f>+VLOOKUP('2. Logging Brejo Seco'!AR191,Leyenda!$B$63:$E$67,3,FALSE)</f>
        <v>0</v>
      </c>
      <c r="BN191" s="67">
        <f>+VLOOKUP('2. Logging Brejo Seco'!AO191,Leyenda!$B$39:$E$43,4,FALSE)</f>
        <v>0</v>
      </c>
      <c r="BO191" s="67">
        <f>+VLOOKUP('2. Logging Brejo Seco'!AN191,Leyenda!$B$30:$E$34,4,FALSE)</f>
        <v>1</v>
      </c>
      <c r="BP191" s="67">
        <f>VLOOKUP(AS191,Leyenda!$B$71:$E$75,4,FALSE)</f>
        <v>10</v>
      </c>
      <c r="BQ191" s="125">
        <f t="shared" si="60"/>
        <v>19</v>
      </c>
      <c r="BR191" s="85">
        <f t="shared" si="61"/>
        <v>23</v>
      </c>
      <c r="BS191" s="240">
        <f t="shared" si="62"/>
        <v>0.6</v>
      </c>
      <c r="BT191" s="18"/>
    </row>
    <row r="192" spans="1:72" x14ac:dyDescent="0.25">
      <c r="A192" s="18" t="s">
        <v>6</v>
      </c>
      <c r="B192" s="18">
        <v>2024</v>
      </c>
      <c r="C192" s="18" t="s">
        <v>138</v>
      </c>
      <c r="D192" s="18" t="s">
        <v>245</v>
      </c>
      <c r="E192" s="18">
        <v>40</v>
      </c>
      <c r="F192" s="18">
        <v>40</v>
      </c>
      <c r="G192" s="18" t="s">
        <v>153</v>
      </c>
      <c r="H192" s="248">
        <f t="shared" si="63"/>
        <v>40</v>
      </c>
      <c r="I192" s="135"/>
      <c r="J192" s="18" t="s">
        <v>296</v>
      </c>
      <c r="K192" s="4">
        <f t="shared" si="69"/>
        <v>39.5</v>
      </c>
      <c r="L192" s="4">
        <v>40</v>
      </c>
      <c r="M192" s="4">
        <f t="shared" si="54"/>
        <v>0.5</v>
      </c>
      <c r="N192" s="5">
        <v>0.66</v>
      </c>
      <c r="O192" s="5">
        <f t="shared" si="68"/>
        <v>0.33999999999999997</v>
      </c>
      <c r="P192" s="31">
        <f t="shared" si="55"/>
        <v>0.33</v>
      </c>
      <c r="Q192" s="31">
        <f t="shared" si="50"/>
        <v>0.33</v>
      </c>
      <c r="R192" s="31">
        <v>66</v>
      </c>
      <c r="S192" s="31">
        <v>5</v>
      </c>
      <c r="T192" s="31">
        <v>0.32</v>
      </c>
      <c r="U192" s="31">
        <v>0</v>
      </c>
      <c r="V192" s="65">
        <f t="shared" si="64"/>
        <v>0</v>
      </c>
      <c r="W192" s="31">
        <v>7</v>
      </c>
      <c r="X192" s="31"/>
      <c r="Y192" s="31">
        <f t="shared" si="70"/>
        <v>7</v>
      </c>
      <c r="Z192" s="31">
        <f t="shared" si="71"/>
        <v>45.714285714285715</v>
      </c>
      <c r="AA192" s="18">
        <v>0</v>
      </c>
      <c r="AB192" s="18" t="s">
        <v>330</v>
      </c>
      <c r="AC192" s="18" t="s">
        <v>118</v>
      </c>
      <c r="AD192" s="18" t="s">
        <v>334</v>
      </c>
      <c r="AE192" s="18">
        <v>5</v>
      </c>
      <c r="AF192" s="18">
        <v>66</v>
      </c>
      <c r="AG192" s="18" t="s">
        <v>29</v>
      </c>
      <c r="AH192" s="18" t="s">
        <v>29</v>
      </c>
      <c r="AI192" s="18" t="str">
        <f>+VLOOKUP(AH192,Leyenda!$O$4:$U$10,6,FALSE)</f>
        <v>0,25-0,35</v>
      </c>
      <c r="AJ192" s="18" t="str">
        <f>+VLOOKUP(AG192,Leyenda!$O$4:$U$10,7,FALSE)</f>
        <v>No Blasting need</v>
      </c>
      <c r="AK192" s="18">
        <f>+VLOOKUP(AJ192,Leyenda!$U$4:$V$10,2,FALSE)</f>
        <v>2</v>
      </c>
      <c r="AL192" s="18" t="s">
        <v>199</v>
      </c>
      <c r="AM192" s="18" t="str">
        <f t="shared" si="56"/>
        <v>R2</v>
      </c>
      <c r="AN192" s="18" t="s">
        <v>66</v>
      </c>
      <c r="AO192" s="18" t="s">
        <v>79</v>
      </c>
      <c r="AP192" s="18" t="s">
        <v>96</v>
      </c>
      <c r="AQ192" s="18" t="s">
        <v>107</v>
      </c>
      <c r="AR192" s="18" t="s">
        <v>120</v>
      </c>
      <c r="AS192" s="18" t="s">
        <v>198</v>
      </c>
      <c r="AT192" s="18" t="s">
        <v>240</v>
      </c>
      <c r="AU192" s="18"/>
      <c r="AV192" s="18">
        <f>+VLOOKUP(AN192,Leyenda!$B$30:$E$34,3,FALSE)</f>
        <v>1</v>
      </c>
      <c r="AW192" s="18">
        <f>+VLOOKUP('2. Logging Brejo Seco'!AO192,Meteorizacion,3,FALSE)</f>
        <v>1</v>
      </c>
      <c r="AX192" s="18">
        <f>+VLOOKUP('2. Logging Brejo Seco'!AP192,Apertura,3,FALSE)</f>
        <v>1</v>
      </c>
      <c r="AY192" s="18">
        <f>+VLOOKUP('2. Logging Brejo Seco'!AQ192,Leyenda!$B$55:$D$59,3,FALSE)</f>
        <v>3</v>
      </c>
      <c r="AZ192" s="18">
        <f>+VLOOKUP('2. Logging Brejo Seco'!AR192,Relleno,3,FALSE)</f>
        <v>2</v>
      </c>
      <c r="BA192" s="18">
        <f t="shared" si="65"/>
        <v>8</v>
      </c>
      <c r="BB192" s="49">
        <f t="shared" si="51"/>
        <v>0</v>
      </c>
      <c r="BC192" s="49">
        <f>VLOOKUP(AM192,Leyenda!$B$4:$D$10,3,FALSE)</f>
        <v>2</v>
      </c>
      <c r="BD192" s="50">
        <f t="shared" si="57"/>
        <v>6</v>
      </c>
      <c r="BE192" s="49">
        <f t="shared" si="58"/>
        <v>8</v>
      </c>
      <c r="BF192" s="49">
        <f>VLOOKUP(AS192,Leyenda!$B$70:$D$75,3,FALSE)</f>
        <v>15</v>
      </c>
      <c r="BG192" s="67">
        <f t="shared" si="52"/>
        <v>12</v>
      </c>
      <c r="BH192" s="67">
        <f>VLOOKUP(AM192,Leyenda!$B$4:$E$10,4,FALSE)</f>
        <v>2</v>
      </c>
      <c r="BI192" s="67">
        <f t="shared" si="59"/>
        <v>5</v>
      </c>
      <c r="BJ192" s="67">
        <f t="shared" si="53"/>
        <v>0</v>
      </c>
      <c r="BK192" s="67">
        <f>+VLOOKUP('2. Logging Brejo Seco'!AP192,Leyenda!$B$47:$E$51,4,FALSE)</f>
        <v>1</v>
      </c>
      <c r="BL192" s="67">
        <f>+VLOOKUP('2. Logging Brejo Seco'!AQ192,Leyenda!$B$55:$E$59,4,FALSE)</f>
        <v>3</v>
      </c>
      <c r="BM192" s="67">
        <f>+VLOOKUP('2. Logging Brejo Seco'!AR192,Leyenda!$B$63:$E$67,3,FALSE)</f>
        <v>2</v>
      </c>
      <c r="BN192" s="67">
        <f>+VLOOKUP('2. Logging Brejo Seco'!AO192,Leyenda!$B$39:$E$43,4,FALSE)</f>
        <v>1</v>
      </c>
      <c r="BO192" s="67">
        <f>+VLOOKUP('2. Logging Brejo Seco'!AN192,Leyenda!$B$30:$E$34,4,FALSE)</f>
        <v>1</v>
      </c>
      <c r="BP192" s="67">
        <f>VLOOKUP(AS192,Leyenda!$B$71:$E$75,4,FALSE)</f>
        <v>10</v>
      </c>
      <c r="BQ192" s="125">
        <f t="shared" si="60"/>
        <v>25</v>
      </c>
      <c r="BR192" s="85">
        <f t="shared" si="61"/>
        <v>31</v>
      </c>
      <c r="BS192" s="240">
        <f t="shared" si="62"/>
        <v>0.33999999999999997</v>
      </c>
      <c r="BT192" s="18"/>
    </row>
    <row r="193" spans="1:72" x14ac:dyDescent="0.25">
      <c r="A193" s="18" t="s">
        <v>6</v>
      </c>
      <c r="B193" s="18">
        <v>2024</v>
      </c>
      <c r="C193" s="18" t="s">
        <v>138</v>
      </c>
      <c r="D193" s="18" t="s">
        <v>245</v>
      </c>
      <c r="E193" s="18">
        <v>40</v>
      </c>
      <c r="F193" s="18">
        <v>40</v>
      </c>
      <c r="G193" s="18" t="s">
        <v>153</v>
      </c>
      <c r="H193" s="248">
        <f t="shared" si="63"/>
        <v>40</v>
      </c>
      <c r="I193" s="135"/>
      <c r="J193" s="18" t="s">
        <v>296</v>
      </c>
      <c r="K193" s="4">
        <f t="shared" si="69"/>
        <v>40</v>
      </c>
      <c r="L193" s="4">
        <v>40.5</v>
      </c>
      <c r="M193" s="4">
        <f t="shared" si="54"/>
        <v>0.5</v>
      </c>
      <c r="N193" s="5">
        <v>0.4</v>
      </c>
      <c r="O193" s="5">
        <f t="shared" si="68"/>
        <v>0.6</v>
      </c>
      <c r="P193" s="31">
        <f t="shared" si="55"/>
        <v>0.2</v>
      </c>
      <c r="Q193" s="31">
        <f t="shared" si="50"/>
        <v>0.2</v>
      </c>
      <c r="R193" s="31">
        <v>200</v>
      </c>
      <c r="S193" s="31">
        <v>1</v>
      </c>
      <c r="T193" s="31">
        <v>0.16</v>
      </c>
      <c r="U193" s="31">
        <v>0</v>
      </c>
      <c r="V193" s="65">
        <f t="shared" si="64"/>
        <v>0</v>
      </c>
      <c r="W193" s="31">
        <v>8</v>
      </c>
      <c r="X193" s="31"/>
      <c r="Y193" s="31">
        <f t="shared" si="70"/>
        <v>8</v>
      </c>
      <c r="Z193" s="31">
        <f t="shared" si="71"/>
        <v>20</v>
      </c>
      <c r="AA193" s="18">
        <v>0</v>
      </c>
      <c r="AB193" s="18" t="s">
        <v>330</v>
      </c>
      <c r="AC193" s="18" t="s">
        <v>116</v>
      </c>
      <c r="AD193" s="18" t="s">
        <v>334</v>
      </c>
      <c r="AE193" s="18">
        <v>1</v>
      </c>
      <c r="AF193" s="18">
        <v>200</v>
      </c>
      <c r="AG193" s="18" t="s">
        <v>29</v>
      </c>
      <c r="AH193" s="18" t="s">
        <v>29</v>
      </c>
      <c r="AI193" s="18" t="str">
        <f>+VLOOKUP(AH193,Leyenda!$O$4:$U$10,6,FALSE)</f>
        <v>0,25-0,35</v>
      </c>
      <c r="AJ193" s="18" t="str">
        <f>+VLOOKUP(AG193,Leyenda!$O$4:$U$10,7,FALSE)</f>
        <v>No Blasting need</v>
      </c>
      <c r="AK193" s="18">
        <f>+VLOOKUP(AJ193,Leyenda!$U$4:$V$10,2,FALSE)</f>
        <v>2</v>
      </c>
      <c r="AL193" s="18" t="s">
        <v>199</v>
      </c>
      <c r="AM193" s="18" t="str">
        <f t="shared" si="56"/>
        <v>R2</v>
      </c>
      <c r="AN193" s="18" t="s">
        <v>66</v>
      </c>
      <c r="AO193" s="18" t="s">
        <v>79</v>
      </c>
      <c r="AP193" s="18" t="s">
        <v>96</v>
      </c>
      <c r="AQ193" s="18" t="s">
        <v>107</v>
      </c>
      <c r="AR193" s="18" t="s">
        <v>120</v>
      </c>
      <c r="AS193" s="18" t="s">
        <v>198</v>
      </c>
      <c r="AT193" s="18" t="s">
        <v>240</v>
      </c>
      <c r="AU193" s="18"/>
      <c r="AV193" s="18">
        <f>+VLOOKUP(AN193,Leyenda!$B$30:$E$34,3,FALSE)</f>
        <v>1</v>
      </c>
      <c r="AW193" s="18">
        <f>+VLOOKUP('2. Logging Brejo Seco'!AO193,Meteorizacion,3,FALSE)</f>
        <v>1</v>
      </c>
      <c r="AX193" s="18">
        <f>+VLOOKUP('2. Logging Brejo Seco'!AP193,Apertura,3,FALSE)</f>
        <v>1</v>
      </c>
      <c r="AY193" s="18">
        <f>+VLOOKUP('2. Logging Brejo Seco'!AQ193,Leyenda!$B$55:$D$59,3,FALSE)</f>
        <v>3</v>
      </c>
      <c r="AZ193" s="18">
        <f>+VLOOKUP('2. Logging Brejo Seco'!AR193,Relleno,3,FALSE)</f>
        <v>2</v>
      </c>
      <c r="BA193" s="18">
        <f t="shared" si="65"/>
        <v>8</v>
      </c>
      <c r="BB193" s="49">
        <f t="shared" si="51"/>
        <v>0</v>
      </c>
      <c r="BC193" s="49">
        <f>VLOOKUP(AM193,Leyenda!$B$4:$D$10,3,FALSE)</f>
        <v>2</v>
      </c>
      <c r="BD193" s="50">
        <f t="shared" si="57"/>
        <v>4</v>
      </c>
      <c r="BE193" s="49">
        <f t="shared" si="58"/>
        <v>8</v>
      </c>
      <c r="BF193" s="49">
        <f>VLOOKUP(AS193,Leyenda!$B$70:$D$75,3,FALSE)</f>
        <v>15</v>
      </c>
      <c r="BG193" s="67">
        <f t="shared" si="52"/>
        <v>12</v>
      </c>
      <c r="BH193" s="67">
        <f>VLOOKUP(AM193,Leyenda!$B$4:$E$10,4,FALSE)</f>
        <v>2</v>
      </c>
      <c r="BI193" s="67">
        <f t="shared" si="59"/>
        <v>5</v>
      </c>
      <c r="BJ193" s="67">
        <f t="shared" si="53"/>
        <v>0</v>
      </c>
      <c r="BK193" s="67">
        <f>+VLOOKUP('2. Logging Brejo Seco'!AP193,Leyenda!$B$47:$E$51,4,FALSE)</f>
        <v>1</v>
      </c>
      <c r="BL193" s="67">
        <f>+VLOOKUP('2. Logging Brejo Seco'!AQ193,Leyenda!$B$55:$E$59,4,FALSE)</f>
        <v>3</v>
      </c>
      <c r="BM193" s="67">
        <f>+VLOOKUP('2. Logging Brejo Seco'!AR193,Leyenda!$B$63:$E$67,3,FALSE)</f>
        <v>2</v>
      </c>
      <c r="BN193" s="67">
        <f>+VLOOKUP('2. Logging Brejo Seco'!AO193,Leyenda!$B$39:$E$43,4,FALSE)</f>
        <v>1</v>
      </c>
      <c r="BO193" s="67">
        <f>+VLOOKUP('2. Logging Brejo Seco'!AN193,Leyenda!$B$30:$E$34,4,FALSE)</f>
        <v>1</v>
      </c>
      <c r="BP193" s="67">
        <f>VLOOKUP(AS193,Leyenda!$B$71:$E$75,4,FALSE)</f>
        <v>10</v>
      </c>
      <c r="BQ193" s="125">
        <f t="shared" si="60"/>
        <v>25</v>
      </c>
      <c r="BR193" s="85">
        <f t="shared" si="61"/>
        <v>29</v>
      </c>
      <c r="BS193" s="240">
        <f t="shared" si="62"/>
        <v>0.6</v>
      </c>
      <c r="BT193" s="18"/>
    </row>
    <row r="194" spans="1:72" x14ac:dyDescent="0.25">
      <c r="A194" s="18" t="s">
        <v>6</v>
      </c>
      <c r="B194" s="18">
        <v>2024</v>
      </c>
      <c r="C194" s="18" t="s">
        <v>138</v>
      </c>
      <c r="D194" s="18" t="s">
        <v>245</v>
      </c>
      <c r="E194" s="18">
        <v>40</v>
      </c>
      <c r="F194" s="18">
        <v>40</v>
      </c>
      <c r="G194" s="18" t="s">
        <v>153</v>
      </c>
      <c r="H194" s="248">
        <f t="shared" si="63"/>
        <v>40</v>
      </c>
      <c r="I194" s="135"/>
      <c r="J194" s="18" t="s">
        <v>296</v>
      </c>
      <c r="K194" s="4">
        <f t="shared" si="69"/>
        <v>40.5</v>
      </c>
      <c r="L194" s="4">
        <v>41</v>
      </c>
      <c r="M194" s="4">
        <f t="shared" si="54"/>
        <v>0.5</v>
      </c>
      <c r="N194" s="5">
        <v>0.34</v>
      </c>
      <c r="O194" s="5">
        <f t="shared" si="68"/>
        <v>0.65999999999999992</v>
      </c>
      <c r="P194" s="31">
        <f t="shared" si="55"/>
        <v>0.17</v>
      </c>
      <c r="Q194" s="31">
        <f t="shared" si="50"/>
        <v>0.17</v>
      </c>
      <c r="R194" s="31">
        <v>8.5</v>
      </c>
      <c r="S194" s="31">
        <v>20</v>
      </c>
      <c r="T194" s="31">
        <v>0.16</v>
      </c>
      <c r="U194" s="31">
        <v>0</v>
      </c>
      <c r="V194" s="65">
        <f t="shared" si="64"/>
        <v>0</v>
      </c>
      <c r="W194" s="31">
        <v>5</v>
      </c>
      <c r="X194" s="31"/>
      <c r="Y194" s="31">
        <f t="shared" si="70"/>
        <v>5</v>
      </c>
      <c r="Z194" s="31">
        <f t="shared" si="71"/>
        <v>32</v>
      </c>
      <c r="AA194" s="18">
        <v>0</v>
      </c>
      <c r="AB194" s="18" t="s">
        <v>330</v>
      </c>
      <c r="AC194" s="18" t="s">
        <v>333</v>
      </c>
      <c r="AD194" s="18" t="s">
        <v>334</v>
      </c>
      <c r="AE194" s="18">
        <v>20</v>
      </c>
      <c r="AF194" s="18">
        <v>8.5</v>
      </c>
      <c r="AG194" s="18" t="s">
        <v>32</v>
      </c>
      <c r="AH194" s="18" t="s">
        <v>29</v>
      </c>
      <c r="AI194" s="18" t="str">
        <f>+VLOOKUP(AH194,Leyenda!$O$4:$U$10,6,FALSE)</f>
        <v>0,25-0,35</v>
      </c>
      <c r="AJ194" s="18" t="str">
        <f>+VLOOKUP(AG194,Leyenda!$O$4:$U$10,7,FALSE)</f>
        <v>No Blasting need</v>
      </c>
      <c r="AK194" s="18">
        <f>+VLOOKUP(AJ194,Leyenda!$U$4:$V$10,2,FALSE)</f>
        <v>2</v>
      </c>
      <c r="AL194" s="18" t="s">
        <v>199</v>
      </c>
      <c r="AM194" s="18" t="str">
        <f t="shared" si="56"/>
        <v>R2</v>
      </c>
      <c r="AN194" s="18" t="s">
        <v>66</v>
      </c>
      <c r="AO194" s="18" t="s">
        <v>79</v>
      </c>
      <c r="AP194" s="18" t="s">
        <v>96</v>
      </c>
      <c r="AQ194" s="18" t="s">
        <v>107</v>
      </c>
      <c r="AR194" s="18" t="s">
        <v>120</v>
      </c>
      <c r="AS194" s="18" t="s">
        <v>198</v>
      </c>
      <c r="AT194" s="18" t="s">
        <v>240</v>
      </c>
      <c r="AU194" s="18"/>
      <c r="AV194" s="18">
        <f>+VLOOKUP(AN194,Leyenda!$B$30:$E$34,3,FALSE)</f>
        <v>1</v>
      </c>
      <c r="AW194" s="18">
        <f>+VLOOKUP('2. Logging Brejo Seco'!AO194,Meteorizacion,3,FALSE)</f>
        <v>1</v>
      </c>
      <c r="AX194" s="18">
        <f>+VLOOKUP('2. Logging Brejo Seco'!AP194,Apertura,3,FALSE)</f>
        <v>1</v>
      </c>
      <c r="AY194" s="18">
        <f>+VLOOKUP('2. Logging Brejo Seco'!AQ194,Leyenda!$B$55:$D$59,3,FALSE)</f>
        <v>3</v>
      </c>
      <c r="AZ194" s="18">
        <f>+VLOOKUP('2. Logging Brejo Seco'!AR194,Relleno,3,FALSE)</f>
        <v>2</v>
      </c>
      <c r="BA194" s="18">
        <f t="shared" si="65"/>
        <v>8</v>
      </c>
      <c r="BB194" s="49">
        <f t="shared" si="51"/>
        <v>0</v>
      </c>
      <c r="BC194" s="49">
        <f>VLOOKUP(AM194,Leyenda!$B$4:$D$10,3,FALSE)</f>
        <v>2</v>
      </c>
      <c r="BD194" s="50">
        <f t="shared" si="57"/>
        <v>5</v>
      </c>
      <c r="BE194" s="49">
        <f t="shared" si="58"/>
        <v>8</v>
      </c>
      <c r="BF194" s="49">
        <f>VLOOKUP(AS194,Leyenda!$B$70:$D$75,3,FALSE)</f>
        <v>15</v>
      </c>
      <c r="BG194" s="67">
        <f t="shared" si="52"/>
        <v>12</v>
      </c>
      <c r="BH194" s="67">
        <f>VLOOKUP(AM194,Leyenda!$B$4:$E$10,4,FALSE)</f>
        <v>2</v>
      </c>
      <c r="BI194" s="67">
        <f t="shared" si="59"/>
        <v>5</v>
      </c>
      <c r="BJ194" s="67">
        <f t="shared" si="53"/>
        <v>0</v>
      </c>
      <c r="BK194" s="67">
        <f>+VLOOKUP('2. Logging Brejo Seco'!AP194,Leyenda!$B$47:$E$51,4,FALSE)</f>
        <v>1</v>
      </c>
      <c r="BL194" s="67">
        <f>+VLOOKUP('2. Logging Brejo Seco'!AQ194,Leyenda!$B$55:$E$59,4,FALSE)</f>
        <v>3</v>
      </c>
      <c r="BM194" s="67">
        <f>+VLOOKUP('2. Logging Brejo Seco'!AR194,Leyenda!$B$63:$E$67,3,FALSE)</f>
        <v>2</v>
      </c>
      <c r="BN194" s="67">
        <f>+VLOOKUP('2. Logging Brejo Seco'!AO194,Leyenda!$B$39:$E$43,4,FALSE)</f>
        <v>1</v>
      </c>
      <c r="BO194" s="67">
        <f>+VLOOKUP('2. Logging Brejo Seco'!AN194,Leyenda!$B$30:$E$34,4,FALSE)</f>
        <v>1</v>
      </c>
      <c r="BP194" s="67">
        <f>VLOOKUP(AS194,Leyenda!$B$71:$E$75,4,FALSE)</f>
        <v>10</v>
      </c>
      <c r="BQ194" s="125">
        <f t="shared" si="60"/>
        <v>25</v>
      </c>
      <c r="BR194" s="85">
        <f t="shared" si="61"/>
        <v>30</v>
      </c>
      <c r="BS194" s="240">
        <f t="shared" si="62"/>
        <v>0.65999999999999992</v>
      </c>
      <c r="BT194" s="18"/>
    </row>
    <row r="195" spans="1:72" x14ac:dyDescent="0.25">
      <c r="A195" s="18" t="s">
        <v>6</v>
      </c>
      <c r="B195" s="18">
        <v>2024</v>
      </c>
      <c r="C195" s="18" t="s">
        <v>138</v>
      </c>
      <c r="D195" s="18" t="s">
        <v>245</v>
      </c>
      <c r="E195" s="18">
        <v>40</v>
      </c>
      <c r="F195" s="18">
        <v>40</v>
      </c>
      <c r="G195" s="18" t="s">
        <v>153</v>
      </c>
      <c r="H195" s="248">
        <f t="shared" si="63"/>
        <v>40</v>
      </c>
      <c r="I195" s="135"/>
      <c r="J195" s="18" t="s">
        <v>296</v>
      </c>
      <c r="K195" s="4">
        <f t="shared" si="69"/>
        <v>41</v>
      </c>
      <c r="L195" s="4">
        <v>41.5</v>
      </c>
      <c r="M195" s="4">
        <f t="shared" si="54"/>
        <v>0.5</v>
      </c>
      <c r="N195" s="5">
        <v>0.46</v>
      </c>
      <c r="O195" s="5">
        <f t="shared" si="68"/>
        <v>0.54</v>
      </c>
      <c r="P195" s="31">
        <f t="shared" si="55"/>
        <v>0.23</v>
      </c>
      <c r="Q195" s="31">
        <f t="shared" ref="Q195:Q258" si="72">+N195*M195</f>
        <v>0.23</v>
      </c>
      <c r="R195" s="31">
        <v>46</v>
      </c>
      <c r="S195" s="31">
        <v>5</v>
      </c>
      <c r="T195" s="31">
        <v>0.22</v>
      </c>
      <c r="U195" s="31">
        <v>0.11</v>
      </c>
      <c r="V195" s="65">
        <f t="shared" si="64"/>
        <v>22</v>
      </c>
      <c r="W195" s="31">
        <v>5</v>
      </c>
      <c r="X195" s="31"/>
      <c r="Y195" s="31">
        <f t="shared" si="70"/>
        <v>5</v>
      </c>
      <c r="Z195" s="31">
        <f t="shared" si="71"/>
        <v>44</v>
      </c>
      <c r="AA195" s="18">
        <v>0</v>
      </c>
      <c r="AB195" s="18" t="s">
        <v>330</v>
      </c>
      <c r="AC195" s="18" t="s">
        <v>118</v>
      </c>
      <c r="AD195" s="18" t="s">
        <v>334</v>
      </c>
      <c r="AE195" s="18">
        <v>5</v>
      </c>
      <c r="AF195" s="18">
        <v>46</v>
      </c>
      <c r="AG195" s="18" t="s">
        <v>32</v>
      </c>
      <c r="AH195" s="18" t="s">
        <v>29</v>
      </c>
      <c r="AI195" s="18" t="str">
        <f>+VLOOKUP(AH195,Leyenda!$O$4:$U$10,6,FALSE)</f>
        <v>0,25-0,35</v>
      </c>
      <c r="AJ195" s="18" t="str">
        <f>+VLOOKUP(AG195,Leyenda!$O$4:$U$10,7,FALSE)</f>
        <v>No Blasting need</v>
      </c>
      <c r="AK195" s="18">
        <f>+VLOOKUP(AJ195,Leyenda!$U$4:$V$10,2,FALSE)</f>
        <v>2</v>
      </c>
      <c r="AL195" s="18" t="s">
        <v>199</v>
      </c>
      <c r="AM195" s="18" t="str">
        <f t="shared" si="56"/>
        <v>R2</v>
      </c>
      <c r="AN195" s="18" t="s">
        <v>66</v>
      </c>
      <c r="AO195" s="18" t="s">
        <v>79</v>
      </c>
      <c r="AP195" s="18" t="s">
        <v>96</v>
      </c>
      <c r="AQ195" s="18" t="s">
        <v>107</v>
      </c>
      <c r="AR195" s="18" t="s">
        <v>120</v>
      </c>
      <c r="AS195" s="18" t="s">
        <v>198</v>
      </c>
      <c r="AT195" s="18" t="s">
        <v>240</v>
      </c>
      <c r="AU195" s="18"/>
      <c r="AV195" s="18">
        <f>+VLOOKUP(AN195,Leyenda!$B$30:$E$34,3,FALSE)</f>
        <v>1</v>
      </c>
      <c r="AW195" s="18">
        <f>+VLOOKUP('2. Logging Brejo Seco'!AO195,Meteorizacion,3,FALSE)</f>
        <v>1</v>
      </c>
      <c r="AX195" s="18">
        <f>+VLOOKUP('2. Logging Brejo Seco'!AP195,Apertura,3,FALSE)</f>
        <v>1</v>
      </c>
      <c r="AY195" s="18">
        <f>+VLOOKUP('2. Logging Brejo Seco'!AQ195,Leyenda!$B$55:$D$59,3,FALSE)</f>
        <v>3</v>
      </c>
      <c r="AZ195" s="18">
        <f>+VLOOKUP('2. Logging Brejo Seco'!AR195,Relleno,3,FALSE)</f>
        <v>2</v>
      </c>
      <c r="BA195" s="18">
        <f t="shared" si="65"/>
        <v>8</v>
      </c>
      <c r="BB195" s="49">
        <f t="shared" ref="BB195:BB258" si="73">ROUND(-0.0002*POWER(V195,2)+0.2197*V195,0)</f>
        <v>5</v>
      </c>
      <c r="BC195" s="49">
        <f>VLOOKUP(AM195,Leyenda!$B$4:$D$10,3,FALSE)</f>
        <v>2</v>
      </c>
      <c r="BD195" s="50">
        <f t="shared" si="57"/>
        <v>6</v>
      </c>
      <c r="BE195" s="49">
        <f t="shared" si="58"/>
        <v>8</v>
      </c>
      <c r="BF195" s="49">
        <f>VLOOKUP(AS195,Leyenda!$B$70:$D$75,3,FALSE)</f>
        <v>15</v>
      </c>
      <c r="BG195" s="67">
        <f t="shared" ref="BG195:BG258" si="74">1.5*BA195+(V195*0.5)</f>
        <v>23</v>
      </c>
      <c r="BH195" s="67">
        <f>VLOOKUP(AM195,Leyenda!$B$4:$E$10,4,FALSE)</f>
        <v>2</v>
      </c>
      <c r="BI195" s="67">
        <f t="shared" si="59"/>
        <v>5</v>
      </c>
      <c r="BJ195" s="67">
        <f t="shared" ref="BJ195:BJ258" si="75">ROUND(-0.0002*POWER(V195,2)+0.2197*V195,0)</f>
        <v>5</v>
      </c>
      <c r="BK195" s="67">
        <f>+VLOOKUP('2. Logging Brejo Seco'!AP195,Leyenda!$B$47:$E$51,4,FALSE)</f>
        <v>1</v>
      </c>
      <c r="BL195" s="67">
        <f>+VLOOKUP('2. Logging Brejo Seco'!AQ195,Leyenda!$B$55:$E$59,4,FALSE)</f>
        <v>3</v>
      </c>
      <c r="BM195" s="67">
        <f>+VLOOKUP('2. Logging Brejo Seco'!AR195,Leyenda!$B$63:$E$67,3,FALSE)</f>
        <v>2</v>
      </c>
      <c r="BN195" s="67">
        <f>+VLOOKUP('2. Logging Brejo Seco'!AO195,Leyenda!$B$39:$E$43,4,FALSE)</f>
        <v>1</v>
      </c>
      <c r="BO195" s="67">
        <f>+VLOOKUP('2. Logging Brejo Seco'!AN195,Leyenda!$B$30:$E$34,4,FALSE)</f>
        <v>1</v>
      </c>
      <c r="BP195" s="67">
        <f>VLOOKUP(AS195,Leyenda!$B$71:$E$75,4,FALSE)</f>
        <v>10</v>
      </c>
      <c r="BQ195" s="125">
        <f t="shared" si="60"/>
        <v>30</v>
      </c>
      <c r="BR195" s="85">
        <f t="shared" si="61"/>
        <v>36</v>
      </c>
      <c r="BS195" s="240">
        <f t="shared" si="62"/>
        <v>0.54</v>
      </c>
      <c r="BT195" s="18"/>
    </row>
    <row r="196" spans="1:72" x14ac:dyDescent="0.25">
      <c r="A196" s="18" t="s">
        <v>6</v>
      </c>
      <c r="B196" s="18">
        <v>2024</v>
      </c>
      <c r="C196" s="18" t="s">
        <v>138</v>
      </c>
      <c r="D196" s="18" t="s">
        <v>245</v>
      </c>
      <c r="E196" s="18">
        <v>40</v>
      </c>
      <c r="F196" s="18">
        <v>40</v>
      </c>
      <c r="G196" s="18" t="s">
        <v>153</v>
      </c>
      <c r="H196" s="248">
        <f t="shared" si="63"/>
        <v>40</v>
      </c>
      <c r="I196" s="135"/>
      <c r="J196" s="18" t="s">
        <v>296</v>
      </c>
      <c r="K196" s="4">
        <f t="shared" si="69"/>
        <v>41.5</v>
      </c>
      <c r="L196" s="4">
        <v>42</v>
      </c>
      <c r="M196" s="4">
        <f t="shared" ref="M196:M259" si="76">+L196-K196</f>
        <v>0.5</v>
      </c>
      <c r="N196" s="5">
        <v>0.26</v>
      </c>
      <c r="O196" s="5">
        <f t="shared" si="68"/>
        <v>0.74</v>
      </c>
      <c r="P196" s="31">
        <f t="shared" ref="P196:P259" si="77">+M196*N196</f>
        <v>0.13</v>
      </c>
      <c r="Q196" s="31">
        <f t="shared" si="72"/>
        <v>0.13</v>
      </c>
      <c r="R196" s="31">
        <v>130</v>
      </c>
      <c r="S196" s="31">
        <v>1</v>
      </c>
      <c r="T196" s="31">
        <v>0.12</v>
      </c>
      <c r="U196" s="31">
        <v>0</v>
      </c>
      <c r="V196" s="65">
        <f t="shared" si="64"/>
        <v>0</v>
      </c>
      <c r="W196" s="31">
        <v>10</v>
      </c>
      <c r="X196" s="31"/>
      <c r="Y196" s="31">
        <f t="shared" si="70"/>
        <v>10</v>
      </c>
      <c r="Z196" s="31">
        <f t="shared" si="71"/>
        <v>12</v>
      </c>
      <c r="AA196" s="18">
        <v>0</v>
      </c>
      <c r="AB196" s="18" t="s">
        <v>330</v>
      </c>
      <c r="AC196" s="18" t="s">
        <v>116</v>
      </c>
      <c r="AD196" s="18" t="s">
        <v>334</v>
      </c>
      <c r="AE196" s="18">
        <v>1</v>
      </c>
      <c r="AF196" s="18">
        <v>130</v>
      </c>
      <c r="AG196" s="18" t="s">
        <v>32</v>
      </c>
      <c r="AH196" s="18" t="s">
        <v>29</v>
      </c>
      <c r="AI196" s="18" t="str">
        <f>+VLOOKUP(AH196,Leyenda!$O$4:$U$10,6,FALSE)</f>
        <v>0,25-0,35</v>
      </c>
      <c r="AJ196" s="18" t="str">
        <f>+VLOOKUP(AG196,Leyenda!$O$4:$U$10,7,FALSE)</f>
        <v>No Blasting need</v>
      </c>
      <c r="AK196" s="18">
        <f>+VLOOKUP(AJ196,Leyenda!$U$4:$V$10,2,FALSE)</f>
        <v>2</v>
      </c>
      <c r="AL196" s="18" t="s">
        <v>199</v>
      </c>
      <c r="AM196" s="18" t="str">
        <f t="shared" ref="AM196:AM232" si="78">+AH196</f>
        <v>R2</v>
      </c>
      <c r="AN196" s="18" t="s">
        <v>66</v>
      </c>
      <c r="AO196" s="18" t="s">
        <v>79</v>
      </c>
      <c r="AP196" s="18" t="s">
        <v>96</v>
      </c>
      <c r="AQ196" s="18" t="s">
        <v>107</v>
      </c>
      <c r="AR196" s="18" t="s">
        <v>120</v>
      </c>
      <c r="AS196" s="18" t="s">
        <v>198</v>
      </c>
      <c r="AT196" s="18" t="s">
        <v>240</v>
      </c>
      <c r="AU196" s="18"/>
      <c r="AV196" s="18">
        <f>+VLOOKUP(AN196,Leyenda!$B$30:$E$34,3,FALSE)</f>
        <v>1</v>
      </c>
      <c r="AW196" s="18">
        <f>+VLOOKUP('2. Logging Brejo Seco'!AO196,Meteorizacion,3,FALSE)</f>
        <v>1</v>
      </c>
      <c r="AX196" s="18">
        <f>+VLOOKUP('2. Logging Brejo Seco'!AP196,Apertura,3,FALSE)</f>
        <v>1</v>
      </c>
      <c r="AY196" s="18">
        <f>+VLOOKUP('2. Logging Brejo Seco'!AQ196,Leyenda!$B$55:$D$59,3,FALSE)</f>
        <v>3</v>
      </c>
      <c r="AZ196" s="18">
        <f>+VLOOKUP('2. Logging Brejo Seco'!AR196,Relleno,3,FALSE)</f>
        <v>2</v>
      </c>
      <c r="BA196" s="18">
        <f t="shared" si="65"/>
        <v>8</v>
      </c>
      <c r="BB196" s="49">
        <f t="shared" si="73"/>
        <v>0</v>
      </c>
      <c r="BC196" s="49">
        <f>VLOOKUP(AM196,Leyenda!$B$4:$D$10,3,FALSE)</f>
        <v>2</v>
      </c>
      <c r="BD196" s="50">
        <f t="shared" ref="BD196:BD259" si="79">IF(Z196="",ROUND((IF(Z196&lt;=400,1.5478*POWER(Z196,0.3351),-2*POWER(10,-6)*POWER(Z196,2)+0.0091*Z196+8.1704)),0),ROUND((IF(Z196&lt;=400,1.5478*POWER(Z196,0.3351),-2*POWER(10,-6)*POWER(Z196,2)+0.0091*Z196+8.1704)),0))</f>
        <v>4</v>
      </c>
      <c r="BE196" s="49">
        <f t="shared" ref="BE196:BE259" si="80">+BA196</f>
        <v>8</v>
      </c>
      <c r="BF196" s="49">
        <f>VLOOKUP(AS196,Leyenda!$B$70:$D$75,3,FALSE)</f>
        <v>15</v>
      </c>
      <c r="BG196" s="67">
        <f t="shared" si="74"/>
        <v>12</v>
      </c>
      <c r="BH196" s="67">
        <f>VLOOKUP(AM196,Leyenda!$B$4:$E$10,4,FALSE)</f>
        <v>2</v>
      </c>
      <c r="BI196" s="67">
        <f t="shared" ref="BI196:BI259" si="81">IF(Z196="",ROUND(IF(Z196&lt;=50,5,IF(Z196&gt;=3000,30,6.038*LN(Z196)-19.63)),0),ROUND(IF(Z196&lt;=50,5,IF(Z196&gt;=3000,30,6.038*LN(Z196)-19.63)),0))</f>
        <v>5</v>
      </c>
      <c r="BJ196" s="67">
        <f t="shared" si="75"/>
        <v>0</v>
      </c>
      <c r="BK196" s="67">
        <f>+VLOOKUP('2. Logging Brejo Seco'!AP196,Leyenda!$B$47:$E$51,4,FALSE)</f>
        <v>1</v>
      </c>
      <c r="BL196" s="67">
        <f>+VLOOKUP('2. Logging Brejo Seco'!AQ196,Leyenda!$B$55:$E$59,4,FALSE)</f>
        <v>3</v>
      </c>
      <c r="BM196" s="67">
        <f>+VLOOKUP('2. Logging Brejo Seco'!AR196,Leyenda!$B$63:$E$67,3,FALSE)</f>
        <v>2</v>
      </c>
      <c r="BN196" s="67">
        <f>+VLOOKUP('2. Logging Brejo Seco'!AO196,Leyenda!$B$39:$E$43,4,FALSE)</f>
        <v>1</v>
      </c>
      <c r="BO196" s="67">
        <f>+VLOOKUP('2. Logging Brejo Seco'!AN196,Leyenda!$B$30:$E$34,4,FALSE)</f>
        <v>1</v>
      </c>
      <c r="BP196" s="67">
        <f>VLOOKUP(AS196,Leyenda!$B$71:$E$75,4,FALSE)</f>
        <v>10</v>
      </c>
      <c r="BQ196" s="125">
        <f t="shared" ref="BQ196:BQ259" si="82">+BH196+BI196+BJ196+BK196+BL196+BM196+BN196+BO196+BP196</f>
        <v>25</v>
      </c>
      <c r="BR196" s="85">
        <f t="shared" ref="BR196:BR259" si="83">+BC196+BD196+BB196+BE196+BF196</f>
        <v>29</v>
      </c>
      <c r="BS196" s="240">
        <f t="shared" ref="BS196:BS259" si="84">1-N196</f>
        <v>0.74</v>
      </c>
      <c r="BT196" s="18"/>
    </row>
    <row r="197" spans="1:72" x14ac:dyDescent="0.25">
      <c r="A197" s="18" t="s">
        <v>6</v>
      </c>
      <c r="B197" s="18">
        <v>2024</v>
      </c>
      <c r="C197" s="18" t="s">
        <v>138</v>
      </c>
      <c r="D197" s="18" t="s">
        <v>245</v>
      </c>
      <c r="E197" s="18">
        <v>40</v>
      </c>
      <c r="F197" s="18">
        <v>40</v>
      </c>
      <c r="G197" s="18" t="s">
        <v>153</v>
      </c>
      <c r="H197" s="248">
        <f t="shared" si="63"/>
        <v>40</v>
      </c>
      <c r="I197" s="135"/>
      <c r="J197" s="18" t="s">
        <v>296</v>
      </c>
      <c r="K197" s="4">
        <f t="shared" si="69"/>
        <v>42</v>
      </c>
      <c r="L197" s="4">
        <v>42.5</v>
      </c>
      <c r="M197" s="4">
        <f t="shared" si="76"/>
        <v>0.5</v>
      </c>
      <c r="N197" s="5">
        <v>0.3</v>
      </c>
      <c r="O197" s="5">
        <f t="shared" si="68"/>
        <v>0.7</v>
      </c>
      <c r="P197" s="31">
        <f t="shared" si="77"/>
        <v>0.15</v>
      </c>
      <c r="Q197" s="31">
        <f t="shared" si="72"/>
        <v>0.15</v>
      </c>
      <c r="R197" s="31">
        <v>150</v>
      </c>
      <c r="S197" s="31">
        <v>1</v>
      </c>
      <c r="T197" s="31">
        <v>0.15</v>
      </c>
      <c r="U197" s="31">
        <v>0</v>
      </c>
      <c r="V197" s="65">
        <f t="shared" si="64"/>
        <v>0</v>
      </c>
      <c r="W197" s="31">
        <v>10</v>
      </c>
      <c r="X197" s="31"/>
      <c r="Y197" s="31">
        <f t="shared" si="70"/>
        <v>10</v>
      </c>
      <c r="Z197" s="31">
        <f t="shared" si="71"/>
        <v>15</v>
      </c>
      <c r="AA197" s="18">
        <v>0</v>
      </c>
      <c r="AB197" s="18" t="s">
        <v>330</v>
      </c>
      <c r="AC197" s="18" t="s">
        <v>116</v>
      </c>
      <c r="AD197" s="18" t="s">
        <v>334</v>
      </c>
      <c r="AE197" s="18">
        <v>1</v>
      </c>
      <c r="AF197" s="18">
        <v>150</v>
      </c>
      <c r="AG197" s="18" t="s">
        <v>32</v>
      </c>
      <c r="AH197" s="18" t="s">
        <v>29</v>
      </c>
      <c r="AI197" s="18" t="str">
        <f>+VLOOKUP(AH197,Leyenda!$O$4:$U$10,6,FALSE)</f>
        <v>0,25-0,35</v>
      </c>
      <c r="AJ197" s="18" t="str">
        <f>+VLOOKUP(AG197,Leyenda!$O$4:$U$10,7,FALSE)</f>
        <v>No Blasting need</v>
      </c>
      <c r="AK197" s="18">
        <f>+VLOOKUP(AJ197,Leyenda!$U$4:$V$10,2,FALSE)</f>
        <v>2</v>
      </c>
      <c r="AL197" s="18" t="s">
        <v>199</v>
      </c>
      <c r="AM197" s="18" t="str">
        <f t="shared" si="78"/>
        <v>R2</v>
      </c>
      <c r="AN197" s="18" t="s">
        <v>66</v>
      </c>
      <c r="AO197" s="18" t="s">
        <v>79</v>
      </c>
      <c r="AP197" s="18" t="s">
        <v>96</v>
      </c>
      <c r="AQ197" s="18" t="s">
        <v>107</v>
      </c>
      <c r="AR197" s="18" t="s">
        <v>120</v>
      </c>
      <c r="AS197" s="18" t="s">
        <v>198</v>
      </c>
      <c r="AT197" s="18" t="s">
        <v>240</v>
      </c>
      <c r="AU197" s="18"/>
      <c r="AV197" s="18">
        <f>+VLOOKUP(AN197,Leyenda!$B$30:$E$34,3,FALSE)</f>
        <v>1</v>
      </c>
      <c r="AW197" s="18">
        <f>+VLOOKUP('2. Logging Brejo Seco'!AO197,Meteorizacion,3,FALSE)</f>
        <v>1</v>
      </c>
      <c r="AX197" s="18">
        <f>+VLOOKUP('2. Logging Brejo Seco'!AP197,Apertura,3,FALSE)</f>
        <v>1</v>
      </c>
      <c r="AY197" s="18">
        <f>+VLOOKUP('2. Logging Brejo Seco'!AQ197,Leyenda!$B$55:$D$59,3,FALSE)</f>
        <v>3</v>
      </c>
      <c r="AZ197" s="18">
        <f>+VLOOKUP('2. Logging Brejo Seco'!AR197,Relleno,3,FALSE)</f>
        <v>2</v>
      </c>
      <c r="BA197" s="18">
        <f t="shared" si="65"/>
        <v>8</v>
      </c>
      <c r="BB197" s="49">
        <f t="shared" si="73"/>
        <v>0</v>
      </c>
      <c r="BC197" s="49">
        <f>VLOOKUP(AM197,Leyenda!$B$4:$D$10,3,FALSE)</f>
        <v>2</v>
      </c>
      <c r="BD197" s="50">
        <f t="shared" si="79"/>
        <v>4</v>
      </c>
      <c r="BE197" s="49">
        <f t="shared" si="80"/>
        <v>8</v>
      </c>
      <c r="BF197" s="49">
        <f>VLOOKUP(AS197,Leyenda!$B$70:$D$75,3,FALSE)</f>
        <v>15</v>
      </c>
      <c r="BG197" s="67">
        <f t="shared" si="74"/>
        <v>12</v>
      </c>
      <c r="BH197" s="67">
        <f>VLOOKUP(AM197,Leyenda!$B$4:$E$10,4,FALSE)</f>
        <v>2</v>
      </c>
      <c r="BI197" s="67">
        <f t="shared" si="81"/>
        <v>5</v>
      </c>
      <c r="BJ197" s="67">
        <f t="shared" si="75"/>
        <v>0</v>
      </c>
      <c r="BK197" s="67">
        <f>+VLOOKUP('2. Logging Brejo Seco'!AP197,Leyenda!$B$47:$E$51,4,FALSE)</f>
        <v>1</v>
      </c>
      <c r="BL197" s="67">
        <f>+VLOOKUP('2. Logging Brejo Seco'!AQ197,Leyenda!$B$55:$E$59,4,FALSE)</f>
        <v>3</v>
      </c>
      <c r="BM197" s="67">
        <f>+VLOOKUP('2. Logging Brejo Seco'!AR197,Leyenda!$B$63:$E$67,3,FALSE)</f>
        <v>2</v>
      </c>
      <c r="BN197" s="67">
        <f>+VLOOKUP('2. Logging Brejo Seco'!AO197,Leyenda!$B$39:$E$43,4,FALSE)</f>
        <v>1</v>
      </c>
      <c r="BO197" s="67">
        <f>+VLOOKUP('2. Logging Brejo Seco'!AN197,Leyenda!$B$30:$E$34,4,FALSE)</f>
        <v>1</v>
      </c>
      <c r="BP197" s="67">
        <f>VLOOKUP(AS197,Leyenda!$B$71:$E$75,4,FALSE)</f>
        <v>10</v>
      </c>
      <c r="BQ197" s="125">
        <f t="shared" si="82"/>
        <v>25</v>
      </c>
      <c r="BR197" s="85">
        <f t="shared" si="83"/>
        <v>29</v>
      </c>
      <c r="BS197" s="240">
        <f t="shared" si="84"/>
        <v>0.7</v>
      </c>
      <c r="BT197" s="18"/>
    </row>
    <row r="198" spans="1:72" x14ac:dyDescent="0.25">
      <c r="A198" s="18" t="s">
        <v>6</v>
      </c>
      <c r="B198" s="18">
        <v>2024</v>
      </c>
      <c r="C198" s="18" t="s">
        <v>138</v>
      </c>
      <c r="D198" s="18" t="s">
        <v>245</v>
      </c>
      <c r="E198" s="18">
        <v>40</v>
      </c>
      <c r="F198" s="18">
        <v>40</v>
      </c>
      <c r="G198" s="18" t="s">
        <v>153</v>
      </c>
      <c r="H198" s="248">
        <f t="shared" si="63"/>
        <v>40</v>
      </c>
      <c r="I198" s="135"/>
      <c r="J198" s="18" t="s">
        <v>296</v>
      </c>
      <c r="K198" s="4">
        <f t="shared" si="69"/>
        <v>42.5</v>
      </c>
      <c r="L198" s="4">
        <v>43</v>
      </c>
      <c r="M198" s="4">
        <f t="shared" si="76"/>
        <v>0.5</v>
      </c>
      <c r="N198" s="5">
        <v>0.34</v>
      </c>
      <c r="O198" s="5">
        <f t="shared" si="68"/>
        <v>0.65999999999999992</v>
      </c>
      <c r="P198" s="31">
        <f t="shared" si="77"/>
        <v>0.17</v>
      </c>
      <c r="Q198" s="31">
        <f t="shared" si="72"/>
        <v>0.17</v>
      </c>
      <c r="R198" s="31">
        <v>8.5</v>
      </c>
      <c r="S198" s="31">
        <v>20</v>
      </c>
      <c r="T198" s="31">
        <v>0.13</v>
      </c>
      <c r="U198" s="31">
        <v>0</v>
      </c>
      <c r="V198" s="65">
        <f t="shared" si="64"/>
        <v>0</v>
      </c>
      <c r="W198" s="31">
        <v>7</v>
      </c>
      <c r="X198" s="31"/>
      <c r="Y198" s="31">
        <f t="shared" si="70"/>
        <v>7</v>
      </c>
      <c r="Z198" s="31">
        <f t="shared" si="71"/>
        <v>18.571428571428573</v>
      </c>
      <c r="AA198" s="18">
        <v>0</v>
      </c>
      <c r="AB198" s="18" t="s">
        <v>330</v>
      </c>
      <c r="AC198" s="18" t="s">
        <v>333</v>
      </c>
      <c r="AD198" s="18" t="s">
        <v>335</v>
      </c>
      <c r="AE198" s="18">
        <v>20</v>
      </c>
      <c r="AF198" s="18">
        <v>8.5</v>
      </c>
      <c r="AG198" s="18" t="s">
        <v>32</v>
      </c>
      <c r="AH198" s="18" t="s">
        <v>29</v>
      </c>
      <c r="AI198" s="18" t="str">
        <f>+VLOOKUP(AH198,Leyenda!$O$4:$U$10,6,FALSE)</f>
        <v>0,25-0,35</v>
      </c>
      <c r="AJ198" s="18" t="str">
        <f>+VLOOKUP(AG198,Leyenda!$O$4:$U$10,7,FALSE)</f>
        <v>No Blasting need</v>
      </c>
      <c r="AK198" s="18">
        <f>+VLOOKUP(AJ198,Leyenda!$U$4:$V$10,2,FALSE)</f>
        <v>2</v>
      </c>
      <c r="AL198" s="18" t="s">
        <v>29</v>
      </c>
      <c r="AM198" s="18" t="str">
        <f t="shared" si="78"/>
        <v>R2</v>
      </c>
      <c r="AN198" s="18" t="s">
        <v>66</v>
      </c>
      <c r="AO198" s="18" t="s">
        <v>79</v>
      </c>
      <c r="AP198" s="18" t="s">
        <v>96</v>
      </c>
      <c r="AQ198" s="18" t="s">
        <v>107</v>
      </c>
      <c r="AR198" s="18" t="s">
        <v>120</v>
      </c>
      <c r="AS198" s="18" t="s">
        <v>198</v>
      </c>
      <c r="AT198" s="18" t="s">
        <v>240</v>
      </c>
      <c r="AU198" s="18"/>
      <c r="AV198" s="18">
        <f>+VLOOKUP(AN198,Leyenda!$B$30:$E$34,3,FALSE)</f>
        <v>1</v>
      </c>
      <c r="AW198" s="18">
        <f>+VLOOKUP('2. Logging Brejo Seco'!AO198,Meteorizacion,3,FALSE)</f>
        <v>1</v>
      </c>
      <c r="AX198" s="18">
        <f>+VLOOKUP('2. Logging Brejo Seco'!AP198,Apertura,3,FALSE)</f>
        <v>1</v>
      </c>
      <c r="AY198" s="18">
        <f>+VLOOKUP('2. Logging Brejo Seco'!AQ198,Leyenda!$B$55:$D$59,3,FALSE)</f>
        <v>3</v>
      </c>
      <c r="AZ198" s="18">
        <f>+VLOOKUP('2. Logging Brejo Seco'!AR198,Relleno,3,FALSE)</f>
        <v>2</v>
      </c>
      <c r="BA198" s="18">
        <f t="shared" si="65"/>
        <v>8</v>
      </c>
      <c r="BB198" s="49">
        <f t="shared" si="73"/>
        <v>0</v>
      </c>
      <c r="BC198" s="49">
        <f>VLOOKUP(AM198,Leyenda!$B$4:$D$10,3,FALSE)</f>
        <v>2</v>
      </c>
      <c r="BD198" s="50">
        <f t="shared" si="79"/>
        <v>4</v>
      </c>
      <c r="BE198" s="49">
        <f t="shared" si="80"/>
        <v>8</v>
      </c>
      <c r="BF198" s="49">
        <f>VLOOKUP(AS198,Leyenda!$B$70:$D$75,3,FALSE)</f>
        <v>15</v>
      </c>
      <c r="BG198" s="67">
        <f t="shared" si="74"/>
        <v>12</v>
      </c>
      <c r="BH198" s="67">
        <f>VLOOKUP(AM198,Leyenda!$B$4:$E$10,4,FALSE)</f>
        <v>2</v>
      </c>
      <c r="BI198" s="67">
        <f t="shared" si="81"/>
        <v>5</v>
      </c>
      <c r="BJ198" s="67">
        <f t="shared" si="75"/>
        <v>0</v>
      </c>
      <c r="BK198" s="67">
        <f>+VLOOKUP('2. Logging Brejo Seco'!AP198,Leyenda!$B$47:$E$51,4,FALSE)</f>
        <v>1</v>
      </c>
      <c r="BL198" s="67">
        <f>+VLOOKUP('2. Logging Brejo Seco'!AQ198,Leyenda!$B$55:$E$59,4,FALSE)</f>
        <v>3</v>
      </c>
      <c r="BM198" s="67">
        <f>+VLOOKUP('2. Logging Brejo Seco'!AR198,Leyenda!$B$63:$E$67,3,FALSE)</f>
        <v>2</v>
      </c>
      <c r="BN198" s="67">
        <f>+VLOOKUP('2. Logging Brejo Seco'!AO198,Leyenda!$B$39:$E$43,4,FALSE)</f>
        <v>1</v>
      </c>
      <c r="BO198" s="67">
        <f>+VLOOKUP('2. Logging Brejo Seco'!AN198,Leyenda!$B$30:$E$34,4,FALSE)</f>
        <v>1</v>
      </c>
      <c r="BP198" s="67">
        <f>VLOOKUP(AS198,Leyenda!$B$71:$E$75,4,FALSE)</f>
        <v>10</v>
      </c>
      <c r="BQ198" s="125">
        <f t="shared" si="82"/>
        <v>25</v>
      </c>
      <c r="BR198" s="85">
        <f t="shared" si="83"/>
        <v>29</v>
      </c>
      <c r="BS198" s="240">
        <f t="shared" si="84"/>
        <v>0.65999999999999992</v>
      </c>
      <c r="BT198" s="18"/>
    </row>
    <row r="199" spans="1:72" x14ac:dyDescent="0.25">
      <c r="A199" s="18" t="s">
        <v>6</v>
      </c>
      <c r="B199" s="18">
        <v>2024</v>
      </c>
      <c r="C199" s="18" t="s">
        <v>138</v>
      </c>
      <c r="D199" s="18" t="s">
        <v>245</v>
      </c>
      <c r="E199" s="18">
        <v>20</v>
      </c>
      <c r="F199" s="18">
        <v>20</v>
      </c>
      <c r="G199" s="18" t="s">
        <v>156</v>
      </c>
      <c r="H199" s="248">
        <f t="shared" si="63"/>
        <v>20</v>
      </c>
      <c r="I199" s="135"/>
      <c r="J199" s="18" t="s">
        <v>296</v>
      </c>
      <c r="K199" s="4">
        <f t="shared" si="69"/>
        <v>43</v>
      </c>
      <c r="L199" s="4">
        <v>43.5</v>
      </c>
      <c r="M199" s="4">
        <f t="shared" si="76"/>
        <v>0.5</v>
      </c>
      <c r="N199" s="5">
        <v>0.22</v>
      </c>
      <c r="O199" s="5">
        <f t="shared" si="68"/>
        <v>0.78</v>
      </c>
      <c r="P199" s="31">
        <f t="shared" si="77"/>
        <v>0.11</v>
      </c>
      <c r="Q199" s="31">
        <f t="shared" si="72"/>
        <v>0.11</v>
      </c>
      <c r="R199" s="31">
        <v>5.5</v>
      </c>
      <c r="S199" s="31">
        <v>20</v>
      </c>
      <c r="T199" s="31">
        <v>0.1</v>
      </c>
      <c r="U199" s="31">
        <v>0</v>
      </c>
      <c r="V199" s="187">
        <f t="shared" si="64"/>
        <v>0</v>
      </c>
      <c r="W199" s="31">
        <v>3</v>
      </c>
      <c r="X199" s="31"/>
      <c r="Y199" s="31">
        <f t="shared" si="70"/>
        <v>3</v>
      </c>
      <c r="Z199" s="31">
        <f t="shared" si="71"/>
        <v>33.333333333333336</v>
      </c>
      <c r="AA199" s="18">
        <v>0</v>
      </c>
      <c r="AB199" s="18" t="s">
        <v>330</v>
      </c>
      <c r="AC199" s="18" t="s">
        <v>333</v>
      </c>
      <c r="AD199" s="18" t="s">
        <v>335</v>
      </c>
      <c r="AE199" s="18">
        <v>20</v>
      </c>
      <c r="AF199" s="18">
        <v>5.5</v>
      </c>
      <c r="AG199" s="18" t="s">
        <v>32</v>
      </c>
      <c r="AH199" s="18" t="s">
        <v>34</v>
      </c>
      <c r="AI199" s="18">
        <f>+VLOOKUP(AH199,Leyenda!$O$4:$U$10,6,FALSE)</f>
        <v>0</v>
      </c>
      <c r="AJ199" s="18" t="str">
        <f>+VLOOKUP(AG199,Leyenda!$O$4:$U$10,7,FALSE)</f>
        <v>No Blasting need</v>
      </c>
      <c r="AK199" s="18">
        <f>+VLOOKUP(AJ199,Leyenda!$U$4:$V$10,2,FALSE)</f>
        <v>2</v>
      </c>
      <c r="AL199" s="18" t="s">
        <v>29</v>
      </c>
      <c r="AM199" s="18" t="str">
        <f t="shared" si="78"/>
        <v>R0</v>
      </c>
      <c r="AN199" s="18" t="s">
        <v>66</v>
      </c>
      <c r="AO199" s="18" t="s">
        <v>79</v>
      </c>
      <c r="AP199" s="18" t="s">
        <v>96</v>
      </c>
      <c r="AQ199" s="18" t="s">
        <v>107</v>
      </c>
      <c r="AR199" s="18" t="s">
        <v>120</v>
      </c>
      <c r="AS199" s="18" t="s">
        <v>198</v>
      </c>
      <c r="AT199" s="18" t="s">
        <v>240</v>
      </c>
      <c r="AU199" s="18"/>
      <c r="AV199" s="18">
        <f>+VLOOKUP(AN199,Leyenda!$B$30:$E$34,3,FALSE)</f>
        <v>1</v>
      </c>
      <c r="AW199" s="18">
        <f>+VLOOKUP('2. Logging Brejo Seco'!AO199,Meteorizacion,3,FALSE)</f>
        <v>1</v>
      </c>
      <c r="AX199" s="18">
        <f>+VLOOKUP('2. Logging Brejo Seco'!AP199,Apertura,3,FALSE)</f>
        <v>1</v>
      </c>
      <c r="AY199" s="18">
        <f>+VLOOKUP('2. Logging Brejo Seco'!AQ199,Leyenda!$B$55:$D$59,3,FALSE)</f>
        <v>3</v>
      </c>
      <c r="AZ199" s="18">
        <f>+VLOOKUP('2. Logging Brejo Seco'!AR199,Relleno,3,FALSE)</f>
        <v>2</v>
      </c>
      <c r="BA199" s="18">
        <f t="shared" si="65"/>
        <v>8</v>
      </c>
      <c r="BB199" s="49">
        <f t="shared" si="73"/>
        <v>0</v>
      </c>
      <c r="BC199" s="49">
        <f>VLOOKUP(AM199,Leyenda!$B$4:$D$10,3,FALSE)</f>
        <v>0</v>
      </c>
      <c r="BD199" s="50">
        <f t="shared" si="79"/>
        <v>5</v>
      </c>
      <c r="BE199" s="49">
        <f t="shared" si="80"/>
        <v>8</v>
      </c>
      <c r="BF199" s="49">
        <f>VLOOKUP(AS199,Leyenda!$B$70:$D$75,3,FALSE)</f>
        <v>15</v>
      </c>
      <c r="BG199" s="67">
        <f t="shared" si="74"/>
        <v>12</v>
      </c>
      <c r="BH199" s="67">
        <f>VLOOKUP(AM199,Leyenda!$B$4:$E$10,4,FALSE)</f>
        <v>0</v>
      </c>
      <c r="BI199" s="67">
        <f t="shared" si="81"/>
        <v>5</v>
      </c>
      <c r="BJ199" s="67">
        <f t="shared" si="75"/>
        <v>0</v>
      </c>
      <c r="BK199" s="67">
        <f>+VLOOKUP('2. Logging Brejo Seco'!AP199,Leyenda!$B$47:$E$51,4,FALSE)</f>
        <v>1</v>
      </c>
      <c r="BL199" s="67">
        <f>+VLOOKUP('2. Logging Brejo Seco'!AQ199,Leyenda!$B$55:$E$59,4,FALSE)</f>
        <v>3</v>
      </c>
      <c r="BM199" s="67">
        <f>+VLOOKUP('2. Logging Brejo Seco'!AR199,Leyenda!$B$63:$E$67,3,FALSE)</f>
        <v>2</v>
      </c>
      <c r="BN199" s="67">
        <f>+VLOOKUP('2. Logging Brejo Seco'!AO199,Leyenda!$B$39:$E$43,4,FALSE)</f>
        <v>1</v>
      </c>
      <c r="BO199" s="67">
        <f>+VLOOKUP('2. Logging Brejo Seco'!AN199,Leyenda!$B$30:$E$34,4,FALSE)</f>
        <v>1</v>
      </c>
      <c r="BP199" s="67">
        <f>VLOOKUP(AS199,Leyenda!$B$71:$E$75,4,FALSE)</f>
        <v>10</v>
      </c>
      <c r="BQ199" s="125">
        <f t="shared" si="82"/>
        <v>23</v>
      </c>
      <c r="BR199" s="85">
        <f t="shared" si="83"/>
        <v>28</v>
      </c>
      <c r="BS199" s="240">
        <f t="shared" si="84"/>
        <v>0.78</v>
      </c>
      <c r="BT199" s="18"/>
    </row>
    <row r="200" spans="1:72" x14ac:dyDescent="0.25">
      <c r="A200" s="18" t="s">
        <v>6</v>
      </c>
      <c r="B200" s="18">
        <v>2024</v>
      </c>
      <c r="C200" s="18" t="s">
        <v>138</v>
      </c>
      <c r="D200" s="18" t="s">
        <v>245</v>
      </c>
      <c r="E200" s="18">
        <v>20</v>
      </c>
      <c r="F200" s="18">
        <v>20</v>
      </c>
      <c r="G200" s="18" t="s">
        <v>156</v>
      </c>
      <c r="H200" s="248">
        <f t="shared" si="63"/>
        <v>20</v>
      </c>
      <c r="I200" s="135"/>
      <c r="J200" s="18" t="s">
        <v>296</v>
      </c>
      <c r="K200" s="4">
        <f t="shared" si="69"/>
        <v>43.5</v>
      </c>
      <c r="L200" s="4">
        <v>44</v>
      </c>
      <c r="M200" s="4">
        <f t="shared" si="76"/>
        <v>0.5</v>
      </c>
      <c r="N200" s="5">
        <v>0.3</v>
      </c>
      <c r="O200" s="5">
        <f t="shared" si="68"/>
        <v>0.7</v>
      </c>
      <c r="P200" s="31">
        <f t="shared" si="77"/>
        <v>0.15</v>
      </c>
      <c r="Q200" s="31">
        <f t="shared" si="72"/>
        <v>0.15</v>
      </c>
      <c r="R200" s="31">
        <v>7.5</v>
      </c>
      <c r="S200" s="31">
        <v>20</v>
      </c>
      <c r="T200" s="31">
        <v>0.15</v>
      </c>
      <c r="U200" s="31">
        <v>0</v>
      </c>
      <c r="V200" s="187">
        <f t="shared" si="64"/>
        <v>0</v>
      </c>
      <c r="W200" s="31">
        <v>7</v>
      </c>
      <c r="X200" s="31"/>
      <c r="Y200" s="31">
        <f t="shared" si="70"/>
        <v>7</v>
      </c>
      <c r="Z200" s="31">
        <f t="shared" si="71"/>
        <v>21.428571428571427</v>
      </c>
      <c r="AA200" s="18">
        <v>0</v>
      </c>
      <c r="AB200" s="18" t="s">
        <v>330</v>
      </c>
      <c r="AC200" s="18" t="s">
        <v>333</v>
      </c>
      <c r="AD200" s="18" t="s">
        <v>335</v>
      </c>
      <c r="AE200" s="18">
        <v>20</v>
      </c>
      <c r="AF200" s="18">
        <v>7.5</v>
      </c>
      <c r="AG200" s="18" t="s">
        <v>32</v>
      </c>
      <c r="AH200" s="18" t="s">
        <v>34</v>
      </c>
      <c r="AI200" s="18">
        <f>+VLOOKUP(AH200,Leyenda!$O$4:$U$10,6,FALSE)</f>
        <v>0</v>
      </c>
      <c r="AJ200" s="18" t="str">
        <f>+VLOOKUP(AG200,Leyenda!$O$4:$U$10,7,FALSE)</f>
        <v>No Blasting need</v>
      </c>
      <c r="AK200" s="18">
        <f>+VLOOKUP(AJ200,Leyenda!$U$4:$V$10,2,FALSE)</f>
        <v>2</v>
      </c>
      <c r="AL200" s="18" t="s">
        <v>29</v>
      </c>
      <c r="AM200" s="18" t="str">
        <f t="shared" si="78"/>
        <v>R0</v>
      </c>
      <c r="AN200" s="18" t="s">
        <v>66</v>
      </c>
      <c r="AO200" s="18" t="s">
        <v>79</v>
      </c>
      <c r="AP200" s="18" t="s">
        <v>96</v>
      </c>
      <c r="AQ200" s="18" t="s">
        <v>107</v>
      </c>
      <c r="AR200" s="18" t="s">
        <v>120</v>
      </c>
      <c r="AS200" s="18" t="s">
        <v>198</v>
      </c>
      <c r="AT200" s="18" t="s">
        <v>240</v>
      </c>
      <c r="AU200" s="18"/>
      <c r="AV200" s="18">
        <f>+VLOOKUP(AN200,Leyenda!$B$30:$E$34,3,FALSE)</f>
        <v>1</v>
      </c>
      <c r="AW200" s="18">
        <f>+VLOOKUP('2. Logging Brejo Seco'!AO200,Meteorizacion,3,FALSE)</f>
        <v>1</v>
      </c>
      <c r="AX200" s="18">
        <f>+VLOOKUP('2. Logging Brejo Seco'!AP200,Apertura,3,FALSE)</f>
        <v>1</v>
      </c>
      <c r="AY200" s="18">
        <f>+VLOOKUP('2. Logging Brejo Seco'!AQ200,Leyenda!$B$55:$D$59,3,FALSE)</f>
        <v>3</v>
      </c>
      <c r="AZ200" s="18">
        <f>+VLOOKUP('2. Logging Brejo Seco'!AR200,Relleno,3,FALSE)</f>
        <v>2</v>
      </c>
      <c r="BA200" s="18">
        <f t="shared" si="65"/>
        <v>8</v>
      </c>
      <c r="BB200" s="49">
        <f t="shared" si="73"/>
        <v>0</v>
      </c>
      <c r="BC200" s="49">
        <f>VLOOKUP(AM200,Leyenda!$B$4:$D$10,3,FALSE)</f>
        <v>0</v>
      </c>
      <c r="BD200" s="50">
        <f t="shared" si="79"/>
        <v>4</v>
      </c>
      <c r="BE200" s="49">
        <f t="shared" si="80"/>
        <v>8</v>
      </c>
      <c r="BF200" s="49">
        <f>VLOOKUP(AS200,Leyenda!$B$70:$D$75,3,FALSE)</f>
        <v>15</v>
      </c>
      <c r="BG200" s="67">
        <f t="shared" si="74"/>
        <v>12</v>
      </c>
      <c r="BH200" s="67">
        <f>VLOOKUP(AM200,Leyenda!$B$4:$E$10,4,FALSE)</f>
        <v>0</v>
      </c>
      <c r="BI200" s="67">
        <f t="shared" si="81"/>
        <v>5</v>
      </c>
      <c r="BJ200" s="67">
        <f t="shared" si="75"/>
        <v>0</v>
      </c>
      <c r="BK200" s="67">
        <f>+VLOOKUP('2. Logging Brejo Seco'!AP200,Leyenda!$B$47:$E$51,4,FALSE)</f>
        <v>1</v>
      </c>
      <c r="BL200" s="67">
        <f>+VLOOKUP('2. Logging Brejo Seco'!AQ200,Leyenda!$B$55:$E$59,4,FALSE)</f>
        <v>3</v>
      </c>
      <c r="BM200" s="67">
        <f>+VLOOKUP('2. Logging Brejo Seco'!AR200,Leyenda!$B$63:$E$67,3,FALSE)</f>
        <v>2</v>
      </c>
      <c r="BN200" s="67">
        <f>+VLOOKUP('2. Logging Brejo Seco'!AO200,Leyenda!$B$39:$E$43,4,FALSE)</f>
        <v>1</v>
      </c>
      <c r="BO200" s="67">
        <f>+VLOOKUP('2. Logging Brejo Seco'!AN200,Leyenda!$B$30:$E$34,4,FALSE)</f>
        <v>1</v>
      </c>
      <c r="BP200" s="67">
        <f>VLOOKUP(AS200,Leyenda!$B$71:$E$75,4,FALSE)</f>
        <v>10</v>
      </c>
      <c r="BQ200" s="125">
        <f t="shared" si="82"/>
        <v>23</v>
      </c>
      <c r="BR200" s="85">
        <f t="shared" si="83"/>
        <v>27</v>
      </c>
      <c r="BS200" s="240">
        <f t="shared" si="84"/>
        <v>0.7</v>
      </c>
      <c r="BT200" s="18"/>
    </row>
    <row r="201" spans="1:72" x14ac:dyDescent="0.25">
      <c r="A201" s="18" t="s">
        <v>6</v>
      </c>
      <c r="B201" s="18">
        <v>2024</v>
      </c>
      <c r="C201" s="18" t="s">
        <v>138</v>
      </c>
      <c r="D201" s="18" t="s">
        <v>245</v>
      </c>
      <c r="E201" s="18">
        <v>20</v>
      </c>
      <c r="F201" s="18">
        <v>20</v>
      </c>
      <c r="G201" s="18" t="s">
        <v>156</v>
      </c>
      <c r="H201" s="248">
        <f t="shared" si="63"/>
        <v>20</v>
      </c>
      <c r="I201" s="135"/>
      <c r="J201" s="18" t="s">
        <v>296</v>
      </c>
      <c r="K201" s="38">
        <f t="shared" si="69"/>
        <v>44</v>
      </c>
      <c r="L201" s="38">
        <v>44.5</v>
      </c>
      <c r="M201" s="4">
        <f t="shared" si="76"/>
        <v>0.5</v>
      </c>
      <c r="N201" s="5">
        <v>0.26</v>
      </c>
      <c r="O201" s="5">
        <f t="shared" si="68"/>
        <v>0.74</v>
      </c>
      <c r="P201" s="31">
        <f t="shared" si="77"/>
        <v>0.13</v>
      </c>
      <c r="Q201" s="31">
        <f t="shared" si="72"/>
        <v>0.13</v>
      </c>
      <c r="R201" s="31">
        <v>6.5</v>
      </c>
      <c r="S201" s="31">
        <v>20</v>
      </c>
      <c r="T201" s="31">
        <v>0.12</v>
      </c>
      <c r="U201" s="31">
        <v>0</v>
      </c>
      <c r="V201" s="187">
        <f t="shared" si="64"/>
        <v>0</v>
      </c>
      <c r="W201" s="31">
        <v>3</v>
      </c>
      <c r="X201" s="31"/>
      <c r="Y201" s="31">
        <f t="shared" si="70"/>
        <v>3</v>
      </c>
      <c r="Z201" s="31">
        <f t="shared" si="71"/>
        <v>40</v>
      </c>
      <c r="AA201" s="18">
        <v>0</v>
      </c>
      <c r="AB201" s="18" t="s">
        <v>330</v>
      </c>
      <c r="AC201" s="18" t="s">
        <v>333</v>
      </c>
      <c r="AD201" s="18" t="s">
        <v>335</v>
      </c>
      <c r="AE201" s="18">
        <v>20</v>
      </c>
      <c r="AF201" s="18">
        <v>6.5</v>
      </c>
      <c r="AG201" s="128" t="s">
        <v>32</v>
      </c>
      <c r="AH201" s="128" t="s">
        <v>34</v>
      </c>
      <c r="AI201" s="18">
        <f>+VLOOKUP(AH201,Leyenda!$O$4:$U$10,6,FALSE)</f>
        <v>0</v>
      </c>
      <c r="AJ201" s="18" t="str">
        <f>+VLOOKUP(AG201,Leyenda!$O$4:$U$10,7,FALSE)</f>
        <v>No Blasting need</v>
      </c>
      <c r="AK201" s="18">
        <f>+VLOOKUP(AJ201,Leyenda!$U$4:$V$10,2,FALSE)</f>
        <v>2</v>
      </c>
      <c r="AL201" s="128" t="s">
        <v>29</v>
      </c>
      <c r="AM201" s="18" t="str">
        <f t="shared" si="78"/>
        <v>R0</v>
      </c>
      <c r="AN201" s="128" t="s">
        <v>66</v>
      </c>
      <c r="AO201" s="128" t="s">
        <v>79</v>
      </c>
      <c r="AP201" s="128" t="s">
        <v>96</v>
      </c>
      <c r="AQ201" s="128" t="s">
        <v>107</v>
      </c>
      <c r="AR201" s="128" t="s">
        <v>120</v>
      </c>
      <c r="AS201" s="128" t="s">
        <v>198</v>
      </c>
      <c r="AT201" s="18" t="s">
        <v>240</v>
      </c>
      <c r="AU201" s="18"/>
      <c r="AV201" s="18">
        <f>+VLOOKUP(AN201,Leyenda!$B$30:$E$34,3,FALSE)</f>
        <v>1</v>
      </c>
      <c r="AW201" s="18">
        <f>+VLOOKUP('2. Logging Brejo Seco'!AO201,Meteorizacion,3,FALSE)</f>
        <v>1</v>
      </c>
      <c r="AX201" s="18">
        <f>+VLOOKUP('2. Logging Brejo Seco'!AP201,Apertura,3,FALSE)</f>
        <v>1</v>
      </c>
      <c r="AY201" s="18">
        <f>+VLOOKUP('2. Logging Brejo Seco'!AQ201,Leyenda!$B$55:$D$59,3,FALSE)</f>
        <v>3</v>
      </c>
      <c r="AZ201" s="18">
        <f>+VLOOKUP('2. Logging Brejo Seco'!AR201,Relleno,3,FALSE)</f>
        <v>2</v>
      </c>
      <c r="BA201" s="18">
        <f t="shared" si="65"/>
        <v>8</v>
      </c>
      <c r="BB201" s="49">
        <f t="shared" si="73"/>
        <v>0</v>
      </c>
      <c r="BC201" s="49">
        <f>VLOOKUP(AM201,Leyenda!$B$4:$D$10,3,FALSE)</f>
        <v>0</v>
      </c>
      <c r="BD201" s="50">
        <f t="shared" si="79"/>
        <v>5</v>
      </c>
      <c r="BE201" s="49">
        <f t="shared" si="80"/>
        <v>8</v>
      </c>
      <c r="BF201" s="49">
        <f>VLOOKUP(AS201,Leyenda!$B$70:$D$75,3,FALSE)</f>
        <v>15</v>
      </c>
      <c r="BG201" s="67">
        <f t="shared" si="74"/>
        <v>12</v>
      </c>
      <c r="BH201" s="67">
        <f>VLOOKUP(AM201,Leyenda!$B$4:$E$10,4,FALSE)</f>
        <v>0</v>
      </c>
      <c r="BI201" s="67">
        <f t="shared" si="81"/>
        <v>5</v>
      </c>
      <c r="BJ201" s="67">
        <f t="shared" si="75"/>
        <v>0</v>
      </c>
      <c r="BK201" s="67">
        <f>+VLOOKUP('2. Logging Brejo Seco'!AP201,Leyenda!$B$47:$E$51,4,FALSE)</f>
        <v>1</v>
      </c>
      <c r="BL201" s="67">
        <f>+VLOOKUP('2. Logging Brejo Seco'!AQ201,Leyenda!$B$55:$E$59,4,FALSE)</f>
        <v>3</v>
      </c>
      <c r="BM201" s="67">
        <f>+VLOOKUP('2. Logging Brejo Seco'!AR201,Leyenda!$B$63:$E$67,3,FALSE)</f>
        <v>2</v>
      </c>
      <c r="BN201" s="67">
        <f>+VLOOKUP('2. Logging Brejo Seco'!AO201,Leyenda!$B$39:$E$43,4,FALSE)</f>
        <v>1</v>
      </c>
      <c r="BO201" s="67">
        <f>+VLOOKUP('2. Logging Brejo Seco'!AN201,Leyenda!$B$30:$E$34,4,FALSE)</f>
        <v>1</v>
      </c>
      <c r="BP201" s="67">
        <f>VLOOKUP(AS201,Leyenda!$B$71:$E$75,4,FALSE)</f>
        <v>10</v>
      </c>
      <c r="BQ201" s="125">
        <f t="shared" si="82"/>
        <v>23</v>
      </c>
      <c r="BR201" s="85">
        <f t="shared" si="83"/>
        <v>28</v>
      </c>
      <c r="BS201" s="240">
        <f t="shared" si="84"/>
        <v>0.74</v>
      </c>
      <c r="BT201" s="18"/>
    </row>
    <row r="202" spans="1:72" x14ac:dyDescent="0.25">
      <c r="A202" s="18" t="s">
        <v>6</v>
      </c>
      <c r="B202" s="18">
        <v>2024</v>
      </c>
      <c r="C202" s="18" t="s">
        <v>138</v>
      </c>
      <c r="D202" s="18" t="s">
        <v>245</v>
      </c>
      <c r="E202" s="18">
        <v>20</v>
      </c>
      <c r="F202" s="18">
        <v>20</v>
      </c>
      <c r="G202" s="18" t="s">
        <v>156</v>
      </c>
      <c r="H202" s="248">
        <f t="shared" ref="H202:H265" si="85">+F202</f>
        <v>20</v>
      </c>
      <c r="I202" s="135"/>
      <c r="J202" s="18" t="s">
        <v>296</v>
      </c>
      <c r="K202" s="4">
        <f t="shared" si="69"/>
        <v>44.5</v>
      </c>
      <c r="L202" s="4">
        <v>45</v>
      </c>
      <c r="M202" s="4">
        <f t="shared" si="76"/>
        <v>0.5</v>
      </c>
      <c r="N202" s="5">
        <v>0.32</v>
      </c>
      <c r="O202" s="5">
        <f t="shared" si="68"/>
        <v>0.67999999999999994</v>
      </c>
      <c r="P202" s="31">
        <f t="shared" si="77"/>
        <v>0.16</v>
      </c>
      <c r="Q202" s="31">
        <f t="shared" si="72"/>
        <v>0.16</v>
      </c>
      <c r="R202" s="31">
        <v>8</v>
      </c>
      <c r="S202" s="31">
        <v>20</v>
      </c>
      <c r="T202" s="31">
        <v>0.15</v>
      </c>
      <c r="U202" s="31">
        <v>0</v>
      </c>
      <c r="V202" s="187">
        <f t="shared" ref="V202:V265" si="86">+U202/M202*100</f>
        <v>0</v>
      </c>
      <c r="W202" s="31">
        <v>5</v>
      </c>
      <c r="X202" s="31"/>
      <c r="Y202" s="31">
        <f t="shared" si="70"/>
        <v>5</v>
      </c>
      <c r="Z202" s="31">
        <f t="shared" si="71"/>
        <v>30</v>
      </c>
      <c r="AA202" s="18">
        <v>0</v>
      </c>
      <c r="AB202" s="18" t="s">
        <v>330</v>
      </c>
      <c r="AC202" s="18" t="s">
        <v>333</v>
      </c>
      <c r="AD202" s="18" t="s">
        <v>335</v>
      </c>
      <c r="AE202" s="18">
        <v>20</v>
      </c>
      <c r="AF202" s="18">
        <v>8</v>
      </c>
      <c r="AG202" s="18" t="s">
        <v>32</v>
      </c>
      <c r="AH202" s="18" t="s">
        <v>34</v>
      </c>
      <c r="AI202" s="18">
        <f>+VLOOKUP(AH202,Leyenda!$O$4:$U$10,6,FALSE)</f>
        <v>0</v>
      </c>
      <c r="AJ202" s="18" t="str">
        <f>+VLOOKUP(AG202,Leyenda!$O$4:$U$10,7,FALSE)</f>
        <v>No Blasting need</v>
      </c>
      <c r="AK202" s="18">
        <f>+VLOOKUP(AJ202,Leyenda!$U$4:$V$10,2,FALSE)</f>
        <v>2</v>
      </c>
      <c r="AL202" s="18" t="s">
        <v>29</v>
      </c>
      <c r="AM202" s="18" t="str">
        <f t="shared" si="78"/>
        <v>R0</v>
      </c>
      <c r="AN202" s="18" t="s">
        <v>66</v>
      </c>
      <c r="AO202" s="18" t="s">
        <v>79</v>
      </c>
      <c r="AP202" s="18" t="s">
        <v>96</v>
      </c>
      <c r="AQ202" s="18" t="s">
        <v>107</v>
      </c>
      <c r="AR202" s="18" t="s">
        <v>120</v>
      </c>
      <c r="AS202" s="18" t="s">
        <v>198</v>
      </c>
      <c r="AT202" s="18" t="s">
        <v>240</v>
      </c>
      <c r="AU202" s="18"/>
      <c r="AV202" s="18">
        <f>+VLOOKUP(AN202,Leyenda!$B$30:$E$34,3,FALSE)</f>
        <v>1</v>
      </c>
      <c r="AW202" s="18">
        <f>+VLOOKUP('2. Logging Brejo Seco'!AO202,Meteorizacion,3,FALSE)</f>
        <v>1</v>
      </c>
      <c r="AX202" s="18">
        <f>+VLOOKUP('2. Logging Brejo Seco'!AP202,Apertura,3,FALSE)</f>
        <v>1</v>
      </c>
      <c r="AY202" s="18">
        <f>+VLOOKUP('2. Logging Brejo Seco'!AQ202,Leyenda!$B$55:$D$59,3,FALSE)</f>
        <v>3</v>
      </c>
      <c r="AZ202" s="18">
        <f>+VLOOKUP('2. Logging Brejo Seco'!AR202,Relleno,3,FALSE)</f>
        <v>2</v>
      </c>
      <c r="BA202" s="18">
        <f t="shared" ref="BA202:BA265" si="87">+SUM(AV202:AZ202)</f>
        <v>8</v>
      </c>
      <c r="BB202" s="49">
        <f t="shared" si="73"/>
        <v>0</v>
      </c>
      <c r="BC202" s="49">
        <f>VLOOKUP(AM202,Leyenda!$B$4:$D$10,3,FALSE)</f>
        <v>0</v>
      </c>
      <c r="BD202" s="50">
        <f t="shared" si="79"/>
        <v>5</v>
      </c>
      <c r="BE202" s="49">
        <f t="shared" si="80"/>
        <v>8</v>
      </c>
      <c r="BF202" s="49">
        <f>VLOOKUP(AS202,Leyenda!$B$70:$D$75,3,FALSE)</f>
        <v>15</v>
      </c>
      <c r="BG202" s="67">
        <f t="shared" si="74"/>
        <v>12</v>
      </c>
      <c r="BH202" s="67">
        <f>VLOOKUP(AM202,Leyenda!$B$4:$E$10,4,FALSE)</f>
        <v>0</v>
      </c>
      <c r="BI202" s="67">
        <f t="shared" si="81"/>
        <v>5</v>
      </c>
      <c r="BJ202" s="67">
        <f t="shared" si="75"/>
        <v>0</v>
      </c>
      <c r="BK202" s="67">
        <f>+VLOOKUP('2. Logging Brejo Seco'!AP202,Leyenda!$B$47:$E$51,4,FALSE)</f>
        <v>1</v>
      </c>
      <c r="BL202" s="67">
        <f>+VLOOKUP('2. Logging Brejo Seco'!AQ202,Leyenda!$B$55:$E$59,4,FALSE)</f>
        <v>3</v>
      </c>
      <c r="BM202" s="67">
        <f>+VLOOKUP('2. Logging Brejo Seco'!AR202,Leyenda!$B$63:$E$67,3,FALSE)</f>
        <v>2</v>
      </c>
      <c r="BN202" s="67">
        <f>+VLOOKUP('2. Logging Brejo Seco'!AO202,Leyenda!$B$39:$E$43,4,FALSE)</f>
        <v>1</v>
      </c>
      <c r="BO202" s="67">
        <f>+VLOOKUP('2. Logging Brejo Seco'!AN202,Leyenda!$B$30:$E$34,4,FALSE)</f>
        <v>1</v>
      </c>
      <c r="BP202" s="67">
        <f>VLOOKUP(AS202,Leyenda!$B$71:$E$75,4,FALSE)</f>
        <v>10</v>
      </c>
      <c r="BQ202" s="125">
        <f t="shared" si="82"/>
        <v>23</v>
      </c>
      <c r="BR202" s="85">
        <f t="shared" si="83"/>
        <v>28</v>
      </c>
      <c r="BS202" s="240">
        <f t="shared" si="84"/>
        <v>0.67999999999999994</v>
      </c>
      <c r="BT202" s="18"/>
    </row>
    <row r="203" spans="1:72" x14ac:dyDescent="0.25">
      <c r="A203" s="18" t="s">
        <v>6</v>
      </c>
      <c r="B203" s="18">
        <v>2024</v>
      </c>
      <c r="C203" s="18" t="s">
        <v>138</v>
      </c>
      <c r="D203" s="18" t="s">
        <v>245</v>
      </c>
      <c r="E203" s="18">
        <v>20</v>
      </c>
      <c r="F203" s="18">
        <v>20</v>
      </c>
      <c r="G203" s="18" t="s">
        <v>156</v>
      </c>
      <c r="H203" s="248">
        <f t="shared" si="85"/>
        <v>20</v>
      </c>
      <c r="I203" s="135"/>
      <c r="J203" s="18" t="s">
        <v>296</v>
      </c>
      <c r="K203" s="4">
        <f t="shared" si="69"/>
        <v>45</v>
      </c>
      <c r="L203" s="4">
        <v>45.5</v>
      </c>
      <c r="M203" s="4">
        <f t="shared" si="76"/>
        <v>0.5</v>
      </c>
      <c r="N203" s="5">
        <v>0.34</v>
      </c>
      <c r="O203" s="5">
        <f t="shared" si="68"/>
        <v>0.65999999999999992</v>
      </c>
      <c r="P203" s="31">
        <f t="shared" si="77"/>
        <v>0.17</v>
      </c>
      <c r="Q203" s="31">
        <f t="shared" si="72"/>
        <v>0.17</v>
      </c>
      <c r="R203" s="31">
        <v>8.5</v>
      </c>
      <c r="S203" s="31">
        <v>20</v>
      </c>
      <c r="T203" s="31">
        <v>0.17</v>
      </c>
      <c r="U203" s="31">
        <v>0</v>
      </c>
      <c r="V203" s="187">
        <f t="shared" si="86"/>
        <v>0</v>
      </c>
      <c r="W203" s="31">
        <v>5</v>
      </c>
      <c r="X203" s="31"/>
      <c r="Y203" s="31">
        <f t="shared" si="70"/>
        <v>5</v>
      </c>
      <c r="Z203" s="31">
        <f t="shared" si="71"/>
        <v>34</v>
      </c>
      <c r="AA203" s="18">
        <v>0</v>
      </c>
      <c r="AB203" s="18" t="s">
        <v>330</v>
      </c>
      <c r="AC203" s="18" t="s">
        <v>333</v>
      </c>
      <c r="AD203" s="18" t="s">
        <v>337</v>
      </c>
      <c r="AE203" s="18">
        <v>20</v>
      </c>
      <c r="AF203" s="18">
        <v>8.5</v>
      </c>
      <c r="AG203" s="18" t="s">
        <v>32</v>
      </c>
      <c r="AH203" s="18" t="s">
        <v>32</v>
      </c>
      <c r="AI203" s="18" t="str">
        <f>+VLOOKUP(AH203,Leyenda!$O$4:$U$10,6,FALSE)</f>
        <v>0,15-0,25</v>
      </c>
      <c r="AJ203" s="18" t="str">
        <f>+VLOOKUP(AG203,Leyenda!$O$4:$U$10,7,FALSE)</f>
        <v>No Blasting need</v>
      </c>
      <c r="AK203" s="18">
        <f>+VLOOKUP(AJ203,Leyenda!$U$4:$V$10,2,FALSE)</f>
        <v>2</v>
      </c>
      <c r="AL203" s="18" t="s">
        <v>29</v>
      </c>
      <c r="AM203" s="18" t="str">
        <f t="shared" si="78"/>
        <v>R1</v>
      </c>
      <c r="AN203" s="18" t="s">
        <v>66</v>
      </c>
      <c r="AO203" s="18" t="s">
        <v>79</v>
      </c>
      <c r="AP203" s="18" t="s">
        <v>96</v>
      </c>
      <c r="AQ203" s="18" t="s">
        <v>107</v>
      </c>
      <c r="AR203" s="18" t="s">
        <v>120</v>
      </c>
      <c r="AS203" s="18" t="s">
        <v>198</v>
      </c>
      <c r="AT203" s="18" t="s">
        <v>240</v>
      </c>
      <c r="AU203" s="18"/>
      <c r="AV203" s="18">
        <f>+VLOOKUP(AN203,Leyenda!$B$30:$E$34,3,FALSE)</f>
        <v>1</v>
      </c>
      <c r="AW203" s="18">
        <f>+VLOOKUP('2. Logging Brejo Seco'!AO203,Meteorizacion,3,FALSE)</f>
        <v>1</v>
      </c>
      <c r="AX203" s="18">
        <f>+VLOOKUP('2. Logging Brejo Seco'!AP203,Apertura,3,FALSE)</f>
        <v>1</v>
      </c>
      <c r="AY203" s="18">
        <f>+VLOOKUP('2. Logging Brejo Seco'!AQ203,Leyenda!$B$55:$D$59,3,FALSE)</f>
        <v>3</v>
      </c>
      <c r="AZ203" s="18">
        <f>+VLOOKUP('2. Logging Brejo Seco'!AR203,Relleno,3,FALSE)</f>
        <v>2</v>
      </c>
      <c r="BA203" s="18">
        <f t="shared" si="87"/>
        <v>8</v>
      </c>
      <c r="BB203" s="49">
        <f t="shared" si="73"/>
        <v>0</v>
      </c>
      <c r="BC203" s="49">
        <f>VLOOKUP(AM203,Leyenda!$B$4:$D$10,3,FALSE)</f>
        <v>1</v>
      </c>
      <c r="BD203" s="50">
        <f t="shared" si="79"/>
        <v>5</v>
      </c>
      <c r="BE203" s="49">
        <f t="shared" si="80"/>
        <v>8</v>
      </c>
      <c r="BF203" s="49">
        <f>VLOOKUP(AS203,Leyenda!$B$70:$D$75,3,FALSE)</f>
        <v>15</v>
      </c>
      <c r="BG203" s="67">
        <f t="shared" si="74"/>
        <v>12</v>
      </c>
      <c r="BH203" s="67">
        <f>VLOOKUP(AM203,Leyenda!$B$4:$E$10,4,FALSE)</f>
        <v>1</v>
      </c>
      <c r="BI203" s="67">
        <f t="shared" si="81"/>
        <v>5</v>
      </c>
      <c r="BJ203" s="67">
        <f t="shared" si="75"/>
        <v>0</v>
      </c>
      <c r="BK203" s="67">
        <f>+VLOOKUP('2. Logging Brejo Seco'!AP203,Leyenda!$B$47:$E$51,4,FALSE)</f>
        <v>1</v>
      </c>
      <c r="BL203" s="67">
        <f>+VLOOKUP('2. Logging Brejo Seco'!AQ203,Leyenda!$B$55:$E$59,4,FALSE)</f>
        <v>3</v>
      </c>
      <c r="BM203" s="67">
        <f>+VLOOKUP('2. Logging Brejo Seco'!AR203,Leyenda!$B$63:$E$67,3,FALSE)</f>
        <v>2</v>
      </c>
      <c r="BN203" s="67">
        <f>+VLOOKUP('2. Logging Brejo Seco'!AO203,Leyenda!$B$39:$E$43,4,FALSE)</f>
        <v>1</v>
      </c>
      <c r="BO203" s="67">
        <f>+VLOOKUP('2. Logging Brejo Seco'!AN203,Leyenda!$B$30:$E$34,4,FALSE)</f>
        <v>1</v>
      </c>
      <c r="BP203" s="67">
        <f>VLOOKUP(AS203,Leyenda!$B$71:$E$75,4,FALSE)</f>
        <v>10</v>
      </c>
      <c r="BQ203" s="125">
        <f t="shared" si="82"/>
        <v>24</v>
      </c>
      <c r="BR203" s="85">
        <f t="shared" si="83"/>
        <v>29</v>
      </c>
      <c r="BS203" s="240">
        <f t="shared" si="84"/>
        <v>0.65999999999999992</v>
      </c>
      <c r="BT203" s="18"/>
    </row>
    <row r="204" spans="1:72" x14ac:dyDescent="0.25">
      <c r="A204" s="18" t="s">
        <v>6</v>
      </c>
      <c r="B204" s="18">
        <v>2024</v>
      </c>
      <c r="C204" s="18" t="s">
        <v>138</v>
      </c>
      <c r="D204" s="18" t="s">
        <v>245</v>
      </c>
      <c r="E204" s="18">
        <v>20</v>
      </c>
      <c r="F204" s="18">
        <v>20</v>
      </c>
      <c r="G204" s="18" t="s">
        <v>156</v>
      </c>
      <c r="H204" s="248">
        <f t="shared" si="85"/>
        <v>20</v>
      </c>
      <c r="I204" s="135"/>
      <c r="J204" s="18" t="s">
        <v>296</v>
      </c>
      <c r="K204" s="4">
        <f t="shared" si="69"/>
        <v>45.5</v>
      </c>
      <c r="L204" s="4">
        <v>46</v>
      </c>
      <c r="M204" s="4">
        <f t="shared" si="76"/>
        <v>0.5</v>
      </c>
      <c r="N204" s="5">
        <v>0.32</v>
      </c>
      <c r="O204" s="5">
        <f t="shared" si="68"/>
        <v>0.67999999999999994</v>
      </c>
      <c r="P204" s="31">
        <f t="shared" si="77"/>
        <v>0.16</v>
      </c>
      <c r="Q204" s="31">
        <f t="shared" si="72"/>
        <v>0.16</v>
      </c>
      <c r="R204" s="31">
        <v>8</v>
      </c>
      <c r="S204" s="31">
        <v>20</v>
      </c>
      <c r="T204" s="31">
        <v>0.14000000000000001</v>
      </c>
      <c r="U204" s="31">
        <v>0</v>
      </c>
      <c r="V204" s="187">
        <f t="shared" si="86"/>
        <v>0</v>
      </c>
      <c r="W204" s="31">
        <v>5</v>
      </c>
      <c r="X204" s="31"/>
      <c r="Y204" s="31">
        <f t="shared" si="70"/>
        <v>5</v>
      </c>
      <c r="Z204" s="31">
        <f t="shared" si="71"/>
        <v>28</v>
      </c>
      <c r="AA204" s="18">
        <v>0</v>
      </c>
      <c r="AB204" s="18" t="s">
        <v>330</v>
      </c>
      <c r="AC204" s="18" t="s">
        <v>333</v>
      </c>
      <c r="AD204" s="18" t="s">
        <v>337</v>
      </c>
      <c r="AE204" s="18">
        <v>20</v>
      </c>
      <c r="AF204" s="18">
        <v>8</v>
      </c>
      <c r="AG204" s="18" t="s">
        <v>32</v>
      </c>
      <c r="AH204" s="18" t="s">
        <v>32</v>
      </c>
      <c r="AI204" s="18" t="str">
        <f>+VLOOKUP(AH204,Leyenda!$O$4:$U$10,6,FALSE)</f>
        <v>0,15-0,25</v>
      </c>
      <c r="AJ204" s="18" t="str">
        <f>+VLOOKUP(AG204,Leyenda!$O$4:$U$10,7,FALSE)</f>
        <v>No Blasting need</v>
      </c>
      <c r="AK204" s="18">
        <f>+VLOOKUP(AJ204,Leyenda!$U$4:$V$10,2,FALSE)</f>
        <v>2</v>
      </c>
      <c r="AL204" s="18" t="s">
        <v>29</v>
      </c>
      <c r="AM204" s="18" t="str">
        <f t="shared" si="78"/>
        <v>R1</v>
      </c>
      <c r="AN204" s="18" t="s">
        <v>66</v>
      </c>
      <c r="AO204" s="18" t="s">
        <v>79</v>
      </c>
      <c r="AP204" s="18" t="s">
        <v>96</v>
      </c>
      <c r="AQ204" s="18" t="s">
        <v>107</v>
      </c>
      <c r="AR204" s="18" t="s">
        <v>120</v>
      </c>
      <c r="AS204" s="18" t="s">
        <v>198</v>
      </c>
      <c r="AT204" s="18" t="s">
        <v>240</v>
      </c>
      <c r="AU204" s="18"/>
      <c r="AV204" s="18">
        <f>+VLOOKUP(AN204,Leyenda!$B$30:$E$34,3,FALSE)</f>
        <v>1</v>
      </c>
      <c r="AW204" s="18">
        <f>+VLOOKUP('2. Logging Brejo Seco'!AO204,Meteorizacion,3,FALSE)</f>
        <v>1</v>
      </c>
      <c r="AX204" s="18">
        <f>+VLOOKUP('2. Logging Brejo Seco'!AP204,Apertura,3,FALSE)</f>
        <v>1</v>
      </c>
      <c r="AY204" s="18">
        <f>+VLOOKUP('2. Logging Brejo Seco'!AQ204,Leyenda!$B$55:$D$59,3,FALSE)</f>
        <v>3</v>
      </c>
      <c r="AZ204" s="18">
        <f>+VLOOKUP('2. Logging Brejo Seco'!AR204,Relleno,3,FALSE)</f>
        <v>2</v>
      </c>
      <c r="BA204" s="18">
        <f t="shared" si="87"/>
        <v>8</v>
      </c>
      <c r="BB204" s="49">
        <f t="shared" si="73"/>
        <v>0</v>
      </c>
      <c r="BC204" s="49">
        <f>VLOOKUP(AM204,Leyenda!$B$4:$D$10,3,FALSE)</f>
        <v>1</v>
      </c>
      <c r="BD204" s="50">
        <f t="shared" si="79"/>
        <v>5</v>
      </c>
      <c r="BE204" s="49">
        <f t="shared" si="80"/>
        <v>8</v>
      </c>
      <c r="BF204" s="49">
        <f>VLOOKUP(AS204,Leyenda!$B$70:$D$75,3,FALSE)</f>
        <v>15</v>
      </c>
      <c r="BG204" s="67">
        <f t="shared" si="74"/>
        <v>12</v>
      </c>
      <c r="BH204" s="67">
        <f>VLOOKUP(AM204,Leyenda!$B$4:$E$10,4,FALSE)</f>
        <v>1</v>
      </c>
      <c r="BI204" s="67">
        <f t="shared" si="81"/>
        <v>5</v>
      </c>
      <c r="BJ204" s="67">
        <f t="shared" si="75"/>
        <v>0</v>
      </c>
      <c r="BK204" s="67">
        <f>+VLOOKUP('2. Logging Brejo Seco'!AP204,Leyenda!$B$47:$E$51,4,FALSE)</f>
        <v>1</v>
      </c>
      <c r="BL204" s="67">
        <f>+VLOOKUP('2. Logging Brejo Seco'!AQ204,Leyenda!$B$55:$E$59,4,FALSE)</f>
        <v>3</v>
      </c>
      <c r="BM204" s="67">
        <f>+VLOOKUP('2. Logging Brejo Seco'!AR204,Leyenda!$B$63:$E$67,3,FALSE)</f>
        <v>2</v>
      </c>
      <c r="BN204" s="67">
        <f>+VLOOKUP('2. Logging Brejo Seco'!AO204,Leyenda!$B$39:$E$43,4,FALSE)</f>
        <v>1</v>
      </c>
      <c r="BO204" s="67">
        <f>+VLOOKUP('2. Logging Brejo Seco'!AN204,Leyenda!$B$30:$E$34,4,FALSE)</f>
        <v>1</v>
      </c>
      <c r="BP204" s="67">
        <f>VLOOKUP(AS204,Leyenda!$B$71:$E$75,4,FALSE)</f>
        <v>10</v>
      </c>
      <c r="BQ204" s="125">
        <f t="shared" si="82"/>
        <v>24</v>
      </c>
      <c r="BR204" s="85">
        <f t="shared" si="83"/>
        <v>29</v>
      </c>
      <c r="BS204" s="240">
        <f t="shared" si="84"/>
        <v>0.67999999999999994</v>
      </c>
      <c r="BT204" s="18"/>
    </row>
    <row r="205" spans="1:72" x14ac:dyDescent="0.25">
      <c r="A205" s="18" t="s">
        <v>6</v>
      </c>
      <c r="B205" s="18">
        <v>2024</v>
      </c>
      <c r="C205" s="18" t="s">
        <v>138</v>
      </c>
      <c r="D205" s="18" t="s">
        <v>245</v>
      </c>
      <c r="E205" s="18">
        <v>20</v>
      </c>
      <c r="F205" s="18">
        <v>20</v>
      </c>
      <c r="G205" s="18" t="s">
        <v>156</v>
      </c>
      <c r="H205" s="248">
        <f t="shared" si="85"/>
        <v>20</v>
      </c>
      <c r="I205" s="135"/>
      <c r="J205" s="18" t="s">
        <v>296</v>
      </c>
      <c r="K205" s="4">
        <f t="shared" si="69"/>
        <v>46</v>
      </c>
      <c r="L205" s="4">
        <v>46.5</v>
      </c>
      <c r="M205" s="4">
        <f t="shared" si="76"/>
        <v>0.5</v>
      </c>
      <c r="N205" s="5">
        <v>0.22</v>
      </c>
      <c r="O205" s="5">
        <f t="shared" si="68"/>
        <v>0.78</v>
      </c>
      <c r="P205" s="31">
        <f t="shared" si="77"/>
        <v>0.11</v>
      </c>
      <c r="Q205" s="31">
        <f t="shared" si="72"/>
        <v>0.11</v>
      </c>
      <c r="R205" s="31">
        <v>5.5</v>
      </c>
      <c r="S205" s="31">
        <v>20</v>
      </c>
      <c r="T205" s="31">
        <v>0.11</v>
      </c>
      <c r="U205" s="31">
        <v>0</v>
      </c>
      <c r="V205" s="187">
        <f t="shared" si="86"/>
        <v>0</v>
      </c>
      <c r="W205" s="31">
        <v>5</v>
      </c>
      <c r="X205" s="31"/>
      <c r="Y205" s="31">
        <f t="shared" si="70"/>
        <v>5</v>
      </c>
      <c r="Z205" s="31">
        <f t="shared" si="71"/>
        <v>22</v>
      </c>
      <c r="AA205" s="18">
        <v>0</v>
      </c>
      <c r="AB205" s="18" t="s">
        <v>330</v>
      </c>
      <c r="AC205" s="18" t="s">
        <v>333</v>
      </c>
      <c r="AD205" s="18" t="s">
        <v>337</v>
      </c>
      <c r="AE205" s="18">
        <v>20</v>
      </c>
      <c r="AF205" s="18">
        <v>5.5</v>
      </c>
      <c r="AG205" s="18" t="s">
        <v>32</v>
      </c>
      <c r="AH205" s="18" t="s">
        <v>32</v>
      </c>
      <c r="AI205" s="18" t="str">
        <f>+VLOOKUP(AH205,Leyenda!$O$4:$U$10,6,FALSE)</f>
        <v>0,15-0,25</v>
      </c>
      <c r="AJ205" s="18" t="str">
        <f>+VLOOKUP(AG205,Leyenda!$O$4:$U$10,7,FALSE)</f>
        <v>No Blasting need</v>
      </c>
      <c r="AK205" s="18">
        <f>+VLOOKUP(AJ205,Leyenda!$U$4:$V$10,2,FALSE)</f>
        <v>2</v>
      </c>
      <c r="AL205" s="18" t="s">
        <v>29</v>
      </c>
      <c r="AM205" s="18" t="str">
        <f t="shared" si="78"/>
        <v>R1</v>
      </c>
      <c r="AN205" s="18" t="s">
        <v>66</v>
      </c>
      <c r="AO205" s="18" t="s">
        <v>79</v>
      </c>
      <c r="AP205" s="18" t="s">
        <v>96</v>
      </c>
      <c r="AQ205" s="18" t="s">
        <v>107</v>
      </c>
      <c r="AR205" s="18" t="s">
        <v>120</v>
      </c>
      <c r="AS205" s="18" t="s">
        <v>198</v>
      </c>
      <c r="AT205" s="18" t="s">
        <v>240</v>
      </c>
      <c r="AU205" s="18"/>
      <c r="AV205" s="18">
        <f>+VLOOKUP(AN205,Leyenda!$B$30:$E$34,3,FALSE)</f>
        <v>1</v>
      </c>
      <c r="AW205" s="18">
        <f>+VLOOKUP('2. Logging Brejo Seco'!AO205,Meteorizacion,3,FALSE)</f>
        <v>1</v>
      </c>
      <c r="AX205" s="18">
        <f>+VLOOKUP('2. Logging Brejo Seco'!AP205,Apertura,3,FALSE)</f>
        <v>1</v>
      </c>
      <c r="AY205" s="18">
        <f>+VLOOKUP('2. Logging Brejo Seco'!AQ205,Leyenda!$B$55:$D$59,3,FALSE)</f>
        <v>3</v>
      </c>
      <c r="AZ205" s="18">
        <f>+VLOOKUP('2. Logging Brejo Seco'!AR205,Relleno,3,FALSE)</f>
        <v>2</v>
      </c>
      <c r="BA205" s="18">
        <f t="shared" si="87"/>
        <v>8</v>
      </c>
      <c r="BB205" s="49">
        <f t="shared" si="73"/>
        <v>0</v>
      </c>
      <c r="BC205" s="49">
        <f>VLOOKUP(AM205,Leyenda!$B$4:$D$10,3,FALSE)</f>
        <v>1</v>
      </c>
      <c r="BD205" s="50">
        <f t="shared" si="79"/>
        <v>4</v>
      </c>
      <c r="BE205" s="49">
        <f t="shared" si="80"/>
        <v>8</v>
      </c>
      <c r="BF205" s="49">
        <f>VLOOKUP(AS205,Leyenda!$B$70:$D$75,3,FALSE)</f>
        <v>15</v>
      </c>
      <c r="BG205" s="67">
        <f t="shared" si="74"/>
        <v>12</v>
      </c>
      <c r="BH205" s="67">
        <f>VLOOKUP(AM205,Leyenda!$B$4:$E$10,4,FALSE)</f>
        <v>1</v>
      </c>
      <c r="BI205" s="67">
        <f t="shared" si="81"/>
        <v>5</v>
      </c>
      <c r="BJ205" s="67">
        <f t="shared" si="75"/>
        <v>0</v>
      </c>
      <c r="BK205" s="67">
        <f>+VLOOKUP('2. Logging Brejo Seco'!AP205,Leyenda!$B$47:$E$51,4,FALSE)</f>
        <v>1</v>
      </c>
      <c r="BL205" s="67">
        <f>+VLOOKUP('2. Logging Brejo Seco'!AQ205,Leyenda!$B$55:$E$59,4,FALSE)</f>
        <v>3</v>
      </c>
      <c r="BM205" s="67">
        <f>+VLOOKUP('2. Logging Brejo Seco'!AR205,Leyenda!$B$63:$E$67,3,FALSE)</f>
        <v>2</v>
      </c>
      <c r="BN205" s="67">
        <f>+VLOOKUP('2. Logging Brejo Seco'!AO205,Leyenda!$B$39:$E$43,4,FALSE)</f>
        <v>1</v>
      </c>
      <c r="BO205" s="67">
        <f>+VLOOKUP('2. Logging Brejo Seco'!AN205,Leyenda!$B$30:$E$34,4,FALSE)</f>
        <v>1</v>
      </c>
      <c r="BP205" s="67">
        <f>VLOOKUP(AS205,Leyenda!$B$71:$E$75,4,FALSE)</f>
        <v>10</v>
      </c>
      <c r="BQ205" s="125">
        <f t="shared" si="82"/>
        <v>24</v>
      </c>
      <c r="BR205" s="85">
        <f t="shared" si="83"/>
        <v>28</v>
      </c>
      <c r="BS205" s="240">
        <f t="shared" si="84"/>
        <v>0.78</v>
      </c>
      <c r="BT205" s="18"/>
    </row>
    <row r="206" spans="1:72" x14ac:dyDescent="0.25">
      <c r="A206" s="18" t="s">
        <v>6</v>
      </c>
      <c r="B206" s="18">
        <v>2024</v>
      </c>
      <c r="C206" s="18" t="s">
        <v>138</v>
      </c>
      <c r="D206" s="18" t="s">
        <v>245</v>
      </c>
      <c r="E206" s="18">
        <v>20</v>
      </c>
      <c r="F206" s="18">
        <v>20</v>
      </c>
      <c r="G206" s="18" t="s">
        <v>156</v>
      </c>
      <c r="H206" s="248">
        <f t="shared" si="85"/>
        <v>20</v>
      </c>
      <c r="I206" s="135"/>
      <c r="J206" s="18" t="s">
        <v>296</v>
      </c>
      <c r="K206" s="4">
        <f t="shared" si="69"/>
        <v>46.5</v>
      </c>
      <c r="L206" s="4">
        <v>47</v>
      </c>
      <c r="M206" s="4">
        <f t="shared" si="76"/>
        <v>0.5</v>
      </c>
      <c r="N206" s="5">
        <v>0.2</v>
      </c>
      <c r="O206" s="5">
        <f t="shared" si="68"/>
        <v>0.8</v>
      </c>
      <c r="P206" s="31">
        <f t="shared" si="77"/>
        <v>0.1</v>
      </c>
      <c r="Q206" s="31">
        <f t="shared" si="72"/>
        <v>0.1</v>
      </c>
      <c r="R206" s="31">
        <v>5</v>
      </c>
      <c r="S206" s="31">
        <v>20</v>
      </c>
      <c r="T206" s="31">
        <v>0.1</v>
      </c>
      <c r="U206" s="31">
        <v>0</v>
      </c>
      <c r="V206" s="187">
        <f t="shared" si="86"/>
        <v>0</v>
      </c>
      <c r="W206" s="31">
        <v>5</v>
      </c>
      <c r="X206" s="31"/>
      <c r="Y206" s="31">
        <f t="shared" si="70"/>
        <v>5</v>
      </c>
      <c r="Z206" s="31">
        <f t="shared" si="71"/>
        <v>20</v>
      </c>
      <c r="AA206" s="18">
        <v>0</v>
      </c>
      <c r="AB206" s="18" t="s">
        <v>330</v>
      </c>
      <c r="AC206" s="18" t="s">
        <v>333</v>
      </c>
      <c r="AD206" s="18" t="s">
        <v>337</v>
      </c>
      <c r="AE206" s="18">
        <v>20</v>
      </c>
      <c r="AF206" s="18">
        <v>5</v>
      </c>
      <c r="AG206" s="18" t="s">
        <v>32</v>
      </c>
      <c r="AH206" s="18" t="s">
        <v>32</v>
      </c>
      <c r="AI206" s="18" t="str">
        <f>+VLOOKUP(AH206,Leyenda!$O$4:$U$10,6,FALSE)</f>
        <v>0,15-0,25</v>
      </c>
      <c r="AJ206" s="18" t="str">
        <f>+VLOOKUP(AG206,Leyenda!$O$4:$U$10,7,FALSE)</f>
        <v>No Blasting need</v>
      </c>
      <c r="AK206" s="18">
        <f>+VLOOKUP(AJ206,Leyenda!$U$4:$V$10,2,FALSE)</f>
        <v>2</v>
      </c>
      <c r="AL206" s="18" t="s">
        <v>29</v>
      </c>
      <c r="AM206" s="18" t="str">
        <f t="shared" si="78"/>
        <v>R1</v>
      </c>
      <c r="AN206" s="18" t="s">
        <v>66</v>
      </c>
      <c r="AO206" s="18" t="s">
        <v>79</v>
      </c>
      <c r="AP206" s="18" t="s">
        <v>96</v>
      </c>
      <c r="AQ206" s="18" t="s">
        <v>107</v>
      </c>
      <c r="AR206" s="18" t="s">
        <v>120</v>
      </c>
      <c r="AS206" s="18" t="s">
        <v>198</v>
      </c>
      <c r="AT206" s="18" t="s">
        <v>240</v>
      </c>
      <c r="AU206" s="18"/>
      <c r="AV206" s="18">
        <f>+VLOOKUP(AN206,Leyenda!$B$30:$E$34,3,FALSE)</f>
        <v>1</v>
      </c>
      <c r="AW206" s="18">
        <f>+VLOOKUP('2. Logging Brejo Seco'!AO206,Meteorizacion,3,FALSE)</f>
        <v>1</v>
      </c>
      <c r="AX206" s="18">
        <f>+VLOOKUP('2. Logging Brejo Seco'!AP206,Apertura,3,FALSE)</f>
        <v>1</v>
      </c>
      <c r="AY206" s="18">
        <f>+VLOOKUP('2. Logging Brejo Seco'!AQ206,Leyenda!$B$55:$D$59,3,FALSE)</f>
        <v>3</v>
      </c>
      <c r="AZ206" s="18">
        <f>+VLOOKUP('2. Logging Brejo Seco'!AR206,Relleno,3,FALSE)</f>
        <v>2</v>
      </c>
      <c r="BA206" s="18">
        <f t="shared" si="87"/>
        <v>8</v>
      </c>
      <c r="BB206" s="49">
        <f t="shared" si="73"/>
        <v>0</v>
      </c>
      <c r="BC206" s="49">
        <f>VLOOKUP(AM206,Leyenda!$B$4:$D$10,3,FALSE)</f>
        <v>1</v>
      </c>
      <c r="BD206" s="50">
        <f t="shared" si="79"/>
        <v>4</v>
      </c>
      <c r="BE206" s="49">
        <f t="shared" si="80"/>
        <v>8</v>
      </c>
      <c r="BF206" s="49">
        <f>VLOOKUP(AS206,Leyenda!$B$70:$D$75,3,FALSE)</f>
        <v>15</v>
      </c>
      <c r="BG206" s="67">
        <f t="shared" si="74"/>
        <v>12</v>
      </c>
      <c r="BH206" s="67">
        <f>VLOOKUP(AM206,Leyenda!$B$4:$E$10,4,FALSE)</f>
        <v>1</v>
      </c>
      <c r="BI206" s="67">
        <f t="shared" si="81"/>
        <v>5</v>
      </c>
      <c r="BJ206" s="67">
        <f t="shared" si="75"/>
        <v>0</v>
      </c>
      <c r="BK206" s="67">
        <f>+VLOOKUP('2. Logging Brejo Seco'!AP206,Leyenda!$B$47:$E$51,4,FALSE)</f>
        <v>1</v>
      </c>
      <c r="BL206" s="67">
        <f>+VLOOKUP('2. Logging Brejo Seco'!AQ206,Leyenda!$B$55:$E$59,4,FALSE)</f>
        <v>3</v>
      </c>
      <c r="BM206" s="67">
        <f>+VLOOKUP('2. Logging Brejo Seco'!AR206,Leyenda!$B$63:$E$67,3,FALSE)</f>
        <v>2</v>
      </c>
      <c r="BN206" s="67">
        <f>+VLOOKUP('2. Logging Brejo Seco'!AO206,Leyenda!$B$39:$E$43,4,FALSE)</f>
        <v>1</v>
      </c>
      <c r="BO206" s="67">
        <f>+VLOOKUP('2. Logging Brejo Seco'!AN206,Leyenda!$B$30:$E$34,4,FALSE)</f>
        <v>1</v>
      </c>
      <c r="BP206" s="67">
        <f>VLOOKUP(AS206,Leyenda!$B$71:$E$75,4,FALSE)</f>
        <v>10</v>
      </c>
      <c r="BQ206" s="125">
        <f t="shared" si="82"/>
        <v>24</v>
      </c>
      <c r="BR206" s="85">
        <f t="shared" si="83"/>
        <v>28</v>
      </c>
      <c r="BS206" s="240">
        <f t="shared" si="84"/>
        <v>0.8</v>
      </c>
      <c r="BT206" s="18"/>
    </row>
    <row r="207" spans="1:72" x14ac:dyDescent="0.25">
      <c r="A207" s="18" t="s">
        <v>6</v>
      </c>
      <c r="B207" s="18">
        <v>2024</v>
      </c>
      <c r="C207" s="18" t="s">
        <v>138</v>
      </c>
      <c r="D207" s="18" t="s">
        <v>245</v>
      </c>
      <c r="E207" s="18">
        <v>20</v>
      </c>
      <c r="F207" s="18">
        <v>20</v>
      </c>
      <c r="G207" s="18" t="s">
        <v>156</v>
      </c>
      <c r="H207" s="248">
        <f t="shared" si="85"/>
        <v>20</v>
      </c>
      <c r="I207" s="135"/>
      <c r="J207" s="18" t="s">
        <v>296</v>
      </c>
      <c r="K207" s="4">
        <f t="shared" si="69"/>
        <v>47</v>
      </c>
      <c r="L207" s="4">
        <v>47.5</v>
      </c>
      <c r="M207" s="4">
        <f t="shared" si="76"/>
        <v>0.5</v>
      </c>
      <c r="N207" s="5">
        <v>0.22</v>
      </c>
      <c r="O207" s="5">
        <f t="shared" si="68"/>
        <v>0.78</v>
      </c>
      <c r="P207" s="31">
        <f t="shared" si="77"/>
        <v>0.11</v>
      </c>
      <c r="Q207" s="31">
        <f t="shared" si="72"/>
        <v>0.11</v>
      </c>
      <c r="R207" s="31">
        <v>5.5</v>
      </c>
      <c r="S207" s="31">
        <v>20</v>
      </c>
      <c r="T207" s="31">
        <v>0.11</v>
      </c>
      <c r="U207" s="31">
        <v>0</v>
      </c>
      <c r="V207" s="187">
        <f t="shared" si="86"/>
        <v>0</v>
      </c>
      <c r="W207" s="31">
        <v>5</v>
      </c>
      <c r="X207" s="31"/>
      <c r="Y207" s="31">
        <f t="shared" si="70"/>
        <v>5</v>
      </c>
      <c r="Z207" s="31">
        <f t="shared" si="71"/>
        <v>22</v>
      </c>
      <c r="AA207" s="18">
        <v>0</v>
      </c>
      <c r="AB207" s="18" t="s">
        <v>330</v>
      </c>
      <c r="AC207" s="18" t="s">
        <v>333</v>
      </c>
      <c r="AD207" s="18" t="s">
        <v>337</v>
      </c>
      <c r="AE207" s="18">
        <v>20</v>
      </c>
      <c r="AF207" s="18">
        <v>5.5</v>
      </c>
      <c r="AG207" s="18" t="s">
        <v>32</v>
      </c>
      <c r="AH207" s="18" t="s">
        <v>32</v>
      </c>
      <c r="AI207" s="18" t="str">
        <f>+VLOOKUP(AH207,Leyenda!$O$4:$U$10,6,FALSE)</f>
        <v>0,15-0,25</v>
      </c>
      <c r="AJ207" s="18" t="str">
        <f>+VLOOKUP(AG207,Leyenda!$O$4:$U$10,7,FALSE)</f>
        <v>No Blasting need</v>
      </c>
      <c r="AK207" s="18">
        <f>+VLOOKUP(AJ207,Leyenda!$U$4:$V$10,2,FALSE)</f>
        <v>2</v>
      </c>
      <c r="AL207" s="18" t="s">
        <v>29</v>
      </c>
      <c r="AM207" s="18" t="str">
        <f t="shared" si="78"/>
        <v>R1</v>
      </c>
      <c r="AN207" s="18" t="s">
        <v>66</v>
      </c>
      <c r="AO207" s="18" t="s">
        <v>79</v>
      </c>
      <c r="AP207" s="18" t="s">
        <v>96</v>
      </c>
      <c r="AQ207" s="18" t="s">
        <v>107</v>
      </c>
      <c r="AR207" s="18" t="s">
        <v>120</v>
      </c>
      <c r="AS207" s="18" t="s">
        <v>198</v>
      </c>
      <c r="AT207" s="18" t="s">
        <v>240</v>
      </c>
      <c r="AU207" s="18"/>
      <c r="AV207" s="18">
        <f>+VLOOKUP(AN207,Leyenda!$B$30:$E$34,3,FALSE)</f>
        <v>1</v>
      </c>
      <c r="AW207" s="18">
        <f>+VLOOKUP('2. Logging Brejo Seco'!AO207,Meteorizacion,3,FALSE)</f>
        <v>1</v>
      </c>
      <c r="AX207" s="18">
        <f>+VLOOKUP('2. Logging Brejo Seco'!AP207,Apertura,3,FALSE)</f>
        <v>1</v>
      </c>
      <c r="AY207" s="18">
        <f>+VLOOKUP('2. Logging Brejo Seco'!AQ207,Leyenda!$B$55:$D$59,3,FALSE)</f>
        <v>3</v>
      </c>
      <c r="AZ207" s="18">
        <f>+VLOOKUP('2. Logging Brejo Seco'!AR207,Relleno,3,FALSE)</f>
        <v>2</v>
      </c>
      <c r="BA207" s="18">
        <f t="shared" si="87"/>
        <v>8</v>
      </c>
      <c r="BB207" s="49">
        <f t="shared" si="73"/>
        <v>0</v>
      </c>
      <c r="BC207" s="49">
        <f>VLOOKUP(AM207,Leyenda!$B$4:$D$10,3,FALSE)</f>
        <v>1</v>
      </c>
      <c r="BD207" s="50">
        <f t="shared" si="79"/>
        <v>4</v>
      </c>
      <c r="BE207" s="49">
        <f t="shared" si="80"/>
        <v>8</v>
      </c>
      <c r="BF207" s="49">
        <f>VLOOKUP(AS207,Leyenda!$B$70:$D$75,3,FALSE)</f>
        <v>15</v>
      </c>
      <c r="BG207" s="67">
        <f t="shared" si="74"/>
        <v>12</v>
      </c>
      <c r="BH207" s="67">
        <f>VLOOKUP(AM207,Leyenda!$B$4:$E$10,4,FALSE)</f>
        <v>1</v>
      </c>
      <c r="BI207" s="67">
        <f t="shared" si="81"/>
        <v>5</v>
      </c>
      <c r="BJ207" s="67">
        <f t="shared" si="75"/>
        <v>0</v>
      </c>
      <c r="BK207" s="67">
        <f>+VLOOKUP('2. Logging Brejo Seco'!AP207,Leyenda!$B$47:$E$51,4,FALSE)</f>
        <v>1</v>
      </c>
      <c r="BL207" s="67">
        <f>+VLOOKUP('2. Logging Brejo Seco'!AQ207,Leyenda!$B$55:$E$59,4,FALSE)</f>
        <v>3</v>
      </c>
      <c r="BM207" s="67">
        <f>+VLOOKUP('2. Logging Brejo Seco'!AR207,Leyenda!$B$63:$E$67,3,FALSE)</f>
        <v>2</v>
      </c>
      <c r="BN207" s="67">
        <f>+VLOOKUP('2. Logging Brejo Seco'!AO207,Leyenda!$B$39:$E$43,4,FALSE)</f>
        <v>1</v>
      </c>
      <c r="BO207" s="67">
        <f>+VLOOKUP('2. Logging Brejo Seco'!AN207,Leyenda!$B$30:$E$34,4,FALSE)</f>
        <v>1</v>
      </c>
      <c r="BP207" s="67">
        <f>VLOOKUP(AS207,Leyenda!$B$71:$E$75,4,FALSE)</f>
        <v>10</v>
      </c>
      <c r="BQ207" s="125">
        <f t="shared" si="82"/>
        <v>24</v>
      </c>
      <c r="BR207" s="85">
        <f t="shared" si="83"/>
        <v>28</v>
      </c>
      <c r="BS207" s="240">
        <f t="shared" si="84"/>
        <v>0.78</v>
      </c>
      <c r="BT207" s="18"/>
    </row>
    <row r="208" spans="1:72" x14ac:dyDescent="0.25">
      <c r="A208" s="18" t="s">
        <v>6</v>
      </c>
      <c r="B208" s="18">
        <v>2024</v>
      </c>
      <c r="C208" s="18" t="s">
        <v>138</v>
      </c>
      <c r="D208" s="18" t="s">
        <v>245</v>
      </c>
      <c r="E208" s="18">
        <v>20</v>
      </c>
      <c r="F208" s="18">
        <v>20</v>
      </c>
      <c r="G208" s="18" t="s">
        <v>156</v>
      </c>
      <c r="H208" s="248">
        <f t="shared" si="85"/>
        <v>20</v>
      </c>
      <c r="I208" s="135"/>
      <c r="J208" s="18" t="s">
        <v>296</v>
      </c>
      <c r="K208" s="4">
        <f t="shared" si="69"/>
        <v>47.5</v>
      </c>
      <c r="L208" s="4">
        <v>48</v>
      </c>
      <c r="M208" s="4">
        <f t="shared" si="76"/>
        <v>0.5</v>
      </c>
      <c r="N208" s="5">
        <v>0.34</v>
      </c>
      <c r="O208" s="5">
        <f t="shared" si="68"/>
        <v>0.65999999999999992</v>
      </c>
      <c r="P208" s="31">
        <f t="shared" si="77"/>
        <v>0.17</v>
      </c>
      <c r="Q208" s="31">
        <f t="shared" si="72"/>
        <v>0.17</v>
      </c>
      <c r="R208" s="31">
        <v>8.5</v>
      </c>
      <c r="S208" s="31">
        <v>20</v>
      </c>
      <c r="T208" s="31">
        <v>0.14000000000000001</v>
      </c>
      <c r="U208" s="31">
        <v>0.1</v>
      </c>
      <c r="V208" s="187">
        <f t="shared" si="86"/>
        <v>20</v>
      </c>
      <c r="W208" s="31">
        <v>3</v>
      </c>
      <c r="X208" s="31"/>
      <c r="Y208" s="31">
        <f t="shared" si="70"/>
        <v>3</v>
      </c>
      <c r="Z208" s="31">
        <f t="shared" si="71"/>
        <v>46.666666666666664</v>
      </c>
      <c r="AA208" s="18">
        <v>20</v>
      </c>
      <c r="AB208" s="18" t="s">
        <v>330</v>
      </c>
      <c r="AC208" s="18" t="s">
        <v>333</v>
      </c>
      <c r="AD208" s="18" t="s">
        <v>337</v>
      </c>
      <c r="AE208" s="18">
        <v>20</v>
      </c>
      <c r="AF208" s="18">
        <v>8.5</v>
      </c>
      <c r="AG208" s="18" t="s">
        <v>32</v>
      </c>
      <c r="AH208" s="18" t="s">
        <v>32</v>
      </c>
      <c r="AI208" s="18" t="str">
        <f>+VLOOKUP(AH208,Leyenda!$O$4:$U$10,6,FALSE)</f>
        <v>0,15-0,25</v>
      </c>
      <c r="AJ208" s="18" t="str">
        <f>+VLOOKUP(AG208,Leyenda!$O$4:$U$10,7,FALSE)</f>
        <v>No Blasting need</v>
      </c>
      <c r="AK208" s="18">
        <f>+VLOOKUP(AJ208,Leyenda!$U$4:$V$10,2,FALSE)</f>
        <v>2</v>
      </c>
      <c r="AL208" s="18" t="s">
        <v>29</v>
      </c>
      <c r="AM208" s="18" t="str">
        <f t="shared" si="78"/>
        <v>R1</v>
      </c>
      <c r="AN208" s="18" t="s">
        <v>66</v>
      </c>
      <c r="AO208" s="18" t="s">
        <v>79</v>
      </c>
      <c r="AP208" s="18" t="s">
        <v>96</v>
      </c>
      <c r="AQ208" s="18" t="s">
        <v>107</v>
      </c>
      <c r="AR208" s="18" t="s">
        <v>120</v>
      </c>
      <c r="AS208" s="18" t="s">
        <v>198</v>
      </c>
      <c r="AT208" s="18" t="s">
        <v>240</v>
      </c>
      <c r="AU208" s="18"/>
      <c r="AV208" s="18">
        <f>+VLOOKUP(AN208,Leyenda!$B$30:$E$34,3,FALSE)</f>
        <v>1</v>
      </c>
      <c r="AW208" s="18">
        <f>+VLOOKUP('2. Logging Brejo Seco'!AO208,Meteorizacion,3,FALSE)</f>
        <v>1</v>
      </c>
      <c r="AX208" s="18">
        <f>+VLOOKUP('2. Logging Brejo Seco'!AP208,Apertura,3,FALSE)</f>
        <v>1</v>
      </c>
      <c r="AY208" s="18">
        <f>+VLOOKUP('2. Logging Brejo Seco'!AQ208,Leyenda!$B$55:$D$59,3,FALSE)</f>
        <v>3</v>
      </c>
      <c r="AZ208" s="18">
        <f>+VLOOKUP('2. Logging Brejo Seco'!AR208,Relleno,3,FALSE)</f>
        <v>2</v>
      </c>
      <c r="BA208" s="18">
        <f t="shared" si="87"/>
        <v>8</v>
      </c>
      <c r="BB208" s="49">
        <f t="shared" si="73"/>
        <v>4</v>
      </c>
      <c r="BC208" s="49">
        <f>VLOOKUP(AM208,Leyenda!$B$4:$D$10,3,FALSE)</f>
        <v>1</v>
      </c>
      <c r="BD208" s="50">
        <f t="shared" si="79"/>
        <v>6</v>
      </c>
      <c r="BE208" s="49">
        <f t="shared" si="80"/>
        <v>8</v>
      </c>
      <c r="BF208" s="49">
        <f>VLOOKUP(AS208,Leyenda!$B$70:$D$75,3,FALSE)</f>
        <v>15</v>
      </c>
      <c r="BG208" s="67">
        <f t="shared" si="74"/>
        <v>22</v>
      </c>
      <c r="BH208" s="67">
        <f>VLOOKUP(AM208,Leyenda!$B$4:$E$10,4,FALSE)</f>
        <v>1</v>
      </c>
      <c r="BI208" s="67">
        <f t="shared" si="81"/>
        <v>5</v>
      </c>
      <c r="BJ208" s="67">
        <f t="shared" si="75"/>
        <v>4</v>
      </c>
      <c r="BK208" s="67">
        <f>+VLOOKUP('2. Logging Brejo Seco'!AP208,Leyenda!$B$47:$E$51,4,FALSE)</f>
        <v>1</v>
      </c>
      <c r="BL208" s="67">
        <f>+VLOOKUP('2. Logging Brejo Seco'!AQ208,Leyenda!$B$55:$E$59,4,FALSE)</f>
        <v>3</v>
      </c>
      <c r="BM208" s="67">
        <f>+VLOOKUP('2. Logging Brejo Seco'!AR208,Leyenda!$B$63:$E$67,3,FALSE)</f>
        <v>2</v>
      </c>
      <c r="BN208" s="67">
        <f>+VLOOKUP('2. Logging Brejo Seco'!AO208,Leyenda!$B$39:$E$43,4,FALSE)</f>
        <v>1</v>
      </c>
      <c r="BO208" s="67">
        <f>+VLOOKUP('2. Logging Brejo Seco'!AN208,Leyenda!$B$30:$E$34,4,FALSE)</f>
        <v>1</v>
      </c>
      <c r="BP208" s="67">
        <f>VLOOKUP(AS208,Leyenda!$B$71:$E$75,4,FALSE)</f>
        <v>10</v>
      </c>
      <c r="BQ208" s="125">
        <f t="shared" si="82"/>
        <v>28</v>
      </c>
      <c r="BR208" s="85">
        <f t="shared" si="83"/>
        <v>34</v>
      </c>
      <c r="BS208" s="240">
        <f t="shared" si="84"/>
        <v>0.65999999999999992</v>
      </c>
      <c r="BT208" s="18"/>
    </row>
    <row r="209" spans="1:72" x14ac:dyDescent="0.25">
      <c r="A209" s="18" t="s">
        <v>6</v>
      </c>
      <c r="B209" s="18">
        <v>2024</v>
      </c>
      <c r="C209" s="18" t="s">
        <v>138</v>
      </c>
      <c r="D209" s="18" t="s">
        <v>245</v>
      </c>
      <c r="E209" s="18">
        <v>20</v>
      </c>
      <c r="F209" s="18">
        <v>20</v>
      </c>
      <c r="G209" s="18" t="s">
        <v>156</v>
      </c>
      <c r="H209" s="248">
        <f t="shared" si="85"/>
        <v>20</v>
      </c>
      <c r="I209" s="135"/>
      <c r="J209" s="18" t="s">
        <v>296</v>
      </c>
      <c r="K209" s="4">
        <f t="shared" si="69"/>
        <v>48</v>
      </c>
      <c r="L209" s="4">
        <v>48.5</v>
      </c>
      <c r="M209" s="4">
        <f t="shared" si="76"/>
        <v>0.5</v>
      </c>
      <c r="N209" s="5">
        <v>0.46</v>
      </c>
      <c r="O209" s="5">
        <f t="shared" si="68"/>
        <v>0.54</v>
      </c>
      <c r="P209" s="31">
        <f t="shared" si="77"/>
        <v>0.23</v>
      </c>
      <c r="Q209" s="31">
        <f t="shared" si="72"/>
        <v>0.23</v>
      </c>
      <c r="R209" s="31">
        <v>11.5</v>
      </c>
      <c r="S209" s="31">
        <v>20</v>
      </c>
      <c r="T209" s="31">
        <v>0.19</v>
      </c>
      <c r="U209" s="31">
        <v>0.1</v>
      </c>
      <c r="V209" s="187">
        <f t="shared" si="86"/>
        <v>20</v>
      </c>
      <c r="W209" s="31">
        <v>3</v>
      </c>
      <c r="X209" s="31"/>
      <c r="Y209" s="31">
        <f t="shared" si="70"/>
        <v>3</v>
      </c>
      <c r="Z209" s="31">
        <f t="shared" si="71"/>
        <v>63.333333333333336</v>
      </c>
      <c r="AA209" s="18">
        <v>38</v>
      </c>
      <c r="AB209" s="18" t="s">
        <v>330</v>
      </c>
      <c r="AC209" s="18" t="s">
        <v>333</v>
      </c>
      <c r="AD209" s="18" t="s">
        <v>337</v>
      </c>
      <c r="AE209" s="18">
        <v>20</v>
      </c>
      <c r="AF209" s="18">
        <v>11.5</v>
      </c>
      <c r="AG209" s="18" t="s">
        <v>32</v>
      </c>
      <c r="AH209" s="18" t="s">
        <v>32</v>
      </c>
      <c r="AI209" s="18" t="str">
        <f>+VLOOKUP(AH209,Leyenda!$O$4:$U$10,6,FALSE)</f>
        <v>0,15-0,25</v>
      </c>
      <c r="AJ209" s="18" t="str">
        <f>+VLOOKUP(AG209,Leyenda!$O$4:$U$10,7,FALSE)</f>
        <v>No Blasting need</v>
      </c>
      <c r="AK209" s="18">
        <f>+VLOOKUP(AJ209,Leyenda!$U$4:$V$10,2,FALSE)</f>
        <v>2</v>
      </c>
      <c r="AL209" s="18" t="s">
        <v>29</v>
      </c>
      <c r="AM209" s="18" t="str">
        <f t="shared" si="78"/>
        <v>R1</v>
      </c>
      <c r="AN209" s="18" t="s">
        <v>66</v>
      </c>
      <c r="AO209" s="18" t="s">
        <v>79</v>
      </c>
      <c r="AP209" s="18" t="s">
        <v>96</v>
      </c>
      <c r="AQ209" s="18" t="s">
        <v>107</v>
      </c>
      <c r="AR209" s="18" t="s">
        <v>120</v>
      </c>
      <c r="AS209" s="18" t="s">
        <v>198</v>
      </c>
      <c r="AT209" s="18" t="s">
        <v>240</v>
      </c>
      <c r="AU209" s="18"/>
      <c r="AV209" s="18">
        <f>+VLOOKUP(AN209,Leyenda!$B$30:$E$34,3,FALSE)</f>
        <v>1</v>
      </c>
      <c r="AW209" s="18">
        <f>+VLOOKUP('2. Logging Brejo Seco'!AO209,Meteorizacion,3,FALSE)</f>
        <v>1</v>
      </c>
      <c r="AX209" s="18">
        <f>+VLOOKUP('2. Logging Brejo Seco'!AP209,Apertura,3,FALSE)</f>
        <v>1</v>
      </c>
      <c r="AY209" s="18">
        <f>+VLOOKUP('2. Logging Brejo Seco'!AQ209,Leyenda!$B$55:$D$59,3,FALSE)</f>
        <v>3</v>
      </c>
      <c r="AZ209" s="18">
        <f>+VLOOKUP('2. Logging Brejo Seco'!AR209,Relleno,3,FALSE)</f>
        <v>2</v>
      </c>
      <c r="BA209" s="18">
        <f t="shared" si="87"/>
        <v>8</v>
      </c>
      <c r="BB209" s="49">
        <f t="shared" si="73"/>
        <v>4</v>
      </c>
      <c r="BC209" s="49">
        <f>VLOOKUP(AM209,Leyenda!$B$4:$D$10,3,FALSE)</f>
        <v>1</v>
      </c>
      <c r="BD209" s="50">
        <f t="shared" si="79"/>
        <v>6</v>
      </c>
      <c r="BE209" s="49">
        <f t="shared" si="80"/>
        <v>8</v>
      </c>
      <c r="BF209" s="49">
        <f>VLOOKUP(AS209,Leyenda!$B$70:$D$75,3,FALSE)</f>
        <v>15</v>
      </c>
      <c r="BG209" s="67">
        <f t="shared" si="74"/>
        <v>22</v>
      </c>
      <c r="BH209" s="67">
        <f>VLOOKUP(AM209,Leyenda!$B$4:$E$10,4,FALSE)</f>
        <v>1</v>
      </c>
      <c r="BI209" s="67">
        <f t="shared" si="81"/>
        <v>5</v>
      </c>
      <c r="BJ209" s="67">
        <f t="shared" si="75"/>
        <v>4</v>
      </c>
      <c r="BK209" s="67">
        <f>+VLOOKUP('2. Logging Brejo Seco'!AP209,Leyenda!$B$47:$E$51,4,FALSE)</f>
        <v>1</v>
      </c>
      <c r="BL209" s="67">
        <f>+VLOOKUP('2. Logging Brejo Seco'!AQ209,Leyenda!$B$55:$E$59,4,FALSE)</f>
        <v>3</v>
      </c>
      <c r="BM209" s="67">
        <f>+VLOOKUP('2. Logging Brejo Seco'!AR209,Leyenda!$B$63:$E$67,3,FALSE)</f>
        <v>2</v>
      </c>
      <c r="BN209" s="67">
        <f>+VLOOKUP('2. Logging Brejo Seco'!AO209,Leyenda!$B$39:$E$43,4,FALSE)</f>
        <v>1</v>
      </c>
      <c r="BO209" s="67">
        <f>+VLOOKUP('2. Logging Brejo Seco'!AN209,Leyenda!$B$30:$E$34,4,FALSE)</f>
        <v>1</v>
      </c>
      <c r="BP209" s="67">
        <f>VLOOKUP(AS209,Leyenda!$B$71:$E$75,4,FALSE)</f>
        <v>10</v>
      </c>
      <c r="BQ209" s="125">
        <f t="shared" si="82"/>
        <v>28</v>
      </c>
      <c r="BR209" s="85">
        <f t="shared" si="83"/>
        <v>34</v>
      </c>
      <c r="BS209" s="240">
        <f t="shared" si="84"/>
        <v>0.54</v>
      </c>
      <c r="BT209" s="18"/>
    </row>
    <row r="210" spans="1:72" x14ac:dyDescent="0.25">
      <c r="A210" s="18" t="s">
        <v>6</v>
      </c>
      <c r="B210" s="18">
        <v>2024</v>
      </c>
      <c r="C210" s="18" t="s">
        <v>138</v>
      </c>
      <c r="D210" s="18" t="s">
        <v>245</v>
      </c>
      <c r="E210" s="18">
        <v>20</v>
      </c>
      <c r="F210" s="18">
        <v>20</v>
      </c>
      <c r="G210" s="18" t="s">
        <v>156</v>
      </c>
      <c r="H210" s="248">
        <f t="shared" si="85"/>
        <v>20</v>
      </c>
      <c r="I210" s="135"/>
      <c r="J210" s="18" t="s">
        <v>296</v>
      </c>
      <c r="K210" s="4">
        <f t="shared" si="69"/>
        <v>48.5</v>
      </c>
      <c r="L210" s="4">
        <v>49</v>
      </c>
      <c r="M210" s="4">
        <f t="shared" si="76"/>
        <v>0.5</v>
      </c>
      <c r="N210" s="5">
        <v>0.26</v>
      </c>
      <c r="O210" s="5">
        <f t="shared" si="68"/>
        <v>0.74</v>
      </c>
      <c r="P210" s="31">
        <f t="shared" si="77"/>
        <v>0.13</v>
      </c>
      <c r="Q210" s="31">
        <f t="shared" si="72"/>
        <v>0.13</v>
      </c>
      <c r="R210" s="31">
        <v>6.5</v>
      </c>
      <c r="S210" s="31">
        <v>20</v>
      </c>
      <c r="T210" s="31">
        <v>0.12</v>
      </c>
      <c r="U210" s="31">
        <v>0</v>
      </c>
      <c r="V210" s="187">
        <f t="shared" si="86"/>
        <v>0</v>
      </c>
      <c r="W210" s="31">
        <v>5</v>
      </c>
      <c r="X210" s="31"/>
      <c r="Y210" s="31">
        <f t="shared" si="70"/>
        <v>5</v>
      </c>
      <c r="Z210" s="31">
        <f t="shared" si="71"/>
        <v>24</v>
      </c>
      <c r="AA210" s="18">
        <v>0</v>
      </c>
      <c r="AB210" s="18" t="s">
        <v>330</v>
      </c>
      <c r="AC210" s="18" t="s">
        <v>333</v>
      </c>
      <c r="AD210" s="18" t="s">
        <v>337</v>
      </c>
      <c r="AE210" s="18">
        <v>20</v>
      </c>
      <c r="AF210" s="18">
        <v>6.5</v>
      </c>
      <c r="AG210" s="18" t="s">
        <v>32</v>
      </c>
      <c r="AH210" s="18" t="s">
        <v>32</v>
      </c>
      <c r="AI210" s="18" t="str">
        <f>+VLOOKUP(AH210,Leyenda!$O$4:$U$10,6,FALSE)</f>
        <v>0,15-0,25</v>
      </c>
      <c r="AJ210" s="18" t="str">
        <f>+VLOOKUP(AG210,Leyenda!$O$4:$U$10,7,FALSE)</f>
        <v>No Blasting need</v>
      </c>
      <c r="AK210" s="18">
        <f>+VLOOKUP(AJ210,Leyenda!$U$4:$V$10,2,FALSE)</f>
        <v>2</v>
      </c>
      <c r="AL210" s="18" t="s">
        <v>29</v>
      </c>
      <c r="AM210" s="18" t="str">
        <f t="shared" si="78"/>
        <v>R1</v>
      </c>
      <c r="AN210" s="18" t="s">
        <v>66</v>
      </c>
      <c r="AO210" s="18" t="s">
        <v>79</v>
      </c>
      <c r="AP210" s="18" t="s">
        <v>96</v>
      </c>
      <c r="AQ210" s="18" t="s">
        <v>107</v>
      </c>
      <c r="AR210" s="18" t="s">
        <v>120</v>
      </c>
      <c r="AS210" s="18" t="s">
        <v>198</v>
      </c>
      <c r="AT210" s="18" t="s">
        <v>240</v>
      </c>
      <c r="AU210" s="18"/>
      <c r="AV210" s="18">
        <f>+VLOOKUP(AN210,Leyenda!$B$30:$E$34,3,FALSE)</f>
        <v>1</v>
      </c>
      <c r="AW210" s="18">
        <f>+VLOOKUP('2. Logging Brejo Seco'!AO210,Meteorizacion,3,FALSE)</f>
        <v>1</v>
      </c>
      <c r="AX210" s="18">
        <f>+VLOOKUP('2. Logging Brejo Seco'!AP210,Apertura,3,FALSE)</f>
        <v>1</v>
      </c>
      <c r="AY210" s="18">
        <f>+VLOOKUP('2. Logging Brejo Seco'!AQ210,Leyenda!$B$55:$D$59,3,FALSE)</f>
        <v>3</v>
      </c>
      <c r="AZ210" s="18">
        <f>+VLOOKUP('2. Logging Brejo Seco'!AR210,Relleno,3,FALSE)</f>
        <v>2</v>
      </c>
      <c r="BA210" s="18">
        <f t="shared" si="87"/>
        <v>8</v>
      </c>
      <c r="BB210" s="49">
        <f t="shared" si="73"/>
        <v>0</v>
      </c>
      <c r="BC210" s="49">
        <f>VLOOKUP(AM210,Leyenda!$B$4:$D$10,3,FALSE)</f>
        <v>1</v>
      </c>
      <c r="BD210" s="50">
        <f t="shared" si="79"/>
        <v>4</v>
      </c>
      <c r="BE210" s="49">
        <f t="shared" si="80"/>
        <v>8</v>
      </c>
      <c r="BF210" s="49">
        <f>VLOOKUP(AS210,Leyenda!$B$70:$D$75,3,FALSE)</f>
        <v>15</v>
      </c>
      <c r="BG210" s="67">
        <f t="shared" si="74"/>
        <v>12</v>
      </c>
      <c r="BH210" s="67">
        <f>VLOOKUP(AM210,Leyenda!$B$4:$E$10,4,FALSE)</f>
        <v>1</v>
      </c>
      <c r="BI210" s="67">
        <f t="shared" si="81"/>
        <v>5</v>
      </c>
      <c r="BJ210" s="67">
        <f t="shared" si="75"/>
        <v>0</v>
      </c>
      <c r="BK210" s="67">
        <f>+VLOOKUP('2. Logging Brejo Seco'!AP210,Leyenda!$B$47:$E$51,4,FALSE)</f>
        <v>1</v>
      </c>
      <c r="BL210" s="67">
        <f>+VLOOKUP('2. Logging Brejo Seco'!AQ210,Leyenda!$B$55:$E$59,4,FALSE)</f>
        <v>3</v>
      </c>
      <c r="BM210" s="67">
        <f>+VLOOKUP('2. Logging Brejo Seco'!AR210,Leyenda!$B$63:$E$67,3,FALSE)</f>
        <v>2</v>
      </c>
      <c r="BN210" s="67">
        <f>+VLOOKUP('2. Logging Brejo Seco'!AO210,Leyenda!$B$39:$E$43,4,FALSE)</f>
        <v>1</v>
      </c>
      <c r="BO210" s="67">
        <f>+VLOOKUP('2. Logging Brejo Seco'!AN210,Leyenda!$B$30:$E$34,4,FALSE)</f>
        <v>1</v>
      </c>
      <c r="BP210" s="67">
        <f>VLOOKUP(AS210,Leyenda!$B$71:$E$75,4,FALSE)</f>
        <v>10</v>
      </c>
      <c r="BQ210" s="125">
        <f t="shared" si="82"/>
        <v>24</v>
      </c>
      <c r="BR210" s="85">
        <f t="shared" si="83"/>
        <v>28</v>
      </c>
      <c r="BS210" s="240">
        <f t="shared" si="84"/>
        <v>0.74</v>
      </c>
      <c r="BT210" s="18"/>
    </row>
    <row r="211" spans="1:72" x14ac:dyDescent="0.25">
      <c r="A211" s="18" t="s">
        <v>6</v>
      </c>
      <c r="B211" s="18">
        <v>2024</v>
      </c>
      <c r="C211" s="18" t="s">
        <v>138</v>
      </c>
      <c r="D211" s="18" t="s">
        <v>245</v>
      </c>
      <c r="E211" s="18">
        <v>20</v>
      </c>
      <c r="F211" s="18">
        <v>20</v>
      </c>
      <c r="G211" s="18" t="s">
        <v>156</v>
      </c>
      <c r="H211" s="248">
        <f t="shared" si="85"/>
        <v>20</v>
      </c>
      <c r="I211" s="135"/>
      <c r="J211" s="18" t="s">
        <v>296</v>
      </c>
      <c r="K211" s="4">
        <f t="shared" si="69"/>
        <v>49</v>
      </c>
      <c r="L211" s="4">
        <v>49.5</v>
      </c>
      <c r="M211" s="4">
        <f t="shared" si="76"/>
        <v>0.5</v>
      </c>
      <c r="N211" s="5">
        <v>0.2</v>
      </c>
      <c r="O211" s="5">
        <f t="shared" si="68"/>
        <v>0.8</v>
      </c>
      <c r="P211" s="31">
        <f t="shared" si="77"/>
        <v>0.1</v>
      </c>
      <c r="Q211" s="31">
        <f t="shared" si="72"/>
        <v>0.1</v>
      </c>
      <c r="R211" s="31">
        <v>5</v>
      </c>
      <c r="S211" s="31">
        <v>20</v>
      </c>
      <c r="T211" s="31">
        <v>0.1</v>
      </c>
      <c r="U211" s="31">
        <v>0</v>
      </c>
      <c r="V211" s="187">
        <f t="shared" si="86"/>
        <v>0</v>
      </c>
      <c r="W211" s="31">
        <v>5</v>
      </c>
      <c r="X211" s="31"/>
      <c r="Y211" s="31">
        <f t="shared" si="70"/>
        <v>5</v>
      </c>
      <c r="Z211" s="31">
        <f t="shared" si="71"/>
        <v>20</v>
      </c>
      <c r="AA211" s="18">
        <v>0</v>
      </c>
      <c r="AB211" s="18" t="s">
        <v>330</v>
      </c>
      <c r="AC211" s="18" t="s">
        <v>333</v>
      </c>
      <c r="AD211" s="18" t="s">
        <v>337</v>
      </c>
      <c r="AE211" s="18">
        <v>20</v>
      </c>
      <c r="AF211" s="18">
        <v>5</v>
      </c>
      <c r="AG211" s="18" t="s">
        <v>32</v>
      </c>
      <c r="AH211" s="18" t="s">
        <v>32</v>
      </c>
      <c r="AI211" s="18" t="str">
        <f>+VLOOKUP(AH211,Leyenda!$O$4:$U$10,6,FALSE)</f>
        <v>0,15-0,25</v>
      </c>
      <c r="AJ211" s="18" t="str">
        <f>+VLOOKUP(AG211,Leyenda!$O$4:$U$10,7,FALSE)</f>
        <v>No Blasting need</v>
      </c>
      <c r="AK211" s="18">
        <f>+VLOOKUP(AJ211,Leyenda!$U$4:$V$10,2,FALSE)</f>
        <v>2</v>
      </c>
      <c r="AL211" s="18" t="s">
        <v>242</v>
      </c>
      <c r="AM211" s="18" t="str">
        <f t="shared" si="78"/>
        <v>R1</v>
      </c>
      <c r="AN211" s="18" t="s">
        <v>69</v>
      </c>
      <c r="AO211" s="18" t="s">
        <v>81</v>
      </c>
      <c r="AP211" s="18" t="s">
        <v>100</v>
      </c>
      <c r="AQ211" s="18" t="s">
        <v>109</v>
      </c>
      <c r="AR211" s="18" t="s">
        <v>120</v>
      </c>
      <c r="AS211" s="18" t="s">
        <v>198</v>
      </c>
      <c r="AT211" s="18" t="s">
        <v>243</v>
      </c>
      <c r="AU211" s="18"/>
      <c r="AV211" s="18">
        <f>+VLOOKUP(AN211,Leyenda!$B$30:$E$34,3,FALSE)</f>
        <v>0</v>
      </c>
      <c r="AW211" s="18">
        <f>+VLOOKUP('2. Logging Brejo Seco'!AO211,Meteorizacion,3,FALSE)</f>
        <v>0</v>
      </c>
      <c r="AX211" s="18">
        <f>+VLOOKUP('2. Logging Brejo Seco'!AP211,Apertura,3,FALSE)</f>
        <v>0</v>
      </c>
      <c r="AY211" s="18">
        <f>+VLOOKUP('2. Logging Brejo Seco'!AQ211,Leyenda!$B$55:$D$59,3,FALSE)</f>
        <v>1</v>
      </c>
      <c r="AZ211" s="18">
        <f>+VLOOKUP('2. Logging Brejo Seco'!AR211,Relleno,3,FALSE)</f>
        <v>2</v>
      </c>
      <c r="BA211" s="18">
        <f t="shared" si="87"/>
        <v>3</v>
      </c>
      <c r="BB211" s="49">
        <f t="shared" si="73"/>
        <v>0</v>
      </c>
      <c r="BC211" s="49">
        <f>VLOOKUP(AM211,Leyenda!$B$4:$D$10,3,FALSE)</f>
        <v>1</v>
      </c>
      <c r="BD211" s="50">
        <f t="shared" si="79"/>
        <v>4</v>
      </c>
      <c r="BE211" s="49">
        <f t="shared" si="80"/>
        <v>3</v>
      </c>
      <c r="BF211" s="49">
        <f>VLOOKUP(AS211,Leyenda!$B$70:$D$75,3,FALSE)</f>
        <v>15</v>
      </c>
      <c r="BG211" s="67">
        <f t="shared" si="74"/>
        <v>4.5</v>
      </c>
      <c r="BH211" s="67">
        <f>VLOOKUP(AM211,Leyenda!$B$4:$E$10,4,FALSE)</f>
        <v>1</v>
      </c>
      <c r="BI211" s="67">
        <f t="shared" si="81"/>
        <v>5</v>
      </c>
      <c r="BJ211" s="67">
        <f t="shared" si="75"/>
        <v>0</v>
      </c>
      <c r="BK211" s="67">
        <f>+VLOOKUP('2. Logging Brejo Seco'!AP211,Leyenda!$B$47:$E$51,4,FALSE)</f>
        <v>0</v>
      </c>
      <c r="BL211" s="67">
        <f>+VLOOKUP('2. Logging Brejo Seco'!AQ211,Leyenda!$B$55:$E$59,4,FALSE)</f>
        <v>1</v>
      </c>
      <c r="BM211" s="67">
        <f>+VLOOKUP('2. Logging Brejo Seco'!AR211,Leyenda!$B$63:$E$67,3,FALSE)</f>
        <v>2</v>
      </c>
      <c r="BN211" s="67">
        <f>+VLOOKUP('2. Logging Brejo Seco'!AO211,Leyenda!$B$39:$E$43,4,FALSE)</f>
        <v>0</v>
      </c>
      <c r="BO211" s="67">
        <f>+VLOOKUP('2. Logging Brejo Seco'!AN211,Leyenda!$B$30:$E$34,4,FALSE)</f>
        <v>0</v>
      </c>
      <c r="BP211" s="67">
        <f>VLOOKUP(AS211,Leyenda!$B$71:$E$75,4,FALSE)</f>
        <v>10</v>
      </c>
      <c r="BQ211" s="125">
        <f t="shared" si="82"/>
        <v>19</v>
      </c>
      <c r="BR211" s="85">
        <f t="shared" si="83"/>
        <v>23</v>
      </c>
      <c r="BS211" s="240">
        <f t="shared" si="84"/>
        <v>0.8</v>
      </c>
      <c r="BT211" s="18"/>
    </row>
    <row r="212" spans="1:72" x14ac:dyDescent="0.25">
      <c r="A212" s="18" t="s">
        <v>6</v>
      </c>
      <c r="B212" s="18">
        <v>2024</v>
      </c>
      <c r="C212" s="18" t="s">
        <v>138</v>
      </c>
      <c r="D212" s="18" t="s">
        <v>245</v>
      </c>
      <c r="E212" s="18">
        <v>20</v>
      </c>
      <c r="F212" s="18">
        <v>20</v>
      </c>
      <c r="G212" s="18" t="s">
        <v>156</v>
      </c>
      <c r="H212" s="248">
        <f t="shared" si="85"/>
        <v>20</v>
      </c>
      <c r="I212" s="135"/>
      <c r="J212" s="18" t="s">
        <v>296</v>
      </c>
      <c r="K212" s="4">
        <f t="shared" si="69"/>
        <v>49.5</v>
      </c>
      <c r="L212" s="4">
        <v>50</v>
      </c>
      <c r="M212" s="4">
        <f t="shared" si="76"/>
        <v>0.5</v>
      </c>
      <c r="N212" s="5">
        <v>0.34</v>
      </c>
      <c r="O212" s="5">
        <f t="shared" si="68"/>
        <v>0.65999999999999992</v>
      </c>
      <c r="P212" s="31">
        <f t="shared" si="77"/>
        <v>0.17</v>
      </c>
      <c r="Q212" s="31">
        <f t="shared" si="72"/>
        <v>0.17</v>
      </c>
      <c r="R212" s="31">
        <v>8.5</v>
      </c>
      <c r="S212" s="31">
        <v>20</v>
      </c>
      <c r="T212" s="31">
        <v>0.16</v>
      </c>
      <c r="U212" s="31">
        <v>0</v>
      </c>
      <c r="V212" s="187">
        <f t="shared" si="86"/>
        <v>0</v>
      </c>
      <c r="W212" s="31">
        <v>5</v>
      </c>
      <c r="X212" s="31"/>
      <c r="Y212" s="31">
        <f t="shared" si="70"/>
        <v>5</v>
      </c>
      <c r="Z212" s="31">
        <f t="shared" si="71"/>
        <v>32</v>
      </c>
      <c r="AA212" s="18">
        <v>0</v>
      </c>
      <c r="AB212" s="18" t="s">
        <v>330</v>
      </c>
      <c r="AC212" s="18" t="s">
        <v>333</v>
      </c>
      <c r="AD212" s="18" t="s">
        <v>337</v>
      </c>
      <c r="AE212" s="18">
        <v>20</v>
      </c>
      <c r="AF212" s="18">
        <v>8.5</v>
      </c>
      <c r="AG212" s="18" t="s">
        <v>32</v>
      </c>
      <c r="AH212" s="18" t="s">
        <v>32</v>
      </c>
      <c r="AI212" s="18" t="str">
        <f>+VLOOKUP(AH212,Leyenda!$O$4:$U$10,6,FALSE)</f>
        <v>0,15-0,25</v>
      </c>
      <c r="AJ212" s="18" t="str">
        <f>+VLOOKUP(AG212,Leyenda!$O$4:$U$10,7,FALSE)</f>
        <v>No Blasting need</v>
      </c>
      <c r="AK212" s="18">
        <f>+VLOOKUP(AJ212,Leyenda!$U$4:$V$10,2,FALSE)</f>
        <v>2</v>
      </c>
      <c r="AL212" s="18" t="s">
        <v>242</v>
      </c>
      <c r="AM212" s="18" t="str">
        <f t="shared" si="78"/>
        <v>R1</v>
      </c>
      <c r="AN212" s="18" t="s">
        <v>69</v>
      </c>
      <c r="AO212" s="18" t="s">
        <v>81</v>
      </c>
      <c r="AP212" s="18" t="s">
        <v>100</v>
      </c>
      <c r="AQ212" s="18" t="s">
        <v>109</v>
      </c>
      <c r="AR212" s="18" t="s">
        <v>120</v>
      </c>
      <c r="AS212" s="18" t="s">
        <v>198</v>
      </c>
      <c r="AT212" s="18" t="s">
        <v>243</v>
      </c>
      <c r="AU212" s="18"/>
      <c r="AV212" s="18">
        <f>+VLOOKUP(AN212,Leyenda!$B$30:$E$34,3,FALSE)</f>
        <v>0</v>
      </c>
      <c r="AW212" s="18">
        <f>+VLOOKUP('2. Logging Brejo Seco'!AO212,Meteorizacion,3,FALSE)</f>
        <v>0</v>
      </c>
      <c r="AX212" s="18">
        <f>+VLOOKUP('2. Logging Brejo Seco'!AP212,Apertura,3,FALSE)</f>
        <v>0</v>
      </c>
      <c r="AY212" s="18">
        <f>+VLOOKUP('2. Logging Brejo Seco'!AQ212,Leyenda!$B$55:$D$59,3,FALSE)</f>
        <v>1</v>
      </c>
      <c r="AZ212" s="18">
        <f>+VLOOKUP('2. Logging Brejo Seco'!AR212,Relleno,3,FALSE)</f>
        <v>2</v>
      </c>
      <c r="BA212" s="18">
        <f t="shared" si="87"/>
        <v>3</v>
      </c>
      <c r="BB212" s="49">
        <f t="shared" si="73"/>
        <v>0</v>
      </c>
      <c r="BC212" s="49">
        <f>VLOOKUP(AM212,Leyenda!$B$4:$D$10,3,FALSE)</f>
        <v>1</v>
      </c>
      <c r="BD212" s="50">
        <f t="shared" si="79"/>
        <v>5</v>
      </c>
      <c r="BE212" s="49">
        <f t="shared" si="80"/>
        <v>3</v>
      </c>
      <c r="BF212" s="49">
        <f>VLOOKUP(AS212,Leyenda!$B$70:$D$75,3,FALSE)</f>
        <v>15</v>
      </c>
      <c r="BG212" s="67">
        <f t="shared" si="74"/>
        <v>4.5</v>
      </c>
      <c r="BH212" s="67">
        <f>VLOOKUP(AM212,Leyenda!$B$4:$E$10,4,FALSE)</f>
        <v>1</v>
      </c>
      <c r="BI212" s="67">
        <f t="shared" si="81"/>
        <v>5</v>
      </c>
      <c r="BJ212" s="67">
        <f t="shared" si="75"/>
        <v>0</v>
      </c>
      <c r="BK212" s="67">
        <f>+VLOOKUP('2. Logging Brejo Seco'!AP212,Leyenda!$B$47:$E$51,4,FALSE)</f>
        <v>0</v>
      </c>
      <c r="BL212" s="67">
        <f>+VLOOKUP('2. Logging Brejo Seco'!AQ212,Leyenda!$B$55:$E$59,4,FALSE)</f>
        <v>1</v>
      </c>
      <c r="BM212" s="67">
        <f>+VLOOKUP('2. Logging Brejo Seco'!AR212,Leyenda!$B$63:$E$67,3,FALSE)</f>
        <v>2</v>
      </c>
      <c r="BN212" s="67">
        <f>+VLOOKUP('2. Logging Brejo Seco'!AO212,Leyenda!$B$39:$E$43,4,FALSE)</f>
        <v>0</v>
      </c>
      <c r="BO212" s="67">
        <f>+VLOOKUP('2. Logging Brejo Seco'!AN212,Leyenda!$B$30:$E$34,4,FALSE)</f>
        <v>0</v>
      </c>
      <c r="BP212" s="67">
        <f>VLOOKUP(AS212,Leyenda!$B$71:$E$75,4,FALSE)</f>
        <v>10</v>
      </c>
      <c r="BQ212" s="125">
        <f t="shared" si="82"/>
        <v>19</v>
      </c>
      <c r="BR212" s="85">
        <f t="shared" si="83"/>
        <v>24</v>
      </c>
      <c r="BS212" s="240">
        <f t="shared" si="84"/>
        <v>0.65999999999999992</v>
      </c>
      <c r="BT212" s="18"/>
    </row>
    <row r="213" spans="1:72" x14ac:dyDescent="0.25">
      <c r="A213" s="18" t="s">
        <v>6</v>
      </c>
      <c r="B213" s="18">
        <v>2024</v>
      </c>
      <c r="C213" s="18" t="s">
        <v>138</v>
      </c>
      <c r="D213" s="18" t="s">
        <v>245</v>
      </c>
      <c r="E213" s="18">
        <v>20</v>
      </c>
      <c r="F213" s="18">
        <v>20</v>
      </c>
      <c r="G213" s="18" t="s">
        <v>156</v>
      </c>
      <c r="H213" s="248">
        <f t="shared" si="85"/>
        <v>20</v>
      </c>
      <c r="I213" s="135"/>
      <c r="J213" s="18" t="s">
        <v>296</v>
      </c>
      <c r="K213" s="4">
        <f t="shared" si="69"/>
        <v>50</v>
      </c>
      <c r="L213" s="4">
        <v>50.5</v>
      </c>
      <c r="M213" s="4">
        <f t="shared" si="76"/>
        <v>0.5</v>
      </c>
      <c r="N213" s="5">
        <v>0.26</v>
      </c>
      <c r="O213" s="5">
        <f t="shared" si="68"/>
        <v>0.74</v>
      </c>
      <c r="P213" s="31">
        <f t="shared" si="77"/>
        <v>0.13</v>
      </c>
      <c r="Q213" s="31">
        <f t="shared" si="72"/>
        <v>0.13</v>
      </c>
      <c r="R213" s="31">
        <v>6.5</v>
      </c>
      <c r="S213" s="31">
        <v>20</v>
      </c>
      <c r="T213" s="31">
        <v>0.12</v>
      </c>
      <c r="U213" s="31">
        <v>0</v>
      </c>
      <c r="V213" s="187">
        <f t="shared" si="86"/>
        <v>0</v>
      </c>
      <c r="W213" s="31">
        <v>5</v>
      </c>
      <c r="X213" s="31"/>
      <c r="Y213" s="31">
        <f t="shared" si="70"/>
        <v>5</v>
      </c>
      <c r="Z213" s="31">
        <f t="shared" si="71"/>
        <v>24</v>
      </c>
      <c r="AA213" s="18">
        <v>0</v>
      </c>
      <c r="AB213" s="18" t="s">
        <v>330</v>
      </c>
      <c r="AC213" s="18" t="s">
        <v>333</v>
      </c>
      <c r="AD213" s="18" t="s">
        <v>337</v>
      </c>
      <c r="AE213" s="18">
        <v>20</v>
      </c>
      <c r="AF213" s="18">
        <v>6.5</v>
      </c>
      <c r="AG213" s="18" t="s">
        <v>32</v>
      </c>
      <c r="AH213" s="18" t="s">
        <v>32</v>
      </c>
      <c r="AI213" s="18" t="str">
        <f>+VLOOKUP(AH213,Leyenda!$O$4:$U$10,6,FALSE)</f>
        <v>0,15-0,25</v>
      </c>
      <c r="AJ213" s="18" t="str">
        <f>+VLOOKUP(AG213,Leyenda!$O$4:$U$10,7,FALSE)</f>
        <v>No Blasting need</v>
      </c>
      <c r="AK213" s="18">
        <f>+VLOOKUP(AJ213,Leyenda!$U$4:$V$10,2,FALSE)</f>
        <v>2</v>
      </c>
      <c r="AL213" s="18" t="s">
        <v>242</v>
      </c>
      <c r="AM213" s="18" t="str">
        <f t="shared" si="78"/>
        <v>R1</v>
      </c>
      <c r="AN213" s="18" t="s">
        <v>69</v>
      </c>
      <c r="AO213" s="18" t="s">
        <v>81</v>
      </c>
      <c r="AP213" s="18" t="s">
        <v>100</v>
      </c>
      <c r="AQ213" s="18" t="s">
        <v>109</v>
      </c>
      <c r="AR213" s="18" t="s">
        <v>120</v>
      </c>
      <c r="AS213" s="18" t="s">
        <v>198</v>
      </c>
      <c r="AT213" s="18" t="s">
        <v>243</v>
      </c>
      <c r="AU213" s="18"/>
      <c r="AV213" s="18">
        <f>+VLOOKUP(AN213,Leyenda!$B$30:$E$34,3,FALSE)</f>
        <v>0</v>
      </c>
      <c r="AW213" s="18">
        <f>+VLOOKUP('2. Logging Brejo Seco'!AO213,Meteorizacion,3,FALSE)</f>
        <v>0</v>
      </c>
      <c r="AX213" s="18">
        <f>+VLOOKUP('2. Logging Brejo Seco'!AP213,Apertura,3,FALSE)</f>
        <v>0</v>
      </c>
      <c r="AY213" s="18">
        <f>+VLOOKUP('2. Logging Brejo Seco'!AQ213,Leyenda!$B$55:$D$59,3,FALSE)</f>
        <v>1</v>
      </c>
      <c r="AZ213" s="18">
        <f>+VLOOKUP('2. Logging Brejo Seco'!AR213,Relleno,3,FALSE)</f>
        <v>2</v>
      </c>
      <c r="BA213" s="18">
        <f t="shared" si="87"/>
        <v>3</v>
      </c>
      <c r="BB213" s="49">
        <f t="shared" si="73"/>
        <v>0</v>
      </c>
      <c r="BC213" s="49">
        <f>VLOOKUP(AM213,Leyenda!$B$4:$D$10,3,FALSE)</f>
        <v>1</v>
      </c>
      <c r="BD213" s="50">
        <f t="shared" si="79"/>
        <v>4</v>
      </c>
      <c r="BE213" s="49">
        <f t="shared" si="80"/>
        <v>3</v>
      </c>
      <c r="BF213" s="49">
        <f>VLOOKUP(AS213,Leyenda!$B$70:$D$75,3,FALSE)</f>
        <v>15</v>
      </c>
      <c r="BG213" s="67">
        <f t="shared" si="74"/>
        <v>4.5</v>
      </c>
      <c r="BH213" s="67">
        <f>VLOOKUP(AM213,Leyenda!$B$4:$E$10,4,FALSE)</f>
        <v>1</v>
      </c>
      <c r="BI213" s="67">
        <f t="shared" si="81"/>
        <v>5</v>
      </c>
      <c r="BJ213" s="67">
        <f t="shared" si="75"/>
        <v>0</v>
      </c>
      <c r="BK213" s="67">
        <f>+VLOOKUP('2. Logging Brejo Seco'!AP213,Leyenda!$B$47:$E$51,4,FALSE)</f>
        <v>0</v>
      </c>
      <c r="BL213" s="67">
        <f>+VLOOKUP('2. Logging Brejo Seco'!AQ213,Leyenda!$B$55:$E$59,4,FALSE)</f>
        <v>1</v>
      </c>
      <c r="BM213" s="67">
        <f>+VLOOKUP('2. Logging Brejo Seco'!AR213,Leyenda!$B$63:$E$67,3,FALSE)</f>
        <v>2</v>
      </c>
      <c r="BN213" s="67">
        <f>+VLOOKUP('2. Logging Brejo Seco'!AO213,Leyenda!$B$39:$E$43,4,FALSE)</f>
        <v>0</v>
      </c>
      <c r="BO213" s="67">
        <f>+VLOOKUP('2. Logging Brejo Seco'!AN213,Leyenda!$B$30:$E$34,4,FALSE)</f>
        <v>0</v>
      </c>
      <c r="BP213" s="67">
        <f>VLOOKUP(AS213,Leyenda!$B$71:$E$75,4,FALSE)</f>
        <v>10</v>
      </c>
      <c r="BQ213" s="125">
        <f t="shared" si="82"/>
        <v>19</v>
      </c>
      <c r="BR213" s="85">
        <f t="shared" si="83"/>
        <v>23</v>
      </c>
      <c r="BS213" s="240">
        <f t="shared" si="84"/>
        <v>0.74</v>
      </c>
      <c r="BT213" s="18"/>
    </row>
    <row r="214" spans="1:72" x14ac:dyDescent="0.25">
      <c r="A214" s="18" t="s">
        <v>6</v>
      </c>
      <c r="B214" s="18">
        <v>2024</v>
      </c>
      <c r="C214" s="18" t="s">
        <v>138</v>
      </c>
      <c r="D214" s="18" t="s">
        <v>245</v>
      </c>
      <c r="E214" s="18">
        <v>20</v>
      </c>
      <c r="F214" s="18">
        <v>20</v>
      </c>
      <c r="G214" s="18" t="s">
        <v>156</v>
      </c>
      <c r="H214" s="248">
        <f t="shared" si="85"/>
        <v>20</v>
      </c>
      <c r="I214" s="135"/>
      <c r="J214" s="18" t="s">
        <v>296</v>
      </c>
      <c r="K214" s="4">
        <f t="shared" si="69"/>
        <v>50.5</v>
      </c>
      <c r="L214" s="4">
        <v>51</v>
      </c>
      <c r="M214" s="4">
        <f t="shared" si="76"/>
        <v>0.5</v>
      </c>
      <c r="N214" s="5">
        <v>0.66</v>
      </c>
      <c r="O214" s="5">
        <f t="shared" si="68"/>
        <v>0.33999999999999997</v>
      </c>
      <c r="P214" s="31">
        <f t="shared" si="77"/>
        <v>0.33</v>
      </c>
      <c r="Q214" s="31">
        <f t="shared" si="72"/>
        <v>0.33</v>
      </c>
      <c r="R214" s="31">
        <v>16.5</v>
      </c>
      <c r="S214" s="31">
        <v>20</v>
      </c>
      <c r="T214" s="31">
        <v>0.31</v>
      </c>
      <c r="U214" s="31">
        <v>0</v>
      </c>
      <c r="V214" s="187">
        <f t="shared" si="86"/>
        <v>0</v>
      </c>
      <c r="W214" s="31">
        <v>6</v>
      </c>
      <c r="X214" s="31"/>
      <c r="Y214" s="31">
        <f t="shared" si="70"/>
        <v>6</v>
      </c>
      <c r="Z214" s="31">
        <f t="shared" si="71"/>
        <v>51.666666666666664</v>
      </c>
      <c r="AA214" s="18">
        <v>0</v>
      </c>
      <c r="AB214" s="18" t="s">
        <v>330</v>
      </c>
      <c r="AC214" s="18" t="s">
        <v>333</v>
      </c>
      <c r="AD214" s="18" t="s">
        <v>337</v>
      </c>
      <c r="AE214" s="18">
        <v>20</v>
      </c>
      <c r="AF214" s="18">
        <v>16.5</v>
      </c>
      <c r="AG214" s="18" t="s">
        <v>32</v>
      </c>
      <c r="AH214" s="18" t="s">
        <v>32</v>
      </c>
      <c r="AI214" s="18" t="str">
        <f>+VLOOKUP(AH214,Leyenda!$O$4:$U$10,6,FALSE)</f>
        <v>0,15-0,25</v>
      </c>
      <c r="AJ214" s="18" t="str">
        <f>+VLOOKUP(AG214,Leyenda!$O$4:$U$10,7,FALSE)</f>
        <v>No Blasting need</v>
      </c>
      <c r="AK214" s="18">
        <f>+VLOOKUP(AJ214,Leyenda!$U$4:$V$10,2,FALSE)</f>
        <v>2</v>
      </c>
      <c r="AL214" s="18" t="s">
        <v>200</v>
      </c>
      <c r="AM214" s="18" t="str">
        <f t="shared" si="78"/>
        <v>R1</v>
      </c>
      <c r="AN214" s="18" t="s">
        <v>66</v>
      </c>
      <c r="AO214" s="18" t="s">
        <v>79</v>
      </c>
      <c r="AP214" s="18" t="s">
        <v>96</v>
      </c>
      <c r="AQ214" s="18" t="s">
        <v>107</v>
      </c>
      <c r="AR214" s="18" t="s">
        <v>120</v>
      </c>
      <c r="AS214" s="18" t="s">
        <v>198</v>
      </c>
      <c r="AT214" s="18"/>
      <c r="AU214" s="18"/>
      <c r="AV214" s="18">
        <f>+VLOOKUP(AN214,Leyenda!$B$30:$E$34,3,FALSE)</f>
        <v>1</v>
      </c>
      <c r="AW214" s="18">
        <f>+VLOOKUP('2. Logging Brejo Seco'!AO214,Meteorizacion,3,FALSE)</f>
        <v>1</v>
      </c>
      <c r="AX214" s="18">
        <f>+VLOOKUP('2. Logging Brejo Seco'!AP214,Apertura,3,FALSE)</f>
        <v>1</v>
      </c>
      <c r="AY214" s="18">
        <f>+VLOOKUP('2. Logging Brejo Seco'!AQ214,Leyenda!$B$55:$D$59,3,FALSE)</f>
        <v>3</v>
      </c>
      <c r="AZ214" s="18">
        <f>+VLOOKUP('2. Logging Brejo Seco'!AR214,Relleno,3,FALSE)</f>
        <v>2</v>
      </c>
      <c r="BA214" s="18">
        <f t="shared" si="87"/>
        <v>8</v>
      </c>
      <c r="BB214" s="49">
        <f t="shared" si="73"/>
        <v>0</v>
      </c>
      <c r="BC214" s="49">
        <f>VLOOKUP(AM214,Leyenda!$B$4:$D$10,3,FALSE)</f>
        <v>1</v>
      </c>
      <c r="BD214" s="50">
        <f t="shared" si="79"/>
        <v>6</v>
      </c>
      <c r="BE214" s="49">
        <f t="shared" si="80"/>
        <v>8</v>
      </c>
      <c r="BF214" s="49">
        <f>VLOOKUP(AS214,Leyenda!$B$70:$D$75,3,FALSE)</f>
        <v>15</v>
      </c>
      <c r="BG214" s="67">
        <f t="shared" si="74"/>
        <v>12</v>
      </c>
      <c r="BH214" s="67">
        <f>VLOOKUP(AM214,Leyenda!$B$4:$E$10,4,FALSE)</f>
        <v>1</v>
      </c>
      <c r="BI214" s="67">
        <f t="shared" si="81"/>
        <v>4</v>
      </c>
      <c r="BJ214" s="67">
        <f t="shared" si="75"/>
        <v>0</v>
      </c>
      <c r="BK214" s="67">
        <f>+VLOOKUP('2. Logging Brejo Seco'!AP214,Leyenda!$B$47:$E$51,4,FALSE)</f>
        <v>1</v>
      </c>
      <c r="BL214" s="67">
        <f>+VLOOKUP('2. Logging Brejo Seco'!AQ214,Leyenda!$B$55:$E$59,4,FALSE)</f>
        <v>3</v>
      </c>
      <c r="BM214" s="67">
        <f>+VLOOKUP('2. Logging Brejo Seco'!AR214,Leyenda!$B$63:$E$67,3,FALSE)</f>
        <v>2</v>
      </c>
      <c r="BN214" s="67">
        <f>+VLOOKUP('2. Logging Brejo Seco'!AO214,Leyenda!$B$39:$E$43,4,FALSE)</f>
        <v>1</v>
      </c>
      <c r="BO214" s="67">
        <f>+VLOOKUP('2. Logging Brejo Seco'!AN214,Leyenda!$B$30:$E$34,4,FALSE)</f>
        <v>1</v>
      </c>
      <c r="BP214" s="67">
        <f>VLOOKUP(AS214,Leyenda!$B$71:$E$75,4,FALSE)</f>
        <v>10</v>
      </c>
      <c r="BQ214" s="125">
        <f t="shared" si="82"/>
        <v>23</v>
      </c>
      <c r="BR214" s="85">
        <f t="shared" si="83"/>
        <v>30</v>
      </c>
      <c r="BS214" s="240">
        <f t="shared" si="84"/>
        <v>0.33999999999999997</v>
      </c>
      <c r="BT214" s="18"/>
    </row>
    <row r="215" spans="1:72" x14ac:dyDescent="0.25">
      <c r="A215" s="18" t="s">
        <v>6</v>
      </c>
      <c r="B215" s="18">
        <v>2024</v>
      </c>
      <c r="C215" s="18" t="s">
        <v>138</v>
      </c>
      <c r="D215" s="18" t="s">
        <v>245</v>
      </c>
      <c r="E215" s="18">
        <v>20</v>
      </c>
      <c r="F215" s="18">
        <v>20</v>
      </c>
      <c r="G215" s="18" t="s">
        <v>156</v>
      </c>
      <c r="H215" s="248">
        <f t="shared" si="85"/>
        <v>20</v>
      </c>
      <c r="I215" s="135"/>
      <c r="J215" s="18" t="s">
        <v>296</v>
      </c>
      <c r="K215" s="4">
        <f t="shared" si="69"/>
        <v>51</v>
      </c>
      <c r="L215" s="4">
        <v>51.5</v>
      </c>
      <c r="M215" s="4">
        <f t="shared" si="76"/>
        <v>0.5</v>
      </c>
      <c r="N215" s="5">
        <v>0.74</v>
      </c>
      <c r="O215" s="5">
        <f t="shared" si="68"/>
        <v>0.26</v>
      </c>
      <c r="P215" s="31">
        <f t="shared" si="77"/>
        <v>0.37</v>
      </c>
      <c r="Q215" s="31">
        <f t="shared" si="72"/>
        <v>0.37</v>
      </c>
      <c r="R215" s="31">
        <v>18.5</v>
      </c>
      <c r="S215" s="31">
        <v>20</v>
      </c>
      <c r="T215" s="31">
        <v>0.33</v>
      </c>
      <c r="U215" s="31">
        <v>0</v>
      </c>
      <c r="V215" s="187">
        <f t="shared" si="86"/>
        <v>0</v>
      </c>
      <c r="W215" s="31">
        <v>10</v>
      </c>
      <c r="X215" s="31"/>
      <c r="Y215" s="31">
        <f t="shared" si="70"/>
        <v>10</v>
      </c>
      <c r="Z215" s="31">
        <f t="shared" si="71"/>
        <v>33</v>
      </c>
      <c r="AA215" s="18">
        <v>0</v>
      </c>
      <c r="AB215" s="18" t="s">
        <v>330</v>
      </c>
      <c r="AC215" s="18" t="s">
        <v>333</v>
      </c>
      <c r="AD215" s="18" t="s">
        <v>337</v>
      </c>
      <c r="AE215" s="18">
        <v>20</v>
      </c>
      <c r="AF215" s="18">
        <v>18.5</v>
      </c>
      <c r="AG215" s="18" t="s">
        <v>32</v>
      </c>
      <c r="AH215" s="18" t="s">
        <v>32</v>
      </c>
      <c r="AI215" s="18" t="str">
        <f>+VLOOKUP(AH215,Leyenda!$O$4:$U$10,6,FALSE)</f>
        <v>0,15-0,25</v>
      </c>
      <c r="AJ215" s="18" t="str">
        <f>+VLOOKUP(AG215,Leyenda!$O$4:$U$10,7,FALSE)</f>
        <v>No Blasting need</v>
      </c>
      <c r="AK215" s="18">
        <f>+VLOOKUP(AJ215,Leyenda!$U$4:$V$10,2,FALSE)</f>
        <v>2</v>
      </c>
      <c r="AL215" s="18" t="s">
        <v>199</v>
      </c>
      <c r="AM215" s="18" t="str">
        <f t="shared" si="78"/>
        <v>R1</v>
      </c>
      <c r="AN215" s="18" t="s">
        <v>66</v>
      </c>
      <c r="AO215" s="18" t="s">
        <v>81</v>
      </c>
      <c r="AP215" s="18" t="s">
        <v>96</v>
      </c>
      <c r="AQ215" s="18" t="s">
        <v>107</v>
      </c>
      <c r="AR215" s="18" t="s">
        <v>122</v>
      </c>
      <c r="AS215" s="18" t="s">
        <v>198</v>
      </c>
      <c r="AT215" s="18" t="s">
        <v>243</v>
      </c>
      <c r="AU215" s="18"/>
      <c r="AV215" s="18">
        <f>+VLOOKUP(AN215,Leyenda!$B$30:$E$34,3,FALSE)</f>
        <v>1</v>
      </c>
      <c r="AW215" s="18">
        <f>+VLOOKUP('2. Logging Brejo Seco'!AO215,Meteorizacion,3,FALSE)</f>
        <v>0</v>
      </c>
      <c r="AX215" s="18">
        <f>+VLOOKUP('2. Logging Brejo Seco'!AP215,Apertura,3,FALSE)</f>
        <v>1</v>
      </c>
      <c r="AY215" s="18">
        <f>+VLOOKUP('2. Logging Brejo Seco'!AQ215,Leyenda!$B$55:$D$59,3,FALSE)</f>
        <v>3</v>
      </c>
      <c r="AZ215" s="18">
        <f>+VLOOKUP('2. Logging Brejo Seco'!AR215,Relleno,3,FALSE)</f>
        <v>0</v>
      </c>
      <c r="BA215" s="18">
        <f t="shared" si="87"/>
        <v>5</v>
      </c>
      <c r="BB215" s="49">
        <f t="shared" si="73"/>
        <v>0</v>
      </c>
      <c r="BC215" s="49">
        <f>VLOOKUP(AM215,Leyenda!$B$4:$D$10,3,FALSE)</f>
        <v>1</v>
      </c>
      <c r="BD215" s="50">
        <f t="shared" si="79"/>
        <v>5</v>
      </c>
      <c r="BE215" s="49">
        <f t="shared" si="80"/>
        <v>5</v>
      </c>
      <c r="BF215" s="49">
        <f>VLOOKUP(AS215,Leyenda!$B$70:$D$75,3,FALSE)</f>
        <v>15</v>
      </c>
      <c r="BG215" s="67">
        <f t="shared" si="74"/>
        <v>7.5</v>
      </c>
      <c r="BH215" s="67">
        <f>VLOOKUP(AM215,Leyenda!$B$4:$E$10,4,FALSE)</f>
        <v>1</v>
      </c>
      <c r="BI215" s="67">
        <f t="shared" si="81"/>
        <v>5</v>
      </c>
      <c r="BJ215" s="67">
        <f t="shared" si="75"/>
        <v>0</v>
      </c>
      <c r="BK215" s="67">
        <f>+VLOOKUP('2. Logging Brejo Seco'!AP215,Leyenda!$B$47:$E$51,4,FALSE)</f>
        <v>1</v>
      </c>
      <c r="BL215" s="67">
        <f>+VLOOKUP('2. Logging Brejo Seco'!AQ215,Leyenda!$B$55:$E$59,4,FALSE)</f>
        <v>3</v>
      </c>
      <c r="BM215" s="67">
        <f>+VLOOKUP('2. Logging Brejo Seco'!AR215,Leyenda!$B$63:$E$67,3,FALSE)</f>
        <v>0</v>
      </c>
      <c r="BN215" s="67">
        <f>+VLOOKUP('2. Logging Brejo Seco'!AO215,Leyenda!$B$39:$E$43,4,FALSE)</f>
        <v>0</v>
      </c>
      <c r="BO215" s="67">
        <f>+VLOOKUP('2. Logging Brejo Seco'!AN215,Leyenda!$B$30:$E$34,4,FALSE)</f>
        <v>1</v>
      </c>
      <c r="BP215" s="67">
        <f>VLOOKUP(AS215,Leyenda!$B$71:$E$75,4,FALSE)</f>
        <v>10</v>
      </c>
      <c r="BQ215" s="125">
        <f t="shared" si="82"/>
        <v>21</v>
      </c>
      <c r="BR215" s="85">
        <f t="shared" si="83"/>
        <v>26</v>
      </c>
      <c r="BS215" s="240">
        <f t="shared" si="84"/>
        <v>0.26</v>
      </c>
      <c r="BT215" s="18" t="s">
        <v>748</v>
      </c>
    </row>
    <row r="216" spans="1:72" x14ac:dyDescent="0.25">
      <c r="A216" s="18" t="s">
        <v>6</v>
      </c>
      <c r="B216" s="18">
        <v>2024</v>
      </c>
      <c r="C216" s="18" t="s">
        <v>138</v>
      </c>
      <c r="D216" s="18" t="s">
        <v>245</v>
      </c>
      <c r="E216" s="18">
        <v>20</v>
      </c>
      <c r="F216" s="18">
        <v>20</v>
      </c>
      <c r="G216" s="18" t="s">
        <v>156</v>
      </c>
      <c r="H216" s="248">
        <f t="shared" si="85"/>
        <v>20</v>
      </c>
      <c r="I216" s="135"/>
      <c r="J216" s="18" t="s">
        <v>296</v>
      </c>
      <c r="K216" s="4">
        <f t="shared" si="69"/>
        <v>51.5</v>
      </c>
      <c r="L216" s="4">
        <v>52</v>
      </c>
      <c r="M216" s="4">
        <f t="shared" si="76"/>
        <v>0.5</v>
      </c>
      <c r="N216" s="5">
        <v>1</v>
      </c>
      <c r="O216" s="5">
        <f t="shared" si="68"/>
        <v>0</v>
      </c>
      <c r="P216" s="31">
        <f t="shared" si="77"/>
        <v>0.5</v>
      </c>
      <c r="Q216" s="31">
        <f t="shared" si="72"/>
        <v>0.5</v>
      </c>
      <c r="R216" s="31">
        <v>25</v>
      </c>
      <c r="S216" s="31">
        <v>20</v>
      </c>
      <c r="T216" s="31">
        <v>0.47</v>
      </c>
      <c r="U216" s="31">
        <v>0.25</v>
      </c>
      <c r="V216" s="187">
        <f t="shared" si="86"/>
        <v>50</v>
      </c>
      <c r="W216" s="31">
        <v>5</v>
      </c>
      <c r="X216" s="31"/>
      <c r="Y216" s="31">
        <f t="shared" si="70"/>
        <v>5</v>
      </c>
      <c r="Z216" s="31">
        <f t="shared" si="71"/>
        <v>94</v>
      </c>
      <c r="AA216" s="18">
        <v>0</v>
      </c>
      <c r="AB216" s="18" t="s">
        <v>330</v>
      </c>
      <c r="AC216" s="18" t="s">
        <v>333</v>
      </c>
      <c r="AD216" s="18" t="s">
        <v>337</v>
      </c>
      <c r="AE216" s="18">
        <v>20</v>
      </c>
      <c r="AF216" s="18">
        <v>25</v>
      </c>
      <c r="AG216" s="18" t="s">
        <v>32</v>
      </c>
      <c r="AH216" s="18" t="s">
        <v>32</v>
      </c>
      <c r="AI216" s="18" t="str">
        <f>+VLOOKUP(AH216,Leyenda!$O$4:$U$10,6,FALSE)</f>
        <v>0,15-0,25</v>
      </c>
      <c r="AJ216" s="18" t="str">
        <f>+VLOOKUP(AG216,Leyenda!$O$4:$U$10,7,FALSE)</f>
        <v>No Blasting need</v>
      </c>
      <c r="AK216" s="18">
        <f>+VLOOKUP(AJ216,Leyenda!$U$4:$V$10,2,FALSE)</f>
        <v>2</v>
      </c>
      <c r="AL216" s="18" t="s">
        <v>199</v>
      </c>
      <c r="AM216" s="18" t="str">
        <f t="shared" si="78"/>
        <v>R1</v>
      </c>
      <c r="AN216" s="18" t="s">
        <v>66</v>
      </c>
      <c r="AO216" s="18" t="s">
        <v>81</v>
      </c>
      <c r="AP216" s="18" t="s">
        <v>96</v>
      </c>
      <c r="AQ216" s="18" t="s">
        <v>107</v>
      </c>
      <c r="AR216" s="18" t="s">
        <v>122</v>
      </c>
      <c r="AS216" s="18" t="s">
        <v>198</v>
      </c>
      <c r="AT216" s="18" t="s">
        <v>243</v>
      </c>
      <c r="AU216" s="18"/>
      <c r="AV216" s="18">
        <f>+VLOOKUP(AN216,Leyenda!$B$30:$E$34,3,FALSE)</f>
        <v>1</v>
      </c>
      <c r="AW216" s="18">
        <f>+VLOOKUP('2. Logging Brejo Seco'!AO216,Meteorizacion,3,FALSE)</f>
        <v>0</v>
      </c>
      <c r="AX216" s="18">
        <f>+VLOOKUP('2. Logging Brejo Seco'!AP216,Apertura,3,FALSE)</f>
        <v>1</v>
      </c>
      <c r="AY216" s="18">
        <f>+VLOOKUP('2. Logging Brejo Seco'!AQ216,Leyenda!$B$55:$D$59,3,FALSE)</f>
        <v>3</v>
      </c>
      <c r="AZ216" s="18">
        <f>+VLOOKUP('2. Logging Brejo Seco'!AR216,Relleno,3,FALSE)</f>
        <v>0</v>
      </c>
      <c r="BA216" s="18">
        <f t="shared" si="87"/>
        <v>5</v>
      </c>
      <c r="BB216" s="49">
        <f t="shared" si="73"/>
        <v>10</v>
      </c>
      <c r="BC216" s="49">
        <f>VLOOKUP(AM216,Leyenda!$B$4:$D$10,3,FALSE)</f>
        <v>1</v>
      </c>
      <c r="BD216" s="50">
        <f t="shared" si="79"/>
        <v>7</v>
      </c>
      <c r="BE216" s="49">
        <f t="shared" si="80"/>
        <v>5</v>
      </c>
      <c r="BF216" s="49">
        <f>VLOOKUP(AS216,Leyenda!$B$70:$D$75,3,FALSE)</f>
        <v>15</v>
      </c>
      <c r="BG216" s="67">
        <f t="shared" si="74"/>
        <v>32.5</v>
      </c>
      <c r="BH216" s="67">
        <f>VLOOKUP(AM216,Leyenda!$B$4:$E$10,4,FALSE)</f>
        <v>1</v>
      </c>
      <c r="BI216" s="67">
        <f t="shared" si="81"/>
        <v>8</v>
      </c>
      <c r="BJ216" s="67">
        <f t="shared" si="75"/>
        <v>10</v>
      </c>
      <c r="BK216" s="67">
        <f>+VLOOKUP('2. Logging Brejo Seco'!AP216,Leyenda!$B$47:$E$51,4,FALSE)</f>
        <v>1</v>
      </c>
      <c r="BL216" s="67">
        <f>+VLOOKUP('2. Logging Brejo Seco'!AQ216,Leyenda!$B$55:$E$59,4,FALSE)</f>
        <v>3</v>
      </c>
      <c r="BM216" s="67">
        <f>+VLOOKUP('2. Logging Brejo Seco'!AR216,Leyenda!$B$63:$E$67,3,FALSE)</f>
        <v>0</v>
      </c>
      <c r="BN216" s="67">
        <f>+VLOOKUP('2. Logging Brejo Seco'!AO216,Leyenda!$B$39:$E$43,4,FALSE)</f>
        <v>0</v>
      </c>
      <c r="BO216" s="67">
        <f>+VLOOKUP('2. Logging Brejo Seco'!AN216,Leyenda!$B$30:$E$34,4,FALSE)</f>
        <v>1</v>
      </c>
      <c r="BP216" s="67">
        <f>VLOOKUP(AS216,Leyenda!$B$71:$E$75,4,FALSE)</f>
        <v>10</v>
      </c>
      <c r="BQ216" s="125">
        <f t="shared" si="82"/>
        <v>34</v>
      </c>
      <c r="BR216" s="85">
        <f t="shared" si="83"/>
        <v>38</v>
      </c>
      <c r="BS216" s="240">
        <f t="shared" si="84"/>
        <v>0</v>
      </c>
      <c r="BT216" s="18" t="s">
        <v>748</v>
      </c>
    </row>
    <row r="217" spans="1:72" x14ac:dyDescent="0.25">
      <c r="A217" s="18" t="s">
        <v>6</v>
      </c>
      <c r="B217" s="18">
        <v>2024</v>
      </c>
      <c r="C217" s="18" t="s">
        <v>138</v>
      </c>
      <c r="D217" s="18" t="s">
        <v>245</v>
      </c>
      <c r="E217" s="18">
        <v>20</v>
      </c>
      <c r="F217" s="18">
        <v>20</v>
      </c>
      <c r="G217" s="18" t="s">
        <v>156</v>
      </c>
      <c r="H217" s="248">
        <f t="shared" si="85"/>
        <v>20</v>
      </c>
      <c r="I217" s="135"/>
      <c r="J217" s="18" t="s">
        <v>296</v>
      </c>
      <c r="K217" s="4">
        <f t="shared" si="69"/>
        <v>52</v>
      </c>
      <c r="L217" s="4">
        <v>52.5</v>
      </c>
      <c r="M217" s="4">
        <f t="shared" si="76"/>
        <v>0.5</v>
      </c>
      <c r="N217" s="5">
        <v>1</v>
      </c>
      <c r="O217" s="5">
        <f t="shared" si="68"/>
        <v>0</v>
      </c>
      <c r="P217" s="31">
        <f t="shared" si="77"/>
        <v>0.5</v>
      </c>
      <c r="Q217" s="31">
        <f t="shared" si="72"/>
        <v>0.5</v>
      </c>
      <c r="R217" s="31">
        <v>25</v>
      </c>
      <c r="S217" s="31">
        <v>20</v>
      </c>
      <c r="T217" s="31">
        <v>0.37</v>
      </c>
      <c r="U217" s="31">
        <v>0</v>
      </c>
      <c r="V217" s="187">
        <f t="shared" si="86"/>
        <v>0</v>
      </c>
      <c r="W217" s="31">
        <v>8</v>
      </c>
      <c r="X217" s="31"/>
      <c r="Y217" s="31">
        <f t="shared" si="70"/>
        <v>8</v>
      </c>
      <c r="Z217" s="31">
        <f t="shared" si="71"/>
        <v>46.25</v>
      </c>
      <c r="AA217" s="18">
        <v>64</v>
      </c>
      <c r="AB217" s="18" t="s">
        <v>330</v>
      </c>
      <c r="AC217" s="18" t="s">
        <v>333</v>
      </c>
      <c r="AD217" s="18" t="s">
        <v>337</v>
      </c>
      <c r="AE217" s="18">
        <v>20</v>
      </c>
      <c r="AF217" s="18">
        <v>25</v>
      </c>
      <c r="AG217" s="18" t="s">
        <v>32</v>
      </c>
      <c r="AH217" s="18" t="s">
        <v>32</v>
      </c>
      <c r="AI217" s="18" t="str">
        <f>+VLOOKUP(AH217,Leyenda!$O$4:$U$10,6,FALSE)</f>
        <v>0,15-0,25</v>
      </c>
      <c r="AJ217" s="18" t="str">
        <f>+VLOOKUP(AG217,Leyenda!$O$4:$U$10,7,FALSE)</f>
        <v>No Blasting need</v>
      </c>
      <c r="AK217" s="18">
        <f>+VLOOKUP(AJ217,Leyenda!$U$4:$V$10,2,FALSE)</f>
        <v>2</v>
      </c>
      <c r="AL217" s="18" t="s">
        <v>199</v>
      </c>
      <c r="AM217" s="18" t="str">
        <f t="shared" si="78"/>
        <v>R1</v>
      </c>
      <c r="AN217" s="18" t="s">
        <v>66</v>
      </c>
      <c r="AO217" s="18" t="s">
        <v>79</v>
      </c>
      <c r="AP217" s="18" t="s">
        <v>96</v>
      </c>
      <c r="AQ217" s="18" t="s">
        <v>107</v>
      </c>
      <c r="AR217" s="18" t="s">
        <v>120</v>
      </c>
      <c r="AS217" s="18" t="s">
        <v>198</v>
      </c>
      <c r="AT217" s="18"/>
      <c r="AU217" s="18"/>
      <c r="AV217" s="18">
        <f>+VLOOKUP(AN217,Leyenda!$B$30:$E$34,3,FALSE)</f>
        <v>1</v>
      </c>
      <c r="AW217" s="18">
        <f>+VLOOKUP('2. Logging Brejo Seco'!AO217,Meteorizacion,3,FALSE)</f>
        <v>1</v>
      </c>
      <c r="AX217" s="18">
        <f>+VLOOKUP('2. Logging Brejo Seco'!AP217,Apertura,3,FALSE)</f>
        <v>1</v>
      </c>
      <c r="AY217" s="18">
        <f>+VLOOKUP('2. Logging Brejo Seco'!AQ217,Leyenda!$B$55:$D$59,3,FALSE)</f>
        <v>3</v>
      </c>
      <c r="AZ217" s="18">
        <f>+VLOOKUP('2. Logging Brejo Seco'!AR217,Relleno,3,FALSE)</f>
        <v>2</v>
      </c>
      <c r="BA217" s="18">
        <f t="shared" si="87"/>
        <v>8</v>
      </c>
      <c r="BB217" s="49">
        <f t="shared" si="73"/>
        <v>0</v>
      </c>
      <c r="BC217" s="49">
        <f>VLOOKUP(AM217,Leyenda!$B$4:$D$10,3,FALSE)</f>
        <v>1</v>
      </c>
      <c r="BD217" s="50">
        <f t="shared" si="79"/>
        <v>6</v>
      </c>
      <c r="BE217" s="49">
        <f t="shared" si="80"/>
        <v>8</v>
      </c>
      <c r="BF217" s="49">
        <f>VLOOKUP(AS217,Leyenda!$B$70:$D$75,3,FALSE)</f>
        <v>15</v>
      </c>
      <c r="BG217" s="67">
        <f t="shared" si="74"/>
        <v>12</v>
      </c>
      <c r="BH217" s="67">
        <f>VLOOKUP(AM217,Leyenda!$B$4:$E$10,4,FALSE)</f>
        <v>1</v>
      </c>
      <c r="BI217" s="67">
        <f t="shared" si="81"/>
        <v>5</v>
      </c>
      <c r="BJ217" s="67">
        <f t="shared" si="75"/>
        <v>0</v>
      </c>
      <c r="BK217" s="67">
        <f>+VLOOKUP('2. Logging Brejo Seco'!AP217,Leyenda!$B$47:$E$51,4,FALSE)</f>
        <v>1</v>
      </c>
      <c r="BL217" s="67">
        <f>+VLOOKUP('2. Logging Brejo Seco'!AQ217,Leyenda!$B$55:$E$59,4,FALSE)</f>
        <v>3</v>
      </c>
      <c r="BM217" s="67">
        <f>+VLOOKUP('2. Logging Brejo Seco'!AR217,Leyenda!$B$63:$E$67,3,FALSE)</f>
        <v>2</v>
      </c>
      <c r="BN217" s="67">
        <f>+VLOOKUP('2. Logging Brejo Seco'!AO217,Leyenda!$B$39:$E$43,4,FALSE)</f>
        <v>1</v>
      </c>
      <c r="BO217" s="67">
        <f>+VLOOKUP('2. Logging Brejo Seco'!AN217,Leyenda!$B$30:$E$34,4,FALSE)</f>
        <v>1</v>
      </c>
      <c r="BP217" s="67">
        <f>VLOOKUP(AS217,Leyenda!$B$71:$E$75,4,FALSE)</f>
        <v>10</v>
      </c>
      <c r="BQ217" s="125">
        <f t="shared" si="82"/>
        <v>24</v>
      </c>
      <c r="BR217" s="85">
        <f t="shared" si="83"/>
        <v>30</v>
      </c>
      <c r="BS217" s="240">
        <f t="shared" si="84"/>
        <v>0</v>
      </c>
      <c r="BT217" s="18" t="s">
        <v>748</v>
      </c>
    </row>
    <row r="218" spans="1:72" x14ac:dyDescent="0.25">
      <c r="A218" s="18" t="s">
        <v>6</v>
      </c>
      <c r="B218" s="18">
        <v>2024</v>
      </c>
      <c r="C218" s="18" t="s">
        <v>138</v>
      </c>
      <c r="D218" s="18" t="s">
        <v>245</v>
      </c>
      <c r="E218" s="18">
        <v>20</v>
      </c>
      <c r="F218" s="18">
        <v>20</v>
      </c>
      <c r="G218" s="18" t="s">
        <v>156</v>
      </c>
      <c r="H218" s="248">
        <f t="shared" si="85"/>
        <v>20</v>
      </c>
      <c r="I218" s="135"/>
      <c r="J218" s="18" t="s">
        <v>296</v>
      </c>
      <c r="K218" s="4">
        <f t="shared" si="69"/>
        <v>52.5</v>
      </c>
      <c r="L218" s="4">
        <v>53</v>
      </c>
      <c r="M218" s="4">
        <f t="shared" si="76"/>
        <v>0.5</v>
      </c>
      <c r="N218" s="5">
        <v>0.74</v>
      </c>
      <c r="O218" s="5">
        <f t="shared" si="68"/>
        <v>0.26</v>
      </c>
      <c r="P218" s="31">
        <f t="shared" si="77"/>
        <v>0.37</v>
      </c>
      <c r="Q218" s="31">
        <f t="shared" si="72"/>
        <v>0.37</v>
      </c>
      <c r="R218" s="31">
        <v>18.5</v>
      </c>
      <c r="S218" s="31">
        <v>20</v>
      </c>
      <c r="T218" s="31">
        <v>0.22</v>
      </c>
      <c r="U218" s="31">
        <v>0</v>
      </c>
      <c r="V218" s="187">
        <f t="shared" si="86"/>
        <v>0</v>
      </c>
      <c r="W218" s="31">
        <v>5</v>
      </c>
      <c r="X218" s="31"/>
      <c r="Y218" s="31">
        <f t="shared" si="70"/>
        <v>5</v>
      </c>
      <c r="Z218" s="31">
        <f t="shared" si="71"/>
        <v>44</v>
      </c>
      <c r="AA218" s="18">
        <v>0</v>
      </c>
      <c r="AB218" s="18" t="s">
        <v>330</v>
      </c>
      <c r="AC218" s="18" t="s">
        <v>333</v>
      </c>
      <c r="AD218" s="18" t="s">
        <v>337</v>
      </c>
      <c r="AE218" s="18">
        <v>20</v>
      </c>
      <c r="AF218" s="18">
        <v>18.5</v>
      </c>
      <c r="AG218" s="18" t="s">
        <v>32</v>
      </c>
      <c r="AH218" s="18" t="s">
        <v>32</v>
      </c>
      <c r="AI218" s="18" t="str">
        <f>+VLOOKUP(AH218,Leyenda!$O$4:$U$10,6,FALSE)</f>
        <v>0,15-0,25</v>
      </c>
      <c r="AJ218" s="18" t="str">
        <f>+VLOOKUP(AG218,Leyenda!$O$4:$U$10,7,FALSE)</f>
        <v>No Blasting need</v>
      </c>
      <c r="AK218" s="18">
        <f>+VLOOKUP(AJ218,Leyenda!$U$4:$V$10,2,FALSE)</f>
        <v>2</v>
      </c>
      <c r="AL218" s="18" t="s">
        <v>199</v>
      </c>
      <c r="AM218" s="18" t="str">
        <f t="shared" si="78"/>
        <v>R1</v>
      </c>
      <c r="AN218" s="18" t="s">
        <v>66</v>
      </c>
      <c r="AO218" s="18" t="s">
        <v>81</v>
      </c>
      <c r="AP218" s="18" t="s">
        <v>96</v>
      </c>
      <c r="AQ218" s="18" t="s">
        <v>107</v>
      </c>
      <c r="AR218" s="18" t="s">
        <v>122</v>
      </c>
      <c r="AS218" s="18" t="s">
        <v>198</v>
      </c>
      <c r="AT218" s="18"/>
      <c r="AU218" s="18"/>
      <c r="AV218" s="18">
        <f>+VLOOKUP(AN218,Leyenda!$B$30:$E$34,3,FALSE)</f>
        <v>1</v>
      </c>
      <c r="AW218" s="18">
        <f>+VLOOKUP('2. Logging Brejo Seco'!AO218,Meteorizacion,3,FALSE)</f>
        <v>0</v>
      </c>
      <c r="AX218" s="18">
        <f>+VLOOKUP('2. Logging Brejo Seco'!AP218,Apertura,3,FALSE)</f>
        <v>1</v>
      </c>
      <c r="AY218" s="18">
        <f>+VLOOKUP('2. Logging Brejo Seco'!AQ218,Leyenda!$B$55:$D$59,3,FALSE)</f>
        <v>3</v>
      </c>
      <c r="AZ218" s="18">
        <f>+VLOOKUP('2. Logging Brejo Seco'!AR218,Relleno,3,FALSE)</f>
        <v>0</v>
      </c>
      <c r="BA218" s="18">
        <f t="shared" si="87"/>
        <v>5</v>
      </c>
      <c r="BB218" s="49">
        <f t="shared" si="73"/>
        <v>0</v>
      </c>
      <c r="BC218" s="49">
        <f>VLOOKUP(AM218,Leyenda!$B$4:$D$10,3,FALSE)</f>
        <v>1</v>
      </c>
      <c r="BD218" s="50">
        <f t="shared" si="79"/>
        <v>6</v>
      </c>
      <c r="BE218" s="49">
        <f t="shared" si="80"/>
        <v>5</v>
      </c>
      <c r="BF218" s="49">
        <f>VLOOKUP(AS218,Leyenda!$B$70:$D$75,3,FALSE)</f>
        <v>15</v>
      </c>
      <c r="BG218" s="67">
        <f t="shared" si="74"/>
        <v>7.5</v>
      </c>
      <c r="BH218" s="67">
        <f>VLOOKUP(AM218,Leyenda!$B$4:$E$10,4,FALSE)</f>
        <v>1</v>
      </c>
      <c r="BI218" s="67">
        <f t="shared" si="81"/>
        <v>5</v>
      </c>
      <c r="BJ218" s="67">
        <f t="shared" si="75"/>
        <v>0</v>
      </c>
      <c r="BK218" s="67">
        <f>+VLOOKUP('2. Logging Brejo Seco'!AP218,Leyenda!$B$47:$E$51,4,FALSE)</f>
        <v>1</v>
      </c>
      <c r="BL218" s="67">
        <f>+VLOOKUP('2. Logging Brejo Seco'!AQ218,Leyenda!$B$55:$E$59,4,FALSE)</f>
        <v>3</v>
      </c>
      <c r="BM218" s="67">
        <f>+VLOOKUP('2. Logging Brejo Seco'!AR218,Leyenda!$B$63:$E$67,3,FALSE)</f>
        <v>0</v>
      </c>
      <c r="BN218" s="67">
        <f>+VLOOKUP('2. Logging Brejo Seco'!AO218,Leyenda!$B$39:$E$43,4,FALSE)</f>
        <v>0</v>
      </c>
      <c r="BO218" s="67">
        <f>+VLOOKUP('2. Logging Brejo Seco'!AN218,Leyenda!$B$30:$E$34,4,FALSE)</f>
        <v>1</v>
      </c>
      <c r="BP218" s="67">
        <f>VLOOKUP(AS218,Leyenda!$B$71:$E$75,4,FALSE)</f>
        <v>10</v>
      </c>
      <c r="BQ218" s="125">
        <f t="shared" si="82"/>
        <v>21</v>
      </c>
      <c r="BR218" s="85">
        <f t="shared" si="83"/>
        <v>27</v>
      </c>
      <c r="BS218" s="240">
        <f t="shared" si="84"/>
        <v>0.26</v>
      </c>
      <c r="BT218" s="18" t="s">
        <v>748</v>
      </c>
    </row>
    <row r="219" spans="1:72" x14ac:dyDescent="0.25">
      <c r="A219" s="18" t="s">
        <v>6</v>
      </c>
      <c r="B219" s="18">
        <v>2024</v>
      </c>
      <c r="C219" s="18" t="s">
        <v>138</v>
      </c>
      <c r="D219" s="18" t="s">
        <v>245</v>
      </c>
      <c r="E219" s="18">
        <v>20</v>
      </c>
      <c r="F219" s="18">
        <v>20</v>
      </c>
      <c r="G219" s="18" t="s">
        <v>156</v>
      </c>
      <c r="H219" s="248">
        <f t="shared" si="85"/>
        <v>20</v>
      </c>
      <c r="I219" s="135"/>
      <c r="J219" s="18" t="s">
        <v>296</v>
      </c>
      <c r="K219" s="4">
        <f t="shared" si="69"/>
        <v>53</v>
      </c>
      <c r="L219" s="4">
        <v>53.5</v>
      </c>
      <c r="M219" s="4">
        <f t="shared" si="76"/>
        <v>0.5</v>
      </c>
      <c r="N219" s="5">
        <v>0.48</v>
      </c>
      <c r="O219" s="5">
        <f t="shared" si="68"/>
        <v>0.52</v>
      </c>
      <c r="P219" s="31">
        <f t="shared" si="77"/>
        <v>0.24</v>
      </c>
      <c r="Q219" s="31">
        <f t="shared" si="72"/>
        <v>0.24</v>
      </c>
      <c r="R219" s="31">
        <v>12</v>
      </c>
      <c r="S219" s="31">
        <v>20</v>
      </c>
      <c r="T219" s="31">
        <v>0.26</v>
      </c>
      <c r="U219" s="84">
        <v>0</v>
      </c>
      <c r="V219" s="187">
        <f>+T218/M219*100</f>
        <v>44</v>
      </c>
      <c r="W219" s="31">
        <v>6</v>
      </c>
      <c r="X219" s="31"/>
      <c r="Y219" s="31">
        <f t="shared" si="70"/>
        <v>6</v>
      </c>
      <c r="Z219" s="31">
        <f t="shared" si="71"/>
        <v>43.333333333333336</v>
      </c>
      <c r="AA219" s="18">
        <v>0</v>
      </c>
      <c r="AB219" s="18" t="s">
        <v>330</v>
      </c>
      <c r="AC219" s="18" t="s">
        <v>333</v>
      </c>
      <c r="AD219" s="18" t="s">
        <v>337</v>
      </c>
      <c r="AE219" s="18">
        <v>20</v>
      </c>
      <c r="AF219" s="18">
        <v>12</v>
      </c>
      <c r="AG219" s="18" t="s">
        <v>32</v>
      </c>
      <c r="AH219" s="18" t="s">
        <v>32</v>
      </c>
      <c r="AI219" s="18" t="str">
        <f>+VLOOKUP(AH219,Leyenda!$O$4:$U$10,6,FALSE)</f>
        <v>0,15-0,25</v>
      </c>
      <c r="AJ219" s="18" t="str">
        <f>+VLOOKUP(AG219,Leyenda!$O$4:$U$10,7,FALSE)</f>
        <v>No Blasting need</v>
      </c>
      <c r="AK219" s="18">
        <f>+VLOOKUP(AJ219,Leyenda!$U$4:$V$10,2,FALSE)</f>
        <v>2</v>
      </c>
      <c r="AL219" s="18" t="s">
        <v>199</v>
      </c>
      <c r="AM219" s="18" t="str">
        <f t="shared" si="78"/>
        <v>R1</v>
      </c>
      <c r="AN219" s="18" t="s">
        <v>66</v>
      </c>
      <c r="AO219" s="18" t="s">
        <v>81</v>
      </c>
      <c r="AP219" s="18" t="s">
        <v>96</v>
      </c>
      <c r="AQ219" s="18" t="s">
        <v>107</v>
      </c>
      <c r="AR219" s="18" t="s">
        <v>122</v>
      </c>
      <c r="AS219" s="18" t="s">
        <v>198</v>
      </c>
      <c r="AT219" s="18"/>
      <c r="AU219" s="18"/>
      <c r="AV219" s="18">
        <f>+VLOOKUP(AN219,Leyenda!$B$30:$E$34,3,FALSE)</f>
        <v>1</v>
      </c>
      <c r="AW219" s="18">
        <f>+VLOOKUP('2. Logging Brejo Seco'!AO219,Meteorizacion,3,FALSE)</f>
        <v>0</v>
      </c>
      <c r="AX219" s="18">
        <f>+VLOOKUP('2. Logging Brejo Seco'!AP219,Apertura,3,FALSE)</f>
        <v>1</v>
      </c>
      <c r="AY219" s="18">
        <f>+VLOOKUP('2. Logging Brejo Seco'!AQ219,Leyenda!$B$55:$D$59,3,FALSE)</f>
        <v>3</v>
      </c>
      <c r="AZ219" s="18">
        <f>+VLOOKUP('2. Logging Brejo Seco'!AR219,Relleno,3,FALSE)</f>
        <v>0</v>
      </c>
      <c r="BA219" s="18">
        <f t="shared" si="87"/>
        <v>5</v>
      </c>
      <c r="BB219" s="49">
        <f t="shared" si="73"/>
        <v>9</v>
      </c>
      <c r="BC219" s="49">
        <f>VLOOKUP(AM219,Leyenda!$B$4:$D$10,3,FALSE)</f>
        <v>1</v>
      </c>
      <c r="BD219" s="50">
        <f t="shared" si="79"/>
        <v>5</v>
      </c>
      <c r="BE219" s="49">
        <f t="shared" si="80"/>
        <v>5</v>
      </c>
      <c r="BF219" s="49">
        <f>VLOOKUP(AS219,Leyenda!$B$70:$D$75,3,FALSE)</f>
        <v>15</v>
      </c>
      <c r="BG219" s="67">
        <f t="shared" si="74"/>
        <v>29.5</v>
      </c>
      <c r="BH219" s="67">
        <f>VLOOKUP(AM219,Leyenda!$B$4:$E$10,4,FALSE)</f>
        <v>1</v>
      </c>
      <c r="BI219" s="67">
        <f t="shared" si="81"/>
        <v>5</v>
      </c>
      <c r="BJ219" s="67">
        <f t="shared" si="75"/>
        <v>9</v>
      </c>
      <c r="BK219" s="67">
        <f>+VLOOKUP('2. Logging Brejo Seco'!AP219,Leyenda!$B$47:$E$51,4,FALSE)</f>
        <v>1</v>
      </c>
      <c r="BL219" s="67">
        <f>+VLOOKUP('2. Logging Brejo Seco'!AQ219,Leyenda!$B$55:$E$59,4,FALSE)</f>
        <v>3</v>
      </c>
      <c r="BM219" s="67">
        <f>+VLOOKUP('2. Logging Brejo Seco'!AR219,Leyenda!$B$63:$E$67,3,FALSE)</f>
        <v>0</v>
      </c>
      <c r="BN219" s="67">
        <f>+VLOOKUP('2. Logging Brejo Seco'!AO219,Leyenda!$B$39:$E$43,4,FALSE)</f>
        <v>0</v>
      </c>
      <c r="BO219" s="67">
        <f>+VLOOKUP('2. Logging Brejo Seco'!AN219,Leyenda!$B$30:$E$34,4,FALSE)</f>
        <v>1</v>
      </c>
      <c r="BP219" s="67">
        <f>VLOOKUP(AS219,Leyenda!$B$71:$E$75,4,FALSE)</f>
        <v>10</v>
      </c>
      <c r="BQ219" s="125">
        <f t="shared" si="82"/>
        <v>30</v>
      </c>
      <c r="BR219" s="85">
        <f t="shared" si="83"/>
        <v>35</v>
      </c>
      <c r="BS219" s="240">
        <f t="shared" si="84"/>
        <v>0.52</v>
      </c>
      <c r="BT219" s="18" t="s">
        <v>748</v>
      </c>
    </row>
    <row r="220" spans="1:72" x14ac:dyDescent="0.25">
      <c r="A220" s="18" t="s">
        <v>6</v>
      </c>
      <c r="B220" s="18">
        <v>2024</v>
      </c>
      <c r="C220" s="18" t="s">
        <v>138</v>
      </c>
      <c r="D220" s="18" t="s">
        <v>245</v>
      </c>
      <c r="E220" s="18">
        <v>20</v>
      </c>
      <c r="F220" s="18">
        <v>20</v>
      </c>
      <c r="G220" s="18" t="s">
        <v>156</v>
      </c>
      <c r="H220" s="248">
        <f t="shared" si="85"/>
        <v>20</v>
      </c>
      <c r="I220" s="135"/>
      <c r="J220" s="18" t="s">
        <v>296</v>
      </c>
      <c r="K220" s="4">
        <f t="shared" si="69"/>
        <v>53.5</v>
      </c>
      <c r="L220" s="4">
        <v>54</v>
      </c>
      <c r="M220" s="4">
        <f t="shared" si="76"/>
        <v>0.5</v>
      </c>
      <c r="N220" s="5">
        <v>0.54</v>
      </c>
      <c r="O220" s="5">
        <f t="shared" si="68"/>
        <v>0.45999999999999996</v>
      </c>
      <c r="P220" s="31">
        <f t="shared" si="77"/>
        <v>0.27</v>
      </c>
      <c r="Q220" s="31">
        <f t="shared" si="72"/>
        <v>0.27</v>
      </c>
      <c r="R220" s="31">
        <v>13.5</v>
      </c>
      <c r="S220" s="31">
        <v>20</v>
      </c>
      <c r="T220" s="31">
        <v>0.27</v>
      </c>
      <c r="U220" s="31">
        <v>0</v>
      </c>
      <c r="V220" s="187">
        <f t="shared" si="86"/>
        <v>0</v>
      </c>
      <c r="W220" s="31">
        <v>4</v>
      </c>
      <c r="X220" s="31"/>
      <c r="Y220" s="31">
        <f t="shared" si="70"/>
        <v>4</v>
      </c>
      <c r="Z220" s="31">
        <f t="shared" si="71"/>
        <v>67.5</v>
      </c>
      <c r="AA220" s="18">
        <v>0</v>
      </c>
      <c r="AB220" s="18" t="s">
        <v>330</v>
      </c>
      <c r="AC220" s="18" t="s">
        <v>333</v>
      </c>
      <c r="AD220" s="18" t="s">
        <v>337</v>
      </c>
      <c r="AE220" s="18">
        <v>20</v>
      </c>
      <c r="AF220" s="18">
        <v>13.5</v>
      </c>
      <c r="AG220" s="18" t="s">
        <v>32</v>
      </c>
      <c r="AH220" s="18" t="s">
        <v>32</v>
      </c>
      <c r="AI220" s="18" t="str">
        <f>+VLOOKUP(AH220,Leyenda!$O$4:$U$10,6,FALSE)</f>
        <v>0,15-0,25</v>
      </c>
      <c r="AJ220" s="18" t="str">
        <f>+VLOOKUP(AG220,Leyenda!$O$4:$U$10,7,FALSE)</f>
        <v>No Blasting need</v>
      </c>
      <c r="AK220" s="18">
        <f>+VLOOKUP(AJ220,Leyenda!$U$4:$V$10,2,FALSE)</f>
        <v>2</v>
      </c>
      <c r="AL220" s="18" t="s">
        <v>199</v>
      </c>
      <c r="AM220" s="18" t="str">
        <f t="shared" si="78"/>
        <v>R1</v>
      </c>
      <c r="AN220" s="18" t="s">
        <v>66</v>
      </c>
      <c r="AO220" s="18" t="s">
        <v>81</v>
      </c>
      <c r="AP220" s="18" t="s">
        <v>96</v>
      </c>
      <c r="AQ220" s="18" t="s">
        <v>107</v>
      </c>
      <c r="AR220" s="18" t="s">
        <v>122</v>
      </c>
      <c r="AS220" s="18" t="s">
        <v>198</v>
      </c>
      <c r="AT220" s="18"/>
      <c r="AU220" s="18"/>
      <c r="AV220" s="18">
        <f>+VLOOKUP(AN220,Leyenda!$B$30:$E$34,3,FALSE)</f>
        <v>1</v>
      </c>
      <c r="AW220" s="18">
        <f>+VLOOKUP('2. Logging Brejo Seco'!AO220,Meteorizacion,3,FALSE)</f>
        <v>0</v>
      </c>
      <c r="AX220" s="18">
        <f>+VLOOKUP('2. Logging Brejo Seco'!AP220,Apertura,3,FALSE)</f>
        <v>1</v>
      </c>
      <c r="AY220" s="18">
        <f>+VLOOKUP('2. Logging Brejo Seco'!AQ220,Leyenda!$B$55:$D$59,3,FALSE)</f>
        <v>3</v>
      </c>
      <c r="AZ220" s="18">
        <f>+VLOOKUP('2. Logging Brejo Seco'!AR220,Relleno,3,FALSE)</f>
        <v>0</v>
      </c>
      <c r="BA220" s="18">
        <f t="shared" si="87"/>
        <v>5</v>
      </c>
      <c r="BB220" s="49">
        <f t="shared" si="73"/>
        <v>0</v>
      </c>
      <c r="BC220" s="49">
        <f>VLOOKUP(AM220,Leyenda!$B$4:$D$10,3,FALSE)</f>
        <v>1</v>
      </c>
      <c r="BD220" s="50">
        <f t="shared" si="79"/>
        <v>6</v>
      </c>
      <c r="BE220" s="49">
        <f t="shared" si="80"/>
        <v>5</v>
      </c>
      <c r="BF220" s="49">
        <f>VLOOKUP(AS220,Leyenda!$B$70:$D$75,3,FALSE)</f>
        <v>15</v>
      </c>
      <c r="BG220" s="67">
        <f t="shared" si="74"/>
        <v>7.5</v>
      </c>
      <c r="BH220" s="67">
        <f>VLOOKUP(AM220,Leyenda!$B$4:$E$10,4,FALSE)</f>
        <v>1</v>
      </c>
      <c r="BI220" s="67">
        <f t="shared" si="81"/>
        <v>6</v>
      </c>
      <c r="BJ220" s="67">
        <f t="shared" si="75"/>
        <v>0</v>
      </c>
      <c r="BK220" s="67">
        <f>+VLOOKUP('2. Logging Brejo Seco'!AP220,Leyenda!$B$47:$E$51,4,FALSE)</f>
        <v>1</v>
      </c>
      <c r="BL220" s="67">
        <f>+VLOOKUP('2. Logging Brejo Seco'!AQ220,Leyenda!$B$55:$E$59,4,FALSE)</f>
        <v>3</v>
      </c>
      <c r="BM220" s="67">
        <f>+VLOOKUP('2. Logging Brejo Seco'!AR220,Leyenda!$B$63:$E$67,3,FALSE)</f>
        <v>0</v>
      </c>
      <c r="BN220" s="67">
        <f>+VLOOKUP('2. Logging Brejo Seco'!AO220,Leyenda!$B$39:$E$43,4,FALSE)</f>
        <v>0</v>
      </c>
      <c r="BO220" s="67">
        <f>+VLOOKUP('2. Logging Brejo Seco'!AN220,Leyenda!$B$30:$E$34,4,FALSE)</f>
        <v>1</v>
      </c>
      <c r="BP220" s="67">
        <f>VLOOKUP(AS220,Leyenda!$B$71:$E$75,4,FALSE)</f>
        <v>10</v>
      </c>
      <c r="BQ220" s="125">
        <f t="shared" si="82"/>
        <v>22</v>
      </c>
      <c r="BR220" s="85">
        <f t="shared" si="83"/>
        <v>27</v>
      </c>
      <c r="BS220" s="240">
        <f t="shared" si="84"/>
        <v>0.45999999999999996</v>
      </c>
      <c r="BT220" s="18" t="s">
        <v>748</v>
      </c>
    </row>
    <row r="221" spans="1:72" x14ac:dyDescent="0.25">
      <c r="A221" s="18" t="s">
        <v>6</v>
      </c>
      <c r="B221" s="18">
        <v>2024</v>
      </c>
      <c r="C221" s="18" t="s">
        <v>138</v>
      </c>
      <c r="D221" s="18" t="s">
        <v>245</v>
      </c>
      <c r="E221" s="18">
        <v>20</v>
      </c>
      <c r="F221" s="18">
        <v>20</v>
      </c>
      <c r="G221" s="18" t="s">
        <v>156</v>
      </c>
      <c r="H221" s="248">
        <f t="shared" si="85"/>
        <v>20</v>
      </c>
      <c r="I221" s="135"/>
      <c r="J221" s="18" t="s">
        <v>296</v>
      </c>
      <c r="K221" s="4">
        <f t="shared" si="69"/>
        <v>54</v>
      </c>
      <c r="L221" s="4">
        <v>54.5</v>
      </c>
      <c r="M221" s="4">
        <f t="shared" si="76"/>
        <v>0.5</v>
      </c>
      <c r="N221" s="5">
        <v>1</v>
      </c>
      <c r="O221" s="5">
        <f t="shared" si="68"/>
        <v>0</v>
      </c>
      <c r="P221" s="31">
        <f t="shared" si="77"/>
        <v>0.5</v>
      </c>
      <c r="Q221" s="31">
        <f t="shared" si="72"/>
        <v>0.5</v>
      </c>
      <c r="R221" s="31">
        <v>25</v>
      </c>
      <c r="S221" s="31">
        <v>20</v>
      </c>
      <c r="T221" s="31">
        <v>0.5</v>
      </c>
      <c r="U221" s="31">
        <v>0.13</v>
      </c>
      <c r="V221" s="187">
        <f t="shared" si="86"/>
        <v>26</v>
      </c>
      <c r="W221" s="31">
        <v>5</v>
      </c>
      <c r="X221" s="31"/>
      <c r="Y221" s="31">
        <f t="shared" si="70"/>
        <v>5</v>
      </c>
      <c r="Z221" s="31">
        <f t="shared" si="71"/>
        <v>100</v>
      </c>
      <c r="AA221" s="18">
        <v>40</v>
      </c>
      <c r="AB221" s="18" t="s">
        <v>330</v>
      </c>
      <c r="AC221" s="18" t="s">
        <v>333</v>
      </c>
      <c r="AD221" s="18" t="s">
        <v>337</v>
      </c>
      <c r="AE221" s="18">
        <v>20</v>
      </c>
      <c r="AF221" s="18">
        <v>25</v>
      </c>
      <c r="AG221" s="18" t="s">
        <v>32</v>
      </c>
      <c r="AH221" s="18" t="s">
        <v>32</v>
      </c>
      <c r="AI221" s="18" t="str">
        <f>+VLOOKUP(AH221,Leyenda!$O$4:$U$10,6,FALSE)</f>
        <v>0,15-0,25</v>
      </c>
      <c r="AJ221" s="18" t="str">
        <f>+VLOOKUP(AG221,Leyenda!$O$4:$U$10,7,FALSE)</f>
        <v>No Blasting need</v>
      </c>
      <c r="AK221" s="18">
        <f>+VLOOKUP(AJ221,Leyenda!$U$4:$V$10,2,FALSE)</f>
        <v>2</v>
      </c>
      <c r="AL221" s="18" t="s">
        <v>199</v>
      </c>
      <c r="AM221" s="18" t="str">
        <f t="shared" si="78"/>
        <v>R1</v>
      </c>
      <c r="AN221" s="18" t="s">
        <v>66</v>
      </c>
      <c r="AO221" s="18" t="s">
        <v>81</v>
      </c>
      <c r="AP221" s="18" t="s">
        <v>96</v>
      </c>
      <c r="AQ221" s="18" t="s">
        <v>107</v>
      </c>
      <c r="AR221" s="18" t="s">
        <v>122</v>
      </c>
      <c r="AS221" s="18" t="s">
        <v>198</v>
      </c>
      <c r="AT221" s="18" t="s">
        <v>244</v>
      </c>
      <c r="AU221" s="18"/>
      <c r="AV221" s="18">
        <f>+VLOOKUP(AN221,Leyenda!$B$30:$E$34,3,FALSE)</f>
        <v>1</v>
      </c>
      <c r="AW221" s="18">
        <f>+VLOOKUP('2. Logging Brejo Seco'!AO221,Meteorizacion,3,FALSE)</f>
        <v>0</v>
      </c>
      <c r="AX221" s="18">
        <f>+VLOOKUP('2. Logging Brejo Seco'!AP221,Apertura,3,FALSE)</f>
        <v>1</v>
      </c>
      <c r="AY221" s="18">
        <f>+VLOOKUP('2. Logging Brejo Seco'!AQ221,Leyenda!$B$55:$D$59,3,FALSE)</f>
        <v>3</v>
      </c>
      <c r="AZ221" s="18">
        <f>+VLOOKUP('2. Logging Brejo Seco'!AR221,Relleno,3,FALSE)</f>
        <v>0</v>
      </c>
      <c r="BA221" s="18">
        <f t="shared" si="87"/>
        <v>5</v>
      </c>
      <c r="BB221" s="49">
        <f t="shared" si="73"/>
        <v>6</v>
      </c>
      <c r="BC221" s="49">
        <f>VLOOKUP(AM221,Leyenda!$B$4:$D$10,3,FALSE)</f>
        <v>1</v>
      </c>
      <c r="BD221" s="50">
        <f t="shared" si="79"/>
        <v>7</v>
      </c>
      <c r="BE221" s="49">
        <f t="shared" si="80"/>
        <v>5</v>
      </c>
      <c r="BF221" s="49">
        <f>VLOOKUP(AS221,Leyenda!$B$70:$D$75,3,FALSE)</f>
        <v>15</v>
      </c>
      <c r="BG221" s="67">
        <f t="shared" si="74"/>
        <v>20.5</v>
      </c>
      <c r="BH221" s="67">
        <f>VLOOKUP(AM221,Leyenda!$B$4:$E$10,4,FALSE)</f>
        <v>1</v>
      </c>
      <c r="BI221" s="67">
        <f t="shared" si="81"/>
        <v>8</v>
      </c>
      <c r="BJ221" s="67">
        <f t="shared" si="75"/>
        <v>6</v>
      </c>
      <c r="BK221" s="67">
        <f>+VLOOKUP('2. Logging Brejo Seco'!AP221,Leyenda!$B$47:$E$51,4,FALSE)</f>
        <v>1</v>
      </c>
      <c r="BL221" s="67">
        <f>+VLOOKUP('2. Logging Brejo Seco'!AQ221,Leyenda!$B$55:$E$59,4,FALSE)</f>
        <v>3</v>
      </c>
      <c r="BM221" s="67">
        <f>+VLOOKUP('2. Logging Brejo Seco'!AR221,Leyenda!$B$63:$E$67,3,FALSE)</f>
        <v>0</v>
      </c>
      <c r="BN221" s="67">
        <f>+VLOOKUP('2. Logging Brejo Seco'!AO221,Leyenda!$B$39:$E$43,4,FALSE)</f>
        <v>0</v>
      </c>
      <c r="BO221" s="67">
        <f>+VLOOKUP('2. Logging Brejo Seco'!AN221,Leyenda!$B$30:$E$34,4,FALSE)</f>
        <v>1</v>
      </c>
      <c r="BP221" s="67">
        <f>VLOOKUP(AS221,Leyenda!$B$71:$E$75,4,FALSE)</f>
        <v>10</v>
      </c>
      <c r="BQ221" s="125">
        <f t="shared" si="82"/>
        <v>30</v>
      </c>
      <c r="BR221" s="85">
        <f t="shared" si="83"/>
        <v>34</v>
      </c>
      <c r="BS221" s="240">
        <f t="shared" si="84"/>
        <v>0</v>
      </c>
      <c r="BT221" s="18" t="s">
        <v>748</v>
      </c>
    </row>
    <row r="222" spans="1:72" x14ac:dyDescent="0.25">
      <c r="A222" s="18" t="s">
        <v>6</v>
      </c>
      <c r="B222" s="18">
        <v>2024</v>
      </c>
      <c r="C222" s="18" t="s">
        <v>138</v>
      </c>
      <c r="D222" s="18" t="s">
        <v>245</v>
      </c>
      <c r="E222" s="18">
        <v>20</v>
      </c>
      <c r="F222" s="18">
        <v>20</v>
      </c>
      <c r="G222" s="18" t="s">
        <v>156</v>
      </c>
      <c r="H222" s="248">
        <f t="shared" si="85"/>
        <v>20</v>
      </c>
      <c r="I222" s="135"/>
      <c r="J222" s="18" t="s">
        <v>296</v>
      </c>
      <c r="K222" s="4">
        <f t="shared" si="69"/>
        <v>54.5</v>
      </c>
      <c r="L222" s="4">
        <v>55</v>
      </c>
      <c r="M222" s="4">
        <f t="shared" si="76"/>
        <v>0.5</v>
      </c>
      <c r="N222" s="5">
        <v>1</v>
      </c>
      <c r="O222" s="5">
        <f t="shared" si="68"/>
        <v>0</v>
      </c>
      <c r="P222" s="31">
        <f t="shared" si="77"/>
        <v>0.5</v>
      </c>
      <c r="Q222" s="31">
        <f t="shared" si="72"/>
        <v>0.5</v>
      </c>
      <c r="R222" s="31">
        <v>25</v>
      </c>
      <c r="S222" s="31">
        <v>20</v>
      </c>
      <c r="T222" s="31">
        <v>0.5</v>
      </c>
      <c r="U222" s="31">
        <v>0.13</v>
      </c>
      <c r="V222" s="187">
        <f t="shared" si="86"/>
        <v>26</v>
      </c>
      <c r="W222" s="31">
        <v>7</v>
      </c>
      <c r="X222" s="31"/>
      <c r="Y222" s="31">
        <f t="shared" si="70"/>
        <v>7</v>
      </c>
      <c r="Z222" s="31">
        <f t="shared" si="71"/>
        <v>71.428571428571431</v>
      </c>
      <c r="AA222" s="18">
        <v>0</v>
      </c>
      <c r="AB222" s="18" t="s">
        <v>330</v>
      </c>
      <c r="AC222" s="18" t="s">
        <v>333</v>
      </c>
      <c r="AD222" s="18" t="s">
        <v>337</v>
      </c>
      <c r="AE222" s="18">
        <v>20</v>
      </c>
      <c r="AF222" s="18">
        <v>25</v>
      </c>
      <c r="AG222" s="18" t="s">
        <v>32</v>
      </c>
      <c r="AH222" s="18" t="s">
        <v>32</v>
      </c>
      <c r="AI222" s="18" t="str">
        <f>+VLOOKUP(AH222,Leyenda!$O$4:$U$10,6,FALSE)</f>
        <v>0,15-0,25</v>
      </c>
      <c r="AJ222" s="18" t="str">
        <f>+VLOOKUP(AG222,Leyenda!$O$4:$U$10,7,FALSE)</f>
        <v>No Blasting need</v>
      </c>
      <c r="AK222" s="18">
        <f>+VLOOKUP(AJ222,Leyenda!$U$4:$V$10,2,FALSE)</f>
        <v>2</v>
      </c>
      <c r="AL222" s="18" t="s">
        <v>199</v>
      </c>
      <c r="AM222" s="18" t="str">
        <f t="shared" si="78"/>
        <v>R1</v>
      </c>
      <c r="AN222" s="18" t="s">
        <v>66</v>
      </c>
      <c r="AO222" s="18" t="s">
        <v>81</v>
      </c>
      <c r="AP222" s="18" t="s">
        <v>96</v>
      </c>
      <c r="AQ222" s="18" t="s">
        <v>107</v>
      </c>
      <c r="AR222" s="18" t="s">
        <v>120</v>
      </c>
      <c r="AS222" s="18" t="s">
        <v>198</v>
      </c>
      <c r="AT222" s="18" t="s">
        <v>244</v>
      </c>
      <c r="AU222" s="18"/>
      <c r="AV222" s="18">
        <f>+VLOOKUP(AN222,Leyenda!$B$30:$E$34,3,FALSE)</f>
        <v>1</v>
      </c>
      <c r="AW222" s="18">
        <f>+VLOOKUP('2. Logging Brejo Seco'!AO222,Meteorizacion,3,FALSE)</f>
        <v>0</v>
      </c>
      <c r="AX222" s="18">
        <f>+VLOOKUP('2. Logging Brejo Seco'!AP222,Apertura,3,FALSE)</f>
        <v>1</v>
      </c>
      <c r="AY222" s="18">
        <f>+VLOOKUP('2. Logging Brejo Seco'!AQ222,Leyenda!$B$55:$D$59,3,FALSE)</f>
        <v>3</v>
      </c>
      <c r="AZ222" s="18">
        <f>+VLOOKUP('2. Logging Brejo Seco'!AR222,Relleno,3,FALSE)</f>
        <v>2</v>
      </c>
      <c r="BA222" s="18">
        <f t="shared" si="87"/>
        <v>7</v>
      </c>
      <c r="BB222" s="49">
        <f t="shared" si="73"/>
        <v>6</v>
      </c>
      <c r="BC222" s="49">
        <f>VLOOKUP(AM222,Leyenda!$B$4:$D$10,3,FALSE)</f>
        <v>1</v>
      </c>
      <c r="BD222" s="50">
        <f t="shared" si="79"/>
        <v>6</v>
      </c>
      <c r="BE222" s="49">
        <f t="shared" si="80"/>
        <v>7</v>
      </c>
      <c r="BF222" s="49">
        <f>VLOOKUP(AS222,Leyenda!$B$70:$D$75,3,FALSE)</f>
        <v>15</v>
      </c>
      <c r="BG222" s="67">
        <f t="shared" si="74"/>
        <v>23.5</v>
      </c>
      <c r="BH222" s="67">
        <f>VLOOKUP(AM222,Leyenda!$B$4:$E$10,4,FALSE)</f>
        <v>1</v>
      </c>
      <c r="BI222" s="67">
        <f t="shared" si="81"/>
        <v>6</v>
      </c>
      <c r="BJ222" s="67">
        <f t="shared" si="75"/>
        <v>6</v>
      </c>
      <c r="BK222" s="67">
        <f>+VLOOKUP('2. Logging Brejo Seco'!AP222,Leyenda!$B$47:$E$51,4,FALSE)</f>
        <v>1</v>
      </c>
      <c r="BL222" s="67">
        <f>+VLOOKUP('2. Logging Brejo Seco'!AQ222,Leyenda!$B$55:$E$59,4,FALSE)</f>
        <v>3</v>
      </c>
      <c r="BM222" s="67">
        <f>+VLOOKUP('2. Logging Brejo Seco'!AR222,Leyenda!$B$63:$E$67,3,FALSE)</f>
        <v>2</v>
      </c>
      <c r="BN222" s="67">
        <f>+VLOOKUP('2. Logging Brejo Seco'!AO222,Leyenda!$B$39:$E$43,4,FALSE)</f>
        <v>0</v>
      </c>
      <c r="BO222" s="67">
        <f>+VLOOKUP('2. Logging Brejo Seco'!AN222,Leyenda!$B$30:$E$34,4,FALSE)</f>
        <v>1</v>
      </c>
      <c r="BP222" s="67">
        <f>VLOOKUP(AS222,Leyenda!$B$71:$E$75,4,FALSE)</f>
        <v>10</v>
      </c>
      <c r="BQ222" s="125">
        <f t="shared" si="82"/>
        <v>30</v>
      </c>
      <c r="BR222" s="85">
        <f t="shared" si="83"/>
        <v>35</v>
      </c>
      <c r="BS222" s="240">
        <f t="shared" si="84"/>
        <v>0</v>
      </c>
      <c r="BT222" s="18" t="s">
        <v>748</v>
      </c>
    </row>
    <row r="223" spans="1:72" x14ac:dyDescent="0.25">
      <c r="A223" s="18" t="s">
        <v>6</v>
      </c>
      <c r="B223" s="18">
        <v>2024</v>
      </c>
      <c r="C223" s="18" t="s">
        <v>138</v>
      </c>
      <c r="D223" s="18" t="s">
        <v>245</v>
      </c>
      <c r="E223" s="18">
        <v>20</v>
      </c>
      <c r="F223" s="18">
        <v>20</v>
      </c>
      <c r="G223" s="18" t="s">
        <v>156</v>
      </c>
      <c r="H223" s="248">
        <f t="shared" si="85"/>
        <v>20</v>
      </c>
      <c r="I223" s="135"/>
      <c r="J223" s="18" t="s">
        <v>296</v>
      </c>
      <c r="K223" s="4">
        <f t="shared" si="69"/>
        <v>55</v>
      </c>
      <c r="L223" s="4">
        <v>55.5</v>
      </c>
      <c r="M223" s="4">
        <f t="shared" si="76"/>
        <v>0.5</v>
      </c>
      <c r="N223" s="5">
        <v>1</v>
      </c>
      <c r="O223" s="5">
        <f t="shared" si="68"/>
        <v>0</v>
      </c>
      <c r="P223" s="31">
        <f t="shared" si="77"/>
        <v>0.5</v>
      </c>
      <c r="Q223" s="31">
        <f t="shared" si="72"/>
        <v>0.5</v>
      </c>
      <c r="R223" s="31">
        <v>25</v>
      </c>
      <c r="S223" s="31">
        <v>20</v>
      </c>
      <c r="T223" s="31">
        <v>0.42</v>
      </c>
      <c r="U223" s="31">
        <v>0.18</v>
      </c>
      <c r="V223" s="187">
        <f t="shared" si="86"/>
        <v>36</v>
      </c>
      <c r="W223" s="31">
        <v>5</v>
      </c>
      <c r="X223" s="31"/>
      <c r="Y223" s="31">
        <f t="shared" si="70"/>
        <v>5</v>
      </c>
      <c r="Z223" s="31">
        <f t="shared" si="71"/>
        <v>84</v>
      </c>
      <c r="AA223" s="18">
        <v>0</v>
      </c>
      <c r="AB223" s="18" t="s">
        <v>330</v>
      </c>
      <c r="AC223" s="18" t="s">
        <v>333</v>
      </c>
      <c r="AD223" s="18" t="s">
        <v>337</v>
      </c>
      <c r="AE223" s="18">
        <v>20</v>
      </c>
      <c r="AF223" s="18">
        <v>25</v>
      </c>
      <c r="AG223" s="18" t="s">
        <v>32</v>
      </c>
      <c r="AH223" s="18" t="s">
        <v>32</v>
      </c>
      <c r="AI223" s="18" t="str">
        <f>+VLOOKUP(AH223,Leyenda!$O$4:$U$10,6,FALSE)</f>
        <v>0,15-0,25</v>
      </c>
      <c r="AJ223" s="18" t="str">
        <f>+VLOOKUP(AG223,Leyenda!$O$4:$U$10,7,FALSE)</f>
        <v>No Blasting need</v>
      </c>
      <c r="AK223" s="18">
        <f>+VLOOKUP(AJ223,Leyenda!$U$4:$V$10,2,FALSE)</f>
        <v>2</v>
      </c>
      <c r="AL223" s="18" t="s">
        <v>199</v>
      </c>
      <c r="AM223" s="18" t="str">
        <f t="shared" si="78"/>
        <v>R1</v>
      </c>
      <c r="AN223" s="18" t="s">
        <v>66</v>
      </c>
      <c r="AO223" s="18" t="s">
        <v>81</v>
      </c>
      <c r="AP223" s="18" t="s">
        <v>96</v>
      </c>
      <c r="AQ223" s="18" t="s">
        <v>107</v>
      </c>
      <c r="AR223" s="18" t="s">
        <v>120</v>
      </c>
      <c r="AS223" s="18" t="s">
        <v>198</v>
      </c>
      <c r="AT223" s="18" t="s">
        <v>244</v>
      </c>
      <c r="AU223" s="18"/>
      <c r="AV223" s="18">
        <f>+VLOOKUP(AN223,Leyenda!$B$30:$E$34,3,FALSE)</f>
        <v>1</v>
      </c>
      <c r="AW223" s="18">
        <f>+VLOOKUP('2. Logging Brejo Seco'!AO223,Meteorizacion,3,FALSE)</f>
        <v>0</v>
      </c>
      <c r="AX223" s="18">
        <f>+VLOOKUP('2. Logging Brejo Seco'!AP223,Apertura,3,FALSE)</f>
        <v>1</v>
      </c>
      <c r="AY223" s="18">
        <f>+VLOOKUP('2. Logging Brejo Seco'!AQ223,Leyenda!$B$55:$D$59,3,FALSE)</f>
        <v>3</v>
      </c>
      <c r="AZ223" s="18">
        <f>+VLOOKUP('2. Logging Brejo Seco'!AR223,Relleno,3,FALSE)</f>
        <v>2</v>
      </c>
      <c r="BA223" s="18">
        <f t="shared" si="87"/>
        <v>7</v>
      </c>
      <c r="BB223" s="49">
        <f t="shared" si="73"/>
        <v>8</v>
      </c>
      <c r="BC223" s="49">
        <f>VLOOKUP(AM223,Leyenda!$B$4:$D$10,3,FALSE)</f>
        <v>1</v>
      </c>
      <c r="BD223" s="50">
        <f t="shared" si="79"/>
        <v>7</v>
      </c>
      <c r="BE223" s="49">
        <f t="shared" si="80"/>
        <v>7</v>
      </c>
      <c r="BF223" s="49">
        <f>VLOOKUP(AS223,Leyenda!$B$70:$D$75,3,FALSE)</f>
        <v>15</v>
      </c>
      <c r="BG223" s="67">
        <f t="shared" si="74"/>
        <v>28.5</v>
      </c>
      <c r="BH223" s="67">
        <f>VLOOKUP(AM223,Leyenda!$B$4:$E$10,4,FALSE)</f>
        <v>1</v>
      </c>
      <c r="BI223" s="67">
        <f t="shared" si="81"/>
        <v>7</v>
      </c>
      <c r="BJ223" s="67">
        <f t="shared" si="75"/>
        <v>8</v>
      </c>
      <c r="BK223" s="67">
        <f>+VLOOKUP('2. Logging Brejo Seco'!AP223,Leyenda!$B$47:$E$51,4,FALSE)</f>
        <v>1</v>
      </c>
      <c r="BL223" s="67">
        <f>+VLOOKUP('2. Logging Brejo Seco'!AQ223,Leyenda!$B$55:$E$59,4,FALSE)</f>
        <v>3</v>
      </c>
      <c r="BM223" s="67">
        <f>+VLOOKUP('2. Logging Brejo Seco'!AR223,Leyenda!$B$63:$E$67,3,FALSE)</f>
        <v>2</v>
      </c>
      <c r="BN223" s="67">
        <f>+VLOOKUP('2. Logging Brejo Seco'!AO223,Leyenda!$B$39:$E$43,4,FALSE)</f>
        <v>0</v>
      </c>
      <c r="BO223" s="67">
        <f>+VLOOKUP('2. Logging Brejo Seco'!AN223,Leyenda!$B$30:$E$34,4,FALSE)</f>
        <v>1</v>
      </c>
      <c r="BP223" s="67">
        <f>VLOOKUP(AS223,Leyenda!$B$71:$E$75,4,FALSE)</f>
        <v>10</v>
      </c>
      <c r="BQ223" s="125">
        <f t="shared" si="82"/>
        <v>33</v>
      </c>
      <c r="BR223" s="85">
        <f t="shared" si="83"/>
        <v>38</v>
      </c>
      <c r="BS223" s="240">
        <f t="shared" si="84"/>
        <v>0</v>
      </c>
      <c r="BT223" s="18" t="s">
        <v>748</v>
      </c>
    </row>
    <row r="224" spans="1:72" x14ac:dyDescent="0.25">
      <c r="A224" s="18" t="s">
        <v>6</v>
      </c>
      <c r="B224" s="18">
        <v>2024</v>
      </c>
      <c r="C224" s="18" t="s">
        <v>138</v>
      </c>
      <c r="D224" s="18" t="s">
        <v>245</v>
      </c>
      <c r="E224" s="18">
        <v>20</v>
      </c>
      <c r="F224" s="18">
        <v>20</v>
      </c>
      <c r="G224" s="18" t="s">
        <v>156</v>
      </c>
      <c r="H224" s="248">
        <f t="shared" si="85"/>
        <v>20</v>
      </c>
      <c r="I224" s="135"/>
      <c r="J224" s="18" t="s">
        <v>296</v>
      </c>
      <c r="K224" s="4">
        <f t="shared" si="69"/>
        <v>55.5</v>
      </c>
      <c r="L224" s="4">
        <v>56</v>
      </c>
      <c r="M224" s="4">
        <f t="shared" si="76"/>
        <v>0.5</v>
      </c>
      <c r="N224" s="5">
        <v>0.54</v>
      </c>
      <c r="O224" s="5">
        <f t="shared" si="68"/>
        <v>0.45999999999999996</v>
      </c>
      <c r="P224" s="31">
        <f t="shared" si="77"/>
        <v>0.27</v>
      </c>
      <c r="Q224" s="31">
        <f t="shared" si="72"/>
        <v>0.27</v>
      </c>
      <c r="R224" s="31">
        <v>13.5</v>
      </c>
      <c r="S224" s="31">
        <v>20</v>
      </c>
      <c r="T224" s="31">
        <v>0.25</v>
      </c>
      <c r="U224" s="31">
        <v>0</v>
      </c>
      <c r="V224" s="187">
        <f t="shared" si="86"/>
        <v>0</v>
      </c>
      <c r="W224" s="31">
        <v>7</v>
      </c>
      <c r="X224" s="31"/>
      <c r="Y224" s="31">
        <f t="shared" si="70"/>
        <v>7</v>
      </c>
      <c r="Z224" s="31">
        <f t="shared" si="71"/>
        <v>35.714285714285715</v>
      </c>
      <c r="AA224" s="18">
        <v>0</v>
      </c>
      <c r="AB224" s="18" t="s">
        <v>330</v>
      </c>
      <c r="AC224" s="18" t="s">
        <v>333</v>
      </c>
      <c r="AD224" s="18" t="s">
        <v>337</v>
      </c>
      <c r="AE224" s="18">
        <v>20</v>
      </c>
      <c r="AF224" s="18">
        <v>13.5</v>
      </c>
      <c r="AG224" s="18" t="s">
        <v>32</v>
      </c>
      <c r="AH224" s="18" t="s">
        <v>32</v>
      </c>
      <c r="AI224" s="18" t="str">
        <f>+VLOOKUP(AH224,Leyenda!$O$4:$U$10,6,FALSE)</f>
        <v>0,15-0,25</v>
      </c>
      <c r="AJ224" s="18" t="str">
        <f>+VLOOKUP(AG224,Leyenda!$O$4:$U$10,7,FALSE)</f>
        <v>No Blasting need</v>
      </c>
      <c r="AK224" s="18">
        <f>+VLOOKUP(AJ224,Leyenda!$U$4:$V$10,2,FALSE)</f>
        <v>2</v>
      </c>
      <c r="AL224" s="18" t="s">
        <v>199</v>
      </c>
      <c r="AM224" s="18" t="str">
        <f t="shared" si="78"/>
        <v>R1</v>
      </c>
      <c r="AN224" s="18" t="s">
        <v>66</v>
      </c>
      <c r="AO224" s="18" t="s">
        <v>81</v>
      </c>
      <c r="AP224" s="18" t="s">
        <v>96</v>
      </c>
      <c r="AQ224" s="18" t="s">
        <v>107</v>
      </c>
      <c r="AR224" s="18" t="s">
        <v>120</v>
      </c>
      <c r="AS224" s="18" t="s">
        <v>198</v>
      </c>
      <c r="AT224" s="18" t="s">
        <v>244</v>
      </c>
      <c r="AU224" s="18"/>
      <c r="AV224" s="18">
        <f>+VLOOKUP(AN224,Leyenda!$B$30:$E$34,3,FALSE)</f>
        <v>1</v>
      </c>
      <c r="AW224" s="18">
        <f>+VLOOKUP('2. Logging Brejo Seco'!AO224,Meteorizacion,3,FALSE)</f>
        <v>0</v>
      </c>
      <c r="AX224" s="18">
        <f>+VLOOKUP('2. Logging Brejo Seco'!AP224,Apertura,3,FALSE)</f>
        <v>1</v>
      </c>
      <c r="AY224" s="18">
        <f>+VLOOKUP('2. Logging Brejo Seco'!AQ224,Leyenda!$B$55:$D$59,3,FALSE)</f>
        <v>3</v>
      </c>
      <c r="AZ224" s="18">
        <f>+VLOOKUP('2. Logging Brejo Seco'!AR224,Relleno,3,FALSE)</f>
        <v>2</v>
      </c>
      <c r="BA224" s="18">
        <f t="shared" si="87"/>
        <v>7</v>
      </c>
      <c r="BB224" s="49">
        <f t="shared" si="73"/>
        <v>0</v>
      </c>
      <c r="BC224" s="49">
        <f>VLOOKUP(AM224,Leyenda!$B$4:$D$10,3,FALSE)</f>
        <v>1</v>
      </c>
      <c r="BD224" s="50">
        <f t="shared" si="79"/>
        <v>5</v>
      </c>
      <c r="BE224" s="49">
        <f t="shared" si="80"/>
        <v>7</v>
      </c>
      <c r="BF224" s="49">
        <f>VLOOKUP(AS224,Leyenda!$B$70:$D$75,3,FALSE)</f>
        <v>15</v>
      </c>
      <c r="BG224" s="67">
        <f t="shared" si="74"/>
        <v>10.5</v>
      </c>
      <c r="BH224" s="67">
        <f>VLOOKUP(AM224,Leyenda!$B$4:$E$10,4,FALSE)</f>
        <v>1</v>
      </c>
      <c r="BI224" s="67">
        <f t="shared" si="81"/>
        <v>5</v>
      </c>
      <c r="BJ224" s="67">
        <f t="shared" si="75"/>
        <v>0</v>
      </c>
      <c r="BK224" s="67">
        <f>+VLOOKUP('2. Logging Brejo Seco'!AP224,Leyenda!$B$47:$E$51,4,FALSE)</f>
        <v>1</v>
      </c>
      <c r="BL224" s="67">
        <f>+VLOOKUP('2. Logging Brejo Seco'!AQ224,Leyenda!$B$55:$E$59,4,FALSE)</f>
        <v>3</v>
      </c>
      <c r="BM224" s="67">
        <f>+VLOOKUP('2. Logging Brejo Seco'!AR224,Leyenda!$B$63:$E$67,3,FALSE)</f>
        <v>2</v>
      </c>
      <c r="BN224" s="67">
        <f>+VLOOKUP('2. Logging Brejo Seco'!AO224,Leyenda!$B$39:$E$43,4,FALSE)</f>
        <v>0</v>
      </c>
      <c r="BO224" s="67">
        <f>+VLOOKUP('2. Logging Brejo Seco'!AN224,Leyenda!$B$30:$E$34,4,FALSE)</f>
        <v>1</v>
      </c>
      <c r="BP224" s="67">
        <f>VLOOKUP(AS224,Leyenda!$B$71:$E$75,4,FALSE)</f>
        <v>10</v>
      </c>
      <c r="BQ224" s="125">
        <f t="shared" si="82"/>
        <v>23</v>
      </c>
      <c r="BR224" s="85">
        <f t="shared" si="83"/>
        <v>28</v>
      </c>
      <c r="BS224" s="240">
        <f t="shared" si="84"/>
        <v>0.45999999999999996</v>
      </c>
      <c r="BT224" s="18" t="s">
        <v>748</v>
      </c>
    </row>
    <row r="225" spans="1:72" x14ac:dyDescent="0.25">
      <c r="A225" s="18" t="s">
        <v>6</v>
      </c>
      <c r="B225" s="18">
        <v>2024</v>
      </c>
      <c r="C225" s="18" t="s">
        <v>138</v>
      </c>
      <c r="D225" s="18" t="s">
        <v>245</v>
      </c>
      <c r="E225" s="18">
        <v>20</v>
      </c>
      <c r="F225" s="18">
        <v>20</v>
      </c>
      <c r="G225" s="18" t="s">
        <v>156</v>
      </c>
      <c r="H225" s="248">
        <f t="shared" si="85"/>
        <v>20</v>
      </c>
      <c r="I225" s="135"/>
      <c r="J225" s="18" t="s">
        <v>296</v>
      </c>
      <c r="K225" s="4">
        <f t="shared" si="69"/>
        <v>56</v>
      </c>
      <c r="L225" s="4">
        <v>56.5</v>
      </c>
      <c r="M225" s="4">
        <f t="shared" si="76"/>
        <v>0.5</v>
      </c>
      <c r="N225" s="5">
        <v>0.46</v>
      </c>
      <c r="O225" s="5">
        <f t="shared" si="68"/>
        <v>0.54</v>
      </c>
      <c r="P225" s="31">
        <f t="shared" si="77"/>
        <v>0.23</v>
      </c>
      <c r="Q225" s="31">
        <f t="shared" si="72"/>
        <v>0.23</v>
      </c>
      <c r="R225" s="31">
        <v>11.5</v>
      </c>
      <c r="S225" s="31">
        <v>20</v>
      </c>
      <c r="T225" s="31">
        <v>0.21</v>
      </c>
      <c r="U225" s="31">
        <v>0</v>
      </c>
      <c r="V225" s="187">
        <f t="shared" si="86"/>
        <v>0</v>
      </c>
      <c r="W225" s="31">
        <v>5</v>
      </c>
      <c r="X225" s="31"/>
      <c r="Y225" s="31">
        <f t="shared" si="70"/>
        <v>5</v>
      </c>
      <c r="Z225" s="31">
        <f t="shared" si="71"/>
        <v>42</v>
      </c>
      <c r="AA225" s="18">
        <v>0</v>
      </c>
      <c r="AB225" s="18" t="s">
        <v>330</v>
      </c>
      <c r="AC225" s="18" t="s">
        <v>333</v>
      </c>
      <c r="AD225" s="18" t="s">
        <v>337</v>
      </c>
      <c r="AE225" s="18">
        <v>20</v>
      </c>
      <c r="AF225" s="18">
        <v>11.5</v>
      </c>
      <c r="AG225" s="18" t="s">
        <v>32</v>
      </c>
      <c r="AH225" s="18" t="s">
        <v>32</v>
      </c>
      <c r="AI225" s="18" t="str">
        <f>+VLOOKUP(AH225,Leyenda!$O$4:$U$10,6,FALSE)</f>
        <v>0,15-0,25</v>
      </c>
      <c r="AJ225" s="18" t="str">
        <f>+VLOOKUP(AG225,Leyenda!$O$4:$U$10,7,FALSE)</f>
        <v>No Blasting need</v>
      </c>
      <c r="AK225" s="18">
        <f>+VLOOKUP(AJ225,Leyenda!$U$4:$V$10,2,FALSE)</f>
        <v>2</v>
      </c>
      <c r="AL225" s="18" t="s">
        <v>199</v>
      </c>
      <c r="AM225" s="18" t="str">
        <f t="shared" si="78"/>
        <v>R1</v>
      </c>
      <c r="AN225" s="18" t="s">
        <v>66</v>
      </c>
      <c r="AO225" s="18" t="s">
        <v>81</v>
      </c>
      <c r="AP225" s="18" t="s">
        <v>96</v>
      </c>
      <c r="AQ225" s="18" t="s">
        <v>107</v>
      </c>
      <c r="AR225" s="18" t="s">
        <v>120</v>
      </c>
      <c r="AS225" s="18" t="s">
        <v>198</v>
      </c>
      <c r="AT225" s="18" t="s">
        <v>244</v>
      </c>
      <c r="AU225" s="18"/>
      <c r="AV225" s="18">
        <f>+VLOOKUP(AN225,Leyenda!$B$30:$E$34,3,FALSE)</f>
        <v>1</v>
      </c>
      <c r="AW225" s="18">
        <f>+VLOOKUP('2. Logging Brejo Seco'!AO225,Meteorizacion,3,FALSE)</f>
        <v>0</v>
      </c>
      <c r="AX225" s="18">
        <f>+VLOOKUP('2. Logging Brejo Seco'!AP225,Apertura,3,FALSE)</f>
        <v>1</v>
      </c>
      <c r="AY225" s="18">
        <f>+VLOOKUP('2. Logging Brejo Seco'!AQ225,Leyenda!$B$55:$D$59,3,FALSE)</f>
        <v>3</v>
      </c>
      <c r="AZ225" s="18">
        <f>+VLOOKUP('2. Logging Brejo Seco'!AR225,Relleno,3,FALSE)</f>
        <v>2</v>
      </c>
      <c r="BA225" s="18">
        <f t="shared" si="87"/>
        <v>7</v>
      </c>
      <c r="BB225" s="49">
        <f t="shared" si="73"/>
        <v>0</v>
      </c>
      <c r="BC225" s="49">
        <f>VLOOKUP(AM225,Leyenda!$B$4:$D$10,3,FALSE)</f>
        <v>1</v>
      </c>
      <c r="BD225" s="50">
        <f t="shared" si="79"/>
        <v>5</v>
      </c>
      <c r="BE225" s="49">
        <f t="shared" si="80"/>
        <v>7</v>
      </c>
      <c r="BF225" s="49">
        <f>VLOOKUP(AS225,Leyenda!$B$70:$D$75,3,FALSE)</f>
        <v>15</v>
      </c>
      <c r="BG225" s="67">
        <f t="shared" si="74"/>
        <v>10.5</v>
      </c>
      <c r="BH225" s="67">
        <f>VLOOKUP(AM225,Leyenda!$B$4:$E$10,4,FALSE)</f>
        <v>1</v>
      </c>
      <c r="BI225" s="67">
        <f t="shared" si="81"/>
        <v>5</v>
      </c>
      <c r="BJ225" s="67">
        <f t="shared" si="75"/>
        <v>0</v>
      </c>
      <c r="BK225" s="67">
        <f>+VLOOKUP('2. Logging Brejo Seco'!AP225,Leyenda!$B$47:$E$51,4,FALSE)</f>
        <v>1</v>
      </c>
      <c r="BL225" s="67">
        <f>+VLOOKUP('2. Logging Brejo Seco'!AQ225,Leyenda!$B$55:$E$59,4,FALSE)</f>
        <v>3</v>
      </c>
      <c r="BM225" s="67">
        <f>+VLOOKUP('2. Logging Brejo Seco'!AR225,Leyenda!$B$63:$E$67,3,FALSE)</f>
        <v>2</v>
      </c>
      <c r="BN225" s="67">
        <f>+VLOOKUP('2. Logging Brejo Seco'!AO225,Leyenda!$B$39:$E$43,4,FALSE)</f>
        <v>0</v>
      </c>
      <c r="BO225" s="67">
        <f>+VLOOKUP('2. Logging Brejo Seco'!AN225,Leyenda!$B$30:$E$34,4,FALSE)</f>
        <v>1</v>
      </c>
      <c r="BP225" s="67">
        <f>VLOOKUP(AS225,Leyenda!$B$71:$E$75,4,FALSE)</f>
        <v>10</v>
      </c>
      <c r="BQ225" s="125">
        <f t="shared" si="82"/>
        <v>23</v>
      </c>
      <c r="BR225" s="85">
        <f t="shared" si="83"/>
        <v>28</v>
      </c>
      <c r="BS225" s="240">
        <f t="shared" si="84"/>
        <v>0.54</v>
      </c>
      <c r="BT225" s="18" t="s">
        <v>748</v>
      </c>
    </row>
    <row r="226" spans="1:72" x14ac:dyDescent="0.25">
      <c r="A226" s="18" t="s">
        <v>6</v>
      </c>
      <c r="B226" s="18">
        <v>2024</v>
      </c>
      <c r="C226" s="18" t="s">
        <v>138</v>
      </c>
      <c r="D226" s="18" t="s">
        <v>245</v>
      </c>
      <c r="E226" s="18">
        <v>20</v>
      </c>
      <c r="F226" s="18">
        <v>20</v>
      </c>
      <c r="G226" s="18" t="s">
        <v>156</v>
      </c>
      <c r="H226" s="248">
        <f t="shared" si="85"/>
        <v>20</v>
      </c>
      <c r="I226" s="135"/>
      <c r="J226" s="18" t="s">
        <v>296</v>
      </c>
      <c r="K226" s="4">
        <f t="shared" si="69"/>
        <v>56.5</v>
      </c>
      <c r="L226" s="4">
        <v>57</v>
      </c>
      <c r="M226" s="4">
        <f t="shared" si="76"/>
        <v>0.5</v>
      </c>
      <c r="N226" s="5">
        <v>0.34</v>
      </c>
      <c r="O226" s="5">
        <f t="shared" si="68"/>
        <v>0.65999999999999992</v>
      </c>
      <c r="P226" s="31">
        <f t="shared" si="77"/>
        <v>0.17</v>
      </c>
      <c r="Q226" s="31">
        <f t="shared" si="72"/>
        <v>0.17</v>
      </c>
      <c r="R226" s="31">
        <v>8.5</v>
      </c>
      <c r="S226" s="31">
        <v>20</v>
      </c>
      <c r="T226" s="31">
        <v>0.18</v>
      </c>
      <c r="U226" s="31">
        <v>0</v>
      </c>
      <c r="V226" s="187">
        <f t="shared" si="86"/>
        <v>0</v>
      </c>
      <c r="W226" s="31">
        <v>5</v>
      </c>
      <c r="X226" s="31"/>
      <c r="Y226" s="31">
        <f t="shared" si="70"/>
        <v>5</v>
      </c>
      <c r="Z226" s="31">
        <f t="shared" si="71"/>
        <v>36</v>
      </c>
      <c r="AA226" s="18">
        <v>0</v>
      </c>
      <c r="AB226" s="18" t="s">
        <v>330</v>
      </c>
      <c r="AC226" s="18" t="s">
        <v>333</v>
      </c>
      <c r="AD226" s="18" t="s">
        <v>337</v>
      </c>
      <c r="AE226" s="18">
        <v>20</v>
      </c>
      <c r="AF226" s="18">
        <v>8.5</v>
      </c>
      <c r="AG226" s="18" t="s">
        <v>32</v>
      </c>
      <c r="AH226" s="18" t="s">
        <v>32</v>
      </c>
      <c r="AI226" s="18" t="str">
        <f>+VLOOKUP(AH226,Leyenda!$O$4:$U$10,6,FALSE)</f>
        <v>0,15-0,25</v>
      </c>
      <c r="AJ226" s="18" t="str">
        <f>+VLOOKUP(AG226,Leyenda!$O$4:$U$10,7,FALSE)</f>
        <v>No Blasting need</v>
      </c>
      <c r="AK226" s="18">
        <f>+VLOOKUP(AJ226,Leyenda!$U$4:$V$10,2,FALSE)</f>
        <v>2</v>
      </c>
      <c r="AL226" s="18" t="s">
        <v>199</v>
      </c>
      <c r="AM226" s="18" t="str">
        <f t="shared" si="78"/>
        <v>R1</v>
      </c>
      <c r="AN226" s="18" t="s">
        <v>66</v>
      </c>
      <c r="AO226" s="18" t="s">
        <v>81</v>
      </c>
      <c r="AP226" s="18" t="s">
        <v>96</v>
      </c>
      <c r="AQ226" s="18" t="s">
        <v>107</v>
      </c>
      <c r="AR226" s="18" t="s">
        <v>120</v>
      </c>
      <c r="AS226" s="18" t="s">
        <v>198</v>
      </c>
      <c r="AT226" s="18" t="s">
        <v>244</v>
      </c>
      <c r="AU226" s="18"/>
      <c r="AV226" s="18">
        <f>+VLOOKUP(AN226,Leyenda!$B$30:$E$34,3,FALSE)</f>
        <v>1</v>
      </c>
      <c r="AW226" s="18">
        <f>+VLOOKUP('2. Logging Brejo Seco'!AO226,Meteorizacion,3,FALSE)</f>
        <v>0</v>
      </c>
      <c r="AX226" s="18">
        <f>+VLOOKUP('2. Logging Brejo Seco'!AP226,Apertura,3,FALSE)</f>
        <v>1</v>
      </c>
      <c r="AY226" s="18">
        <f>+VLOOKUP('2. Logging Brejo Seco'!AQ226,Leyenda!$B$55:$D$59,3,FALSE)</f>
        <v>3</v>
      </c>
      <c r="AZ226" s="18">
        <f>+VLOOKUP('2. Logging Brejo Seco'!AR226,Relleno,3,FALSE)</f>
        <v>2</v>
      </c>
      <c r="BA226" s="18">
        <f t="shared" si="87"/>
        <v>7</v>
      </c>
      <c r="BB226" s="49">
        <f t="shared" si="73"/>
        <v>0</v>
      </c>
      <c r="BC226" s="49">
        <f>VLOOKUP(AM226,Leyenda!$B$4:$D$10,3,FALSE)</f>
        <v>1</v>
      </c>
      <c r="BD226" s="50">
        <f t="shared" si="79"/>
        <v>5</v>
      </c>
      <c r="BE226" s="49">
        <f t="shared" si="80"/>
        <v>7</v>
      </c>
      <c r="BF226" s="49">
        <f>VLOOKUP(AS226,Leyenda!$B$70:$D$75,3,FALSE)</f>
        <v>15</v>
      </c>
      <c r="BG226" s="67">
        <f t="shared" si="74"/>
        <v>10.5</v>
      </c>
      <c r="BH226" s="67">
        <f>VLOOKUP(AM226,Leyenda!$B$4:$E$10,4,FALSE)</f>
        <v>1</v>
      </c>
      <c r="BI226" s="67">
        <f t="shared" si="81"/>
        <v>5</v>
      </c>
      <c r="BJ226" s="67">
        <f t="shared" si="75"/>
        <v>0</v>
      </c>
      <c r="BK226" s="67">
        <f>+VLOOKUP('2. Logging Brejo Seco'!AP226,Leyenda!$B$47:$E$51,4,FALSE)</f>
        <v>1</v>
      </c>
      <c r="BL226" s="67">
        <f>+VLOOKUP('2. Logging Brejo Seco'!AQ226,Leyenda!$B$55:$E$59,4,FALSE)</f>
        <v>3</v>
      </c>
      <c r="BM226" s="67">
        <f>+VLOOKUP('2. Logging Brejo Seco'!AR226,Leyenda!$B$63:$E$67,3,FALSE)</f>
        <v>2</v>
      </c>
      <c r="BN226" s="67">
        <f>+VLOOKUP('2. Logging Brejo Seco'!AO226,Leyenda!$B$39:$E$43,4,FALSE)</f>
        <v>0</v>
      </c>
      <c r="BO226" s="67">
        <f>+VLOOKUP('2. Logging Brejo Seco'!AN226,Leyenda!$B$30:$E$34,4,FALSE)</f>
        <v>1</v>
      </c>
      <c r="BP226" s="67">
        <f>VLOOKUP(AS226,Leyenda!$B$71:$E$75,4,FALSE)</f>
        <v>10</v>
      </c>
      <c r="BQ226" s="125">
        <f t="shared" si="82"/>
        <v>23</v>
      </c>
      <c r="BR226" s="85">
        <f t="shared" si="83"/>
        <v>28</v>
      </c>
      <c r="BS226" s="240">
        <f t="shared" si="84"/>
        <v>0.65999999999999992</v>
      </c>
      <c r="BT226" s="18" t="s">
        <v>748</v>
      </c>
    </row>
    <row r="227" spans="1:72" x14ac:dyDescent="0.25">
      <c r="A227" s="18" t="s">
        <v>6</v>
      </c>
      <c r="B227" s="18">
        <v>2024</v>
      </c>
      <c r="C227" s="18" t="s">
        <v>138</v>
      </c>
      <c r="D227" s="18" t="s">
        <v>245</v>
      </c>
      <c r="E227" s="18">
        <v>20</v>
      </c>
      <c r="F227" s="18">
        <v>20</v>
      </c>
      <c r="G227" s="18" t="s">
        <v>156</v>
      </c>
      <c r="H227" s="248">
        <f t="shared" si="85"/>
        <v>20</v>
      </c>
      <c r="I227" s="135"/>
      <c r="J227" s="18" t="s">
        <v>296</v>
      </c>
      <c r="K227" s="4">
        <f t="shared" si="69"/>
        <v>57</v>
      </c>
      <c r="L227" s="4">
        <v>57.5</v>
      </c>
      <c r="M227" s="4">
        <f t="shared" si="76"/>
        <v>0.5</v>
      </c>
      <c r="N227" s="5">
        <v>0.4</v>
      </c>
      <c r="O227" s="5">
        <f t="shared" si="68"/>
        <v>0.6</v>
      </c>
      <c r="P227" s="31">
        <f t="shared" si="77"/>
        <v>0.2</v>
      </c>
      <c r="Q227" s="31">
        <f t="shared" si="72"/>
        <v>0.2</v>
      </c>
      <c r="R227" s="31">
        <v>10</v>
      </c>
      <c r="S227" s="31">
        <v>20</v>
      </c>
      <c r="T227" s="31">
        <v>0.17</v>
      </c>
      <c r="U227" s="31">
        <v>0</v>
      </c>
      <c r="V227" s="187">
        <f t="shared" si="86"/>
        <v>0</v>
      </c>
      <c r="W227" s="31">
        <v>5</v>
      </c>
      <c r="X227" s="31"/>
      <c r="Y227" s="31">
        <f t="shared" si="70"/>
        <v>5</v>
      </c>
      <c r="Z227" s="31">
        <f t="shared" si="71"/>
        <v>34</v>
      </c>
      <c r="AA227" s="18">
        <v>0</v>
      </c>
      <c r="AB227" s="18" t="s">
        <v>330</v>
      </c>
      <c r="AC227" s="18" t="s">
        <v>333</v>
      </c>
      <c r="AD227" s="18" t="s">
        <v>337</v>
      </c>
      <c r="AE227" s="18">
        <v>20</v>
      </c>
      <c r="AF227" s="18">
        <v>10</v>
      </c>
      <c r="AG227" s="18" t="s">
        <v>32</v>
      </c>
      <c r="AH227" s="18" t="s">
        <v>32</v>
      </c>
      <c r="AI227" s="18" t="str">
        <f>+VLOOKUP(AH227,Leyenda!$O$4:$U$10,6,FALSE)</f>
        <v>0,15-0,25</v>
      </c>
      <c r="AJ227" s="18" t="str">
        <f>+VLOOKUP(AG227,Leyenda!$O$4:$U$10,7,FALSE)</f>
        <v>No Blasting need</v>
      </c>
      <c r="AK227" s="18">
        <f>+VLOOKUP(AJ227,Leyenda!$U$4:$V$10,2,FALSE)</f>
        <v>2</v>
      </c>
      <c r="AL227" s="18" t="s">
        <v>199</v>
      </c>
      <c r="AM227" s="18" t="str">
        <f t="shared" si="78"/>
        <v>R1</v>
      </c>
      <c r="AN227" s="18" t="s">
        <v>66</v>
      </c>
      <c r="AO227" s="18" t="s">
        <v>81</v>
      </c>
      <c r="AP227" s="18" t="s">
        <v>96</v>
      </c>
      <c r="AQ227" s="18" t="s">
        <v>107</v>
      </c>
      <c r="AR227" s="18" t="s">
        <v>120</v>
      </c>
      <c r="AS227" s="18" t="s">
        <v>198</v>
      </c>
      <c r="AT227" s="18" t="s">
        <v>244</v>
      </c>
      <c r="AU227" s="18"/>
      <c r="AV227" s="18">
        <f>+VLOOKUP(AN227,Leyenda!$B$30:$E$34,3,FALSE)</f>
        <v>1</v>
      </c>
      <c r="AW227" s="18">
        <f>+VLOOKUP('2. Logging Brejo Seco'!AO227,Meteorizacion,3,FALSE)</f>
        <v>0</v>
      </c>
      <c r="AX227" s="18">
        <f>+VLOOKUP('2. Logging Brejo Seco'!AP227,Apertura,3,FALSE)</f>
        <v>1</v>
      </c>
      <c r="AY227" s="18">
        <f>+VLOOKUP('2. Logging Brejo Seco'!AQ227,Leyenda!$B$55:$D$59,3,FALSE)</f>
        <v>3</v>
      </c>
      <c r="AZ227" s="18">
        <f>+VLOOKUP('2. Logging Brejo Seco'!AR227,Relleno,3,FALSE)</f>
        <v>2</v>
      </c>
      <c r="BA227" s="18">
        <f t="shared" si="87"/>
        <v>7</v>
      </c>
      <c r="BB227" s="49">
        <f t="shared" si="73"/>
        <v>0</v>
      </c>
      <c r="BC227" s="49">
        <f>VLOOKUP(AM227,Leyenda!$B$4:$D$10,3,FALSE)</f>
        <v>1</v>
      </c>
      <c r="BD227" s="50">
        <f t="shared" si="79"/>
        <v>5</v>
      </c>
      <c r="BE227" s="49">
        <f t="shared" si="80"/>
        <v>7</v>
      </c>
      <c r="BF227" s="49">
        <f>VLOOKUP(AS227,Leyenda!$B$70:$D$75,3,FALSE)</f>
        <v>15</v>
      </c>
      <c r="BG227" s="67">
        <f t="shared" si="74"/>
        <v>10.5</v>
      </c>
      <c r="BH227" s="67">
        <f>VLOOKUP(AM227,Leyenda!$B$4:$E$10,4,FALSE)</f>
        <v>1</v>
      </c>
      <c r="BI227" s="67">
        <f t="shared" si="81"/>
        <v>5</v>
      </c>
      <c r="BJ227" s="67">
        <f t="shared" si="75"/>
        <v>0</v>
      </c>
      <c r="BK227" s="67">
        <f>+VLOOKUP('2. Logging Brejo Seco'!AP227,Leyenda!$B$47:$E$51,4,FALSE)</f>
        <v>1</v>
      </c>
      <c r="BL227" s="67">
        <f>+VLOOKUP('2. Logging Brejo Seco'!AQ227,Leyenda!$B$55:$E$59,4,FALSE)</f>
        <v>3</v>
      </c>
      <c r="BM227" s="67">
        <f>+VLOOKUP('2. Logging Brejo Seco'!AR227,Leyenda!$B$63:$E$67,3,FALSE)</f>
        <v>2</v>
      </c>
      <c r="BN227" s="67">
        <f>+VLOOKUP('2. Logging Brejo Seco'!AO227,Leyenda!$B$39:$E$43,4,FALSE)</f>
        <v>0</v>
      </c>
      <c r="BO227" s="67">
        <f>+VLOOKUP('2. Logging Brejo Seco'!AN227,Leyenda!$B$30:$E$34,4,FALSE)</f>
        <v>1</v>
      </c>
      <c r="BP227" s="67">
        <f>VLOOKUP(AS227,Leyenda!$B$71:$E$75,4,FALSE)</f>
        <v>10</v>
      </c>
      <c r="BQ227" s="125">
        <f t="shared" si="82"/>
        <v>23</v>
      </c>
      <c r="BR227" s="85">
        <f t="shared" si="83"/>
        <v>28</v>
      </c>
      <c r="BS227" s="240">
        <f t="shared" si="84"/>
        <v>0.6</v>
      </c>
      <c r="BT227" s="18" t="s">
        <v>748</v>
      </c>
    </row>
    <row r="228" spans="1:72" x14ac:dyDescent="0.25">
      <c r="A228" s="18" t="s">
        <v>6</v>
      </c>
      <c r="B228" s="18">
        <v>2024</v>
      </c>
      <c r="C228" s="18" t="s">
        <v>138</v>
      </c>
      <c r="D228" s="18" t="s">
        <v>245</v>
      </c>
      <c r="E228" s="18">
        <v>20</v>
      </c>
      <c r="F228" s="18">
        <v>20</v>
      </c>
      <c r="G228" s="18" t="s">
        <v>156</v>
      </c>
      <c r="H228" s="248">
        <f t="shared" si="85"/>
        <v>20</v>
      </c>
      <c r="I228" s="135"/>
      <c r="J228" s="18" t="s">
        <v>296</v>
      </c>
      <c r="K228" s="4">
        <f t="shared" si="69"/>
        <v>57.5</v>
      </c>
      <c r="L228" s="4">
        <v>58</v>
      </c>
      <c r="M228" s="4">
        <f t="shared" si="76"/>
        <v>0.5</v>
      </c>
      <c r="N228" s="5">
        <v>0.5</v>
      </c>
      <c r="O228" s="5">
        <f t="shared" si="68"/>
        <v>0.5</v>
      </c>
      <c r="P228" s="31">
        <f t="shared" si="77"/>
        <v>0.25</v>
      </c>
      <c r="Q228" s="31">
        <f t="shared" si="72"/>
        <v>0.25</v>
      </c>
      <c r="R228" s="31">
        <v>12.5</v>
      </c>
      <c r="S228" s="31">
        <v>20</v>
      </c>
      <c r="T228" s="31">
        <v>0.24</v>
      </c>
      <c r="U228" s="31">
        <v>0</v>
      </c>
      <c r="V228" s="187">
        <f t="shared" si="86"/>
        <v>0</v>
      </c>
      <c r="W228" s="31">
        <v>6</v>
      </c>
      <c r="X228" s="31"/>
      <c r="Y228" s="31">
        <f t="shared" si="70"/>
        <v>6</v>
      </c>
      <c r="Z228" s="31">
        <f t="shared" si="71"/>
        <v>40</v>
      </c>
      <c r="AA228" s="18">
        <v>0</v>
      </c>
      <c r="AB228" s="18" t="s">
        <v>330</v>
      </c>
      <c r="AC228" s="18" t="s">
        <v>333</v>
      </c>
      <c r="AD228" s="18" t="s">
        <v>337</v>
      </c>
      <c r="AE228" s="18">
        <v>20</v>
      </c>
      <c r="AF228" s="18">
        <v>12.5</v>
      </c>
      <c r="AG228" s="18" t="s">
        <v>32</v>
      </c>
      <c r="AH228" s="18" t="s">
        <v>32</v>
      </c>
      <c r="AI228" s="18" t="str">
        <f>+VLOOKUP(AH228,Leyenda!$O$4:$U$10,6,FALSE)</f>
        <v>0,15-0,25</v>
      </c>
      <c r="AJ228" s="18" t="str">
        <f>+VLOOKUP(AG228,Leyenda!$O$4:$U$10,7,FALSE)</f>
        <v>No Blasting need</v>
      </c>
      <c r="AK228" s="18">
        <f>+VLOOKUP(AJ228,Leyenda!$U$4:$V$10,2,FALSE)</f>
        <v>2</v>
      </c>
      <c r="AL228" s="18" t="s">
        <v>199</v>
      </c>
      <c r="AM228" s="18" t="str">
        <f t="shared" si="78"/>
        <v>R1</v>
      </c>
      <c r="AN228" s="18" t="s">
        <v>66</v>
      </c>
      <c r="AO228" s="18" t="s">
        <v>81</v>
      </c>
      <c r="AP228" s="18" t="s">
        <v>96</v>
      </c>
      <c r="AQ228" s="18" t="s">
        <v>107</v>
      </c>
      <c r="AR228" s="18" t="s">
        <v>120</v>
      </c>
      <c r="AS228" s="18" t="s">
        <v>198</v>
      </c>
      <c r="AT228" s="18" t="s">
        <v>244</v>
      </c>
      <c r="AU228" s="18"/>
      <c r="AV228" s="18">
        <f>+VLOOKUP(AN228,Leyenda!$B$30:$E$34,3,FALSE)</f>
        <v>1</v>
      </c>
      <c r="AW228" s="18">
        <f>+VLOOKUP('2. Logging Brejo Seco'!AO228,Meteorizacion,3,FALSE)</f>
        <v>0</v>
      </c>
      <c r="AX228" s="18">
        <f>+VLOOKUP('2. Logging Brejo Seco'!AP228,Apertura,3,FALSE)</f>
        <v>1</v>
      </c>
      <c r="AY228" s="18">
        <f>+VLOOKUP('2. Logging Brejo Seco'!AQ228,Leyenda!$B$55:$D$59,3,FALSE)</f>
        <v>3</v>
      </c>
      <c r="AZ228" s="18">
        <f>+VLOOKUP('2. Logging Brejo Seco'!AR228,Relleno,3,FALSE)</f>
        <v>2</v>
      </c>
      <c r="BA228" s="18">
        <f t="shared" si="87"/>
        <v>7</v>
      </c>
      <c r="BB228" s="49">
        <f t="shared" si="73"/>
        <v>0</v>
      </c>
      <c r="BC228" s="49">
        <f>VLOOKUP(AM228,Leyenda!$B$4:$D$10,3,FALSE)</f>
        <v>1</v>
      </c>
      <c r="BD228" s="50">
        <f t="shared" si="79"/>
        <v>5</v>
      </c>
      <c r="BE228" s="49">
        <f t="shared" si="80"/>
        <v>7</v>
      </c>
      <c r="BF228" s="49">
        <f>VLOOKUP(AS228,Leyenda!$B$70:$D$75,3,FALSE)</f>
        <v>15</v>
      </c>
      <c r="BG228" s="67">
        <f t="shared" si="74"/>
        <v>10.5</v>
      </c>
      <c r="BH228" s="67">
        <f>VLOOKUP(AM228,Leyenda!$B$4:$E$10,4,FALSE)</f>
        <v>1</v>
      </c>
      <c r="BI228" s="67">
        <f t="shared" si="81"/>
        <v>5</v>
      </c>
      <c r="BJ228" s="67">
        <f t="shared" si="75"/>
        <v>0</v>
      </c>
      <c r="BK228" s="67">
        <f>+VLOOKUP('2. Logging Brejo Seco'!AP228,Leyenda!$B$47:$E$51,4,FALSE)</f>
        <v>1</v>
      </c>
      <c r="BL228" s="67">
        <f>+VLOOKUP('2. Logging Brejo Seco'!AQ228,Leyenda!$B$55:$E$59,4,FALSE)</f>
        <v>3</v>
      </c>
      <c r="BM228" s="67">
        <f>+VLOOKUP('2. Logging Brejo Seco'!AR228,Leyenda!$B$63:$E$67,3,FALSE)</f>
        <v>2</v>
      </c>
      <c r="BN228" s="67">
        <f>+VLOOKUP('2. Logging Brejo Seco'!AO228,Leyenda!$B$39:$E$43,4,FALSE)</f>
        <v>0</v>
      </c>
      <c r="BO228" s="67">
        <f>+VLOOKUP('2. Logging Brejo Seco'!AN228,Leyenda!$B$30:$E$34,4,FALSE)</f>
        <v>1</v>
      </c>
      <c r="BP228" s="67">
        <f>VLOOKUP(AS228,Leyenda!$B$71:$E$75,4,FALSE)</f>
        <v>10</v>
      </c>
      <c r="BQ228" s="125">
        <f t="shared" si="82"/>
        <v>23</v>
      </c>
      <c r="BR228" s="85">
        <f t="shared" si="83"/>
        <v>28</v>
      </c>
      <c r="BS228" s="240">
        <f t="shared" si="84"/>
        <v>0.5</v>
      </c>
      <c r="BT228" s="18" t="s">
        <v>748</v>
      </c>
    </row>
    <row r="229" spans="1:72" x14ac:dyDescent="0.25">
      <c r="A229" s="18" t="s">
        <v>6</v>
      </c>
      <c r="B229" s="18">
        <v>2024</v>
      </c>
      <c r="C229" s="18" t="s">
        <v>138</v>
      </c>
      <c r="D229" s="18" t="s">
        <v>245</v>
      </c>
      <c r="E229" s="18">
        <v>20</v>
      </c>
      <c r="F229" s="18">
        <v>20</v>
      </c>
      <c r="G229" s="18" t="s">
        <v>156</v>
      </c>
      <c r="H229" s="248">
        <f t="shared" si="85"/>
        <v>20</v>
      </c>
      <c r="I229" s="135"/>
      <c r="J229" s="18" t="s">
        <v>296</v>
      </c>
      <c r="K229" s="4">
        <f t="shared" si="69"/>
        <v>58</v>
      </c>
      <c r="L229" s="4">
        <v>58.5</v>
      </c>
      <c r="M229" s="4">
        <f t="shared" si="76"/>
        <v>0.5</v>
      </c>
      <c r="N229" s="5">
        <v>0.42</v>
      </c>
      <c r="O229" s="5">
        <f t="shared" si="68"/>
        <v>0.58000000000000007</v>
      </c>
      <c r="P229" s="31">
        <f t="shared" si="77"/>
        <v>0.21</v>
      </c>
      <c r="Q229" s="31">
        <f t="shared" si="72"/>
        <v>0.21</v>
      </c>
      <c r="R229" s="31">
        <v>10.5</v>
      </c>
      <c r="S229" s="31">
        <v>20</v>
      </c>
      <c r="T229" s="31">
        <v>0.2</v>
      </c>
      <c r="U229" s="31">
        <v>0</v>
      </c>
      <c r="V229" s="187">
        <f t="shared" si="86"/>
        <v>0</v>
      </c>
      <c r="W229" s="31">
        <v>3</v>
      </c>
      <c r="X229" s="31"/>
      <c r="Y229" s="31">
        <f t="shared" si="70"/>
        <v>3</v>
      </c>
      <c r="Z229" s="31">
        <f t="shared" si="71"/>
        <v>66.666666666666671</v>
      </c>
      <c r="AA229" s="18">
        <v>0</v>
      </c>
      <c r="AB229" s="18" t="s">
        <v>330</v>
      </c>
      <c r="AC229" s="18" t="s">
        <v>333</v>
      </c>
      <c r="AD229" s="18" t="s">
        <v>337</v>
      </c>
      <c r="AE229" s="18">
        <v>20</v>
      </c>
      <c r="AF229" s="18">
        <v>10.5</v>
      </c>
      <c r="AG229" s="18" t="s">
        <v>32</v>
      </c>
      <c r="AH229" s="18" t="s">
        <v>32</v>
      </c>
      <c r="AI229" s="18" t="str">
        <f>+VLOOKUP(AH229,Leyenda!$O$4:$U$10,6,FALSE)</f>
        <v>0,15-0,25</v>
      </c>
      <c r="AJ229" s="18" t="str">
        <f>+VLOOKUP(AG229,Leyenda!$O$4:$U$10,7,FALSE)</f>
        <v>No Blasting need</v>
      </c>
      <c r="AK229" s="18">
        <f>+VLOOKUP(AJ229,Leyenda!$U$4:$V$10,2,FALSE)</f>
        <v>2</v>
      </c>
      <c r="AL229" s="18" t="s">
        <v>199</v>
      </c>
      <c r="AM229" s="18" t="str">
        <f t="shared" si="78"/>
        <v>R1</v>
      </c>
      <c r="AN229" s="18" t="s">
        <v>66</v>
      </c>
      <c r="AO229" s="18" t="s">
        <v>81</v>
      </c>
      <c r="AP229" s="18" t="s">
        <v>96</v>
      </c>
      <c r="AQ229" s="18" t="s">
        <v>107</v>
      </c>
      <c r="AR229" s="18" t="s">
        <v>120</v>
      </c>
      <c r="AS229" s="18" t="s">
        <v>198</v>
      </c>
      <c r="AT229" s="18" t="s">
        <v>244</v>
      </c>
      <c r="AU229" s="18"/>
      <c r="AV229" s="18">
        <f>+VLOOKUP(AN229,Leyenda!$B$30:$E$34,3,FALSE)</f>
        <v>1</v>
      </c>
      <c r="AW229" s="18">
        <f>+VLOOKUP('2. Logging Brejo Seco'!AO229,Meteorizacion,3,FALSE)</f>
        <v>0</v>
      </c>
      <c r="AX229" s="18">
        <f>+VLOOKUP('2. Logging Brejo Seco'!AP229,Apertura,3,FALSE)</f>
        <v>1</v>
      </c>
      <c r="AY229" s="18">
        <f>+VLOOKUP('2. Logging Brejo Seco'!AQ229,Leyenda!$B$55:$D$59,3,FALSE)</f>
        <v>3</v>
      </c>
      <c r="AZ229" s="18">
        <f>+VLOOKUP('2. Logging Brejo Seco'!AR229,Relleno,3,FALSE)</f>
        <v>2</v>
      </c>
      <c r="BA229" s="18">
        <f t="shared" si="87"/>
        <v>7</v>
      </c>
      <c r="BB229" s="49">
        <f t="shared" si="73"/>
        <v>0</v>
      </c>
      <c r="BC229" s="49">
        <f>VLOOKUP(AM229,Leyenda!$B$4:$D$10,3,FALSE)</f>
        <v>1</v>
      </c>
      <c r="BD229" s="50">
        <f t="shared" si="79"/>
        <v>6</v>
      </c>
      <c r="BE229" s="49">
        <f t="shared" si="80"/>
        <v>7</v>
      </c>
      <c r="BF229" s="49">
        <f>VLOOKUP(AS229,Leyenda!$B$70:$D$75,3,FALSE)</f>
        <v>15</v>
      </c>
      <c r="BG229" s="67">
        <f t="shared" si="74"/>
        <v>10.5</v>
      </c>
      <c r="BH229" s="67">
        <f>VLOOKUP(AM229,Leyenda!$B$4:$E$10,4,FALSE)</f>
        <v>1</v>
      </c>
      <c r="BI229" s="67">
        <f t="shared" si="81"/>
        <v>6</v>
      </c>
      <c r="BJ229" s="67">
        <f t="shared" si="75"/>
        <v>0</v>
      </c>
      <c r="BK229" s="67">
        <f>+VLOOKUP('2. Logging Brejo Seco'!AP229,Leyenda!$B$47:$E$51,4,FALSE)</f>
        <v>1</v>
      </c>
      <c r="BL229" s="67">
        <f>+VLOOKUP('2. Logging Brejo Seco'!AQ229,Leyenda!$B$55:$E$59,4,FALSE)</f>
        <v>3</v>
      </c>
      <c r="BM229" s="67">
        <f>+VLOOKUP('2. Logging Brejo Seco'!AR229,Leyenda!$B$63:$E$67,3,FALSE)</f>
        <v>2</v>
      </c>
      <c r="BN229" s="67">
        <f>+VLOOKUP('2. Logging Brejo Seco'!AO229,Leyenda!$B$39:$E$43,4,FALSE)</f>
        <v>0</v>
      </c>
      <c r="BO229" s="67">
        <f>+VLOOKUP('2. Logging Brejo Seco'!AN229,Leyenda!$B$30:$E$34,4,FALSE)</f>
        <v>1</v>
      </c>
      <c r="BP229" s="67">
        <f>VLOOKUP(AS229,Leyenda!$B$71:$E$75,4,FALSE)</f>
        <v>10</v>
      </c>
      <c r="BQ229" s="125">
        <f t="shared" si="82"/>
        <v>24</v>
      </c>
      <c r="BR229" s="85">
        <f t="shared" si="83"/>
        <v>29</v>
      </c>
      <c r="BS229" s="240">
        <f t="shared" si="84"/>
        <v>0.58000000000000007</v>
      </c>
      <c r="BT229" s="18" t="s">
        <v>748</v>
      </c>
    </row>
    <row r="230" spans="1:72" x14ac:dyDescent="0.25">
      <c r="A230" s="18" t="s">
        <v>6</v>
      </c>
      <c r="B230" s="18">
        <v>2024</v>
      </c>
      <c r="C230" s="18" t="s">
        <v>138</v>
      </c>
      <c r="D230" s="18" t="s">
        <v>245</v>
      </c>
      <c r="E230" s="18">
        <v>20</v>
      </c>
      <c r="F230" s="18">
        <v>20</v>
      </c>
      <c r="G230" s="18" t="s">
        <v>156</v>
      </c>
      <c r="H230" s="248">
        <f t="shared" si="85"/>
        <v>20</v>
      </c>
      <c r="I230" s="135"/>
      <c r="J230" s="18" t="s">
        <v>296</v>
      </c>
      <c r="K230" s="4">
        <f t="shared" si="69"/>
        <v>58.5</v>
      </c>
      <c r="L230" s="4">
        <v>59</v>
      </c>
      <c r="M230" s="4">
        <f t="shared" si="76"/>
        <v>0.5</v>
      </c>
      <c r="N230" s="5">
        <v>0.46</v>
      </c>
      <c r="O230" s="5">
        <f t="shared" si="68"/>
        <v>0.54</v>
      </c>
      <c r="P230" s="31">
        <f t="shared" si="77"/>
        <v>0.23</v>
      </c>
      <c r="Q230" s="31">
        <f t="shared" si="72"/>
        <v>0.23</v>
      </c>
      <c r="R230" s="31">
        <v>11.5</v>
      </c>
      <c r="S230" s="31">
        <v>20</v>
      </c>
      <c r="T230" s="31">
        <v>0.2</v>
      </c>
      <c r="U230" s="31">
        <v>0</v>
      </c>
      <c r="V230" s="187">
        <f t="shared" si="86"/>
        <v>0</v>
      </c>
      <c r="W230" s="31">
        <v>4</v>
      </c>
      <c r="X230" s="31"/>
      <c r="Y230" s="31">
        <f t="shared" si="70"/>
        <v>4</v>
      </c>
      <c r="Z230" s="31">
        <f t="shared" si="71"/>
        <v>50</v>
      </c>
      <c r="AA230" s="18">
        <v>0</v>
      </c>
      <c r="AB230" s="18" t="s">
        <v>330</v>
      </c>
      <c r="AC230" s="18" t="s">
        <v>333</v>
      </c>
      <c r="AD230" s="18" t="s">
        <v>337</v>
      </c>
      <c r="AE230" s="18">
        <v>20</v>
      </c>
      <c r="AF230" s="18">
        <v>11.5</v>
      </c>
      <c r="AG230" s="18" t="s">
        <v>32</v>
      </c>
      <c r="AH230" s="18" t="s">
        <v>32</v>
      </c>
      <c r="AI230" s="18" t="str">
        <f>+VLOOKUP(AH230,Leyenda!$O$4:$U$10,6,FALSE)</f>
        <v>0,15-0,25</v>
      </c>
      <c r="AJ230" s="18" t="str">
        <f>+VLOOKUP(AG230,Leyenda!$O$4:$U$10,7,FALSE)</f>
        <v>No Blasting need</v>
      </c>
      <c r="AK230" s="18">
        <f>+VLOOKUP(AJ230,Leyenda!$U$4:$V$10,2,FALSE)</f>
        <v>2</v>
      </c>
      <c r="AL230" s="18" t="s">
        <v>199</v>
      </c>
      <c r="AM230" s="18" t="str">
        <f t="shared" si="78"/>
        <v>R1</v>
      </c>
      <c r="AN230" s="18" t="s">
        <v>66</v>
      </c>
      <c r="AO230" s="18" t="s">
        <v>81</v>
      </c>
      <c r="AP230" s="18" t="s">
        <v>96</v>
      </c>
      <c r="AQ230" s="18" t="s">
        <v>107</v>
      </c>
      <c r="AR230" s="18" t="s">
        <v>120</v>
      </c>
      <c r="AS230" s="18" t="s">
        <v>198</v>
      </c>
      <c r="AT230" s="18" t="s">
        <v>244</v>
      </c>
      <c r="AU230" s="18"/>
      <c r="AV230" s="18">
        <f>+VLOOKUP(AN230,Leyenda!$B$30:$E$34,3,FALSE)</f>
        <v>1</v>
      </c>
      <c r="AW230" s="18">
        <f>+VLOOKUP('2. Logging Brejo Seco'!AO230,Meteorizacion,3,FALSE)</f>
        <v>0</v>
      </c>
      <c r="AX230" s="18">
        <f>+VLOOKUP('2. Logging Brejo Seco'!AP230,Apertura,3,FALSE)</f>
        <v>1</v>
      </c>
      <c r="AY230" s="18">
        <f>+VLOOKUP('2. Logging Brejo Seco'!AQ230,Leyenda!$B$55:$D$59,3,FALSE)</f>
        <v>3</v>
      </c>
      <c r="AZ230" s="18">
        <f>+VLOOKUP('2. Logging Brejo Seco'!AR230,Relleno,3,FALSE)</f>
        <v>2</v>
      </c>
      <c r="BA230" s="18">
        <f t="shared" si="87"/>
        <v>7</v>
      </c>
      <c r="BB230" s="49">
        <f t="shared" si="73"/>
        <v>0</v>
      </c>
      <c r="BC230" s="49">
        <f>VLOOKUP(AM230,Leyenda!$B$4:$D$10,3,FALSE)</f>
        <v>1</v>
      </c>
      <c r="BD230" s="50">
        <f t="shared" si="79"/>
        <v>6</v>
      </c>
      <c r="BE230" s="49">
        <f t="shared" si="80"/>
        <v>7</v>
      </c>
      <c r="BF230" s="49">
        <f>VLOOKUP(AS230,Leyenda!$B$70:$D$75,3,FALSE)</f>
        <v>15</v>
      </c>
      <c r="BG230" s="67">
        <f t="shared" si="74"/>
        <v>10.5</v>
      </c>
      <c r="BH230" s="67">
        <f>VLOOKUP(AM230,Leyenda!$B$4:$E$10,4,FALSE)</f>
        <v>1</v>
      </c>
      <c r="BI230" s="67">
        <f t="shared" si="81"/>
        <v>5</v>
      </c>
      <c r="BJ230" s="67">
        <f t="shared" si="75"/>
        <v>0</v>
      </c>
      <c r="BK230" s="67">
        <f>+VLOOKUP('2. Logging Brejo Seco'!AP230,Leyenda!$B$47:$E$51,4,FALSE)</f>
        <v>1</v>
      </c>
      <c r="BL230" s="67">
        <f>+VLOOKUP('2. Logging Brejo Seco'!AQ230,Leyenda!$B$55:$E$59,4,FALSE)</f>
        <v>3</v>
      </c>
      <c r="BM230" s="67">
        <f>+VLOOKUP('2. Logging Brejo Seco'!AR230,Leyenda!$B$63:$E$67,3,FALSE)</f>
        <v>2</v>
      </c>
      <c r="BN230" s="67">
        <f>+VLOOKUP('2. Logging Brejo Seco'!AO230,Leyenda!$B$39:$E$43,4,FALSE)</f>
        <v>0</v>
      </c>
      <c r="BO230" s="67">
        <f>+VLOOKUP('2. Logging Brejo Seco'!AN230,Leyenda!$B$30:$E$34,4,FALSE)</f>
        <v>1</v>
      </c>
      <c r="BP230" s="67">
        <f>VLOOKUP(AS230,Leyenda!$B$71:$E$75,4,FALSE)</f>
        <v>10</v>
      </c>
      <c r="BQ230" s="125">
        <f t="shared" si="82"/>
        <v>23</v>
      </c>
      <c r="BR230" s="85">
        <f t="shared" si="83"/>
        <v>29</v>
      </c>
      <c r="BS230" s="240">
        <f t="shared" si="84"/>
        <v>0.54</v>
      </c>
      <c r="BT230" s="18" t="s">
        <v>748</v>
      </c>
    </row>
    <row r="231" spans="1:72" x14ac:dyDescent="0.25">
      <c r="A231" s="18" t="s">
        <v>6</v>
      </c>
      <c r="B231" s="18">
        <v>2024</v>
      </c>
      <c r="C231" s="18" t="s">
        <v>138</v>
      </c>
      <c r="D231" s="18" t="s">
        <v>245</v>
      </c>
      <c r="E231" s="18">
        <v>20</v>
      </c>
      <c r="F231" s="18">
        <v>20</v>
      </c>
      <c r="G231" s="18" t="s">
        <v>156</v>
      </c>
      <c r="H231" s="248">
        <f t="shared" si="85"/>
        <v>20</v>
      </c>
      <c r="I231" s="135"/>
      <c r="J231" s="18" t="s">
        <v>296</v>
      </c>
      <c r="K231" s="4">
        <f t="shared" si="69"/>
        <v>59</v>
      </c>
      <c r="L231" s="4">
        <v>59.5</v>
      </c>
      <c r="M231" s="4">
        <f t="shared" si="76"/>
        <v>0.5</v>
      </c>
      <c r="N231" s="5">
        <v>0.6</v>
      </c>
      <c r="O231" s="5">
        <f t="shared" si="68"/>
        <v>0.4</v>
      </c>
      <c r="P231" s="31">
        <f t="shared" si="77"/>
        <v>0.3</v>
      </c>
      <c r="Q231" s="31">
        <f t="shared" si="72"/>
        <v>0.3</v>
      </c>
      <c r="R231" s="31">
        <v>15</v>
      </c>
      <c r="S231" s="31">
        <v>20</v>
      </c>
      <c r="T231" s="31">
        <v>0.22</v>
      </c>
      <c r="U231" s="31">
        <v>0</v>
      </c>
      <c r="V231" s="187">
        <f t="shared" si="86"/>
        <v>0</v>
      </c>
      <c r="W231" s="31">
        <v>5</v>
      </c>
      <c r="X231" s="31"/>
      <c r="Y231" s="31">
        <f t="shared" si="70"/>
        <v>5</v>
      </c>
      <c r="Z231" s="31">
        <f t="shared" si="71"/>
        <v>44</v>
      </c>
      <c r="AA231" s="18">
        <v>0</v>
      </c>
      <c r="AB231" s="18" t="s">
        <v>330</v>
      </c>
      <c r="AC231" s="18" t="s">
        <v>333</v>
      </c>
      <c r="AD231" s="18" t="s">
        <v>337</v>
      </c>
      <c r="AE231" s="18">
        <v>20</v>
      </c>
      <c r="AF231" s="18">
        <v>15</v>
      </c>
      <c r="AG231" s="18" t="s">
        <v>32</v>
      </c>
      <c r="AH231" s="18" t="s">
        <v>32</v>
      </c>
      <c r="AI231" s="18" t="str">
        <f>+VLOOKUP(AH231,Leyenda!$O$4:$U$10,6,FALSE)</f>
        <v>0,15-0,25</v>
      </c>
      <c r="AJ231" s="18" t="str">
        <f>+VLOOKUP(AG231,Leyenda!$O$4:$U$10,7,FALSE)</f>
        <v>No Blasting need</v>
      </c>
      <c r="AK231" s="18">
        <f>+VLOOKUP(AJ231,Leyenda!$U$4:$V$10,2,FALSE)</f>
        <v>2</v>
      </c>
      <c r="AL231" s="18" t="s">
        <v>199</v>
      </c>
      <c r="AM231" s="18" t="str">
        <f t="shared" si="78"/>
        <v>R1</v>
      </c>
      <c r="AN231" s="18" t="s">
        <v>66</v>
      </c>
      <c r="AO231" s="18" t="s">
        <v>81</v>
      </c>
      <c r="AP231" s="18" t="s">
        <v>96</v>
      </c>
      <c r="AQ231" s="18" t="s">
        <v>107</v>
      </c>
      <c r="AR231" s="18" t="s">
        <v>120</v>
      </c>
      <c r="AS231" s="18" t="s">
        <v>198</v>
      </c>
      <c r="AT231" s="18" t="s">
        <v>244</v>
      </c>
      <c r="AU231" s="18"/>
      <c r="AV231" s="18">
        <f>+VLOOKUP(AN231,Leyenda!$B$30:$E$34,3,FALSE)</f>
        <v>1</v>
      </c>
      <c r="AW231" s="18">
        <f>+VLOOKUP('2. Logging Brejo Seco'!AO231,Meteorizacion,3,FALSE)</f>
        <v>0</v>
      </c>
      <c r="AX231" s="18">
        <f>+VLOOKUP('2. Logging Brejo Seco'!AP231,Apertura,3,FALSE)</f>
        <v>1</v>
      </c>
      <c r="AY231" s="18">
        <f>+VLOOKUP('2. Logging Brejo Seco'!AQ231,Leyenda!$B$55:$D$59,3,FALSE)</f>
        <v>3</v>
      </c>
      <c r="AZ231" s="18">
        <f>+VLOOKUP('2. Logging Brejo Seco'!AR231,Relleno,3,FALSE)</f>
        <v>2</v>
      </c>
      <c r="BA231" s="18">
        <f t="shared" si="87"/>
        <v>7</v>
      </c>
      <c r="BB231" s="49">
        <f t="shared" si="73"/>
        <v>0</v>
      </c>
      <c r="BC231" s="49">
        <f>VLOOKUP(AM231,Leyenda!$B$4:$D$10,3,FALSE)</f>
        <v>1</v>
      </c>
      <c r="BD231" s="50">
        <f t="shared" si="79"/>
        <v>6</v>
      </c>
      <c r="BE231" s="49">
        <f t="shared" si="80"/>
        <v>7</v>
      </c>
      <c r="BF231" s="49">
        <f>VLOOKUP(AS231,Leyenda!$B$70:$D$75,3,FALSE)</f>
        <v>15</v>
      </c>
      <c r="BG231" s="67">
        <f t="shared" si="74"/>
        <v>10.5</v>
      </c>
      <c r="BH231" s="67">
        <f>VLOOKUP(AM231,Leyenda!$B$4:$E$10,4,FALSE)</f>
        <v>1</v>
      </c>
      <c r="BI231" s="67">
        <f t="shared" si="81"/>
        <v>5</v>
      </c>
      <c r="BJ231" s="67">
        <f t="shared" si="75"/>
        <v>0</v>
      </c>
      <c r="BK231" s="67">
        <f>+VLOOKUP('2. Logging Brejo Seco'!AP231,Leyenda!$B$47:$E$51,4,FALSE)</f>
        <v>1</v>
      </c>
      <c r="BL231" s="67">
        <f>+VLOOKUP('2. Logging Brejo Seco'!AQ231,Leyenda!$B$55:$E$59,4,FALSE)</f>
        <v>3</v>
      </c>
      <c r="BM231" s="67">
        <f>+VLOOKUP('2. Logging Brejo Seco'!AR231,Leyenda!$B$63:$E$67,3,FALSE)</f>
        <v>2</v>
      </c>
      <c r="BN231" s="67">
        <f>+VLOOKUP('2. Logging Brejo Seco'!AO231,Leyenda!$B$39:$E$43,4,FALSE)</f>
        <v>0</v>
      </c>
      <c r="BO231" s="67">
        <f>+VLOOKUP('2. Logging Brejo Seco'!AN231,Leyenda!$B$30:$E$34,4,FALSE)</f>
        <v>1</v>
      </c>
      <c r="BP231" s="67">
        <f>VLOOKUP(AS231,Leyenda!$B$71:$E$75,4,FALSE)</f>
        <v>10</v>
      </c>
      <c r="BQ231" s="125">
        <f t="shared" si="82"/>
        <v>23</v>
      </c>
      <c r="BR231" s="85">
        <f t="shared" si="83"/>
        <v>29</v>
      </c>
      <c r="BS231" s="240">
        <f t="shared" si="84"/>
        <v>0.4</v>
      </c>
      <c r="BT231" s="18" t="s">
        <v>748</v>
      </c>
    </row>
    <row r="232" spans="1:72" x14ac:dyDescent="0.25">
      <c r="A232" s="18" t="s">
        <v>6</v>
      </c>
      <c r="B232" s="18">
        <v>2024</v>
      </c>
      <c r="C232" s="18" t="s">
        <v>138</v>
      </c>
      <c r="D232" s="18" t="s">
        <v>245</v>
      </c>
      <c r="E232" s="18">
        <v>20</v>
      </c>
      <c r="F232" s="18">
        <v>20</v>
      </c>
      <c r="G232" s="18" t="s">
        <v>156</v>
      </c>
      <c r="H232" s="248">
        <f t="shared" si="85"/>
        <v>20</v>
      </c>
      <c r="I232" s="135"/>
      <c r="J232" s="18" t="s">
        <v>296</v>
      </c>
      <c r="K232" s="4">
        <f t="shared" si="69"/>
        <v>59.5</v>
      </c>
      <c r="L232" s="4">
        <v>60</v>
      </c>
      <c r="M232" s="4">
        <f t="shared" si="76"/>
        <v>0.5</v>
      </c>
      <c r="N232" s="5">
        <v>0.54</v>
      </c>
      <c r="O232" s="5">
        <f t="shared" si="68"/>
        <v>0.45999999999999996</v>
      </c>
      <c r="P232" s="31">
        <f t="shared" si="77"/>
        <v>0.27</v>
      </c>
      <c r="Q232" s="31">
        <f t="shared" si="72"/>
        <v>0.27</v>
      </c>
      <c r="R232" s="31">
        <v>13.5</v>
      </c>
      <c r="S232" s="31">
        <v>20</v>
      </c>
      <c r="T232" s="31">
        <v>0.26</v>
      </c>
      <c r="U232" s="31">
        <v>0</v>
      </c>
      <c r="V232" s="187">
        <f t="shared" si="86"/>
        <v>0</v>
      </c>
      <c r="W232" s="31">
        <v>7</v>
      </c>
      <c r="X232" s="31"/>
      <c r="Y232" s="31">
        <f t="shared" si="70"/>
        <v>7</v>
      </c>
      <c r="Z232" s="31">
        <f t="shared" si="71"/>
        <v>37.142857142857146</v>
      </c>
      <c r="AA232" s="18">
        <v>0</v>
      </c>
      <c r="AB232" s="18" t="s">
        <v>330</v>
      </c>
      <c r="AC232" s="18" t="s">
        <v>333</v>
      </c>
      <c r="AD232" s="18" t="s">
        <v>337</v>
      </c>
      <c r="AE232" s="18">
        <v>20</v>
      </c>
      <c r="AF232" s="18">
        <v>13.5</v>
      </c>
      <c r="AG232" s="18" t="s">
        <v>32</v>
      </c>
      <c r="AH232" s="18" t="s">
        <v>32</v>
      </c>
      <c r="AI232" s="18" t="str">
        <f>+VLOOKUP(AH232,Leyenda!$O$4:$U$10,6,FALSE)</f>
        <v>0,15-0,25</v>
      </c>
      <c r="AJ232" s="18" t="str">
        <f>+VLOOKUP(AG232,Leyenda!$O$4:$U$10,7,FALSE)</f>
        <v>No Blasting need</v>
      </c>
      <c r="AK232" s="18">
        <f>+VLOOKUP(AJ232,Leyenda!$U$4:$V$10,2,FALSE)</f>
        <v>2</v>
      </c>
      <c r="AL232" s="18" t="s">
        <v>27</v>
      </c>
      <c r="AM232" s="18" t="str">
        <f t="shared" si="78"/>
        <v>R1</v>
      </c>
      <c r="AN232" s="18" t="s">
        <v>64</v>
      </c>
      <c r="AO232" s="18" t="s">
        <v>77</v>
      </c>
      <c r="AP232" s="18" t="s">
        <v>92</v>
      </c>
      <c r="AQ232" s="18" t="s">
        <v>107</v>
      </c>
      <c r="AR232" s="18" t="s">
        <v>118</v>
      </c>
      <c r="AS232" s="18" t="s">
        <v>198</v>
      </c>
      <c r="AT232" s="18" t="s">
        <v>235</v>
      </c>
      <c r="AU232" s="18"/>
      <c r="AV232" s="18">
        <f>+VLOOKUP(AN232,Leyenda!$B$30:$E$34,3,FALSE)</f>
        <v>2</v>
      </c>
      <c r="AW232" s="18">
        <f>+VLOOKUP('2. Logging Brejo Seco'!AO232,Meteorizacion,3,FALSE)</f>
        <v>3</v>
      </c>
      <c r="AX232" s="18">
        <f>+VLOOKUP('2. Logging Brejo Seco'!AP232,Apertura,3,FALSE)</f>
        <v>3</v>
      </c>
      <c r="AY232" s="18">
        <f>+VLOOKUP('2. Logging Brejo Seco'!AQ232,Leyenda!$B$55:$D$59,3,FALSE)</f>
        <v>3</v>
      </c>
      <c r="AZ232" s="18">
        <f>+VLOOKUP('2. Logging Brejo Seco'!AR232,Relleno,3,FALSE)</f>
        <v>2</v>
      </c>
      <c r="BA232" s="18">
        <f t="shared" si="87"/>
        <v>13</v>
      </c>
      <c r="BB232" s="49">
        <f t="shared" si="73"/>
        <v>0</v>
      </c>
      <c r="BC232" s="49">
        <f>VLOOKUP(AM232,Leyenda!$B$4:$D$10,3,FALSE)</f>
        <v>1</v>
      </c>
      <c r="BD232" s="50">
        <f t="shared" si="79"/>
        <v>5</v>
      </c>
      <c r="BE232" s="49">
        <f t="shared" si="80"/>
        <v>13</v>
      </c>
      <c r="BF232" s="49">
        <f>VLOOKUP(AS232,Leyenda!$B$70:$D$75,3,FALSE)</f>
        <v>15</v>
      </c>
      <c r="BG232" s="67">
        <f t="shared" si="74"/>
        <v>19.5</v>
      </c>
      <c r="BH232" s="67">
        <f>VLOOKUP(AM232,Leyenda!$B$4:$E$10,4,FALSE)</f>
        <v>1</v>
      </c>
      <c r="BI232" s="67">
        <f t="shared" si="81"/>
        <v>5</v>
      </c>
      <c r="BJ232" s="67">
        <f t="shared" si="75"/>
        <v>0</v>
      </c>
      <c r="BK232" s="67">
        <f>+VLOOKUP('2. Logging Brejo Seco'!AP232,Leyenda!$B$47:$E$51,4,FALSE)</f>
        <v>3</v>
      </c>
      <c r="BL232" s="67">
        <f>+VLOOKUP('2. Logging Brejo Seco'!AQ232,Leyenda!$B$55:$E$59,4,FALSE)</f>
        <v>3</v>
      </c>
      <c r="BM232" s="67">
        <f>+VLOOKUP('2. Logging Brejo Seco'!AR232,Leyenda!$B$63:$E$67,3,FALSE)</f>
        <v>2</v>
      </c>
      <c r="BN232" s="67">
        <f>+VLOOKUP('2. Logging Brejo Seco'!AO232,Leyenda!$B$39:$E$43,4,FALSE)</f>
        <v>3</v>
      </c>
      <c r="BO232" s="67">
        <f>+VLOOKUP('2. Logging Brejo Seco'!AN232,Leyenda!$B$30:$E$34,4,FALSE)</f>
        <v>3</v>
      </c>
      <c r="BP232" s="67">
        <f>VLOOKUP(AS232,Leyenda!$B$71:$E$75,4,FALSE)</f>
        <v>10</v>
      </c>
      <c r="BQ232" s="125">
        <f t="shared" si="82"/>
        <v>30</v>
      </c>
      <c r="BR232" s="85">
        <f t="shared" si="83"/>
        <v>34</v>
      </c>
      <c r="BS232" s="240">
        <f t="shared" si="84"/>
        <v>0.45999999999999996</v>
      </c>
      <c r="BT232" s="18" t="s">
        <v>748</v>
      </c>
    </row>
    <row r="233" spans="1:72" x14ac:dyDescent="0.25">
      <c r="A233" s="18" t="s">
        <v>6</v>
      </c>
      <c r="B233" s="18">
        <v>2024</v>
      </c>
      <c r="C233" s="18" t="s">
        <v>138</v>
      </c>
      <c r="D233" s="18" t="s">
        <v>130</v>
      </c>
      <c r="E233" s="18">
        <v>60</v>
      </c>
      <c r="F233" s="18">
        <v>60</v>
      </c>
      <c r="G233" s="18" t="s">
        <v>136</v>
      </c>
      <c r="H233" s="248">
        <f t="shared" si="85"/>
        <v>60</v>
      </c>
      <c r="I233" s="135"/>
      <c r="J233" s="18" t="s">
        <v>179</v>
      </c>
      <c r="K233" s="4">
        <v>0</v>
      </c>
      <c r="L233" s="4">
        <v>0.5</v>
      </c>
      <c r="M233" s="4">
        <f t="shared" si="76"/>
        <v>0.5</v>
      </c>
      <c r="N233" s="5">
        <v>0.57999999999999996</v>
      </c>
      <c r="O233" s="5">
        <f t="shared" si="68"/>
        <v>0.42000000000000004</v>
      </c>
      <c r="P233" s="31">
        <f t="shared" si="77"/>
        <v>0.28999999999999998</v>
      </c>
      <c r="Q233" s="31">
        <f t="shared" si="72"/>
        <v>0.28999999999999998</v>
      </c>
      <c r="R233" s="31">
        <v>14.5</v>
      </c>
      <c r="S233" s="31">
        <v>20</v>
      </c>
      <c r="T233" s="31">
        <v>0.28999999999999998</v>
      </c>
      <c r="U233" s="31">
        <v>0</v>
      </c>
      <c r="V233" s="65">
        <f t="shared" si="86"/>
        <v>0</v>
      </c>
      <c r="W233" s="31">
        <v>10</v>
      </c>
      <c r="X233" s="31"/>
      <c r="Y233" s="31">
        <f t="shared" si="70"/>
        <v>10</v>
      </c>
      <c r="Z233" s="31">
        <f t="shared" si="71"/>
        <v>29</v>
      </c>
      <c r="AA233" s="18">
        <v>0</v>
      </c>
      <c r="AB233" s="18" t="s">
        <v>330</v>
      </c>
      <c r="AC233" s="18" t="s">
        <v>333</v>
      </c>
      <c r="AD233" s="18" t="s">
        <v>336</v>
      </c>
      <c r="AE233" s="18">
        <v>20</v>
      </c>
      <c r="AF233" s="18">
        <v>14.5</v>
      </c>
      <c r="AG233" s="18" t="s">
        <v>34</v>
      </c>
      <c r="AH233" s="18" t="s">
        <v>34</v>
      </c>
      <c r="AI233" s="18">
        <f>+VLOOKUP(AH233,Leyenda!$O$4:$U$10,6,FALSE)</f>
        <v>0</v>
      </c>
      <c r="AJ233" s="18" t="str">
        <f>+VLOOKUP(AG233,Leyenda!$O$4:$U$10,7,FALSE)</f>
        <v>No Blasting need</v>
      </c>
      <c r="AK233" s="18">
        <f>+VLOOKUP(AJ233,Leyenda!$U$4:$V$10,2,FALSE)</f>
        <v>2</v>
      </c>
      <c r="AL233" s="18" t="s">
        <v>239</v>
      </c>
      <c r="AM233" s="37" t="s">
        <v>34</v>
      </c>
      <c r="AN233" s="18" t="s">
        <v>69</v>
      </c>
      <c r="AO233" s="18" t="s">
        <v>81</v>
      </c>
      <c r="AP233" s="18" t="s">
        <v>100</v>
      </c>
      <c r="AQ233" s="18" t="s">
        <v>109</v>
      </c>
      <c r="AR233" s="18" t="s">
        <v>122</v>
      </c>
      <c r="AS233" s="18" t="s">
        <v>247</v>
      </c>
      <c r="AT233" s="18" t="s">
        <v>246</v>
      </c>
      <c r="AU233" s="18"/>
      <c r="AV233" s="18">
        <f>+VLOOKUP(AN233,Leyenda!$B$30:$E$34,3,FALSE)</f>
        <v>0</v>
      </c>
      <c r="AW233" s="18">
        <f>+VLOOKUP('2. Logging Brejo Seco'!AO233,Meteorizacion,3,FALSE)</f>
        <v>0</v>
      </c>
      <c r="AX233" s="18">
        <f>+VLOOKUP('2. Logging Brejo Seco'!AP233,Apertura,3,FALSE)</f>
        <v>0</v>
      </c>
      <c r="AY233" s="18">
        <f>+VLOOKUP('2. Logging Brejo Seco'!AQ233,Leyenda!$B$55:$D$59,3,FALSE)</f>
        <v>1</v>
      </c>
      <c r="AZ233" s="18">
        <f>+VLOOKUP('2. Logging Brejo Seco'!AR233,Relleno,3,FALSE)</f>
        <v>0</v>
      </c>
      <c r="BA233" s="18">
        <f t="shared" si="87"/>
        <v>1</v>
      </c>
      <c r="BB233" s="49">
        <f t="shared" si="73"/>
        <v>0</v>
      </c>
      <c r="BC233" s="49">
        <f>VLOOKUP(AH233,Leyenda!$B$4:$D$10,3,FALSE)</f>
        <v>0</v>
      </c>
      <c r="BD233" s="50">
        <f t="shared" si="79"/>
        <v>5</v>
      </c>
      <c r="BE233" s="49">
        <f t="shared" si="80"/>
        <v>1</v>
      </c>
      <c r="BF233" s="49">
        <f>VLOOKUP(AS233,Leyenda!$B$70:$D$75,3,FALSE)</f>
        <v>10</v>
      </c>
      <c r="BG233" s="67">
        <f t="shared" si="74"/>
        <v>1.5</v>
      </c>
      <c r="BH233" s="67">
        <f>VLOOKUP(AM233,Leyenda!$B$4:$E$10,4,FALSE)</f>
        <v>0</v>
      </c>
      <c r="BI233" s="67">
        <f t="shared" si="81"/>
        <v>5</v>
      </c>
      <c r="BJ233" s="67">
        <f t="shared" si="75"/>
        <v>0</v>
      </c>
      <c r="BK233" s="67">
        <f>+VLOOKUP('2. Logging Brejo Seco'!AP233,Leyenda!$B$47:$E$51,4,FALSE)</f>
        <v>0</v>
      </c>
      <c r="BL233" s="67">
        <f>+VLOOKUP('2. Logging Brejo Seco'!AQ233,Leyenda!$B$55:$E$59,4,FALSE)</f>
        <v>1</v>
      </c>
      <c r="BM233" s="67">
        <f>+VLOOKUP('2. Logging Brejo Seco'!AR233,Leyenda!$B$63:$E$67,3,FALSE)</f>
        <v>0</v>
      </c>
      <c r="BN233" s="67">
        <f>+VLOOKUP('2. Logging Brejo Seco'!AO233,Leyenda!$B$39:$E$43,4,FALSE)</f>
        <v>0</v>
      </c>
      <c r="BO233" s="67">
        <f>+VLOOKUP('2. Logging Brejo Seco'!AN233,Leyenda!$B$30:$E$34,4,FALSE)</f>
        <v>0</v>
      </c>
      <c r="BP233" s="67">
        <f>VLOOKUP(AS233,Leyenda!$B$71:$E$75,4,FALSE)</f>
        <v>7</v>
      </c>
      <c r="BQ233" s="125">
        <f t="shared" si="82"/>
        <v>13</v>
      </c>
      <c r="BR233" s="85">
        <f t="shared" si="83"/>
        <v>16</v>
      </c>
      <c r="BS233" s="240">
        <f t="shared" si="84"/>
        <v>0.42000000000000004</v>
      </c>
      <c r="BT233" s="18"/>
    </row>
    <row r="234" spans="1:72" x14ac:dyDescent="0.25">
      <c r="A234" s="18" t="s">
        <v>6</v>
      </c>
      <c r="B234" s="18">
        <v>2024</v>
      </c>
      <c r="C234" s="18" t="s">
        <v>138</v>
      </c>
      <c r="D234" s="18" t="s">
        <v>130</v>
      </c>
      <c r="E234" s="18">
        <v>60</v>
      </c>
      <c r="F234" s="18">
        <v>60</v>
      </c>
      <c r="G234" s="18" t="s">
        <v>136</v>
      </c>
      <c r="H234" s="248">
        <f t="shared" si="85"/>
        <v>60</v>
      </c>
      <c r="I234" s="135"/>
      <c r="J234" s="18" t="s">
        <v>179</v>
      </c>
      <c r="K234" s="4">
        <v>0.5</v>
      </c>
      <c r="L234" s="4">
        <v>1</v>
      </c>
      <c r="M234" s="4">
        <f t="shared" si="76"/>
        <v>0.5</v>
      </c>
      <c r="N234" s="5">
        <v>0.52</v>
      </c>
      <c r="O234" s="5">
        <f t="shared" si="68"/>
        <v>0.48</v>
      </c>
      <c r="P234" s="31">
        <f t="shared" si="77"/>
        <v>0.26</v>
      </c>
      <c r="Q234" s="31">
        <f t="shared" si="72"/>
        <v>0.26</v>
      </c>
      <c r="R234" s="31">
        <v>13</v>
      </c>
      <c r="S234" s="31">
        <v>20</v>
      </c>
      <c r="T234" s="31">
        <v>0.22</v>
      </c>
      <c r="U234" s="31">
        <v>0</v>
      </c>
      <c r="V234" s="65">
        <f t="shared" si="86"/>
        <v>0</v>
      </c>
      <c r="W234" s="31">
        <v>10</v>
      </c>
      <c r="X234" s="31"/>
      <c r="Y234" s="31">
        <f t="shared" si="70"/>
        <v>10</v>
      </c>
      <c r="Z234" s="31">
        <f t="shared" si="71"/>
        <v>22</v>
      </c>
      <c r="AA234" s="18">
        <v>0</v>
      </c>
      <c r="AB234" s="18" t="s">
        <v>330</v>
      </c>
      <c r="AC234" s="18" t="s">
        <v>333</v>
      </c>
      <c r="AD234" s="18" t="s">
        <v>336</v>
      </c>
      <c r="AE234" s="18">
        <v>20</v>
      </c>
      <c r="AF234" s="18">
        <v>13</v>
      </c>
      <c r="AG234" s="18" t="s">
        <v>34</v>
      </c>
      <c r="AH234" s="18" t="s">
        <v>34</v>
      </c>
      <c r="AI234" s="18">
        <f>+VLOOKUP(AH234,Leyenda!$O$4:$U$10,6,FALSE)</f>
        <v>0</v>
      </c>
      <c r="AJ234" s="18" t="str">
        <f>+VLOOKUP(AG234,Leyenda!$O$4:$U$10,7,FALSE)</f>
        <v>No Blasting need</v>
      </c>
      <c r="AK234" s="18">
        <f>+VLOOKUP(AJ234,Leyenda!$U$4:$V$10,2,FALSE)</f>
        <v>2</v>
      </c>
      <c r="AL234" s="18" t="s">
        <v>239</v>
      </c>
      <c r="AM234" s="18" t="s">
        <v>34</v>
      </c>
      <c r="AN234" s="18" t="s">
        <v>69</v>
      </c>
      <c r="AO234" s="18" t="s">
        <v>81</v>
      </c>
      <c r="AP234" s="18" t="s">
        <v>100</v>
      </c>
      <c r="AQ234" s="18" t="s">
        <v>109</v>
      </c>
      <c r="AR234" s="18" t="s">
        <v>122</v>
      </c>
      <c r="AS234" s="18" t="s">
        <v>247</v>
      </c>
      <c r="AT234" s="18" t="s">
        <v>246</v>
      </c>
      <c r="AU234" s="18"/>
      <c r="AV234" s="18">
        <f>+VLOOKUP(AN234,Leyenda!$B$30:$E$34,3,FALSE)</f>
        <v>0</v>
      </c>
      <c r="AW234" s="18">
        <f>+VLOOKUP('2. Logging Brejo Seco'!AO234,Meteorizacion,3,FALSE)</f>
        <v>0</v>
      </c>
      <c r="AX234" s="18">
        <f>+VLOOKUP('2. Logging Brejo Seco'!AP234,Apertura,3,FALSE)</f>
        <v>0</v>
      </c>
      <c r="AY234" s="18">
        <f>+VLOOKUP('2. Logging Brejo Seco'!AQ234,Leyenda!$B$55:$D$59,3,FALSE)</f>
        <v>1</v>
      </c>
      <c r="AZ234" s="18">
        <f>+VLOOKUP('2. Logging Brejo Seco'!AR234,Relleno,3,FALSE)</f>
        <v>0</v>
      </c>
      <c r="BA234" s="18">
        <f t="shared" si="87"/>
        <v>1</v>
      </c>
      <c r="BB234" s="49">
        <f t="shared" si="73"/>
        <v>0</v>
      </c>
      <c r="BC234" s="49">
        <f>VLOOKUP(AH234,Leyenda!$B$4:$D$10,3,FALSE)</f>
        <v>0</v>
      </c>
      <c r="BD234" s="50">
        <f t="shared" si="79"/>
        <v>4</v>
      </c>
      <c r="BE234" s="49">
        <f t="shared" si="80"/>
        <v>1</v>
      </c>
      <c r="BF234" s="49">
        <f>VLOOKUP(AS234,Leyenda!$B$70:$D$75,3,FALSE)</f>
        <v>10</v>
      </c>
      <c r="BG234" s="67">
        <f t="shared" si="74"/>
        <v>1.5</v>
      </c>
      <c r="BH234" s="67">
        <f>VLOOKUP(AM234,Leyenda!$B$4:$E$10,4,FALSE)</f>
        <v>0</v>
      </c>
      <c r="BI234" s="67">
        <f t="shared" si="81"/>
        <v>5</v>
      </c>
      <c r="BJ234" s="67">
        <f t="shared" si="75"/>
        <v>0</v>
      </c>
      <c r="BK234" s="67">
        <f>+VLOOKUP('2. Logging Brejo Seco'!AP234,Leyenda!$B$47:$E$51,4,FALSE)</f>
        <v>0</v>
      </c>
      <c r="BL234" s="67">
        <f>+VLOOKUP('2. Logging Brejo Seco'!AQ234,Leyenda!$B$55:$E$59,4,FALSE)</f>
        <v>1</v>
      </c>
      <c r="BM234" s="67">
        <f>+VLOOKUP('2. Logging Brejo Seco'!AR234,Leyenda!$B$63:$E$67,3,FALSE)</f>
        <v>0</v>
      </c>
      <c r="BN234" s="67">
        <f>+VLOOKUP('2. Logging Brejo Seco'!AO234,Leyenda!$B$39:$E$43,4,FALSE)</f>
        <v>0</v>
      </c>
      <c r="BO234" s="67">
        <f>+VLOOKUP('2. Logging Brejo Seco'!AN234,Leyenda!$B$30:$E$34,4,FALSE)</f>
        <v>0</v>
      </c>
      <c r="BP234" s="67">
        <f>VLOOKUP(AS234,Leyenda!$B$71:$E$75,4,FALSE)</f>
        <v>7</v>
      </c>
      <c r="BQ234" s="125">
        <f t="shared" si="82"/>
        <v>13</v>
      </c>
      <c r="BR234" s="85">
        <f t="shared" si="83"/>
        <v>15</v>
      </c>
      <c r="BS234" s="240">
        <f t="shared" si="84"/>
        <v>0.48</v>
      </c>
      <c r="BT234" s="18"/>
    </row>
    <row r="235" spans="1:72" x14ac:dyDescent="0.25">
      <c r="A235" s="18" t="s">
        <v>6</v>
      </c>
      <c r="B235" s="18">
        <v>2024</v>
      </c>
      <c r="C235" s="18" t="s">
        <v>138</v>
      </c>
      <c r="D235" s="18" t="s">
        <v>130</v>
      </c>
      <c r="E235" s="18">
        <v>60</v>
      </c>
      <c r="F235" s="18">
        <v>60</v>
      </c>
      <c r="G235" s="18" t="s">
        <v>136</v>
      </c>
      <c r="H235" s="248">
        <f t="shared" si="85"/>
        <v>60</v>
      </c>
      <c r="I235" s="135"/>
      <c r="J235" s="18" t="s">
        <v>179</v>
      </c>
      <c r="K235" s="4">
        <v>1</v>
      </c>
      <c r="L235" s="4">
        <v>1.5</v>
      </c>
      <c r="M235" s="4">
        <f t="shared" si="76"/>
        <v>0.5</v>
      </c>
      <c r="N235" s="5">
        <v>0.57999999999999996</v>
      </c>
      <c r="O235" s="5">
        <f t="shared" si="68"/>
        <v>0.42000000000000004</v>
      </c>
      <c r="P235" s="31">
        <f t="shared" si="77"/>
        <v>0.28999999999999998</v>
      </c>
      <c r="Q235" s="31">
        <f t="shared" si="72"/>
        <v>0.28999999999999998</v>
      </c>
      <c r="R235" s="31">
        <v>14.5</v>
      </c>
      <c r="S235" s="31">
        <v>20</v>
      </c>
      <c r="T235" s="31">
        <v>0.26</v>
      </c>
      <c r="U235" s="31">
        <v>0</v>
      </c>
      <c r="V235" s="65">
        <f t="shared" si="86"/>
        <v>0</v>
      </c>
      <c r="W235" s="31">
        <v>10</v>
      </c>
      <c r="X235" s="31"/>
      <c r="Y235" s="31">
        <f t="shared" si="70"/>
        <v>10</v>
      </c>
      <c r="Z235" s="31">
        <f t="shared" si="71"/>
        <v>26</v>
      </c>
      <c r="AA235" s="18">
        <v>0</v>
      </c>
      <c r="AB235" s="18" t="s">
        <v>330</v>
      </c>
      <c r="AC235" s="18" t="s">
        <v>333</v>
      </c>
      <c r="AD235" s="18" t="s">
        <v>336</v>
      </c>
      <c r="AE235" s="18">
        <v>20</v>
      </c>
      <c r="AF235" s="18">
        <v>14.5</v>
      </c>
      <c r="AG235" s="18" t="s">
        <v>34</v>
      </c>
      <c r="AH235" s="18" t="s">
        <v>34</v>
      </c>
      <c r="AI235" s="18">
        <f>+VLOOKUP(AH235,Leyenda!$O$4:$U$10,6,FALSE)</f>
        <v>0</v>
      </c>
      <c r="AJ235" s="18" t="str">
        <f>+VLOOKUP(AG235,Leyenda!$O$4:$U$10,7,FALSE)</f>
        <v>No Blasting need</v>
      </c>
      <c r="AK235" s="18">
        <f>+VLOOKUP(AJ235,Leyenda!$U$4:$V$10,2,FALSE)</f>
        <v>2</v>
      </c>
      <c r="AL235" s="18" t="s">
        <v>239</v>
      </c>
      <c r="AM235" s="18" t="s">
        <v>34</v>
      </c>
      <c r="AN235" s="18" t="s">
        <v>69</v>
      </c>
      <c r="AO235" s="18" t="s">
        <v>81</v>
      </c>
      <c r="AP235" s="18" t="s">
        <v>100</v>
      </c>
      <c r="AQ235" s="18" t="s">
        <v>109</v>
      </c>
      <c r="AR235" s="18" t="s">
        <v>122</v>
      </c>
      <c r="AS235" s="18" t="s">
        <v>247</v>
      </c>
      <c r="AT235" s="18" t="s">
        <v>246</v>
      </c>
      <c r="AU235" s="18"/>
      <c r="AV235" s="18">
        <f>+VLOOKUP(AN235,Leyenda!$B$30:$E$34,3,FALSE)</f>
        <v>0</v>
      </c>
      <c r="AW235" s="18">
        <f>+VLOOKUP('2. Logging Brejo Seco'!AO235,Meteorizacion,3,FALSE)</f>
        <v>0</v>
      </c>
      <c r="AX235" s="18">
        <f>+VLOOKUP('2. Logging Brejo Seco'!AP235,Apertura,3,FALSE)</f>
        <v>0</v>
      </c>
      <c r="AY235" s="18">
        <f>+VLOOKUP('2. Logging Brejo Seco'!AQ235,Leyenda!$B$55:$D$59,3,FALSE)</f>
        <v>1</v>
      </c>
      <c r="AZ235" s="18">
        <f>+VLOOKUP('2. Logging Brejo Seco'!AR235,Relleno,3,FALSE)</f>
        <v>0</v>
      </c>
      <c r="BA235" s="18">
        <f t="shared" si="87"/>
        <v>1</v>
      </c>
      <c r="BB235" s="49">
        <f t="shared" si="73"/>
        <v>0</v>
      </c>
      <c r="BC235" s="49">
        <f>VLOOKUP(AH235,Leyenda!$B$4:$D$10,3,FALSE)</f>
        <v>0</v>
      </c>
      <c r="BD235" s="50">
        <f t="shared" si="79"/>
        <v>5</v>
      </c>
      <c r="BE235" s="49">
        <f t="shared" si="80"/>
        <v>1</v>
      </c>
      <c r="BF235" s="49">
        <f>VLOOKUP(AS235,Leyenda!$B$70:$D$75,3,FALSE)</f>
        <v>10</v>
      </c>
      <c r="BG235" s="67">
        <f t="shared" si="74"/>
        <v>1.5</v>
      </c>
      <c r="BH235" s="67">
        <f>VLOOKUP(AM235,Leyenda!$B$4:$E$10,4,FALSE)</f>
        <v>0</v>
      </c>
      <c r="BI235" s="67">
        <f t="shared" si="81"/>
        <v>5</v>
      </c>
      <c r="BJ235" s="67">
        <f t="shared" si="75"/>
        <v>0</v>
      </c>
      <c r="BK235" s="67">
        <f>+VLOOKUP('2. Logging Brejo Seco'!AP235,Leyenda!$B$47:$E$51,4,FALSE)</f>
        <v>0</v>
      </c>
      <c r="BL235" s="67">
        <f>+VLOOKUP('2. Logging Brejo Seco'!AQ235,Leyenda!$B$55:$E$59,4,FALSE)</f>
        <v>1</v>
      </c>
      <c r="BM235" s="67">
        <f>+VLOOKUP('2. Logging Brejo Seco'!AR235,Leyenda!$B$63:$E$67,3,FALSE)</f>
        <v>0</v>
      </c>
      <c r="BN235" s="67">
        <f>+VLOOKUP('2. Logging Brejo Seco'!AO235,Leyenda!$B$39:$E$43,4,FALSE)</f>
        <v>0</v>
      </c>
      <c r="BO235" s="67">
        <f>+VLOOKUP('2. Logging Brejo Seco'!AN235,Leyenda!$B$30:$E$34,4,FALSE)</f>
        <v>0</v>
      </c>
      <c r="BP235" s="67">
        <f>VLOOKUP(AS235,Leyenda!$B$71:$E$75,4,FALSE)</f>
        <v>7</v>
      </c>
      <c r="BQ235" s="125">
        <f t="shared" si="82"/>
        <v>13</v>
      </c>
      <c r="BR235" s="85">
        <f t="shared" si="83"/>
        <v>16</v>
      </c>
      <c r="BS235" s="240">
        <f t="shared" si="84"/>
        <v>0.42000000000000004</v>
      </c>
      <c r="BT235" s="18"/>
    </row>
    <row r="236" spans="1:72" x14ac:dyDescent="0.25">
      <c r="A236" s="18" t="s">
        <v>6</v>
      </c>
      <c r="B236" s="18">
        <v>2024</v>
      </c>
      <c r="C236" s="18" t="s">
        <v>138</v>
      </c>
      <c r="D236" s="18" t="s">
        <v>130</v>
      </c>
      <c r="E236" s="18">
        <v>60</v>
      </c>
      <c r="F236" s="18">
        <v>60</v>
      </c>
      <c r="G236" s="18" t="s">
        <v>136</v>
      </c>
      <c r="H236" s="248">
        <f t="shared" si="85"/>
        <v>60</v>
      </c>
      <c r="I236" s="135"/>
      <c r="J236" s="18" t="s">
        <v>179</v>
      </c>
      <c r="K236" s="4">
        <v>1.5</v>
      </c>
      <c r="L236" s="4">
        <v>2</v>
      </c>
      <c r="M236" s="4">
        <f t="shared" si="76"/>
        <v>0.5</v>
      </c>
      <c r="N236" s="5">
        <v>0.5</v>
      </c>
      <c r="O236" s="5">
        <f t="shared" si="68"/>
        <v>0.5</v>
      </c>
      <c r="P236" s="31">
        <f t="shared" si="77"/>
        <v>0.25</v>
      </c>
      <c r="Q236" s="31">
        <f t="shared" si="72"/>
        <v>0.25</v>
      </c>
      <c r="R236" s="31">
        <v>12.5</v>
      </c>
      <c r="S236" s="31">
        <v>20</v>
      </c>
      <c r="T236" s="31">
        <v>0.25</v>
      </c>
      <c r="U236" s="31">
        <v>0</v>
      </c>
      <c r="V236" s="65">
        <f t="shared" si="86"/>
        <v>0</v>
      </c>
      <c r="W236" s="31">
        <v>10</v>
      </c>
      <c r="X236" s="31"/>
      <c r="Y236" s="31">
        <f t="shared" si="70"/>
        <v>10</v>
      </c>
      <c r="Z236" s="31">
        <f t="shared" si="71"/>
        <v>25</v>
      </c>
      <c r="AA236" s="18">
        <v>0</v>
      </c>
      <c r="AB236" s="18" t="s">
        <v>330</v>
      </c>
      <c r="AC236" s="18" t="s">
        <v>333</v>
      </c>
      <c r="AD236" s="18" t="s">
        <v>336</v>
      </c>
      <c r="AE236" s="18">
        <v>20</v>
      </c>
      <c r="AF236" s="18">
        <v>12.5</v>
      </c>
      <c r="AG236" s="18" t="s">
        <v>34</v>
      </c>
      <c r="AH236" s="18" t="s">
        <v>34</v>
      </c>
      <c r="AI236" s="18">
        <f>+VLOOKUP(AH236,Leyenda!$O$4:$U$10,6,FALSE)</f>
        <v>0</v>
      </c>
      <c r="AJ236" s="18" t="str">
        <f>+VLOOKUP(AG236,Leyenda!$O$4:$U$10,7,FALSE)</f>
        <v>No Blasting need</v>
      </c>
      <c r="AK236" s="18">
        <f>+VLOOKUP(AJ236,Leyenda!$U$4:$V$10,2,FALSE)</f>
        <v>2</v>
      </c>
      <c r="AL236" s="18" t="s">
        <v>239</v>
      </c>
      <c r="AM236" s="18" t="s">
        <v>34</v>
      </c>
      <c r="AN236" s="18" t="s">
        <v>69</v>
      </c>
      <c r="AO236" s="18" t="s">
        <v>81</v>
      </c>
      <c r="AP236" s="18" t="s">
        <v>100</v>
      </c>
      <c r="AQ236" s="18" t="s">
        <v>109</v>
      </c>
      <c r="AR236" s="18" t="s">
        <v>122</v>
      </c>
      <c r="AS236" s="18" t="s">
        <v>247</v>
      </c>
      <c r="AT236" s="18" t="s">
        <v>246</v>
      </c>
      <c r="AU236" s="18"/>
      <c r="AV236" s="18">
        <f>+VLOOKUP(AN236,Leyenda!$B$30:$E$34,3,FALSE)</f>
        <v>0</v>
      </c>
      <c r="AW236" s="18">
        <f>+VLOOKUP('2. Logging Brejo Seco'!AO236,Meteorizacion,3,FALSE)</f>
        <v>0</v>
      </c>
      <c r="AX236" s="18">
        <f>+VLOOKUP('2. Logging Brejo Seco'!AP236,Apertura,3,FALSE)</f>
        <v>0</v>
      </c>
      <c r="AY236" s="18">
        <f>+VLOOKUP('2. Logging Brejo Seco'!AQ236,Leyenda!$B$55:$D$59,3,FALSE)</f>
        <v>1</v>
      </c>
      <c r="AZ236" s="18">
        <f>+VLOOKUP('2. Logging Brejo Seco'!AR236,Relleno,3,FALSE)</f>
        <v>0</v>
      </c>
      <c r="BA236" s="18">
        <f t="shared" si="87"/>
        <v>1</v>
      </c>
      <c r="BB236" s="49">
        <f t="shared" si="73"/>
        <v>0</v>
      </c>
      <c r="BC236" s="49">
        <f>VLOOKUP(AH236,Leyenda!$B$4:$D$10,3,FALSE)</f>
        <v>0</v>
      </c>
      <c r="BD236" s="50">
        <f t="shared" si="79"/>
        <v>5</v>
      </c>
      <c r="BE236" s="49">
        <f t="shared" si="80"/>
        <v>1</v>
      </c>
      <c r="BF236" s="49">
        <f>VLOOKUP(AS236,Leyenda!$B$70:$D$75,3,FALSE)</f>
        <v>10</v>
      </c>
      <c r="BG236" s="67">
        <f t="shared" si="74"/>
        <v>1.5</v>
      </c>
      <c r="BH236" s="67">
        <f>VLOOKUP(AM236,Leyenda!$B$4:$E$10,4,FALSE)</f>
        <v>0</v>
      </c>
      <c r="BI236" s="67">
        <f t="shared" si="81"/>
        <v>5</v>
      </c>
      <c r="BJ236" s="67">
        <f t="shared" si="75"/>
        <v>0</v>
      </c>
      <c r="BK236" s="67">
        <f>+VLOOKUP('2. Logging Brejo Seco'!AP236,Leyenda!$B$47:$E$51,4,FALSE)</f>
        <v>0</v>
      </c>
      <c r="BL236" s="67">
        <f>+VLOOKUP('2. Logging Brejo Seco'!AQ236,Leyenda!$B$55:$E$59,4,FALSE)</f>
        <v>1</v>
      </c>
      <c r="BM236" s="67">
        <f>+VLOOKUP('2. Logging Brejo Seco'!AR236,Leyenda!$B$63:$E$67,3,FALSE)</f>
        <v>0</v>
      </c>
      <c r="BN236" s="67">
        <f>+VLOOKUP('2. Logging Brejo Seco'!AO236,Leyenda!$B$39:$E$43,4,FALSE)</f>
        <v>0</v>
      </c>
      <c r="BO236" s="67">
        <f>+VLOOKUP('2. Logging Brejo Seco'!AN236,Leyenda!$B$30:$E$34,4,FALSE)</f>
        <v>0</v>
      </c>
      <c r="BP236" s="67">
        <f>VLOOKUP(AS236,Leyenda!$B$71:$E$75,4,FALSE)</f>
        <v>7</v>
      </c>
      <c r="BQ236" s="125">
        <f t="shared" si="82"/>
        <v>13</v>
      </c>
      <c r="BR236" s="85">
        <f t="shared" si="83"/>
        <v>16</v>
      </c>
      <c r="BS236" s="240">
        <f t="shared" si="84"/>
        <v>0.5</v>
      </c>
      <c r="BT236" s="18"/>
    </row>
    <row r="237" spans="1:72" x14ac:dyDescent="0.25">
      <c r="A237" s="18" t="s">
        <v>6</v>
      </c>
      <c r="B237" s="18">
        <v>2024</v>
      </c>
      <c r="C237" s="18" t="s">
        <v>138</v>
      </c>
      <c r="D237" s="18" t="s">
        <v>130</v>
      </c>
      <c r="E237" s="18">
        <v>60</v>
      </c>
      <c r="F237" s="18">
        <v>60</v>
      </c>
      <c r="G237" s="18" t="s">
        <v>136</v>
      </c>
      <c r="H237" s="248">
        <f t="shared" si="85"/>
        <v>60</v>
      </c>
      <c r="I237" s="135"/>
      <c r="J237" s="18" t="s">
        <v>179</v>
      </c>
      <c r="K237" s="4">
        <f>+L236</f>
        <v>2</v>
      </c>
      <c r="L237" s="4">
        <v>2.5</v>
      </c>
      <c r="M237" s="4">
        <f t="shared" si="76"/>
        <v>0.5</v>
      </c>
      <c r="N237" s="5">
        <v>0.74</v>
      </c>
      <c r="O237" s="5">
        <f t="shared" si="68"/>
        <v>0.26</v>
      </c>
      <c r="P237" s="31">
        <f t="shared" si="77"/>
        <v>0.37</v>
      </c>
      <c r="Q237" s="31">
        <f t="shared" si="72"/>
        <v>0.37</v>
      </c>
      <c r="R237" s="31">
        <v>18.5</v>
      </c>
      <c r="S237" s="31">
        <v>20</v>
      </c>
      <c r="T237" s="31">
        <v>0.36</v>
      </c>
      <c r="U237" s="31">
        <v>0</v>
      </c>
      <c r="V237" s="65">
        <f t="shared" si="86"/>
        <v>0</v>
      </c>
      <c r="W237" s="31">
        <v>10</v>
      </c>
      <c r="X237" s="31"/>
      <c r="Y237" s="31">
        <f t="shared" si="70"/>
        <v>10</v>
      </c>
      <c r="Z237" s="31">
        <f t="shared" si="71"/>
        <v>36</v>
      </c>
      <c r="AA237" s="18">
        <v>0</v>
      </c>
      <c r="AB237" s="18" t="s">
        <v>330</v>
      </c>
      <c r="AC237" s="18" t="s">
        <v>333</v>
      </c>
      <c r="AD237" s="18" t="s">
        <v>336</v>
      </c>
      <c r="AE237" s="18">
        <v>20</v>
      </c>
      <c r="AF237" s="18">
        <v>18.5</v>
      </c>
      <c r="AG237" s="18" t="s">
        <v>34</v>
      </c>
      <c r="AH237" s="18" t="s">
        <v>34</v>
      </c>
      <c r="AI237" s="18">
        <f>+VLOOKUP(AH237,Leyenda!$O$4:$U$10,6,FALSE)</f>
        <v>0</v>
      </c>
      <c r="AJ237" s="18" t="str">
        <f>+VLOOKUP(AG237,Leyenda!$O$4:$U$10,7,FALSE)</f>
        <v>No Blasting need</v>
      </c>
      <c r="AK237" s="18">
        <f>+VLOOKUP(AJ237,Leyenda!$U$4:$V$10,2,FALSE)</f>
        <v>2</v>
      </c>
      <c r="AL237" s="18" t="s">
        <v>239</v>
      </c>
      <c r="AM237" s="18" t="s">
        <v>34</v>
      </c>
      <c r="AN237" s="18" t="s">
        <v>69</v>
      </c>
      <c r="AO237" s="18" t="s">
        <v>81</v>
      </c>
      <c r="AP237" s="18" t="s">
        <v>100</v>
      </c>
      <c r="AQ237" s="18" t="s">
        <v>109</v>
      </c>
      <c r="AR237" s="18" t="s">
        <v>122</v>
      </c>
      <c r="AS237" s="18" t="s">
        <v>247</v>
      </c>
      <c r="AT237" s="18" t="s">
        <v>246</v>
      </c>
      <c r="AU237" s="18"/>
      <c r="AV237" s="18">
        <f>+VLOOKUP(AN237,Leyenda!$B$30:$E$34,3,FALSE)</f>
        <v>0</v>
      </c>
      <c r="AW237" s="18">
        <f>+VLOOKUP('2. Logging Brejo Seco'!AO237,Meteorizacion,3,FALSE)</f>
        <v>0</v>
      </c>
      <c r="AX237" s="18">
        <f>+VLOOKUP('2. Logging Brejo Seco'!AP237,Apertura,3,FALSE)</f>
        <v>0</v>
      </c>
      <c r="AY237" s="18">
        <f>+VLOOKUP('2. Logging Brejo Seco'!AQ237,Leyenda!$B$55:$D$59,3,FALSE)</f>
        <v>1</v>
      </c>
      <c r="AZ237" s="18">
        <f>+VLOOKUP('2. Logging Brejo Seco'!AR237,Relleno,3,FALSE)</f>
        <v>0</v>
      </c>
      <c r="BA237" s="18">
        <f t="shared" si="87"/>
        <v>1</v>
      </c>
      <c r="BB237" s="49">
        <f t="shared" si="73"/>
        <v>0</v>
      </c>
      <c r="BC237" s="49">
        <f>VLOOKUP(AH237,Leyenda!$B$4:$D$10,3,FALSE)</f>
        <v>0</v>
      </c>
      <c r="BD237" s="50">
        <f t="shared" si="79"/>
        <v>5</v>
      </c>
      <c r="BE237" s="49">
        <f t="shared" si="80"/>
        <v>1</v>
      </c>
      <c r="BF237" s="49">
        <f>VLOOKUP(AS237,Leyenda!$B$70:$D$75,3,FALSE)</f>
        <v>10</v>
      </c>
      <c r="BG237" s="67">
        <f t="shared" si="74"/>
        <v>1.5</v>
      </c>
      <c r="BH237" s="67">
        <f>VLOOKUP(AM237,Leyenda!$B$4:$E$10,4,FALSE)</f>
        <v>0</v>
      </c>
      <c r="BI237" s="67">
        <f t="shared" si="81"/>
        <v>5</v>
      </c>
      <c r="BJ237" s="67">
        <f t="shared" si="75"/>
        <v>0</v>
      </c>
      <c r="BK237" s="67">
        <f>+VLOOKUP('2. Logging Brejo Seco'!AP237,Leyenda!$B$47:$E$51,4,FALSE)</f>
        <v>0</v>
      </c>
      <c r="BL237" s="67">
        <f>+VLOOKUP('2. Logging Brejo Seco'!AQ237,Leyenda!$B$55:$E$59,4,FALSE)</f>
        <v>1</v>
      </c>
      <c r="BM237" s="67">
        <f>+VLOOKUP('2. Logging Brejo Seco'!AR237,Leyenda!$B$63:$E$67,3,FALSE)</f>
        <v>0</v>
      </c>
      <c r="BN237" s="67">
        <f>+VLOOKUP('2. Logging Brejo Seco'!AO237,Leyenda!$B$39:$E$43,4,FALSE)</f>
        <v>0</v>
      </c>
      <c r="BO237" s="67">
        <f>+VLOOKUP('2. Logging Brejo Seco'!AN237,Leyenda!$B$30:$E$34,4,FALSE)</f>
        <v>0</v>
      </c>
      <c r="BP237" s="67">
        <f>VLOOKUP(AS237,Leyenda!$B$71:$E$75,4,FALSE)</f>
        <v>7</v>
      </c>
      <c r="BQ237" s="125">
        <f t="shared" si="82"/>
        <v>13</v>
      </c>
      <c r="BR237" s="85">
        <f t="shared" si="83"/>
        <v>16</v>
      </c>
      <c r="BS237" s="240">
        <f t="shared" si="84"/>
        <v>0.26</v>
      </c>
      <c r="BT237" s="18"/>
    </row>
    <row r="238" spans="1:72" x14ac:dyDescent="0.25">
      <c r="A238" s="18" t="s">
        <v>6</v>
      </c>
      <c r="B238" s="18">
        <v>2024</v>
      </c>
      <c r="C238" s="18" t="s">
        <v>138</v>
      </c>
      <c r="D238" s="18" t="s">
        <v>130</v>
      </c>
      <c r="E238" s="18">
        <v>60</v>
      </c>
      <c r="F238" s="18">
        <v>60</v>
      </c>
      <c r="G238" s="18" t="s">
        <v>136</v>
      </c>
      <c r="H238" s="248">
        <f t="shared" si="85"/>
        <v>60</v>
      </c>
      <c r="I238" s="135"/>
      <c r="J238" s="18" t="s">
        <v>179</v>
      </c>
      <c r="K238" s="4">
        <f t="shared" ref="K238:K301" si="88">+L237</f>
        <v>2.5</v>
      </c>
      <c r="L238" s="4">
        <v>3</v>
      </c>
      <c r="M238" s="4">
        <f t="shared" si="76"/>
        <v>0.5</v>
      </c>
      <c r="N238" s="5">
        <v>0.94</v>
      </c>
      <c r="O238" s="5">
        <f t="shared" si="68"/>
        <v>6.0000000000000053E-2</v>
      </c>
      <c r="P238" s="31">
        <f t="shared" si="77"/>
        <v>0.47</v>
      </c>
      <c r="Q238" s="31">
        <f t="shared" si="72"/>
        <v>0.47</v>
      </c>
      <c r="R238" s="31">
        <v>23.5</v>
      </c>
      <c r="S238" s="31">
        <v>20</v>
      </c>
      <c r="T238" s="31">
        <v>0.42</v>
      </c>
      <c r="U238" s="31">
        <v>0</v>
      </c>
      <c r="V238" s="65">
        <f t="shared" si="86"/>
        <v>0</v>
      </c>
      <c r="W238" s="31">
        <v>10</v>
      </c>
      <c r="X238" s="31"/>
      <c r="Y238" s="31">
        <f t="shared" si="70"/>
        <v>10</v>
      </c>
      <c r="Z238" s="31">
        <f t="shared" si="71"/>
        <v>42</v>
      </c>
      <c r="AA238" s="18">
        <v>0</v>
      </c>
      <c r="AB238" s="18" t="s">
        <v>330</v>
      </c>
      <c r="AC238" s="18" t="s">
        <v>333</v>
      </c>
      <c r="AD238" s="18" t="s">
        <v>336</v>
      </c>
      <c r="AE238" s="18">
        <v>20</v>
      </c>
      <c r="AF238" s="18">
        <v>23.5</v>
      </c>
      <c r="AG238" s="18" t="s">
        <v>34</v>
      </c>
      <c r="AH238" s="18" t="s">
        <v>34</v>
      </c>
      <c r="AI238" s="18">
        <f>+VLOOKUP(AH238,Leyenda!$O$4:$U$10,6,FALSE)</f>
        <v>0</v>
      </c>
      <c r="AJ238" s="18" t="str">
        <f>+VLOOKUP(AG238,Leyenda!$O$4:$U$10,7,FALSE)</f>
        <v>No Blasting need</v>
      </c>
      <c r="AK238" s="18">
        <f>+VLOOKUP(AJ238,Leyenda!$U$4:$V$10,2,FALSE)</f>
        <v>2</v>
      </c>
      <c r="AL238" s="18" t="s">
        <v>239</v>
      </c>
      <c r="AM238" s="18" t="s">
        <v>34</v>
      </c>
      <c r="AN238" s="18" t="s">
        <v>69</v>
      </c>
      <c r="AO238" s="18" t="s">
        <v>81</v>
      </c>
      <c r="AP238" s="18" t="s">
        <v>100</v>
      </c>
      <c r="AQ238" s="18" t="s">
        <v>109</v>
      </c>
      <c r="AR238" s="18" t="s">
        <v>122</v>
      </c>
      <c r="AS238" s="18" t="s">
        <v>247</v>
      </c>
      <c r="AT238" s="18" t="s">
        <v>246</v>
      </c>
      <c r="AU238" s="18"/>
      <c r="AV238" s="18">
        <f>+VLOOKUP(AN238,Leyenda!$B$30:$E$34,3,FALSE)</f>
        <v>0</v>
      </c>
      <c r="AW238" s="18">
        <f>+VLOOKUP('2. Logging Brejo Seco'!AO238,Meteorizacion,3,FALSE)</f>
        <v>0</v>
      </c>
      <c r="AX238" s="18">
        <f>+VLOOKUP('2. Logging Brejo Seco'!AP238,Apertura,3,FALSE)</f>
        <v>0</v>
      </c>
      <c r="AY238" s="18">
        <f>+VLOOKUP('2. Logging Brejo Seco'!AQ238,Leyenda!$B$55:$D$59,3,FALSE)</f>
        <v>1</v>
      </c>
      <c r="AZ238" s="18">
        <f>+VLOOKUP('2. Logging Brejo Seco'!AR238,Relleno,3,FALSE)</f>
        <v>0</v>
      </c>
      <c r="BA238" s="18">
        <f t="shared" si="87"/>
        <v>1</v>
      </c>
      <c r="BB238" s="49">
        <f t="shared" si="73"/>
        <v>0</v>
      </c>
      <c r="BC238" s="49">
        <f>VLOOKUP(AH238,Leyenda!$B$4:$D$10,3,FALSE)</f>
        <v>0</v>
      </c>
      <c r="BD238" s="50">
        <f t="shared" si="79"/>
        <v>5</v>
      </c>
      <c r="BE238" s="49">
        <f t="shared" si="80"/>
        <v>1</v>
      </c>
      <c r="BF238" s="49">
        <f>VLOOKUP(AS238,Leyenda!$B$70:$D$75,3,FALSE)</f>
        <v>10</v>
      </c>
      <c r="BG238" s="67">
        <f t="shared" si="74"/>
        <v>1.5</v>
      </c>
      <c r="BH238" s="67">
        <f>VLOOKUP(AM238,Leyenda!$B$4:$E$10,4,FALSE)</f>
        <v>0</v>
      </c>
      <c r="BI238" s="67">
        <f t="shared" si="81"/>
        <v>5</v>
      </c>
      <c r="BJ238" s="67">
        <f t="shared" si="75"/>
        <v>0</v>
      </c>
      <c r="BK238" s="67">
        <f>+VLOOKUP('2. Logging Brejo Seco'!AP238,Leyenda!$B$47:$E$51,4,FALSE)</f>
        <v>0</v>
      </c>
      <c r="BL238" s="67">
        <f>+VLOOKUP('2. Logging Brejo Seco'!AQ238,Leyenda!$B$55:$E$59,4,FALSE)</f>
        <v>1</v>
      </c>
      <c r="BM238" s="67">
        <f>+VLOOKUP('2. Logging Brejo Seco'!AR238,Leyenda!$B$63:$E$67,3,FALSE)</f>
        <v>0</v>
      </c>
      <c r="BN238" s="67">
        <f>+VLOOKUP('2. Logging Brejo Seco'!AO238,Leyenda!$B$39:$E$43,4,FALSE)</f>
        <v>0</v>
      </c>
      <c r="BO238" s="67">
        <f>+VLOOKUP('2. Logging Brejo Seco'!AN238,Leyenda!$B$30:$E$34,4,FALSE)</f>
        <v>0</v>
      </c>
      <c r="BP238" s="67">
        <f>VLOOKUP(AS238,Leyenda!$B$71:$E$75,4,FALSE)</f>
        <v>7</v>
      </c>
      <c r="BQ238" s="125">
        <f t="shared" si="82"/>
        <v>13</v>
      </c>
      <c r="BR238" s="85">
        <f t="shared" si="83"/>
        <v>16</v>
      </c>
      <c r="BS238" s="240">
        <f t="shared" si="84"/>
        <v>6.0000000000000053E-2</v>
      </c>
      <c r="BT238" s="18"/>
    </row>
    <row r="239" spans="1:72" x14ac:dyDescent="0.25">
      <c r="A239" s="18" t="s">
        <v>6</v>
      </c>
      <c r="B239" s="18">
        <v>2024</v>
      </c>
      <c r="C239" s="18" t="s">
        <v>138</v>
      </c>
      <c r="D239" s="18" t="s">
        <v>130</v>
      </c>
      <c r="E239" s="18">
        <v>60</v>
      </c>
      <c r="F239" s="18">
        <v>60</v>
      </c>
      <c r="G239" s="18" t="s">
        <v>136</v>
      </c>
      <c r="H239" s="248">
        <f t="shared" si="85"/>
        <v>60</v>
      </c>
      <c r="I239" s="135"/>
      <c r="J239" s="18" t="s">
        <v>179</v>
      </c>
      <c r="K239" s="4">
        <f t="shared" si="88"/>
        <v>3</v>
      </c>
      <c r="L239" s="4">
        <v>3.5</v>
      </c>
      <c r="M239" s="4">
        <f t="shared" si="76"/>
        <v>0.5</v>
      </c>
      <c r="N239" s="5">
        <v>0.36</v>
      </c>
      <c r="O239" s="5">
        <f t="shared" si="68"/>
        <v>0.64</v>
      </c>
      <c r="P239" s="31">
        <f t="shared" si="77"/>
        <v>0.18</v>
      </c>
      <c r="Q239" s="31">
        <f t="shared" si="72"/>
        <v>0.18</v>
      </c>
      <c r="R239" s="31">
        <v>9</v>
      </c>
      <c r="S239" s="31">
        <v>20</v>
      </c>
      <c r="T239" s="31">
        <v>0.17</v>
      </c>
      <c r="U239" s="31">
        <v>0</v>
      </c>
      <c r="V239" s="65">
        <f t="shared" si="86"/>
        <v>0</v>
      </c>
      <c r="W239" s="31">
        <v>10</v>
      </c>
      <c r="X239" s="31"/>
      <c r="Y239" s="31">
        <f t="shared" si="70"/>
        <v>10</v>
      </c>
      <c r="Z239" s="31">
        <f t="shared" si="71"/>
        <v>17</v>
      </c>
      <c r="AA239" s="18">
        <v>0</v>
      </c>
      <c r="AB239" s="18" t="s">
        <v>330</v>
      </c>
      <c r="AC239" s="18" t="s">
        <v>333</v>
      </c>
      <c r="AD239" s="18" t="s">
        <v>336</v>
      </c>
      <c r="AE239" s="18">
        <v>20</v>
      </c>
      <c r="AF239" s="18">
        <v>9</v>
      </c>
      <c r="AG239" s="18" t="s">
        <v>34</v>
      </c>
      <c r="AH239" s="18" t="s">
        <v>34</v>
      </c>
      <c r="AI239" s="18">
        <f>+VLOOKUP(AH239,Leyenda!$O$4:$U$10,6,FALSE)</f>
        <v>0</v>
      </c>
      <c r="AJ239" s="18" t="str">
        <f>+VLOOKUP(AG239,Leyenda!$O$4:$U$10,7,FALSE)</f>
        <v>No Blasting need</v>
      </c>
      <c r="AK239" s="18">
        <f>+VLOOKUP(AJ239,Leyenda!$U$4:$V$10,2,FALSE)</f>
        <v>2</v>
      </c>
      <c r="AL239" s="18" t="s">
        <v>239</v>
      </c>
      <c r="AM239" s="18" t="s">
        <v>34</v>
      </c>
      <c r="AN239" s="18" t="s">
        <v>69</v>
      </c>
      <c r="AO239" s="18" t="s">
        <v>81</v>
      </c>
      <c r="AP239" s="18" t="s">
        <v>100</v>
      </c>
      <c r="AQ239" s="18" t="s">
        <v>109</v>
      </c>
      <c r="AR239" s="18" t="s">
        <v>122</v>
      </c>
      <c r="AS239" s="18" t="s">
        <v>247</v>
      </c>
      <c r="AT239" s="18" t="s">
        <v>246</v>
      </c>
      <c r="AU239" s="18"/>
      <c r="AV239" s="18">
        <f>+VLOOKUP(AN239,Leyenda!$B$30:$E$34,3,FALSE)</f>
        <v>0</v>
      </c>
      <c r="AW239" s="18">
        <f>+VLOOKUP('2. Logging Brejo Seco'!AO239,Meteorizacion,3,FALSE)</f>
        <v>0</v>
      </c>
      <c r="AX239" s="18">
        <f>+VLOOKUP('2. Logging Brejo Seco'!AP239,Apertura,3,FALSE)</f>
        <v>0</v>
      </c>
      <c r="AY239" s="18">
        <f>+VLOOKUP('2. Logging Brejo Seco'!AQ239,Leyenda!$B$55:$D$59,3,FALSE)</f>
        <v>1</v>
      </c>
      <c r="AZ239" s="18">
        <f>+VLOOKUP('2. Logging Brejo Seco'!AR239,Relleno,3,FALSE)</f>
        <v>0</v>
      </c>
      <c r="BA239" s="18">
        <f t="shared" si="87"/>
        <v>1</v>
      </c>
      <c r="BB239" s="49">
        <f t="shared" si="73"/>
        <v>0</v>
      </c>
      <c r="BC239" s="49">
        <f>VLOOKUP(AH239,Leyenda!$B$4:$D$10,3,FALSE)</f>
        <v>0</v>
      </c>
      <c r="BD239" s="50">
        <f t="shared" si="79"/>
        <v>4</v>
      </c>
      <c r="BE239" s="49">
        <f t="shared" si="80"/>
        <v>1</v>
      </c>
      <c r="BF239" s="49">
        <f>VLOOKUP(AS239,Leyenda!$B$70:$D$75,3,FALSE)</f>
        <v>10</v>
      </c>
      <c r="BG239" s="67">
        <f t="shared" si="74"/>
        <v>1.5</v>
      </c>
      <c r="BH239" s="67">
        <f>VLOOKUP(AM239,Leyenda!$B$4:$E$10,4,FALSE)</f>
        <v>0</v>
      </c>
      <c r="BI239" s="67">
        <f t="shared" si="81"/>
        <v>5</v>
      </c>
      <c r="BJ239" s="67">
        <f t="shared" si="75"/>
        <v>0</v>
      </c>
      <c r="BK239" s="67">
        <f>+VLOOKUP('2. Logging Brejo Seco'!AP239,Leyenda!$B$47:$E$51,4,FALSE)</f>
        <v>0</v>
      </c>
      <c r="BL239" s="67">
        <f>+VLOOKUP('2. Logging Brejo Seco'!AQ239,Leyenda!$B$55:$E$59,4,FALSE)</f>
        <v>1</v>
      </c>
      <c r="BM239" s="67">
        <f>+VLOOKUP('2. Logging Brejo Seco'!AR239,Leyenda!$B$63:$E$67,3,FALSE)</f>
        <v>0</v>
      </c>
      <c r="BN239" s="67">
        <f>+VLOOKUP('2. Logging Brejo Seco'!AO239,Leyenda!$B$39:$E$43,4,FALSE)</f>
        <v>0</v>
      </c>
      <c r="BO239" s="67">
        <f>+VLOOKUP('2. Logging Brejo Seco'!AN239,Leyenda!$B$30:$E$34,4,FALSE)</f>
        <v>0</v>
      </c>
      <c r="BP239" s="67">
        <f>VLOOKUP(AS239,Leyenda!$B$71:$E$75,4,FALSE)</f>
        <v>7</v>
      </c>
      <c r="BQ239" s="125">
        <f t="shared" si="82"/>
        <v>13</v>
      </c>
      <c r="BR239" s="85">
        <f t="shared" si="83"/>
        <v>15</v>
      </c>
      <c r="BS239" s="240">
        <f t="shared" si="84"/>
        <v>0.64</v>
      </c>
      <c r="BT239" s="18"/>
    </row>
    <row r="240" spans="1:72" x14ac:dyDescent="0.25">
      <c r="A240" s="18" t="s">
        <v>6</v>
      </c>
      <c r="B240" s="18">
        <v>2024</v>
      </c>
      <c r="C240" s="18" t="s">
        <v>138</v>
      </c>
      <c r="D240" s="18" t="s">
        <v>130</v>
      </c>
      <c r="E240" s="18">
        <v>60</v>
      </c>
      <c r="F240" s="18">
        <v>60</v>
      </c>
      <c r="G240" s="18" t="s">
        <v>136</v>
      </c>
      <c r="H240" s="248">
        <f t="shared" si="85"/>
        <v>60</v>
      </c>
      <c r="I240" s="135"/>
      <c r="J240" s="18" t="s">
        <v>179</v>
      </c>
      <c r="K240" s="4">
        <f t="shared" si="88"/>
        <v>3.5</v>
      </c>
      <c r="L240" s="4">
        <v>4</v>
      </c>
      <c r="M240" s="4">
        <f t="shared" si="76"/>
        <v>0.5</v>
      </c>
      <c r="N240" s="5">
        <v>0.57999999999999996</v>
      </c>
      <c r="O240" s="5">
        <f t="shared" si="68"/>
        <v>0.42000000000000004</v>
      </c>
      <c r="P240" s="31">
        <f t="shared" si="77"/>
        <v>0.28999999999999998</v>
      </c>
      <c r="Q240" s="31">
        <f t="shared" si="72"/>
        <v>0.28999999999999998</v>
      </c>
      <c r="R240" s="31">
        <v>14.5</v>
      </c>
      <c r="S240" s="31">
        <v>20</v>
      </c>
      <c r="T240" s="31">
        <v>0.27</v>
      </c>
      <c r="U240" s="31">
        <v>0</v>
      </c>
      <c r="V240" s="65">
        <f t="shared" si="86"/>
        <v>0</v>
      </c>
      <c r="W240" s="31">
        <v>10</v>
      </c>
      <c r="X240" s="31"/>
      <c r="Y240" s="31">
        <f t="shared" si="70"/>
        <v>10</v>
      </c>
      <c r="Z240" s="31">
        <f t="shared" si="71"/>
        <v>27</v>
      </c>
      <c r="AA240" s="18">
        <v>0</v>
      </c>
      <c r="AB240" s="18" t="s">
        <v>330</v>
      </c>
      <c r="AC240" s="18" t="s">
        <v>333</v>
      </c>
      <c r="AD240" s="18" t="s">
        <v>336</v>
      </c>
      <c r="AE240" s="18">
        <v>20</v>
      </c>
      <c r="AF240" s="18">
        <v>14.5</v>
      </c>
      <c r="AG240" s="18" t="s">
        <v>34</v>
      </c>
      <c r="AH240" s="18" t="s">
        <v>34</v>
      </c>
      <c r="AI240" s="18">
        <f>+VLOOKUP(AH240,Leyenda!$O$4:$U$10,6,FALSE)</f>
        <v>0</v>
      </c>
      <c r="AJ240" s="18" t="str">
        <f>+VLOOKUP(AG240,Leyenda!$O$4:$U$10,7,FALSE)</f>
        <v>No Blasting need</v>
      </c>
      <c r="AK240" s="18">
        <f>+VLOOKUP(AJ240,Leyenda!$U$4:$V$10,2,FALSE)</f>
        <v>2</v>
      </c>
      <c r="AL240" s="18" t="s">
        <v>239</v>
      </c>
      <c r="AM240" s="18" t="s">
        <v>34</v>
      </c>
      <c r="AN240" s="18" t="s">
        <v>69</v>
      </c>
      <c r="AO240" s="18" t="s">
        <v>81</v>
      </c>
      <c r="AP240" s="18" t="s">
        <v>100</v>
      </c>
      <c r="AQ240" s="18" t="s">
        <v>109</v>
      </c>
      <c r="AR240" s="18" t="s">
        <v>122</v>
      </c>
      <c r="AS240" s="18" t="s">
        <v>247</v>
      </c>
      <c r="AT240" s="18" t="s">
        <v>246</v>
      </c>
      <c r="AU240" s="18"/>
      <c r="AV240" s="18">
        <f>+VLOOKUP(AN240,Leyenda!$B$30:$E$34,3,FALSE)</f>
        <v>0</v>
      </c>
      <c r="AW240" s="18">
        <f>+VLOOKUP('2. Logging Brejo Seco'!AO240,Meteorizacion,3,FALSE)</f>
        <v>0</v>
      </c>
      <c r="AX240" s="18">
        <f>+VLOOKUP('2. Logging Brejo Seco'!AP240,Apertura,3,FALSE)</f>
        <v>0</v>
      </c>
      <c r="AY240" s="18">
        <f>+VLOOKUP('2. Logging Brejo Seco'!AQ240,Leyenda!$B$55:$D$59,3,FALSE)</f>
        <v>1</v>
      </c>
      <c r="AZ240" s="18">
        <f>+VLOOKUP('2. Logging Brejo Seco'!AR240,Relleno,3,FALSE)</f>
        <v>0</v>
      </c>
      <c r="BA240" s="18">
        <f t="shared" si="87"/>
        <v>1</v>
      </c>
      <c r="BB240" s="49">
        <f t="shared" si="73"/>
        <v>0</v>
      </c>
      <c r="BC240" s="49">
        <f>VLOOKUP(AH240,Leyenda!$B$4:$D$10,3,FALSE)</f>
        <v>0</v>
      </c>
      <c r="BD240" s="50">
        <f t="shared" si="79"/>
        <v>5</v>
      </c>
      <c r="BE240" s="49">
        <f t="shared" si="80"/>
        <v>1</v>
      </c>
      <c r="BF240" s="49">
        <f>VLOOKUP(AS240,Leyenda!$B$70:$D$75,3,FALSE)</f>
        <v>10</v>
      </c>
      <c r="BG240" s="67">
        <f t="shared" si="74"/>
        <v>1.5</v>
      </c>
      <c r="BH240" s="67">
        <f>VLOOKUP(AM240,Leyenda!$B$4:$E$10,4,FALSE)</f>
        <v>0</v>
      </c>
      <c r="BI240" s="67">
        <f t="shared" si="81"/>
        <v>5</v>
      </c>
      <c r="BJ240" s="67">
        <f t="shared" si="75"/>
        <v>0</v>
      </c>
      <c r="BK240" s="67">
        <f>+VLOOKUP('2. Logging Brejo Seco'!AP240,Leyenda!$B$47:$E$51,4,FALSE)</f>
        <v>0</v>
      </c>
      <c r="BL240" s="67">
        <f>+VLOOKUP('2. Logging Brejo Seco'!AQ240,Leyenda!$B$55:$E$59,4,FALSE)</f>
        <v>1</v>
      </c>
      <c r="BM240" s="67">
        <f>+VLOOKUP('2. Logging Brejo Seco'!AR240,Leyenda!$B$63:$E$67,3,FALSE)</f>
        <v>0</v>
      </c>
      <c r="BN240" s="67">
        <f>+VLOOKUP('2. Logging Brejo Seco'!AO240,Leyenda!$B$39:$E$43,4,FALSE)</f>
        <v>0</v>
      </c>
      <c r="BO240" s="67">
        <f>+VLOOKUP('2. Logging Brejo Seco'!AN240,Leyenda!$B$30:$E$34,4,FALSE)</f>
        <v>0</v>
      </c>
      <c r="BP240" s="67">
        <f>VLOOKUP(AS240,Leyenda!$B$71:$E$75,4,FALSE)</f>
        <v>7</v>
      </c>
      <c r="BQ240" s="125">
        <f t="shared" si="82"/>
        <v>13</v>
      </c>
      <c r="BR240" s="85">
        <f t="shared" si="83"/>
        <v>16</v>
      </c>
      <c r="BS240" s="240">
        <f t="shared" si="84"/>
        <v>0.42000000000000004</v>
      </c>
      <c r="BT240" s="18"/>
    </row>
    <row r="241" spans="1:72" x14ac:dyDescent="0.25">
      <c r="A241" s="18" t="s">
        <v>6</v>
      </c>
      <c r="B241" s="18">
        <v>2024</v>
      </c>
      <c r="C241" s="18" t="s">
        <v>138</v>
      </c>
      <c r="D241" s="18" t="s">
        <v>130</v>
      </c>
      <c r="E241" s="18">
        <v>40</v>
      </c>
      <c r="F241" s="18">
        <v>40</v>
      </c>
      <c r="G241" s="18" t="s">
        <v>153</v>
      </c>
      <c r="H241" s="248">
        <f t="shared" si="85"/>
        <v>40</v>
      </c>
      <c r="I241" s="135"/>
      <c r="J241" s="18" t="s">
        <v>180</v>
      </c>
      <c r="K241" s="4">
        <f t="shared" si="88"/>
        <v>4</v>
      </c>
      <c r="L241" s="4">
        <v>4.5</v>
      </c>
      <c r="M241" s="4">
        <f t="shared" si="76"/>
        <v>0.5</v>
      </c>
      <c r="N241" s="5">
        <v>0.6</v>
      </c>
      <c r="O241" s="5">
        <f t="shared" si="68"/>
        <v>0.4</v>
      </c>
      <c r="P241" s="31">
        <f t="shared" si="77"/>
        <v>0.3</v>
      </c>
      <c r="Q241" s="31">
        <f t="shared" si="72"/>
        <v>0.3</v>
      </c>
      <c r="R241" s="31">
        <v>15</v>
      </c>
      <c r="S241" s="31">
        <v>20</v>
      </c>
      <c r="T241" s="31">
        <v>0.26</v>
      </c>
      <c r="U241" s="31">
        <v>0.11</v>
      </c>
      <c r="V241" s="65">
        <f t="shared" si="86"/>
        <v>22</v>
      </c>
      <c r="W241" s="31">
        <v>5</v>
      </c>
      <c r="X241" s="31"/>
      <c r="Y241" s="31">
        <f t="shared" si="70"/>
        <v>5</v>
      </c>
      <c r="Z241" s="31">
        <f t="shared" si="71"/>
        <v>52</v>
      </c>
      <c r="AA241" s="18">
        <v>0</v>
      </c>
      <c r="AB241" s="18" t="s">
        <v>330</v>
      </c>
      <c r="AC241" s="18" t="s">
        <v>333</v>
      </c>
      <c r="AD241" s="18" t="s">
        <v>336</v>
      </c>
      <c r="AE241" s="18">
        <v>20</v>
      </c>
      <c r="AF241" s="18">
        <v>15</v>
      </c>
      <c r="AG241" s="18" t="s">
        <v>32</v>
      </c>
      <c r="AH241" s="18" t="s">
        <v>32</v>
      </c>
      <c r="AI241" s="18" t="str">
        <f>+VLOOKUP(AH241,Leyenda!$O$4:$U$10,6,FALSE)</f>
        <v>0,15-0,25</v>
      </c>
      <c r="AJ241" s="18" t="str">
        <f>+VLOOKUP(AG241,Leyenda!$O$4:$U$10,7,FALSE)</f>
        <v>No Blasting need</v>
      </c>
      <c r="AK241" s="18">
        <f>+VLOOKUP(AJ241,Leyenda!$U$4:$V$10,2,FALSE)</f>
        <v>2</v>
      </c>
      <c r="AL241" s="18" t="s">
        <v>200</v>
      </c>
      <c r="AM241" s="18" t="s">
        <v>32</v>
      </c>
      <c r="AN241" s="18" t="s">
        <v>69</v>
      </c>
      <c r="AO241" s="18" t="s">
        <v>79</v>
      </c>
      <c r="AP241" s="18" t="s">
        <v>100</v>
      </c>
      <c r="AQ241" s="18" t="s">
        <v>107</v>
      </c>
      <c r="AR241" s="18" t="s">
        <v>120</v>
      </c>
      <c r="AS241" s="18" t="s">
        <v>247</v>
      </c>
      <c r="AT241" s="18" t="s">
        <v>248</v>
      </c>
      <c r="AU241" s="18"/>
      <c r="AV241" s="18">
        <f>+VLOOKUP(AN241,Leyenda!$B$30:$E$34,3,FALSE)</f>
        <v>0</v>
      </c>
      <c r="AW241" s="18">
        <f>+VLOOKUP('2. Logging Brejo Seco'!AO241,Meteorizacion,3,FALSE)</f>
        <v>1</v>
      </c>
      <c r="AX241" s="18">
        <f>+VLOOKUP('2. Logging Brejo Seco'!AP241,Apertura,3,FALSE)</f>
        <v>0</v>
      </c>
      <c r="AY241" s="18">
        <f>+VLOOKUP('2. Logging Brejo Seco'!AQ241,Leyenda!$B$55:$D$59,3,FALSE)</f>
        <v>3</v>
      </c>
      <c r="AZ241" s="18">
        <f>+VLOOKUP('2. Logging Brejo Seco'!AR241,Relleno,3,FALSE)</f>
        <v>2</v>
      </c>
      <c r="BA241" s="18">
        <f t="shared" si="87"/>
        <v>6</v>
      </c>
      <c r="BB241" s="49">
        <f t="shared" si="73"/>
        <v>5</v>
      </c>
      <c r="BC241" s="49">
        <f>VLOOKUP(AH241,Leyenda!$B$4:$D$10,3,FALSE)</f>
        <v>1</v>
      </c>
      <c r="BD241" s="50">
        <f t="shared" si="79"/>
        <v>6</v>
      </c>
      <c r="BE241" s="49">
        <f t="shared" si="80"/>
        <v>6</v>
      </c>
      <c r="BF241" s="49">
        <f>VLOOKUP(AS241,Leyenda!$B$70:$D$75,3,FALSE)</f>
        <v>10</v>
      </c>
      <c r="BG241" s="67">
        <f t="shared" si="74"/>
        <v>20</v>
      </c>
      <c r="BH241" s="67">
        <f>VLOOKUP(AM241,Leyenda!$B$4:$E$10,4,FALSE)</f>
        <v>1</v>
      </c>
      <c r="BI241" s="67">
        <f t="shared" si="81"/>
        <v>4</v>
      </c>
      <c r="BJ241" s="67">
        <f t="shared" si="75"/>
        <v>5</v>
      </c>
      <c r="BK241" s="67">
        <f>+VLOOKUP('2. Logging Brejo Seco'!AP241,Leyenda!$B$47:$E$51,4,FALSE)</f>
        <v>0</v>
      </c>
      <c r="BL241" s="67">
        <f>+VLOOKUP('2. Logging Brejo Seco'!AQ241,Leyenda!$B$55:$E$59,4,FALSE)</f>
        <v>3</v>
      </c>
      <c r="BM241" s="67">
        <f>+VLOOKUP('2. Logging Brejo Seco'!AR241,Leyenda!$B$63:$E$67,3,FALSE)</f>
        <v>2</v>
      </c>
      <c r="BN241" s="67">
        <f>+VLOOKUP('2. Logging Brejo Seco'!AO241,Leyenda!$B$39:$E$43,4,FALSE)</f>
        <v>1</v>
      </c>
      <c r="BO241" s="67">
        <f>+VLOOKUP('2. Logging Brejo Seco'!AN241,Leyenda!$B$30:$E$34,4,FALSE)</f>
        <v>0</v>
      </c>
      <c r="BP241" s="67">
        <f>VLOOKUP(AS241,Leyenda!$B$71:$E$75,4,FALSE)</f>
        <v>7</v>
      </c>
      <c r="BQ241" s="125">
        <f t="shared" si="82"/>
        <v>23</v>
      </c>
      <c r="BR241" s="85">
        <f t="shared" si="83"/>
        <v>28</v>
      </c>
      <c r="BS241" s="240">
        <f t="shared" si="84"/>
        <v>0.4</v>
      </c>
      <c r="BT241" s="18"/>
    </row>
    <row r="242" spans="1:72" x14ac:dyDescent="0.25">
      <c r="A242" s="18" t="s">
        <v>6</v>
      </c>
      <c r="B242" s="18">
        <v>2024</v>
      </c>
      <c r="C242" s="18" t="s">
        <v>138</v>
      </c>
      <c r="D242" s="18" t="s">
        <v>130</v>
      </c>
      <c r="E242" s="18">
        <v>40</v>
      </c>
      <c r="F242" s="18">
        <v>40</v>
      </c>
      <c r="G242" s="18" t="s">
        <v>153</v>
      </c>
      <c r="H242" s="248">
        <f t="shared" si="85"/>
        <v>40</v>
      </c>
      <c r="I242" s="135"/>
      <c r="J242" s="18" t="s">
        <v>180</v>
      </c>
      <c r="K242" s="4">
        <f t="shared" si="88"/>
        <v>4.5</v>
      </c>
      <c r="L242" s="4">
        <v>5</v>
      </c>
      <c r="M242" s="4">
        <f t="shared" si="76"/>
        <v>0.5</v>
      </c>
      <c r="N242" s="5">
        <v>0.66</v>
      </c>
      <c r="O242" s="5">
        <f t="shared" ref="O242:O305" si="89">1-N242</f>
        <v>0.33999999999999997</v>
      </c>
      <c r="P242" s="31">
        <f t="shared" si="77"/>
        <v>0.33</v>
      </c>
      <c r="Q242" s="31">
        <f t="shared" si="72"/>
        <v>0.33</v>
      </c>
      <c r="R242" s="31">
        <v>16.5</v>
      </c>
      <c r="S242" s="31">
        <v>20</v>
      </c>
      <c r="T242" s="31">
        <v>0.35</v>
      </c>
      <c r="U242" s="31">
        <v>0.14000000000000001</v>
      </c>
      <c r="V242" s="65">
        <f t="shared" si="86"/>
        <v>28.000000000000004</v>
      </c>
      <c r="W242" s="31">
        <v>7</v>
      </c>
      <c r="X242" s="31"/>
      <c r="Y242" s="31">
        <f t="shared" si="70"/>
        <v>7</v>
      </c>
      <c r="Z242" s="31">
        <f t="shared" si="71"/>
        <v>50</v>
      </c>
      <c r="AA242" s="18">
        <v>0</v>
      </c>
      <c r="AB242" s="18" t="s">
        <v>330</v>
      </c>
      <c r="AC242" s="18" t="s">
        <v>333</v>
      </c>
      <c r="AD242" s="18" t="s">
        <v>336</v>
      </c>
      <c r="AE242" s="18">
        <v>20</v>
      </c>
      <c r="AF242" s="18">
        <v>16.5</v>
      </c>
      <c r="AG242" s="18" t="s">
        <v>32</v>
      </c>
      <c r="AH242" s="18" t="s">
        <v>32</v>
      </c>
      <c r="AI242" s="18" t="str">
        <f>+VLOOKUP(AH242,Leyenda!$O$4:$U$10,6,FALSE)</f>
        <v>0,15-0,25</v>
      </c>
      <c r="AJ242" s="18" t="str">
        <f>+VLOOKUP(AG242,Leyenda!$O$4:$U$10,7,FALSE)</f>
        <v>No Blasting need</v>
      </c>
      <c r="AK242" s="18">
        <f>+VLOOKUP(AJ242,Leyenda!$U$4:$V$10,2,FALSE)</f>
        <v>2</v>
      </c>
      <c r="AL242" s="18" t="s">
        <v>200</v>
      </c>
      <c r="AM242" s="18" t="s">
        <v>32</v>
      </c>
      <c r="AN242" s="18" t="s">
        <v>69</v>
      </c>
      <c r="AO242" s="18" t="s">
        <v>81</v>
      </c>
      <c r="AP242" s="18" t="s">
        <v>100</v>
      </c>
      <c r="AQ242" s="18" t="s">
        <v>107</v>
      </c>
      <c r="AR242" s="18" t="s">
        <v>120</v>
      </c>
      <c r="AS242" s="18" t="s">
        <v>247</v>
      </c>
      <c r="AT242" s="18" t="s">
        <v>248</v>
      </c>
      <c r="AU242" s="18"/>
      <c r="AV242" s="18">
        <f>+VLOOKUP(AN242,Leyenda!$B$30:$E$34,3,FALSE)</f>
        <v>0</v>
      </c>
      <c r="AW242" s="18">
        <f>+VLOOKUP('2. Logging Brejo Seco'!AO242,Meteorizacion,3,FALSE)</f>
        <v>0</v>
      </c>
      <c r="AX242" s="18">
        <f>+VLOOKUP('2. Logging Brejo Seco'!AP242,Apertura,3,FALSE)</f>
        <v>0</v>
      </c>
      <c r="AY242" s="18">
        <f>+VLOOKUP('2. Logging Brejo Seco'!AQ242,Leyenda!$B$55:$D$59,3,FALSE)</f>
        <v>3</v>
      </c>
      <c r="AZ242" s="18">
        <f>+VLOOKUP('2. Logging Brejo Seco'!AR242,Relleno,3,FALSE)</f>
        <v>2</v>
      </c>
      <c r="BA242" s="18">
        <f t="shared" si="87"/>
        <v>5</v>
      </c>
      <c r="BB242" s="49">
        <f t="shared" si="73"/>
        <v>6</v>
      </c>
      <c r="BC242" s="49">
        <f>VLOOKUP(AH242,Leyenda!$B$4:$D$10,3,FALSE)</f>
        <v>1</v>
      </c>
      <c r="BD242" s="50">
        <f t="shared" si="79"/>
        <v>6</v>
      </c>
      <c r="BE242" s="49">
        <f t="shared" si="80"/>
        <v>5</v>
      </c>
      <c r="BF242" s="49">
        <f>VLOOKUP(AS242,Leyenda!$B$70:$D$75,3,FALSE)</f>
        <v>10</v>
      </c>
      <c r="BG242" s="67">
        <f t="shared" si="74"/>
        <v>21.5</v>
      </c>
      <c r="BH242" s="67">
        <f>VLOOKUP(AM242,Leyenda!$B$4:$E$10,4,FALSE)</f>
        <v>1</v>
      </c>
      <c r="BI242" s="67">
        <f t="shared" si="81"/>
        <v>5</v>
      </c>
      <c r="BJ242" s="67">
        <f t="shared" si="75"/>
        <v>6</v>
      </c>
      <c r="BK242" s="67">
        <f>+VLOOKUP('2. Logging Brejo Seco'!AP242,Leyenda!$B$47:$E$51,4,FALSE)</f>
        <v>0</v>
      </c>
      <c r="BL242" s="67">
        <f>+VLOOKUP('2. Logging Brejo Seco'!AQ242,Leyenda!$B$55:$E$59,4,FALSE)</f>
        <v>3</v>
      </c>
      <c r="BM242" s="67">
        <f>+VLOOKUP('2. Logging Brejo Seco'!AR242,Leyenda!$B$63:$E$67,3,FALSE)</f>
        <v>2</v>
      </c>
      <c r="BN242" s="67">
        <f>+VLOOKUP('2. Logging Brejo Seco'!AO242,Leyenda!$B$39:$E$43,4,FALSE)</f>
        <v>0</v>
      </c>
      <c r="BO242" s="67">
        <f>+VLOOKUP('2. Logging Brejo Seco'!AN242,Leyenda!$B$30:$E$34,4,FALSE)</f>
        <v>0</v>
      </c>
      <c r="BP242" s="67">
        <f>VLOOKUP(AS242,Leyenda!$B$71:$E$75,4,FALSE)</f>
        <v>7</v>
      </c>
      <c r="BQ242" s="125">
        <f t="shared" si="82"/>
        <v>24</v>
      </c>
      <c r="BR242" s="85">
        <f t="shared" si="83"/>
        <v>28</v>
      </c>
      <c r="BS242" s="240">
        <f t="shared" si="84"/>
        <v>0.33999999999999997</v>
      </c>
      <c r="BT242" s="18"/>
    </row>
    <row r="243" spans="1:72" x14ac:dyDescent="0.25">
      <c r="A243" s="18" t="s">
        <v>6</v>
      </c>
      <c r="B243" s="18">
        <v>2024</v>
      </c>
      <c r="C243" s="18" t="s">
        <v>138</v>
      </c>
      <c r="D243" s="18" t="s">
        <v>130</v>
      </c>
      <c r="E243" s="18">
        <v>40</v>
      </c>
      <c r="F243" s="18">
        <v>40</v>
      </c>
      <c r="G243" s="18" t="s">
        <v>153</v>
      </c>
      <c r="H243" s="248">
        <f t="shared" si="85"/>
        <v>40</v>
      </c>
      <c r="I243" s="135"/>
      <c r="J243" s="18" t="s">
        <v>180</v>
      </c>
      <c r="K243" s="4">
        <f t="shared" si="88"/>
        <v>5</v>
      </c>
      <c r="L243" s="4">
        <v>5.5</v>
      </c>
      <c r="M243" s="4">
        <f t="shared" si="76"/>
        <v>0.5</v>
      </c>
      <c r="N243" s="5">
        <v>0.7</v>
      </c>
      <c r="O243" s="5">
        <f t="shared" si="89"/>
        <v>0.30000000000000004</v>
      </c>
      <c r="P243" s="31">
        <f t="shared" si="77"/>
        <v>0.35</v>
      </c>
      <c r="Q243" s="31">
        <f t="shared" si="72"/>
        <v>0.35</v>
      </c>
      <c r="R243" s="31">
        <v>17.5</v>
      </c>
      <c r="S243" s="31">
        <v>20</v>
      </c>
      <c r="T243" s="31">
        <v>0.33</v>
      </c>
      <c r="U243" s="31">
        <v>0.15</v>
      </c>
      <c r="V243" s="65">
        <f t="shared" si="86"/>
        <v>30</v>
      </c>
      <c r="W243" s="31">
        <v>3</v>
      </c>
      <c r="X243" s="31"/>
      <c r="Y243" s="31">
        <f t="shared" si="70"/>
        <v>3</v>
      </c>
      <c r="Z243" s="31">
        <f t="shared" si="71"/>
        <v>110</v>
      </c>
      <c r="AA243" s="18">
        <v>0</v>
      </c>
      <c r="AB243" s="18" t="s">
        <v>330</v>
      </c>
      <c r="AC243" s="18" t="s">
        <v>333</v>
      </c>
      <c r="AD243" s="18" t="s">
        <v>336</v>
      </c>
      <c r="AE243" s="18">
        <v>20</v>
      </c>
      <c r="AF243" s="18">
        <v>17.5</v>
      </c>
      <c r="AG243" s="18" t="s">
        <v>32</v>
      </c>
      <c r="AH243" s="18" t="s">
        <v>32</v>
      </c>
      <c r="AI243" s="18" t="str">
        <f>+VLOOKUP(AH243,Leyenda!$O$4:$U$10,6,FALSE)</f>
        <v>0,15-0,25</v>
      </c>
      <c r="AJ243" s="18" t="str">
        <f>+VLOOKUP(AG243,Leyenda!$O$4:$U$10,7,FALSE)</f>
        <v>No Blasting need</v>
      </c>
      <c r="AK243" s="18">
        <f>+VLOOKUP(AJ243,Leyenda!$U$4:$V$10,2,FALSE)</f>
        <v>2</v>
      </c>
      <c r="AL243" s="18" t="s">
        <v>239</v>
      </c>
      <c r="AM243" s="18" t="s">
        <v>32</v>
      </c>
      <c r="AN243" s="18" t="s">
        <v>69</v>
      </c>
      <c r="AO243" s="18" t="s">
        <v>79</v>
      </c>
      <c r="AP243" s="18" t="s">
        <v>100</v>
      </c>
      <c r="AQ243" s="18" t="s">
        <v>107</v>
      </c>
      <c r="AR243" s="18" t="s">
        <v>120</v>
      </c>
      <c r="AS243" s="18" t="s">
        <v>247</v>
      </c>
      <c r="AT243" s="18" t="s">
        <v>248</v>
      </c>
      <c r="AU243" s="18"/>
      <c r="AV243" s="18">
        <f>+VLOOKUP(AN243,Leyenda!$B$30:$E$34,3,FALSE)</f>
        <v>0</v>
      </c>
      <c r="AW243" s="18">
        <f>+VLOOKUP('2. Logging Brejo Seco'!AO243,Meteorizacion,3,FALSE)</f>
        <v>1</v>
      </c>
      <c r="AX243" s="18">
        <f>+VLOOKUP('2. Logging Brejo Seco'!AP243,Apertura,3,FALSE)</f>
        <v>0</v>
      </c>
      <c r="AY243" s="18">
        <f>+VLOOKUP('2. Logging Brejo Seco'!AQ243,Leyenda!$B$55:$D$59,3,FALSE)</f>
        <v>3</v>
      </c>
      <c r="AZ243" s="18">
        <f>+VLOOKUP('2. Logging Brejo Seco'!AR243,Relleno,3,FALSE)</f>
        <v>2</v>
      </c>
      <c r="BA243" s="18">
        <f t="shared" si="87"/>
        <v>6</v>
      </c>
      <c r="BB243" s="49">
        <f t="shared" si="73"/>
        <v>6</v>
      </c>
      <c r="BC243" s="49">
        <f>VLOOKUP(AH243,Leyenda!$B$4:$D$10,3,FALSE)</f>
        <v>1</v>
      </c>
      <c r="BD243" s="50">
        <f t="shared" si="79"/>
        <v>7</v>
      </c>
      <c r="BE243" s="49">
        <f t="shared" si="80"/>
        <v>6</v>
      </c>
      <c r="BF243" s="49">
        <f>VLOOKUP(AS243,Leyenda!$B$70:$D$75,3,FALSE)</f>
        <v>10</v>
      </c>
      <c r="BG243" s="67">
        <f t="shared" si="74"/>
        <v>24</v>
      </c>
      <c r="BH243" s="67">
        <f>VLOOKUP(AM243,Leyenda!$B$4:$E$10,4,FALSE)</f>
        <v>1</v>
      </c>
      <c r="BI243" s="67">
        <f t="shared" si="81"/>
        <v>9</v>
      </c>
      <c r="BJ243" s="67">
        <f t="shared" si="75"/>
        <v>6</v>
      </c>
      <c r="BK243" s="67">
        <f>+VLOOKUP('2. Logging Brejo Seco'!AP243,Leyenda!$B$47:$E$51,4,FALSE)</f>
        <v>0</v>
      </c>
      <c r="BL243" s="67">
        <f>+VLOOKUP('2. Logging Brejo Seco'!AQ243,Leyenda!$B$55:$E$59,4,FALSE)</f>
        <v>3</v>
      </c>
      <c r="BM243" s="67">
        <f>+VLOOKUP('2. Logging Brejo Seco'!AR243,Leyenda!$B$63:$E$67,3,FALSE)</f>
        <v>2</v>
      </c>
      <c r="BN243" s="67">
        <f>+VLOOKUP('2. Logging Brejo Seco'!AO243,Leyenda!$B$39:$E$43,4,FALSE)</f>
        <v>1</v>
      </c>
      <c r="BO243" s="67">
        <f>+VLOOKUP('2. Logging Brejo Seco'!AN243,Leyenda!$B$30:$E$34,4,FALSE)</f>
        <v>0</v>
      </c>
      <c r="BP243" s="67">
        <f>VLOOKUP(AS243,Leyenda!$B$71:$E$75,4,FALSE)</f>
        <v>7</v>
      </c>
      <c r="BQ243" s="125">
        <f t="shared" si="82"/>
        <v>29</v>
      </c>
      <c r="BR243" s="85">
        <f t="shared" si="83"/>
        <v>30</v>
      </c>
      <c r="BS243" s="240">
        <f t="shared" si="84"/>
        <v>0.30000000000000004</v>
      </c>
      <c r="BT243" s="18"/>
    </row>
    <row r="244" spans="1:72" x14ac:dyDescent="0.25">
      <c r="A244" s="18" t="s">
        <v>6</v>
      </c>
      <c r="B244" s="18">
        <v>2024</v>
      </c>
      <c r="C244" s="18" t="s">
        <v>138</v>
      </c>
      <c r="D244" s="18" t="s">
        <v>130</v>
      </c>
      <c r="E244" s="18">
        <v>40</v>
      </c>
      <c r="F244" s="18">
        <v>40</v>
      </c>
      <c r="G244" s="18" t="s">
        <v>153</v>
      </c>
      <c r="H244" s="248">
        <f t="shared" si="85"/>
        <v>40</v>
      </c>
      <c r="I244" s="135"/>
      <c r="J244" s="18" t="s">
        <v>180</v>
      </c>
      <c r="K244" s="4">
        <f t="shared" si="88"/>
        <v>5.5</v>
      </c>
      <c r="L244" s="4">
        <v>6</v>
      </c>
      <c r="M244" s="4">
        <f t="shared" si="76"/>
        <v>0.5</v>
      </c>
      <c r="N244" s="5">
        <v>0.72</v>
      </c>
      <c r="O244" s="5">
        <f t="shared" si="89"/>
        <v>0.28000000000000003</v>
      </c>
      <c r="P244" s="31">
        <f t="shared" si="77"/>
        <v>0.36</v>
      </c>
      <c r="Q244" s="31">
        <f t="shared" si="72"/>
        <v>0.36</v>
      </c>
      <c r="R244" s="31">
        <v>18</v>
      </c>
      <c r="S244" s="31">
        <v>20</v>
      </c>
      <c r="T244" s="31">
        <v>0.33</v>
      </c>
      <c r="U244" s="31">
        <v>0</v>
      </c>
      <c r="V244" s="65">
        <f t="shared" si="86"/>
        <v>0</v>
      </c>
      <c r="W244" s="31">
        <v>7</v>
      </c>
      <c r="X244" s="31"/>
      <c r="Y244" s="31">
        <f t="shared" si="70"/>
        <v>7</v>
      </c>
      <c r="Z244" s="31">
        <f t="shared" si="71"/>
        <v>47.142857142857146</v>
      </c>
      <c r="AA244" s="18">
        <v>0</v>
      </c>
      <c r="AB244" s="18" t="s">
        <v>330</v>
      </c>
      <c r="AC244" s="18" t="s">
        <v>333</v>
      </c>
      <c r="AD244" s="18" t="s">
        <v>336</v>
      </c>
      <c r="AE244" s="18">
        <v>20</v>
      </c>
      <c r="AF244" s="18">
        <v>18</v>
      </c>
      <c r="AG244" s="18" t="s">
        <v>32</v>
      </c>
      <c r="AH244" s="18" t="s">
        <v>32</v>
      </c>
      <c r="AI244" s="18" t="str">
        <f>+VLOOKUP(AH244,Leyenda!$O$4:$U$10,6,FALSE)</f>
        <v>0,15-0,25</v>
      </c>
      <c r="AJ244" s="18" t="str">
        <f>+VLOOKUP(AG244,Leyenda!$O$4:$U$10,7,FALSE)</f>
        <v>No Blasting need</v>
      </c>
      <c r="AK244" s="18">
        <f>+VLOOKUP(AJ244,Leyenda!$U$4:$V$10,2,FALSE)</f>
        <v>2</v>
      </c>
      <c r="AL244" s="18" t="s">
        <v>239</v>
      </c>
      <c r="AM244" s="18" t="s">
        <v>32</v>
      </c>
      <c r="AN244" s="18" t="s">
        <v>69</v>
      </c>
      <c r="AO244" s="18" t="s">
        <v>79</v>
      </c>
      <c r="AP244" s="18" t="s">
        <v>100</v>
      </c>
      <c r="AQ244" s="18" t="s">
        <v>107</v>
      </c>
      <c r="AR244" s="18" t="s">
        <v>120</v>
      </c>
      <c r="AS244" s="18" t="s">
        <v>247</v>
      </c>
      <c r="AT244" s="18" t="s">
        <v>248</v>
      </c>
      <c r="AU244" s="18"/>
      <c r="AV244" s="18">
        <f>+VLOOKUP(AN244,Leyenda!$B$30:$E$34,3,FALSE)</f>
        <v>0</v>
      </c>
      <c r="AW244" s="18">
        <f>+VLOOKUP('2. Logging Brejo Seco'!AO244,Meteorizacion,3,FALSE)</f>
        <v>1</v>
      </c>
      <c r="AX244" s="18">
        <f>+VLOOKUP('2. Logging Brejo Seco'!AP244,Apertura,3,FALSE)</f>
        <v>0</v>
      </c>
      <c r="AY244" s="18">
        <f>+VLOOKUP('2. Logging Brejo Seco'!AQ244,Leyenda!$B$55:$D$59,3,FALSE)</f>
        <v>3</v>
      </c>
      <c r="AZ244" s="18">
        <f>+VLOOKUP('2. Logging Brejo Seco'!AR244,Relleno,3,FALSE)</f>
        <v>2</v>
      </c>
      <c r="BA244" s="18">
        <f t="shared" si="87"/>
        <v>6</v>
      </c>
      <c r="BB244" s="49">
        <f t="shared" si="73"/>
        <v>0</v>
      </c>
      <c r="BC244" s="49">
        <f>VLOOKUP(AH244,Leyenda!$B$4:$D$10,3,FALSE)</f>
        <v>1</v>
      </c>
      <c r="BD244" s="50">
        <f t="shared" si="79"/>
        <v>6</v>
      </c>
      <c r="BE244" s="49">
        <f t="shared" si="80"/>
        <v>6</v>
      </c>
      <c r="BF244" s="49">
        <f>VLOOKUP(AS244,Leyenda!$B$70:$D$75,3,FALSE)</f>
        <v>10</v>
      </c>
      <c r="BG244" s="67">
        <f t="shared" si="74"/>
        <v>9</v>
      </c>
      <c r="BH244" s="67">
        <f>VLOOKUP(AM244,Leyenda!$B$4:$E$10,4,FALSE)</f>
        <v>1</v>
      </c>
      <c r="BI244" s="67">
        <f t="shared" si="81"/>
        <v>5</v>
      </c>
      <c r="BJ244" s="67">
        <f t="shared" si="75"/>
        <v>0</v>
      </c>
      <c r="BK244" s="67">
        <f>+VLOOKUP('2. Logging Brejo Seco'!AP244,Leyenda!$B$47:$E$51,4,FALSE)</f>
        <v>0</v>
      </c>
      <c r="BL244" s="67">
        <f>+VLOOKUP('2. Logging Brejo Seco'!AQ244,Leyenda!$B$55:$E$59,4,FALSE)</f>
        <v>3</v>
      </c>
      <c r="BM244" s="67">
        <f>+VLOOKUP('2. Logging Brejo Seco'!AR244,Leyenda!$B$63:$E$67,3,FALSE)</f>
        <v>2</v>
      </c>
      <c r="BN244" s="67">
        <f>+VLOOKUP('2. Logging Brejo Seco'!AO244,Leyenda!$B$39:$E$43,4,FALSE)</f>
        <v>1</v>
      </c>
      <c r="BO244" s="67">
        <f>+VLOOKUP('2. Logging Brejo Seco'!AN244,Leyenda!$B$30:$E$34,4,FALSE)</f>
        <v>0</v>
      </c>
      <c r="BP244" s="67">
        <f>VLOOKUP(AS244,Leyenda!$B$71:$E$75,4,FALSE)</f>
        <v>7</v>
      </c>
      <c r="BQ244" s="125">
        <f t="shared" si="82"/>
        <v>19</v>
      </c>
      <c r="BR244" s="85">
        <f t="shared" si="83"/>
        <v>23</v>
      </c>
      <c r="BS244" s="240">
        <f t="shared" si="84"/>
        <v>0.28000000000000003</v>
      </c>
      <c r="BT244" s="18"/>
    </row>
    <row r="245" spans="1:72" x14ac:dyDescent="0.25">
      <c r="A245" s="18" t="s">
        <v>6</v>
      </c>
      <c r="B245" s="18">
        <v>2024</v>
      </c>
      <c r="C245" s="18" t="s">
        <v>138</v>
      </c>
      <c r="D245" s="18" t="s">
        <v>130</v>
      </c>
      <c r="E245" s="18">
        <v>40</v>
      </c>
      <c r="F245" s="18">
        <v>40</v>
      </c>
      <c r="G245" s="18" t="s">
        <v>153</v>
      </c>
      <c r="H245" s="248">
        <f t="shared" si="85"/>
        <v>40</v>
      </c>
      <c r="I245" s="135"/>
      <c r="J245" s="18" t="s">
        <v>180</v>
      </c>
      <c r="K245" s="4">
        <f t="shared" si="88"/>
        <v>6</v>
      </c>
      <c r="L245" s="4">
        <v>6.5</v>
      </c>
      <c r="M245" s="4">
        <f t="shared" si="76"/>
        <v>0.5</v>
      </c>
      <c r="N245" s="5">
        <v>0.57999999999999996</v>
      </c>
      <c r="O245" s="5">
        <f t="shared" si="89"/>
        <v>0.42000000000000004</v>
      </c>
      <c r="P245" s="31">
        <f t="shared" si="77"/>
        <v>0.28999999999999998</v>
      </c>
      <c r="Q245" s="31">
        <f t="shared" si="72"/>
        <v>0.28999999999999998</v>
      </c>
      <c r="R245" s="31">
        <v>14.5</v>
      </c>
      <c r="S245" s="31">
        <v>20</v>
      </c>
      <c r="T245" s="31">
        <v>0.28999999999999998</v>
      </c>
      <c r="U245" s="31">
        <v>0</v>
      </c>
      <c r="V245" s="65">
        <f t="shared" si="86"/>
        <v>0</v>
      </c>
      <c r="W245" s="31">
        <v>7</v>
      </c>
      <c r="X245" s="31"/>
      <c r="Y245" s="31">
        <f t="shared" si="70"/>
        <v>7</v>
      </c>
      <c r="Z245" s="31">
        <f t="shared" si="71"/>
        <v>41.428571428571431</v>
      </c>
      <c r="AA245" s="18">
        <v>0</v>
      </c>
      <c r="AB245" s="18" t="s">
        <v>330</v>
      </c>
      <c r="AC245" s="18" t="s">
        <v>333</v>
      </c>
      <c r="AD245" s="18" t="s">
        <v>336</v>
      </c>
      <c r="AE245" s="18">
        <v>20</v>
      </c>
      <c r="AF245" s="18">
        <v>14.5</v>
      </c>
      <c r="AG245" s="18" t="s">
        <v>32</v>
      </c>
      <c r="AH245" s="18" t="s">
        <v>32</v>
      </c>
      <c r="AI245" s="18" t="str">
        <f>+VLOOKUP(AH245,Leyenda!$O$4:$U$10,6,FALSE)</f>
        <v>0,15-0,25</v>
      </c>
      <c r="AJ245" s="18" t="str">
        <f>+VLOOKUP(AG245,Leyenda!$O$4:$U$10,7,FALSE)</f>
        <v>No Blasting need</v>
      </c>
      <c r="AK245" s="18">
        <f>+VLOOKUP(AJ245,Leyenda!$U$4:$V$10,2,FALSE)</f>
        <v>2</v>
      </c>
      <c r="AL245" s="18" t="s">
        <v>200</v>
      </c>
      <c r="AM245" s="18" t="s">
        <v>32</v>
      </c>
      <c r="AN245" s="18" t="s">
        <v>69</v>
      </c>
      <c r="AO245" s="18" t="s">
        <v>79</v>
      </c>
      <c r="AP245" s="18" t="s">
        <v>100</v>
      </c>
      <c r="AQ245" s="18" t="s">
        <v>107</v>
      </c>
      <c r="AR245" s="18" t="s">
        <v>120</v>
      </c>
      <c r="AS245" s="18" t="s">
        <v>247</v>
      </c>
      <c r="AT245" s="18" t="s">
        <v>248</v>
      </c>
      <c r="AU245" s="18"/>
      <c r="AV245" s="18">
        <f>+VLOOKUP(AN245,Leyenda!$B$30:$E$34,3,FALSE)</f>
        <v>0</v>
      </c>
      <c r="AW245" s="18">
        <f>+VLOOKUP('2. Logging Brejo Seco'!AO245,Meteorizacion,3,FALSE)</f>
        <v>1</v>
      </c>
      <c r="AX245" s="18">
        <f>+VLOOKUP('2. Logging Brejo Seco'!AP245,Apertura,3,FALSE)</f>
        <v>0</v>
      </c>
      <c r="AY245" s="18">
        <f>+VLOOKUP('2. Logging Brejo Seco'!AQ245,Leyenda!$B$55:$D$59,3,FALSE)</f>
        <v>3</v>
      </c>
      <c r="AZ245" s="18">
        <f>+VLOOKUP('2. Logging Brejo Seco'!AR245,Relleno,3,FALSE)</f>
        <v>2</v>
      </c>
      <c r="BA245" s="18">
        <f t="shared" si="87"/>
        <v>6</v>
      </c>
      <c r="BB245" s="49">
        <f t="shared" si="73"/>
        <v>0</v>
      </c>
      <c r="BC245" s="49">
        <f>VLOOKUP(AH245,Leyenda!$B$4:$D$10,3,FALSE)</f>
        <v>1</v>
      </c>
      <c r="BD245" s="50">
        <f t="shared" si="79"/>
        <v>5</v>
      </c>
      <c r="BE245" s="49">
        <f t="shared" si="80"/>
        <v>6</v>
      </c>
      <c r="BF245" s="49">
        <f>VLOOKUP(AS245,Leyenda!$B$70:$D$75,3,FALSE)</f>
        <v>10</v>
      </c>
      <c r="BG245" s="67">
        <f t="shared" si="74"/>
        <v>9</v>
      </c>
      <c r="BH245" s="67">
        <f>VLOOKUP(AM245,Leyenda!$B$4:$E$10,4,FALSE)</f>
        <v>1</v>
      </c>
      <c r="BI245" s="67">
        <f t="shared" si="81"/>
        <v>5</v>
      </c>
      <c r="BJ245" s="67">
        <f t="shared" si="75"/>
        <v>0</v>
      </c>
      <c r="BK245" s="67">
        <f>+VLOOKUP('2. Logging Brejo Seco'!AP245,Leyenda!$B$47:$E$51,4,FALSE)</f>
        <v>0</v>
      </c>
      <c r="BL245" s="67">
        <f>+VLOOKUP('2. Logging Brejo Seco'!AQ245,Leyenda!$B$55:$E$59,4,FALSE)</f>
        <v>3</v>
      </c>
      <c r="BM245" s="67">
        <f>+VLOOKUP('2. Logging Brejo Seco'!AR245,Leyenda!$B$63:$E$67,3,FALSE)</f>
        <v>2</v>
      </c>
      <c r="BN245" s="67">
        <f>+VLOOKUP('2. Logging Brejo Seco'!AO245,Leyenda!$B$39:$E$43,4,FALSE)</f>
        <v>1</v>
      </c>
      <c r="BO245" s="67">
        <f>+VLOOKUP('2. Logging Brejo Seco'!AN245,Leyenda!$B$30:$E$34,4,FALSE)</f>
        <v>0</v>
      </c>
      <c r="BP245" s="67">
        <f>VLOOKUP(AS245,Leyenda!$B$71:$E$75,4,FALSE)</f>
        <v>7</v>
      </c>
      <c r="BQ245" s="125">
        <f t="shared" si="82"/>
        <v>19</v>
      </c>
      <c r="BR245" s="85">
        <f t="shared" si="83"/>
        <v>22</v>
      </c>
      <c r="BS245" s="240">
        <f t="shared" si="84"/>
        <v>0.42000000000000004</v>
      </c>
      <c r="BT245" s="18"/>
    </row>
    <row r="246" spans="1:72" x14ac:dyDescent="0.25">
      <c r="A246" s="18" t="s">
        <v>6</v>
      </c>
      <c r="B246" s="18">
        <v>2024</v>
      </c>
      <c r="C246" s="18" t="s">
        <v>138</v>
      </c>
      <c r="D246" s="18" t="s">
        <v>130</v>
      </c>
      <c r="E246" s="18">
        <v>40</v>
      </c>
      <c r="F246" s="18">
        <v>40</v>
      </c>
      <c r="G246" s="18" t="s">
        <v>153</v>
      </c>
      <c r="H246" s="248">
        <f t="shared" si="85"/>
        <v>40</v>
      </c>
      <c r="I246" s="135"/>
      <c r="J246" s="18" t="s">
        <v>180</v>
      </c>
      <c r="K246" s="4">
        <f t="shared" si="88"/>
        <v>6.5</v>
      </c>
      <c r="L246" s="4">
        <v>7</v>
      </c>
      <c r="M246" s="4">
        <f t="shared" si="76"/>
        <v>0.5</v>
      </c>
      <c r="N246" s="5">
        <v>0.56000000000000005</v>
      </c>
      <c r="O246" s="5">
        <f t="shared" si="89"/>
        <v>0.43999999999999995</v>
      </c>
      <c r="P246" s="31">
        <f t="shared" si="77"/>
        <v>0.28000000000000003</v>
      </c>
      <c r="Q246" s="31">
        <f t="shared" si="72"/>
        <v>0.28000000000000003</v>
      </c>
      <c r="R246" s="31">
        <v>14</v>
      </c>
      <c r="S246" s="31">
        <v>20</v>
      </c>
      <c r="T246" s="31">
        <v>0.25</v>
      </c>
      <c r="U246" s="31">
        <v>0.1</v>
      </c>
      <c r="V246" s="65">
        <f t="shared" si="86"/>
        <v>20</v>
      </c>
      <c r="W246" s="31">
        <v>5</v>
      </c>
      <c r="X246" s="31"/>
      <c r="Y246" s="31">
        <f t="shared" si="70"/>
        <v>5</v>
      </c>
      <c r="Z246" s="31">
        <f t="shared" si="71"/>
        <v>50</v>
      </c>
      <c r="AA246" s="18">
        <v>0</v>
      </c>
      <c r="AB246" s="18" t="s">
        <v>330</v>
      </c>
      <c r="AC246" s="18" t="s">
        <v>333</v>
      </c>
      <c r="AD246" s="18" t="s">
        <v>336</v>
      </c>
      <c r="AE246" s="18">
        <v>20</v>
      </c>
      <c r="AF246" s="18">
        <v>14</v>
      </c>
      <c r="AG246" s="18" t="s">
        <v>32</v>
      </c>
      <c r="AH246" s="18" t="s">
        <v>32</v>
      </c>
      <c r="AI246" s="18" t="str">
        <f>+VLOOKUP(AH246,Leyenda!$O$4:$U$10,6,FALSE)</f>
        <v>0,15-0,25</v>
      </c>
      <c r="AJ246" s="18" t="str">
        <f>+VLOOKUP(AG246,Leyenda!$O$4:$U$10,7,FALSE)</f>
        <v>No Blasting need</v>
      </c>
      <c r="AK246" s="18">
        <f>+VLOOKUP(AJ246,Leyenda!$U$4:$V$10,2,FALSE)</f>
        <v>2</v>
      </c>
      <c r="AL246" s="18" t="s">
        <v>200</v>
      </c>
      <c r="AM246" s="18" t="s">
        <v>32</v>
      </c>
      <c r="AN246" s="18" t="s">
        <v>69</v>
      </c>
      <c r="AO246" s="18" t="s">
        <v>81</v>
      </c>
      <c r="AP246" s="18" t="s">
        <v>100</v>
      </c>
      <c r="AQ246" s="18" t="s">
        <v>107</v>
      </c>
      <c r="AR246" s="18" t="s">
        <v>120</v>
      </c>
      <c r="AS246" s="18" t="s">
        <v>247</v>
      </c>
      <c r="AT246" s="18" t="s">
        <v>248</v>
      </c>
      <c r="AU246" s="18"/>
      <c r="AV246" s="18">
        <f>+VLOOKUP(AN246,Leyenda!$B$30:$E$34,3,FALSE)</f>
        <v>0</v>
      </c>
      <c r="AW246" s="18">
        <f>+VLOOKUP('2. Logging Brejo Seco'!AO246,Meteorizacion,3,FALSE)</f>
        <v>0</v>
      </c>
      <c r="AX246" s="18">
        <f>+VLOOKUP('2. Logging Brejo Seco'!AP246,Apertura,3,FALSE)</f>
        <v>0</v>
      </c>
      <c r="AY246" s="18">
        <f>+VLOOKUP('2. Logging Brejo Seco'!AQ246,Leyenda!$B$55:$D$59,3,FALSE)</f>
        <v>3</v>
      </c>
      <c r="AZ246" s="18">
        <f>+VLOOKUP('2. Logging Brejo Seco'!AR246,Relleno,3,FALSE)</f>
        <v>2</v>
      </c>
      <c r="BA246" s="18">
        <f t="shared" si="87"/>
        <v>5</v>
      </c>
      <c r="BB246" s="49">
        <f t="shared" si="73"/>
        <v>4</v>
      </c>
      <c r="BC246" s="49">
        <f>VLOOKUP(AH246,Leyenda!$B$4:$D$10,3,FALSE)</f>
        <v>1</v>
      </c>
      <c r="BD246" s="50">
        <f t="shared" si="79"/>
        <v>6</v>
      </c>
      <c r="BE246" s="49">
        <f t="shared" si="80"/>
        <v>5</v>
      </c>
      <c r="BF246" s="49">
        <f>VLOOKUP(AS246,Leyenda!$B$70:$D$75,3,FALSE)</f>
        <v>10</v>
      </c>
      <c r="BG246" s="67">
        <f t="shared" si="74"/>
        <v>17.5</v>
      </c>
      <c r="BH246" s="67">
        <f>VLOOKUP(AM246,Leyenda!$B$4:$E$10,4,FALSE)</f>
        <v>1</v>
      </c>
      <c r="BI246" s="67">
        <f t="shared" si="81"/>
        <v>5</v>
      </c>
      <c r="BJ246" s="67">
        <f t="shared" si="75"/>
        <v>4</v>
      </c>
      <c r="BK246" s="67">
        <f>+VLOOKUP('2. Logging Brejo Seco'!AP246,Leyenda!$B$47:$E$51,4,FALSE)</f>
        <v>0</v>
      </c>
      <c r="BL246" s="67">
        <f>+VLOOKUP('2. Logging Brejo Seco'!AQ246,Leyenda!$B$55:$E$59,4,FALSE)</f>
        <v>3</v>
      </c>
      <c r="BM246" s="67">
        <f>+VLOOKUP('2. Logging Brejo Seco'!AR246,Leyenda!$B$63:$E$67,3,FALSE)</f>
        <v>2</v>
      </c>
      <c r="BN246" s="67">
        <f>+VLOOKUP('2. Logging Brejo Seco'!AO246,Leyenda!$B$39:$E$43,4,FALSE)</f>
        <v>0</v>
      </c>
      <c r="BO246" s="67">
        <f>+VLOOKUP('2. Logging Brejo Seco'!AN246,Leyenda!$B$30:$E$34,4,FALSE)</f>
        <v>0</v>
      </c>
      <c r="BP246" s="67">
        <f>VLOOKUP(AS246,Leyenda!$B$71:$E$75,4,FALSE)</f>
        <v>7</v>
      </c>
      <c r="BQ246" s="125">
        <f t="shared" si="82"/>
        <v>22</v>
      </c>
      <c r="BR246" s="85">
        <f t="shared" si="83"/>
        <v>26</v>
      </c>
      <c r="BS246" s="240">
        <f t="shared" si="84"/>
        <v>0.43999999999999995</v>
      </c>
      <c r="BT246" s="18"/>
    </row>
    <row r="247" spans="1:72" x14ac:dyDescent="0.25">
      <c r="A247" s="18" t="s">
        <v>6</v>
      </c>
      <c r="B247" s="18">
        <v>2024</v>
      </c>
      <c r="C247" s="18" t="s">
        <v>138</v>
      </c>
      <c r="D247" s="18" t="s">
        <v>130</v>
      </c>
      <c r="E247" s="18">
        <v>40</v>
      </c>
      <c r="F247" s="18">
        <v>40</v>
      </c>
      <c r="G247" s="18" t="s">
        <v>153</v>
      </c>
      <c r="H247" s="248">
        <f t="shared" si="85"/>
        <v>40</v>
      </c>
      <c r="I247" s="135"/>
      <c r="J247" s="18" t="s">
        <v>180</v>
      </c>
      <c r="K247" s="4">
        <f t="shared" si="88"/>
        <v>7</v>
      </c>
      <c r="L247" s="4">
        <v>7.5</v>
      </c>
      <c r="M247" s="4">
        <f t="shared" si="76"/>
        <v>0.5</v>
      </c>
      <c r="N247" s="5">
        <v>0.92</v>
      </c>
      <c r="O247" s="5">
        <f t="shared" si="89"/>
        <v>7.999999999999996E-2</v>
      </c>
      <c r="P247" s="31">
        <f t="shared" si="77"/>
        <v>0.46</v>
      </c>
      <c r="Q247" s="31">
        <f t="shared" si="72"/>
        <v>0.46</v>
      </c>
      <c r="R247" s="31">
        <v>23</v>
      </c>
      <c r="S247" s="31">
        <v>20</v>
      </c>
      <c r="T247" s="31">
        <v>0.41</v>
      </c>
      <c r="U247" s="31">
        <v>0.13</v>
      </c>
      <c r="V247" s="65">
        <f t="shared" si="86"/>
        <v>26</v>
      </c>
      <c r="W247" s="31">
        <v>8</v>
      </c>
      <c r="X247" s="31"/>
      <c r="Y247" s="31">
        <f t="shared" si="70"/>
        <v>8</v>
      </c>
      <c r="Z247" s="31">
        <f t="shared" si="71"/>
        <v>51.25</v>
      </c>
      <c r="AA247" s="18">
        <v>0</v>
      </c>
      <c r="AB247" s="18" t="s">
        <v>330</v>
      </c>
      <c r="AC247" s="18" t="s">
        <v>333</v>
      </c>
      <c r="AD247" s="18" t="s">
        <v>336</v>
      </c>
      <c r="AE247" s="18">
        <v>20</v>
      </c>
      <c r="AF247" s="18">
        <v>23</v>
      </c>
      <c r="AG247" s="18" t="s">
        <v>32</v>
      </c>
      <c r="AH247" s="18" t="s">
        <v>32</v>
      </c>
      <c r="AI247" s="18" t="str">
        <f>+VLOOKUP(AH247,Leyenda!$O$4:$U$10,6,FALSE)</f>
        <v>0,15-0,25</v>
      </c>
      <c r="AJ247" s="18" t="str">
        <f>+VLOOKUP(AG247,Leyenda!$O$4:$U$10,7,FALSE)</f>
        <v>No Blasting need</v>
      </c>
      <c r="AK247" s="18">
        <f>+VLOOKUP(AJ247,Leyenda!$U$4:$V$10,2,FALSE)</f>
        <v>2</v>
      </c>
      <c r="AL247" s="18" t="s">
        <v>239</v>
      </c>
      <c r="AM247" s="18" t="s">
        <v>32</v>
      </c>
      <c r="AN247" s="18" t="s">
        <v>69</v>
      </c>
      <c r="AO247" s="18" t="s">
        <v>79</v>
      </c>
      <c r="AP247" s="18" t="s">
        <v>100</v>
      </c>
      <c r="AQ247" s="18" t="s">
        <v>107</v>
      </c>
      <c r="AR247" s="18" t="s">
        <v>120</v>
      </c>
      <c r="AS247" s="18" t="s">
        <v>247</v>
      </c>
      <c r="AT247" s="18" t="s">
        <v>248</v>
      </c>
      <c r="AU247" s="18"/>
      <c r="AV247" s="18">
        <f>+VLOOKUP(AN247,Leyenda!$B$30:$E$34,3,FALSE)</f>
        <v>0</v>
      </c>
      <c r="AW247" s="18">
        <f>+VLOOKUP('2. Logging Brejo Seco'!AO247,Meteorizacion,3,FALSE)</f>
        <v>1</v>
      </c>
      <c r="AX247" s="18">
        <f>+VLOOKUP('2. Logging Brejo Seco'!AP247,Apertura,3,FALSE)</f>
        <v>0</v>
      </c>
      <c r="AY247" s="18">
        <f>+VLOOKUP('2. Logging Brejo Seco'!AQ247,Leyenda!$B$55:$D$59,3,FALSE)</f>
        <v>3</v>
      </c>
      <c r="AZ247" s="18">
        <f>+VLOOKUP('2. Logging Brejo Seco'!AR247,Relleno,3,FALSE)</f>
        <v>2</v>
      </c>
      <c r="BA247" s="18">
        <f t="shared" si="87"/>
        <v>6</v>
      </c>
      <c r="BB247" s="49">
        <f t="shared" si="73"/>
        <v>6</v>
      </c>
      <c r="BC247" s="49">
        <f>VLOOKUP(AH247,Leyenda!$B$4:$D$10,3,FALSE)</f>
        <v>1</v>
      </c>
      <c r="BD247" s="50">
        <f t="shared" si="79"/>
        <v>6</v>
      </c>
      <c r="BE247" s="49">
        <f t="shared" si="80"/>
        <v>6</v>
      </c>
      <c r="BF247" s="49">
        <f>VLOOKUP(AS247,Leyenda!$B$70:$D$75,3,FALSE)</f>
        <v>10</v>
      </c>
      <c r="BG247" s="67">
        <f t="shared" si="74"/>
        <v>22</v>
      </c>
      <c r="BH247" s="67">
        <f>VLOOKUP(AM247,Leyenda!$B$4:$E$10,4,FALSE)</f>
        <v>1</v>
      </c>
      <c r="BI247" s="67">
        <f t="shared" si="81"/>
        <v>4</v>
      </c>
      <c r="BJ247" s="67">
        <f t="shared" si="75"/>
        <v>6</v>
      </c>
      <c r="BK247" s="67">
        <f>+VLOOKUP('2. Logging Brejo Seco'!AP247,Leyenda!$B$47:$E$51,4,FALSE)</f>
        <v>0</v>
      </c>
      <c r="BL247" s="67">
        <f>+VLOOKUP('2. Logging Brejo Seco'!AQ247,Leyenda!$B$55:$E$59,4,FALSE)</f>
        <v>3</v>
      </c>
      <c r="BM247" s="67">
        <f>+VLOOKUP('2. Logging Brejo Seco'!AR247,Leyenda!$B$63:$E$67,3,FALSE)</f>
        <v>2</v>
      </c>
      <c r="BN247" s="67">
        <f>+VLOOKUP('2. Logging Brejo Seco'!AO247,Leyenda!$B$39:$E$43,4,FALSE)</f>
        <v>1</v>
      </c>
      <c r="BO247" s="67">
        <f>+VLOOKUP('2. Logging Brejo Seco'!AN247,Leyenda!$B$30:$E$34,4,FALSE)</f>
        <v>0</v>
      </c>
      <c r="BP247" s="67">
        <f>VLOOKUP(AS247,Leyenda!$B$71:$E$75,4,FALSE)</f>
        <v>7</v>
      </c>
      <c r="BQ247" s="125">
        <f t="shared" si="82"/>
        <v>24</v>
      </c>
      <c r="BR247" s="85">
        <f t="shared" si="83"/>
        <v>29</v>
      </c>
      <c r="BS247" s="240">
        <f t="shared" si="84"/>
        <v>7.999999999999996E-2</v>
      </c>
      <c r="BT247" s="18"/>
    </row>
    <row r="248" spans="1:72" x14ac:dyDescent="0.25">
      <c r="A248" s="18" t="s">
        <v>6</v>
      </c>
      <c r="B248" s="18">
        <v>2024</v>
      </c>
      <c r="C248" s="18" t="s">
        <v>138</v>
      </c>
      <c r="D248" s="18" t="s">
        <v>130</v>
      </c>
      <c r="E248" s="18">
        <v>40</v>
      </c>
      <c r="F248" s="18">
        <v>40</v>
      </c>
      <c r="G248" s="18" t="s">
        <v>153</v>
      </c>
      <c r="H248" s="248">
        <f t="shared" si="85"/>
        <v>40</v>
      </c>
      <c r="I248" s="135"/>
      <c r="J248" s="18" t="s">
        <v>180</v>
      </c>
      <c r="K248" s="4">
        <f t="shared" si="88"/>
        <v>7.5</v>
      </c>
      <c r="L248" s="4">
        <v>8</v>
      </c>
      <c r="M248" s="4">
        <f t="shared" si="76"/>
        <v>0.5</v>
      </c>
      <c r="N248" s="5">
        <v>0.94</v>
      </c>
      <c r="O248" s="5">
        <f t="shared" si="89"/>
        <v>6.0000000000000053E-2</v>
      </c>
      <c r="P248" s="31">
        <f t="shared" si="77"/>
        <v>0.47</v>
      </c>
      <c r="Q248" s="31">
        <f t="shared" si="72"/>
        <v>0.47</v>
      </c>
      <c r="R248" s="31">
        <v>23.5</v>
      </c>
      <c r="S248" s="31">
        <v>20</v>
      </c>
      <c r="T248" s="31">
        <v>0.43</v>
      </c>
      <c r="U248" s="31">
        <v>0.15</v>
      </c>
      <c r="V248" s="65">
        <f t="shared" si="86"/>
        <v>30</v>
      </c>
      <c r="W248" s="31">
        <v>5</v>
      </c>
      <c r="X248" s="31"/>
      <c r="Y248" s="31">
        <f t="shared" si="70"/>
        <v>5</v>
      </c>
      <c r="Z248" s="31">
        <f t="shared" si="71"/>
        <v>86</v>
      </c>
      <c r="AA248" s="18">
        <v>0</v>
      </c>
      <c r="AB248" s="18" t="s">
        <v>330</v>
      </c>
      <c r="AC248" s="18" t="s">
        <v>333</v>
      </c>
      <c r="AD248" s="18" t="s">
        <v>336</v>
      </c>
      <c r="AE248" s="18">
        <v>20</v>
      </c>
      <c r="AF248" s="18">
        <v>23.5</v>
      </c>
      <c r="AG248" s="18" t="s">
        <v>32</v>
      </c>
      <c r="AH248" s="18" t="s">
        <v>32</v>
      </c>
      <c r="AI248" s="18" t="str">
        <f>+VLOOKUP(AH248,Leyenda!$O$4:$U$10,6,FALSE)</f>
        <v>0,15-0,25</v>
      </c>
      <c r="AJ248" s="18" t="str">
        <f>+VLOOKUP(AG248,Leyenda!$O$4:$U$10,7,FALSE)</f>
        <v>No Blasting need</v>
      </c>
      <c r="AK248" s="18">
        <f>+VLOOKUP(AJ248,Leyenda!$U$4:$V$10,2,FALSE)</f>
        <v>2</v>
      </c>
      <c r="AL248" s="18" t="s">
        <v>239</v>
      </c>
      <c r="AM248" s="18" t="s">
        <v>32</v>
      </c>
      <c r="AN248" s="18" t="s">
        <v>69</v>
      </c>
      <c r="AO248" s="18" t="s">
        <v>79</v>
      </c>
      <c r="AP248" s="18" t="s">
        <v>100</v>
      </c>
      <c r="AQ248" s="18" t="s">
        <v>107</v>
      </c>
      <c r="AR248" s="18" t="s">
        <v>120</v>
      </c>
      <c r="AS248" s="18" t="s">
        <v>247</v>
      </c>
      <c r="AT248" s="18" t="s">
        <v>248</v>
      </c>
      <c r="AU248" s="18"/>
      <c r="AV248" s="18">
        <f>+VLOOKUP(AN248,Leyenda!$B$30:$E$34,3,FALSE)</f>
        <v>0</v>
      </c>
      <c r="AW248" s="18">
        <f>+VLOOKUP('2. Logging Brejo Seco'!AO248,Meteorizacion,3,FALSE)</f>
        <v>1</v>
      </c>
      <c r="AX248" s="18">
        <f>+VLOOKUP('2. Logging Brejo Seco'!AP248,Apertura,3,FALSE)</f>
        <v>0</v>
      </c>
      <c r="AY248" s="18">
        <f>+VLOOKUP('2. Logging Brejo Seco'!AQ248,Leyenda!$B$55:$D$59,3,FALSE)</f>
        <v>3</v>
      </c>
      <c r="AZ248" s="18">
        <f>+VLOOKUP('2. Logging Brejo Seco'!AR248,Relleno,3,FALSE)</f>
        <v>2</v>
      </c>
      <c r="BA248" s="18">
        <f t="shared" si="87"/>
        <v>6</v>
      </c>
      <c r="BB248" s="49">
        <f t="shared" si="73"/>
        <v>6</v>
      </c>
      <c r="BC248" s="49">
        <f>VLOOKUP(AH248,Leyenda!$B$4:$D$10,3,FALSE)</f>
        <v>1</v>
      </c>
      <c r="BD248" s="50">
        <f t="shared" si="79"/>
        <v>7</v>
      </c>
      <c r="BE248" s="49">
        <f t="shared" si="80"/>
        <v>6</v>
      </c>
      <c r="BF248" s="49">
        <f>VLOOKUP(AS248,Leyenda!$B$70:$D$75,3,FALSE)</f>
        <v>10</v>
      </c>
      <c r="BG248" s="67">
        <f t="shared" si="74"/>
        <v>24</v>
      </c>
      <c r="BH248" s="67">
        <f>VLOOKUP(AM248,Leyenda!$B$4:$E$10,4,FALSE)</f>
        <v>1</v>
      </c>
      <c r="BI248" s="67">
        <f t="shared" si="81"/>
        <v>7</v>
      </c>
      <c r="BJ248" s="67">
        <f t="shared" si="75"/>
        <v>6</v>
      </c>
      <c r="BK248" s="67">
        <f>+VLOOKUP('2. Logging Brejo Seco'!AP248,Leyenda!$B$47:$E$51,4,FALSE)</f>
        <v>0</v>
      </c>
      <c r="BL248" s="67">
        <f>+VLOOKUP('2. Logging Brejo Seco'!AQ248,Leyenda!$B$55:$E$59,4,FALSE)</f>
        <v>3</v>
      </c>
      <c r="BM248" s="67">
        <f>+VLOOKUP('2. Logging Brejo Seco'!AR248,Leyenda!$B$63:$E$67,3,FALSE)</f>
        <v>2</v>
      </c>
      <c r="BN248" s="67">
        <f>+VLOOKUP('2. Logging Brejo Seco'!AO248,Leyenda!$B$39:$E$43,4,FALSE)</f>
        <v>1</v>
      </c>
      <c r="BO248" s="67">
        <f>+VLOOKUP('2. Logging Brejo Seco'!AN248,Leyenda!$B$30:$E$34,4,FALSE)</f>
        <v>0</v>
      </c>
      <c r="BP248" s="67">
        <f>VLOOKUP(AS248,Leyenda!$B$71:$E$75,4,FALSE)</f>
        <v>7</v>
      </c>
      <c r="BQ248" s="125">
        <f t="shared" si="82"/>
        <v>27</v>
      </c>
      <c r="BR248" s="85">
        <f t="shared" si="83"/>
        <v>30</v>
      </c>
      <c r="BS248" s="240">
        <f t="shared" si="84"/>
        <v>6.0000000000000053E-2</v>
      </c>
      <c r="BT248" s="18"/>
    </row>
    <row r="249" spans="1:72" x14ac:dyDescent="0.25">
      <c r="A249" s="18" t="s">
        <v>6</v>
      </c>
      <c r="B249" s="18">
        <v>2024</v>
      </c>
      <c r="C249" s="18" t="s">
        <v>138</v>
      </c>
      <c r="D249" s="18" t="s">
        <v>130</v>
      </c>
      <c r="E249" s="18">
        <v>40</v>
      </c>
      <c r="F249" s="18">
        <v>40</v>
      </c>
      <c r="G249" s="18" t="s">
        <v>153</v>
      </c>
      <c r="H249" s="248">
        <f t="shared" si="85"/>
        <v>40</v>
      </c>
      <c r="I249" s="135"/>
      <c r="J249" s="18" t="s">
        <v>180</v>
      </c>
      <c r="K249" s="4">
        <f t="shared" si="88"/>
        <v>8</v>
      </c>
      <c r="L249" s="4">
        <v>8.5</v>
      </c>
      <c r="M249" s="4">
        <f t="shared" si="76"/>
        <v>0.5</v>
      </c>
      <c r="N249" s="5">
        <v>0.86</v>
      </c>
      <c r="O249" s="5">
        <f t="shared" si="89"/>
        <v>0.14000000000000001</v>
      </c>
      <c r="P249" s="31">
        <f t="shared" si="77"/>
        <v>0.43</v>
      </c>
      <c r="Q249" s="31">
        <f t="shared" si="72"/>
        <v>0.43</v>
      </c>
      <c r="R249" s="31">
        <v>21.5</v>
      </c>
      <c r="S249" s="31">
        <v>20</v>
      </c>
      <c r="T249" s="31">
        <f>0.16+0.21</f>
        <v>0.37</v>
      </c>
      <c r="U249" s="84">
        <v>0.16</v>
      </c>
      <c r="V249" s="65">
        <f t="shared" si="86"/>
        <v>32</v>
      </c>
      <c r="W249" s="31">
        <v>5</v>
      </c>
      <c r="X249" s="31"/>
      <c r="Y249" s="31">
        <f t="shared" ref="Y249:Y354" si="90">+W249+X249</f>
        <v>5</v>
      </c>
      <c r="Z249" s="31">
        <f t="shared" ref="Z249:Z312" si="91">+IF(T249=0,"",(T249*1000)/Y249)</f>
        <v>74</v>
      </c>
      <c r="AA249" s="18">
        <v>0</v>
      </c>
      <c r="AB249" s="18" t="s">
        <v>330</v>
      </c>
      <c r="AC249" s="18" t="s">
        <v>333</v>
      </c>
      <c r="AD249" s="18" t="s">
        <v>336</v>
      </c>
      <c r="AE249" s="18">
        <v>20</v>
      </c>
      <c r="AF249" s="18">
        <v>21.5</v>
      </c>
      <c r="AG249" s="18" t="s">
        <v>32</v>
      </c>
      <c r="AH249" s="18" t="s">
        <v>32</v>
      </c>
      <c r="AI249" s="18" t="str">
        <f>+VLOOKUP(AH249,Leyenda!$O$4:$U$10,6,FALSE)</f>
        <v>0,15-0,25</v>
      </c>
      <c r="AJ249" s="18" t="str">
        <f>+VLOOKUP(AG249,Leyenda!$O$4:$U$10,7,FALSE)</f>
        <v>No Blasting need</v>
      </c>
      <c r="AK249" s="18">
        <f>+VLOOKUP(AJ249,Leyenda!$U$4:$V$10,2,FALSE)</f>
        <v>2</v>
      </c>
      <c r="AL249" s="18" t="s">
        <v>239</v>
      </c>
      <c r="AM249" s="18" t="s">
        <v>32</v>
      </c>
      <c r="AN249" s="18" t="s">
        <v>69</v>
      </c>
      <c r="AO249" s="18" t="s">
        <v>81</v>
      </c>
      <c r="AP249" s="18" t="s">
        <v>100</v>
      </c>
      <c r="AQ249" s="18" t="s">
        <v>107</v>
      </c>
      <c r="AR249" s="18" t="s">
        <v>120</v>
      </c>
      <c r="AS249" s="18" t="s">
        <v>247</v>
      </c>
      <c r="AT249" s="18" t="s">
        <v>248</v>
      </c>
      <c r="AU249" s="18"/>
      <c r="AV249" s="18">
        <f>+VLOOKUP(AN249,Leyenda!$B$30:$E$34,3,FALSE)</f>
        <v>0</v>
      </c>
      <c r="AW249" s="18">
        <f>+VLOOKUP('2. Logging Brejo Seco'!AO249,Meteorizacion,3,FALSE)</f>
        <v>0</v>
      </c>
      <c r="AX249" s="18">
        <f>+VLOOKUP('2. Logging Brejo Seco'!AP249,Apertura,3,FALSE)</f>
        <v>0</v>
      </c>
      <c r="AY249" s="18">
        <f>+VLOOKUP('2. Logging Brejo Seco'!AQ249,Leyenda!$B$55:$D$59,3,FALSE)</f>
        <v>3</v>
      </c>
      <c r="AZ249" s="18">
        <f>+VLOOKUP('2. Logging Brejo Seco'!AR249,Relleno,3,FALSE)</f>
        <v>2</v>
      </c>
      <c r="BA249" s="18">
        <f t="shared" si="87"/>
        <v>5</v>
      </c>
      <c r="BB249" s="49">
        <f t="shared" si="73"/>
        <v>7</v>
      </c>
      <c r="BC249" s="49">
        <f>VLOOKUP(AH249,Leyenda!$B$4:$D$10,3,FALSE)</f>
        <v>1</v>
      </c>
      <c r="BD249" s="50">
        <f t="shared" si="79"/>
        <v>7</v>
      </c>
      <c r="BE249" s="49">
        <f t="shared" si="80"/>
        <v>5</v>
      </c>
      <c r="BF249" s="49">
        <f>VLOOKUP(AS249,Leyenda!$B$70:$D$75,3,FALSE)</f>
        <v>10</v>
      </c>
      <c r="BG249" s="67">
        <f t="shared" si="74"/>
        <v>23.5</v>
      </c>
      <c r="BH249" s="67">
        <f>VLOOKUP(AM249,Leyenda!$B$4:$E$10,4,FALSE)</f>
        <v>1</v>
      </c>
      <c r="BI249" s="67">
        <f t="shared" si="81"/>
        <v>6</v>
      </c>
      <c r="BJ249" s="67">
        <f t="shared" si="75"/>
        <v>7</v>
      </c>
      <c r="BK249" s="67">
        <f>+VLOOKUP('2. Logging Brejo Seco'!AP249,Leyenda!$B$47:$E$51,4,FALSE)</f>
        <v>0</v>
      </c>
      <c r="BL249" s="67">
        <f>+VLOOKUP('2. Logging Brejo Seco'!AQ249,Leyenda!$B$55:$E$59,4,FALSE)</f>
        <v>3</v>
      </c>
      <c r="BM249" s="67">
        <f>+VLOOKUP('2. Logging Brejo Seco'!AR249,Leyenda!$B$63:$E$67,3,FALSE)</f>
        <v>2</v>
      </c>
      <c r="BN249" s="67">
        <f>+VLOOKUP('2. Logging Brejo Seco'!AO249,Leyenda!$B$39:$E$43,4,FALSE)</f>
        <v>0</v>
      </c>
      <c r="BO249" s="67">
        <f>+VLOOKUP('2. Logging Brejo Seco'!AN249,Leyenda!$B$30:$E$34,4,FALSE)</f>
        <v>0</v>
      </c>
      <c r="BP249" s="67">
        <f>VLOOKUP(AS249,Leyenda!$B$71:$E$75,4,FALSE)</f>
        <v>7</v>
      </c>
      <c r="BQ249" s="125">
        <f t="shared" si="82"/>
        <v>26</v>
      </c>
      <c r="BR249" s="85">
        <f t="shared" si="83"/>
        <v>30</v>
      </c>
      <c r="BS249" s="240">
        <f t="shared" si="84"/>
        <v>0.14000000000000001</v>
      </c>
      <c r="BT249" s="18"/>
    </row>
    <row r="250" spans="1:72" x14ac:dyDescent="0.25">
      <c r="A250" s="18" t="s">
        <v>6</v>
      </c>
      <c r="B250" s="18">
        <v>2024</v>
      </c>
      <c r="C250" s="18" t="s">
        <v>138</v>
      </c>
      <c r="D250" s="18" t="s">
        <v>130</v>
      </c>
      <c r="E250" s="18">
        <v>40</v>
      </c>
      <c r="F250" s="18">
        <v>40</v>
      </c>
      <c r="G250" s="18" t="s">
        <v>153</v>
      </c>
      <c r="H250" s="248">
        <f t="shared" si="85"/>
        <v>40</v>
      </c>
      <c r="I250" s="135"/>
      <c r="J250" s="18" t="s">
        <v>180</v>
      </c>
      <c r="K250" s="4">
        <f t="shared" si="88"/>
        <v>8.5</v>
      </c>
      <c r="L250" s="4">
        <v>9</v>
      </c>
      <c r="M250" s="4">
        <f t="shared" si="76"/>
        <v>0.5</v>
      </c>
      <c r="N250" s="5">
        <v>1</v>
      </c>
      <c r="O250" s="5">
        <f t="shared" si="89"/>
        <v>0</v>
      </c>
      <c r="P250" s="31">
        <f t="shared" si="77"/>
        <v>0.5</v>
      </c>
      <c r="Q250" s="31">
        <f t="shared" si="72"/>
        <v>0.5</v>
      </c>
      <c r="R250" s="31">
        <v>25</v>
      </c>
      <c r="S250" s="31">
        <v>20</v>
      </c>
      <c r="T250" s="31">
        <v>0.43</v>
      </c>
      <c r="U250" s="31">
        <v>0.28000000000000003</v>
      </c>
      <c r="V250" s="65">
        <f t="shared" si="86"/>
        <v>56.000000000000007</v>
      </c>
      <c r="W250" s="31">
        <v>4</v>
      </c>
      <c r="X250" s="31"/>
      <c r="Y250" s="31">
        <f t="shared" si="90"/>
        <v>4</v>
      </c>
      <c r="Z250" s="31">
        <f t="shared" si="91"/>
        <v>107.5</v>
      </c>
      <c r="AA250" s="18">
        <v>0</v>
      </c>
      <c r="AB250" s="18" t="s">
        <v>330</v>
      </c>
      <c r="AC250" s="18" t="s">
        <v>333</v>
      </c>
      <c r="AD250" s="18" t="s">
        <v>336</v>
      </c>
      <c r="AE250" s="18">
        <v>20</v>
      </c>
      <c r="AF250" s="18">
        <v>25</v>
      </c>
      <c r="AG250" s="18" t="s">
        <v>32</v>
      </c>
      <c r="AH250" s="18" t="s">
        <v>32</v>
      </c>
      <c r="AI250" s="18" t="str">
        <f>+VLOOKUP(AH250,Leyenda!$O$4:$U$10,6,FALSE)</f>
        <v>0,15-0,25</v>
      </c>
      <c r="AJ250" s="18" t="str">
        <f>+VLOOKUP(AG250,Leyenda!$O$4:$U$10,7,FALSE)</f>
        <v>No Blasting need</v>
      </c>
      <c r="AK250" s="18">
        <f>+VLOOKUP(AJ250,Leyenda!$U$4:$V$10,2,FALSE)</f>
        <v>2</v>
      </c>
      <c r="AL250" s="18" t="s">
        <v>239</v>
      </c>
      <c r="AM250" s="18" t="s">
        <v>32</v>
      </c>
      <c r="AN250" s="18" t="s">
        <v>69</v>
      </c>
      <c r="AO250" s="18" t="s">
        <v>79</v>
      </c>
      <c r="AP250" s="18" t="s">
        <v>100</v>
      </c>
      <c r="AQ250" s="18" t="s">
        <v>107</v>
      </c>
      <c r="AR250" s="18" t="s">
        <v>120</v>
      </c>
      <c r="AS250" s="18" t="s">
        <v>247</v>
      </c>
      <c r="AT250" s="18" t="s">
        <v>248</v>
      </c>
      <c r="AU250" s="18"/>
      <c r="AV250" s="18">
        <f>+VLOOKUP(AN250,Leyenda!$B$30:$E$34,3,FALSE)</f>
        <v>0</v>
      </c>
      <c r="AW250" s="18">
        <f>+VLOOKUP('2. Logging Brejo Seco'!AO250,Meteorizacion,3,FALSE)</f>
        <v>1</v>
      </c>
      <c r="AX250" s="18">
        <f>+VLOOKUP('2. Logging Brejo Seco'!AP250,Apertura,3,FALSE)</f>
        <v>0</v>
      </c>
      <c r="AY250" s="18">
        <f>+VLOOKUP('2. Logging Brejo Seco'!AQ250,Leyenda!$B$55:$D$59,3,FALSE)</f>
        <v>3</v>
      </c>
      <c r="AZ250" s="18">
        <f>+VLOOKUP('2. Logging Brejo Seco'!AR250,Relleno,3,FALSE)</f>
        <v>2</v>
      </c>
      <c r="BA250" s="18">
        <f t="shared" si="87"/>
        <v>6</v>
      </c>
      <c r="BB250" s="49">
        <f t="shared" si="73"/>
        <v>12</v>
      </c>
      <c r="BC250" s="49">
        <f>VLOOKUP(AH250,Leyenda!$B$4:$D$10,3,FALSE)</f>
        <v>1</v>
      </c>
      <c r="BD250" s="50">
        <f t="shared" si="79"/>
        <v>7</v>
      </c>
      <c r="BE250" s="49">
        <f t="shared" si="80"/>
        <v>6</v>
      </c>
      <c r="BF250" s="49">
        <f>VLOOKUP(AS250,Leyenda!$B$70:$D$75,3,FALSE)</f>
        <v>10</v>
      </c>
      <c r="BG250" s="67">
        <f t="shared" si="74"/>
        <v>37</v>
      </c>
      <c r="BH250" s="67">
        <f>VLOOKUP(AM250,Leyenda!$B$4:$E$10,4,FALSE)</f>
        <v>1</v>
      </c>
      <c r="BI250" s="67">
        <f t="shared" si="81"/>
        <v>9</v>
      </c>
      <c r="BJ250" s="67">
        <f t="shared" si="75"/>
        <v>12</v>
      </c>
      <c r="BK250" s="67">
        <f>+VLOOKUP('2. Logging Brejo Seco'!AP250,Leyenda!$B$47:$E$51,4,FALSE)</f>
        <v>0</v>
      </c>
      <c r="BL250" s="67">
        <f>+VLOOKUP('2. Logging Brejo Seco'!AQ250,Leyenda!$B$55:$E$59,4,FALSE)</f>
        <v>3</v>
      </c>
      <c r="BM250" s="67">
        <f>+VLOOKUP('2. Logging Brejo Seco'!AR250,Leyenda!$B$63:$E$67,3,FALSE)</f>
        <v>2</v>
      </c>
      <c r="BN250" s="67">
        <f>+VLOOKUP('2. Logging Brejo Seco'!AO250,Leyenda!$B$39:$E$43,4,FALSE)</f>
        <v>1</v>
      </c>
      <c r="BO250" s="67">
        <f>+VLOOKUP('2. Logging Brejo Seco'!AN250,Leyenda!$B$30:$E$34,4,FALSE)</f>
        <v>0</v>
      </c>
      <c r="BP250" s="67">
        <f>VLOOKUP(AS250,Leyenda!$B$71:$E$75,4,FALSE)</f>
        <v>7</v>
      </c>
      <c r="BQ250" s="125">
        <f t="shared" si="82"/>
        <v>35</v>
      </c>
      <c r="BR250" s="85">
        <f t="shared" si="83"/>
        <v>36</v>
      </c>
      <c r="BS250" s="240">
        <f t="shared" si="84"/>
        <v>0</v>
      </c>
      <c r="BT250" s="18"/>
    </row>
    <row r="251" spans="1:72" x14ac:dyDescent="0.25">
      <c r="A251" s="18" t="s">
        <v>6</v>
      </c>
      <c r="B251" s="18">
        <v>2024</v>
      </c>
      <c r="C251" s="18" t="s">
        <v>138</v>
      </c>
      <c r="D251" s="18" t="s">
        <v>130</v>
      </c>
      <c r="E251" s="18">
        <v>40</v>
      </c>
      <c r="F251" s="18">
        <v>40</v>
      </c>
      <c r="G251" s="18" t="s">
        <v>153</v>
      </c>
      <c r="H251" s="248">
        <f t="shared" si="85"/>
        <v>40</v>
      </c>
      <c r="I251" s="135"/>
      <c r="J251" s="18" t="s">
        <v>180</v>
      </c>
      <c r="K251" s="4">
        <f t="shared" si="88"/>
        <v>9</v>
      </c>
      <c r="L251" s="4">
        <v>9.5</v>
      </c>
      <c r="M251" s="4">
        <f t="shared" si="76"/>
        <v>0.5</v>
      </c>
      <c r="N251" s="5">
        <v>0.68</v>
      </c>
      <c r="O251" s="5">
        <f t="shared" si="89"/>
        <v>0.31999999999999995</v>
      </c>
      <c r="P251" s="31">
        <f t="shared" si="77"/>
        <v>0.34</v>
      </c>
      <c r="Q251" s="31">
        <f t="shared" si="72"/>
        <v>0.34</v>
      </c>
      <c r="R251" s="31">
        <v>17</v>
      </c>
      <c r="S251" s="31">
        <v>20</v>
      </c>
      <c r="T251" s="31">
        <v>0.3</v>
      </c>
      <c r="U251" s="31">
        <v>0</v>
      </c>
      <c r="V251" s="65">
        <f t="shared" si="86"/>
        <v>0</v>
      </c>
      <c r="W251" s="31">
        <v>5</v>
      </c>
      <c r="X251" s="31"/>
      <c r="Y251" s="31">
        <f t="shared" si="90"/>
        <v>5</v>
      </c>
      <c r="Z251" s="31">
        <f t="shared" si="91"/>
        <v>60</v>
      </c>
      <c r="AA251" s="18">
        <v>0</v>
      </c>
      <c r="AB251" s="18" t="s">
        <v>330</v>
      </c>
      <c r="AC251" s="18" t="s">
        <v>333</v>
      </c>
      <c r="AD251" s="18" t="s">
        <v>336</v>
      </c>
      <c r="AE251" s="18">
        <v>20</v>
      </c>
      <c r="AF251" s="18">
        <v>17</v>
      </c>
      <c r="AG251" s="18" t="s">
        <v>34</v>
      </c>
      <c r="AH251" s="18" t="s">
        <v>34</v>
      </c>
      <c r="AI251" s="18">
        <f>+VLOOKUP(AH251,Leyenda!$O$4:$U$10,6,FALSE)</f>
        <v>0</v>
      </c>
      <c r="AJ251" s="18" t="str">
        <f>+VLOOKUP(AG251,Leyenda!$O$4:$U$10,7,FALSE)</f>
        <v>No Blasting need</v>
      </c>
      <c r="AK251" s="18">
        <f>+VLOOKUP(AJ251,Leyenda!$U$4:$V$10,2,FALSE)</f>
        <v>2</v>
      </c>
      <c r="AL251" s="18" t="s">
        <v>228</v>
      </c>
      <c r="AM251" s="18" t="s">
        <v>34</v>
      </c>
      <c r="AN251" s="18" t="s">
        <v>69</v>
      </c>
      <c r="AO251" s="18" t="s">
        <v>79</v>
      </c>
      <c r="AP251" s="18" t="s">
        <v>100</v>
      </c>
      <c r="AQ251" s="18" t="s">
        <v>107</v>
      </c>
      <c r="AR251" s="18" t="s">
        <v>120</v>
      </c>
      <c r="AS251" s="18" t="s">
        <v>247</v>
      </c>
      <c r="AT251" s="18" t="s">
        <v>249</v>
      </c>
      <c r="AU251" s="18"/>
      <c r="AV251" s="18">
        <f>+VLOOKUP(AN251,Leyenda!$B$30:$E$34,3,FALSE)</f>
        <v>0</v>
      </c>
      <c r="AW251" s="18">
        <f>+VLOOKUP('2. Logging Brejo Seco'!AO251,Meteorizacion,3,FALSE)</f>
        <v>1</v>
      </c>
      <c r="AX251" s="18">
        <f>+VLOOKUP('2. Logging Brejo Seco'!AP251,Apertura,3,FALSE)</f>
        <v>0</v>
      </c>
      <c r="AY251" s="18">
        <f>+VLOOKUP('2. Logging Brejo Seco'!AQ251,Leyenda!$B$55:$D$59,3,FALSE)</f>
        <v>3</v>
      </c>
      <c r="AZ251" s="18">
        <f>+VLOOKUP('2. Logging Brejo Seco'!AR251,Relleno,3,FALSE)</f>
        <v>2</v>
      </c>
      <c r="BA251" s="18">
        <f t="shared" si="87"/>
        <v>6</v>
      </c>
      <c r="BB251" s="49">
        <f t="shared" si="73"/>
        <v>0</v>
      </c>
      <c r="BC251" s="49">
        <f>VLOOKUP(AH251,Leyenda!$B$4:$D$10,3,FALSE)</f>
        <v>0</v>
      </c>
      <c r="BD251" s="50">
        <f t="shared" si="79"/>
        <v>6</v>
      </c>
      <c r="BE251" s="49">
        <f t="shared" si="80"/>
        <v>6</v>
      </c>
      <c r="BF251" s="49">
        <f>VLOOKUP(AS251,Leyenda!$B$70:$D$75,3,FALSE)</f>
        <v>10</v>
      </c>
      <c r="BG251" s="67">
        <f t="shared" si="74"/>
        <v>9</v>
      </c>
      <c r="BH251" s="67">
        <f>VLOOKUP(AM251,Leyenda!$B$4:$E$10,4,FALSE)</f>
        <v>0</v>
      </c>
      <c r="BI251" s="67">
        <f t="shared" si="81"/>
        <v>5</v>
      </c>
      <c r="BJ251" s="67">
        <f t="shared" si="75"/>
        <v>0</v>
      </c>
      <c r="BK251" s="67">
        <f>+VLOOKUP('2. Logging Brejo Seco'!AP251,Leyenda!$B$47:$E$51,4,FALSE)</f>
        <v>0</v>
      </c>
      <c r="BL251" s="67">
        <f>+VLOOKUP('2. Logging Brejo Seco'!AQ251,Leyenda!$B$55:$E$59,4,FALSE)</f>
        <v>3</v>
      </c>
      <c r="BM251" s="67">
        <f>+VLOOKUP('2. Logging Brejo Seco'!AR251,Leyenda!$B$63:$E$67,3,FALSE)</f>
        <v>2</v>
      </c>
      <c r="BN251" s="67">
        <f>+VLOOKUP('2. Logging Brejo Seco'!AO251,Leyenda!$B$39:$E$43,4,FALSE)</f>
        <v>1</v>
      </c>
      <c r="BO251" s="67">
        <f>+VLOOKUP('2. Logging Brejo Seco'!AN251,Leyenda!$B$30:$E$34,4,FALSE)</f>
        <v>0</v>
      </c>
      <c r="BP251" s="67">
        <f>VLOOKUP(AS251,Leyenda!$B$71:$E$75,4,FALSE)</f>
        <v>7</v>
      </c>
      <c r="BQ251" s="125">
        <f t="shared" si="82"/>
        <v>18</v>
      </c>
      <c r="BR251" s="85">
        <f t="shared" si="83"/>
        <v>22</v>
      </c>
      <c r="BS251" s="240">
        <f t="shared" si="84"/>
        <v>0.31999999999999995</v>
      </c>
      <c r="BT251" s="18"/>
    </row>
    <row r="252" spans="1:72" x14ac:dyDescent="0.25">
      <c r="A252" s="18" t="s">
        <v>6</v>
      </c>
      <c r="B252" s="18">
        <v>2024</v>
      </c>
      <c r="C252" s="18" t="s">
        <v>138</v>
      </c>
      <c r="D252" s="18" t="s">
        <v>130</v>
      </c>
      <c r="E252" s="18">
        <v>40</v>
      </c>
      <c r="F252" s="18">
        <v>40</v>
      </c>
      <c r="G252" s="18" t="s">
        <v>153</v>
      </c>
      <c r="H252" s="248">
        <f t="shared" si="85"/>
        <v>40</v>
      </c>
      <c r="I252" s="135"/>
      <c r="J252" s="18" t="s">
        <v>180</v>
      </c>
      <c r="K252" s="4">
        <f t="shared" si="88"/>
        <v>9.5</v>
      </c>
      <c r="L252" s="4">
        <v>10</v>
      </c>
      <c r="M252" s="4">
        <f t="shared" si="76"/>
        <v>0.5</v>
      </c>
      <c r="N252" s="5">
        <v>0.7</v>
      </c>
      <c r="O252" s="5">
        <f t="shared" si="89"/>
        <v>0.30000000000000004</v>
      </c>
      <c r="P252" s="31">
        <f t="shared" si="77"/>
        <v>0.35</v>
      </c>
      <c r="Q252" s="31">
        <f t="shared" si="72"/>
        <v>0.35</v>
      </c>
      <c r="R252" s="31">
        <v>17.5</v>
      </c>
      <c r="S252" s="31">
        <v>20</v>
      </c>
      <c r="T252" s="31">
        <v>0.34</v>
      </c>
      <c r="U252" s="31">
        <v>0</v>
      </c>
      <c r="V252" s="65">
        <f t="shared" si="86"/>
        <v>0</v>
      </c>
      <c r="W252" s="31">
        <v>10</v>
      </c>
      <c r="X252" s="31"/>
      <c r="Y252" s="31">
        <f t="shared" si="90"/>
        <v>10</v>
      </c>
      <c r="Z252" s="31">
        <f t="shared" si="91"/>
        <v>34</v>
      </c>
      <c r="AA252" s="18">
        <v>0</v>
      </c>
      <c r="AB252" s="18" t="s">
        <v>330</v>
      </c>
      <c r="AC252" s="18" t="s">
        <v>333</v>
      </c>
      <c r="AD252" s="18" t="s">
        <v>336</v>
      </c>
      <c r="AE252" s="18">
        <v>20</v>
      </c>
      <c r="AF252" s="18">
        <v>17.5</v>
      </c>
      <c r="AG252" s="18" t="s">
        <v>34</v>
      </c>
      <c r="AH252" s="18" t="s">
        <v>34</v>
      </c>
      <c r="AI252" s="18">
        <f>+VLOOKUP(AH252,Leyenda!$O$4:$U$10,6,FALSE)</f>
        <v>0</v>
      </c>
      <c r="AJ252" s="18" t="str">
        <f>+VLOOKUP(AG252,Leyenda!$O$4:$U$10,7,FALSE)</f>
        <v>No Blasting need</v>
      </c>
      <c r="AK252" s="18">
        <f>+VLOOKUP(AJ252,Leyenda!$U$4:$V$10,2,FALSE)</f>
        <v>2</v>
      </c>
      <c r="AL252" s="18" t="s">
        <v>228</v>
      </c>
      <c r="AM252" s="18" t="s">
        <v>34</v>
      </c>
      <c r="AN252" s="18" t="s">
        <v>69</v>
      </c>
      <c r="AO252" s="18" t="s">
        <v>81</v>
      </c>
      <c r="AP252" s="18" t="s">
        <v>100</v>
      </c>
      <c r="AQ252" s="18" t="s">
        <v>107</v>
      </c>
      <c r="AR252" s="18" t="s">
        <v>120</v>
      </c>
      <c r="AS252" s="18" t="s">
        <v>247</v>
      </c>
      <c r="AT252" s="18" t="s">
        <v>248</v>
      </c>
      <c r="AU252" s="18"/>
      <c r="AV252" s="18">
        <f>+VLOOKUP(AN252,Leyenda!$B$30:$E$34,3,FALSE)</f>
        <v>0</v>
      </c>
      <c r="AW252" s="18">
        <f>+VLOOKUP('2. Logging Brejo Seco'!AO252,Meteorizacion,3,FALSE)</f>
        <v>0</v>
      </c>
      <c r="AX252" s="18">
        <f>+VLOOKUP('2. Logging Brejo Seco'!AP252,Apertura,3,FALSE)</f>
        <v>0</v>
      </c>
      <c r="AY252" s="18">
        <f>+VLOOKUP('2. Logging Brejo Seco'!AQ252,Leyenda!$B$55:$D$59,3,FALSE)</f>
        <v>3</v>
      </c>
      <c r="AZ252" s="18">
        <f>+VLOOKUP('2. Logging Brejo Seco'!AR252,Relleno,3,FALSE)</f>
        <v>2</v>
      </c>
      <c r="BA252" s="18">
        <f t="shared" si="87"/>
        <v>5</v>
      </c>
      <c r="BB252" s="49">
        <f t="shared" si="73"/>
        <v>0</v>
      </c>
      <c r="BC252" s="49">
        <f>VLOOKUP(AH252,Leyenda!$B$4:$D$10,3,FALSE)</f>
        <v>0</v>
      </c>
      <c r="BD252" s="50">
        <f t="shared" si="79"/>
        <v>5</v>
      </c>
      <c r="BE252" s="49">
        <f t="shared" si="80"/>
        <v>5</v>
      </c>
      <c r="BF252" s="49">
        <f>VLOOKUP(AS252,Leyenda!$B$70:$D$75,3,FALSE)</f>
        <v>10</v>
      </c>
      <c r="BG252" s="67">
        <f t="shared" si="74"/>
        <v>7.5</v>
      </c>
      <c r="BH252" s="67">
        <f>VLOOKUP(AM252,Leyenda!$B$4:$E$10,4,FALSE)</f>
        <v>0</v>
      </c>
      <c r="BI252" s="67">
        <f t="shared" si="81"/>
        <v>5</v>
      </c>
      <c r="BJ252" s="67">
        <f t="shared" si="75"/>
        <v>0</v>
      </c>
      <c r="BK252" s="67">
        <f>+VLOOKUP('2. Logging Brejo Seco'!AP252,Leyenda!$B$47:$E$51,4,FALSE)</f>
        <v>0</v>
      </c>
      <c r="BL252" s="67">
        <f>+VLOOKUP('2. Logging Brejo Seco'!AQ252,Leyenda!$B$55:$E$59,4,FALSE)</f>
        <v>3</v>
      </c>
      <c r="BM252" s="67">
        <f>+VLOOKUP('2. Logging Brejo Seco'!AR252,Leyenda!$B$63:$E$67,3,FALSE)</f>
        <v>2</v>
      </c>
      <c r="BN252" s="67">
        <f>+VLOOKUP('2. Logging Brejo Seco'!AO252,Leyenda!$B$39:$E$43,4,FALSE)</f>
        <v>0</v>
      </c>
      <c r="BO252" s="67">
        <f>+VLOOKUP('2. Logging Brejo Seco'!AN252,Leyenda!$B$30:$E$34,4,FALSE)</f>
        <v>0</v>
      </c>
      <c r="BP252" s="67">
        <f>VLOOKUP(AS252,Leyenda!$B$71:$E$75,4,FALSE)</f>
        <v>7</v>
      </c>
      <c r="BQ252" s="125">
        <f t="shared" si="82"/>
        <v>17</v>
      </c>
      <c r="BR252" s="85">
        <f t="shared" si="83"/>
        <v>20</v>
      </c>
      <c r="BS252" s="240">
        <f t="shared" si="84"/>
        <v>0.30000000000000004</v>
      </c>
      <c r="BT252" s="18"/>
    </row>
    <row r="253" spans="1:72" x14ac:dyDescent="0.25">
      <c r="A253" s="18" t="s">
        <v>6</v>
      </c>
      <c r="B253" s="18">
        <v>2024</v>
      </c>
      <c r="C253" s="18" t="s">
        <v>138</v>
      </c>
      <c r="D253" s="18" t="s">
        <v>130</v>
      </c>
      <c r="E253" s="18">
        <v>40</v>
      </c>
      <c r="F253" s="18">
        <v>40</v>
      </c>
      <c r="G253" s="18" t="s">
        <v>153</v>
      </c>
      <c r="H253" s="248">
        <f t="shared" si="85"/>
        <v>40</v>
      </c>
      <c r="I253" s="135"/>
      <c r="J253" s="18" t="s">
        <v>180</v>
      </c>
      <c r="K253" s="4">
        <f t="shared" si="88"/>
        <v>10</v>
      </c>
      <c r="L253" s="4">
        <v>10.5</v>
      </c>
      <c r="M253" s="4">
        <f t="shared" si="76"/>
        <v>0.5</v>
      </c>
      <c r="N253" s="5">
        <v>1</v>
      </c>
      <c r="O253" s="5">
        <f t="shared" si="89"/>
        <v>0</v>
      </c>
      <c r="P253" s="31">
        <f t="shared" si="77"/>
        <v>0.5</v>
      </c>
      <c r="Q253" s="31">
        <f t="shared" si="72"/>
        <v>0.5</v>
      </c>
      <c r="R253" s="31">
        <v>25</v>
      </c>
      <c r="S253" s="31">
        <v>20</v>
      </c>
      <c r="T253" s="31">
        <v>0.48</v>
      </c>
      <c r="U253" s="31">
        <v>0</v>
      </c>
      <c r="V253" s="65">
        <f t="shared" si="86"/>
        <v>0</v>
      </c>
      <c r="W253" s="31">
        <v>15</v>
      </c>
      <c r="X253" s="31"/>
      <c r="Y253" s="31">
        <f t="shared" si="90"/>
        <v>15</v>
      </c>
      <c r="Z253" s="31">
        <f t="shared" si="91"/>
        <v>32</v>
      </c>
      <c r="AA253" s="18">
        <v>0</v>
      </c>
      <c r="AB253" s="18" t="s">
        <v>330</v>
      </c>
      <c r="AC253" s="18" t="s">
        <v>333</v>
      </c>
      <c r="AD253" s="18" t="s">
        <v>336</v>
      </c>
      <c r="AE253" s="18">
        <v>20</v>
      </c>
      <c r="AF253" s="18">
        <v>25</v>
      </c>
      <c r="AG253" s="18" t="s">
        <v>34</v>
      </c>
      <c r="AH253" s="18" t="s">
        <v>34</v>
      </c>
      <c r="AI253" s="18">
        <f>+VLOOKUP(AH253,Leyenda!$O$4:$U$10,6,FALSE)</f>
        <v>0</v>
      </c>
      <c r="AJ253" s="18" t="str">
        <f>+VLOOKUP(AG253,Leyenda!$O$4:$U$10,7,FALSE)</f>
        <v>No Blasting need</v>
      </c>
      <c r="AK253" s="18">
        <f>+VLOOKUP(AJ253,Leyenda!$U$4:$V$10,2,FALSE)</f>
        <v>2</v>
      </c>
      <c r="AL253" s="18" t="s">
        <v>228</v>
      </c>
      <c r="AM253" s="18" t="s">
        <v>34</v>
      </c>
      <c r="AN253" s="18" t="s">
        <v>69</v>
      </c>
      <c r="AO253" s="18" t="s">
        <v>81</v>
      </c>
      <c r="AP253" s="18" t="s">
        <v>100</v>
      </c>
      <c r="AQ253" s="18" t="s">
        <v>107</v>
      </c>
      <c r="AR253" s="18" t="s">
        <v>120</v>
      </c>
      <c r="AS253" s="18" t="s">
        <v>247</v>
      </c>
      <c r="AT253" s="18" t="s">
        <v>248</v>
      </c>
      <c r="AU253" s="18"/>
      <c r="AV253" s="18">
        <f>+VLOOKUP(AN253,Leyenda!$B$30:$E$34,3,FALSE)</f>
        <v>0</v>
      </c>
      <c r="AW253" s="18">
        <f>+VLOOKUP('2. Logging Brejo Seco'!AO253,Meteorizacion,3,FALSE)</f>
        <v>0</v>
      </c>
      <c r="AX253" s="18">
        <f>+VLOOKUP('2. Logging Brejo Seco'!AP253,Apertura,3,FALSE)</f>
        <v>0</v>
      </c>
      <c r="AY253" s="18">
        <f>+VLOOKUP('2. Logging Brejo Seco'!AQ253,Leyenda!$B$55:$D$59,3,FALSE)</f>
        <v>3</v>
      </c>
      <c r="AZ253" s="18">
        <f>+VLOOKUP('2. Logging Brejo Seco'!AR253,Relleno,3,FALSE)</f>
        <v>2</v>
      </c>
      <c r="BA253" s="18">
        <f t="shared" si="87"/>
        <v>5</v>
      </c>
      <c r="BB253" s="49">
        <f t="shared" si="73"/>
        <v>0</v>
      </c>
      <c r="BC253" s="49">
        <f>VLOOKUP(AH253,Leyenda!$B$4:$D$10,3,FALSE)</f>
        <v>0</v>
      </c>
      <c r="BD253" s="50">
        <f t="shared" si="79"/>
        <v>5</v>
      </c>
      <c r="BE253" s="49">
        <f t="shared" si="80"/>
        <v>5</v>
      </c>
      <c r="BF253" s="49">
        <f>VLOOKUP(AS253,Leyenda!$B$70:$D$75,3,FALSE)</f>
        <v>10</v>
      </c>
      <c r="BG253" s="67">
        <f t="shared" si="74"/>
        <v>7.5</v>
      </c>
      <c r="BH253" s="67">
        <f>VLOOKUP(AM253,Leyenda!$B$4:$E$10,4,FALSE)</f>
        <v>0</v>
      </c>
      <c r="BI253" s="67">
        <f t="shared" si="81"/>
        <v>5</v>
      </c>
      <c r="BJ253" s="67">
        <f t="shared" si="75"/>
        <v>0</v>
      </c>
      <c r="BK253" s="67">
        <f>+VLOOKUP('2. Logging Brejo Seco'!AP253,Leyenda!$B$47:$E$51,4,FALSE)</f>
        <v>0</v>
      </c>
      <c r="BL253" s="67">
        <f>+VLOOKUP('2. Logging Brejo Seco'!AQ253,Leyenda!$B$55:$E$59,4,FALSE)</f>
        <v>3</v>
      </c>
      <c r="BM253" s="67">
        <f>+VLOOKUP('2. Logging Brejo Seco'!AR253,Leyenda!$B$63:$E$67,3,FALSE)</f>
        <v>2</v>
      </c>
      <c r="BN253" s="67">
        <f>+VLOOKUP('2. Logging Brejo Seco'!AO253,Leyenda!$B$39:$E$43,4,FALSE)</f>
        <v>0</v>
      </c>
      <c r="BO253" s="67">
        <f>+VLOOKUP('2. Logging Brejo Seco'!AN253,Leyenda!$B$30:$E$34,4,FALSE)</f>
        <v>0</v>
      </c>
      <c r="BP253" s="67">
        <f>VLOOKUP(AS253,Leyenda!$B$71:$E$75,4,FALSE)</f>
        <v>7</v>
      </c>
      <c r="BQ253" s="125">
        <f t="shared" si="82"/>
        <v>17</v>
      </c>
      <c r="BR253" s="85">
        <f t="shared" si="83"/>
        <v>20</v>
      </c>
      <c r="BS253" s="240">
        <f t="shared" si="84"/>
        <v>0</v>
      </c>
      <c r="BT253" s="18"/>
    </row>
    <row r="254" spans="1:72" x14ac:dyDescent="0.25">
      <c r="A254" s="18" t="s">
        <v>6</v>
      </c>
      <c r="B254" s="18">
        <v>2024</v>
      </c>
      <c r="C254" s="18" t="s">
        <v>138</v>
      </c>
      <c r="D254" s="18" t="s">
        <v>130</v>
      </c>
      <c r="E254" s="18">
        <v>40</v>
      </c>
      <c r="F254" s="18">
        <v>40</v>
      </c>
      <c r="G254" s="18" t="s">
        <v>153</v>
      </c>
      <c r="H254" s="248">
        <f t="shared" si="85"/>
        <v>40</v>
      </c>
      <c r="I254" s="135"/>
      <c r="J254" s="18" t="s">
        <v>180</v>
      </c>
      <c r="K254" s="4">
        <f t="shared" si="88"/>
        <v>10.5</v>
      </c>
      <c r="L254" s="4">
        <v>11</v>
      </c>
      <c r="M254" s="4">
        <f t="shared" si="76"/>
        <v>0.5</v>
      </c>
      <c r="N254" s="5">
        <v>0.74</v>
      </c>
      <c r="O254" s="5">
        <f t="shared" si="89"/>
        <v>0.26</v>
      </c>
      <c r="P254" s="31">
        <f t="shared" si="77"/>
        <v>0.37</v>
      </c>
      <c r="Q254" s="31">
        <f t="shared" si="72"/>
        <v>0.37</v>
      </c>
      <c r="R254" s="31">
        <v>18.5</v>
      </c>
      <c r="S254" s="31">
        <v>20</v>
      </c>
      <c r="T254" s="31">
        <v>0.35</v>
      </c>
      <c r="U254" s="31">
        <v>0.1</v>
      </c>
      <c r="V254" s="65">
        <f t="shared" si="86"/>
        <v>20</v>
      </c>
      <c r="W254" s="31">
        <v>5</v>
      </c>
      <c r="X254" s="31"/>
      <c r="Y254" s="31">
        <f t="shared" si="90"/>
        <v>5</v>
      </c>
      <c r="Z254" s="31">
        <f t="shared" si="91"/>
        <v>70</v>
      </c>
      <c r="AA254" s="18">
        <v>0</v>
      </c>
      <c r="AB254" s="18" t="s">
        <v>330</v>
      </c>
      <c r="AC254" s="18" t="s">
        <v>333</v>
      </c>
      <c r="AD254" s="18" t="s">
        <v>336</v>
      </c>
      <c r="AE254" s="18">
        <v>20</v>
      </c>
      <c r="AF254" s="18">
        <v>18.5</v>
      </c>
      <c r="AG254" s="18" t="s">
        <v>34</v>
      </c>
      <c r="AH254" s="18" t="s">
        <v>34</v>
      </c>
      <c r="AI254" s="18">
        <f>+VLOOKUP(AH254,Leyenda!$O$4:$U$10,6,FALSE)</f>
        <v>0</v>
      </c>
      <c r="AJ254" s="18" t="str">
        <f>+VLOOKUP(AG254,Leyenda!$O$4:$U$10,7,FALSE)</f>
        <v>No Blasting need</v>
      </c>
      <c r="AK254" s="18">
        <f>+VLOOKUP(AJ254,Leyenda!$U$4:$V$10,2,FALSE)</f>
        <v>2</v>
      </c>
      <c r="AL254" s="18" t="s">
        <v>228</v>
      </c>
      <c r="AM254" s="18" t="s">
        <v>34</v>
      </c>
      <c r="AN254" s="18" t="s">
        <v>69</v>
      </c>
      <c r="AO254" s="18" t="s">
        <v>81</v>
      </c>
      <c r="AP254" s="18" t="s">
        <v>100</v>
      </c>
      <c r="AQ254" s="18" t="s">
        <v>107</v>
      </c>
      <c r="AR254" s="18" t="s">
        <v>120</v>
      </c>
      <c r="AS254" s="18" t="s">
        <v>247</v>
      </c>
      <c r="AT254" s="18" t="s">
        <v>248</v>
      </c>
      <c r="AU254" s="18"/>
      <c r="AV254" s="18">
        <f>+VLOOKUP(AN254,Leyenda!$B$30:$E$34,3,FALSE)</f>
        <v>0</v>
      </c>
      <c r="AW254" s="18">
        <f>+VLOOKUP('2. Logging Brejo Seco'!AO254,Meteorizacion,3,FALSE)</f>
        <v>0</v>
      </c>
      <c r="AX254" s="18">
        <f>+VLOOKUP('2. Logging Brejo Seco'!AP254,Apertura,3,FALSE)</f>
        <v>0</v>
      </c>
      <c r="AY254" s="18">
        <f>+VLOOKUP('2. Logging Brejo Seco'!AQ254,Leyenda!$B$55:$D$59,3,FALSE)</f>
        <v>3</v>
      </c>
      <c r="AZ254" s="18">
        <f>+VLOOKUP('2. Logging Brejo Seco'!AR254,Relleno,3,FALSE)</f>
        <v>2</v>
      </c>
      <c r="BA254" s="18">
        <f t="shared" si="87"/>
        <v>5</v>
      </c>
      <c r="BB254" s="49">
        <f t="shared" si="73"/>
        <v>4</v>
      </c>
      <c r="BC254" s="49">
        <f>VLOOKUP(AH254,Leyenda!$B$4:$D$10,3,FALSE)</f>
        <v>0</v>
      </c>
      <c r="BD254" s="50">
        <f t="shared" si="79"/>
        <v>6</v>
      </c>
      <c r="BE254" s="49">
        <f t="shared" si="80"/>
        <v>5</v>
      </c>
      <c r="BF254" s="49">
        <f>VLOOKUP(AS254,Leyenda!$B$70:$D$75,3,FALSE)</f>
        <v>10</v>
      </c>
      <c r="BG254" s="67">
        <f t="shared" si="74"/>
        <v>17.5</v>
      </c>
      <c r="BH254" s="67">
        <f>VLOOKUP(AM254,Leyenda!$B$4:$E$10,4,FALSE)</f>
        <v>0</v>
      </c>
      <c r="BI254" s="67">
        <f t="shared" si="81"/>
        <v>6</v>
      </c>
      <c r="BJ254" s="67">
        <f t="shared" si="75"/>
        <v>4</v>
      </c>
      <c r="BK254" s="67">
        <f>+VLOOKUP('2. Logging Brejo Seco'!AP254,Leyenda!$B$47:$E$51,4,FALSE)</f>
        <v>0</v>
      </c>
      <c r="BL254" s="67">
        <f>+VLOOKUP('2. Logging Brejo Seco'!AQ254,Leyenda!$B$55:$E$59,4,FALSE)</f>
        <v>3</v>
      </c>
      <c r="BM254" s="67">
        <f>+VLOOKUP('2. Logging Brejo Seco'!AR254,Leyenda!$B$63:$E$67,3,FALSE)</f>
        <v>2</v>
      </c>
      <c r="BN254" s="67">
        <f>+VLOOKUP('2. Logging Brejo Seco'!AO254,Leyenda!$B$39:$E$43,4,FALSE)</f>
        <v>0</v>
      </c>
      <c r="BO254" s="67">
        <f>+VLOOKUP('2. Logging Brejo Seco'!AN254,Leyenda!$B$30:$E$34,4,FALSE)</f>
        <v>0</v>
      </c>
      <c r="BP254" s="67">
        <f>VLOOKUP(AS254,Leyenda!$B$71:$E$75,4,FALSE)</f>
        <v>7</v>
      </c>
      <c r="BQ254" s="125">
        <f t="shared" si="82"/>
        <v>22</v>
      </c>
      <c r="BR254" s="85">
        <f t="shared" si="83"/>
        <v>25</v>
      </c>
      <c r="BS254" s="240">
        <f t="shared" si="84"/>
        <v>0.26</v>
      </c>
      <c r="BT254" s="18"/>
    </row>
    <row r="255" spans="1:72" x14ac:dyDescent="0.25">
      <c r="A255" s="18" t="s">
        <v>6</v>
      </c>
      <c r="B255" s="18">
        <v>2024</v>
      </c>
      <c r="C255" s="18" t="s">
        <v>138</v>
      </c>
      <c r="D255" s="18" t="s">
        <v>130</v>
      </c>
      <c r="E255" s="18">
        <v>30</v>
      </c>
      <c r="F255" s="18">
        <v>40</v>
      </c>
      <c r="G255" s="18" t="s">
        <v>152</v>
      </c>
      <c r="H255" s="248">
        <f t="shared" si="85"/>
        <v>40</v>
      </c>
      <c r="I255" s="135"/>
      <c r="J255" s="18" t="s">
        <v>180</v>
      </c>
      <c r="K255" s="4">
        <f t="shared" si="88"/>
        <v>11</v>
      </c>
      <c r="L255" s="4">
        <v>11.5</v>
      </c>
      <c r="M255" s="4">
        <f t="shared" si="76"/>
        <v>0.5</v>
      </c>
      <c r="N255" s="5">
        <v>0.82</v>
      </c>
      <c r="O255" s="5">
        <f t="shared" si="89"/>
        <v>0.18000000000000005</v>
      </c>
      <c r="P255" s="31">
        <f t="shared" si="77"/>
        <v>0.41</v>
      </c>
      <c r="Q255" s="31">
        <f t="shared" si="72"/>
        <v>0.41</v>
      </c>
      <c r="R255" s="31">
        <v>20.5</v>
      </c>
      <c r="S255" s="31">
        <v>20</v>
      </c>
      <c r="T255" s="31">
        <v>0.41</v>
      </c>
      <c r="U255" s="31">
        <v>0</v>
      </c>
      <c r="V255" s="65">
        <f t="shared" si="86"/>
        <v>0</v>
      </c>
      <c r="W255" s="31">
        <v>10</v>
      </c>
      <c r="X255" s="31"/>
      <c r="Y255" s="31">
        <f t="shared" si="90"/>
        <v>10</v>
      </c>
      <c r="Z255" s="31">
        <f t="shared" si="91"/>
        <v>41</v>
      </c>
      <c r="AA255" s="18">
        <v>0</v>
      </c>
      <c r="AB255" s="18" t="s">
        <v>330</v>
      </c>
      <c r="AC255" s="18" t="s">
        <v>333</v>
      </c>
      <c r="AD255" s="18" t="s">
        <v>336</v>
      </c>
      <c r="AE255" s="18">
        <v>20</v>
      </c>
      <c r="AF255" s="18">
        <v>20.5</v>
      </c>
      <c r="AG255" s="18" t="s">
        <v>34</v>
      </c>
      <c r="AH255" s="18" t="s">
        <v>34</v>
      </c>
      <c r="AI255" s="18">
        <f>+VLOOKUP(AH255,Leyenda!$O$4:$U$10,6,FALSE)</f>
        <v>0</v>
      </c>
      <c r="AJ255" s="18" t="str">
        <f>+VLOOKUP(AG255,Leyenda!$O$4:$U$10,7,FALSE)</f>
        <v>No Blasting need</v>
      </c>
      <c r="AK255" s="18">
        <f>+VLOOKUP(AJ255,Leyenda!$U$4:$V$10,2,FALSE)</f>
        <v>2</v>
      </c>
      <c r="AL255" s="18" t="s">
        <v>228</v>
      </c>
      <c r="AM255" s="18" t="s">
        <v>34</v>
      </c>
      <c r="AN255" s="18" t="s">
        <v>69</v>
      </c>
      <c r="AO255" s="18" t="s">
        <v>81</v>
      </c>
      <c r="AP255" s="18" t="s">
        <v>100</v>
      </c>
      <c r="AQ255" s="18" t="s">
        <v>107</v>
      </c>
      <c r="AR255" s="18" t="s">
        <v>120</v>
      </c>
      <c r="AS255" s="18" t="s">
        <v>247</v>
      </c>
      <c r="AT255" s="18" t="s">
        <v>248</v>
      </c>
      <c r="AU255" s="18"/>
      <c r="AV255" s="18">
        <f>+VLOOKUP(AN255,Leyenda!$B$30:$E$34,3,FALSE)</f>
        <v>0</v>
      </c>
      <c r="AW255" s="18">
        <f>+VLOOKUP('2. Logging Brejo Seco'!AO255,Meteorizacion,3,FALSE)</f>
        <v>0</v>
      </c>
      <c r="AX255" s="18">
        <f>+VLOOKUP('2. Logging Brejo Seco'!AP255,Apertura,3,FALSE)</f>
        <v>0</v>
      </c>
      <c r="AY255" s="18">
        <f>+VLOOKUP('2. Logging Brejo Seco'!AQ255,Leyenda!$B$55:$D$59,3,FALSE)</f>
        <v>3</v>
      </c>
      <c r="AZ255" s="18">
        <f>+VLOOKUP('2. Logging Brejo Seco'!AR255,Relleno,3,FALSE)</f>
        <v>2</v>
      </c>
      <c r="BA255" s="18">
        <f t="shared" si="87"/>
        <v>5</v>
      </c>
      <c r="BB255" s="49">
        <f t="shared" si="73"/>
        <v>0</v>
      </c>
      <c r="BC255" s="49">
        <f>VLOOKUP(AH255,Leyenda!$B$4:$D$10,3,FALSE)</f>
        <v>0</v>
      </c>
      <c r="BD255" s="50">
        <f t="shared" si="79"/>
        <v>5</v>
      </c>
      <c r="BE255" s="49">
        <f t="shared" si="80"/>
        <v>5</v>
      </c>
      <c r="BF255" s="49">
        <f>VLOOKUP(AS255,Leyenda!$B$70:$D$75,3,FALSE)</f>
        <v>10</v>
      </c>
      <c r="BG255" s="67">
        <f t="shared" si="74"/>
        <v>7.5</v>
      </c>
      <c r="BH255" s="67">
        <f>VLOOKUP(AM255,Leyenda!$B$4:$E$10,4,FALSE)</f>
        <v>0</v>
      </c>
      <c r="BI255" s="67">
        <f t="shared" si="81"/>
        <v>5</v>
      </c>
      <c r="BJ255" s="67">
        <f t="shared" si="75"/>
        <v>0</v>
      </c>
      <c r="BK255" s="67">
        <f>+VLOOKUP('2. Logging Brejo Seco'!AP255,Leyenda!$B$47:$E$51,4,FALSE)</f>
        <v>0</v>
      </c>
      <c r="BL255" s="67">
        <f>+VLOOKUP('2. Logging Brejo Seco'!AQ255,Leyenda!$B$55:$E$59,4,FALSE)</f>
        <v>3</v>
      </c>
      <c r="BM255" s="67">
        <f>+VLOOKUP('2. Logging Brejo Seco'!AR255,Leyenda!$B$63:$E$67,3,FALSE)</f>
        <v>2</v>
      </c>
      <c r="BN255" s="67">
        <f>+VLOOKUP('2. Logging Brejo Seco'!AO255,Leyenda!$B$39:$E$43,4,FALSE)</f>
        <v>0</v>
      </c>
      <c r="BO255" s="67">
        <f>+VLOOKUP('2. Logging Brejo Seco'!AN255,Leyenda!$B$30:$E$34,4,FALSE)</f>
        <v>0</v>
      </c>
      <c r="BP255" s="67">
        <f>VLOOKUP(AS255,Leyenda!$B$71:$E$75,4,FALSE)</f>
        <v>7</v>
      </c>
      <c r="BQ255" s="125">
        <f t="shared" si="82"/>
        <v>17</v>
      </c>
      <c r="BR255" s="85">
        <f t="shared" si="83"/>
        <v>20</v>
      </c>
      <c r="BS255" s="240">
        <f t="shared" si="84"/>
        <v>0.18000000000000005</v>
      </c>
      <c r="BT255" s="18"/>
    </row>
    <row r="256" spans="1:72" x14ac:dyDescent="0.25">
      <c r="A256" s="18" t="s">
        <v>6</v>
      </c>
      <c r="B256" s="18">
        <v>2024</v>
      </c>
      <c r="C256" s="18" t="s">
        <v>138</v>
      </c>
      <c r="D256" s="18" t="s">
        <v>130</v>
      </c>
      <c r="E256" s="18">
        <v>30</v>
      </c>
      <c r="F256" s="18">
        <v>40</v>
      </c>
      <c r="G256" s="18" t="s">
        <v>152</v>
      </c>
      <c r="H256" s="248">
        <f t="shared" si="85"/>
        <v>40</v>
      </c>
      <c r="I256" s="135"/>
      <c r="J256" s="18" t="s">
        <v>180</v>
      </c>
      <c r="K256" s="4">
        <f t="shared" si="88"/>
        <v>11.5</v>
      </c>
      <c r="L256" s="4">
        <v>12</v>
      </c>
      <c r="M256" s="4">
        <f t="shared" si="76"/>
        <v>0.5</v>
      </c>
      <c r="N256" s="5">
        <v>0.96</v>
      </c>
      <c r="O256" s="5">
        <f t="shared" si="89"/>
        <v>4.0000000000000036E-2</v>
      </c>
      <c r="P256" s="31">
        <f t="shared" si="77"/>
        <v>0.48</v>
      </c>
      <c r="Q256" s="31">
        <f t="shared" si="72"/>
        <v>0.48</v>
      </c>
      <c r="R256" s="31">
        <v>24</v>
      </c>
      <c r="S256" s="31">
        <v>20</v>
      </c>
      <c r="T256" s="31">
        <v>0.45</v>
      </c>
      <c r="U256" s="31">
        <v>0</v>
      </c>
      <c r="V256" s="65">
        <f t="shared" si="86"/>
        <v>0</v>
      </c>
      <c r="W256" s="31">
        <v>10</v>
      </c>
      <c r="X256" s="31"/>
      <c r="Y256" s="31">
        <f t="shared" si="90"/>
        <v>10</v>
      </c>
      <c r="Z256" s="31">
        <f t="shared" si="91"/>
        <v>45</v>
      </c>
      <c r="AA256" s="18">
        <v>0</v>
      </c>
      <c r="AB256" s="18" t="s">
        <v>330</v>
      </c>
      <c r="AC256" s="18" t="s">
        <v>333</v>
      </c>
      <c r="AD256" s="18" t="s">
        <v>336</v>
      </c>
      <c r="AE256" s="18">
        <v>20</v>
      </c>
      <c r="AF256" s="18">
        <v>24</v>
      </c>
      <c r="AG256" s="18" t="s">
        <v>34</v>
      </c>
      <c r="AH256" s="18" t="s">
        <v>34</v>
      </c>
      <c r="AI256" s="18">
        <f>+VLOOKUP(AH256,Leyenda!$O$4:$U$10,6,FALSE)</f>
        <v>0</v>
      </c>
      <c r="AJ256" s="18" t="str">
        <f>+VLOOKUP(AG256,Leyenda!$O$4:$U$10,7,FALSE)</f>
        <v>No Blasting need</v>
      </c>
      <c r="AK256" s="18">
        <f>+VLOOKUP(AJ256,Leyenda!$U$4:$V$10,2,FALSE)</f>
        <v>2</v>
      </c>
      <c r="AL256" s="18" t="s">
        <v>228</v>
      </c>
      <c r="AM256" s="18" t="s">
        <v>34</v>
      </c>
      <c r="AN256" s="18" t="s">
        <v>69</v>
      </c>
      <c r="AO256" s="18" t="s">
        <v>81</v>
      </c>
      <c r="AP256" s="18" t="s">
        <v>100</v>
      </c>
      <c r="AQ256" s="18" t="s">
        <v>107</v>
      </c>
      <c r="AR256" s="18" t="s">
        <v>122</v>
      </c>
      <c r="AS256" s="18" t="s">
        <v>247</v>
      </c>
      <c r="AT256" s="18" t="s">
        <v>248</v>
      </c>
      <c r="AU256" s="18"/>
      <c r="AV256" s="18">
        <f>+VLOOKUP(AN256,Leyenda!$B$30:$E$34,3,FALSE)</f>
        <v>0</v>
      </c>
      <c r="AW256" s="18">
        <f>+VLOOKUP('2. Logging Brejo Seco'!AO256,Meteorizacion,3,FALSE)</f>
        <v>0</v>
      </c>
      <c r="AX256" s="18">
        <f>+VLOOKUP('2. Logging Brejo Seco'!AP256,Apertura,3,FALSE)</f>
        <v>0</v>
      </c>
      <c r="AY256" s="18">
        <f>+VLOOKUP('2. Logging Brejo Seco'!AQ256,Leyenda!$B$55:$D$59,3,FALSE)</f>
        <v>3</v>
      </c>
      <c r="AZ256" s="18">
        <f>+VLOOKUP('2. Logging Brejo Seco'!AR256,Relleno,3,FALSE)</f>
        <v>0</v>
      </c>
      <c r="BA256" s="18">
        <f t="shared" si="87"/>
        <v>3</v>
      </c>
      <c r="BB256" s="49">
        <f t="shared" si="73"/>
        <v>0</v>
      </c>
      <c r="BC256" s="49">
        <f>VLOOKUP(AH256,Leyenda!$B$4:$D$10,3,FALSE)</f>
        <v>0</v>
      </c>
      <c r="BD256" s="50">
        <f t="shared" si="79"/>
        <v>6</v>
      </c>
      <c r="BE256" s="49">
        <f t="shared" si="80"/>
        <v>3</v>
      </c>
      <c r="BF256" s="49">
        <f>VLOOKUP(AS256,Leyenda!$B$70:$D$75,3,FALSE)</f>
        <v>10</v>
      </c>
      <c r="BG256" s="67">
        <f t="shared" si="74"/>
        <v>4.5</v>
      </c>
      <c r="BH256" s="67">
        <f>VLOOKUP(AM256,Leyenda!$B$4:$E$10,4,FALSE)</f>
        <v>0</v>
      </c>
      <c r="BI256" s="67">
        <f t="shared" si="81"/>
        <v>5</v>
      </c>
      <c r="BJ256" s="67">
        <f t="shared" si="75"/>
        <v>0</v>
      </c>
      <c r="BK256" s="67">
        <f>+VLOOKUP('2. Logging Brejo Seco'!AP256,Leyenda!$B$47:$E$51,4,FALSE)</f>
        <v>0</v>
      </c>
      <c r="BL256" s="67">
        <f>+VLOOKUP('2. Logging Brejo Seco'!AQ256,Leyenda!$B$55:$E$59,4,FALSE)</f>
        <v>3</v>
      </c>
      <c r="BM256" s="67">
        <f>+VLOOKUP('2. Logging Brejo Seco'!AR256,Leyenda!$B$63:$E$67,3,FALSE)</f>
        <v>0</v>
      </c>
      <c r="BN256" s="67">
        <f>+VLOOKUP('2. Logging Brejo Seco'!AO256,Leyenda!$B$39:$E$43,4,FALSE)</f>
        <v>0</v>
      </c>
      <c r="BO256" s="67">
        <f>+VLOOKUP('2. Logging Brejo Seco'!AN256,Leyenda!$B$30:$E$34,4,FALSE)</f>
        <v>0</v>
      </c>
      <c r="BP256" s="67">
        <f>VLOOKUP(AS256,Leyenda!$B$71:$E$75,4,FALSE)</f>
        <v>7</v>
      </c>
      <c r="BQ256" s="125">
        <f t="shared" si="82"/>
        <v>15</v>
      </c>
      <c r="BR256" s="85">
        <f t="shared" si="83"/>
        <v>19</v>
      </c>
      <c r="BS256" s="240">
        <f t="shared" si="84"/>
        <v>4.0000000000000036E-2</v>
      </c>
      <c r="BT256" s="18"/>
    </row>
    <row r="257" spans="1:72" x14ac:dyDescent="0.25">
      <c r="A257" s="18" t="s">
        <v>6</v>
      </c>
      <c r="B257" s="18">
        <v>2024</v>
      </c>
      <c r="C257" s="18" t="s">
        <v>138</v>
      </c>
      <c r="D257" s="18" t="s">
        <v>130</v>
      </c>
      <c r="E257" s="18">
        <v>30</v>
      </c>
      <c r="F257" s="18">
        <v>40</v>
      </c>
      <c r="G257" s="18" t="s">
        <v>152</v>
      </c>
      <c r="H257" s="248">
        <f t="shared" si="85"/>
        <v>40</v>
      </c>
      <c r="I257" s="135"/>
      <c r="J257" s="18" t="s">
        <v>180</v>
      </c>
      <c r="K257" s="4">
        <f t="shared" si="88"/>
        <v>12</v>
      </c>
      <c r="L257" s="4">
        <v>12.5</v>
      </c>
      <c r="M257" s="4">
        <f t="shared" si="76"/>
        <v>0.5</v>
      </c>
      <c r="N257" s="5">
        <v>1</v>
      </c>
      <c r="O257" s="5">
        <f t="shared" si="89"/>
        <v>0</v>
      </c>
      <c r="P257" s="31">
        <f t="shared" si="77"/>
        <v>0.5</v>
      </c>
      <c r="Q257" s="31">
        <f t="shared" si="72"/>
        <v>0.5</v>
      </c>
      <c r="R257" s="31">
        <v>25</v>
      </c>
      <c r="S257" s="31">
        <v>20</v>
      </c>
      <c r="T257" s="31">
        <v>0.49</v>
      </c>
      <c r="U257" s="31">
        <v>0</v>
      </c>
      <c r="V257" s="65">
        <f t="shared" si="86"/>
        <v>0</v>
      </c>
      <c r="W257" s="31">
        <v>7</v>
      </c>
      <c r="X257" s="31"/>
      <c r="Y257" s="31">
        <f t="shared" si="90"/>
        <v>7</v>
      </c>
      <c r="Z257" s="31">
        <f t="shared" si="91"/>
        <v>70</v>
      </c>
      <c r="AA257" s="18">
        <v>0</v>
      </c>
      <c r="AB257" s="18" t="s">
        <v>330</v>
      </c>
      <c r="AC257" s="18" t="s">
        <v>333</v>
      </c>
      <c r="AD257" s="18" t="s">
        <v>336</v>
      </c>
      <c r="AE257" s="18">
        <v>20</v>
      </c>
      <c r="AF257" s="18">
        <v>25</v>
      </c>
      <c r="AG257" s="18" t="s">
        <v>32</v>
      </c>
      <c r="AH257" s="18" t="s">
        <v>32</v>
      </c>
      <c r="AI257" s="18" t="str">
        <f>+VLOOKUP(AH257,Leyenda!$O$4:$U$10,6,FALSE)</f>
        <v>0,15-0,25</v>
      </c>
      <c r="AJ257" s="18" t="str">
        <f>+VLOOKUP(AG257,Leyenda!$O$4:$U$10,7,FALSE)</f>
        <v>No Blasting need</v>
      </c>
      <c r="AK257" s="18">
        <f>+VLOOKUP(AJ257,Leyenda!$U$4:$V$10,2,FALSE)</f>
        <v>2</v>
      </c>
      <c r="AL257" s="18" t="s">
        <v>228</v>
      </c>
      <c r="AM257" s="18" t="s">
        <v>32</v>
      </c>
      <c r="AN257" s="18" t="s">
        <v>69</v>
      </c>
      <c r="AO257" s="18" t="s">
        <v>81</v>
      </c>
      <c r="AP257" s="18" t="s">
        <v>100</v>
      </c>
      <c r="AQ257" s="18" t="s">
        <v>107</v>
      </c>
      <c r="AR257" s="18" t="s">
        <v>122</v>
      </c>
      <c r="AS257" s="18" t="s">
        <v>247</v>
      </c>
      <c r="AT257" s="18" t="s">
        <v>248</v>
      </c>
      <c r="AU257" s="18"/>
      <c r="AV257" s="18">
        <f>+VLOOKUP(AN257,Leyenda!$B$30:$E$34,3,FALSE)</f>
        <v>0</v>
      </c>
      <c r="AW257" s="18">
        <f>+VLOOKUP('2. Logging Brejo Seco'!AO257,Meteorizacion,3,FALSE)</f>
        <v>0</v>
      </c>
      <c r="AX257" s="18">
        <f>+VLOOKUP('2. Logging Brejo Seco'!AP257,Apertura,3,FALSE)</f>
        <v>0</v>
      </c>
      <c r="AY257" s="18">
        <f>+VLOOKUP('2. Logging Brejo Seco'!AQ257,Leyenda!$B$55:$D$59,3,FALSE)</f>
        <v>3</v>
      </c>
      <c r="AZ257" s="18">
        <f>+VLOOKUP('2. Logging Brejo Seco'!AR257,Relleno,3,FALSE)</f>
        <v>0</v>
      </c>
      <c r="BA257" s="18">
        <f t="shared" si="87"/>
        <v>3</v>
      </c>
      <c r="BB257" s="49">
        <f t="shared" si="73"/>
        <v>0</v>
      </c>
      <c r="BC257" s="49">
        <f>VLOOKUP(AH257,Leyenda!$B$4:$D$10,3,FALSE)</f>
        <v>1</v>
      </c>
      <c r="BD257" s="50">
        <f t="shared" si="79"/>
        <v>6</v>
      </c>
      <c r="BE257" s="49">
        <f t="shared" si="80"/>
        <v>3</v>
      </c>
      <c r="BF257" s="49">
        <f>VLOOKUP(AS257,Leyenda!$B$70:$D$75,3,FALSE)</f>
        <v>10</v>
      </c>
      <c r="BG257" s="67">
        <f t="shared" si="74"/>
        <v>4.5</v>
      </c>
      <c r="BH257" s="67">
        <f>VLOOKUP(AM257,Leyenda!$B$4:$E$10,4,FALSE)</f>
        <v>1</v>
      </c>
      <c r="BI257" s="67">
        <f t="shared" si="81"/>
        <v>6</v>
      </c>
      <c r="BJ257" s="67">
        <f t="shared" si="75"/>
        <v>0</v>
      </c>
      <c r="BK257" s="67">
        <f>+VLOOKUP('2. Logging Brejo Seco'!AP257,Leyenda!$B$47:$E$51,4,FALSE)</f>
        <v>0</v>
      </c>
      <c r="BL257" s="67">
        <f>+VLOOKUP('2. Logging Brejo Seco'!AQ257,Leyenda!$B$55:$E$59,4,FALSE)</f>
        <v>3</v>
      </c>
      <c r="BM257" s="67">
        <f>+VLOOKUP('2. Logging Brejo Seco'!AR257,Leyenda!$B$63:$E$67,3,FALSE)</f>
        <v>0</v>
      </c>
      <c r="BN257" s="67">
        <f>+VLOOKUP('2. Logging Brejo Seco'!AO257,Leyenda!$B$39:$E$43,4,FALSE)</f>
        <v>0</v>
      </c>
      <c r="BO257" s="67">
        <f>+VLOOKUP('2. Logging Brejo Seco'!AN257,Leyenda!$B$30:$E$34,4,FALSE)</f>
        <v>0</v>
      </c>
      <c r="BP257" s="67">
        <f>VLOOKUP(AS257,Leyenda!$B$71:$E$75,4,FALSE)</f>
        <v>7</v>
      </c>
      <c r="BQ257" s="125">
        <f t="shared" si="82"/>
        <v>17</v>
      </c>
      <c r="BR257" s="85">
        <f t="shared" si="83"/>
        <v>20</v>
      </c>
      <c r="BS257" s="240">
        <f t="shared" si="84"/>
        <v>0</v>
      </c>
      <c r="BT257" s="18"/>
    </row>
    <row r="258" spans="1:72" x14ac:dyDescent="0.25">
      <c r="A258" s="18" t="s">
        <v>6</v>
      </c>
      <c r="B258" s="18">
        <v>2024</v>
      </c>
      <c r="C258" s="18" t="s">
        <v>138</v>
      </c>
      <c r="D258" s="18" t="s">
        <v>130</v>
      </c>
      <c r="E258" s="18">
        <v>30</v>
      </c>
      <c r="F258" s="18">
        <v>40</v>
      </c>
      <c r="G258" s="18" t="s">
        <v>152</v>
      </c>
      <c r="H258" s="248">
        <f t="shared" si="85"/>
        <v>40</v>
      </c>
      <c r="I258" s="135"/>
      <c r="J258" s="18" t="s">
        <v>180</v>
      </c>
      <c r="K258" s="4">
        <f t="shared" si="88"/>
        <v>12.5</v>
      </c>
      <c r="L258" s="4">
        <v>13</v>
      </c>
      <c r="M258" s="4">
        <f t="shared" si="76"/>
        <v>0.5</v>
      </c>
      <c r="N258" s="5">
        <v>1</v>
      </c>
      <c r="O258" s="5">
        <f t="shared" si="89"/>
        <v>0</v>
      </c>
      <c r="P258" s="31">
        <f t="shared" si="77"/>
        <v>0.5</v>
      </c>
      <c r="Q258" s="31">
        <f t="shared" si="72"/>
        <v>0.5</v>
      </c>
      <c r="R258" s="31">
        <v>25</v>
      </c>
      <c r="S258" s="31">
        <v>20</v>
      </c>
      <c r="T258" s="31">
        <v>0.47</v>
      </c>
      <c r="U258" s="31">
        <v>0</v>
      </c>
      <c r="V258" s="65">
        <f t="shared" si="86"/>
        <v>0</v>
      </c>
      <c r="W258" s="31">
        <v>8</v>
      </c>
      <c r="X258" s="31"/>
      <c r="Y258" s="31">
        <f t="shared" si="90"/>
        <v>8</v>
      </c>
      <c r="Z258" s="31">
        <f t="shared" si="91"/>
        <v>58.75</v>
      </c>
      <c r="AA258" s="18">
        <v>0</v>
      </c>
      <c r="AB258" s="18" t="s">
        <v>330</v>
      </c>
      <c r="AC258" s="18" t="s">
        <v>333</v>
      </c>
      <c r="AD258" s="18" t="s">
        <v>336</v>
      </c>
      <c r="AE258" s="18">
        <v>20</v>
      </c>
      <c r="AF258" s="18">
        <v>25</v>
      </c>
      <c r="AG258" s="18" t="s">
        <v>32</v>
      </c>
      <c r="AH258" s="18" t="s">
        <v>32</v>
      </c>
      <c r="AI258" s="18" t="str">
        <f>+VLOOKUP(AH258,Leyenda!$O$4:$U$10,6,FALSE)</f>
        <v>0,15-0,25</v>
      </c>
      <c r="AJ258" s="18" t="str">
        <f>+VLOOKUP(AG258,Leyenda!$O$4:$U$10,7,FALSE)</f>
        <v>No Blasting need</v>
      </c>
      <c r="AK258" s="18">
        <f>+VLOOKUP(AJ258,Leyenda!$U$4:$V$10,2,FALSE)</f>
        <v>2</v>
      </c>
      <c r="AL258" s="18" t="s">
        <v>200</v>
      </c>
      <c r="AM258" s="18" t="s">
        <v>32</v>
      </c>
      <c r="AN258" s="18" t="s">
        <v>69</v>
      </c>
      <c r="AO258" s="18" t="s">
        <v>79</v>
      </c>
      <c r="AP258" s="18" t="s">
        <v>100</v>
      </c>
      <c r="AQ258" s="18" t="s">
        <v>109</v>
      </c>
      <c r="AR258" s="18" t="s">
        <v>122</v>
      </c>
      <c r="AS258" s="18" t="s">
        <v>247</v>
      </c>
      <c r="AT258" s="18" t="s">
        <v>248</v>
      </c>
      <c r="AU258" s="18"/>
      <c r="AV258" s="18">
        <f>+VLOOKUP(AN258,Leyenda!$B$30:$E$34,3,FALSE)</f>
        <v>0</v>
      </c>
      <c r="AW258" s="18">
        <f>+VLOOKUP('2. Logging Brejo Seco'!AO258,Meteorizacion,3,FALSE)</f>
        <v>1</v>
      </c>
      <c r="AX258" s="18">
        <f>+VLOOKUP('2. Logging Brejo Seco'!AP258,Apertura,3,FALSE)</f>
        <v>0</v>
      </c>
      <c r="AY258" s="18">
        <f>+VLOOKUP('2. Logging Brejo Seco'!AQ258,Leyenda!$B$55:$D$59,3,FALSE)</f>
        <v>1</v>
      </c>
      <c r="AZ258" s="18">
        <f>+VLOOKUP('2. Logging Brejo Seco'!AR258,Relleno,3,FALSE)</f>
        <v>0</v>
      </c>
      <c r="BA258" s="18">
        <f t="shared" si="87"/>
        <v>2</v>
      </c>
      <c r="BB258" s="49">
        <f t="shared" si="73"/>
        <v>0</v>
      </c>
      <c r="BC258" s="49">
        <f>VLOOKUP(AH258,Leyenda!$B$4:$D$10,3,FALSE)</f>
        <v>1</v>
      </c>
      <c r="BD258" s="50">
        <f t="shared" si="79"/>
        <v>6</v>
      </c>
      <c r="BE258" s="49">
        <f t="shared" si="80"/>
        <v>2</v>
      </c>
      <c r="BF258" s="49">
        <f>VLOOKUP(AS258,Leyenda!$B$70:$D$75,3,FALSE)</f>
        <v>10</v>
      </c>
      <c r="BG258" s="67">
        <f t="shared" si="74"/>
        <v>3</v>
      </c>
      <c r="BH258" s="67">
        <f>VLOOKUP(AM258,Leyenda!$B$4:$E$10,4,FALSE)</f>
        <v>1</v>
      </c>
      <c r="BI258" s="67">
        <f t="shared" si="81"/>
        <v>5</v>
      </c>
      <c r="BJ258" s="67">
        <f t="shared" si="75"/>
        <v>0</v>
      </c>
      <c r="BK258" s="67">
        <f>+VLOOKUP('2. Logging Brejo Seco'!AP258,Leyenda!$B$47:$E$51,4,FALSE)</f>
        <v>0</v>
      </c>
      <c r="BL258" s="67">
        <f>+VLOOKUP('2. Logging Brejo Seco'!AQ258,Leyenda!$B$55:$E$59,4,FALSE)</f>
        <v>1</v>
      </c>
      <c r="BM258" s="67">
        <f>+VLOOKUP('2. Logging Brejo Seco'!AR258,Leyenda!$B$63:$E$67,3,FALSE)</f>
        <v>0</v>
      </c>
      <c r="BN258" s="67">
        <f>+VLOOKUP('2. Logging Brejo Seco'!AO258,Leyenda!$B$39:$E$43,4,FALSE)</f>
        <v>1</v>
      </c>
      <c r="BO258" s="67">
        <f>+VLOOKUP('2. Logging Brejo Seco'!AN258,Leyenda!$B$30:$E$34,4,FALSE)</f>
        <v>0</v>
      </c>
      <c r="BP258" s="67">
        <f>VLOOKUP(AS258,Leyenda!$B$71:$E$75,4,FALSE)</f>
        <v>7</v>
      </c>
      <c r="BQ258" s="125">
        <f t="shared" si="82"/>
        <v>15</v>
      </c>
      <c r="BR258" s="85">
        <f t="shared" si="83"/>
        <v>19</v>
      </c>
      <c r="BS258" s="240">
        <f t="shared" si="84"/>
        <v>0</v>
      </c>
      <c r="BT258" s="18"/>
    </row>
    <row r="259" spans="1:72" x14ac:dyDescent="0.25">
      <c r="A259" s="18" t="s">
        <v>6</v>
      </c>
      <c r="B259" s="18">
        <v>2024</v>
      </c>
      <c r="C259" s="18" t="s">
        <v>138</v>
      </c>
      <c r="D259" s="18" t="s">
        <v>130</v>
      </c>
      <c r="E259" s="18">
        <v>30</v>
      </c>
      <c r="F259" s="18">
        <v>30</v>
      </c>
      <c r="G259" s="18" t="s">
        <v>152</v>
      </c>
      <c r="H259" s="248">
        <f t="shared" si="85"/>
        <v>30</v>
      </c>
      <c r="I259" s="135"/>
      <c r="J259" s="18" t="s">
        <v>159</v>
      </c>
      <c r="K259" s="4">
        <f t="shared" si="88"/>
        <v>13</v>
      </c>
      <c r="L259" s="4">
        <v>13.5</v>
      </c>
      <c r="M259" s="4">
        <f t="shared" si="76"/>
        <v>0.5</v>
      </c>
      <c r="N259" s="5">
        <v>1</v>
      </c>
      <c r="O259" s="5">
        <f t="shared" si="89"/>
        <v>0</v>
      </c>
      <c r="P259" s="31">
        <f t="shared" si="77"/>
        <v>0.5</v>
      </c>
      <c r="Q259" s="31">
        <f t="shared" ref="Q259:Q322" si="92">+N259*M259</f>
        <v>0.5</v>
      </c>
      <c r="R259" s="31">
        <v>25</v>
      </c>
      <c r="S259" s="31">
        <v>20</v>
      </c>
      <c r="T259" s="31">
        <v>0.49</v>
      </c>
      <c r="U259" s="31">
        <v>0.14000000000000001</v>
      </c>
      <c r="V259" s="65">
        <f t="shared" si="86"/>
        <v>28.000000000000004</v>
      </c>
      <c r="W259" s="31">
        <v>4</v>
      </c>
      <c r="X259" s="31"/>
      <c r="Y259" s="31">
        <f t="shared" si="90"/>
        <v>4</v>
      </c>
      <c r="Z259" s="31">
        <f t="shared" si="91"/>
        <v>122.5</v>
      </c>
      <c r="AA259" s="18">
        <v>0</v>
      </c>
      <c r="AB259" s="18" t="s">
        <v>330</v>
      </c>
      <c r="AC259" s="18" t="s">
        <v>333</v>
      </c>
      <c r="AD259" s="18" t="s">
        <v>336</v>
      </c>
      <c r="AE259" s="18">
        <v>20</v>
      </c>
      <c r="AF259" s="18">
        <v>25</v>
      </c>
      <c r="AG259" s="18" t="s">
        <v>32</v>
      </c>
      <c r="AH259" s="18" t="s">
        <v>32</v>
      </c>
      <c r="AI259" s="18" t="str">
        <f>+VLOOKUP(AH259,Leyenda!$O$4:$U$10,6,FALSE)</f>
        <v>0,15-0,25</v>
      </c>
      <c r="AJ259" s="18" t="str">
        <f>+VLOOKUP(AG259,Leyenda!$O$4:$U$10,7,FALSE)</f>
        <v>No Blasting need</v>
      </c>
      <c r="AK259" s="18">
        <f>+VLOOKUP(AJ259,Leyenda!$U$4:$V$10,2,FALSE)</f>
        <v>2</v>
      </c>
      <c r="AL259" s="18" t="s">
        <v>239</v>
      </c>
      <c r="AM259" s="18" t="s">
        <v>32</v>
      </c>
      <c r="AN259" s="18" t="s">
        <v>69</v>
      </c>
      <c r="AO259" s="18" t="s">
        <v>79</v>
      </c>
      <c r="AP259" s="18" t="s">
        <v>100</v>
      </c>
      <c r="AQ259" s="18" t="s">
        <v>107</v>
      </c>
      <c r="AR259" s="18" t="s">
        <v>120</v>
      </c>
      <c r="AS259" s="18" t="s">
        <v>198</v>
      </c>
      <c r="AT259" s="18" t="s">
        <v>250</v>
      </c>
      <c r="AU259" s="18"/>
      <c r="AV259" s="18">
        <f>+VLOOKUP(AN259,Leyenda!$B$30:$E$34,3,FALSE)</f>
        <v>0</v>
      </c>
      <c r="AW259" s="18">
        <f>+VLOOKUP('2. Logging Brejo Seco'!AO259,Meteorizacion,3,FALSE)</f>
        <v>1</v>
      </c>
      <c r="AX259" s="18">
        <f>+VLOOKUP('2. Logging Brejo Seco'!AP259,Apertura,3,FALSE)</f>
        <v>0</v>
      </c>
      <c r="AY259" s="18">
        <f>+VLOOKUP('2. Logging Brejo Seco'!AQ259,Leyenda!$B$55:$D$59,3,FALSE)</f>
        <v>3</v>
      </c>
      <c r="AZ259" s="18">
        <f>+VLOOKUP('2. Logging Brejo Seco'!AR259,Relleno,3,FALSE)</f>
        <v>2</v>
      </c>
      <c r="BA259" s="18">
        <f t="shared" si="87"/>
        <v>6</v>
      </c>
      <c r="BB259" s="49">
        <f t="shared" ref="BB259:BB322" si="93">ROUND(-0.0002*POWER(V259,2)+0.2197*V259,0)</f>
        <v>6</v>
      </c>
      <c r="BC259" s="49">
        <f>VLOOKUP(AH259,Leyenda!$B$4:$D$10,3,FALSE)</f>
        <v>1</v>
      </c>
      <c r="BD259" s="50">
        <f t="shared" si="79"/>
        <v>8</v>
      </c>
      <c r="BE259" s="49">
        <f t="shared" si="80"/>
        <v>6</v>
      </c>
      <c r="BF259" s="49">
        <v>10</v>
      </c>
      <c r="BG259" s="67">
        <f t="shared" ref="BG259:BG322" si="94">1.5*BA259+(V259*0.5)</f>
        <v>23</v>
      </c>
      <c r="BH259" s="67">
        <f>VLOOKUP(AM259,Leyenda!$B$4:$E$10,4,FALSE)</f>
        <v>1</v>
      </c>
      <c r="BI259" s="67">
        <f t="shared" si="81"/>
        <v>9</v>
      </c>
      <c r="BJ259" s="67">
        <f t="shared" ref="BJ259:BJ322" si="95">ROUND(-0.0002*POWER(V259,2)+0.2197*V259,0)</f>
        <v>6</v>
      </c>
      <c r="BK259" s="67">
        <f>+VLOOKUP('2. Logging Brejo Seco'!AP259,Leyenda!$B$47:$E$51,4,FALSE)</f>
        <v>0</v>
      </c>
      <c r="BL259" s="67">
        <f>+VLOOKUP('2. Logging Brejo Seco'!AQ259,Leyenda!$B$55:$E$59,4,FALSE)</f>
        <v>3</v>
      </c>
      <c r="BM259" s="67">
        <f>+VLOOKUP('2. Logging Brejo Seco'!AR259,Leyenda!$B$63:$E$67,3,FALSE)</f>
        <v>2</v>
      </c>
      <c r="BN259" s="67">
        <f>+VLOOKUP('2. Logging Brejo Seco'!AO259,Leyenda!$B$39:$E$43,4,FALSE)</f>
        <v>1</v>
      </c>
      <c r="BO259" s="67">
        <f>+VLOOKUP('2. Logging Brejo Seco'!AN259,Leyenda!$B$30:$E$34,4,FALSE)</f>
        <v>0</v>
      </c>
      <c r="BP259" s="67">
        <f>VLOOKUP(AS259,Leyenda!$B$71:$E$75,4,FALSE)</f>
        <v>10</v>
      </c>
      <c r="BQ259" s="125">
        <f t="shared" si="82"/>
        <v>32</v>
      </c>
      <c r="BR259" s="85">
        <f t="shared" si="83"/>
        <v>31</v>
      </c>
      <c r="BS259" s="240">
        <f t="shared" si="84"/>
        <v>0</v>
      </c>
      <c r="BT259" s="18" t="s">
        <v>749</v>
      </c>
    </row>
    <row r="260" spans="1:72" x14ac:dyDescent="0.25">
      <c r="A260" s="18" t="s">
        <v>6</v>
      </c>
      <c r="B260" s="18">
        <v>2024</v>
      </c>
      <c r="C260" s="18" t="s">
        <v>138</v>
      </c>
      <c r="D260" s="18" t="s">
        <v>130</v>
      </c>
      <c r="E260" s="18">
        <v>30</v>
      </c>
      <c r="F260" s="18">
        <v>30</v>
      </c>
      <c r="G260" s="18" t="s">
        <v>152</v>
      </c>
      <c r="H260" s="248">
        <f t="shared" si="85"/>
        <v>30</v>
      </c>
      <c r="I260" s="135"/>
      <c r="J260" s="18" t="s">
        <v>159</v>
      </c>
      <c r="K260" s="4">
        <f t="shared" si="88"/>
        <v>13.5</v>
      </c>
      <c r="L260" s="4">
        <v>14</v>
      </c>
      <c r="M260" s="4">
        <f t="shared" ref="M260:M323" si="96">+L260-K260</f>
        <v>0.5</v>
      </c>
      <c r="N260" s="5">
        <v>1</v>
      </c>
      <c r="O260" s="5">
        <f t="shared" si="89"/>
        <v>0</v>
      </c>
      <c r="P260" s="31">
        <f t="shared" ref="P260:P323" si="97">+M260*N260</f>
        <v>0.5</v>
      </c>
      <c r="Q260" s="31">
        <f t="shared" si="92"/>
        <v>0.5</v>
      </c>
      <c r="R260" s="31">
        <v>25</v>
      </c>
      <c r="S260" s="31">
        <v>20</v>
      </c>
      <c r="T260" s="31">
        <v>0.45</v>
      </c>
      <c r="U260" s="31">
        <v>0.14000000000000001</v>
      </c>
      <c r="V260" s="65">
        <f t="shared" si="86"/>
        <v>28.000000000000004</v>
      </c>
      <c r="W260" s="31">
        <v>7</v>
      </c>
      <c r="X260" s="31"/>
      <c r="Y260" s="31">
        <f t="shared" si="90"/>
        <v>7</v>
      </c>
      <c r="Z260" s="31">
        <f t="shared" si="91"/>
        <v>64.285714285714292</v>
      </c>
      <c r="AA260" s="18">
        <v>0</v>
      </c>
      <c r="AB260" s="18" t="s">
        <v>330</v>
      </c>
      <c r="AC260" s="18" t="s">
        <v>333</v>
      </c>
      <c r="AD260" s="18" t="s">
        <v>337</v>
      </c>
      <c r="AE260" s="18">
        <v>20</v>
      </c>
      <c r="AF260" s="18">
        <v>25</v>
      </c>
      <c r="AG260" s="18" t="s">
        <v>29</v>
      </c>
      <c r="AH260" s="18" t="s">
        <v>34</v>
      </c>
      <c r="AI260" s="18">
        <f>+VLOOKUP(AH260,Leyenda!$O$4:$U$10,6,FALSE)</f>
        <v>0</v>
      </c>
      <c r="AJ260" s="18" t="str">
        <f>+VLOOKUP(AG260,Leyenda!$O$4:$U$10,7,FALSE)</f>
        <v>No Blasting need</v>
      </c>
      <c r="AK260" s="18">
        <f>+VLOOKUP(AJ260,Leyenda!$U$4:$V$10,2,FALSE)</f>
        <v>2</v>
      </c>
      <c r="AL260" s="18" t="s">
        <v>199</v>
      </c>
      <c r="AM260" s="18" t="s">
        <v>34</v>
      </c>
      <c r="AN260" s="18" t="s">
        <v>66</v>
      </c>
      <c r="AO260" s="18" t="s">
        <v>79</v>
      </c>
      <c r="AP260" s="18" t="s">
        <v>100</v>
      </c>
      <c r="AQ260" s="18" t="s">
        <v>107</v>
      </c>
      <c r="AR260" s="18" t="s">
        <v>120</v>
      </c>
      <c r="AS260" s="18" t="s">
        <v>198</v>
      </c>
      <c r="AT260" s="18" t="s">
        <v>251</v>
      </c>
      <c r="AU260" s="18"/>
      <c r="AV260" s="18">
        <f>+VLOOKUP(AN260,Leyenda!$B$30:$E$34,3,FALSE)</f>
        <v>1</v>
      </c>
      <c r="AW260" s="18">
        <f>+VLOOKUP('2. Logging Brejo Seco'!AO260,Meteorizacion,3,FALSE)</f>
        <v>1</v>
      </c>
      <c r="AX260" s="18">
        <f>+VLOOKUP('2. Logging Brejo Seco'!AP260,Apertura,3,FALSE)</f>
        <v>0</v>
      </c>
      <c r="AY260" s="18">
        <f>+VLOOKUP('2. Logging Brejo Seco'!AQ260,Leyenda!$B$55:$D$59,3,FALSE)</f>
        <v>3</v>
      </c>
      <c r="AZ260" s="18">
        <f>+VLOOKUP('2. Logging Brejo Seco'!AR260,Relleno,3,FALSE)</f>
        <v>2</v>
      </c>
      <c r="BA260" s="18">
        <f t="shared" si="87"/>
        <v>7</v>
      </c>
      <c r="BB260" s="49">
        <f t="shared" si="93"/>
        <v>6</v>
      </c>
      <c r="BC260" s="49">
        <f>VLOOKUP(AH260,Leyenda!$B$4:$D$10,3,FALSE)</f>
        <v>0</v>
      </c>
      <c r="BD260" s="50">
        <f t="shared" ref="BD260:BD323" si="98">IF(Z260="",ROUND((IF(Z260&lt;=400,1.5478*POWER(Z260,0.3351),-2*POWER(10,-6)*POWER(Z260,2)+0.0091*Z260+8.1704)),0),ROUND((IF(Z260&lt;=400,1.5478*POWER(Z260,0.3351),-2*POWER(10,-6)*POWER(Z260,2)+0.0091*Z260+8.1704)),0))</f>
        <v>6</v>
      </c>
      <c r="BE260" s="49">
        <f t="shared" ref="BE260:BE323" si="99">+BA260</f>
        <v>7</v>
      </c>
      <c r="BF260" s="49">
        <v>10</v>
      </c>
      <c r="BG260" s="67">
        <f t="shared" si="94"/>
        <v>24.5</v>
      </c>
      <c r="BH260" s="67">
        <f>VLOOKUP(AM260,Leyenda!$B$4:$E$10,4,FALSE)</f>
        <v>0</v>
      </c>
      <c r="BI260" s="67">
        <f t="shared" ref="BI260:BI323" si="100">IF(Z260="",ROUND(IF(Z260&lt;=50,5,IF(Z260&gt;=3000,30,6.038*LN(Z260)-19.63)),0),ROUND(IF(Z260&lt;=50,5,IF(Z260&gt;=3000,30,6.038*LN(Z260)-19.63)),0))</f>
        <v>6</v>
      </c>
      <c r="BJ260" s="67">
        <f t="shared" si="95"/>
        <v>6</v>
      </c>
      <c r="BK260" s="67">
        <f>+VLOOKUP('2. Logging Brejo Seco'!AP260,Leyenda!$B$47:$E$51,4,FALSE)</f>
        <v>0</v>
      </c>
      <c r="BL260" s="67">
        <f>+VLOOKUP('2. Logging Brejo Seco'!AQ260,Leyenda!$B$55:$E$59,4,FALSE)</f>
        <v>3</v>
      </c>
      <c r="BM260" s="67">
        <f>+VLOOKUP('2. Logging Brejo Seco'!AR260,Leyenda!$B$63:$E$67,3,FALSE)</f>
        <v>2</v>
      </c>
      <c r="BN260" s="67">
        <f>+VLOOKUP('2. Logging Brejo Seco'!AO260,Leyenda!$B$39:$E$43,4,FALSE)</f>
        <v>1</v>
      </c>
      <c r="BO260" s="67">
        <f>+VLOOKUP('2. Logging Brejo Seco'!AN260,Leyenda!$B$30:$E$34,4,FALSE)</f>
        <v>1</v>
      </c>
      <c r="BP260" s="67">
        <f>VLOOKUP(AS260,Leyenda!$B$71:$E$75,4,FALSE)</f>
        <v>10</v>
      </c>
      <c r="BQ260" s="125">
        <f t="shared" ref="BQ260:BQ323" si="101">+BH260+BI260+BJ260+BK260+BL260+BM260+BN260+BO260+BP260</f>
        <v>29</v>
      </c>
      <c r="BR260" s="85">
        <f t="shared" ref="BR260:BR323" si="102">+BC260+BD260+BB260+BE260+BF260</f>
        <v>29</v>
      </c>
      <c r="BS260" s="240">
        <f t="shared" ref="BS260:BS323" si="103">1-N260</f>
        <v>0</v>
      </c>
      <c r="BT260" s="18"/>
    </row>
    <row r="261" spans="1:72" x14ac:dyDescent="0.25">
      <c r="A261" s="18" t="s">
        <v>6</v>
      </c>
      <c r="B261" s="18">
        <v>2024</v>
      </c>
      <c r="C261" s="18" t="s">
        <v>138</v>
      </c>
      <c r="D261" s="18" t="s">
        <v>130</v>
      </c>
      <c r="E261" s="18">
        <v>30</v>
      </c>
      <c r="F261" s="18">
        <v>30</v>
      </c>
      <c r="G261" s="18" t="s">
        <v>152</v>
      </c>
      <c r="H261" s="248">
        <f t="shared" si="85"/>
        <v>30</v>
      </c>
      <c r="I261" s="135"/>
      <c r="J261" s="18" t="s">
        <v>159</v>
      </c>
      <c r="K261" s="4">
        <f t="shared" si="88"/>
        <v>14</v>
      </c>
      <c r="L261" s="4">
        <v>14.5</v>
      </c>
      <c r="M261" s="4">
        <f t="shared" si="96"/>
        <v>0.5</v>
      </c>
      <c r="N261" s="5">
        <v>1</v>
      </c>
      <c r="O261" s="5">
        <f t="shared" si="89"/>
        <v>0</v>
      </c>
      <c r="P261" s="31">
        <f t="shared" si="97"/>
        <v>0.5</v>
      </c>
      <c r="Q261" s="31">
        <f t="shared" si="92"/>
        <v>0.5</v>
      </c>
      <c r="R261" s="31">
        <v>25</v>
      </c>
      <c r="S261" s="31">
        <v>20</v>
      </c>
      <c r="T261" s="31">
        <v>0.48</v>
      </c>
      <c r="U261" s="31">
        <v>0</v>
      </c>
      <c r="V261" s="65">
        <f t="shared" si="86"/>
        <v>0</v>
      </c>
      <c r="W261" s="31">
        <v>4</v>
      </c>
      <c r="X261" s="31"/>
      <c r="Y261" s="31">
        <f t="shared" si="90"/>
        <v>4</v>
      </c>
      <c r="Z261" s="31">
        <f t="shared" si="91"/>
        <v>120</v>
      </c>
      <c r="AA261" s="18">
        <v>0</v>
      </c>
      <c r="AB261" s="18" t="s">
        <v>330</v>
      </c>
      <c r="AC261" s="18" t="s">
        <v>333</v>
      </c>
      <c r="AD261" s="18" t="s">
        <v>337</v>
      </c>
      <c r="AE261" s="18">
        <v>20</v>
      </c>
      <c r="AF261" s="18">
        <v>25</v>
      </c>
      <c r="AG261" s="18" t="s">
        <v>29</v>
      </c>
      <c r="AH261" s="18" t="s">
        <v>34</v>
      </c>
      <c r="AI261" s="18">
        <f>+VLOOKUP(AH261,Leyenda!$O$4:$U$10,6,FALSE)</f>
        <v>0</v>
      </c>
      <c r="AJ261" s="18" t="str">
        <f>+VLOOKUP(AG261,Leyenda!$O$4:$U$10,7,FALSE)</f>
        <v>No Blasting need</v>
      </c>
      <c r="AK261" s="18">
        <f>+VLOOKUP(AJ261,Leyenda!$U$4:$V$10,2,FALSE)</f>
        <v>2</v>
      </c>
      <c r="AL261" s="18" t="s">
        <v>199</v>
      </c>
      <c r="AM261" s="18" t="s">
        <v>34</v>
      </c>
      <c r="AN261" s="18" t="s">
        <v>66</v>
      </c>
      <c r="AO261" s="18" t="s">
        <v>79</v>
      </c>
      <c r="AP261" s="18" t="s">
        <v>100</v>
      </c>
      <c r="AQ261" s="18" t="s">
        <v>107</v>
      </c>
      <c r="AR261" s="18" t="s">
        <v>120</v>
      </c>
      <c r="AS261" s="18" t="s">
        <v>198</v>
      </c>
      <c r="AT261" s="18" t="s">
        <v>251</v>
      </c>
      <c r="AU261" s="18"/>
      <c r="AV261" s="18">
        <f>+VLOOKUP(AN261,Leyenda!$B$30:$E$34,3,FALSE)</f>
        <v>1</v>
      </c>
      <c r="AW261" s="18">
        <f>+VLOOKUP('2. Logging Brejo Seco'!AO261,Meteorizacion,3,FALSE)</f>
        <v>1</v>
      </c>
      <c r="AX261" s="18">
        <f>+VLOOKUP('2. Logging Brejo Seco'!AP261,Apertura,3,FALSE)</f>
        <v>0</v>
      </c>
      <c r="AY261" s="18">
        <f>+VLOOKUP('2. Logging Brejo Seco'!AQ261,Leyenda!$B$55:$D$59,3,FALSE)</f>
        <v>3</v>
      </c>
      <c r="AZ261" s="18">
        <f>+VLOOKUP('2. Logging Brejo Seco'!AR261,Relleno,3,FALSE)</f>
        <v>2</v>
      </c>
      <c r="BA261" s="18">
        <f t="shared" si="87"/>
        <v>7</v>
      </c>
      <c r="BB261" s="49">
        <f t="shared" si="93"/>
        <v>0</v>
      </c>
      <c r="BC261" s="49">
        <f>VLOOKUP(AH261,Leyenda!$B$4:$D$10,3,FALSE)</f>
        <v>0</v>
      </c>
      <c r="BD261" s="50">
        <f t="shared" si="98"/>
        <v>8</v>
      </c>
      <c r="BE261" s="49">
        <f t="shared" si="99"/>
        <v>7</v>
      </c>
      <c r="BF261" s="49">
        <v>10</v>
      </c>
      <c r="BG261" s="67">
        <f t="shared" si="94"/>
        <v>10.5</v>
      </c>
      <c r="BH261" s="67">
        <f>VLOOKUP(AM261,Leyenda!$B$4:$E$10,4,FALSE)</f>
        <v>0</v>
      </c>
      <c r="BI261" s="67">
        <f t="shared" si="100"/>
        <v>9</v>
      </c>
      <c r="BJ261" s="67">
        <f t="shared" si="95"/>
        <v>0</v>
      </c>
      <c r="BK261" s="67">
        <f>+VLOOKUP('2. Logging Brejo Seco'!AP261,Leyenda!$B$47:$E$51,4,FALSE)</f>
        <v>0</v>
      </c>
      <c r="BL261" s="67">
        <f>+VLOOKUP('2. Logging Brejo Seco'!AQ261,Leyenda!$B$55:$E$59,4,FALSE)</f>
        <v>3</v>
      </c>
      <c r="BM261" s="67">
        <f>+VLOOKUP('2. Logging Brejo Seco'!AR261,Leyenda!$B$63:$E$67,3,FALSE)</f>
        <v>2</v>
      </c>
      <c r="BN261" s="67">
        <f>+VLOOKUP('2. Logging Brejo Seco'!AO261,Leyenda!$B$39:$E$43,4,FALSE)</f>
        <v>1</v>
      </c>
      <c r="BO261" s="67">
        <f>+VLOOKUP('2. Logging Brejo Seco'!AN261,Leyenda!$B$30:$E$34,4,FALSE)</f>
        <v>1</v>
      </c>
      <c r="BP261" s="67">
        <f>VLOOKUP(AS261,Leyenda!$B$71:$E$75,4,FALSE)</f>
        <v>10</v>
      </c>
      <c r="BQ261" s="125">
        <f t="shared" si="101"/>
        <v>26</v>
      </c>
      <c r="BR261" s="85">
        <f t="shared" si="102"/>
        <v>25</v>
      </c>
      <c r="BS261" s="240">
        <f t="shared" si="103"/>
        <v>0</v>
      </c>
      <c r="BT261" s="18"/>
    </row>
    <row r="262" spans="1:72" x14ac:dyDescent="0.25">
      <c r="A262" s="18" t="s">
        <v>6</v>
      </c>
      <c r="B262" s="18">
        <v>2024</v>
      </c>
      <c r="C262" s="18" t="s">
        <v>138</v>
      </c>
      <c r="D262" s="18" t="s">
        <v>130</v>
      </c>
      <c r="E262" s="18">
        <v>30</v>
      </c>
      <c r="F262" s="18">
        <v>20</v>
      </c>
      <c r="G262" s="18" t="s">
        <v>152</v>
      </c>
      <c r="H262" s="248">
        <f t="shared" si="85"/>
        <v>20</v>
      </c>
      <c r="I262" s="135"/>
      <c r="J262" s="18" t="s">
        <v>159</v>
      </c>
      <c r="K262" s="4">
        <f t="shared" si="88"/>
        <v>14.5</v>
      </c>
      <c r="L262" s="4">
        <v>15</v>
      </c>
      <c r="M262" s="4">
        <f t="shared" si="96"/>
        <v>0.5</v>
      </c>
      <c r="N262" s="5">
        <v>1</v>
      </c>
      <c r="O262" s="5">
        <f t="shared" si="89"/>
        <v>0</v>
      </c>
      <c r="P262" s="31">
        <f t="shared" si="97"/>
        <v>0.5</v>
      </c>
      <c r="Q262" s="31">
        <f t="shared" si="92"/>
        <v>0.5</v>
      </c>
      <c r="R262" s="31">
        <v>100</v>
      </c>
      <c r="S262" s="31">
        <v>5</v>
      </c>
      <c r="T262" s="31">
        <v>0.4</v>
      </c>
      <c r="U262" s="31">
        <v>0.13</v>
      </c>
      <c r="V262" s="187">
        <f t="shared" si="86"/>
        <v>26</v>
      </c>
      <c r="W262" s="31">
        <v>6</v>
      </c>
      <c r="X262" s="31"/>
      <c r="Y262" s="31">
        <f t="shared" si="90"/>
        <v>6</v>
      </c>
      <c r="Z262" s="31">
        <f t="shared" si="91"/>
        <v>66.666666666666671</v>
      </c>
      <c r="AA262" s="18">
        <v>28</v>
      </c>
      <c r="AB262" s="18" t="s">
        <v>330</v>
      </c>
      <c r="AC262" s="18" t="s">
        <v>118</v>
      </c>
      <c r="AD262" s="18" t="s">
        <v>337</v>
      </c>
      <c r="AE262" s="18">
        <v>5</v>
      </c>
      <c r="AF262" s="18">
        <v>100</v>
      </c>
      <c r="AG262" s="18" t="s">
        <v>29</v>
      </c>
      <c r="AH262" s="18" t="s">
        <v>34</v>
      </c>
      <c r="AI262" s="18">
        <f>+VLOOKUP(AH262,Leyenda!$O$4:$U$10,6,FALSE)</f>
        <v>0</v>
      </c>
      <c r="AJ262" s="18" t="str">
        <f>+VLOOKUP(AG262,Leyenda!$O$4:$U$10,7,FALSE)</f>
        <v>No Blasting need</v>
      </c>
      <c r="AK262" s="18">
        <f>+VLOOKUP(AJ262,Leyenda!$U$4:$V$10,2,FALSE)</f>
        <v>2</v>
      </c>
      <c r="AL262" s="18" t="s">
        <v>196</v>
      </c>
      <c r="AM262" s="18" t="s">
        <v>34</v>
      </c>
      <c r="AN262" s="18" t="s">
        <v>66</v>
      </c>
      <c r="AO262" s="18" t="s">
        <v>79</v>
      </c>
      <c r="AP262" s="18" t="s">
        <v>96</v>
      </c>
      <c r="AQ262" s="18" t="s">
        <v>109</v>
      </c>
      <c r="AR262" s="18" t="s">
        <v>120</v>
      </c>
      <c r="AS262" s="18" t="s">
        <v>198</v>
      </c>
      <c r="AT262" s="18" t="s">
        <v>255</v>
      </c>
      <c r="AU262" s="18"/>
      <c r="AV262" s="18">
        <f>+VLOOKUP(AN262,Leyenda!$B$30:$E$34,3,FALSE)</f>
        <v>1</v>
      </c>
      <c r="AW262" s="18">
        <f>+VLOOKUP('2. Logging Brejo Seco'!AO262,Meteorizacion,3,FALSE)</f>
        <v>1</v>
      </c>
      <c r="AX262" s="18">
        <f>+VLOOKUP('2. Logging Brejo Seco'!AP262,Apertura,3,FALSE)</f>
        <v>1</v>
      </c>
      <c r="AY262" s="18">
        <f>+VLOOKUP('2. Logging Brejo Seco'!AQ262,Leyenda!$B$55:$D$59,3,FALSE)</f>
        <v>1</v>
      </c>
      <c r="AZ262" s="18">
        <f>+VLOOKUP('2. Logging Brejo Seco'!AR262,Relleno,3,FALSE)</f>
        <v>2</v>
      </c>
      <c r="BA262" s="18">
        <f t="shared" si="87"/>
        <v>6</v>
      </c>
      <c r="BB262" s="49">
        <f t="shared" si="93"/>
        <v>6</v>
      </c>
      <c r="BC262" s="49">
        <f>VLOOKUP(AH262,Leyenda!$B$4:$D$10,3,FALSE)</f>
        <v>0</v>
      </c>
      <c r="BD262" s="50">
        <f t="shared" si="98"/>
        <v>6</v>
      </c>
      <c r="BE262" s="49">
        <f t="shared" si="99"/>
        <v>6</v>
      </c>
      <c r="BF262" s="49">
        <f>VLOOKUP(AS262,Leyenda!$B$70:$D$75,3,FALSE)</f>
        <v>15</v>
      </c>
      <c r="BG262" s="67">
        <f t="shared" si="94"/>
        <v>22</v>
      </c>
      <c r="BH262" s="67">
        <f>VLOOKUP(AM262,Leyenda!$B$4:$E$10,4,FALSE)</f>
        <v>0</v>
      </c>
      <c r="BI262" s="67">
        <f t="shared" si="100"/>
        <v>6</v>
      </c>
      <c r="BJ262" s="67">
        <f t="shared" si="95"/>
        <v>6</v>
      </c>
      <c r="BK262" s="67">
        <f>+VLOOKUP('2. Logging Brejo Seco'!AP262,Leyenda!$B$47:$E$51,4,FALSE)</f>
        <v>1</v>
      </c>
      <c r="BL262" s="67">
        <f>+VLOOKUP('2. Logging Brejo Seco'!AQ262,Leyenda!$B$55:$E$59,4,FALSE)</f>
        <v>1</v>
      </c>
      <c r="BM262" s="67">
        <f>+VLOOKUP('2. Logging Brejo Seco'!AR262,Leyenda!$B$63:$E$67,3,FALSE)</f>
        <v>2</v>
      </c>
      <c r="BN262" s="67">
        <f>+VLOOKUP('2. Logging Brejo Seco'!AO262,Leyenda!$B$39:$E$43,4,FALSE)</f>
        <v>1</v>
      </c>
      <c r="BO262" s="67">
        <f>+VLOOKUP('2. Logging Brejo Seco'!AN262,Leyenda!$B$30:$E$34,4,FALSE)</f>
        <v>1</v>
      </c>
      <c r="BP262" s="67">
        <f>VLOOKUP(AS262,Leyenda!$B$71:$E$75,4,FALSE)</f>
        <v>10</v>
      </c>
      <c r="BQ262" s="125">
        <f t="shared" si="101"/>
        <v>28</v>
      </c>
      <c r="BR262" s="85">
        <f t="shared" si="102"/>
        <v>33</v>
      </c>
      <c r="BS262" s="240">
        <f t="shared" si="103"/>
        <v>0</v>
      </c>
      <c r="BT262" s="18"/>
    </row>
    <row r="263" spans="1:72" x14ac:dyDescent="0.25">
      <c r="A263" s="18" t="s">
        <v>6</v>
      </c>
      <c r="B263" s="18">
        <v>2024</v>
      </c>
      <c r="C263" s="18" t="s">
        <v>138</v>
      </c>
      <c r="D263" s="18" t="s">
        <v>130</v>
      </c>
      <c r="E263" s="18">
        <v>30</v>
      </c>
      <c r="F263" s="18">
        <v>20</v>
      </c>
      <c r="G263" s="18" t="s">
        <v>152</v>
      </c>
      <c r="H263" s="248">
        <f t="shared" si="85"/>
        <v>20</v>
      </c>
      <c r="I263" s="135"/>
      <c r="J263" s="18" t="s">
        <v>159</v>
      </c>
      <c r="K263" s="4">
        <f t="shared" si="88"/>
        <v>15</v>
      </c>
      <c r="L263" s="4">
        <v>15.5</v>
      </c>
      <c r="M263" s="4">
        <f t="shared" si="96"/>
        <v>0.5</v>
      </c>
      <c r="N263" s="5">
        <v>1</v>
      </c>
      <c r="O263" s="5">
        <f t="shared" si="89"/>
        <v>0</v>
      </c>
      <c r="P263" s="31">
        <f t="shared" si="97"/>
        <v>0.5</v>
      </c>
      <c r="Q263" s="31">
        <f t="shared" si="92"/>
        <v>0.5</v>
      </c>
      <c r="R263" s="31">
        <v>25</v>
      </c>
      <c r="S263" s="31">
        <v>20</v>
      </c>
      <c r="T263" s="31">
        <v>0.5</v>
      </c>
      <c r="U263" s="31">
        <v>0.1</v>
      </c>
      <c r="V263" s="187">
        <f t="shared" si="86"/>
        <v>20</v>
      </c>
      <c r="W263" s="31">
        <v>6</v>
      </c>
      <c r="X263" s="31"/>
      <c r="Y263" s="31">
        <f t="shared" si="90"/>
        <v>6</v>
      </c>
      <c r="Z263" s="31">
        <f t="shared" si="91"/>
        <v>83.333333333333329</v>
      </c>
      <c r="AA263" s="18">
        <v>0</v>
      </c>
      <c r="AB263" s="18" t="s">
        <v>330</v>
      </c>
      <c r="AC263" s="18" t="s">
        <v>333</v>
      </c>
      <c r="AD263" s="18" t="s">
        <v>337</v>
      </c>
      <c r="AE263" s="18">
        <v>20</v>
      </c>
      <c r="AF263" s="18">
        <v>25</v>
      </c>
      <c r="AG263" s="18" t="s">
        <v>29</v>
      </c>
      <c r="AH263" s="18" t="s">
        <v>34</v>
      </c>
      <c r="AI263" s="18">
        <f>+VLOOKUP(AH263,Leyenda!$O$4:$U$10,6,FALSE)</f>
        <v>0</v>
      </c>
      <c r="AJ263" s="18" t="str">
        <f>+VLOOKUP(AG263,Leyenda!$O$4:$U$10,7,FALSE)</f>
        <v>No Blasting need</v>
      </c>
      <c r="AK263" s="18">
        <f>+VLOOKUP(AJ263,Leyenda!$U$4:$V$10,2,FALSE)</f>
        <v>2</v>
      </c>
      <c r="AL263" s="18" t="s">
        <v>196</v>
      </c>
      <c r="AM263" s="18" t="s">
        <v>34</v>
      </c>
      <c r="AN263" s="18" t="s">
        <v>66</v>
      </c>
      <c r="AO263" s="18" t="s">
        <v>79</v>
      </c>
      <c r="AP263" s="18" t="s">
        <v>96</v>
      </c>
      <c r="AQ263" s="18" t="s">
        <v>109</v>
      </c>
      <c r="AR263" s="18" t="s">
        <v>120</v>
      </c>
      <c r="AS263" s="18" t="s">
        <v>198</v>
      </c>
      <c r="AT263" s="36" t="s">
        <v>252</v>
      </c>
      <c r="AU263" s="36"/>
      <c r="AV263" s="18">
        <f>+VLOOKUP(AN263,Leyenda!$B$30:$E$34,3,FALSE)</f>
        <v>1</v>
      </c>
      <c r="AW263" s="36">
        <f>+VLOOKUP('2. Logging Brejo Seco'!AO263,Meteorizacion,3,FALSE)</f>
        <v>1</v>
      </c>
      <c r="AX263" s="36">
        <f>+VLOOKUP('2. Logging Brejo Seco'!AP263,Apertura,3,FALSE)</f>
        <v>1</v>
      </c>
      <c r="AY263" s="36">
        <f>+VLOOKUP('2. Logging Brejo Seco'!AQ263,Leyenda!$B$55:$D$59,3,FALSE)</f>
        <v>1</v>
      </c>
      <c r="AZ263" s="36">
        <f>+VLOOKUP('2. Logging Brejo Seco'!AR263,Relleno,3,FALSE)</f>
        <v>2</v>
      </c>
      <c r="BA263" s="36">
        <f t="shared" si="87"/>
        <v>6</v>
      </c>
      <c r="BB263" s="49">
        <f t="shared" si="93"/>
        <v>4</v>
      </c>
      <c r="BC263" s="49">
        <f>VLOOKUP(AH263,Leyenda!$B$4:$D$10,3,FALSE)</f>
        <v>0</v>
      </c>
      <c r="BD263" s="50">
        <f t="shared" si="98"/>
        <v>7</v>
      </c>
      <c r="BE263" s="49">
        <f t="shared" si="99"/>
        <v>6</v>
      </c>
      <c r="BF263" s="49">
        <f>VLOOKUP(AS263,Leyenda!$B$70:$D$75,3,FALSE)</f>
        <v>15</v>
      </c>
      <c r="BG263" s="67">
        <f t="shared" si="94"/>
        <v>19</v>
      </c>
      <c r="BH263" s="67">
        <f>VLOOKUP(AM263,Leyenda!$B$4:$E$10,4,FALSE)</f>
        <v>0</v>
      </c>
      <c r="BI263" s="67">
        <f t="shared" si="100"/>
        <v>7</v>
      </c>
      <c r="BJ263" s="67">
        <f t="shared" si="95"/>
        <v>4</v>
      </c>
      <c r="BK263" s="67">
        <f>+VLOOKUP('2. Logging Brejo Seco'!AP263,Leyenda!$B$47:$E$51,4,FALSE)</f>
        <v>1</v>
      </c>
      <c r="BL263" s="67">
        <f>+VLOOKUP('2. Logging Brejo Seco'!AQ263,Leyenda!$B$55:$E$59,4,FALSE)</f>
        <v>1</v>
      </c>
      <c r="BM263" s="67">
        <f>+VLOOKUP('2. Logging Brejo Seco'!AR263,Leyenda!$B$63:$E$67,3,FALSE)</f>
        <v>2</v>
      </c>
      <c r="BN263" s="67">
        <f>+VLOOKUP('2. Logging Brejo Seco'!AO263,Leyenda!$B$39:$E$43,4,FALSE)</f>
        <v>1</v>
      </c>
      <c r="BO263" s="67">
        <f>+VLOOKUP('2. Logging Brejo Seco'!AN263,Leyenda!$B$30:$E$34,4,FALSE)</f>
        <v>1</v>
      </c>
      <c r="BP263" s="67">
        <f>VLOOKUP(AS263,Leyenda!$B$71:$E$75,4,FALSE)</f>
        <v>10</v>
      </c>
      <c r="BQ263" s="125">
        <f t="shared" si="101"/>
        <v>27</v>
      </c>
      <c r="BR263" s="85">
        <f t="shared" si="102"/>
        <v>32</v>
      </c>
      <c r="BS263" s="240">
        <f t="shared" si="103"/>
        <v>0</v>
      </c>
      <c r="BT263" s="18"/>
    </row>
    <row r="264" spans="1:72" x14ac:dyDescent="0.25">
      <c r="A264" s="18" t="s">
        <v>6</v>
      </c>
      <c r="B264" s="18">
        <v>2024</v>
      </c>
      <c r="C264" s="18" t="s">
        <v>138</v>
      </c>
      <c r="D264" s="18" t="s">
        <v>130</v>
      </c>
      <c r="E264" s="18">
        <v>30</v>
      </c>
      <c r="F264" s="18">
        <v>20</v>
      </c>
      <c r="G264" s="18" t="s">
        <v>152</v>
      </c>
      <c r="H264" s="248">
        <f t="shared" si="85"/>
        <v>20</v>
      </c>
      <c r="I264" s="135"/>
      <c r="J264" s="18" t="s">
        <v>159</v>
      </c>
      <c r="K264" s="4">
        <f t="shared" si="88"/>
        <v>15.5</v>
      </c>
      <c r="L264" s="4">
        <v>16</v>
      </c>
      <c r="M264" s="4">
        <f t="shared" si="96"/>
        <v>0.5</v>
      </c>
      <c r="N264" s="5">
        <v>1</v>
      </c>
      <c r="O264" s="5">
        <f t="shared" si="89"/>
        <v>0</v>
      </c>
      <c r="P264" s="31">
        <f t="shared" si="97"/>
        <v>0.5</v>
      </c>
      <c r="Q264" s="31">
        <f t="shared" si="92"/>
        <v>0.5</v>
      </c>
      <c r="R264" s="31">
        <v>25</v>
      </c>
      <c r="S264" s="31">
        <v>20</v>
      </c>
      <c r="T264" s="31">
        <v>0.37</v>
      </c>
      <c r="U264" s="31">
        <v>0</v>
      </c>
      <c r="V264" s="187">
        <f t="shared" si="86"/>
        <v>0</v>
      </c>
      <c r="W264" s="31">
        <v>8</v>
      </c>
      <c r="X264" s="31"/>
      <c r="Y264" s="31">
        <f t="shared" si="90"/>
        <v>8</v>
      </c>
      <c r="Z264" s="31">
        <f t="shared" si="91"/>
        <v>46.25</v>
      </c>
      <c r="AA264" s="18">
        <v>0</v>
      </c>
      <c r="AB264" s="18" t="s">
        <v>330</v>
      </c>
      <c r="AC264" s="18" t="s">
        <v>333</v>
      </c>
      <c r="AD264" s="18" t="s">
        <v>337</v>
      </c>
      <c r="AE264" s="18">
        <v>20</v>
      </c>
      <c r="AF264" s="18">
        <v>25</v>
      </c>
      <c r="AG264" s="18" t="s">
        <v>29</v>
      </c>
      <c r="AH264" s="18" t="s">
        <v>34</v>
      </c>
      <c r="AI264" s="18">
        <f>+VLOOKUP(AH264,Leyenda!$O$4:$U$10,6,FALSE)</f>
        <v>0</v>
      </c>
      <c r="AJ264" s="18" t="str">
        <f>+VLOOKUP(AG264,Leyenda!$O$4:$U$10,7,FALSE)</f>
        <v>No Blasting need</v>
      </c>
      <c r="AK264" s="18">
        <f>+VLOOKUP(AJ264,Leyenda!$U$4:$V$10,2,FALSE)</f>
        <v>2</v>
      </c>
      <c r="AL264" s="18" t="s">
        <v>196</v>
      </c>
      <c r="AM264" s="18" t="s">
        <v>34</v>
      </c>
      <c r="AN264" s="18" t="s">
        <v>66</v>
      </c>
      <c r="AO264" s="18" t="s">
        <v>79</v>
      </c>
      <c r="AP264" s="18" t="s">
        <v>96</v>
      </c>
      <c r="AQ264" s="18" t="s">
        <v>107</v>
      </c>
      <c r="AR264" s="18" t="s">
        <v>120</v>
      </c>
      <c r="AS264" s="18" t="s">
        <v>198</v>
      </c>
      <c r="AT264" s="18" t="s">
        <v>252</v>
      </c>
      <c r="AU264" s="18"/>
      <c r="AV264" s="18">
        <f>+VLOOKUP(AN264,Leyenda!$B$30:$E$34,3,FALSE)</f>
        <v>1</v>
      </c>
      <c r="AW264" s="18">
        <f>+VLOOKUP('2. Logging Brejo Seco'!AO264,Meteorizacion,3,FALSE)</f>
        <v>1</v>
      </c>
      <c r="AX264" s="18">
        <f>+VLOOKUP('2. Logging Brejo Seco'!AP264,Apertura,3,FALSE)</f>
        <v>1</v>
      </c>
      <c r="AY264" s="18">
        <f>+VLOOKUP('2. Logging Brejo Seco'!AQ264,Leyenda!$B$55:$D$59,3,FALSE)</f>
        <v>3</v>
      </c>
      <c r="AZ264" s="18">
        <f>+VLOOKUP('2. Logging Brejo Seco'!AR264,Relleno,3,FALSE)</f>
        <v>2</v>
      </c>
      <c r="BA264" s="18">
        <f t="shared" si="87"/>
        <v>8</v>
      </c>
      <c r="BB264" s="49">
        <f t="shared" si="93"/>
        <v>0</v>
      </c>
      <c r="BC264" s="49">
        <f>VLOOKUP(AH264,Leyenda!$B$4:$D$10,3,FALSE)</f>
        <v>0</v>
      </c>
      <c r="BD264" s="50">
        <f t="shared" si="98"/>
        <v>6</v>
      </c>
      <c r="BE264" s="49">
        <f t="shared" si="99"/>
        <v>8</v>
      </c>
      <c r="BF264" s="49">
        <f>VLOOKUP(AS264,Leyenda!$B$70:$D$75,3,FALSE)</f>
        <v>15</v>
      </c>
      <c r="BG264" s="67">
        <f t="shared" si="94"/>
        <v>12</v>
      </c>
      <c r="BH264" s="67">
        <f>VLOOKUP(AM264,Leyenda!$B$4:$E$10,4,FALSE)</f>
        <v>0</v>
      </c>
      <c r="BI264" s="67">
        <f t="shared" si="100"/>
        <v>5</v>
      </c>
      <c r="BJ264" s="67">
        <f t="shared" si="95"/>
        <v>0</v>
      </c>
      <c r="BK264" s="67">
        <f>+VLOOKUP('2. Logging Brejo Seco'!AP264,Leyenda!$B$47:$E$51,4,FALSE)</f>
        <v>1</v>
      </c>
      <c r="BL264" s="67">
        <f>+VLOOKUP('2. Logging Brejo Seco'!AQ264,Leyenda!$B$55:$E$59,4,FALSE)</f>
        <v>3</v>
      </c>
      <c r="BM264" s="67">
        <f>+VLOOKUP('2. Logging Brejo Seco'!AR264,Leyenda!$B$63:$E$67,3,FALSE)</f>
        <v>2</v>
      </c>
      <c r="BN264" s="67">
        <f>+VLOOKUP('2. Logging Brejo Seco'!AO264,Leyenda!$B$39:$E$43,4,FALSE)</f>
        <v>1</v>
      </c>
      <c r="BO264" s="67">
        <f>+VLOOKUP('2. Logging Brejo Seco'!AN264,Leyenda!$B$30:$E$34,4,FALSE)</f>
        <v>1</v>
      </c>
      <c r="BP264" s="67">
        <f>VLOOKUP(AS264,Leyenda!$B$71:$E$75,4,FALSE)</f>
        <v>10</v>
      </c>
      <c r="BQ264" s="125">
        <f t="shared" si="101"/>
        <v>23</v>
      </c>
      <c r="BR264" s="85">
        <f t="shared" si="102"/>
        <v>29</v>
      </c>
      <c r="BS264" s="240">
        <f t="shared" si="103"/>
        <v>0</v>
      </c>
      <c r="BT264" s="18"/>
    </row>
    <row r="265" spans="1:72" x14ac:dyDescent="0.25">
      <c r="A265" s="18" t="s">
        <v>6</v>
      </c>
      <c r="B265" s="18">
        <v>2024</v>
      </c>
      <c r="C265" s="18" t="s">
        <v>138</v>
      </c>
      <c r="D265" s="18" t="s">
        <v>130</v>
      </c>
      <c r="E265" s="18">
        <v>30</v>
      </c>
      <c r="F265" s="18">
        <v>20</v>
      </c>
      <c r="G265" s="18" t="s">
        <v>152</v>
      </c>
      <c r="H265" s="248">
        <f t="shared" si="85"/>
        <v>20</v>
      </c>
      <c r="I265" s="135"/>
      <c r="J265" s="18" t="s">
        <v>159</v>
      </c>
      <c r="K265" s="4">
        <f t="shared" si="88"/>
        <v>16</v>
      </c>
      <c r="L265" s="4">
        <v>16.5</v>
      </c>
      <c r="M265" s="4">
        <f t="shared" si="96"/>
        <v>0.5</v>
      </c>
      <c r="N265" s="5">
        <v>1</v>
      </c>
      <c r="O265" s="5">
        <f t="shared" si="89"/>
        <v>0</v>
      </c>
      <c r="P265" s="31">
        <f t="shared" si="97"/>
        <v>0.5</v>
      </c>
      <c r="Q265" s="31">
        <f t="shared" si="92"/>
        <v>0.5</v>
      </c>
      <c r="R265" s="31">
        <v>25</v>
      </c>
      <c r="S265" s="31">
        <v>20</v>
      </c>
      <c r="T265" s="31">
        <v>0.38</v>
      </c>
      <c r="U265" s="31">
        <v>0</v>
      </c>
      <c r="V265" s="187">
        <f t="shared" si="86"/>
        <v>0</v>
      </c>
      <c r="W265" s="31">
        <v>7</v>
      </c>
      <c r="X265" s="31"/>
      <c r="Y265" s="31">
        <f t="shared" si="90"/>
        <v>7</v>
      </c>
      <c r="Z265" s="31">
        <f t="shared" si="91"/>
        <v>54.285714285714285</v>
      </c>
      <c r="AA265" s="18">
        <v>0</v>
      </c>
      <c r="AB265" s="18" t="s">
        <v>330</v>
      </c>
      <c r="AC265" s="18" t="s">
        <v>333</v>
      </c>
      <c r="AD265" s="18" t="s">
        <v>337</v>
      </c>
      <c r="AE265" s="18">
        <v>20</v>
      </c>
      <c r="AF265" s="18">
        <v>25</v>
      </c>
      <c r="AG265" s="18" t="s">
        <v>29</v>
      </c>
      <c r="AH265" s="18" t="s">
        <v>34</v>
      </c>
      <c r="AI265" s="18">
        <f>+VLOOKUP(AH265,Leyenda!$O$4:$U$10,6,FALSE)</f>
        <v>0</v>
      </c>
      <c r="AJ265" s="18" t="str">
        <f>+VLOOKUP(AG265,Leyenda!$O$4:$U$10,7,FALSE)</f>
        <v>No Blasting need</v>
      </c>
      <c r="AK265" s="18">
        <f>+VLOOKUP(AJ265,Leyenda!$U$4:$V$10,2,FALSE)</f>
        <v>2</v>
      </c>
      <c r="AL265" s="18" t="s">
        <v>196</v>
      </c>
      <c r="AM265" s="18" t="s">
        <v>34</v>
      </c>
      <c r="AN265" s="18" t="s">
        <v>66</v>
      </c>
      <c r="AO265" s="18" t="s">
        <v>79</v>
      </c>
      <c r="AP265" s="18" t="s">
        <v>96</v>
      </c>
      <c r="AQ265" s="18" t="s">
        <v>107</v>
      </c>
      <c r="AR265" s="18" t="s">
        <v>120</v>
      </c>
      <c r="AS265" s="18" t="s">
        <v>198</v>
      </c>
      <c r="AT265" s="18"/>
      <c r="AU265" s="18"/>
      <c r="AV265" s="18">
        <f>+VLOOKUP(AN265,Leyenda!$B$30:$E$34,3,FALSE)</f>
        <v>1</v>
      </c>
      <c r="AW265" s="18">
        <f>+VLOOKUP('2. Logging Brejo Seco'!AO265,Meteorizacion,3,FALSE)</f>
        <v>1</v>
      </c>
      <c r="AX265" s="18">
        <f>+VLOOKUP('2. Logging Brejo Seco'!AP265,Apertura,3,FALSE)</f>
        <v>1</v>
      </c>
      <c r="AY265" s="18">
        <f>+VLOOKUP('2. Logging Brejo Seco'!AQ265,Leyenda!$B$55:$D$59,3,FALSE)</f>
        <v>3</v>
      </c>
      <c r="AZ265" s="18">
        <f>+VLOOKUP('2. Logging Brejo Seco'!AR265,Relleno,3,FALSE)</f>
        <v>2</v>
      </c>
      <c r="BA265" s="18">
        <f t="shared" si="87"/>
        <v>8</v>
      </c>
      <c r="BB265" s="49">
        <f t="shared" si="93"/>
        <v>0</v>
      </c>
      <c r="BC265" s="49">
        <f>VLOOKUP(AH265,Leyenda!$B$4:$D$10,3,FALSE)</f>
        <v>0</v>
      </c>
      <c r="BD265" s="50">
        <f t="shared" si="98"/>
        <v>6</v>
      </c>
      <c r="BE265" s="49">
        <f t="shared" si="99"/>
        <v>8</v>
      </c>
      <c r="BF265" s="49">
        <f>VLOOKUP(AS265,Leyenda!$B$70:$D$75,3,FALSE)</f>
        <v>15</v>
      </c>
      <c r="BG265" s="67">
        <f t="shared" si="94"/>
        <v>12</v>
      </c>
      <c r="BH265" s="67">
        <f>VLOOKUP(AM265,Leyenda!$B$4:$E$10,4,FALSE)</f>
        <v>0</v>
      </c>
      <c r="BI265" s="67">
        <f t="shared" si="100"/>
        <v>4</v>
      </c>
      <c r="BJ265" s="67">
        <f t="shared" si="95"/>
        <v>0</v>
      </c>
      <c r="BK265" s="67">
        <f>+VLOOKUP('2. Logging Brejo Seco'!AP265,Leyenda!$B$47:$E$51,4,FALSE)</f>
        <v>1</v>
      </c>
      <c r="BL265" s="67">
        <f>+VLOOKUP('2. Logging Brejo Seco'!AQ265,Leyenda!$B$55:$E$59,4,FALSE)</f>
        <v>3</v>
      </c>
      <c r="BM265" s="67">
        <f>+VLOOKUP('2. Logging Brejo Seco'!AR265,Leyenda!$B$63:$E$67,3,FALSE)</f>
        <v>2</v>
      </c>
      <c r="BN265" s="67">
        <f>+VLOOKUP('2. Logging Brejo Seco'!AO265,Leyenda!$B$39:$E$43,4,FALSE)</f>
        <v>1</v>
      </c>
      <c r="BO265" s="67">
        <f>+VLOOKUP('2. Logging Brejo Seco'!AN265,Leyenda!$B$30:$E$34,4,FALSE)</f>
        <v>1</v>
      </c>
      <c r="BP265" s="67">
        <f>VLOOKUP(AS265,Leyenda!$B$71:$E$75,4,FALSE)</f>
        <v>10</v>
      </c>
      <c r="BQ265" s="125">
        <f t="shared" si="101"/>
        <v>22</v>
      </c>
      <c r="BR265" s="85">
        <f t="shared" si="102"/>
        <v>29</v>
      </c>
      <c r="BS265" s="240">
        <f t="shared" si="103"/>
        <v>0</v>
      </c>
      <c r="BT265" s="18"/>
    </row>
    <row r="266" spans="1:72" x14ac:dyDescent="0.25">
      <c r="A266" s="18" t="s">
        <v>6</v>
      </c>
      <c r="B266" s="18">
        <v>2024</v>
      </c>
      <c r="C266" s="18" t="s">
        <v>138</v>
      </c>
      <c r="D266" s="18" t="s">
        <v>130</v>
      </c>
      <c r="E266" s="18">
        <v>30</v>
      </c>
      <c r="F266" s="18">
        <v>20</v>
      </c>
      <c r="G266" s="18" t="s">
        <v>152</v>
      </c>
      <c r="H266" s="248">
        <f t="shared" ref="H266:H329" si="104">+F266</f>
        <v>20</v>
      </c>
      <c r="I266" s="135"/>
      <c r="J266" s="18" t="s">
        <v>159</v>
      </c>
      <c r="K266" s="4">
        <f t="shared" si="88"/>
        <v>16.5</v>
      </c>
      <c r="L266" s="4">
        <v>17</v>
      </c>
      <c r="M266" s="4">
        <f t="shared" si="96"/>
        <v>0.5</v>
      </c>
      <c r="N266" s="5">
        <v>1</v>
      </c>
      <c r="O266" s="5">
        <f t="shared" si="89"/>
        <v>0</v>
      </c>
      <c r="P266" s="31">
        <f t="shared" si="97"/>
        <v>0.5</v>
      </c>
      <c r="Q266" s="31">
        <f t="shared" si="92"/>
        <v>0.5</v>
      </c>
      <c r="R266" s="31">
        <v>100</v>
      </c>
      <c r="S266" s="31">
        <v>5</v>
      </c>
      <c r="T266" s="31">
        <v>0.46</v>
      </c>
      <c r="U266" s="31">
        <v>0.24</v>
      </c>
      <c r="V266" s="187">
        <f t="shared" ref="V266:V329" si="105">+U266/M266*100</f>
        <v>48</v>
      </c>
      <c r="W266" s="31">
        <v>4</v>
      </c>
      <c r="X266" s="31"/>
      <c r="Y266" s="31">
        <f t="shared" si="90"/>
        <v>4</v>
      </c>
      <c r="Z266" s="31">
        <f t="shared" si="91"/>
        <v>115</v>
      </c>
      <c r="AA266" s="18">
        <v>54</v>
      </c>
      <c r="AB266" s="18" t="s">
        <v>330</v>
      </c>
      <c r="AC266" s="18" t="s">
        <v>118</v>
      </c>
      <c r="AD266" s="18" t="s">
        <v>337</v>
      </c>
      <c r="AE266" s="18">
        <v>5</v>
      </c>
      <c r="AF266" s="18">
        <v>100</v>
      </c>
      <c r="AG266" s="18" t="s">
        <v>29</v>
      </c>
      <c r="AH266" s="18" t="s">
        <v>34</v>
      </c>
      <c r="AI266" s="18">
        <f>+VLOOKUP(AH266,Leyenda!$O$4:$U$10,6,FALSE)</f>
        <v>0</v>
      </c>
      <c r="AJ266" s="18" t="str">
        <f>+VLOOKUP(AG266,Leyenda!$O$4:$U$10,7,FALSE)</f>
        <v>No Blasting need</v>
      </c>
      <c r="AK266" s="18">
        <f>+VLOOKUP(AJ266,Leyenda!$U$4:$V$10,2,FALSE)</f>
        <v>2</v>
      </c>
      <c r="AL266" s="18" t="s">
        <v>196</v>
      </c>
      <c r="AM266" s="18" t="s">
        <v>34</v>
      </c>
      <c r="AN266" s="18" t="s">
        <v>66</v>
      </c>
      <c r="AO266" s="18" t="s">
        <v>79</v>
      </c>
      <c r="AP266" s="18" t="s">
        <v>96</v>
      </c>
      <c r="AQ266" s="18" t="s">
        <v>109</v>
      </c>
      <c r="AR266" s="18" t="s">
        <v>120</v>
      </c>
      <c r="AS266" s="18" t="s">
        <v>198</v>
      </c>
      <c r="AT266" s="18" t="s">
        <v>253</v>
      </c>
      <c r="AU266" s="18"/>
      <c r="AV266" s="18">
        <f>+VLOOKUP(AN266,Leyenda!$B$30:$E$34,3,FALSE)</f>
        <v>1</v>
      </c>
      <c r="AW266" s="18">
        <f>+VLOOKUP('2. Logging Brejo Seco'!AO266,Meteorizacion,3,FALSE)</f>
        <v>1</v>
      </c>
      <c r="AX266" s="18">
        <f>+VLOOKUP('2. Logging Brejo Seco'!AP266,Apertura,3,FALSE)</f>
        <v>1</v>
      </c>
      <c r="AY266" s="18">
        <f>+VLOOKUP('2. Logging Brejo Seco'!AQ266,Leyenda!$B$55:$D$59,3,FALSE)</f>
        <v>1</v>
      </c>
      <c r="AZ266" s="18">
        <f>+VLOOKUP('2. Logging Brejo Seco'!AR266,Relleno,3,FALSE)</f>
        <v>2</v>
      </c>
      <c r="BA266" s="18">
        <f t="shared" ref="BA266:BA329" si="106">+SUM(AV266:AZ266)</f>
        <v>6</v>
      </c>
      <c r="BB266" s="49">
        <f t="shared" si="93"/>
        <v>10</v>
      </c>
      <c r="BC266" s="49">
        <f>VLOOKUP(AH266,Leyenda!$B$4:$D$10,3,FALSE)</f>
        <v>0</v>
      </c>
      <c r="BD266" s="50">
        <f t="shared" si="98"/>
        <v>8</v>
      </c>
      <c r="BE266" s="49">
        <f t="shared" si="99"/>
        <v>6</v>
      </c>
      <c r="BF266" s="49">
        <f>VLOOKUP(AS266,Leyenda!$B$70:$D$75,3,FALSE)</f>
        <v>15</v>
      </c>
      <c r="BG266" s="67">
        <f t="shared" si="94"/>
        <v>33</v>
      </c>
      <c r="BH266" s="67">
        <f>VLOOKUP(AM266,Leyenda!$B$4:$E$10,4,FALSE)</f>
        <v>0</v>
      </c>
      <c r="BI266" s="67">
        <f t="shared" si="100"/>
        <v>9</v>
      </c>
      <c r="BJ266" s="67">
        <f t="shared" si="95"/>
        <v>10</v>
      </c>
      <c r="BK266" s="67">
        <f>+VLOOKUP('2. Logging Brejo Seco'!AP266,Leyenda!$B$47:$E$51,4,FALSE)</f>
        <v>1</v>
      </c>
      <c r="BL266" s="67">
        <f>+VLOOKUP('2. Logging Brejo Seco'!AQ266,Leyenda!$B$55:$E$59,4,FALSE)</f>
        <v>1</v>
      </c>
      <c r="BM266" s="67">
        <f>+VLOOKUP('2. Logging Brejo Seco'!AR266,Leyenda!$B$63:$E$67,3,FALSE)</f>
        <v>2</v>
      </c>
      <c r="BN266" s="67">
        <f>+VLOOKUP('2. Logging Brejo Seco'!AO266,Leyenda!$B$39:$E$43,4,FALSE)</f>
        <v>1</v>
      </c>
      <c r="BO266" s="67">
        <f>+VLOOKUP('2. Logging Brejo Seco'!AN266,Leyenda!$B$30:$E$34,4,FALSE)</f>
        <v>1</v>
      </c>
      <c r="BP266" s="67">
        <f>VLOOKUP(AS266,Leyenda!$B$71:$E$75,4,FALSE)</f>
        <v>10</v>
      </c>
      <c r="BQ266" s="125">
        <f t="shared" si="101"/>
        <v>35</v>
      </c>
      <c r="BR266" s="85">
        <f t="shared" si="102"/>
        <v>39</v>
      </c>
      <c r="BS266" s="240">
        <f t="shared" si="103"/>
        <v>0</v>
      </c>
      <c r="BT266" s="18"/>
    </row>
    <row r="267" spans="1:72" x14ac:dyDescent="0.25">
      <c r="A267" s="18" t="s">
        <v>6</v>
      </c>
      <c r="B267" s="18">
        <v>2024</v>
      </c>
      <c r="C267" s="18" t="s">
        <v>138</v>
      </c>
      <c r="D267" s="18" t="s">
        <v>130</v>
      </c>
      <c r="E267" s="18">
        <v>30</v>
      </c>
      <c r="F267" s="18">
        <v>20</v>
      </c>
      <c r="G267" s="18" t="s">
        <v>152</v>
      </c>
      <c r="H267" s="248">
        <f t="shared" si="104"/>
        <v>20</v>
      </c>
      <c r="I267" s="135"/>
      <c r="J267" s="18" t="s">
        <v>159</v>
      </c>
      <c r="K267" s="4">
        <f t="shared" si="88"/>
        <v>17</v>
      </c>
      <c r="L267" s="4">
        <v>17.5</v>
      </c>
      <c r="M267" s="4">
        <f t="shared" si="96"/>
        <v>0.5</v>
      </c>
      <c r="N267" s="5">
        <v>1</v>
      </c>
      <c r="O267" s="5">
        <f t="shared" si="89"/>
        <v>0</v>
      </c>
      <c r="P267" s="31">
        <f t="shared" si="97"/>
        <v>0.5</v>
      </c>
      <c r="Q267" s="31">
        <f t="shared" si="92"/>
        <v>0.5</v>
      </c>
      <c r="R267" s="31">
        <v>25</v>
      </c>
      <c r="S267" s="31">
        <v>20</v>
      </c>
      <c r="T267" s="31">
        <v>0.37</v>
      </c>
      <c r="U267" s="31">
        <v>0</v>
      </c>
      <c r="V267" s="187">
        <f t="shared" si="105"/>
        <v>0</v>
      </c>
      <c r="W267" s="31">
        <v>6</v>
      </c>
      <c r="X267" s="31"/>
      <c r="Y267" s="31">
        <f t="shared" si="90"/>
        <v>6</v>
      </c>
      <c r="Z267" s="31">
        <f t="shared" si="91"/>
        <v>61.666666666666664</v>
      </c>
      <c r="AA267" s="18">
        <v>0</v>
      </c>
      <c r="AB267" s="18" t="s">
        <v>330</v>
      </c>
      <c r="AC267" s="18" t="s">
        <v>333</v>
      </c>
      <c r="AD267" s="18" t="s">
        <v>337</v>
      </c>
      <c r="AE267" s="18">
        <v>20</v>
      </c>
      <c r="AF267" s="18">
        <v>25</v>
      </c>
      <c r="AG267" s="18" t="s">
        <v>29</v>
      </c>
      <c r="AH267" s="18" t="s">
        <v>34</v>
      </c>
      <c r="AI267" s="18">
        <f>+VLOOKUP(AH267,Leyenda!$O$4:$U$10,6,FALSE)</f>
        <v>0</v>
      </c>
      <c r="AJ267" s="18" t="str">
        <f>+VLOOKUP(AG267,Leyenda!$O$4:$U$10,7,FALSE)</f>
        <v>No Blasting need</v>
      </c>
      <c r="AK267" s="18">
        <f>+VLOOKUP(AJ267,Leyenda!$U$4:$V$10,2,FALSE)</f>
        <v>2</v>
      </c>
      <c r="AL267" s="18" t="s">
        <v>196</v>
      </c>
      <c r="AM267" s="18" t="s">
        <v>34</v>
      </c>
      <c r="AN267" s="18" t="s">
        <v>66</v>
      </c>
      <c r="AO267" s="18" t="s">
        <v>79</v>
      </c>
      <c r="AP267" s="18" t="s">
        <v>96</v>
      </c>
      <c r="AQ267" s="18" t="s">
        <v>109</v>
      </c>
      <c r="AR267" s="18" t="s">
        <v>120</v>
      </c>
      <c r="AS267" s="18" t="s">
        <v>198</v>
      </c>
      <c r="AT267" s="18" t="s">
        <v>254</v>
      </c>
      <c r="AU267" s="18"/>
      <c r="AV267" s="18">
        <f>+VLOOKUP(AN267,Leyenda!$B$30:$E$34,3,FALSE)</f>
        <v>1</v>
      </c>
      <c r="AW267" s="18">
        <f>+VLOOKUP('2. Logging Brejo Seco'!AO267,Meteorizacion,3,FALSE)</f>
        <v>1</v>
      </c>
      <c r="AX267" s="18">
        <f>+VLOOKUP('2. Logging Brejo Seco'!AP267,Apertura,3,FALSE)</f>
        <v>1</v>
      </c>
      <c r="AY267" s="18">
        <f>+VLOOKUP('2. Logging Brejo Seco'!AQ267,Leyenda!$B$55:$D$59,3,FALSE)</f>
        <v>1</v>
      </c>
      <c r="AZ267" s="18">
        <f>+VLOOKUP('2. Logging Brejo Seco'!AR267,Relleno,3,FALSE)</f>
        <v>2</v>
      </c>
      <c r="BA267" s="18">
        <f t="shared" si="106"/>
        <v>6</v>
      </c>
      <c r="BB267" s="49">
        <f t="shared" si="93"/>
        <v>0</v>
      </c>
      <c r="BC267" s="49">
        <f>VLOOKUP(AH267,Leyenda!$B$4:$D$10,3,FALSE)</f>
        <v>0</v>
      </c>
      <c r="BD267" s="50">
        <f t="shared" si="98"/>
        <v>6</v>
      </c>
      <c r="BE267" s="49">
        <f t="shared" si="99"/>
        <v>6</v>
      </c>
      <c r="BF267" s="49">
        <f>VLOOKUP(AS267,Leyenda!$B$70:$D$75,3,FALSE)</f>
        <v>15</v>
      </c>
      <c r="BG267" s="67">
        <f t="shared" si="94"/>
        <v>9</v>
      </c>
      <c r="BH267" s="67">
        <f>VLOOKUP(AM267,Leyenda!$B$4:$E$10,4,FALSE)</f>
        <v>0</v>
      </c>
      <c r="BI267" s="67">
        <f t="shared" si="100"/>
        <v>5</v>
      </c>
      <c r="BJ267" s="67">
        <f t="shared" si="95"/>
        <v>0</v>
      </c>
      <c r="BK267" s="67">
        <f>+VLOOKUP('2. Logging Brejo Seco'!AP267,Leyenda!$B$47:$E$51,4,FALSE)</f>
        <v>1</v>
      </c>
      <c r="BL267" s="67">
        <f>+VLOOKUP('2. Logging Brejo Seco'!AQ267,Leyenda!$B$55:$E$59,4,FALSE)</f>
        <v>1</v>
      </c>
      <c r="BM267" s="67">
        <f>+VLOOKUP('2. Logging Brejo Seco'!AR267,Leyenda!$B$63:$E$67,3,FALSE)</f>
        <v>2</v>
      </c>
      <c r="BN267" s="67">
        <f>+VLOOKUP('2. Logging Brejo Seco'!AO267,Leyenda!$B$39:$E$43,4,FALSE)</f>
        <v>1</v>
      </c>
      <c r="BO267" s="67">
        <f>+VLOOKUP('2. Logging Brejo Seco'!AN267,Leyenda!$B$30:$E$34,4,FALSE)</f>
        <v>1</v>
      </c>
      <c r="BP267" s="67">
        <f>VLOOKUP(AS267,Leyenda!$B$71:$E$75,4,FALSE)</f>
        <v>10</v>
      </c>
      <c r="BQ267" s="125">
        <f t="shared" si="101"/>
        <v>21</v>
      </c>
      <c r="BR267" s="85">
        <f t="shared" si="102"/>
        <v>27</v>
      </c>
      <c r="BS267" s="240">
        <f t="shared" si="103"/>
        <v>0</v>
      </c>
      <c r="BT267" s="18"/>
    </row>
    <row r="268" spans="1:72" x14ac:dyDescent="0.25">
      <c r="A268" s="18" t="s">
        <v>6</v>
      </c>
      <c r="B268" s="18">
        <v>2024</v>
      </c>
      <c r="C268" s="18" t="s">
        <v>138</v>
      </c>
      <c r="D268" s="18" t="s">
        <v>130</v>
      </c>
      <c r="E268" s="18">
        <v>30</v>
      </c>
      <c r="F268" s="18">
        <v>20</v>
      </c>
      <c r="G268" s="18" t="s">
        <v>152</v>
      </c>
      <c r="H268" s="248">
        <f t="shared" si="104"/>
        <v>20</v>
      </c>
      <c r="I268" s="135"/>
      <c r="J268" s="18" t="s">
        <v>159</v>
      </c>
      <c r="K268" s="4">
        <f t="shared" si="88"/>
        <v>17.5</v>
      </c>
      <c r="L268" s="4">
        <v>18</v>
      </c>
      <c r="M268" s="4">
        <f t="shared" si="96"/>
        <v>0.5</v>
      </c>
      <c r="N268" s="5">
        <v>1</v>
      </c>
      <c r="O268" s="5">
        <f t="shared" si="89"/>
        <v>0</v>
      </c>
      <c r="P268" s="31">
        <f t="shared" si="97"/>
        <v>0.5</v>
      </c>
      <c r="Q268" s="31">
        <f t="shared" si="92"/>
        <v>0.5</v>
      </c>
      <c r="R268" s="31">
        <v>100</v>
      </c>
      <c r="S268" s="31">
        <v>5</v>
      </c>
      <c r="T268" s="31">
        <v>0.46</v>
      </c>
      <c r="U268" s="31">
        <v>0.22</v>
      </c>
      <c r="V268" s="187">
        <f t="shared" si="105"/>
        <v>44</v>
      </c>
      <c r="W268" s="31">
        <v>3</v>
      </c>
      <c r="X268" s="31"/>
      <c r="Y268" s="31">
        <f t="shared" si="90"/>
        <v>3</v>
      </c>
      <c r="Z268" s="31">
        <f t="shared" si="91"/>
        <v>153.33333333333334</v>
      </c>
      <c r="AA268" s="18">
        <v>52</v>
      </c>
      <c r="AB268" s="18" t="s">
        <v>330</v>
      </c>
      <c r="AC268" s="18" t="s">
        <v>118</v>
      </c>
      <c r="AD268" s="18" t="s">
        <v>337</v>
      </c>
      <c r="AE268" s="18">
        <v>5</v>
      </c>
      <c r="AF268" s="18">
        <v>100</v>
      </c>
      <c r="AG268" s="18" t="s">
        <v>29</v>
      </c>
      <c r="AH268" s="18" t="s">
        <v>34</v>
      </c>
      <c r="AI268" s="18">
        <f>+VLOOKUP(AH268,Leyenda!$O$4:$U$10,6,FALSE)</f>
        <v>0</v>
      </c>
      <c r="AJ268" s="18" t="str">
        <f>+VLOOKUP(AG268,Leyenda!$O$4:$U$10,7,FALSE)</f>
        <v>No Blasting need</v>
      </c>
      <c r="AK268" s="18">
        <f>+VLOOKUP(AJ268,Leyenda!$U$4:$V$10,2,FALSE)</f>
        <v>2</v>
      </c>
      <c r="AL268" s="18" t="s">
        <v>196</v>
      </c>
      <c r="AM268" s="18" t="s">
        <v>34</v>
      </c>
      <c r="AN268" s="18" t="s">
        <v>66</v>
      </c>
      <c r="AO268" s="18" t="s">
        <v>79</v>
      </c>
      <c r="AP268" s="18" t="s">
        <v>96</v>
      </c>
      <c r="AQ268" s="18" t="s">
        <v>109</v>
      </c>
      <c r="AR268" s="18" t="s">
        <v>120</v>
      </c>
      <c r="AS268" s="18" t="s">
        <v>198</v>
      </c>
      <c r="AT268" s="18" t="s">
        <v>254</v>
      </c>
      <c r="AU268" s="18"/>
      <c r="AV268" s="18">
        <f>+VLOOKUP(AN268,Leyenda!$B$30:$E$34,3,FALSE)</f>
        <v>1</v>
      </c>
      <c r="AW268" s="18">
        <f>+VLOOKUP('2. Logging Brejo Seco'!AO268,Meteorizacion,3,FALSE)</f>
        <v>1</v>
      </c>
      <c r="AX268" s="18">
        <f>+VLOOKUP('2. Logging Brejo Seco'!AP268,Apertura,3,FALSE)</f>
        <v>1</v>
      </c>
      <c r="AY268" s="18">
        <f>+VLOOKUP('2. Logging Brejo Seco'!AQ268,Leyenda!$B$55:$D$59,3,FALSE)</f>
        <v>1</v>
      </c>
      <c r="AZ268" s="18">
        <f>+VLOOKUP('2. Logging Brejo Seco'!AR268,Relleno,3,FALSE)</f>
        <v>2</v>
      </c>
      <c r="BA268" s="18">
        <f t="shared" si="106"/>
        <v>6</v>
      </c>
      <c r="BB268" s="49">
        <f t="shared" si="93"/>
        <v>9</v>
      </c>
      <c r="BC268" s="49">
        <f>VLOOKUP(AH268,Leyenda!$B$4:$D$10,3,FALSE)</f>
        <v>0</v>
      </c>
      <c r="BD268" s="50">
        <f t="shared" si="98"/>
        <v>8</v>
      </c>
      <c r="BE268" s="49">
        <f t="shared" si="99"/>
        <v>6</v>
      </c>
      <c r="BF268" s="49">
        <f>VLOOKUP(AS268,Leyenda!$B$70:$D$75,3,FALSE)</f>
        <v>15</v>
      </c>
      <c r="BG268" s="67">
        <f t="shared" si="94"/>
        <v>31</v>
      </c>
      <c r="BH268" s="67">
        <f>VLOOKUP(AM268,Leyenda!$B$4:$E$10,4,FALSE)</f>
        <v>0</v>
      </c>
      <c r="BI268" s="67">
        <f t="shared" si="100"/>
        <v>11</v>
      </c>
      <c r="BJ268" s="67">
        <f t="shared" si="95"/>
        <v>9</v>
      </c>
      <c r="BK268" s="67">
        <f>+VLOOKUP('2. Logging Brejo Seco'!AP268,Leyenda!$B$47:$E$51,4,FALSE)</f>
        <v>1</v>
      </c>
      <c r="BL268" s="67">
        <f>+VLOOKUP('2. Logging Brejo Seco'!AQ268,Leyenda!$B$55:$E$59,4,FALSE)</f>
        <v>1</v>
      </c>
      <c r="BM268" s="67">
        <f>+VLOOKUP('2. Logging Brejo Seco'!AR268,Leyenda!$B$63:$E$67,3,FALSE)</f>
        <v>2</v>
      </c>
      <c r="BN268" s="67">
        <f>+VLOOKUP('2. Logging Brejo Seco'!AO268,Leyenda!$B$39:$E$43,4,FALSE)</f>
        <v>1</v>
      </c>
      <c r="BO268" s="67">
        <f>+VLOOKUP('2. Logging Brejo Seco'!AN268,Leyenda!$B$30:$E$34,4,FALSE)</f>
        <v>1</v>
      </c>
      <c r="BP268" s="67">
        <f>VLOOKUP(AS268,Leyenda!$B$71:$E$75,4,FALSE)</f>
        <v>10</v>
      </c>
      <c r="BQ268" s="125">
        <f t="shared" si="101"/>
        <v>36</v>
      </c>
      <c r="BR268" s="85">
        <f t="shared" si="102"/>
        <v>38</v>
      </c>
      <c r="BS268" s="240">
        <f t="shared" si="103"/>
        <v>0</v>
      </c>
      <c r="BT268" s="18"/>
    </row>
    <row r="269" spans="1:72" x14ac:dyDescent="0.25">
      <c r="A269" s="18" t="s">
        <v>6</v>
      </c>
      <c r="B269" s="18">
        <v>2024</v>
      </c>
      <c r="C269" s="18" t="s">
        <v>138</v>
      </c>
      <c r="D269" s="18" t="s">
        <v>130</v>
      </c>
      <c r="E269" s="18">
        <v>30</v>
      </c>
      <c r="F269" s="18">
        <v>20</v>
      </c>
      <c r="G269" s="18" t="s">
        <v>152</v>
      </c>
      <c r="H269" s="248">
        <f t="shared" si="104"/>
        <v>20</v>
      </c>
      <c r="I269" s="135"/>
      <c r="J269" s="18" t="s">
        <v>159</v>
      </c>
      <c r="K269" s="4">
        <f t="shared" si="88"/>
        <v>18</v>
      </c>
      <c r="L269" s="4">
        <v>18.5</v>
      </c>
      <c r="M269" s="4">
        <f t="shared" si="96"/>
        <v>0.5</v>
      </c>
      <c r="N269" s="5">
        <v>1</v>
      </c>
      <c r="O269" s="5">
        <f t="shared" si="89"/>
        <v>0</v>
      </c>
      <c r="P269" s="31">
        <f t="shared" si="97"/>
        <v>0.5</v>
      </c>
      <c r="Q269" s="31">
        <f t="shared" si="92"/>
        <v>0.5</v>
      </c>
      <c r="R269" s="31">
        <v>25</v>
      </c>
      <c r="S269" s="31">
        <v>20</v>
      </c>
      <c r="T269" s="31">
        <v>0.4</v>
      </c>
      <c r="U269" s="31">
        <v>0</v>
      </c>
      <c r="V269" s="187">
        <f t="shared" si="105"/>
        <v>0</v>
      </c>
      <c r="W269" s="31">
        <v>9</v>
      </c>
      <c r="X269" s="31"/>
      <c r="Y269" s="31">
        <f t="shared" si="90"/>
        <v>9</v>
      </c>
      <c r="Z269" s="31">
        <f t="shared" si="91"/>
        <v>44.444444444444443</v>
      </c>
      <c r="AA269" s="18">
        <v>0</v>
      </c>
      <c r="AB269" s="18" t="s">
        <v>330</v>
      </c>
      <c r="AC269" s="18" t="s">
        <v>333</v>
      </c>
      <c r="AD269" s="18" t="s">
        <v>337</v>
      </c>
      <c r="AE269" s="18">
        <v>20</v>
      </c>
      <c r="AF269" s="18">
        <v>25</v>
      </c>
      <c r="AG269" s="18" t="s">
        <v>29</v>
      </c>
      <c r="AH269" s="18" t="s">
        <v>34</v>
      </c>
      <c r="AI269" s="18">
        <f>+VLOOKUP(AH269,Leyenda!$O$4:$U$10,6,FALSE)</f>
        <v>0</v>
      </c>
      <c r="AJ269" s="18" t="str">
        <f>+VLOOKUP(AG269,Leyenda!$O$4:$U$10,7,FALSE)</f>
        <v>No Blasting need</v>
      </c>
      <c r="AK269" s="18">
        <f>+VLOOKUP(AJ269,Leyenda!$U$4:$V$10,2,FALSE)</f>
        <v>2</v>
      </c>
      <c r="AL269" s="18" t="s">
        <v>196</v>
      </c>
      <c r="AM269" s="18" t="s">
        <v>34</v>
      </c>
      <c r="AN269" s="18" t="s">
        <v>69</v>
      </c>
      <c r="AO269" s="18" t="s">
        <v>79</v>
      </c>
      <c r="AP269" s="18" t="s">
        <v>96</v>
      </c>
      <c r="AQ269" s="18" t="s">
        <v>109</v>
      </c>
      <c r="AR269" s="18" t="s">
        <v>120</v>
      </c>
      <c r="AS269" s="18" t="s">
        <v>198</v>
      </c>
      <c r="AT269" s="18"/>
      <c r="AU269" s="18"/>
      <c r="AV269" s="18">
        <f>+VLOOKUP(AN269,Leyenda!$B$30:$E$34,3,FALSE)</f>
        <v>0</v>
      </c>
      <c r="AW269" s="18">
        <f>+VLOOKUP('2. Logging Brejo Seco'!AO269,Meteorizacion,3,FALSE)</f>
        <v>1</v>
      </c>
      <c r="AX269" s="18">
        <f>+VLOOKUP('2. Logging Brejo Seco'!AP269,Apertura,3,FALSE)</f>
        <v>1</v>
      </c>
      <c r="AY269" s="18">
        <f>+VLOOKUP('2. Logging Brejo Seco'!AQ269,Leyenda!$B$55:$D$59,3,FALSE)</f>
        <v>1</v>
      </c>
      <c r="AZ269" s="18">
        <f>+VLOOKUP('2. Logging Brejo Seco'!AR269,Relleno,3,FALSE)</f>
        <v>2</v>
      </c>
      <c r="BA269" s="18">
        <f t="shared" si="106"/>
        <v>5</v>
      </c>
      <c r="BB269" s="49">
        <f t="shared" si="93"/>
        <v>0</v>
      </c>
      <c r="BC269" s="49">
        <f>VLOOKUP(AH269,Leyenda!$B$4:$D$10,3,FALSE)</f>
        <v>0</v>
      </c>
      <c r="BD269" s="50">
        <f t="shared" si="98"/>
        <v>6</v>
      </c>
      <c r="BE269" s="49">
        <f t="shared" si="99"/>
        <v>5</v>
      </c>
      <c r="BF269" s="49">
        <f>VLOOKUP(AS269,Leyenda!$B$70:$D$75,3,FALSE)</f>
        <v>15</v>
      </c>
      <c r="BG269" s="67">
        <f t="shared" si="94"/>
        <v>7.5</v>
      </c>
      <c r="BH269" s="67">
        <f>VLOOKUP(AM269,Leyenda!$B$4:$E$10,4,FALSE)</f>
        <v>0</v>
      </c>
      <c r="BI269" s="67">
        <f t="shared" si="100"/>
        <v>5</v>
      </c>
      <c r="BJ269" s="67">
        <f t="shared" si="95"/>
        <v>0</v>
      </c>
      <c r="BK269" s="67">
        <f>+VLOOKUP('2. Logging Brejo Seco'!AP269,Leyenda!$B$47:$E$51,4,FALSE)</f>
        <v>1</v>
      </c>
      <c r="BL269" s="67">
        <f>+VLOOKUP('2. Logging Brejo Seco'!AQ269,Leyenda!$B$55:$E$59,4,FALSE)</f>
        <v>1</v>
      </c>
      <c r="BM269" s="67">
        <f>+VLOOKUP('2. Logging Brejo Seco'!AR269,Leyenda!$B$63:$E$67,3,FALSE)</f>
        <v>2</v>
      </c>
      <c r="BN269" s="67">
        <f>+VLOOKUP('2. Logging Brejo Seco'!AO269,Leyenda!$B$39:$E$43,4,FALSE)</f>
        <v>1</v>
      </c>
      <c r="BO269" s="67">
        <f>+VLOOKUP('2. Logging Brejo Seco'!AN269,Leyenda!$B$30:$E$34,4,FALSE)</f>
        <v>0</v>
      </c>
      <c r="BP269" s="67">
        <f>VLOOKUP(AS269,Leyenda!$B$71:$E$75,4,FALSE)</f>
        <v>10</v>
      </c>
      <c r="BQ269" s="125">
        <f t="shared" si="101"/>
        <v>20</v>
      </c>
      <c r="BR269" s="85">
        <f t="shared" si="102"/>
        <v>26</v>
      </c>
      <c r="BS269" s="240">
        <f t="shared" si="103"/>
        <v>0</v>
      </c>
      <c r="BT269" s="18"/>
    </row>
    <row r="270" spans="1:72" x14ac:dyDescent="0.25">
      <c r="A270" s="18" t="s">
        <v>6</v>
      </c>
      <c r="B270" s="18">
        <v>2024</v>
      </c>
      <c r="C270" s="18" t="s">
        <v>138</v>
      </c>
      <c r="D270" s="18" t="s">
        <v>130</v>
      </c>
      <c r="E270" s="18">
        <v>30</v>
      </c>
      <c r="F270" s="18">
        <v>20</v>
      </c>
      <c r="G270" s="18" t="s">
        <v>152</v>
      </c>
      <c r="H270" s="248">
        <f t="shared" si="104"/>
        <v>20</v>
      </c>
      <c r="I270" s="135"/>
      <c r="J270" s="18" t="s">
        <v>159</v>
      </c>
      <c r="K270" s="4">
        <f t="shared" si="88"/>
        <v>18.5</v>
      </c>
      <c r="L270" s="4">
        <v>19</v>
      </c>
      <c r="M270" s="4">
        <f t="shared" si="96"/>
        <v>0.5</v>
      </c>
      <c r="N270" s="5">
        <v>1</v>
      </c>
      <c r="O270" s="5">
        <f t="shared" si="89"/>
        <v>0</v>
      </c>
      <c r="P270" s="31">
        <f t="shared" si="97"/>
        <v>0.5</v>
      </c>
      <c r="Q270" s="31">
        <f t="shared" si="92"/>
        <v>0.5</v>
      </c>
      <c r="R270" s="31">
        <v>25</v>
      </c>
      <c r="S270" s="31">
        <v>20</v>
      </c>
      <c r="T270" s="31">
        <v>0.48</v>
      </c>
      <c r="U270" s="31">
        <v>0.15</v>
      </c>
      <c r="V270" s="187">
        <f t="shared" si="105"/>
        <v>30</v>
      </c>
      <c r="W270" s="31">
        <v>8</v>
      </c>
      <c r="X270" s="31"/>
      <c r="Y270" s="31">
        <f t="shared" si="90"/>
        <v>8</v>
      </c>
      <c r="Z270" s="31">
        <f t="shared" si="91"/>
        <v>60</v>
      </c>
      <c r="AA270" s="18">
        <v>0</v>
      </c>
      <c r="AB270" s="18" t="s">
        <v>330</v>
      </c>
      <c r="AC270" s="18" t="s">
        <v>333</v>
      </c>
      <c r="AD270" s="18" t="s">
        <v>337</v>
      </c>
      <c r="AE270" s="18">
        <v>20</v>
      </c>
      <c r="AF270" s="18">
        <v>25</v>
      </c>
      <c r="AG270" s="18" t="s">
        <v>29</v>
      </c>
      <c r="AH270" s="18" t="s">
        <v>34</v>
      </c>
      <c r="AI270" s="18">
        <f>+VLOOKUP(AH270,Leyenda!$O$4:$U$10,6,FALSE)</f>
        <v>0</v>
      </c>
      <c r="AJ270" s="18" t="str">
        <f>+VLOOKUP(AG270,Leyenda!$O$4:$U$10,7,FALSE)</f>
        <v>No Blasting need</v>
      </c>
      <c r="AK270" s="18">
        <f>+VLOOKUP(AJ270,Leyenda!$U$4:$V$10,2,FALSE)</f>
        <v>2</v>
      </c>
      <c r="AL270" s="18" t="s">
        <v>199</v>
      </c>
      <c r="AM270" s="18" t="s">
        <v>34</v>
      </c>
      <c r="AN270" s="18" t="s">
        <v>66</v>
      </c>
      <c r="AO270" s="18" t="s">
        <v>79</v>
      </c>
      <c r="AP270" s="18" t="s">
        <v>96</v>
      </c>
      <c r="AQ270" s="18" t="s">
        <v>107</v>
      </c>
      <c r="AR270" s="18" t="s">
        <v>120</v>
      </c>
      <c r="AS270" s="18" t="s">
        <v>198</v>
      </c>
      <c r="AT270" s="18" t="s">
        <v>256</v>
      </c>
      <c r="AU270" s="18"/>
      <c r="AV270" s="18">
        <f>+VLOOKUP(AN270,Leyenda!$B$30:$E$34,3,FALSE)</f>
        <v>1</v>
      </c>
      <c r="AW270" s="18">
        <f>+VLOOKUP('2. Logging Brejo Seco'!AO270,Meteorizacion,3,FALSE)</f>
        <v>1</v>
      </c>
      <c r="AX270" s="18">
        <f>+VLOOKUP('2. Logging Brejo Seco'!AP270,Apertura,3,FALSE)</f>
        <v>1</v>
      </c>
      <c r="AY270" s="18">
        <f>+VLOOKUP('2. Logging Brejo Seco'!AQ270,Leyenda!$B$55:$D$59,3,FALSE)</f>
        <v>3</v>
      </c>
      <c r="AZ270" s="18">
        <f>+VLOOKUP('2. Logging Brejo Seco'!AR270,Relleno,3,FALSE)</f>
        <v>2</v>
      </c>
      <c r="BA270" s="18">
        <f t="shared" si="106"/>
        <v>8</v>
      </c>
      <c r="BB270" s="49">
        <f t="shared" si="93"/>
        <v>6</v>
      </c>
      <c r="BC270" s="49">
        <f>VLOOKUP(AH270,Leyenda!$B$4:$D$10,3,FALSE)</f>
        <v>0</v>
      </c>
      <c r="BD270" s="50">
        <f t="shared" si="98"/>
        <v>6</v>
      </c>
      <c r="BE270" s="49">
        <f t="shared" si="99"/>
        <v>8</v>
      </c>
      <c r="BF270" s="49">
        <f>VLOOKUP(AS270,Leyenda!$B$70:$D$75,3,FALSE)</f>
        <v>15</v>
      </c>
      <c r="BG270" s="67">
        <f t="shared" si="94"/>
        <v>27</v>
      </c>
      <c r="BH270" s="67">
        <f>VLOOKUP(AM270,Leyenda!$B$4:$E$10,4,FALSE)</f>
        <v>0</v>
      </c>
      <c r="BI270" s="67">
        <f t="shared" si="100"/>
        <v>5</v>
      </c>
      <c r="BJ270" s="67">
        <f t="shared" si="95"/>
        <v>6</v>
      </c>
      <c r="BK270" s="67">
        <f>+VLOOKUP('2. Logging Brejo Seco'!AP270,Leyenda!$B$47:$E$51,4,FALSE)</f>
        <v>1</v>
      </c>
      <c r="BL270" s="67">
        <f>+VLOOKUP('2. Logging Brejo Seco'!AQ270,Leyenda!$B$55:$E$59,4,FALSE)</f>
        <v>3</v>
      </c>
      <c r="BM270" s="67">
        <f>+VLOOKUP('2. Logging Brejo Seco'!AR270,Leyenda!$B$63:$E$67,3,FALSE)</f>
        <v>2</v>
      </c>
      <c r="BN270" s="67">
        <f>+VLOOKUP('2. Logging Brejo Seco'!AO270,Leyenda!$B$39:$E$43,4,FALSE)</f>
        <v>1</v>
      </c>
      <c r="BO270" s="67">
        <f>+VLOOKUP('2. Logging Brejo Seco'!AN270,Leyenda!$B$30:$E$34,4,FALSE)</f>
        <v>1</v>
      </c>
      <c r="BP270" s="67">
        <f>VLOOKUP(AS270,Leyenda!$B$71:$E$75,4,FALSE)</f>
        <v>10</v>
      </c>
      <c r="BQ270" s="125">
        <f t="shared" si="101"/>
        <v>29</v>
      </c>
      <c r="BR270" s="85">
        <f t="shared" si="102"/>
        <v>35</v>
      </c>
      <c r="BS270" s="240">
        <f t="shared" si="103"/>
        <v>0</v>
      </c>
      <c r="BT270" s="18"/>
    </row>
    <row r="271" spans="1:72" x14ac:dyDescent="0.25">
      <c r="A271" s="18" t="s">
        <v>6</v>
      </c>
      <c r="B271" s="18">
        <v>2024</v>
      </c>
      <c r="C271" s="18" t="s">
        <v>138</v>
      </c>
      <c r="D271" s="18" t="s">
        <v>130</v>
      </c>
      <c r="E271" s="18">
        <v>30</v>
      </c>
      <c r="F271" s="18">
        <v>20</v>
      </c>
      <c r="G271" s="18" t="s">
        <v>152</v>
      </c>
      <c r="H271" s="248">
        <f t="shared" si="104"/>
        <v>20</v>
      </c>
      <c r="I271" s="135"/>
      <c r="J271" s="18" t="s">
        <v>159</v>
      </c>
      <c r="K271" s="4">
        <f t="shared" si="88"/>
        <v>19</v>
      </c>
      <c r="L271" s="4">
        <v>19.5</v>
      </c>
      <c r="M271" s="4">
        <f t="shared" si="96"/>
        <v>0.5</v>
      </c>
      <c r="N271" s="5">
        <v>1</v>
      </c>
      <c r="O271" s="5">
        <f t="shared" si="89"/>
        <v>0</v>
      </c>
      <c r="P271" s="31">
        <f t="shared" si="97"/>
        <v>0.5</v>
      </c>
      <c r="Q271" s="31">
        <f t="shared" si="92"/>
        <v>0.5</v>
      </c>
      <c r="R271" s="31">
        <v>25</v>
      </c>
      <c r="S271" s="31">
        <v>20</v>
      </c>
      <c r="T271" s="31">
        <v>0.5</v>
      </c>
      <c r="U271" s="31">
        <v>0.13</v>
      </c>
      <c r="V271" s="187">
        <f t="shared" si="105"/>
        <v>26</v>
      </c>
      <c r="W271" s="31">
        <v>6</v>
      </c>
      <c r="X271" s="31"/>
      <c r="Y271" s="31">
        <f t="shared" si="90"/>
        <v>6</v>
      </c>
      <c r="Z271" s="31">
        <f t="shared" si="91"/>
        <v>83.333333333333329</v>
      </c>
      <c r="AA271" s="18">
        <v>0</v>
      </c>
      <c r="AB271" s="18" t="s">
        <v>330</v>
      </c>
      <c r="AC271" s="18" t="s">
        <v>333</v>
      </c>
      <c r="AD271" s="18" t="s">
        <v>337</v>
      </c>
      <c r="AE271" s="18">
        <v>20</v>
      </c>
      <c r="AF271" s="18">
        <v>25</v>
      </c>
      <c r="AG271" s="18" t="s">
        <v>29</v>
      </c>
      <c r="AH271" s="18" t="s">
        <v>34</v>
      </c>
      <c r="AI271" s="18">
        <f>+VLOOKUP(AH271,Leyenda!$O$4:$U$10,6,FALSE)</f>
        <v>0</v>
      </c>
      <c r="AJ271" s="18" t="str">
        <f>+VLOOKUP(AG271,Leyenda!$O$4:$U$10,7,FALSE)</f>
        <v>No Blasting need</v>
      </c>
      <c r="AK271" s="18">
        <f>+VLOOKUP(AJ271,Leyenda!$U$4:$V$10,2,FALSE)</f>
        <v>2</v>
      </c>
      <c r="AL271" s="18" t="s">
        <v>199</v>
      </c>
      <c r="AM271" s="18" t="s">
        <v>34</v>
      </c>
      <c r="AN271" s="18" t="s">
        <v>66</v>
      </c>
      <c r="AO271" s="18" t="s">
        <v>79</v>
      </c>
      <c r="AP271" s="18" t="s">
        <v>96</v>
      </c>
      <c r="AQ271" s="18" t="s">
        <v>109</v>
      </c>
      <c r="AR271" s="18" t="s">
        <v>120</v>
      </c>
      <c r="AS271" s="18" t="s">
        <v>198</v>
      </c>
      <c r="AT271" s="18"/>
      <c r="AU271" s="18"/>
      <c r="AV271" s="18">
        <f>+VLOOKUP(AN271,Leyenda!$B$30:$E$34,3,FALSE)</f>
        <v>1</v>
      </c>
      <c r="AW271" s="18">
        <f>+VLOOKUP('2. Logging Brejo Seco'!AO271,Meteorizacion,3,FALSE)</f>
        <v>1</v>
      </c>
      <c r="AX271" s="18">
        <f>+VLOOKUP('2. Logging Brejo Seco'!AP271,Apertura,3,FALSE)</f>
        <v>1</v>
      </c>
      <c r="AY271" s="18">
        <f>+VLOOKUP('2. Logging Brejo Seco'!AQ271,Leyenda!$B$55:$D$59,3,FALSE)</f>
        <v>1</v>
      </c>
      <c r="AZ271" s="18">
        <f>+VLOOKUP('2. Logging Brejo Seco'!AR271,Relleno,3,FALSE)</f>
        <v>2</v>
      </c>
      <c r="BA271" s="18">
        <f t="shared" si="106"/>
        <v>6</v>
      </c>
      <c r="BB271" s="49">
        <f t="shared" si="93"/>
        <v>6</v>
      </c>
      <c r="BC271" s="49">
        <f>VLOOKUP(AH271,Leyenda!$B$4:$D$10,3,FALSE)</f>
        <v>0</v>
      </c>
      <c r="BD271" s="50">
        <f t="shared" si="98"/>
        <v>7</v>
      </c>
      <c r="BE271" s="49">
        <f t="shared" si="99"/>
        <v>6</v>
      </c>
      <c r="BF271" s="49">
        <f>VLOOKUP(AS271,Leyenda!$B$70:$D$75,3,FALSE)</f>
        <v>15</v>
      </c>
      <c r="BG271" s="67">
        <f t="shared" si="94"/>
        <v>22</v>
      </c>
      <c r="BH271" s="67">
        <f>VLOOKUP(AM271,Leyenda!$B$4:$E$10,4,FALSE)</f>
        <v>0</v>
      </c>
      <c r="BI271" s="67">
        <f t="shared" si="100"/>
        <v>7</v>
      </c>
      <c r="BJ271" s="67">
        <f t="shared" si="95"/>
        <v>6</v>
      </c>
      <c r="BK271" s="67">
        <f>+VLOOKUP('2. Logging Brejo Seco'!AP271,Leyenda!$B$47:$E$51,4,FALSE)</f>
        <v>1</v>
      </c>
      <c r="BL271" s="67">
        <f>+VLOOKUP('2. Logging Brejo Seco'!AQ271,Leyenda!$B$55:$E$59,4,FALSE)</f>
        <v>1</v>
      </c>
      <c r="BM271" s="67">
        <f>+VLOOKUP('2. Logging Brejo Seco'!AR271,Leyenda!$B$63:$E$67,3,FALSE)</f>
        <v>2</v>
      </c>
      <c r="BN271" s="67">
        <f>+VLOOKUP('2. Logging Brejo Seco'!AO271,Leyenda!$B$39:$E$43,4,FALSE)</f>
        <v>1</v>
      </c>
      <c r="BO271" s="67">
        <f>+VLOOKUP('2. Logging Brejo Seco'!AN271,Leyenda!$B$30:$E$34,4,FALSE)</f>
        <v>1</v>
      </c>
      <c r="BP271" s="67">
        <f>VLOOKUP(AS271,Leyenda!$B$71:$E$75,4,FALSE)</f>
        <v>10</v>
      </c>
      <c r="BQ271" s="125">
        <f t="shared" si="101"/>
        <v>29</v>
      </c>
      <c r="BR271" s="85">
        <f t="shared" si="102"/>
        <v>34</v>
      </c>
      <c r="BS271" s="240">
        <f t="shared" si="103"/>
        <v>0</v>
      </c>
      <c r="BT271" s="18"/>
    </row>
    <row r="272" spans="1:72" x14ac:dyDescent="0.25">
      <c r="A272" s="18" t="s">
        <v>6</v>
      </c>
      <c r="B272" s="18">
        <v>2024</v>
      </c>
      <c r="C272" s="18" t="s">
        <v>138</v>
      </c>
      <c r="D272" s="18" t="s">
        <v>130</v>
      </c>
      <c r="E272" s="18">
        <v>30</v>
      </c>
      <c r="F272" s="18">
        <v>20</v>
      </c>
      <c r="G272" s="18" t="s">
        <v>152</v>
      </c>
      <c r="H272" s="248">
        <f t="shared" si="104"/>
        <v>20</v>
      </c>
      <c r="I272" s="135"/>
      <c r="J272" s="18" t="s">
        <v>159</v>
      </c>
      <c r="K272" s="4">
        <f t="shared" si="88"/>
        <v>19.5</v>
      </c>
      <c r="L272" s="4">
        <v>20</v>
      </c>
      <c r="M272" s="4">
        <f t="shared" si="96"/>
        <v>0.5</v>
      </c>
      <c r="N272" s="5">
        <v>1</v>
      </c>
      <c r="O272" s="5">
        <f t="shared" si="89"/>
        <v>0</v>
      </c>
      <c r="P272" s="31">
        <f t="shared" si="97"/>
        <v>0.5</v>
      </c>
      <c r="Q272" s="31">
        <f t="shared" si="92"/>
        <v>0.5</v>
      </c>
      <c r="R272" s="31">
        <v>25</v>
      </c>
      <c r="S272" s="31">
        <v>20</v>
      </c>
      <c r="T272" s="31">
        <f>0.28+0.14</f>
        <v>0.42000000000000004</v>
      </c>
      <c r="U272" s="31">
        <v>0</v>
      </c>
      <c r="V272" s="187">
        <f t="shared" si="105"/>
        <v>0</v>
      </c>
      <c r="W272" s="31">
        <v>10</v>
      </c>
      <c r="X272" s="31"/>
      <c r="Y272" s="31">
        <f t="shared" si="90"/>
        <v>10</v>
      </c>
      <c r="Z272" s="31">
        <f t="shared" si="91"/>
        <v>42.000000000000007</v>
      </c>
      <c r="AA272" s="18">
        <v>0</v>
      </c>
      <c r="AB272" s="18" t="s">
        <v>330</v>
      </c>
      <c r="AC272" s="18" t="s">
        <v>333</v>
      </c>
      <c r="AD272" s="18" t="s">
        <v>337</v>
      </c>
      <c r="AE272" s="18">
        <v>20</v>
      </c>
      <c r="AF272" s="18">
        <v>25</v>
      </c>
      <c r="AG272" s="18" t="s">
        <v>29</v>
      </c>
      <c r="AH272" s="18" t="s">
        <v>34</v>
      </c>
      <c r="AI272" s="18">
        <f>+VLOOKUP(AH272,Leyenda!$O$4:$U$10,6,FALSE)</f>
        <v>0</v>
      </c>
      <c r="AJ272" s="18" t="str">
        <f>+VLOOKUP(AG272,Leyenda!$O$4:$U$10,7,FALSE)</f>
        <v>No Blasting need</v>
      </c>
      <c r="AK272" s="18">
        <f>+VLOOKUP(AJ272,Leyenda!$U$4:$V$10,2,FALSE)</f>
        <v>2</v>
      </c>
      <c r="AL272" s="18" t="s">
        <v>196</v>
      </c>
      <c r="AM272" s="18" t="s">
        <v>34</v>
      </c>
      <c r="AN272" s="18" t="s">
        <v>66</v>
      </c>
      <c r="AO272" s="18" t="s">
        <v>81</v>
      </c>
      <c r="AP272" s="18" t="s">
        <v>96</v>
      </c>
      <c r="AQ272" s="18" t="s">
        <v>109</v>
      </c>
      <c r="AR272" s="18" t="s">
        <v>120</v>
      </c>
      <c r="AS272" s="18" t="s">
        <v>198</v>
      </c>
      <c r="AT272" s="18"/>
      <c r="AU272" s="18"/>
      <c r="AV272" s="18">
        <f>+VLOOKUP(AN272,Leyenda!$B$30:$E$34,3,FALSE)</f>
        <v>1</v>
      </c>
      <c r="AW272" s="18">
        <f>+VLOOKUP('2. Logging Brejo Seco'!AO272,Meteorizacion,3,FALSE)</f>
        <v>0</v>
      </c>
      <c r="AX272" s="18">
        <f>+VLOOKUP('2. Logging Brejo Seco'!AP272,Apertura,3,FALSE)</f>
        <v>1</v>
      </c>
      <c r="AY272" s="18">
        <f>+VLOOKUP('2. Logging Brejo Seco'!AQ272,Leyenda!$B$55:$D$59,3,FALSE)</f>
        <v>1</v>
      </c>
      <c r="AZ272" s="18">
        <f>+VLOOKUP('2. Logging Brejo Seco'!AR272,Relleno,3,FALSE)</f>
        <v>2</v>
      </c>
      <c r="BA272" s="18">
        <f t="shared" si="106"/>
        <v>5</v>
      </c>
      <c r="BB272" s="49">
        <f t="shared" si="93"/>
        <v>0</v>
      </c>
      <c r="BC272" s="49">
        <f>VLOOKUP(AH272,Leyenda!$B$4:$D$10,3,FALSE)</f>
        <v>0</v>
      </c>
      <c r="BD272" s="50">
        <f t="shared" si="98"/>
        <v>5</v>
      </c>
      <c r="BE272" s="49">
        <f t="shared" si="99"/>
        <v>5</v>
      </c>
      <c r="BF272" s="49">
        <f>VLOOKUP(AS272,Leyenda!$B$70:$D$75,3,FALSE)</f>
        <v>15</v>
      </c>
      <c r="BG272" s="67">
        <f t="shared" si="94"/>
        <v>7.5</v>
      </c>
      <c r="BH272" s="67">
        <f>VLOOKUP(AM272,Leyenda!$B$4:$E$10,4,FALSE)</f>
        <v>0</v>
      </c>
      <c r="BI272" s="67">
        <f t="shared" si="100"/>
        <v>5</v>
      </c>
      <c r="BJ272" s="67">
        <f t="shared" si="95"/>
        <v>0</v>
      </c>
      <c r="BK272" s="67">
        <f>+VLOOKUP('2. Logging Brejo Seco'!AP272,Leyenda!$B$47:$E$51,4,FALSE)</f>
        <v>1</v>
      </c>
      <c r="BL272" s="67">
        <f>+VLOOKUP('2. Logging Brejo Seco'!AQ272,Leyenda!$B$55:$E$59,4,FALSE)</f>
        <v>1</v>
      </c>
      <c r="BM272" s="67">
        <f>+VLOOKUP('2. Logging Brejo Seco'!AR272,Leyenda!$B$63:$E$67,3,FALSE)</f>
        <v>2</v>
      </c>
      <c r="BN272" s="67">
        <f>+VLOOKUP('2. Logging Brejo Seco'!AO272,Leyenda!$B$39:$E$43,4,FALSE)</f>
        <v>0</v>
      </c>
      <c r="BO272" s="67">
        <f>+VLOOKUP('2. Logging Brejo Seco'!AN272,Leyenda!$B$30:$E$34,4,FALSE)</f>
        <v>1</v>
      </c>
      <c r="BP272" s="67">
        <f>VLOOKUP(AS272,Leyenda!$B$71:$E$75,4,FALSE)</f>
        <v>10</v>
      </c>
      <c r="BQ272" s="125">
        <f t="shared" si="101"/>
        <v>20</v>
      </c>
      <c r="BR272" s="85">
        <f t="shared" si="102"/>
        <v>25</v>
      </c>
      <c r="BS272" s="240">
        <f t="shared" si="103"/>
        <v>0</v>
      </c>
      <c r="BT272" s="18"/>
    </row>
    <row r="273" spans="1:72" x14ac:dyDescent="0.25">
      <c r="A273" s="18" t="s">
        <v>6</v>
      </c>
      <c r="B273" s="18">
        <v>2024</v>
      </c>
      <c r="C273" s="18" t="s">
        <v>138</v>
      </c>
      <c r="D273" s="18" t="s">
        <v>130</v>
      </c>
      <c r="E273" s="18">
        <v>30</v>
      </c>
      <c r="F273" s="18">
        <v>20</v>
      </c>
      <c r="G273" s="18" t="s">
        <v>152</v>
      </c>
      <c r="H273" s="248">
        <f t="shared" si="104"/>
        <v>20</v>
      </c>
      <c r="I273" s="135"/>
      <c r="J273" s="18" t="s">
        <v>159</v>
      </c>
      <c r="K273" s="4">
        <f t="shared" si="88"/>
        <v>20</v>
      </c>
      <c r="L273" s="4">
        <v>20.5</v>
      </c>
      <c r="M273" s="4">
        <f t="shared" si="96"/>
        <v>0.5</v>
      </c>
      <c r="N273" s="5">
        <v>1</v>
      </c>
      <c r="O273" s="5">
        <f t="shared" si="89"/>
        <v>0</v>
      </c>
      <c r="P273" s="31">
        <f t="shared" si="97"/>
        <v>0.5</v>
      </c>
      <c r="Q273" s="31">
        <f t="shared" si="92"/>
        <v>0.5</v>
      </c>
      <c r="R273" s="31">
        <v>25</v>
      </c>
      <c r="S273" s="31">
        <v>20</v>
      </c>
      <c r="T273" s="31">
        <v>0.5</v>
      </c>
      <c r="U273" s="31">
        <v>0</v>
      </c>
      <c r="V273" s="187">
        <f t="shared" si="105"/>
        <v>0</v>
      </c>
      <c r="W273" s="31">
        <v>6</v>
      </c>
      <c r="X273" s="31"/>
      <c r="Y273" s="31">
        <f t="shared" si="90"/>
        <v>6</v>
      </c>
      <c r="Z273" s="31">
        <f t="shared" si="91"/>
        <v>83.333333333333329</v>
      </c>
      <c r="AA273" s="18">
        <v>0</v>
      </c>
      <c r="AB273" s="18" t="s">
        <v>330</v>
      </c>
      <c r="AC273" s="18" t="s">
        <v>333</v>
      </c>
      <c r="AD273" s="18" t="s">
        <v>337</v>
      </c>
      <c r="AE273" s="18">
        <v>20</v>
      </c>
      <c r="AF273" s="18">
        <v>25</v>
      </c>
      <c r="AG273" s="18" t="s">
        <v>29</v>
      </c>
      <c r="AH273" s="18" t="s">
        <v>34</v>
      </c>
      <c r="AI273" s="18">
        <f>+VLOOKUP(AH273,Leyenda!$O$4:$U$10,6,FALSE)</f>
        <v>0</v>
      </c>
      <c r="AJ273" s="18" t="str">
        <f>+VLOOKUP(AG273,Leyenda!$O$4:$U$10,7,FALSE)</f>
        <v>No Blasting need</v>
      </c>
      <c r="AK273" s="18">
        <f>+VLOOKUP(AJ273,Leyenda!$U$4:$V$10,2,FALSE)</f>
        <v>2</v>
      </c>
      <c r="AL273" s="18" t="s">
        <v>196</v>
      </c>
      <c r="AM273" s="18" t="s">
        <v>34</v>
      </c>
      <c r="AN273" s="18" t="s">
        <v>66</v>
      </c>
      <c r="AO273" s="18" t="s">
        <v>79</v>
      </c>
      <c r="AP273" s="18" t="s">
        <v>96</v>
      </c>
      <c r="AQ273" s="18" t="s">
        <v>109</v>
      </c>
      <c r="AR273" s="18" t="s">
        <v>120</v>
      </c>
      <c r="AS273" s="18" t="s">
        <v>198</v>
      </c>
      <c r="AT273" s="18"/>
      <c r="AU273" s="18"/>
      <c r="AV273" s="18">
        <f>+VLOOKUP(AN273,Leyenda!$B$30:$E$34,3,FALSE)</f>
        <v>1</v>
      </c>
      <c r="AW273" s="18">
        <f>+VLOOKUP('2. Logging Brejo Seco'!AO273,Meteorizacion,3,FALSE)</f>
        <v>1</v>
      </c>
      <c r="AX273" s="18">
        <f>+VLOOKUP('2. Logging Brejo Seco'!AP273,Apertura,3,FALSE)</f>
        <v>1</v>
      </c>
      <c r="AY273" s="18">
        <f>+VLOOKUP('2. Logging Brejo Seco'!AQ273,Leyenda!$B$55:$D$59,3,FALSE)</f>
        <v>1</v>
      </c>
      <c r="AZ273" s="18">
        <f>+VLOOKUP('2. Logging Brejo Seco'!AR273,Relleno,3,FALSE)</f>
        <v>2</v>
      </c>
      <c r="BA273" s="18">
        <f t="shared" si="106"/>
        <v>6</v>
      </c>
      <c r="BB273" s="49">
        <f t="shared" si="93"/>
        <v>0</v>
      </c>
      <c r="BC273" s="49">
        <f>VLOOKUP(AH273,Leyenda!$B$4:$D$10,3,FALSE)</f>
        <v>0</v>
      </c>
      <c r="BD273" s="50">
        <f t="shared" si="98"/>
        <v>7</v>
      </c>
      <c r="BE273" s="49">
        <f t="shared" si="99"/>
        <v>6</v>
      </c>
      <c r="BF273" s="49">
        <f>VLOOKUP(AS273,Leyenda!$B$70:$D$75,3,FALSE)</f>
        <v>15</v>
      </c>
      <c r="BG273" s="67">
        <f t="shared" si="94"/>
        <v>9</v>
      </c>
      <c r="BH273" s="67">
        <f>VLOOKUP(AM273,Leyenda!$B$4:$E$10,4,FALSE)</f>
        <v>0</v>
      </c>
      <c r="BI273" s="67">
        <f t="shared" si="100"/>
        <v>7</v>
      </c>
      <c r="BJ273" s="67">
        <f t="shared" si="95"/>
        <v>0</v>
      </c>
      <c r="BK273" s="67">
        <f>+VLOOKUP('2. Logging Brejo Seco'!AP273,Leyenda!$B$47:$E$51,4,FALSE)</f>
        <v>1</v>
      </c>
      <c r="BL273" s="67">
        <f>+VLOOKUP('2. Logging Brejo Seco'!AQ273,Leyenda!$B$55:$E$59,4,FALSE)</f>
        <v>1</v>
      </c>
      <c r="BM273" s="67">
        <f>+VLOOKUP('2. Logging Brejo Seco'!AR273,Leyenda!$B$63:$E$67,3,FALSE)</f>
        <v>2</v>
      </c>
      <c r="BN273" s="67">
        <f>+VLOOKUP('2. Logging Brejo Seco'!AO273,Leyenda!$B$39:$E$43,4,FALSE)</f>
        <v>1</v>
      </c>
      <c r="BO273" s="67">
        <f>+VLOOKUP('2. Logging Brejo Seco'!AN273,Leyenda!$B$30:$E$34,4,FALSE)</f>
        <v>1</v>
      </c>
      <c r="BP273" s="67">
        <f>VLOOKUP(AS273,Leyenda!$B$71:$E$75,4,FALSE)</f>
        <v>10</v>
      </c>
      <c r="BQ273" s="125">
        <f t="shared" si="101"/>
        <v>23</v>
      </c>
      <c r="BR273" s="85">
        <f t="shared" si="102"/>
        <v>28</v>
      </c>
      <c r="BS273" s="240">
        <f t="shared" si="103"/>
        <v>0</v>
      </c>
      <c r="BT273" s="18"/>
    </row>
    <row r="274" spans="1:72" x14ac:dyDescent="0.25">
      <c r="A274" s="18" t="s">
        <v>6</v>
      </c>
      <c r="B274" s="18">
        <v>2024</v>
      </c>
      <c r="C274" s="18" t="s">
        <v>138</v>
      </c>
      <c r="D274" s="18" t="s">
        <v>130</v>
      </c>
      <c r="E274" s="18">
        <v>30</v>
      </c>
      <c r="F274" s="18">
        <v>20</v>
      </c>
      <c r="G274" s="18" t="s">
        <v>152</v>
      </c>
      <c r="H274" s="248">
        <f t="shared" si="104"/>
        <v>20</v>
      </c>
      <c r="I274" s="135"/>
      <c r="J274" s="18" t="s">
        <v>159</v>
      </c>
      <c r="K274" s="4">
        <f t="shared" si="88"/>
        <v>20.5</v>
      </c>
      <c r="L274" s="4">
        <v>21</v>
      </c>
      <c r="M274" s="4">
        <f t="shared" si="96"/>
        <v>0.5</v>
      </c>
      <c r="N274" s="5">
        <v>1</v>
      </c>
      <c r="O274" s="5">
        <f t="shared" si="89"/>
        <v>0</v>
      </c>
      <c r="P274" s="31">
        <f t="shared" si="97"/>
        <v>0.5</v>
      </c>
      <c r="Q274" s="31">
        <f t="shared" si="92"/>
        <v>0.5</v>
      </c>
      <c r="R274" s="31">
        <v>25</v>
      </c>
      <c r="S274" s="31">
        <v>20</v>
      </c>
      <c r="T274" s="31">
        <v>0.44</v>
      </c>
      <c r="U274" s="31">
        <v>0.14000000000000001</v>
      </c>
      <c r="V274" s="187">
        <f t="shared" si="105"/>
        <v>28.000000000000004</v>
      </c>
      <c r="W274" s="31">
        <v>3</v>
      </c>
      <c r="X274" s="31"/>
      <c r="Y274" s="31">
        <f t="shared" si="90"/>
        <v>3</v>
      </c>
      <c r="Z274" s="31">
        <f t="shared" si="91"/>
        <v>146.66666666666666</v>
      </c>
      <c r="AA274" s="18">
        <v>0</v>
      </c>
      <c r="AB274" s="18" t="s">
        <v>330</v>
      </c>
      <c r="AC274" s="18" t="s">
        <v>333</v>
      </c>
      <c r="AD274" s="18" t="s">
        <v>337</v>
      </c>
      <c r="AE274" s="18">
        <v>20</v>
      </c>
      <c r="AF274" s="18">
        <v>25</v>
      </c>
      <c r="AG274" s="18" t="s">
        <v>29</v>
      </c>
      <c r="AH274" s="18" t="s">
        <v>34</v>
      </c>
      <c r="AI274" s="18">
        <f>+VLOOKUP(AH274,Leyenda!$O$4:$U$10,6,FALSE)</f>
        <v>0</v>
      </c>
      <c r="AJ274" s="18" t="str">
        <f>+VLOOKUP(AG274,Leyenda!$O$4:$U$10,7,FALSE)</f>
        <v>No Blasting need</v>
      </c>
      <c r="AK274" s="18">
        <f>+VLOOKUP(AJ274,Leyenda!$U$4:$V$10,2,FALSE)</f>
        <v>2</v>
      </c>
      <c r="AL274" s="18" t="s">
        <v>196</v>
      </c>
      <c r="AM274" s="18" t="s">
        <v>34</v>
      </c>
      <c r="AN274" s="18" t="s">
        <v>66</v>
      </c>
      <c r="AO274" s="18" t="s">
        <v>79</v>
      </c>
      <c r="AP274" s="18" t="s">
        <v>96</v>
      </c>
      <c r="AQ274" s="18" t="s">
        <v>109</v>
      </c>
      <c r="AR274" s="18" t="s">
        <v>120</v>
      </c>
      <c r="AS274" s="18" t="s">
        <v>198</v>
      </c>
      <c r="AT274" s="18"/>
      <c r="AU274" s="18"/>
      <c r="AV274" s="18">
        <f>+VLOOKUP(AN274,Leyenda!$B$30:$E$34,3,FALSE)</f>
        <v>1</v>
      </c>
      <c r="AW274" s="18">
        <f>+VLOOKUP('2. Logging Brejo Seco'!AO274,Meteorizacion,3,FALSE)</f>
        <v>1</v>
      </c>
      <c r="AX274" s="18">
        <f>+VLOOKUP('2. Logging Brejo Seco'!AP274,Apertura,3,FALSE)</f>
        <v>1</v>
      </c>
      <c r="AY274" s="18">
        <f>+VLOOKUP('2. Logging Brejo Seco'!AQ274,Leyenda!$B$55:$D$59,3,FALSE)</f>
        <v>1</v>
      </c>
      <c r="AZ274" s="18">
        <f>+VLOOKUP('2. Logging Brejo Seco'!AR274,Relleno,3,FALSE)</f>
        <v>2</v>
      </c>
      <c r="BA274" s="18">
        <f t="shared" si="106"/>
        <v>6</v>
      </c>
      <c r="BB274" s="49">
        <f t="shared" si="93"/>
        <v>6</v>
      </c>
      <c r="BC274" s="49">
        <f>VLOOKUP(AH274,Leyenda!$B$4:$D$10,3,FALSE)</f>
        <v>0</v>
      </c>
      <c r="BD274" s="50">
        <f t="shared" si="98"/>
        <v>8</v>
      </c>
      <c r="BE274" s="49">
        <f t="shared" si="99"/>
        <v>6</v>
      </c>
      <c r="BF274" s="49">
        <f>VLOOKUP(AS274,Leyenda!$B$70:$D$75,3,FALSE)</f>
        <v>15</v>
      </c>
      <c r="BG274" s="67">
        <f t="shared" si="94"/>
        <v>23</v>
      </c>
      <c r="BH274" s="67">
        <f>VLOOKUP(AM274,Leyenda!$B$4:$E$10,4,FALSE)</f>
        <v>0</v>
      </c>
      <c r="BI274" s="67">
        <f t="shared" si="100"/>
        <v>10</v>
      </c>
      <c r="BJ274" s="67">
        <f t="shared" si="95"/>
        <v>6</v>
      </c>
      <c r="BK274" s="67">
        <f>+VLOOKUP('2. Logging Brejo Seco'!AP274,Leyenda!$B$47:$E$51,4,FALSE)</f>
        <v>1</v>
      </c>
      <c r="BL274" s="67">
        <f>+VLOOKUP('2. Logging Brejo Seco'!AQ274,Leyenda!$B$55:$E$59,4,FALSE)</f>
        <v>1</v>
      </c>
      <c r="BM274" s="67">
        <f>+VLOOKUP('2. Logging Brejo Seco'!AR274,Leyenda!$B$63:$E$67,3,FALSE)</f>
        <v>2</v>
      </c>
      <c r="BN274" s="67">
        <f>+VLOOKUP('2. Logging Brejo Seco'!AO274,Leyenda!$B$39:$E$43,4,FALSE)</f>
        <v>1</v>
      </c>
      <c r="BO274" s="67">
        <f>+VLOOKUP('2. Logging Brejo Seco'!AN274,Leyenda!$B$30:$E$34,4,FALSE)</f>
        <v>1</v>
      </c>
      <c r="BP274" s="67">
        <f>VLOOKUP(AS274,Leyenda!$B$71:$E$75,4,FALSE)</f>
        <v>10</v>
      </c>
      <c r="BQ274" s="125">
        <f t="shared" si="101"/>
        <v>32</v>
      </c>
      <c r="BR274" s="85">
        <f t="shared" si="102"/>
        <v>35</v>
      </c>
      <c r="BS274" s="240">
        <f t="shared" si="103"/>
        <v>0</v>
      </c>
      <c r="BT274" s="18"/>
    </row>
    <row r="275" spans="1:72" x14ac:dyDescent="0.25">
      <c r="A275" s="18" t="s">
        <v>6</v>
      </c>
      <c r="B275" s="18">
        <v>2024</v>
      </c>
      <c r="C275" s="18" t="s">
        <v>138</v>
      </c>
      <c r="D275" s="18" t="s">
        <v>130</v>
      </c>
      <c r="E275" s="18">
        <v>30</v>
      </c>
      <c r="F275" s="18">
        <v>20</v>
      </c>
      <c r="G275" s="18" t="s">
        <v>152</v>
      </c>
      <c r="H275" s="248">
        <f t="shared" si="104"/>
        <v>20</v>
      </c>
      <c r="I275" s="135"/>
      <c r="J275" s="18" t="s">
        <v>159</v>
      </c>
      <c r="K275" s="4">
        <f t="shared" si="88"/>
        <v>21</v>
      </c>
      <c r="L275" s="4">
        <v>21.5</v>
      </c>
      <c r="M275" s="4">
        <f t="shared" si="96"/>
        <v>0.5</v>
      </c>
      <c r="N275" s="5">
        <v>1</v>
      </c>
      <c r="O275" s="5">
        <f t="shared" si="89"/>
        <v>0</v>
      </c>
      <c r="P275" s="31">
        <f t="shared" si="97"/>
        <v>0.5</v>
      </c>
      <c r="Q275" s="31">
        <f t="shared" si="92"/>
        <v>0.5</v>
      </c>
      <c r="R275" s="31">
        <v>25</v>
      </c>
      <c r="S275" s="31">
        <v>20</v>
      </c>
      <c r="T275" s="31">
        <v>0.48</v>
      </c>
      <c r="U275" s="31">
        <v>0.25</v>
      </c>
      <c r="V275" s="187">
        <f t="shared" si="105"/>
        <v>50</v>
      </c>
      <c r="W275" s="31">
        <v>3</v>
      </c>
      <c r="X275" s="31"/>
      <c r="Y275" s="31">
        <f t="shared" si="90"/>
        <v>3</v>
      </c>
      <c r="Z275" s="31">
        <f t="shared" si="91"/>
        <v>160</v>
      </c>
      <c r="AA275" s="18">
        <v>0</v>
      </c>
      <c r="AB275" s="18" t="s">
        <v>330</v>
      </c>
      <c r="AC275" s="18" t="s">
        <v>333</v>
      </c>
      <c r="AD275" s="18" t="s">
        <v>337</v>
      </c>
      <c r="AE275" s="18">
        <v>20</v>
      </c>
      <c r="AF275" s="18">
        <v>25</v>
      </c>
      <c r="AG275" s="18" t="s">
        <v>29</v>
      </c>
      <c r="AH275" s="18" t="s">
        <v>34</v>
      </c>
      <c r="AI275" s="18">
        <f>+VLOOKUP(AH275,Leyenda!$O$4:$U$10,6,FALSE)</f>
        <v>0</v>
      </c>
      <c r="AJ275" s="18" t="str">
        <f>+VLOOKUP(AG275,Leyenda!$O$4:$U$10,7,FALSE)</f>
        <v>No Blasting need</v>
      </c>
      <c r="AK275" s="18">
        <f>+VLOOKUP(AJ275,Leyenda!$U$4:$V$10,2,FALSE)</f>
        <v>2</v>
      </c>
      <c r="AL275" s="18" t="s">
        <v>199</v>
      </c>
      <c r="AM275" s="18" t="s">
        <v>34</v>
      </c>
      <c r="AN275" s="18" t="s">
        <v>66</v>
      </c>
      <c r="AO275" s="18" t="s">
        <v>81</v>
      </c>
      <c r="AP275" s="18" t="s">
        <v>96</v>
      </c>
      <c r="AQ275" s="18" t="s">
        <v>109</v>
      </c>
      <c r="AR275" s="18" t="s">
        <v>120</v>
      </c>
      <c r="AS275" s="18" t="s">
        <v>198</v>
      </c>
      <c r="AT275" s="18"/>
      <c r="AU275" s="18"/>
      <c r="AV275" s="18">
        <f>+VLOOKUP(AN275,Leyenda!$B$30:$E$34,3,FALSE)</f>
        <v>1</v>
      </c>
      <c r="AW275" s="18">
        <f>+VLOOKUP('2. Logging Brejo Seco'!AO275,Meteorizacion,3,FALSE)</f>
        <v>0</v>
      </c>
      <c r="AX275" s="18">
        <f>+VLOOKUP('2. Logging Brejo Seco'!AP275,Apertura,3,FALSE)</f>
        <v>1</v>
      </c>
      <c r="AY275" s="18">
        <f>+VLOOKUP('2. Logging Brejo Seco'!AQ275,Leyenda!$B$55:$D$59,3,FALSE)</f>
        <v>1</v>
      </c>
      <c r="AZ275" s="18">
        <f>+VLOOKUP('2. Logging Brejo Seco'!AR275,Relleno,3,FALSE)</f>
        <v>2</v>
      </c>
      <c r="BA275" s="18">
        <f t="shared" si="106"/>
        <v>5</v>
      </c>
      <c r="BB275" s="49">
        <f t="shared" si="93"/>
        <v>10</v>
      </c>
      <c r="BC275" s="49">
        <f>VLOOKUP(AH275,Leyenda!$B$4:$D$10,3,FALSE)</f>
        <v>0</v>
      </c>
      <c r="BD275" s="50">
        <f t="shared" si="98"/>
        <v>8</v>
      </c>
      <c r="BE275" s="49">
        <f t="shared" si="99"/>
        <v>5</v>
      </c>
      <c r="BF275" s="49">
        <f>VLOOKUP(AS275,Leyenda!$B$70:$D$75,3,FALSE)</f>
        <v>15</v>
      </c>
      <c r="BG275" s="67">
        <f t="shared" si="94"/>
        <v>32.5</v>
      </c>
      <c r="BH275" s="67">
        <f>VLOOKUP(AM275,Leyenda!$B$4:$E$10,4,FALSE)</f>
        <v>0</v>
      </c>
      <c r="BI275" s="67">
        <f t="shared" si="100"/>
        <v>11</v>
      </c>
      <c r="BJ275" s="67">
        <f t="shared" si="95"/>
        <v>10</v>
      </c>
      <c r="BK275" s="67">
        <f>+VLOOKUP('2. Logging Brejo Seco'!AP275,Leyenda!$B$47:$E$51,4,FALSE)</f>
        <v>1</v>
      </c>
      <c r="BL275" s="67">
        <f>+VLOOKUP('2. Logging Brejo Seco'!AQ275,Leyenda!$B$55:$E$59,4,FALSE)</f>
        <v>1</v>
      </c>
      <c r="BM275" s="67">
        <f>+VLOOKUP('2. Logging Brejo Seco'!AR275,Leyenda!$B$63:$E$67,3,FALSE)</f>
        <v>2</v>
      </c>
      <c r="BN275" s="67">
        <f>+VLOOKUP('2. Logging Brejo Seco'!AO275,Leyenda!$B$39:$E$43,4,FALSE)</f>
        <v>0</v>
      </c>
      <c r="BO275" s="67">
        <f>+VLOOKUP('2. Logging Brejo Seco'!AN275,Leyenda!$B$30:$E$34,4,FALSE)</f>
        <v>1</v>
      </c>
      <c r="BP275" s="67">
        <f>VLOOKUP(AS275,Leyenda!$B$71:$E$75,4,FALSE)</f>
        <v>10</v>
      </c>
      <c r="BQ275" s="125">
        <f t="shared" si="101"/>
        <v>36</v>
      </c>
      <c r="BR275" s="85">
        <f t="shared" si="102"/>
        <v>38</v>
      </c>
      <c r="BS275" s="240">
        <f t="shared" si="103"/>
        <v>0</v>
      </c>
      <c r="BT275" s="18"/>
    </row>
    <row r="276" spans="1:72" x14ac:dyDescent="0.25">
      <c r="A276" s="18" t="s">
        <v>6</v>
      </c>
      <c r="B276" s="18">
        <v>2024</v>
      </c>
      <c r="C276" s="18" t="s">
        <v>138</v>
      </c>
      <c r="D276" s="18" t="s">
        <v>130</v>
      </c>
      <c r="E276" s="18">
        <v>30</v>
      </c>
      <c r="F276" s="18">
        <v>20</v>
      </c>
      <c r="G276" s="18" t="s">
        <v>152</v>
      </c>
      <c r="H276" s="248">
        <f t="shared" si="104"/>
        <v>20</v>
      </c>
      <c r="I276" s="135"/>
      <c r="J276" s="18" t="s">
        <v>159</v>
      </c>
      <c r="K276" s="4">
        <f t="shared" si="88"/>
        <v>21.5</v>
      </c>
      <c r="L276" s="4">
        <v>22</v>
      </c>
      <c r="M276" s="4">
        <f t="shared" si="96"/>
        <v>0.5</v>
      </c>
      <c r="N276" s="5">
        <v>1</v>
      </c>
      <c r="O276" s="5">
        <f t="shared" si="89"/>
        <v>0</v>
      </c>
      <c r="P276" s="31">
        <f t="shared" si="97"/>
        <v>0.5</v>
      </c>
      <c r="Q276" s="31">
        <f t="shared" si="92"/>
        <v>0.5</v>
      </c>
      <c r="R276" s="31">
        <v>25</v>
      </c>
      <c r="S276" s="31">
        <v>20</v>
      </c>
      <c r="T276" s="31">
        <v>0.5</v>
      </c>
      <c r="U276" s="31">
        <v>0</v>
      </c>
      <c r="V276" s="187">
        <f t="shared" si="105"/>
        <v>0</v>
      </c>
      <c r="W276" s="31">
        <v>10</v>
      </c>
      <c r="X276" s="31"/>
      <c r="Y276" s="31">
        <f t="shared" si="90"/>
        <v>10</v>
      </c>
      <c r="Z276" s="31">
        <f t="shared" si="91"/>
        <v>50</v>
      </c>
      <c r="AA276" s="18">
        <v>0</v>
      </c>
      <c r="AB276" s="18" t="s">
        <v>330</v>
      </c>
      <c r="AC276" s="18" t="s">
        <v>333</v>
      </c>
      <c r="AD276" s="18" t="s">
        <v>337</v>
      </c>
      <c r="AE276" s="18">
        <v>20</v>
      </c>
      <c r="AF276" s="18">
        <v>25</v>
      </c>
      <c r="AG276" s="18" t="s">
        <v>29</v>
      </c>
      <c r="AH276" s="18" t="s">
        <v>34</v>
      </c>
      <c r="AI276" s="18">
        <f>+VLOOKUP(AH276,Leyenda!$O$4:$U$10,6,FALSE)</f>
        <v>0</v>
      </c>
      <c r="AJ276" s="18" t="str">
        <f>+VLOOKUP(AG276,Leyenda!$O$4:$U$10,7,FALSE)</f>
        <v>No Blasting need</v>
      </c>
      <c r="AK276" s="18">
        <f>+VLOOKUP(AJ276,Leyenda!$U$4:$V$10,2,FALSE)</f>
        <v>2</v>
      </c>
      <c r="AL276" s="18" t="s">
        <v>199</v>
      </c>
      <c r="AM276" s="18" t="s">
        <v>34</v>
      </c>
      <c r="AN276" s="18" t="s">
        <v>66</v>
      </c>
      <c r="AO276" s="18" t="s">
        <v>81</v>
      </c>
      <c r="AP276" s="18" t="s">
        <v>96</v>
      </c>
      <c r="AQ276" s="18" t="s">
        <v>109</v>
      </c>
      <c r="AR276" s="18" t="s">
        <v>120</v>
      </c>
      <c r="AS276" s="18" t="s">
        <v>198</v>
      </c>
      <c r="AT276" s="18"/>
      <c r="AU276" s="18"/>
      <c r="AV276" s="18">
        <f>+VLOOKUP(AN276,Leyenda!$B$30:$E$34,3,FALSE)</f>
        <v>1</v>
      </c>
      <c r="AW276" s="18">
        <f>+VLOOKUP('2. Logging Brejo Seco'!AO276,Meteorizacion,3,FALSE)</f>
        <v>0</v>
      </c>
      <c r="AX276" s="18">
        <f>+VLOOKUP('2. Logging Brejo Seco'!AP276,Apertura,3,FALSE)</f>
        <v>1</v>
      </c>
      <c r="AY276" s="18">
        <f>+VLOOKUP('2. Logging Brejo Seco'!AQ276,Leyenda!$B$55:$D$59,3,FALSE)</f>
        <v>1</v>
      </c>
      <c r="AZ276" s="18">
        <f>+VLOOKUP('2. Logging Brejo Seco'!AR276,Relleno,3,FALSE)</f>
        <v>2</v>
      </c>
      <c r="BA276" s="18">
        <f t="shared" si="106"/>
        <v>5</v>
      </c>
      <c r="BB276" s="49">
        <f t="shared" si="93"/>
        <v>0</v>
      </c>
      <c r="BC276" s="49">
        <f>VLOOKUP(AH276,Leyenda!$B$4:$D$10,3,FALSE)</f>
        <v>0</v>
      </c>
      <c r="BD276" s="50">
        <f t="shared" si="98"/>
        <v>6</v>
      </c>
      <c r="BE276" s="49">
        <f t="shared" si="99"/>
        <v>5</v>
      </c>
      <c r="BF276" s="49">
        <f>VLOOKUP(AS276,Leyenda!$B$70:$D$75,3,FALSE)</f>
        <v>15</v>
      </c>
      <c r="BG276" s="67">
        <f t="shared" si="94"/>
        <v>7.5</v>
      </c>
      <c r="BH276" s="67">
        <f>VLOOKUP(AM276,Leyenda!$B$4:$E$10,4,FALSE)</f>
        <v>0</v>
      </c>
      <c r="BI276" s="67">
        <f t="shared" si="100"/>
        <v>5</v>
      </c>
      <c r="BJ276" s="67">
        <f t="shared" si="95"/>
        <v>0</v>
      </c>
      <c r="BK276" s="67">
        <f>+VLOOKUP('2. Logging Brejo Seco'!AP276,Leyenda!$B$47:$E$51,4,FALSE)</f>
        <v>1</v>
      </c>
      <c r="BL276" s="67">
        <f>+VLOOKUP('2. Logging Brejo Seco'!AQ276,Leyenda!$B$55:$E$59,4,FALSE)</f>
        <v>1</v>
      </c>
      <c r="BM276" s="67">
        <f>+VLOOKUP('2. Logging Brejo Seco'!AR276,Leyenda!$B$63:$E$67,3,FALSE)</f>
        <v>2</v>
      </c>
      <c r="BN276" s="67">
        <f>+VLOOKUP('2. Logging Brejo Seco'!AO276,Leyenda!$B$39:$E$43,4,FALSE)</f>
        <v>0</v>
      </c>
      <c r="BO276" s="67">
        <f>+VLOOKUP('2. Logging Brejo Seco'!AN276,Leyenda!$B$30:$E$34,4,FALSE)</f>
        <v>1</v>
      </c>
      <c r="BP276" s="67">
        <f>VLOOKUP(AS276,Leyenda!$B$71:$E$75,4,FALSE)</f>
        <v>10</v>
      </c>
      <c r="BQ276" s="125">
        <f t="shared" si="101"/>
        <v>20</v>
      </c>
      <c r="BR276" s="85">
        <f t="shared" si="102"/>
        <v>26</v>
      </c>
      <c r="BS276" s="240">
        <f t="shared" si="103"/>
        <v>0</v>
      </c>
      <c r="BT276" s="18"/>
    </row>
    <row r="277" spans="1:72" x14ac:dyDescent="0.25">
      <c r="A277" s="18" t="s">
        <v>6</v>
      </c>
      <c r="B277" s="18">
        <v>2024</v>
      </c>
      <c r="C277" s="18" t="s">
        <v>138</v>
      </c>
      <c r="D277" s="18" t="s">
        <v>130</v>
      </c>
      <c r="E277" s="18">
        <v>30</v>
      </c>
      <c r="F277" s="18">
        <v>20</v>
      </c>
      <c r="G277" s="18" t="s">
        <v>152</v>
      </c>
      <c r="H277" s="248">
        <f t="shared" si="104"/>
        <v>20</v>
      </c>
      <c r="I277" s="135"/>
      <c r="J277" s="18" t="s">
        <v>181</v>
      </c>
      <c r="K277" s="4">
        <f t="shared" si="88"/>
        <v>22</v>
      </c>
      <c r="L277" s="4">
        <v>22.5</v>
      </c>
      <c r="M277" s="4">
        <f t="shared" si="96"/>
        <v>0.5</v>
      </c>
      <c r="N277" s="5">
        <v>1</v>
      </c>
      <c r="O277" s="5">
        <f t="shared" si="89"/>
        <v>0</v>
      </c>
      <c r="P277" s="31">
        <f t="shared" si="97"/>
        <v>0.5</v>
      </c>
      <c r="Q277" s="31">
        <f t="shared" si="92"/>
        <v>0.5</v>
      </c>
      <c r="R277" s="31">
        <v>100</v>
      </c>
      <c r="S277" s="31">
        <v>5</v>
      </c>
      <c r="T277" s="31">
        <v>0.5</v>
      </c>
      <c r="U277" s="31">
        <v>0.44</v>
      </c>
      <c r="V277" s="65">
        <f t="shared" si="105"/>
        <v>88</v>
      </c>
      <c r="W277" s="31">
        <v>3</v>
      </c>
      <c r="X277" s="31"/>
      <c r="Y277" s="31">
        <f t="shared" si="90"/>
        <v>3</v>
      </c>
      <c r="Z277" s="31">
        <f t="shared" si="91"/>
        <v>166.66666666666666</v>
      </c>
      <c r="AA277" s="18">
        <v>90</v>
      </c>
      <c r="AB277" s="18" t="s">
        <v>96</v>
      </c>
      <c r="AC277" s="18" t="s">
        <v>118</v>
      </c>
      <c r="AD277" s="18" t="s">
        <v>334</v>
      </c>
      <c r="AE277" s="18">
        <v>5</v>
      </c>
      <c r="AF277" s="18">
        <v>100</v>
      </c>
      <c r="AG277" s="18" t="s">
        <v>27</v>
      </c>
      <c r="AH277" s="18" t="s">
        <v>34</v>
      </c>
      <c r="AI277" s="18">
        <f>+VLOOKUP(AH277,Leyenda!$O$4:$U$10,6,FALSE)</f>
        <v>0</v>
      </c>
      <c r="AJ277" s="18" t="str">
        <f>+VLOOKUP(AG277,Leyenda!$O$4:$U$10,7,FALSE)</f>
        <v>Easy to blast</v>
      </c>
      <c r="AK277" s="18">
        <f>+VLOOKUP(AJ277,Leyenda!$U$4:$V$10,2,FALSE)</f>
        <v>3</v>
      </c>
      <c r="AL277" s="18" t="s">
        <v>199</v>
      </c>
      <c r="AM277" s="130" t="s">
        <v>34</v>
      </c>
      <c r="AN277" s="18" t="s">
        <v>66</v>
      </c>
      <c r="AO277" s="18" t="s">
        <v>81</v>
      </c>
      <c r="AP277" s="18" t="s">
        <v>96</v>
      </c>
      <c r="AQ277" s="18" t="s">
        <v>109</v>
      </c>
      <c r="AR277" s="18" t="s">
        <v>120</v>
      </c>
      <c r="AS277" s="18" t="s">
        <v>198</v>
      </c>
      <c r="AT277" s="18" t="s">
        <v>257</v>
      </c>
      <c r="AU277" s="18"/>
      <c r="AV277" s="18">
        <f>+VLOOKUP(AN277,Leyenda!$B$30:$E$34,3,FALSE)</f>
        <v>1</v>
      </c>
      <c r="AW277" s="18">
        <f>+VLOOKUP('2. Logging Brejo Seco'!AO277,Meteorizacion,3,FALSE)</f>
        <v>0</v>
      </c>
      <c r="AX277" s="18">
        <f>+VLOOKUP('2. Logging Brejo Seco'!AP277,Apertura,3,FALSE)</f>
        <v>1</v>
      </c>
      <c r="AY277" s="18">
        <f>+VLOOKUP('2. Logging Brejo Seco'!AQ277,Leyenda!$B$55:$D$59,3,FALSE)</f>
        <v>1</v>
      </c>
      <c r="AZ277" s="18">
        <f>+VLOOKUP('2. Logging Brejo Seco'!AR277,Relleno,3,FALSE)</f>
        <v>2</v>
      </c>
      <c r="BA277" s="18">
        <f t="shared" si="106"/>
        <v>5</v>
      </c>
      <c r="BB277" s="49">
        <f t="shared" si="93"/>
        <v>18</v>
      </c>
      <c r="BC277" s="49">
        <f>VLOOKUP(AH277,Leyenda!$B$4:$D$10,3,FALSE)</f>
        <v>0</v>
      </c>
      <c r="BD277" s="50">
        <f t="shared" si="98"/>
        <v>9</v>
      </c>
      <c r="BE277" s="49">
        <f t="shared" si="99"/>
        <v>5</v>
      </c>
      <c r="BF277" s="49">
        <f>VLOOKUP(AS277,Leyenda!$B$70:$D$75,3,FALSE)</f>
        <v>15</v>
      </c>
      <c r="BG277" s="67">
        <f t="shared" si="94"/>
        <v>51.5</v>
      </c>
      <c r="BH277" s="67">
        <f>VLOOKUP(AM277,Leyenda!$B$4:$E$10,4,FALSE)</f>
        <v>0</v>
      </c>
      <c r="BI277" s="67">
        <f t="shared" si="100"/>
        <v>11</v>
      </c>
      <c r="BJ277" s="67">
        <f t="shared" si="95"/>
        <v>18</v>
      </c>
      <c r="BK277" s="67">
        <f>+VLOOKUP('2. Logging Brejo Seco'!AP277,Leyenda!$B$47:$E$51,4,FALSE)</f>
        <v>1</v>
      </c>
      <c r="BL277" s="67">
        <f>+VLOOKUP('2. Logging Brejo Seco'!AQ277,Leyenda!$B$55:$E$59,4,FALSE)</f>
        <v>1</v>
      </c>
      <c r="BM277" s="67">
        <f>+VLOOKUP('2. Logging Brejo Seco'!AR277,Leyenda!$B$63:$E$67,3,FALSE)</f>
        <v>2</v>
      </c>
      <c r="BN277" s="67">
        <f>+VLOOKUP('2. Logging Brejo Seco'!AO277,Leyenda!$B$39:$E$43,4,FALSE)</f>
        <v>0</v>
      </c>
      <c r="BO277" s="67">
        <f>+VLOOKUP('2. Logging Brejo Seco'!AN277,Leyenda!$B$30:$E$34,4,FALSE)</f>
        <v>1</v>
      </c>
      <c r="BP277" s="67">
        <f>VLOOKUP(AS277,Leyenda!$B$71:$E$75,4,FALSE)</f>
        <v>10</v>
      </c>
      <c r="BQ277" s="125">
        <f t="shared" si="101"/>
        <v>44</v>
      </c>
      <c r="BR277" s="85">
        <f t="shared" si="102"/>
        <v>47</v>
      </c>
      <c r="BS277" s="240">
        <f t="shared" si="103"/>
        <v>0</v>
      </c>
      <c r="BT277" s="18"/>
    </row>
    <row r="278" spans="1:72" x14ac:dyDescent="0.25">
      <c r="A278" s="18" t="s">
        <v>6</v>
      </c>
      <c r="B278" s="18">
        <v>2024</v>
      </c>
      <c r="C278" s="18" t="s">
        <v>138</v>
      </c>
      <c r="D278" s="18" t="s">
        <v>130</v>
      </c>
      <c r="E278" s="18">
        <v>30</v>
      </c>
      <c r="F278" s="18">
        <v>20</v>
      </c>
      <c r="G278" s="18" t="s">
        <v>152</v>
      </c>
      <c r="H278" s="248">
        <f t="shared" si="104"/>
        <v>20</v>
      </c>
      <c r="I278" s="135"/>
      <c r="J278" s="18" t="s">
        <v>181</v>
      </c>
      <c r="K278" s="4">
        <f t="shared" si="88"/>
        <v>22.5</v>
      </c>
      <c r="L278" s="4">
        <v>23</v>
      </c>
      <c r="M278" s="4">
        <f t="shared" si="96"/>
        <v>0.5</v>
      </c>
      <c r="N278" s="5">
        <v>1</v>
      </c>
      <c r="O278" s="5">
        <f t="shared" si="89"/>
        <v>0</v>
      </c>
      <c r="P278" s="31">
        <f t="shared" si="97"/>
        <v>0.5</v>
      </c>
      <c r="Q278" s="31">
        <f t="shared" si="92"/>
        <v>0.5</v>
      </c>
      <c r="R278" s="31">
        <v>500</v>
      </c>
      <c r="S278" s="31">
        <v>1</v>
      </c>
      <c r="T278" s="31">
        <v>0.5</v>
      </c>
      <c r="U278" s="31">
        <v>0.27</v>
      </c>
      <c r="V278" s="65">
        <f t="shared" si="105"/>
        <v>54</v>
      </c>
      <c r="W278" s="31">
        <v>4</v>
      </c>
      <c r="X278" s="31"/>
      <c r="Y278" s="31">
        <f t="shared" si="90"/>
        <v>4</v>
      </c>
      <c r="Z278" s="31">
        <f t="shared" si="91"/>
        <v>125</v>
      </c>
      <c r="AA278" s="18">
        <v>56</v>
      </c>
      <c r="AB278" s="18" t="s">
        <v>96</v>
      </c>
      <c r="AC278" s="18" t="s">
        <v>116</v>
      </c>
      <c r="AD278" s="18" t="s">
        <v>334</v>
      </c>
      <c r="AE278" s="18">
        <v>1</v>
      </c>
      <c r="AF278" s="18">
        <v>500</v>
      </c>
      <c r="AG278" s="18" t="s">
        <v>27</v>
      </c>
      <c r="AH278" s="18" t="s">
        <v>27</v>
      </c>
      <c r="AI278" s="18" t="str">
        <f>+VLOOKUP(AH278,Leyenda!$O$4:$U$10,6,FALSE)</f>
        <v>0,35-0,50</v>
      </c>
      <c r="AJ278" s="18" t="str">
        <f>+VLOOKUP(AG278,Leyenda!$O$4:$U$10,7,FALSE)</f>
        <v>Easy to blast</v>
      </c>
      <c r="AK278" s="18">
        <f>+VLOOKUP(AJ278,Leyenda!$U$4:$V$10,2,FALSE)</f>
        <v>3</v>
      </c>
      <c r="AL278" s="18" t="s">
        <v>29</v>
      </c>
      <c r="AM278" s="18" t="s">
        <v>27</v>
      </c>
      <c r="AN278" s="18" t="s">
        <v>64</v>
      </c>
      <c r="AO278" s="18" t="s">
        <v>81</v>
      </c>
      <c r="AP278" s="18" t="s">
        <v>96</v>
      </c>
      <c r="AQ278" s="18" t="s">
        <v>107</v>
      </c>
      <c r="AR278" s="18" t="s">
        <v>120</v>
      </c>
      <c r="AS278" s="18" t="s">
        <v>198</v>
      </c>
      <c r="AT278" s="18" t="s">
        <v>258</v>
      </c>
      <c r="AU278" s="18"/>
      <c r="AV278" s="18">
        <f>+VLOOKUP(AN278,Leyenda!$B$30:$E$34,3,FALSE)</f>
        <v>2</v>
      </c>
      <c r="AW278" s="18">
        <f>+VLOOKUP('2. Logging Brejo Seco'!AO278,Meteorizacion,3,FALSE)</f>
        <v>0</v>
      </c>
      <c r="AX278" s="18">
        <f>+VLOOKUP('2. Logging Brejo Seco'!AP278,Apertura,3,FALSE)</f>
        <v>1</v>
      </c>
      <c r="AY278" s="18">
        <f>+VLOOKUP('2. Logging Brejo Seco'!AQ278,Leyenda!$B$55:$D$59,3,FALSE)</f>
        <v>3</v>
      </c>
      <c r="AZ278" s="18">
        <f>+VLOOKUP('2. Logging Brejo Seco'!AR278,Relleno,3,FALSE)</f>
        <v>2</v>
      </c>
      <c r="BA278" s="18">
        <f t="shared" si="106"/>
        <v>8</v>
      </c>
      <c r="BB278" s="49">
        <f t="shared" si="93"/>
        <v>11</v>
      </c>
      <c r="BC278" s="49">
        <f>VLOOKUP(AH278,Leyenda!$B$4:$D$10,3,FALSE)</f>
        <v>4</v>
      </c>
      <c r="BD278" s="50">
        <f t="shared" si="98"/>
        <v>8</v>
      </c>
      <c r="BE278" s="49">
        <f t="shared" si="99"/>
        <v>8</v>
      </c>
      <c r="BF278" s="49">
        <f>VLOOKUP(AS278,Leyenda!$B$70:$D$75,3,FALSE)</f>
        <v>15</v>
      </c>
      <c r="BG278" s="67">
        <f t="shared" si="94"/>
        <v>39</v>
      </c>
      <c r="BH278" s="67">
        <f>VLOOKUP(AM278,Leyenda!$B$4:$E$10,4,FALSE)</f>
        <v>4</v>
      </c>
      <c r="BI278" s="67">
        <f t="shared" si="100"/>
        <v>10</v>
      </c>
      <c r="BJ278" s="67">
        <f t="shared" si="95"/>
        <v>11</v>
      </c>
      <c r="BK278" s="67">
        <f>+VLOOKUP('2. Logging Brejo Seco'!AP278,Leyenda!$B$47:$E$51,4,FALSE)</f>
        <v>1</v>
      </c>
      <c r="BL278" s="67">
        <f>+VLOOKUP('2. Logging Brejo Seco'!AQ278,Leyenda!$B$55:$E$59,4,FALSE)</f>
        <v>3</v>
      </c>
      <c r="BM278" s="67">
        <f>+VLOOKUP('2. Logging Brejo Seco'!AR278,Leyenda!$B$63:$E$67,3,FALSE)</f>
        <v>2</v>
      </c>
      <c r="BN278" s="67">
        <f>+VLOOKUP('2. Logging Brejo Seco'!AO278,Leyenda!$B$39:$E$43,4,FALSE)</f>
        <v>0</v>
      </c>
      <c r="BO278" s="67">
        <f>+VLOOKUP('2. Logging Brejo Seco'!AN278,Leyenda!$B$30:$E$34,4,FALSE)</f>
        <v>3</v>
      </c>
      <c r="BP278" s="67">
        <f>VLOOKUP(AS278,Leyenda!$B$71:$E$75,4,FALSE)</f>
        <v>10</v>
      </c>
      <c r="BQ278" s="125">
        <f t="shared" si="101"/>
        <v>44</v>
      </c>
      <c r="BR278" s="85">
        <f t="shared" si="102"/>
        <v>46</v>
      </c>
      <c r="BS278" s="240">
        <f t="shared" si="103"/>
        <v>0</v>
      </c>
      <c r="BT278" s="18"/>
    </row>
    <row r="279" spans="1:72" x14ac:dyDescent="0.25">
      <c r="A279" s="18" t="s">
        <v>6</v>
      </c>
      <c r="B279" s="18">
        <v>2024</v>
      </c>
      <c r="C279" s="18" t="s">
        <v>138</v>
      </c>
      <c r="D279" s="18" t="s">
        <v>130</v>
      </c>
      <c r="E279" s="18">
        <v>30</v>
      </c>
      <c r="F279" s="18">
        <v>20</v>
      </c>
      <c r="G279" s="18" t="s">
        <v>152</v>
      </c>
      <c r="H279" s="248">
        <f t="shared" si="104"/>
        <v>20</v>
      </c>
      <c r="I279" s="135"/>
      <c r="J279" s="18" t="s">
        <v>181</v>
      </c>
      <c r="K279" s="4">
        <f t="shared" si="88"/>
        <v>23</v>
      </c>
      <c r="L279" s="4">
        <v>23.5</v>
      </c>
      <c r="M279" s="4">
        <f t="shared" si="96"/>
        <v>0.5</v>
      </c>
      <c r="N279" s="5">
        <v>1</v>
      </c>
      <c r="O279" s="5">
        <f t="shared" si="89"/>
        <v>0</v>
      </c>
      <c r="P279" s="31">
        <f t="shared" si="97"/>
        <v>0.5</v>
      </c>
      <c r="Q279" s="31">
        <f t="shared" si="92"/>
        <v>0.5</v>
      </c>
      <c r="R279" s="31">
        <v>100</v>
      </c>
      <c r="S279" s="31">
        <v>5</v>
      </c>
      <c r="T279" s="31">
        <v>0.5</v>
      </c>
      <c r="U279" s="31">
        <v>0.46</v>
      </c>
      <c r="V279" s="65">
        <f t="shared" si="105"/>
        <v>92</v>
      </c>
      <c r="W279" s="31">
        <v>2</v>
      </c>
      <c r="X279" s="31"/>
      <c r="Y279" s="31">
        <f t="shared" si="90"/>
        <v>2</v>
      </c>
      <c r="Z279" s="31">
        <f t="shared" si="91"/>
        <v>250</v>
      </c>
      <c r="AA279" s="18">
        <v>98</v>
      </c>
      <c r="AB279" s="18" t="s">
        <v>96</v>
      </c>
      <c r="AC279" s="18" t="s">
        <v>118</v>
      </c>
      <c r="AD279" s="18" t="s">
        <v>334</v>
      </c>
      <c r="AE279" s="18">
        <v>5</v>
      </c>
      <c r="AF279" s="18">
        <v>100</v>
      </c>
      <c r="AG279" s="18" t="s">
        <v>27</v>
      </c>
      <c r="AH279" s="18" t="s">
        <v>27</v>
      </c>
      <c r="AI279" s="18" t="str">
        <f>+VLOOKUP(AH279,Leyenda!$O$4:$U$10,6,FALSE)</f>
        <v>0,35-0,50</v>
      </c>
      <c r="AJ279" s="18" t="str">
        <f>+VLOOKUP(AG279,Leyenda!$O$4:$U$10,7,FALSE)</f>
        <v>Easy to blast</v>
      </c>
      <c r="AK279" s="18">
        <f>+VLOOKUP(AJ279,Leyenda!$U$4:$V$10,2,FALSE)</f>
        <v>3</v>
      </c>
      <c r="AL279" s="18" t="s">
        <v>29</v>
      </c>
      <c r="AM279" s="18" t="s">
        <v>27</v>
      </c>
      <c r="AN279" s="18" t="s">
        <v>64</v>
      </c>
      <c r="AO279" s="18" t="s">
        <v>79</v>
      </c>
      <c r="AP279" s="18" t="s">
        <v>92</v>
      </c>
      <c r="AQ279" s="18" t="s">
        <v>107</v>
      </c>
      <c r="AR279" s="18" t="s">
        <v>120</v>
      </c>
      <c r="AS279" s="18" t="s">
        <v>198</v>
      </c>
      <c r="AT279" s="18" t="s">
        <v>259</v>
      </c>
      <c r="AU279" s="18"/>
      <c r="AV279" s="18">
        <f>+VLOOKUP(AN279,Leyenda!$B$30:$E$34,3,FALSE)</f>
        <v>2</v>
      </c>
      <c r="AW279" s="18">
        <f>+VLOOKUP('2. Logging Brejo Seco'!AO279,Meteorizacion,3,FALSE)</f>
        <v>1</v>
      </c>
      <c r="AX279" s="18">
        <f>+VLOOKUP('2. Logging Brejo Seco'!AP279,Apertura,3,FALSE)</f>
        <v>3</v>
      </c>
      <c r="AY279" s="18">
        <f>+VLOOKUP('2. Logging Brejo Seco'!AQ279,Leyenda!$B$55:$D$59,3,FALSE)</f>
        <v>3</v>
      </c>
      <c r="AZ279" s="18">
        <f>+VLOOKUP('2. Logging Brejo Seco'!AR279,Relleno,3,FALSE)</f>
        <v>2</v>
      </c>
      <c r="BA279" s="18">
        <f t="shared" si="106"/>
        <v>11</v>
      </c>
      <c r="BB279" s="49">
        <f t="shared" si="93"/>
        <v>19</v>
      </c>
      <c r="BC279" s="49">
        <f>VLOOKUP(AH279,Leyenda!$B$4:$D$10,3,FALSE)</f>
        <v>4</v>
      </c>
      <c r="BD279" s="50">
        <f t="shared" si="98"/>
        <v>10</v>
      </c>
      <c r="BE279" s="49">
        <f t="shared" si="99"/>
        <v>11</v>
      </c>
      <c r="BF279" s="49">
        <f>VLOOKUP(AS279,Leyenda!$B$70:$D$75,3,FALSE)</f>
        <v>15</v>
      </c>
      <c r="BG279" s="67">
        <f t="shared" si="94"/>
        <v>62.5</v>
      </c>
      <c r="BH279" s="67">
        <f>VLOOKUP(AM279,Leyenda!$B$4:$E$10,4,FALSE)</f>
        <v>4</v>
      </c>
      <c r="BI279" s="67">
        <f t="shared" si="100"/>
        <v>14</v>
      </c>
      <c r="BJ279" s="67">
        <f t="shared" si="95"/>
        <v>19</v>
      </c>
      <c r="BK279" s="67">
        <f>+VLOOKUP('2. Logging Brejo Seco'!AP279,Leyenda!$B$47:$E$51,4,FALSE)</f>
        <v>3</v>
      </c>
      <c r="BL279" s="67">
        <f>+VLOOKUP('2. Logging Brejo Seco'!AQ279,Leyenda!$B$55:$E$59,4,FALSE)</f>
        <v>3</v>
      </c>
      <c r="BM279" s="67">
        <f>+VLOOKUP('2. Logging Brejo Seco'!AR279,Leyenda!$B$63:$E$67,3,FALSE)</f>
        <v>2</v>
      </c>
      <c r="BN279" s="67">
        <f>+VLOOKUP('2. Logging Brejo Seco'!AO279,Leyenda!$B$39:$E$43,4,FALSE)</f>
        <v>1</v>
      </c>
      <c r="BO279" s="67">
        <f>+VLOOKUP('2. Logging Brejo Seco'!AN279,Leyenda!$B$30:$E$34,4,FALSE)</f>
        <v>3</v>
      </c>
      <c r="BP279" s="67">
        <f>VLOOKUP(AS279,Leyenda!$B$71:$E$75,4,FALSE)</f>
        <v>10</v>
      </c>
      <c r="BQ279" s="125">
        <f t="shared" si="101"/>
        <v>59</v>
      </c>
      <c r="BR279" s="85">
        <f t="shared" si="102"/>
        <v>59</v>
      </c>
      <c r="BS279" s="240">
        <f t="shared" si="103"/>
        <v>0</v>
      </c>
      <c r="BT279" s="18"/>
    </row>
    <row r="280" spans="1:72" x14ac:dyDescent="0.25">
      <c r="A280" s="18" t="s">
        <v>6</v>
      </c>
      <c r="B280" s="18">
        <v>2024</v>
      </c>
      <c r="C280" s="18" t="s">
        <v>138</v>
      </c>
      <c r="D280" s="18" t="s">
        <v>130</v>
      </c>
      <c r="E280" s="18">
        <v>30</v>
      </c>
      <c r="F280" s="18">
        <v>20</v>
      </c>
      <c r="G280" s="18" t="s">
        <v>152</v>
      </c>
      <c r="H280" s="248">
        <f t="shared" si="104"/>
        <v>20</v>
      </c>
      <c r="I280" s="135"/>
      <c r="J280" s="18" t="s">
        <v>181</v>
      </c>
      <c r="K280" s="4">
        <f t="shared" si="88"/>
        <v>23.5</v>
      </c>
      <c r="L280" s="4">
        <v>24</v>
      </c>
      <c r="M280" s="4">
        <f t="shared" si="96"/>
        <v>0.5</v>
      </c>
      <c r="N280" s="5">
        <v>1</v>
      </c>
      <c r="O280" s="5">
        <f t="shared" si="89"/>
        <v>0</v>
      </c>
      <c r="P280" s="31">
        <f t="shared" si="97"/>
        <v>0.5</v>
      </c>
      <c r="Q280" s="31">
        <f t="shared" si="92"/>
        <v>0.5</v>
      </c>
      <c r="R280" s="31">
        <v>500</v>
      </c>
      <c r="S280" s="31">
        <v>1</v>
      </c>
      <c r="T280" s="31">
        <v>0.5</v>
      </c>
      <c r="U280" s="31">
        <v>0.28999999999999998</v>
      </c>
      <c r="V280" s="65">
        <f t="shared" si="105"/>
        <v>57.999999999999993</v>
      </c>
      <c r="W280" s="31">
        <v>4</v>
      </c>
      <c r="X280" s="31"/>
      <c r="Y280" s="31">
        <f t="shared" si="90"/>
        <v>4</v>
      </c>
      <c r="Z280" s="31">
        <f t="shared" si="91"/>
        <v>125</v>
      </c>
      <c r="AA280" s="18">
        <v>66</v>
      </c>
      <c r="AB280" s="18" t="s">
        <v>96</v>
      </c>
      <c r="AC280" s="18" t="s">
        <v>116</v>
      </c>
      <c r="AD280" s="18" t="s">
        <v>334</v>
      </c>
      <c r="AE280" s="18">
        <v>1</v>
      </c>
      <c r="AF280" s="18">
        <v>500</v>
      </c>
      <c r="AG280" s="18" t="s">
        <v>27</v>
      </c>
      <c r="AH280" s="18" t="s">
        <v>27</v>
      </c>
      <c r="AI280" s="18" t="str">
        <f>+VLOOKUP(AH280,Leyenda!$O$4:$U$10,6,FALSE)</f>
        <v>0,35-0,50</v>
      </c>
      <c r="AJ280" s="18" t="str">
        <f>+VLOOKUP(AG280,Leyenda!$O$4:$U$10,7,FALSE)</f>
        <v>Easy to blast</v>
      </c>
      <c r="AK280" s="18">
        <f>+VLOOKUP(AJ280,Leyenda!$U$4:$V$10,2,FALSE)</f>
        <v>3</v>
      </c>
      <c r="AL280" s="18" t="s">
        <v>29</v>
      </c>
      <c r="AM280" s="18" t="s">
        <v>27</v>
      </c>
      <c r="AN280" s="18" t="s">
        <v>64</v>
      </c>
      <c r="AO280" s="18" t="s">
        <v>79</v>
      </c>
      <c r="AP280" s="18" t="s">
        <v>92</v>
      </c>
      <c r="AQ280" s="18" t="s">
        <v>107</v>
      </c>
      <c r="AR280" s="18" t="s">
        <v>120</v>
      </c>
      <c r="AS280" s="18" t="s">
        <v>198</v>
      </c>
      <c r="AT280" s="18"/>
      <c r="AU280" s="18"/>
      <c r="AV280" s="18">
        <f>+VLOOKUP(AN280,Leyenda!$B$30:$E$34,3,FALSE)</f>
        <v>2</v>
      </c>
      <c r="AW280" s="18">
        <f>+VLOOKUP('2. Logging Brejo Seco'!AO280,Meteorizacion,3,FALSE)</f>
        <v>1</v>
      </c>
      <c r="AX280" s="18">
        <f>+VLOOKUP('2. Logging Brejo Seco'!AP280,Apertura,3,FALSE)</f>
        <v>3</v>
      </c>
      <c r="AY280" s="18">
        <f>+VLOOKUP('2. Logging Brejo Seco'!AQ280,Leyenda!$B$55:$D$59,3,FALSE)</f>
        <v>3</v>
      </c>
      <c r="AZ280" s="18">
        <f>+VLOOKUP('2. Logging Brejo Seco'!AR280,Relleno,3,FALSE)</f>
        <v>2</v>
      </c>
      <c r="BA280" s="18">
        <f t="shared" si="106"/>
        <v>11</v>
      </c>
      <c r="BB280" s="49">
        <f t="shared" si="93"/>
        <v>12</v>
      </c>
      <c r="BC280" s="49">
        <f>VLOOKUP(AH280,Leyenda!$B$4:$D$10,3,FALSE)</f>
        <v>4</v>
      </c>
      <c r="BD280" s="50">
        <f t="shared" si="98"/>
        <v>8</v>
      </c>
      <c r="BE280" s="49">
        <f t="shared" si="99"/>
        <v>11</v>
      </c>
      <c r="BF280" s="49">
        <f>VLOOKUP(AS280,Leyenda!$B$70:$D$75,3,FALSE)</f>
        <v>15</v>
      </c>
      <c r="BG280" s="67">
        <f t="shared" si="94"/>
        <v>45.5</v>
      </c>
      <c r="BH280" s="67">
        <f>VLOOKUP(AM280,Leyenda!$B$4:$E$10,4,FALSE)</f>
        <v>4</v>
      </c>
      <c r="BI280" s="67">
        <f t="shared" si="100"/>
        <v>10</v>
      </c>
      <c r="BJ280" s="67">
        <f t="shared" si="95"/>
        <v>12</v>
      </c>
      <c r="BK280" s="67">
        <f>+VLOOKUP('2. Logging Brejo Seco'!AP280,Leyenda!$B$47:$E$51,4,FALSE)</f>
        <v>3</v>
      </c>
      <c r="BL280" s="67">
        <f>+VLOOKUP('2. Logging Brejo Seco'!AQ280,Leyenda!$B$55:$E$59,4,FALSE)</f>
        <v>3</v>
      </c>
      <c r="BM280" s="67">
        <f>+VLOOKUP('2. Logging Brejo Seco'!AR280,Leyenda!$B$63:$E$67,3,FALSE)</f>
        <v>2</v>
      </c>
      <c r="BN280" s="67">
        <f>+VLOOKUP('2. Logging Brejo Seco'!AO280,Leyenda!$B$39:$E$43,4,FALSE)</f>
        <v>1</v>
      </c>
      <c r="BO280" s="67">
        <f>+VLOOKUP('2. Logging Brejo Seco'!AN280,Leyenda!$B$30:$E$34,4,FALSE)</f>
        <v>3</v>
      </c>
      <c r="BP280" s="67">
        <f>VLOOKUP(AS280,Leyenda!$B$71:$E$75,4,FALSE)</f>
        <v>10</v>
      </c>
      <c r="BQ280" s="125">
        <f t="shared" si="101"/>
        <v>48</v>
      </c>
      <c r="BR280" s="85">
        <f t="shared" si="102"/>
        <v>50</v>
      </c>
      <c r="BS280" s="240">
        <f t="shared" si="103"/>
        <v>0</v>
      </c>
      <c r="BT280" s="18"/>
    </row>
    <row r="281" spans="1:72" x14ac:dyDescent="0.25">
      <c r="A281" s="18" t="s">
        <v>6</v>
      </c>
      <c r="B281" s="18">
        <v>2024</v>
      </c>
      <c r="C281" s="18" t="s">
        <v>138</v>
      </c>
      <c r="D281" s="18" t="s">
        <v>130</v>
      </c>
      <c r="E281" s="18">
        <v>30</v>
      </c>
      <c r="F281" s="18">
        <v>20</v>
      </c>
      <c r="G281" s="18" t="s">
        <v>152</v>
      </c>
      <c r="H281" s="248">
        <f t="shared" si="104"/>
        <v>20</v>
      </c>
      <c r="I281" s="135"/>
      <c r="J281" s="18" t="s">
        <v>181</v>
      </c>
      <c r="K281" s="4">
        <f t="shared" si="88"/>
        <v>24</v>
      </c>
      <c r="L281" s="4">
        <v>24.5</v>
      </c>
      <c r="M281" s="4">
        <f t="shared" si="96"/>
        <v>0.5</v>
      </c>
      <c r="N281" s="5">
        <v>1</v>
      </c>
      <c r="O281" s="5">
        <f t="shared" si="89"/>
        <v>0</v>
      </c>
      <c r="P281" s="31">
        <f t="shared" si="97"/>
        <v>0.5</v>
      </c>
      <c r="Q281" s="31">
        <f t="shared" si="92"/>
        <v>0.5</v>
      </c>
      <c r="R281" s="31">
        <v>100</v>
      </c>
      <c r="S281" s="31">
        <v>5</v>
      </c>
      <c r="T281" s="31">
        <v>0.41</v>
      </c>
      <c r="U281" s="31">
        <v>0.28000000000000003</v>
      </c>
      <c r="V281" s="65">
        <f t="shared" si="105"/>
        <v>56.000000000000007</v>
      </c>
      <c r="W281" s="31">
        <v>4</v>
      </c>
      <c r="X281" s="31"/>
      <c r="Y281" s="31">
        <f t="shared" si="90"/>
        <v>4</v>
      </c>
      <c r="Z281" s="31">
        <f t="shared" si="91"/>
        <v>102.5</v>
      </c>
      <c r="AA281" s="18">
        <v>20</v>
      </c>
      <c r="AB281" s="18" t="s">
        <v>96</v>
      </c>
      <c r="AC281" s="18" t="s">
        <v>118</v>
      </c>
      <c r="AD281" s="18" t="s">
        <v>334</v>
      </c>
      <c r="AE281" s="18">
        <v>5</v>
      </c>
      <c r="AF281" s="18">
        <v>100</v>
      </c>
      <c r="AG281" s="18" t="s">
        <v>27</v>
      </c>
      <c r="AH281" s="18" t="s">
        <v>27</v>
      </c>
      <c r="AI281" s="18" t="str">
        <f>+VLOOKUP(AH281,Leyenda!$O$4:$U$10,6,FALSE)</f>
        <v>0,35-0,50</v>
      </c>
      <c r="AJ281" s="18" t="str">
        <f>+VLOOKUP(AG281,Leyenda!$O$4:$U$10,7,FALSE)</f>
        <v>Easy to blast</v>
      </c>
      <c r="AK281" s="18">
        <f>+VLOOKUP(AJ281,Leyenda!$U$4:$V$10,2,FALSE)</f>
        <v>3</v>
      </c>
      <c r="AL281" s="18" t="s">
        <v>29</v>
      </c>
      <c r="AM281" s="18" t="s">
        <v>27</v>
      </c>
      <c r="AN281" s="18" t="s">
        <v>64</v>
      </c>
      <c r="AO281" s="18" t="s">
        <v>79</v>
      </c>
      <c r="AP281" s="18" t="s">
        <v>92</v>
      </c>
      <c r="AQ281" s="18" t="s">
        <v>107</v>
      </c>
      <c r="AR281" s="18" t="s">
        <v>120</v>
      </c>
      <c r="AS281" s="18" t="s">
        <v>198</v>
      </c>
      <c r="AT281" s="18"/>
      <c r="AU281" s="18"/>
      <c r="AV281" s="18">
        <f>+VLOOKUP(AN281,Leyenda!$B$30:$E$34,3,FALSE)</f>
        <v>2</v>
      </c>
      <c r="AW281" s="18">
        <f>+VLOOKUP('2. Logging Brejo Seco'!AO281,Meteorizacion,3,FALSE)</f>
        <v>1</v>
      </c>
      <c r="AX281" s="18">
        <f>+VLOOKUP('2. Logging Brejo Seco'!AP281,Apertura,3,FALSE)</f>
        <v>3</v>
      </c>
      <c r="AY281" s="18">
        <f>+VLOOKUP('2. Logging Brejo Seco'!AQ281,Leyenda!$B$55:$D$59,3,FALSE)</f>
        <v>3</v>
      </c>
      <c r="AZ281" s="18">
        <f>+VLOOKUP('2. Logging Brejo Seco'!AR281,Relleno,3,FALSE)</f>
        <v>2</v>
      </c>
      <c r="BA281" s="18">
        <f t="shared" si="106"/>
        <v>11</v>
      </c>
      <c r="BB281" s="49">
        <f t="shared" si="93"/>
        <v>12</v>
      </c>
      <c r="BC281" s="49">
        <f>VLOOKUP(AH281,Leyenda!$B$4:$D$10,3,FALSE)</f>
        <v>4</v>
      </c>
      <c r="BD281" s="50">
        <f t="shared" si="98"/>
        <v>7</v>
      </c>
      <c r="BE281" s="49">
        <f t="shared" si="99"/>
        <v>11</v>
      </c>
      <c r="BF281" s="49">
        <f>VLOOKUP(AS281,Leyenda!$B$70:$D$75,3,FALSE)</f>
        <v>15</v>
      </c>
      <c r="BG281" s="67">
        <f t="shared" si="94"/>
        <v>44.5</v>
      </c>
      <c r="BH281" s="67">
        <f>VLOOKUP(AM281,Leyenda!$B$4:$E$10,4,FALSE)</f>
        <v>4</v>
      </c>
      <c r="BI281" s="67">
        <f t="shared" si="100"/>
        <v>8</v>
      </c>
      <c r="BJ281" s="67">
        <f t="shared" si="95"/>
        <v>12</v>
      </c>
      <c r="BK281" s="67">
        <f>+VLOOKUP('2. Logging Brejo Seco'!AP281,Leyenda!$B$47:$E$51,4,FALSE)</f>
        <v>3</v>
      </c>
      <c r="BL281" s="67">
        <f>+VLOOKUP('2. Logging Brejo Seco'!AQ281,Leyenda!$B$55:$E$59,4,FALSE)</f>
        <v>3</v>
      </c>
      <c r="BM281" s="67">
        <f>+VLOOKUP('2. Logging Brejo Seco'!AR281,Leyenda!$B$63:$E$67,3,FALSE)</f>
        <v>2</v>
      </c>
      <c r="BN281" s="67">
        <f>+VLOOKUP('2. Logging Brejo Seco'!AO281,Leyenda!$B$39:$E$43,4,FALSE)</f>
        <v>1</v>
      </c>
      <c r="BO281" s="67">
        <f>+VLOOKUP('2. Logging Brejo Seco'!AN281,Leyenda!$B$30:$E$34,4,FALSE)</f>
        <v>3</v>
      </c>
      <c r="BP281" s="67">
        <f>VLOOKUP(AS281,Leyenda!$B$71:$E$75,4,FALSE)</f>
        <v>10</v>
      </c>
      <c r="BQ281" s="125">
        <f t="shared" si="101"/>
        <v>46</v>
      </c>
      <c r="BR281" s="85">
        <f t="shared" si="102"/>
        <v>49</v>
      </c>
      <c r="BS281" s="240">
        <f t="shared" si="103"/>
        <v>0</v>
      </c>
      <c r="BT281" s="18"/>
    </row>
    <row r="282" spans="1:72" x14ac:dyDescent="0.25">
      <c r="A282" s="18" t="s">
        <v>6</v>
      </c>
      <c r="B282" s="18">
        <v>2024</v>
      </c>
      <c r="C282" s="18" t="s">
        <v>138</v>
      </c>
      <c r="D282" s="18" t="s">
        <v>130</v>
      </c>
      <c r="E282" s="18">
        <v>30</v>
      </c>
      <c r="F282" s="18">
        <v>20</v>
      </c>
      <c r="G282" s="18" t="s">
        <v>152</v>
      </c>
      <c r="H282" s="248">
        <f t="shared" si="104"/>
        <v>20</v>
      </c>
      <c r="I282" s="135"/>
      <c r="J282" s="18" t="s">
        <v>181</v>
      </c>
      <c r="K282" s="4">
        <f t="shared" si="88"/>
        <v>24.5</v>
      </c>
      <c r="L282" s="4">
        <v>25</v>
      </c>
      <c r="M282" s="4">
        <f t="shared" si="96"/>
        <v>0.5</v>
      </c>
      <c r="N282" s="5">
        <v>1</v>
      </c>
      <c r="O282" s="5">
        <f t="shared" si="89"/>
        <v>0</v>
      </c>
      <c r="P282" s="31">
        <f t="shared" si="97"/>
        <v>0.5</v>
      </c>
      <c r="Q282" s="31">
        <f t="shared" si="92"/>
        <v>0.5</v>
      </c>
      <c r="R282" s="31">
        <v>100</v>
      </c>
      <c r="S282" s="31">
        <v>5</v>
      </c>
      <c r="T282" s="31">
        <v>0.5</v>
      </c>
      <c r="U282" s="31">
        <v>0.28999999999999998</v>
      </c>
      <c r="V282" s="65">
        <f t="shared" si="105"/>
        <v>57.999999999999993</v>
      </c>
      <c r="W282" s="31">
        <v>5</v>
      </c>
      <c r="X282" s="31"/>
      <c r="Y282" s="31">
        <f t="shared" si="90"/>
        <v>5</v>
      </c>
      <c r="Z282" s="31">
        <f t="shared" si="91"/>
        <v>100</v>
      </c>
      <c r="AA282" s="18">
        <v>64</v>
      </c>
      <c r="AB282" s="18" t="s">
        <v>96</v>
      </c>
      <c r="AC282" s="18" t="s">
        <v>118</v>
      </c>
      <c r="AD282" s="18" t="s">
        <v>334</v>
      </c>
      <c r="AE282" s="18">
        <v>5</v>
      </c>
      <c r="AF282" s="18">
        <v>100</v>
      </c>
      <c r="AG282" s="18" t="s">
        <v>27</v>
      </c>
      <c r="AH282" s="18" t="s">
        <v>27</v>
      </c>
      <c r="AI282" s="18" t="str">
        <f>+VLOOKUP(AH282,Leyenda!$O$4:$U$10,6,FALSE)</f>
        <v>0,35-0,50</v>
      </c>
      <c r="AJ282" s="18" t="str">
        <f>+VLOOKUP(AG282,Leyenda!$O$4:$U$10,7,FALSE)</f>
        <v>Easy to blast</v>
      </c>
      <c r="AK282" s="18">
        <f>+VLOOKUP(AJ282,Leyenda!$U$4:$V$10,2,FALSE)</f>
        <v>3</v>
      </c>
      <c r="AL282" s="18" t="s">
        <v>29</v>
      </c>
      <c r="AM282" s="18" t="s">
        <v>27</v>
      </c>
      <c r="AN282" s="18" t="s">
        <v>64</v>
      </c>
      <c r="AO282" s="18" t="s">
        <v>79</v>
      </c>
      <c r="AP282" s="18" t="s">
        <v>92</v>
      </c>
      <c r="AQ282" s="18" t="s">
        <v>107</v>
      </c>
      <c r="AR282" s="18" t="s">
        <v>120</v>
      </c>
      <c r="AS282" s="18" t="s">
        <v>198</v>
      </c>
      <c r="AT282" s="18"/>
      <c r="AU282" s="18"/>
      <c r="AV282" s="18">
        <f>+VLOOKUP(AN282,Leyenda!$B$30:$E$34,3,FALSE)</f>
        <v>2</v>
      </c>
      <c r="AW282" s="18">
        <f>+VLOOKUP('2. Logging Brejo Seco'!AO282,Meteorizacion,3,FALSE)</f>
        <v>1</v>
      </c>
      <c r="AX282" s="18">
        <f>+VLOOKUP('2. Logging Brejo Seco'!AP282,Apertura,3,FALSE)</f>
        <v>3</v>
      </c>
      <c r="AY282" s="18">
        <f>+VLOOKUP('2. Logging Brejo Seco'!AQ282,Leyenda!$B$55:$D$59,3,FALSE)</f>
        <v>3</v>
      </c>
      <c r="AZ282" s="18">
        <f>+VLOOKUP('2. Logging Brejo Seco'!AR282,Relleno,3,FALSE)</f>
        <v>2</v>
      </c>
      <c r="BA282" s="18">
        <f t="shared" si="106"/>
        <v>11</v>
      </c>
      <c r="BB282" s="49">
        <f t="shared" si="93"/>
        <v>12</v>
      </c>
      <c r="BC282" s="49">
        <f>VLOOKUP(AH282,Leyenda!$B$4:$D$10,3,FALSE)</f>
        <v>4</v>
      </c>
      <c r="BD282" s="50">
        <f t="shared" si="98"/>
        <v>7</v>
      </c>
      <c r="BE282" s="49">
        <f t="shared" si="99"/>
        <v>11</v>
      </c>
      <c r="BF282" s="49">
        <f>VLOOKUP(AS282,Leyenda!$B$70:$D$75,3,FALSE)</f>
        <v>15</v>
      </c>
      <c r="BG282" s="67">
        <f t="shared" si="94"/>
        <v>45.5</v>
      </c>
      <c r="BH282" s="67">
        <f>VLOOKUP(AM282,Leyenda!$B$4:$E$10,4,FALSE)</f>
        <v>4</v>
      </c>
      <c r="BI282" s="67">
        <f t="shared" si="100"/>
        <v>8</v>
      </c>
      <c r="BJ282" s="67">
        <f t="shared" si="95"/>
        <v>12</v>
      </c>
      <c r="BK282" s="67">
        <f>+VLOOKUP('2. Logging Brejo Seco'!AP282,Leyenda!$B$47:$E$51,4,FALSE)</f>
        <v>3</v>
      </c>
      <c r="BL282" s="67">
        <f>+VLOOKUP('2. Logging Brejo Seco'!AQ282,Leyenda!$B$55:$E$59,4,FALSE)</f>
        <v>3</v>
      </c>
      <c r="BM282" s="67">
        <f>+VLOOKUP('2. Logging Brejo Seco'!AR282,Leyenda!$B$63:$E$67,3,FALSE)</f>
        <v>2</v>
      </c>
      <c r="BN282" s="67">
        <f>+VLOOKUP('2. Logging Brejo Seco'!AO282,Leyenda!$B$39:$E$43,4,FALSE)</f>
        <v>1</v>
      </c>
      <c r="BO282" s="67">
        <f>+VLOOKUP('2. Logging Brejo Seco'!AN282,Leyenda!$B$30:$E$34,4,FALSE)</f>
        <v>3</v>
      </c>
      <c r="BP282" s="67">
        <f>VLOOKUP(AS282,Leyenda!$B$71:$E$75,4,FALSE)</f>
        <v>10</v>
      </c>
      <c r="BQ282" s="125">
        <f t="shared" si="101"/>
        <v>46</v>
      </c>
      <c r="BR282" s="85">
        <f t="shared" si="102"/>
        <v>49</v>
      </c>
      <c r="BS282" s="240">
        <f t="shared" si="103"/>
        <v>0</v>
      </c>
      <c r="BT282" s="18"/>
    </row>
    <row r="283" spans="1:72" x14ac:dyDescent="0.25">
      <c r="A283" s="18" t="s">
        <v>6</v>
      </c>
      <c r="B283" s="18">
        <v>2024</v>
      </c>
      <c r="C283" s="18" t="s">
        <v>138</v>
      </c>
      <c r="D283" s="18" t="s">
        <v>130</v>
      </c>
      <c r="E283" s="18">
        <v>30</v>
      </c>
      <c r="F283" s="18">
        <v>20</v>
      </c>
      <c r="G283" s="18" t="s">
        <v>152</v>
      </c>
      <c r="H283" s="248">
        <f t="shared" si="104"/>
        <v>20</v>
      </c>
      <c r="I283" s="135"/>
      <c r="J283" s="18" t="s">
        <v>181</v>
      </c>
      <c r="K283" s="4">
        <f t="shared" si="88"/>
        <v>25</v>
      </c>
      <c r="L283" s="4">
        <v>25.5</v>
      </c>
      <c r="M283" s="4">
        <f t="shared" si="96"/>
        <v>0.5</v>
      </c>
      <c r="N283" s="5">
        <v>1</v>
      </c>
      <c r="O283" s="5">
        <f t="shared" si="89"/>
        <v>0</v>
      </c>
      <c r="P283" s="31">
        <f t="shared" si="97"/>
        <v>0.5</v>
      </c>
      <c r="Q283" s="31">
        <f t="shared" si="92"/>
        <v>0.5</v>
      </c>
      <c r="R283" s="31">
        <v>100</v>
      </c>
      <c r="S283" s="31">
        <v>5</v>
      </c>
      <c r="T283" s="31">
        <v>0.49</v>
      </c>
      <c r="U283" s="31">
        <v>0.28999999999999998</v>
      </c>
      <c r="V283" s="65">
        <f t="shared" si="105"/>
        <v>57.999999999999993</v>
      </c>
      <c r="W283" s="31">
        <v>3</v>
      </c>
      <c r="X283" s="31"/>
      <c r="Y283" s="31">
        <f t="shared" si="90"/>
        <v>3</v>
      </c>
      <c r="Z283" s="31">
        <f t="shared" si="91"/>
        <v>163.33333333333334</v>
      </c>
      <c r="AA283" s="18">
        <v>60</v>
      </c>
      <c r="AB283" s="18" t="s">
        <v>96</v>
      </c>
      <c r="AC283" s="18" t="s">
        <v>118</v>
      </c>
      <c r="AD283" s="18" t="s">
        <v>334</v>
      </c>
      <c r="AE283" s="18">
        <v>5</v>
      </c>
      <c r="AF283" s="18">
        <v>100</v>
      </c>
      <c r="AG283" s="18" t="s">
        <v>27</v>
      </c>
      <c r="AH283" s="18" t="s">
        <v>27</v>
      </c>
      <c r="AI283" s="18" t="str">
        <f>+VLOOKUP(AH283,Leyenda!$O$4:$U$10,6,FALSE)</f>
        <v>0,35-0,50</v>
      </c>
      <c r="AJ283" s="18" t="str">
        <f>+VLOOKUP(AG283,Leyenda!$O$4:$U$10,7,FALSE)</f>
        <v>Easy to blast</v>
      </c>
      <c r="AK283" s="18">
        <f>+VLOOKUP(AJ283,Leyenda!$U$4:$V$10,2,FALSE)</f>
        <v>3</v>
      </c>
      <c r="AL283" s="18" t="s">
        <v>29</v>
      </c>
      <c r="AM283" s="18" t="s">
        <v>27</v>
      </c>
      <c r="AN283" s="18" t="s">
        <v>64</v>
      </c>
      <c r="AO283" s="18" t="s">
        <v>79</v>
      </c>
      <c r="AP283" s="18" t="s">
        <v>92</v>
      </c>
      <c r="AQ283" s="18" t="s">
        <v>109</v>
      </c>
      <c r="AR283" s="18" t="s">
        <v>120</v>
      </c>
      <c r="AS283" s="18" t="s">
        <v>198</v>
      </c>
      <c r="AT283" s="18"/>
      <c r="AU283" s="18"/>
      <c r="AV283" s="18">
        <f>+VLOOKUP(AN283,Leyenda!$B$30:$E$34,3,FALSE)</f>
        <v>2</v>
      </c>
      <c r="AW283" s="18">
        <f>+VLOOKUP('2. Logging Brejo Seco'!AO283,Meteorizacion,3,FALSE)</f>
        <v>1</v>
      </c>
      <c r="AX283" s="18">
        <f>+VLOOKUP('2. Logging Brejo Seco'!AP283,Apertura,3,FALSE)</f>
        <v>3</v>
      </c>
      <c r="AY283" s="18">
        <f>+VLOOKUP('2. Logging Brejo Seco'!AQ283,Leyenda!$B$55:$D$59,3,FALSE)</f>
        <v>1</v>
      </c>
      <c r="AZ283" s="18">
        <f>+VLOOKUP('2. Logging Brejo Seco'!AR283,Relleno,3,FALSE)</f>
        <v>2</v>
      </c>
      <c r="BA283" s="18">
        <f t="shared" si="106"/>
        <v>9</v>
      </c>
      <c r="BB283" s="49">
        <f t="shared" si="93"/>
        <v>12</v>
      </c>
      <c r="BC283" s="49">
        <f>VLOOKUP(AH283,Leyenda!$B$4:$D$10,3,FALSE)</f>
        <v>4</v>
      </c>
      <c r="BD283" s="50">
        <f t="shared" si="98"/>
        <v>9</v>
      </c>
      <c r="BE283" s="49">
        <f t="shared" si="99"/>
        <v>9</v>
      </c>
      <c r="BF283" s="49">
        <f>VLOOKUP(AS283,Leyenda!$B$70:$D$75,3,FALSE)</f>
        <v>15</v>
      </c>
      <c r="BG283" s="67">
        <f t="shared" si="94"/>
        <v>42.5</v>
      </c>
      <c r="BH283" s="67">
        <f>VLOOKUP(AM283,Leyenda!$B$4:$E$10,4,FALSE)</f>
        <v>4</v>
      </c>
      <c r="BI283" s="67">
        <f t="shared" si="100"/>
        <v>11</v>
      </c>
      <c r="BJ283" s="67">
        <f t="shared" si="95"/>
        <v>12</v>
      </c>
      <c r="BK283" s="67">
        <f>+VLOOKUP('2. Logging Brejo Seco'!AP283,Leyenda!$B$47:$E$51,4,FALSE)</f>
        <v>3</v>
      </c>
      <c r="BL283" s="67">
        <f>+VLOOKUP('2. Logging Brejo Seco'!AQ283,Leyenda!$B$55:$E$59,4,FALSE)</f>
        <v>1</v>
      </c>
      <c r="BM283" s="67">
        <f>+VLOOKUP('2. Logging Brejo Seco'!AR283,Leyenda!$B$63:$E$67,3,FALSE)</f>
        <v>2</v>
      </c>
      <c r="BN283" s="67">
        <f>+VLOOKUP('2. Logging Brejo Seco'!AO283,Leyenda!$B$39:$E$43,4,FALSE)</f>
        <v>1</v>
      </c>
      <c r="BO283" s="67">
        <f>+VLOOKUP('2. Logging Brejo Seco'!AN283,Leyenda!$B$30:$E$34,4,FALSE)</f>
        <v>3</v>
      </c>
      <c r="BP283" s="67">
        <f>VLOOKUP(AS283,Leyenda!$B$71:$E$75,4,FALSE)</f>
        <v>10</v>
      </c>
      <c r="BQ283" s="125">
        <f t="shared" si="101"/>
        <v>47</v>
      </c>
      <c r="BR283" s="85">
        <f t="shared" si="102"/>
        <v>49</v>
      </c>
      <c r="BS283" s="240">
        <f t="shared" si="103"/>
        <v>0</v>
      </c>
      <c r="BT283" s="18"/>
    </row>
    <row r="284" spans="1:72" x14ac:dyDescent="0.25">
      <c r="A284" s="18" t="s">
        <v>6</v>
      </c>
      <c r="B284" s="18">
        <v>2024</v>
      </c>
      <c r="C284" s="18" t="s">
        <v>138</v>
      </c>
      <c r="D284" s="18" t="s">
        <v>130</v>
      </c>
      <c r="E284" s="18">
        <v>30</v>
      </c>
      <c r="F284" s="18">
        <v>20</v>
      </c>
      <c r="G284" s="18" t="s">
        <v>152</v>
      </c>
      <c r="H284" s="248">
        <f t="shared" si="104"/>
        <v>20</v>
      </c>
      <c r="I284" s="135"/>
      <c r="J284" s="18" t="s">
        <v>181</v>
      </c>
      <c r="K284" s="4">
        <f t="shared" si="88"/>
        <v>25.5</v>
      </c>
      <c r="L284" s="4">
        <v>26</v>
      </c>
      <c r="M284" s="4">
        <f t="shared" si="96"/>
        <v>0.5</v>
      </c>
      <c r="N284" s="5">
        <v>1</v>
      </c>
      <c r="O284" s="5">
        <f t="shared" si="89"/>
        <v>0</v>
      </c>
      <c r="P284" s="31">
        <f t="shared" si="97"/>
        <v>0.5</v>
      </c>
      <c r="Q284" s="31">
        <f t="shared" si="92"/>
        <v>0.5</v>
      </c>
      <c r="R284" s="31">
        <v>100</v>
      </c>
      <c r="S284" s="31">
        <v>5</v>
      </c>
      <c r="T284" s="31">
        <v>0.41</v>
      </c>
      <c r="U284" s="31">
        <v>0.3</v>
      </c>
      <c r="V284" s="65">
        <f t="shared" si="105"/>
        <v>60</v>
      </c>
      <c r="W284" s="31">
        <v>2</v>
      </c>
      <c r="X284" s="31"/>
      <c r="Y284" s="31">
        <f t="shared" si="90"/>
        <v>2</v>
      </c>
      <c r="Z284" s="31">
        <f t="shared" si="91"/>
        <v>205</v>
      </c>
      <c r="AA284" s="18">
        <v>68</v>
      </c>
      <c r="AB284" s="18" t="s">
        <v>96</v>
      </c>
      <c r="AC284" s="18" t="s">
        <v>118</v>
      </c>
      <c r="AD284" s="18" t="s">
        <v>334</v>
      </c>
      <c r="AE284" s="18">
        <v>5</v>
      </c>
      <c r="AF284" s="18">
        <v>100</v>
      </c>
      <c r="AG284" s="18" t="s">
        <v>27</v>
      </c>
      <c r="AH284" s="18" t="s">
        <v>27</v>
      </c>
      <c r="AI284" s="18" t="str">
        <f>+VLOOKUP(AH284,Leyenda!$O$4:$U$10,6,FALSE)</f>
        <v>0,35-0,50</v>
      </c>
      <c r="AJ284" s="18" t="str">
        <f>+VLOOKUP(AG284,Leyenda!$O$4:$U$10,7,FALSE)</f>
        <v>Easy to blast</v>
      </c>
      <c r="AK284" s="18">
        <f>+VLOOKUP(AJ284,Leyenda!$U$4:$V$10,2,FALSE)</f>
        <v>3</v>
      </c>
      <c r="AL284" s="18" t="s">
        <v>29</v>
      </c>
      <c r="AM284" s="18" t="s">
        <v>27</v>
      </c>
      <c r="AN284" s="18" t="s">
        <v>64</v>
      </c>
      <c r="AO284" s="18" t="s">
        <v>79</v>
      </c>
      <c r="AP284" s="18" t="s">
        <v>92</v>
      </c>
      <c r="AQ284" s="18" t="s">
        <v>109</v>
      </c>
      <c r="AR284" s="18" t="s">
        <v>120</v>
      </c>
      <c r="AS284" s="18" t="s">
        <v>198</v>
      </c>
      <c r="AT284" s="18"/>
      <c r="AU284" s="18"/>
      <c r="AV284" s="18">
        <f>+VLOOKUP(AN284,Leyenda!$B$30:$E$34,3,FALSE)</f>
        <v>2</v>
      </c>
      <c r="AW284" s="18">
        <f>+VLOOKUP('2. Logging Brejo Seco'!AO284,Meteorizacion,3,FALSE)</f>
        <v>1</v>
      </c>
      <c r="AX284" s="18">
        <f>+VLOOKUP('2. Logging Brejo Seco'!AP284,Apertura,3,FALSE)</f>
        <v>3</v>
      </c>
      <c r="AY284" s="18">
        <f>+VLOOKUP('2. Logging Brejo Seco'!AQ284,Leyenda!$B$55:$D$59,3,FALSE)</f>
        <v>1</v>
      </c>
      <c r="AZ284" s="18">
        <f>+VLOOKUP('2. Logging Brejo Seco'!AR284,Relleno,3,FALSE)</f>
        <v>2</v>
      </c>
      <c r="BA284" s="18">
        <f t="shared" si="106"/>
        <v>9</v>
      </c>
      <c r="BB284" s="49">
        <f t="shared" si="93"/>
        <v>12</v>
      </c>
      <c r="BC284" s="49">
        <f>VLOOKUP(AH284,Leyenda!$B$4:$D$10,3,FALSE)</f>
        <v>4</v>
      </c>
      <c r="BD284" s="50">
        <f t="shared" si="98"/>
        <v>9</v>
      </c>
      <c r="BE284" s="49">
        <f t="shared" si="99"/>
        <v>9</v>
      </c>
      <c r="BF284" s="49">
        <f>VLOOKUP(AS284,Leyenda!$B$70:$D$75,3,FALSE)</f>
        <v>15</v>
      </c>
      <c r="BG284" s="67">
        <f t="shared" si="94"/>
        <v>43.5</v>
      </c>
      <c r="BH284" s="67">
        <f>VLOOKUP(AM284,Leyenda!$B$4:$E$10,4,FALSE)</f>
        <v>4</v>
      </c>
      <c r="BI284" s="67">
        <f t="shared" si="100"/>
        <v>13</v>
      </c>
      <c r="BJ284" s="67">
        <f t="shared" si="95"/>
        <v>12</v>
      </c>
      <c r="BK284" s="67">
        <f>+VLOOKUP('2. Logging Brejo Seco'!AP284,Leyenda!$B$47:$E$51,4,FALSE)</f>
        <v>3</v>
      </c>
      <c r="BL284" s="67">
        <f>+VLOOKUP('2. Logging Brejo Seco'!AQ284,Leyenda!$B$55:$E$59,4,FALSE)</f>
        <v>1</v>
      </c>
      <c r="BM284" s="67">
        <f>+VLOOKUP('2. Logging Brejo Seco'!AR284,Leyenda!$B$63:$E$67,3,FALSE)</f>
        <v>2</v>
      </c>
      <c r="BN284" s="67">
        <f>+VLOOKUP('2. Logging Brejo Seco'!AO284,Leyenda!$B$39:$E$43,4,FALSE)</f>
        <v>1</v>
      </c>
      <c r="BO284" s="67">
        <f>+VLOOKUP('2. Logging Brejo Seco'!AN284,Leyenda!$B$30:$E$34,4,FALSE)</f>
        <v>3</v>
      </c>
      <c r="BP284" s="67">
        <f>VLOOKUP(AS284,Leyenda!$B$71:$E$75,4,FALSE)</f>
        <v>10</v>
      </c>
      <c r="BQ284" s="125">
        <f t="shared" si="101"/>
        <v>49</v>
      </c>
      <c r="BR284" s="85">
        <f t="shared" si="102"/>
        <v>49</v>
      </c>
      <c r="BS284" s="240">
        <f t="shared" si="103"/>
        <v>0</v>
      </c>
      <c r="BT284" s="18"/>
    </row>
    <row r="285" spans="1:72" x14ac:dyDescent="0.25">
      <c r="A285" s="18" t="s">
        <v>6</v>
      </c>
      <c r="B285" s="18">
        <v>2024</v>
      </c>
      <c r="C285" s="18" t="s">
        <v>138</v>
      </c>
      <c r="D285" s="18" t="s">
        <v>130</v>
      </c>
      <c r="E285" s="18">
        <v>20</v>
      </c>
      <c r="F285" s="18">
        <v>20</v>
      </c>
      <c r="G285" s="18" t="s">
        <v>156</v>
      </c>
      <c r="H285" s="248">
        <f t="shared" si="104"/>
        <v>20</v>
      </c>
      <c r="I285" s="135"/>
      <c r="J285" s="18" t="s">
        <v>181</v>
      </c>
      <c r="K285" s="4">
        <f t="shared" si="88"/>
        <v>26</v>
      </c>
      <c r="L285" s="4">
        <v>26.5</v>
      </c>
      <c r="M285" s="4">
        <f t="shared" si="96"/>
        <v>0.5</v>
      </c>
      <c r="N285" s="5">
        <v>1</v>
      </c>
      <c r="O285" s="5">
        <f t="shared" si="89"/>
        <v>0</v>
      </c>
      <c r="P285" s="31">
        <f t="shared" si="97"/>
        <v>0.5</v>
      </c>
      <c r="Q285" s="31">
        <f t="shared" si="92"/>
        <v>0.5</v>
      </c>
      <c r="R285" s="31">
        <v>500</v>
      </c>
      <c r="S285" s="31">
        <v>1</v>
      </c>
      <c r="T285" s="31">
        <v>0.46</v>
      </c>
      <c r="U285" s="31">
        <v>0.42</v>
      </c>
      <c r="V285" s="65">
        <f t="shared" si="105"/>
        <v>84</v>
      </c>
      <c r="W285" s="31">
        <v>2</v>
      </c>
      <c r="X285" s="31"/>
      <c r="Y285" s="31">
        <f t="shared" si="90"/>
        <v>2</v>
      </c>
      <c r="Z285" s="31">
        <f t="shared" si="91"/>
        <v>230</v>
      </c>
      <c r="AA285" s="18">
        <v>100</v>
      </c>
      <c r="AB285" s="18" t="s">
        <v>96</v>
      </c>
      <c r="AC285" s="18" t="s">
        <v>116</v>
      </c>
      <c r="AD285" s="18" t="s">
        <v>334</v>
      </c>
      <c r="AE285" s="18">
        <v>1</v>
      </c>
      <c r="AF285" s="18">
        <v>500</v>
      </c>
      <c r="AG285" s="18" t="s">
        <v>27</v>
      </c>
      <c r="AH285" s="18" t="s">
        <v>27</v>
      </c>
      <c r="AI285" s="18" t="str">
        <f>+VLOOKUP(AH285,Leyenda!$O$4:$U$10,6,FALSE)</f>
        <v>0,35-0,50</v>
      </c>
      <c r="AJ285" s="18" t="str">
        <f>+VLOOKUP(AG285,Leyenda!$O$4:$U$10,7,FALSE)</f>
        <v>Easy to blast</v>
      </c>
      <c r="AK285" s="18">
        <f>+VLOOKUP(AJ285,Leyenda!$U$4:$V$10,2,FALSE)</f>
        <v>3</v>
      </c>
      <c r="AL285" s="18" t="s">
        <v>29</v>
      </c>
      <c r="AM285" s="18" t="s">
        <v>27</v>
      </c>
      <c r="AN285" s="18" t="s">
        <v>64</v>
      </c>
      <c r="AO285" s="18" t="s">
        <v>79</v>
      </c>
      <c r="AP285" s="18" t="s">
        <v>92</v>
      </c>
      <c r="AQ285" s="18" t="s">
        <v>107</v>
      </c>
      <c r="AR285" s="18" t="s">
        <v>120</v>
      </c>
      <c r="AS285" s="18" t="s">
        <v>198</v>
      </c>
      <c r="AT285" s="18"/>
      <c r="AU285" s="18"/>
      <c r="AV285" s="18">
        <f>+VLOOKUP(AN285,Leyenda!$B$30:$E$34,3,FALSE)</f>
        <v>2</v>
      </c>
      <c r="AW285" s="18">
        <f>+VLOOKUP('2. Logging Brejo Seco'!AO285,Meteorizacion,3,FALSE)</f>
        <v>1</v>
      </c>
      <c r="AX285" s="18">
        <f>+VLOOKUP('2. Logging Brejo Seco'!AP285,Apertura,3,FALSE)</f>
        <v>3</v>
      </c>
      <c r="AY285" s="18">
        <f>+VLOOKUP('2. Logging Brejo Seco'!AQ285,Leyenda!$B$55:$D$59,3,FALSE)</f>
        <v>3</v>
      </c>
      <c r="AZ285" s="18">
        <f>+VLOOKUP('2. Logging Brejo Seco'!AR285,Relleno,3,FALSE)</f>
        <v>2</v>
      </c>
      <c r="BA285" s="18">
        <f t="shared" si="106"/>
        <v>11</v>
      </c>
      <c r="BB285" s="49">
        <f t="shared" si="93"/>
        <v>17</v>
      </c>
      <c r="BC285" s="49">
        <f>VLOOKUP(AH285,Leyenda!$B$4:$D$10,3,FALSE)</f>
        <v>4</v>
      </c>
      <c r="BD285" s="50">
        <f t="shared" si="98"/>
        <v>10</v>
      </c>
      <c r="BE285" s="49">
        <f t="shared" si="99"/>
        <v>11</v>
      </c>
      <c r="BF285" s="49">
        <f>VLOOKUP(AS285,Leyenda!$B$70:$D$75,3,FALSE)</f>
        <v>15</v>
      </c>
      <c r="BG285" s="67">
        <f t="shared" si="94"/>
        <v>58.5</v>
      </c>
      <c r="BH285" s="67">
        <f>VLOOKUP(AM285,Leyenda!$B$4:$E$10,4,FALSE)</f>
        <v>4</v>
      </c>
      <c r="BI285" s="67">
        <f t="shared" si="100"/>
        <v>13</v>
      </c>
      <c r="BJ285" s="67">
        <f t="shared" si="95"/>
        <v>17</v>
      </c>
      <c r="BK285" s="67">
        <f>+VLOOKUP('2. Logging Brejo Seco'!AP285,Leyenda!$B$47:$E$51,4,FALSE)</f>
        <v>3</v>
      </c>
      <c r="BL285" s="67">
        <f>+VLOOKUP('2. Logging Brejo Seco'!AQ285,Leyenda!$B$55:$E$59,4,FALSE)</f>
        <v>3</v>
      </c>
      <c r="BM285" s="67">
        <f>+VLOOKUP('2. Logging Brejo Seco'!AR285,Leyenda!$B$63:$E$67,3,FALSE)</f>
        <v>2</v>
      </c>
      <c r="BN285" s="67">
        <f>+VLOOKUP('2. Logging Brejo Seco'!AO285,Leyenda!$B$39:$E$43,4,FALSE)</f>
        <v>1</v>
      </c>
      <c r="BO285" s="67">
        <f>+VLOOKUP('2. Logging Brejo Seco'!AN285,Leyenda!$B$30:$E$34,4,FALSE)</f>
        <v>3</v>
      </c>
      <c r="BP285" s="67">
        <f>VLOOKUP(AS285,Leyenda!$B$71:$E$75,4,FALSE)</f>
        <v>10</v>
      </c>
      <c r="BQ285" s="125">
        <f t="shared" si="101"/>
        <v>56</v>
      </c>
      <c r="BR285" s="85">
        <f t="shared" si="102"/>
        <v>57</v>
      </c>
      <c r="BS285" s="240">
        <f t="shared" si="103"/>
        <v>0</v>
      </c>
      <c r="BT285" s="18"/>
    </row>
    <row r="286" spans="1:72" x14ac:dyDescent="0.25">
      <c r="A286" s="18" t="s">
        <v>6</v>
      </c>
      <c r="B286" s="18">
        <v>2024</v>
      </c>
      <c r="C286" s="18" t="s">
        <v>138</v>
      </c>
      <c r="D286" s="18" t="s">
        <v>130</v>
      </c>
      <c r="E286" s="18">
        <v>20</v>
      </c>
      <c r="F286" s="18">
        <v>20</v>
      </c>
      <c r="G286" s="18" t="s">
        <v>156</v>
      </c>
      <c r="H286" s="248">
        <f t="shared" si="104"/>
        <v>20</v>
      </c>
      <c r="I286" s="135"/>
      <c r="J286" s="18" t="s">
        <v>181</v>
      </c>
      <c r="K286" s="4">
        <f t="shared" si="88"/>
        <v>26.5</v>
      </c>
      <c r="L286" s="4">
        <v>27</v>
      </c>
      <c r="M286" s="4">
        <f t="shared" si="96"/>
        <v>0.5</v>
      </c>
      <c r="N286" s="5">
        <v>1</v>
      </c>
      <c r="O286" s="5">
        <f t="shared" si="89"/>
        <v>0</v>
      </c>
      <c r="P286" s="31">
        <f t="shared" si="97"/>
        <v>0.5</v>
      </c>
      <c r="Q286" s="31">
        <f t="shared" si="92"/>
        <v>0.5</v>
      </c>
      <c r="R286" s="31">
        <v>500</v>
      </c>
      <c r="S286" s="31">
        <v>1</v>
      </c>
      <c r="T286" s="31">
        <v>0.47</v>
      </c>
      <c r="U286" s="31">
        <v>0.37</v>
      </c>
      <c r="V286" s="65">
        <f t="shared" si="105"/>
        <v>74</v>
      </c>
      <c r="W286" s="31">
        <v>3</v>
      </c>
      <c r="X286" s="31"/>
      <c r="Y286" s="31">
        <f t="shared" si="90"/>
        <v>3</v>
      </c>
      <c r="Z286" s="31">
        <f t="shared" si="91"/>
        <v>156.66666666666666</v>
      </c>
      <c r="AA286" s="18">
        <v>54</v>
      </c>
      <c r="AB286" s="18" t="s">
        <v>96</v>
      </c>
      <c r="AC286" s="18" t="s">
        <v>116</v>
      </c>
      <c r="AD286" s="18" t="s">
        <v>334</v>
      </c>
      <c r="AE286" s="18">
        <v>1</v>
      </c>
      <c r="AF286" s="18">
        <v>500</v>
      </c>
      <c r="AG286" s="18" t="s">
        <v>27</v>
      </c>
      <c r="AH286" s="18" t="s">
        <v>27</v>
      </c>
      <c r="AI286" s="18" t="str">
        <f>+VLOOKUP(AH286,Leyenda!$O$4:$U$10,6,FALSE)</f>
        <v>0,35-0,50</v>
      </c>
      <c r="AJ286" s="18" t="str">
        <f>+VLOOKUP(AG286,Leyenda!$O$4:$U$10,7,FALSE)</f>
        <v>Easy to blast</v>
      </c>
      <c r="AK286" s="18">
        <f>+VLOOKUP(AJ286,Leyenda!$U$4:$V$10,2,FALSE)</f>
        <v>3</v>
      </c>
      <c r="AL286" s="18" t="s">
        <v>29</v>
      </c>
      <c r="AM286" s="18" t="s">
        <v>27</v>
      </c>
      <c r="AN286" s="18" t="s">
        <v>64</v>
      </c>
      <c r="AO286" s="18" t="s">
        <v>79</v>
      </c>
      <c r="AP286" s="18" t="s">
        <v>92</v>
      </c>
      <c r="AQ286" s="18" t="s">
        <v>107</v>
      </c>
      <c r="AR286" s="18" t="s">
        <v>120</v>
      </c>
      <c r="AS286" s="18" t="s">
        <v>198</v>
      </c>
      <c r="AT286" s="18"/>
      <c r="AU286" s="18"/>
      <c r="AV286" s="18">
        <f>+VLOOKUP(AN286,Leyenda!$B$30:$E$34,3,FALSE)</f>
        <v>2</v>
      </c>
      <c r="AW286" s="18">
        <f>+VLOOKUP('2. Logging Brejo Seco'!AO286,Meteorizacion,3,FALSE)</f>
        <v>1</v>
      </c>
      <c r="AX286" s="18">
        <f>+VLOOKUP('2. Logging Brejo Seco'!AP286,Apertura,3,FALSE)</f>
        <v>3</v>
      </c>
      <c r="AY286" s="18">
        <f>+VLOOKUP('2. Logging Brejo Seco'!AQ286,Leyenda!$B$55:$D$59,3,FALSE)</f>
        <v>3</v>
      </c>
      <c r="AZ286" s="18">
        <f>+VLOOKUP('2. Logging Brejo Seco'!AR286,Relleno,3,FALSE)</f>
        <v>2</v>
      </c>
      <c r="BA286" s="18">
        <f t="shared" si="106"/>
        <v>11</v>
      </c>
      <c r="BB286" s="49">
        <f t="shared" si="93"/>
        <v>15</v>
      </c>
      <c r="BC286" s="49">
        <f>VLOOKUP(AH286,Leyenda!$B$4:$D$10,3,FALSE)</f>
        <v>4</v>
      </c>
      <c r="BD286" s="50">
        <f t="shared" si="98"/>
        <v>8</v>
      </c>
      <c r="BE286" s="49">
        <f t="shared" si="99"/>
        <v>11</v>
      </c>
      <c r="BF286" s="49">
        <f>VLOOKUP(AS286,Leyenda!$B$70:$D$75,3,FALSE)</f>
        <v>15</v>
      </c>
      <c r="BG286" s="67">
        <f t="shared" si="94"/>
        <v>53.5</v>
      </c>
      <c r="BH286" s="67">
        <f>VLOOKUP(AM286,Leyenda!$B$4:$E$10,4,FALSE)</f>
        <v>4</v>
      </c>
      <c r="BI286" s="67">
        <f t="shared" si="100"/>
        <v>11</v>
      </c>
      <c r="BJ286" s="67">
        <f t="shared" si="95"/>
        <v>15</v>
      </c>
      <c r="BK286" s="67">
        <f>+VLOOKUP('2. Logging Brejo Seco'!AP286,Leyenda!$B$47:$E$51,4,FALSE)</f>
        <v>3</v>
      </c>
      <c r="BL286" s="67">
        <f>+VLOOKUP('2. Logging Brejo Seco'!AQ286,Leyenda!$B$55:$E$59,4,FALSE)</f>
        <v>3</v>
      </c>
      <c r="BM286" s="67">
        <f>+VLOOKUP('2. Logging Brejo Seco'!AR286,Leyenda!$B$63:$E$67,3,FALSE)</f>
        <v>2</v>
      </c>
      <c r="BN286" s="67">
        <f>+VLOOKUP('2. Logging Brejo Seco'!AO286,Leyenda!$B$39:$E$43,4,FALSE)</f>
        <v>1</v>
      </c>
      <c r="BO286" s="67">
        <f>+VLOOKUP('2. Logging Brejo Seco'!AN286,Leyenda!$B$30:$E$34,4,FALSE)</f>
        <v>3</v>
      </c>
      <c r="BP286" s="67">
        <f>VLOOKUP(AS286,Leyenda!$B$71:$E$75,4,FALSE)</f>
        <v>10</v>
      </c>
      <c r="BQ286" s="125">
        <f t="shared" si="101"/>
        <v>52</v>
      </c>
      <c r="BR286" s="85">
        <f t="shared" si="102"/>
        <v>53</v>
      </c>
      <c r="BS286" s="240">
        <f t="shared" si="103"/>
        <v>0</v>
      </c>
      <c r="BT286" s="18"/>
    </row>
    <row r="287" spans="1:72" x14ac:dyDescent="0.25">
      <c r="A287" s="18" t="s">
        <v>6</v>
      </c>
      <c r="B287" s="18">
        <v>2024</v>
      </c>
      <c r="C287" s="18" t="s">
        <v>138</v>
      </c>
      <c r="D287" s="18" t="s">
        <v>130</v>
      </c>
      <c r="E287" s="18">
        <v>20</v>
      </c>
      <c r="F287" s="18">
        <v>20</v>
      </c>
      <c r="G287" s="18" t="s">
        <v>156</v>
      </c>
      <c r="H287" s="248">
        <f t="shared" si="104"/>
        <v>20</v>
      </c>
      <c r="I287" s="135"/>
      <c r="J287" s="18" t="s">
        <v>181</v>
      </c>
      <c r="K287" s="4">
        <f t="shared" si="88"/>
        <v>27</v>
      </c>
      <c r="L287" s="4">
        <v>27.5</v>
      </c>
      <c r="M287" s="4">
        <f t="shared" si="96"/>
        <v>0.5</v>
      </c>
      <c r="N287" s="5">
        <v>1</v>
      </c>
      <c r="O287" s="5">
        <f t="shared" si="89"/>
        <v>0</v>
      </c>
      <c r="P287" s="31">
        <f t="shared" si="97"/>
        <v>0.5</v>
      </c>
      <c r="Q287" s="31">
        <f t="shared" si="92"/>
        <v>0.5</v>
      </c>
      <c r="R287" s="31">
        <v>500</v>
      </c>
      <c r="S287" s="31">
        <v>1</v>
      </c>
      <c r="T287" s="31">
        <v>0.43</v>
      </c>
      <c r="U287" s="31">
        <v>0.42</v>
      </c>
      <c r="V287" s="65">
        <f t="shared" si="105"/>
        <v>84</v>
      </c>
      <c r="W287" s="31">
        <v>2</v>
      </c>
      <c r="X287" s="31"/>
      <c r="Y287" s="31">
        <f t="shared" si="90"/>
        <v>2</v>
      </c>
      <c r="Z287" s="31">
        <f t="shared" si="91"/>
        <v>215</v>
      </c>
      <c r="AA287" s="18">
        <v>92</v>
      </c>
      <c r="AB287" s="18" t="s">
        <v>96</v>
      </c>
      <c r="AC287" s="18" t="s">
        <v>116</v>
      </c>
      <c r="AD287" s="18" t="s">
        <v>334</v>
      </c>
      <c r="AE287" s="18">
        <v>1</v>
      </c>
      <c r="AF287" s="18">
        <v>500</v>
      </c>
      <c r="AG287" s="18" t="s">
        <v>27</v>
      </c>
      <c r="AH287" s="18" t="s">
        <v>27</v>
      </c>
      <c r="AI287" s="18" t="str">
        <f>+VLOOKUP(AH287,Leyenda!$O$4:$U$10,6,FALSE)</f>
        <v>0,35-0,50</v>
      </c>
      <c r="AJ287" s="18" t="str">
        <f>+VLOOKUP(AG287,Leyenda!$O$4:$U$10,7,FALSE)</f>
        <v>Easy to blast</v>
      </c>
      <c r="AK287" s="18">
        <f>+VLOOKUP(AJ287,Leyenda!$U$4:$V$10,2,FALSE)</f>
        <v>3</v>
      </c>
      <c r="AL287" s="18" t="s">
        <v>29</v>
      </c>
      <c r="AM287" s="18" t="s">
        <v>27</v>
      </c>
      <c r="AN287" s="18" t="s">
        <v>64</v>
      </c>
      <c r="AO287" s="18" t="s">
        <v>79</v>
      </c>
      <c r="AP287" s="18" t="s">
        <v>92</v>
      </c>
      <c r="AQ287" s="18" t="s">
        <v>107</v>
      </c>
      <c r="AR287" s="18" t="s">
        <v>120</v>
      </c>
      <c r="AS287" s="18" t="s">
        <v>198</v>
      </c>
      <c r="AT287" s="18" t="s">
        <v>259</v>
      </c>
      <c r="AU287" s="18"/>
      <c r="AV287" s="18">
        <f>+VLOOKUP(AN287,Leyenda!$B$30:$E$34,3,FALSE)</f>
        <v>2</v>
      </c>
      <c r="AW287" s="18">
        <f>+VLOOKUP('2. Logging Brejo Seco'!AO287,Meteorizacion,3,FALSE)</f>
        <v>1</v>
      </c>
      <c r="AX287" s="18">
        <f>+VLOOKUP('2. Logging Brejo Seco'!AP287,Apertura,3,FALSE)</f>
        <v>3</v>
      </c>
      <c r="AY287" s="18">
        <f>+VLOOKUP('2. Logging Brejo Seco'!AQ287,Leyenda!$B$55:$D$59,3,FALSE)</f>
        <v>3</v>
      </c>
      <c r="AZ287" s="18">
        <f>+VLOOKUP('2. Logging Brejo Seco'!AR287,Relleno,3,FALSE)</f>
        <v>2</v>
      </c>
      <c r="BA287" s="18">
        <f t="shared" si="106"/>
        <v>11</v>
      </c>
      <c r="BB287" s="49">
        <f t="shared" si="93"/>
        <v>17</v>
      </c>
      <c r="BC287" s="49">
        <f>VLOOKUP(AH287,Leyenda!$B$4:$D$10,3,FALSE)</f>
        <v>4</v>
      </c>
      <c r="BD287" s="50">
        <f t="shared" si="98"/>
        <v>9</v>
      </c>
      <c r="BE287" s="49">
        <f t="shared" si="99"/>
        <v>11</v>
      </c>
      <c r="BF287" s="49">
        <f>VLOOKUP(AS287,Leyenda!$B$70:$D$75,3,FALSE)</f>
        <v>15</v>
      </c>
      <c r="BG287" s="67">
        <f t="shared" si="94"/>
        <v>58.5</v>
      </c>
      <c r="BH287" s="67">
        <f>VLOOKUP(AM287,Leyenda!$B$4:$E$10,4,FALSE)</f>
        <v>4</v>
      </c>
      <c r="BI287" s="67">
        <f t="shared" si="100"/>
        <v>13</v>
      </c>
      <c r="BJ287" s="67">
        <f t="shared" si="95"/>
        <v>17</v>
      </c>
      <c r="BK287" s="67">
        <f>+VLOOKUP('2. Logging Brejo Seco'!AP287,Leyenda!$B$47:$E$51,4,FALSE)</f>
        <v>3</v>
      </c>
      <c r="BL287" s="67">
        <f>+VLOOKUP('2. Logging Brejo Seco'!AQ287,Leyenda!$B$55:$E$59,4,FALSE)</f>
        <v>3</v>
      </c>
      <c r="BM287" s="67">
        <f>+VLOOKUP('2. Logging Brejo Seco'!AR287,Leyenda!$B$63:$E$67,3,FALSE)</f>
        <v>2</v>
      </c>
      <c r="BN287" s="67">
        <f>+VLOOKUP('2. Logging Brejo Seco'!AO287,Leyenda!$B$39:$E$43,4,FALSE)</f>
        <v>1</v>
      </c>
      <c r="BO287" s="67">
        <f>+VLOOKUP('2. Logging Brejo Seco'!AN287,Leyenda!$B$30:$E$34,4,FALSE)</f>
        <v>3</v>
      </c>
      <c r="BP287" s="67">
        <f>VLOOKUP(AS287,Leyenda!$B$71:$E$75,4,FALSE)</f>
        <v>10</v>
      </c>
      <c r="BQ287" s="125">
        <f t="shared" si="101"/>
        <v>56</v>
      </c>
      <c r="BR287" s="85">
        <f t="shared" si="102"/>
        <v>56</v>
      </c>
      <c r="BS287" s="240">
        <f t="shared" si="103"/>
        <v>0</v>
      </c>
      <c r="BT287" s="18"/>
    </row>
    <row r="288" spans="1:72" x14ac:dyDescent="0.25">
      <c r="A288" s="18" t="s">
        <v>6</v>
      </c>
      <c r="B288" s="18">
        <v>2024</v>
      </c>
      <c r="C288" s="18" t="s">
        <v>138</v>
      </c>
      <c r="D288" s="18" t="s">
        <v>130</v>
      </c>
      <c r="E288" s="18">
        <v>20</v>
      </c>
      <c r="F288" s="18">
        <v>20</v>
      </c>
      <c r="G288" s="18" t="s">
        <v>156</v>
      </c>
      <c r="H288" s="248">
        <f t="shared" si="104"/>
        <v>20</v>
      </c>
      <c r="I288" s="135"/>
      <c r="J288" s="18" t="s">
        <v>181</v>
      </c>
      <c r="K288" s="4">
        <f t="shared" si="88"/>
        <v>27.5</v>
      </c>
      <c r="L288" s="4">
        <v>28</v>
      </c>
      <c r="M288" s="4">
        <f t="shared" si="96"/>
        <v>0.5</v>
      </c>
      <c r="N288" s="5">
        <v>1</v>
      </c>
      <c r="O288" s="5">
        <f t="shared" si="89"/>
        <v>0</v>
      </c>
      <c r="P288" s="31">
        <f t="shared" si="97"/>
        <v>0.5</v>
      </c>
      <c r="Q288" s="31">
        <f t="shared" si="92"/>
        <v>0.5</v>
      </c>
      <c r="R288" s="31">
        <v>500</v>
      </c>
      <c r="S288" s="31">
        <v>1</v>
      </c>
      <c r="T288" s="31">
        <v>0.48</v>
      </c>
      <c r="U288" s="31">
        <v>0.48</v>
      </c>
      <c r="V288" s="65">
        <f t="shared" si="105"/>
        <v>96</v>
      </c>
      <c r="W288" s="31">
        <v>1</v>
      </c>
      <c r="X288" s="31"/>
      <c r="Y288" s="31">
        <f t="shared" si="90"/>
        <v>1</v>
      </c>
      <c r="Z288" s="31">
        <f t="shared" si="91"/>
        <v>480</v>
      </c>
      <c r="AA288" s="18">
        <v>100</v>
      </c>
      <c r="AB288" s="18" t="s">
        <v>96</v>
      </c>
      <c r="AC288" s="18" t="s">
        <v>116</v>
      </c>
      <c r="AD288" s="18" t="s">
        <v>334</v>
      </c>
      <c r="AE288" s="18">
        <v>1</v>
      </c>
      <c r="AF288" s="18">
        <v>500</v>
      </c>
      <c r="AG288" s="18" t="s">
        <v>27</v>
      </c>
      <c r="AH288" s="18" t="s">
        <v>27</v>
      </c>
      <c r="AI288" s="18" t="str">
        <f>+VLOOKUP(AH288,Leyenda!$O$4:$U$10,6,FALSE)</f>
        <v>0,35-0,50</v>
      </c>
      <c r="AJ288" s="18" t="str">
        <f>+VLOOKUP(AG288,Leyenda!$O$4:$U$10,7,FALSE)</f>
        <v>Easy to blast</v>
      </c>
      <c r="AK288" s="18">
        <f>+VLOOKUP(AJ288,Leyenda!$U$4:$V$10,2,FALSE)</f>
        <v>3</v>
      </c>
      <c r="AL288" s="18" t="s">
        <v>29</v>
      </c>
      <c r="AM288" s="18" t="s">
        <v>27</v>
      </c>
      <c r="AN288" s="18" t="s">
        <v>64</v>
      </c>
      <c r="AO288" s="18" t="s">
        <v>79</v>
      </c>
      <c r="AP288" s="18" t="s">
        <v>96</v>
      </c>
      <c r="AQ288" s="18" t="s">
        <v>107</v>
      </c>
      <c r="AR288" s="18" t="s">
        <v>120</v>
      </c>
      <c r="AS288" s="18" t="s">
        <v>198</v>
      </c>
      <c r="AT288" s="18"/>
      <c r="AU288" s="18"/>
      <c r="AV288" s="18">
        <f>+VLOOKUP(AN288,Leyenda!$B$30:$E$34,3,FALSE)</f>
        <v>2</v>
      </c>
      <c r="AW288" s="18">
        <f>+VLOOKUP('2. Logging Brejo Seco'!AO288,Meteorizacion,3,FALSE)</f>
        <v>1</v>
      </c>
      <c r="AX288" s="18">
        <f>+VLOOKUP('2. Logging Brejo Seco'!AP288,Apertura,3,FALSE)</f>
        <v>1</v>
      </c>
      <c r="AY288" s="18">
        <f>+VLOOKUP('2. Logging Brejo Seco'!AQ288,Leyenda!$B$55:$D$59,3,FALSE)</f>
        <v>3</v>
      </c>
      <c r="AZ288" s="18">
        <f>+VLOOKUP('2. Logging Brejo Seco'!AR288,Relleno,3,FALSE)</f>
        <v>2</v>
      </c>
      <c r="BA288" s="18">
        <f t="shared" si="106"/>
        <v>9</v>
      </c>
      <c r="BB288" s="49">
        <f t="shared" si="93"/>
        <v>19</v>
      </c>
      <c r="BC288" s="49">
        <f>VLOOKUP(AH288,Leyenda!$B$4:$D$10,3,FALSE)</f>
        <v>4</v>
      </c>
      <c r="BD288" s="50">
        <f t="shared" si="98"/>
        <v>12</v>
      </c>
      <c r="BE288" s="49">
        <f t="shared" si="99"/>
        <v>9</v>
      </c>
      <c r="BF288" s="49">
        <f>VLOOKUP(AS288,Leyenda!$B$70:$D$75,3,FALSE)</f>
        <v>15</v>
      </c>
      <c r="BG288" s="67">
        <f t="shared" si="94"/>
        <v>61.5</v>
      </c>
      <c r="BH288" s="67">
        <f>VLOOKUP(AM288,Leyenda!$B$4:$E$10,4,FALSE)</f>
        <v>4</v>
      </c>
      <c r="BI288" s="67">
        <f t="shared" si="100"/>
        <v>18</v>
      </c>
      <c r="BJ288" s="67">
        <f t="shared" si="95"/>
        <v>19</v>
      </c>
      <c r="BK288" s="67">
        <f>+VLOOKUP('2. Logging Brejo Seco'!AP288,Leyenda!$B$47:$E$51,4,FALSE)</f>
        <v>1</v>
      </c>
      <c r="BL288" s="67">
        <f>+VLOOKUP('2. Logging Brejo Seco'!AQ288,Leyenda!$B$55:$E$59,4,FALSE)</f>
        <v>3</v>
      </c>
      <c r="BM288" s="67">
        <f>+VLOOKUP('2. Logging Brejo Seco'!AR288,Leyenda!$B$63:$E$67,3,FALSE)</f>
        <v>2</v>
      </c>
      <c r="BN288" s="67">
        <f>+VLOOKUP('2. Logging Brejo Seco'!AO288,Leyenda!$B$39:$E$43,4,FALSE)</f>
        <v>1</v>
      </c>
      <c r="BO288" s="67">
        <f>+VLOOKUP('2. Logging Brejo Seco'!AN288,Leyenda!$B$30:$E$34,4,FALSE)</f>
        <v>3</v>
      </c>
      <c r="BP288" s="67">
        <f>VLOOKUP(AS288,Leyenda!$B$71:$E$75,4,FALSE)</f>
        <v>10</v>
      </c>
      <c r="BQ288" s="125">
        <f t="shared" si="101"/>
        <v>61</v>
      </c>
      <c r="BR288" s="85">
        <f t="shared" si="102"/>
        <v>59</v>
      </c>
      <c r="BS288" s="240">
        <f t="shared" si="103"/>
        <v>0</v>
      </c>
      <c r="BT288" s="18"/>
    </row>
    <row r="289" spans="1:72" x14ac:dyDescent="0.25">
      <c r="A289" s="18" t="s">
        <v>6</v>
      </c>
      <c r="B289" s="18">
        <v>2024</v>
      </c>
      <c r="C289" s="18" t="s">
        <v>138</v>
      </c>
      <c r="D289" s="18" t="s">
        <v>130</v>
      </c>
      <c r="E289" s="18">
        <v>20</v>
      </c>
      <c r="F289" s="18">
        <v>20</v>
      </c>
      <c r="G289" s="18" t="s">
        <v>156</v>
      </c>
      <c r="H289" s="248">
        <f t="shared" si="104"/>
        <v>20</v>
      </c>
      <c r="I289" s="135"/>
      <c r="J289" s="18" t="s">
        <v>181</v>
      </c>
      <c r="K289" s="4">
        <f t="shared" si="88"/>
        <v>28</v>
      </c>
      <c r="L289" s="4">
        <v>28.5</v>
      </c>
      <c r="M289" s="4">
        <f t="shared" si="96"/>
        <v>0.5</v>
      </c>
      <c r="N289" s="5">
        <v>1</v>
      </c>
      <c r="O289" s="5">
        <f t="shared" si="89"/>
        <v>0</v>
      </c>
      <c r="P289" s="31">
        <f t="shared" si="97"/>
        <v>0.5</v>
      </c>
      <c r="Q289" s="31">
        <f t="shared" si="92"/>
        <v>0.5</v>
      </c>
      <c r="R289" s="31">
        <v>500</v>
      </c>
      <c r="S289" s="31">
        <v>1</v>
      </c>
      <c r="T289" s="31">
        <v>0.47</v>
      </c>
      <c r="U289" s="31">
        <v>0.46</v>
      </c>
      <c r="V289" s="65">
        <f t="shared" si="105"/>
        <v>92</v>
      </c>
      <c r="W289" s="31">
        <v>2</v>
      </c>
      <c r="X289" s="31"/>
      <c r="Y289" s="31">
        <f t="shared" si="90"/>
        <v>2</v>
      </c>
      <c r="Z289" s="31">
        <f t="shared" si="91"/>
        <v>235</v>
      </c>
      <c r="AA289" s="18">
        <v>98</v>
      </c>
      <c r="AB289" s="18" t="s">
        <v>96</v>
      </c>
      <c r="AC289" s="18" t="s">
        <v>116</v>
      </c>
      <c r="AD289" s="18" t="s">
        <v>334</v>
      </c>
      <c r="AE289" s="18">
        <v>1</v>
      </c>
      <c r="AF289" s="18">
        <v>500</v>
      </c>
      <c r="AG289" s="18" t="s">
        <v>27</v>
      </c>
      <c r="AH289" s="18" t="s">
        <v>27</v>
      </c>
      <c r="AI289" s="18" t="str">
        <f>+VLOOKUP(AH289,Leyenda!$O$4:$U$10,6,FALSE)</f>
        <v>0,35-0,50</v>
      </c>
      <c r="AJ289" s="18" t="str">
        <f>+VLOOKUP(AG289,Leyenda!$O$4:$U$10,7,FALSE)</f>
        <v>Easy to blast</v>
      </c>
      <c r="AK289" s="18">
        <f>+VLOOKUP(AJ289,Leyenda!$U$4:$V$10,2,FALSE)</f>
        <v>3</v>
      </c>
      <c r="AL289" s="18" t="s">
        <v>29</v>
      </c>
      <c r="AM289" s="18" t="s">
        <v>27</v>
      </c>
      <c r="AN289" s="18" t="s">
        <v>64</v>
      </c>
      <c r="AO289" s="18" t="s">
        <v>79</v>
      </c>
      <c r="AP289" s="18" t="s">
        <v>96</v>
      </c>
      <c r="AQ289" s="18" t="s">
        <v>107</v>
      </c>
      <c r="AR289" s="18" t="s">
        <v>120</v>
      </c>
      <c r="AS289" s="18" t="s">
        <v>198</v>
      </c>
      <c r="AT289" s="18"/>
      <c r="AU289" s="18"/>
      <c r="AV289" s="18">
        <f>+VLOOKUP(AN289,Leyenda!$B$30:$E$34,3,FALSE)</f>
        <v>2</v>
      </c>
      <c r="AW289" s="18">
        <f>+VLOOKUP('2. Logging Brejo Seco'!AO289,Meteorizacion,3,FALSE)</f>
        <v>1</v>
      </c>
      <c r="AX289" s="18">
        <f>+VLOOKUP('2. Logging Brejo Seco'!AP289,Apertura,3,FALSE)</f>
        <v>1</v>
      </c>
      <c r="AY289" s="18">
        <f>+VLOOKUP('2. Logging Brejo Seco'!AQ289,Leyenda!$B$55:$D$59,3,FALSE)</f>
        <v>3</v>
      </c>
      <c r="AZ289" s="18">
        <f>+VLOOKUP('2. Logging Brejo Seco'!AR289,Relleno,3,FALSE)</f>
        <v>2</v>
      </c>
      <c r="BA289" s="18">
        <f t="shared" si="106"/>
        <v>9</v>
      </c>
      <c r="BB289" s="49">
        <f t="shared" si="93"/>
        <v>19</v>
      </c>
      <c r="BC289" s="49">
        <f>VLOOKUP(AH289,Leyenda!$B$4:$D$10,3,FALSE)</f>
        <v>4</v>
      </c>
      <c r="BD289" s="50">
        <f t="shared" si="98"/>
        <v>10</v>
      </c>
      <c r="BE289" s="49">
        <f t="shared" si="99"/>
        <v>9</v>
      </c>
      <c r="BF289" s="49">
        <f>VLOOKUP(AS289,Leyenda!$B$70:$D$75,3,FALSE)</f>
        <v>15</v>
      </c>
      <c r="BG289" s="67">
        <f t="shared" si="94"/>
        <v>59.5</v>
      </c>
      <c r="BH289" s="67">
        <f>VLOOKUP(AM289,Leyenda!$B$4:$E$10,4,FALSE)</f>
        <v>4</v>
      </c>
      <c r="BI289" s="67">
        <f t="shared" si="100"/>
        <v>13</v>
      </c>
      <c r="BJ289" s="67">
        <f t="shared" si="95"/>
        <v>19</v>
      </c>
      <c r="BK289" s="67">
        <f>+VLOOKUP('2. Logging Brejo Seco'!AP289,Leyenda!$B$47:$E$51,4,FALSE)</f>
        <v>1</v>
      </c>
      <c r="BL289" s="67">
        <f>+VLOOKUP('2. Logging Brejo Seco'!AQ289,Leyenda!$B$55:$E$59,4,FALSE)</f>
        <v>3</v>
      </c>
      <c r="BM289" s="67">
        <f>+VLOOKUP('2. Logging Brejo Seco'!AR289,Leyenda!$B$63:$E$67,3,FALSE)</f>
        <v>2</v>
      </c>
      <c r="BN289" s="67">
        <f>+VLOOKUP('2. Logging Brejo Seco'!AO289,Leyenda!$B$39:$E$43,4,FALSE)</f>
        <v>1</v>
      </c>
      <c r="BO289" s="67">
        <f>+VLOOKUP('2. Logging Brejo Seco'!AN289,Leyenda!$B$30:$E$34,4,FALSE)</f>
        <v>3</v>
      </c>
      <c r="BP289" s="67">
        <f>VLOOKUP(AS289,Leyenda!$B$71:$E$75,4,FALSE)</f>
        <v>10</v>
      </c>
      <c r="BQ289" s="125">
        <f t="shared" si="101"/>
        <v>56</v>
      </c>
      <c r="BR289" s="85">
        <f t="shared" si="102"/>
        <v>57</v>
      </c>
      <c r="BS289" s="240">
        <f t="shared" si="103"/>
        <v>0</v>
      </c>
      <c r="BT289" s="18"/>
    </row>
    <row r="290" spans="1:72" x14ac:dyDescent="0.25">
      <c r="A290" s="18" t="s">
        <v>6</v>
      </c>
      <c r="B290" s="18">
        <v>2024</v>
      </c>
      <c r="C290" s="18" t="s">
        <v>138</v>
      </c>
      <c r="D290" s="18" t="s">
        <v>130</v>
      </c>
      <c r="E290" s="18">
        <v>20</v>
      </c>
      <c r="F290" s="18">
        <v>20</v>
      </c>
      <c r="G290" s="18" t="s">
        <v>156</v>
      </c>
      <c r="H290" s="248">
        <f t="shared" si="104"/>
        <v>20</v>
      </c>
      <c r="I290" s="135"/>
      <c r="J290" s="18" t="s">
        <v>181</v>
      </c>
      <c r="K290" s="4">
        <f t="shared" si="88"/>
        <v>28.5</v>
      </c>
      <c r="L290" s="4">
        <v>29</v>
      </c>
      <c r="M290" s="4">
        <f t="shared" si="96"/>
        <v>0.5</v>
      </c>
      <c r="N290" s="5">
        <v>1</v>
      </c>
      <c r="O290" s="5">
        <f t="shared" si="89"/>
        <v>0</v>
      </c>
      <c r="P290" s="31">
        <f t="shared" si="97"/>
        <v>0.5</v>
      </c>
      <c r="Q290" s="31">
        <f t="shared" si="92"/>
        <v>0.5</v>
      </c>
      <c r="R290" s="31">
        <v>100</v>
      </c>
      <c r="S290" s="31">
        <v>5</v>
      </c>
      <c r="T290" s="31">
        <v>0.47</v>
      </c>
      <c r="U290" s="31">
        <v>0.31</v>
      </c>
      <c r="V290" s="65">
        <f t="shared" si="105"/>
        <v>62</v>
      </c>
      <c r="W290" s="31">
        <v>3</v>
      </c>
      <c r="X290" s="31"/>
      <c r="Y290" s="31">
        <f t="shared" si="90"/>
        <v>3</v>
      </c>
      <c r="Z290" s="31">
        <f t="shared" si="91"/>
        <v>156.66666666666666</v>
      </c>
      <c r="AA290" s="18">
        <v>74</v>
      </c>
      <c r="AB290" s="18" t="s">
        <v>96</v>
      </c>
      <c r="AC290" s="18" t="s">
        <v>118</v>
      </c>
      <c r="AD290" s="18" t="s">
        <v>334</v>
      </c>
      <c r="AE290" s="18">
        <v>5</v>
      </c>
      <c r="AF290" s="18">
        <v>100</v>
      </c>
      <c r="AG290" s="18" t="s">
        <v>27</v>
      </c>
      <c r="AH290" s="18" t="s">
        <v>27</v>
      </c>
      <c r="AI290" s="18" t="str">
        <f>+VLOOKUP(AH290,Leyenda!$O$4:$U$10,6,FALSE)</f>
        <v>0,35-0,50</v>
      </c>
      <c r="AJ290" s="18" t="str">
        <f>+VLOOKUP(AG290,Leyenda!$O$4:$U$10,7,FALSE)</f>
        <v>Easy to blast</v>
      </c>
      <c r="AK290" s="18">
        <f>+VLOOKUP(AJ290,Leyenda!$U$4:$V$10,2,FALSE)</f>
        <v>3</v>
      </c>
      <c r="AL290" s="18" t="s">
        <v>29</v>
      </c>
      <c r="AM290" s="18" t="s">
        <v>27</v>
      </c>
      <c r="AN290" s="18" t="s">
        <v>64</v>
      </c>
      <c r="AO290" s="18" t="s">
        <v>79</v>
      </c>
      <c r="AP290" s="18" t="s">
        <v>96</v>
      </c>
      <c r="AQ290" s="18" t="s">
        <v>107</v>
      </c>
      <c r="AR290" s="18" t="s">
        <v>120</v>
      </c>
      <c r="AS290" s="18" t="s">
        <v>198</v>
      </c>
      <c r="AT290" s="18"/>
      <c r="AU290" s="18"/>
      <c r="AV290" s="18">
        <f>+VLOOKUP(AN290,Leyenda!$B$30:$E$34,3,FALSE)</f>
        <v>2</v>
      </c>
      <c r="AW290" s="18">
        <f>+VLOOKUP('2. Logging Brejo Seco'!AO290,Meteorizacion,3,FALSE)</f>
        <v>1</v>
      </c>
      <c r="AX290" s="18">
        <f>+VLOOKUP('2. Logging Brejo Seco'!AP290,Apertura,3,FALSE)</f>
        <v>1</v>
      </c>
      <c r="AY290" s="18">
        <f>+VLOOKUP('2. Logging Brejo Seco'!AQ290,Leyenda!$B$55:$D$59,3,FALSE)</f>
        <v>3</v>
      </c>
      <c r="AZ290" s="18">
        <f>+VLOOKUP('2. Logging Brejo Seco'!AR290,Relleno,3,FALSE)</f>
        <v>2</v>
      </c>
      <c r="BA290" s="18">
        <f t="shared" si="106"/>
        <v>9</v>
      </c>
      <c r="BB290" s="49">
        <f t="shared" si="93"/>
        <v>13</v>
      </c>
      <c r="BC290" s="49">
        <f>VLOOKUP(AH290,Leyenda!$B$4:$D$10,3,FALSE)</f>
        <v>4</v>
      </c>
      <c r="BD290" s="50">
        <f t="shared" si="98"/>
        <v>8</v>
      </c>
      <c r="BE290" s="49">
        <f t="shared" si="99"/>
        <v>9</v>
      </c>
      <c r="BF290" s="49">
        <f>VLOOKUP(AS290,Leyenda!$B$70:$D$75,3,FALSE)</f>
        <v>15</v>
      </c>
      <c r="BG290" s="67">
        <f t="shared" si="94"/>
        <v>44.5</v>
      </c>
      <c r="BH290" s="67">
        <f>VLOOKUP(AM290,Leyenda!$B$4:$E$10,4,FALSE)</f>
        <v>4</v>
      </c>
      <c r="BI290" s="67">
        <f t="shared" si="100"/>
        <v>11</v>
      </c>
      <c r="BJ290" s="67">
        <f t="shared" si="95"/>
        <v>13</v>
      </c>
      <c r="BK290" s="67">
        <f>+VLOOKUP('2. Logging Brejo Seco'!AP290,Leyenda!$B$47:$E$51,4,FALSE)</f>
        <v>1</v>
      </c>
      <c r="BL290" s="67">
        <f>+VLOOKUP('2. Logging Brejo Seco'!AQ290,Leyenda!$B$55:$E$59,4,FALSE)</f>
        <v>3</v>
      </c>
      <c r="BM290" s="67">
        <f>+VLOOKUP('2. Logging Brejo Seco'!AR290,Leyenda!$B$63:$E$67,3,FALSE)</f>
        <v>2</v>
      </c>
      <c r="BN290" s="67">
        <f>+VLOOKUP('2. Logging Brejo Seco'!AO290,Leyenda!$B$39:$E$43,4,FALSE)</f>
        <v>1</v>
      </c>
      <c r="BO290" s="67">
        <f>+VLOOKUP('2. Logging Brejo Seco'!AN290,Leyenda!$B$30:$E$34,4,FALSE)</f>
        <v>3</v>
      </c>
      <c r="BP290" s="67">
        <f>VLOOKUP(AS290,Leyenda!$B$71:$E$75,4,FALSE)</f>
        <v>10</v>
      </c>
      <c r="BQ290" s="125">
        <f t="shared" si="101"/>
        <v>48</v>
      </c>
      <c r="BR290" s="85">
        <f t="shared" si="102"/>
        <v>49</v>
      </c>
      <c r="BS290" s="240">
        <f t="shared" si="103"/>
        <v>0</v>
      </c>
      <c r="BT290" s="18"/>
    </row>
    <row r="291" spans="1:72" x14ac:dyDescent="0.25">
      <c r="A291" s="18" t="s">
        <v>6</v>
      </c>
      <c r="B291" s="18">
        <v>2024</v>
      </c>
      <c r="C291" s="18" t="s">
        <v>138</v>
      </c>
      <c r="D291" s="18" t="s">
        <v>130</v>
      </c>
      <c r="E291" s="18">
        <v>20</v>
      </c>
      <c r="F291" s="18">
        <v>20</v>
      </c>
      <c r="G291" s="18" t="s">
        <v>156</v>
      </c>
      <c r="H291" s="248">
        <f t="shared" si="104"/>
        <v>20</v>
      </c>
      <c r="I291" s="135"/>
      <c r="J291" s="18" t="s">
        <v>181</v>
      </c>
      <c r="K291" s="4">
        <f t="shared" si="88"/>
        <v>29</v>
      </c>
      <c r="L291" s="4">
        <v>29.5</v>
      </c>
      <c r="M291" s="4">
        <f t="shared" si="96"/>
        <v>0.5</v>
      </c>
      <c r="N291" s="5">
        <v>1</v>
      </c>
      <c r="O291" s="5">
        <f t="shared" si="89"/>
        <v>0</v>
      </c>
      <c r="P291" s="31">
        <f t="shared" si="97"/>
        <v>0.5</v>
      </c>
      <c r="Q291" s="31">
        <f t="shared" si="92"/>
        <v>0.5</v>
      </c>
      <c r="R291" s="31">
        <v>500</v>
      </c>
      <c r="S291" s="31">
        <v>1</v>
      </c>
      <c r="T291" s="31">
        <v>0.45</v>
      </c>
      <c r="U291" s="31">
        <v>0.24</v>
      </c>
      <c r="V291" s="187">
        <f t="shared" si="105"/>
        <v>48</v>
      </c>
      <c r="W291" s="31">
        <v>6</v>
      </c>
      <c r="X291" s="31"/>
      <c r="Y291" s="31">
        <f t="shared" si="90"/>
        <v>6</v>
      </c>
      <c r="Z291" s="31">
        <f t="shared" si="91"/>
        <v>75</v>
      </c>
      <c r="AA291" s="18">
        <v>50</v>
      </c>
      <c r="AB291" s="18" t="s">
        <v>96</v>
      </c>
      <c r="AC291" s="18" t="s">
        <v>116</v>
      </c>
      <c r="AD291" s="18" t="s">
        <v>334</v>
      </c>
      <c r="AE291" s="18">
        <v>1</v>
      </c>
      <c r="AF291" s="18">
        <v>500</v>
      </c>
      <c r="AG291" s="18" t="s">
        <v>27</v>
      </c>
      <c r="AH291" s="18" t="s">
        <v>27</v>
      </c>
      <c r="AI291" s="18" t="str">
        <f>+VLOOKUP(AH291,Leyenda!$O$4:$U$10,6,FALSE)</f>
        <v>0,35-0,50</v>
      </c>
      <c r="AJ291" s="18" t="str">
        <f>+VLOOKUP(AG291,Leyenda!$O$4:$U$10,7,FALSE)</f>
        <v>Easy to blast</v>
      </c>
      <c r="AK291" s="18">
        <f>+VLOOKUP(AJ291,Leyenda!$U$4:$V$10,2,FALSE)</f>
        <v>3</v>
      </c>
      <c r="AL291" s="18" t="s">
        <v>32</v>
      </c>
      <c r="AM291" s="18" t="s">
        <v>27</v>
      </c>
      <c r="AN291" s="18" t="s">
        <v>66</v>
      </c>
      <c r="AO291" s="18" t="s">
        <v>81</v>
      </c>
      <c r="AP291" s="18" t="s">
        <v>96</v>
      </c>
      <c r="AQ291" s="18" t="s">
        <v>109</v>
      </c>
      <c r="AR291" s="18" t="s">
        <v>122</v>
      </c>
      <c r="AS291" s="18" t="s">
        <v>198</v>
      </c>
      <c r="AT291" s="18" t="s">
        <v>231</v>
      </c>
      <c r="AU291" s="18"/>
      <c r="AV291" s="18">
        <f>+VLOOKUP(AN291,Leyenda!$B$30:$E$34,3,FALSE)</f>
        <v>1</v>
      </c>
      <c r="AW291" s="18">
        <f>+VLOOKUP('2. Logging Brejo Seco'!AO291,Meteorizacion,3,FALSE)</f>
        <v>0</v>
      </c>
      <c r="AX291" s="18">
        <f>+VLOOKUP('2. Logging Brejo Seco'!AP291,Apertura,3,FALSE)</f>
        <v>1</v>
      </c>
      <c r="AY291" s="18">
        <f>+VLOOKUP('2. Logging Brejo Seco'!AQ291,Leyenda!$B$55:$D$59,3,FALSE)</f>
        <v>1</v>
      </c>
      <c r="AZ291" s="18">
        <f>+VLOOKUP('2. Logging Brejo Seco'!AR291,Relleno,3,FALSE)</f>
        <v>0</v>
      </c>
      <c r="BA291" s="18">
        <f t="shared" si="106"/>
        <v>3</v>
      </c>
      <c r="BB291" s="49">
        <f t="shared" si="93"/>
        <v>10</v>
      </c>
      <c r="BC291" s="49">
        <f>VLOOKUP(AH291,Leyenda!$B$4:$D$10,3,FALSE)</f>
        <v>4</v>
      </c>
      <c r="BD291" s="50">
        <f t="shared" si="98"/>
        <v>7</v>
      </c>
      <c r="BE291" s="49">
        <f t="shared" si="99"/>
        <v>3</v>
      </c>
      <c r="BF291" s="49">
        <f>VLOOKUP(AS291,Leyenda!$B$70:$D$75,3,FALSE)</f>
        <v>15</v>
      </c>
      <c r="BG291" s="67">
        <f t="shared" si="94"/>
        <v>28.5</v>
      </c>
      <c r="BH291" s="67">
        <f>VLOOKUP(AM291,Leyenda!$B$4:$E$10,4,FALSE)</f>
        <v>4</v>
      </c>
      <c r="BI291" s="67">
        <f t="shared" si="100"/>
        <v>6</v>
      </c>
      <c r="BJ291" s="67">
        <f t="shared" si="95"/>
        <v>10</v>
      </c>
      <c r="BK291" s="67">
        <f>+VLOOKUP('2. Logging Brejo Seco'!AP291,Leyenda!$B$47:$E$51,4,FALSE)</f>
        <v>1</v>
      </c>
      <c r="BL291" s="67">
        <f>+VLOOKUP('2. Logging Brejo Seco'!AQ291,Leyenda!$B$55:$E$59,4,FALSE)</f>
        <v>1</v>
      </c>
      <c r="BM291" s="67">
        <f>+VLOOKUP('2. Logging Brejo Seco'!AR291,Leyenda!$B$63:$E$67,3,FALSE)</f>
        <v>0</v>
      </c>
      <c r="BN291" s="67">
        <f>+VLOOKUP('2. Logging Brejo Seco'!AO291,Leyenda!$B$39:$E$43,4,FALSE)</f>
        <v>0</v>
      </c>
      <c r="BO291" s="67">
        <f>+VLOOKUP('2. Logging Brejo Seco'!AN291,Leyenda!$B$30:$E$34,4,FALSE)</f>
        <v>1</v>
      </c>
      <c r="BP291" s="67">
        <f>VLOOKUP(AS291,Leyenda!$B$71:$E$75,4,FALSE)</f>
        <v>10</v>
      </c>
      <c r="BQ291" s="125">
        <f t="shared" si="101"/>
        <v>33</v>
      </c>
      <c r="BR291" s="85">
        <f t="shared" si="102"/>
        <v>39</v>
      </c>
      <c r="BS291" s="240">
        <f t="shared" si="103"/>
        <v>0</v>
      </c>
      <c r="BT291" s="18"/>
    </row>
    <row r="292" spans="1:72" x14ac:dyDescent="0.25">
      <c r="A292" s="18" t="s">
        <v>6</v>
      </c>
      <c r="B292" s="18">
        <v>2024</v>
      </c>
      <c r="C292" s="18" t="s">
        <v>138</v>
      </c>
      <c r="D292" s="18" t="s">
        <v>130</v>
      </c>
      <c r="E292" s="18">
        <v>20</v>
      </c>
      <c r="F292" s="18">
        <v>20</v>
      </c>
      <c r="G292" s="18" t="s">
        <v>156</v>
      </c>
      <c r="H292" s="248">
        <f t="shared" si="104"/>
        <v>20</v>
      </c>
      <c r="I292" s="135"/>
      <c r="J292" s="18" t="s">
        <v>181</v>
      </c>
      <c r="K292" s="4">
        <f t="shared" si="88"/>
        <v>29.5</v>
      </c>
      <c r="L292" s="4">
        <v>30</v>
      </c>
      <c r="M292" s="4">
        <f t="shared" si="96"/>
        <v>0.5</v>
      </c>
      <c r="N292" s="5">
        <v>1</v>
      </c>
      <c r="O292" s="5">
        <f t="shared" si="89"/>
        <v>0</v>
      </c>
      <c r="P292" s="31">
        <f t="shared" si="97"/>
        <v>0.5</v>
      </c>
      <c r="Q292" s="31">
        <f t="shared" si="92"/>
        <v>0.5</v>
      </c>
      <c r="R292" s="31">
        <v>100</v>
      </c>
      <c r="S292" s="31">
        <v>5</v>
      </c>
      <c r="T292" s="31">
        <v>0.32</v>
      </c>
      <c r="U292" s="31">
        <v>0.24</v>
      </c>
      <c r="V292" s="187">
        <f t="shared" si="105"/>
        <v>48</v>
      </c>
      <c r="W292" s="31">
        <v>3</v>
      </c>
      <c r="X292" s="31"/>
      <c r="Y292" s="31">
        <f t="shared" si="90"/>
        <v>3</v>
      </c>
      <c r="Z292" s="31">
        <f t="shared" si="91"/>
        <v>106.66666666666667</v>
      </c>
      <c r="AA292" s="18">
        <v>34</v>
      </c>
      <c r="AB292" s="18" t="s">
        <v>96</v>
      </c>
      <c r="AC292" s="18" t="s">
        <v>118</v>
      </c>
      <c r="AD292" s="18" t="s">
        <v>334</v>
      </c>
      <c r="AE292" s="18">
        <v>5</v>
      </c>
      <c r="AF292" s="18">
        <v>100</v>
      </c>
      <c r="AG292" s="18" t="s">
        <v>27</v>
      </c>
      <c r="AH292" s="18" t="s">
        <v>27</v>
      </c>
      <c r="AI292" s="18" t="str">
        <f>+VLOOKUP(AH292,Leyenda!$O$4:$U$10,6,FALSE)</f>
        <v>0,35-0,50</v>
      </c>
      <c r="AJ292" s="18" t="str">
        <f>+VLOOKUP(AG292,Leyenda!$O$4:$U$10,7,FALSE)</f>
        <v>Easy to blast</v>
      </c>
      <c r="AK292" s="18">
        <f>+VLOOKUP(AJ292,Leyenda!$U$4:$V$10,2,FALSE)</f>
        <v>3</v>
      </c>
      <c r="AL292" s="18" t="s">
        <v>32</v>
      </c>
      <c r="AM292" s="18" t="s">
        <v>27</v>
      </c>
      <c r="AN292" s="18" t="s">
        <v>66</v>
      </c>
      <c r="AO292" s="18" t="s">
        <v>81</v>
      </c>
      <c r="AP292" s="18" t="s">
        <v>96</v>
      </c>
      <c r="AQ292" s="18" t="s">
        <v>107</v>
      </c>
      <c r="AR292" s="18" t="s">
        <v>122</v>
      </c>
      <c r="AS292" s="18" t="s">
        <v>198</v>
      </c>
      <c r="AT292" s="18"/>
      <c r="AU292" s="18"/>
      <c r="AV292" s="18">
        <f>+VLOOKUP(AN292,Leyenda!$B$30:$E$34,3,FALSE)</f>
        <v>1</v>
      </c>
      <c r="AW292" s="18">
        <f>+VLOOKUP('2. Logging Brejo Seco'!AO292,Meteorizacion,3,FALSE)</f>
        <v>0</v>
      </c>
      <c r="AX292" s="18">
        <f>+VLOOKUP('2. Logging Brejo Seco'!AP292,Apertura,3,FALSE)</f>
        <v>1</v>
      </c>
      <c r="AY292" s="18">
        <f>+VLOOKUP('2. Logging Brejo Seco'!AQ292,Leyenda!$B$55:$D$59,3,FALSE)</f>
        <v>3</v>
      </c>
      <c r="AZ292" s="18">
        <f>+VLOOKUP('2. Logging Brejo Seco'!AR292,Relleno,3,FALSE)</f>
        <v>0</v>
      </c>
      <c r="BA292" s="18">
        <f t="shared" si="106"/>
        <v>5</v>
      </c>
      <c r="BB292" s="49">
        <f t="shared" si="93"/>
        <v>10</v>
      </c>
      <c r="BC292" s="49">
        <f>VLOOKUP(AH292,Leyenda!$B$4:$D$10,3,FALSE)</f>
        <v>4</v>
      </c>
      <c r="BD292" s="50">
        <f t="shared" si="98"/>
        <v>7</v>
      </c>
      <c r="BE292" s="49">
        <f t="shared" si="99"/>
        <v>5</v>
      </c>
      <c r="BF292" s="49">
        <f>VLOOKUP(AS292,Leyenda!$B$70:$D$75,3,FALSE)</f>
        <v>15</v>
      </c>
      <c r="BG292" s="67">
        <f t="shared" si="94"/>
        <v>31.5</v>
      </c>
      <c r="BH292" s="67">
        <f>VLOOKUP(AM292,Leyenda!$B$4:$E$10,4,FALSE)</f>
        <v>4</v>
      </c>
      <c r="BI292" s="67">
        <f t="shared" si="100"/>
        <v>9</v>
      </c>
      <c r="BJ292" s="67">
        <f t="shared" si="95"/>
        <v>10</v>
      </c>
      <c r="BK292" s="67">
        <f>+VLOOKUP('2. Logging Brejo Seco'!AP292,Leyenda!$B$47:$E$51,4,FALSE)</f>
        <v>1</v>
      </c>
      <c r="BL292" s="67">
        <f>+VLOOKUP('2. Logging Brejo Seco'!AQ292,Leyenda!$B$55:$E$59,4,FALSE)</f>
        <v>3</v>
      </c>
      <c r="BM292" s="67">
        <f>+VLOOKUP('2. Logging Brejo Seco'!AR292,Leyenda!$B$63:$E$67,3,FALSE)</f>
        <v>0</v>
      </c>
      <c r="BN292" s="67">
        <f>+VLOOKUP('2. Logging Brejo Seco'!AO292,Leyenda!$B$39:$E$43,4,FALSE)</f>
        <v>0</v>
      </c>
      <c r="BO292" s="67">
        <f>+VLOOKUP('2. Logging Brejo Seco'!AN292,Leyenda!$B$30:$E$34,4,FALSE)</f>
        <v>1</v>
      </c>
      <c r="BP292" s="67">
        <f>VLOOKUP(AS292,Leyenda!$B$71:$E$75,4,FALSE)</f>
        <v>10</v>
      </c>
      <c r="BQ292" s="125">
        <f t="shared" si="101"/>
        <v>38</v>
      </c>
      <c r="BR292" s="85">
        <f t="shared" si="102"/>
        <v>41</v>
      </c>
      <c r="BS292" s="240">
        <f t="shared" si="103"/>
        <v>0</v>
      </c>
      <c r="BT292" s="18"/>
    </row>
    <row r="293" spans="1:72" x14ac:dyDescent="0.25">
      <c r="A293" s="18" t="s">
        <v>6</v>
      </c>
      <c r="B293" s="18">
        <v>2024</v>
      </c>
      <c r="C293" s="18" t="s">
        <v>138</v>
      </c>
      <c r="D293" s="18" t="s">
        <v>130</v>
      </c>
      <c r="E293" s="18">
        <v>20</v>
      </c>
      <c r="F293" s="18">
        <v>10</v>
      </c>
      <c r="G293" s="18" t="s">
        <v>156</v>
      </c>
      <c r="H293" s="248">
        <f t="shared" si="104"/>
        <v>10</v>
      </c>
      <c r="I293" s="135"/>
      <c r="J293" s="18" t="s">
        <v>181</v>
      </c>
      <c r="K293" s="4">
        <f t="shared" si="88"/>
        <v>30</v>
      </c>
      <c r="L293" s="4">
        <v>30.5</v>
      </c>
      <c r="M293" s="4">
        <f t="shared" si="96"/>
        <v>0.5</v>
      </c>
      <c r="N293" s="5">
        <v>1</v>
      </c>
      <c r="O293" s="5">
        <f t="shared" si="89"/>
        <v>0</v>
      </c>
      <c r="P293" s="31">
        <f t="shared" si="97"/>
        <v>0.5</v>
      </c>
      <c r="Q293" s="31">
        <f t="shared" si="92"/>
        <v>0.5</v>
      </c>
      <c r="R293" s="31">
        <v>25</v>
      </c>
      <c r="S293" s="31">
        <v>20</v>
      </c>
      <c r="T293" s="31">
        <f>0.16+0.28</f>
        <v>0.44000000000000006</v>
      </c>
      <c r="U293" s="31">
        <v>0.42</v>
      </c>
      <c r="V293" s="187">
        <f t="shared" si="105"/>
        <v>84</v>
      </c>
      <c r="W293" s="31">
        <v>3</v>
      </c>
      <c r="X293" s="31"/>
      <c r="Y293" s="31">
        <f t="shared" si="90"/>
        <v>3</v>
      </c>
      <c r="Z293" s="31">
        <f t="shared" si="91"/>
        <v>146.66666666666669</v>
      </c>
      <c r="AA293" s="18">
        <v>0</v>
      </c>
      <c r="AB293" s="18" t="s">
        <v>96</v>
      </c>
      <c r="AC293" s="18" t="s">
        <v>333</v>
      </c>
      <c r="AD293" s="18" t="s">
        <v>337</v>
      </c>
      <c r="AE293" s="18">
        <v>20</v>
      </c>
      <c r="AF293" s="18">
        <v>25</v>
      </c>
      <c r="AG293" s="18" t="s">
        <v>34</v>
      </c>
      <c r="AH293" s="18" t="s">
        <v>34</v>
      </c>
      <c r="AI293" s="18">
        <f>+VLOOKUP(AH293,Leyenda!$O$4:$U$10,6,FALSE)</f>
        <v>0</v>
      </c>
      <c r="AJ293" s="18" t="str">
        <f>+VLOOKUP(AG293,Leyenda!$O$4:$U$10,7,FALSE)</f>
        <v>No Blasting need</v>
      </c>
      <c r="AK293" s="18">
        <f>+VLOOKUP(AJ293,Leyenda!$U$4:$V$10,2,FALSE)</f>
        <v>2</v>
      </c>
      <c r="AL293" s="18" t="s">
        <v>196</v>
      </c>
      <c r="AM293" s="18" t="s">
        <v>34</v>
      </c>
      <c r="AN293" s="18" t="s">
        <v>66</v>
      </c>
      <c r="AO293" s="18" t="s">
        <v>81</v>
      </c>
      <c r="AP293" s="18" t="s">
        <v>96</v>
      </c>
      <c r="AQ293" s="18" t="s">
        <v>109</v>
      </c>
      <c r="AR293" s="18" t="s">
        <v>122</v>
      </c>
      <c r="AS293" s="18" t="s">
        <v>198</v>
      </c>
      <c r="AT293" s="18" t="s">
        <v>260</v>
      </c>
      <c r="AU293" s="18"/>
      <c r="AV293" s="18">
        <f>+VLOOKUP(AN293,Leyenda!$B$30:$E$34,3,FALSE)</f>
        <v>1</v>
      </c>
      <c r="AW293" s="18">
        <f>+VLOOKUP('2. Logging Brejo Seco'!AO293,Meteorizacion,3,FALSE)</f>
        <v>0</v>
      </c>
      <c r="AX293" s="18">
        <f>+VLOOKUP('2. Logging Brejo Seco'!AP293,Apertura,3,FALSE)</f>
        <v>1</v>
      </c>
      <c r="AY293" s="18">
        <f>+VLOOKUP('2. Logging Brejo Seco'!AQ293,Leyenda!$B$55:$D$59,3,FALSE)</f>
        <v>1</v>
      </c>
      <c r="AZ293" s="18">
        <f>+VLOOKUP('2. Logging Brejo Seco'!AR293,Relleno,3,FALSE)</f>
        <v>0</v>
      </c>
      <c r="BA293" s="18">
        <f t="shared" si="106"/>
        <v>3</v>
      </c>
      <c r="BB293" s="49">
        <f t="shared" si="93"/>
        <v>17</v>
      </c>
      <c r="BC293" s="49">
        <f>VLOOKUP(AH293,Leyenda!$B$4:$D$10,3,FALSE)</f>
        <v>0</v>
      </c>
      <c r="BD293" s="50">
        <f t="shared" si="98"/>
        <v>8</v>
      </c>
      <c r="BE293" s="49">
        <f t="shared" si="99"/>
        <v>3</v>
      </c>
      <c r="BF293" s="49">
        <f>VLOOKUP(AS293,Leyenda!$B$70:$D$75,3,FALSE)</f>
        <v>15</v>
      </c>
      <c r="BG293" s="67">
        <f t="shared" si="94"/>
        <v>46.5</v>
      </c>
      <c r="BH293" s="67">
        <f>VLOOKUP(AM293,Leyenda!$B$4:$E$10,4,FALSE)</f>
        <v>0</v>
      </c>
      <c r="BI293" s="67">
        <f t="shared" si="100"/>
        <v>10</v>
      </c>
      <c r="BJ293" s="67">
        <f t="shared" si="95"/>
        <v>17</v>
      </c>
      <c r="BK293" s="67">
        <f>+VLOOKUP('2. Logging Brejo Seco'!AP293,Leyenda!$B$47:$E$51,4,FALSE)</f>
        <v>1</v>
      </c>
      <c r="BL293" s="67">
        <f>+VLOOKUP('2. Logging Brejo Seco'!AQ293,Leyenda!$B$55:$E$59,4,FALSE)</f>
        <v>1</v>
      </c>
      <c r="BM293" s="67">
        <f>+VLOOKUP('2. Logging Brejo Seco'!AR293,Leyenda!$B$63:$E$67,3,FALSE)</f>
        <v>0</v>
      </c>
      <c r="BN293" s="67">
        <f>+VLOOKUP('2. Logging Brejo Seco'!AO293,Leyenda!$B$39:$E$43,4,FALSE)</f>
        <v>0</v>
      </c>
      <c r="BO293" s="67">
        <f>+VLOOKUP('2. Logging Brejo Seco'!AN293,Leyenda!$B$30:$E$34,4,FALSE)</f>
        <v>1</v>
      </c>
      <c r="BP293" s="67">
        <f>VLOOKUP(AS293,Leyenda!$B$71:$E$75,4,FALSE)</f>
        <v>10</v>
      </c>
      <c r="BQ293" s="125">
        <f t="shared" si="101"/>
        <v>40</v>
      </c>
      <c r="BR293" s="85">
        <f t="shared" si="102"/>
        <v>43</v>
      </c>
      <c r="BS293" s="240">
        <f t="shared" si="103"/>
        <v>0</v>
      </c>
      <c r="BT293" s="18"/>
    </row>
    <row r="294" spans="1:72" x14ac:dyDescent="0.25">
      <c r="A294" s="18" t="s">
        <v>6</v>
      </c>
      <c r="B294" s="18">
        <v>2024</v>
      </c>
      <c r="C294" s="18" t="s">
        <v>138</v>
      </c>
      <c r="D294" s="18" t="s">
        <v>130</v>
      </c>
      <c r="E294" s="18">
        <v>20</v>
      </c>
      <c r="F294" s="18">
        <v>20</v>
      </c>
      <c r="G294" s="18" t="s">
        <v>156</v>
      </c>
      <c r="H294" s="248">
        <f t="shared" si="104"/>
        <v>20</v>
      </c>
      <c r="I294" s="135"/>
      <c r="J294" s="18" t="s">
        <v>181</v>
      </c>
      <c r="K294" s="4">
        <f t="shared" si="88"/>
        <v>30.5</v>
      </c>
      <c r="L294" s="4">
        <v>31</v>
      </c>
      <c r="M294" s="4">
        <f t="shared" si="96"/>
        <v>0.5</v>
      </c>
      <c r="N294" s="5">
        <v>1</v>
      </c>
      <c r="O294" s="5">
        <f t="shared" si="89"/>
        <v>0</v>
      </c>
      <c r="P294" s="31">
        <f t="shared" si="97"/>
        <v>0.5</v>
      </c>
      <c r="Q294" s="31">
        <f t="shared" si="92"/>
        <v>0.5</v>
      </c>
      <c r="R294" s="31">
        <v>25</v>
      </c>
      <c r="S294" s="31">
        <v>20</v>
      </c>
      <c r="T294" s="31">
        <v>0.48</v>
      </c>
      <c r="U294" s="31">
        <v>0</v>
      </c>
      <c r="V294" s="187">
        <f t="shared" si="105"/>
        <v>0</v>
      </c>
      <c r="W294" s="31">
        <v>5</v>
      </c>
      <c r="X294" s="31"/>
      <c r="Y294" s="31">
        <f t="shared" si="90"/>
        <v>5</v>
      </c>
      <c r="Z294" s="31">
        <f t="shared" si="91"/>
        <v>96</v>
      </c>
      <c r="AA294" s="18">
        <v>0</v>
      </c>
      <c r="AB294" s="18" t="s">
        <v>96</v>
      </c>
      <c r="AC294" s="18" t="s">
        <v>333</v>
      </c>
      <c r="AD294" s="18" t="s">
        <v>337</v>
      </c>
      <c r="AE294" s="18">
        <v>20</v>
      </c>
      <c r="AF294" s="18">
        <v>25</v>
      </c>
      <c r="AG294" s="18" t="s">
        <v>34</v>
      </c>
      <c r="AH294" s="18" t="s">
        <v>34</v>
      </c>
      <c r="AI294" s="18">
        <f>+VLOOKUP(AH294,Leyenda!$O$4:$U$10,6,FALSE)</f>
        <v>0</v>
      </c>
      <c r="AJ294" s="18" t="str">
        <f>+VLOOKUP(AG294,Leyenda!$O$4:$U$10,7,FALSE)</f>
        <v>No Blasting need</v>
      </c>
      <c r="AK294" s="18">
        <f>+VLOOKUP(AJ294,Leyenda!$U$4:$V$10,2,FALSE)</f>
        <v>2</v>
      </c>
      <c r="AL294" s="18" t="s">
        <v>199</v>
      </c>
      <c r="AM294" s="18" t="s">
        <v>34</v>
      </c>
      <c r="AN294" s="18" t="s">
        <v>64</v>
      </c>
      <c r="AO294" s="18" t="s">
        <v>79</v>
      </c>
      <c r="AP294" s="18" t="s">
        <v>96</v>
      </c>
      <c r="AQ294" s="18" t="s">
        <v>107</v>
      </c>
      <c r="AR294" s="18" t="s">
        <v>120</v>
      </c>
      <c r="AS294" s="18" t="s">
        <v>198</v>
      </c>
      <c r="AT294" s="18"/>
      <c r="AU294" s="18"/>
      <c r="AV294" s="18">
        <f>+VLOOKUP(AN294,Leyenda!$B$30:$E$34,3,FALSE)</f>
        <v>2</v>
      </c>
      <c r="AW294" s="18">
        <f>+VLOOKUP('2. Logging Brejo Seco'!AO294,Meteorizacion,3,FALSE)</f>
        <v>1</v>
      </c>
      <c r="AX294" s="18">
        <f>+VLOOKUP('2. Logging Brejo Seco'!AP294,Apertura,3,FALSE)</f>
        <v>1</v>
      </c>
      <c r="AY294" s="18">
        <f>+VLOOKUP('2. Logging Brejo Seco'!AQ294,Leyenda!$B$55:$D$59,3,FALSE)</f>
        <v>3</v>
      </c>
      <c r="AZ294" s="18">
        <f>+VLOOKUP('2. Logging Brejo Seco'!AR294,Relleno,3,FALSE)</f>
        <v>2</v>
      </c>
      <c r="BA294" s="18">
        <f t="shared" si="106"/>
        <v>9</v>
      </c>
      <c r="BB294" s="49">
        <f t="shared" si="93"/>
        <v>0</v>
      </c>
      <c r="BC294" s="49">
        <f>VLOOKUP(AH294,Leyenda!$B$4:$D$10,3,FALSE)</f>
        <v>0</v>
      </c>
      <c r="BD294" s="50">
        <f t="shared" si="98"/>
        <v>7</v>
      </c>
      <c r="BE294" s="49">
        <f t="shared" si="99"/>
        <v>9</v>
      </c>
      <c r="BF294" s="49">
        <f>VLOOKUP(AS294,Leyenda!$B$70:$D$75,3,FALSE)</f>
        <v>15</v>
      </c>
      <c r="BG294" s="67">
        <f t="shared" si="94"/>
        <v>13.5</v>
      </c>
      <c r="BH294" s="67">
        <f>VLOOKUP(AM294,Leyenda!$B$4:$E$10,4,FALSE)</f>
        <v>0</v>
      </c>
      <c r="BI294" s="67">
        <f t="shared" si="100"/>
        <v>8</v>
      </c>
      <c r="BJ294" s="67">
        <f t="shared" si="95"/>
        <v>0</v>
      </c>
      <c r="BK294" s="67">
        <f>+VLOOKUP('2. Logging Brejo Seco'!AP294,Leyenda!$B$47:$E$51,4,FALSE)</f>
        <v>1</v>
      </c>
      <c r="BL294" s="67">
        <f>+VLOOKUP('2. Logging Brejo Seco'!AQ294,Leyenda!$B$55:$E$59,4,FALSE)</f>
        <v>3</v>
      </c>
      <c r="BM294" s="67">
        <f>+VLOOKUP('2. Logging Brejo Seco'!AR294,Leyenda!$B$63:$E$67,3,FALSE)</f>
        <v>2</v>
      </c>
      <c r="BN294" s="67">
        <f>+VLOOKUP('2. Logging Brejo Seco'!AO294,Leyenda!$B$39:$E$43,4,FALSE)</f>
        <v>1</v>
      </c>
      <c r="BO294" s="67">
        <f>+VLOOKUP('2. Logging Brejo Seco'!AN294,Leyenda!$B$30:$E$34,4,FALSE)</f>
        <v>3</v>
      </c>
      <c r="BP294" s="67">
        <f>VLOOKUP(AS294,Leyenda!$B$71:$E$75,4,FALSE)</f>
        <v>10</v>
      </c>
      <c r="BQ294" s="125">
        <f t="shared" si="101"/>
        <v>28</v>
      </c>
      <c r="BR294" s="85">
        <f t="shared" si="102"/>
        <v>31</v>
      </c>
      <c r="BS294" s="240">
        <f t="shared" si="103"/>
        <v>0</v>
      </c>
      <c r="BT294" s="18"/>
    </row>
    <row r="295" spans="1:72" x14ac:dyDescent="0.25">
      <c r="A295" s="18" t="s">
        <v>6</v>
      </c>
      <c r="B295" s="18">
        <v>2024</v>
      </c>
      <c r="C295" s="18" t="s">
        <v>138</v>
      </c>
      <c r="D295" s="18" t="s">
        <v>130</v>
      </c>
      <c r="E295" s="18">
        <v>20</v>
      </c>
      <c r="F295" s="18">
        <v>20</v>
      </c>
      <c r="G295" s="18" t="s">
        <v>156</v>
      </c>
      <c r="H295" s="248">
        <f t="shared" si="104"/>
        <v>20</v>
      </c>
      <c r="I295" s="135"/>
      <c r="J295" s="18" t="s">
        <v>181</v>
      </c>
      <c r="K295" s="4">
        <f t="shared" si="88"/>
        <v>31</v>
      </c>
      <c r="L295" s="4">
        <v>31.5</v>
      </c>
      <c r="M295" s="4">
        <f t="shared" si="96"/>
        <v>0.5</v>
      </c>
      <c r="N295" s="5">
        <v>1</v>
      </c>
      <c r="O295" s="5">
        <f t="shared" si="89"/>
        <v>0</v>
      </c>
      <c r="P295" s="31">
        <f t="shared" si="97"/>
        <v>0.5</v>
      </c>
      <c r="Q295" s="31">
        <f t="shared" si="92"/>
        <v>0.5</v>
      </c>
      <c r="R295" s="31">
        <v>25</v>
      </c>
      <c r="S295" s="31">
        <v>20</v>
      </c>
      <c r="T295" s="31">
        <v>0.5</v>
      </c>
      <c r="U295" s="31">
        <v>0.14000000000000001</v>
      </c>
      <c r="V295" s="187">
        <f t="shared" si="105"/>
        <v>28.000000000000004</v>
      </c>
      <c r="W295" s="31">
        <v>7</v>
      </c>
      <c r="X295" s="31"/>
      <c r="Y295" s="31">
        <f t="shared" si="90"/>
        <v>7</v>
      </c>
      <c r="Z295" s="31">
        <f t="shared" si="91"/>
        <v>71.428571428571431</v>
      </c>
      <c r="AA295" s="18">
        <v>0</v>
      </c>
      <c r="AB295" s="18" t="s">
        <v>96</v>
      </c>
      <c r="AC295" s="18" t="s">
        <v>333</v>
      </c>
      <c r="AD295" s="18" t="s">
        <v>337</v>
      </c>
      <c r="AE295" s="18">
        <v>20</v>
      </c>
      <c r="AF295" s="18">
        <v>25</v>
      </c>
      <c r="AG295" s="18" t="s">
        <v>34</v>
      </c>
      <c r="AH295" s="18" t="s">
        <v>34</v>
      </c>
      <c r="AI295" s="18">
        <f>+VLOOKUP(AH295,Leyenda!$O$4:$U$10,6,FALSE)</f>
        <v>0</v>
      </c>
      <c r="AJ295" s="18" t="str">
        <f>+VLOOKUP(AG295,Leyenda!$O$4:$U$10,7,FALSE)</f>
        <v>No Blasting need</v>
      </c>
      <c r="AK295" s="18">
        <f>+VLOOKUP(AJ295,Leyenda!$U$4:$V$10,2,FALSE)</f>
        <v>2</v>
      </c>
      <c r="AL295" s="18" t="s">
        <v>196</v>
      </c>
      <c r="AM295" s="18" t="s">
        <v>34</v>
      </c>
      <c r="AN295" s="18" t="s">
        <v>64</v>
      </c>
      <c r="AO295" s="18" t="s">
        <v>79</v>
      </c>
      <c r="AP295" s="18" t="s">
        <v>100</v>
      </c>
      <c r="AQ295" s="18" t="s">
        <v>109</v>
      </c>
      <c r="AR295" s="18" t="s">
        <v>118</v>
      </c>
      <c r="AS295" s="18" t="s">
        <v>198</v>
      </c>
      <c r="AT295" s="18"/>
      <c r="AU295" s="18"/>
      <c r="AV295" s="18">
        <f>+VLOOKUP(AN295,Leyenda!$B$30:$E$34,3,FALSE)</f>
        <v>2</v>
      </c>
      <c r="AW295" s="18">
        <f>+VLOOKUP('2. Logging Brejo Seco'!AO295,Meteorizacion,3,FALSE)</f>
        <v>1</v>
      </c>
      <c r="AX295" s="18">
        <f>+VLOOKUP('2. Logging Brejo Seco'!AP295,Apertura,3,FALSE)</f>
        <v>0</v>
      </c>
      <c r="AY295" s="18">
        <f>+VLOOKUP('2. Logging Brejo Seco'!AQ295,Leyenda!$B$55:$D$59,3,FALSE)</f>
        <v>1</v>
      </c>
      <c r="AZ295" s="18">
        <f>+VLOOKUP('2. Logging Brejo Seco'!AR295,Relleno,3,FALSE)</f>
        <v>2</v>
      </c>
      <c r="BA295" s="18">
        <f t="shared" si="106"/>
        <v>6</v>
      </c>
      <c r="BB295" s="49">
        <f t="shared" si="93"/>
        <v>6</v>
      </c>
      <c r="BC295" s="49">
        <f>VLOOKUP(AH295,Leyenda!$B$4:$D$10,3,FALSE)</f>
        <v>0</v>
      </c>
      <c r="BD295" s="50">
        <f t="shared" si="98"/>
        <v>6</v>
      </c>
      <c r="BE295" s="49">
        <f t="shared" si="99"/>
        <v>6</v>
      </c>
      <c r="BF295" s="49">
        <f>VLOOKUP(AS295,Leyenda!$B$70:$D$75,3,FALSE)</f>
        <v>15</v>
      </c>
      <c r="BG295" s="67">
        <f t="shared" si="94"/>
        <v>23</v>
      </c>
      <c r="BH295" s="67">
        <f>VLOOKUP(AM295,Leyenda!$B$4:$E$10,4,FALSE)</f>
        <v>0</v>
      </c>
      <c r="BI295" s="67">
        <f t="shared" si="100"/>
        <v>6</v>
      </c>
      <c r="BJ295" s="67">
        <f t="shared" si="95"/>
        <v>6</v>
      </c>
      <c r="BK295" s="67">
        <f>+VLOOKUP('2. Logging Brejo Seco'!AP295,Leyenda!$B$47:$E$51,4,FALSE)</f>
        <v>0</v>
      </c>
      <c r="BL295" s="67">
        <f>+VLOOKUP('2. Logging Brejo Seco'!AQ295,Leyenda!$B$55:$E$59,4,FALSE)</f>
        <v>1</v>
      </c>
      <c r="BM295" s="67">
        <f>+VLOOKUP('2. Logging Brejo Seco'!AR295,Leyenda!$B$63:$E$67,3,FALSE)</f>
        <v>2</v>
      </c>
      <c r="BN295" s="67">
        <f>+VLOOKUP('2. Logging Brejo Seco'!AO295,Leyenda!$B$39:$E$43,4,FALSE)</f>
        <v>1</v>
      </c>
      <c r="BO295" s="67">
        <f>+VLOOKUP('2. Logging Brejo Seco'!AN295,Leyenda!$B$30:$E$34,4,FALSE)</f>
        <v>3</v>
      </c>
      <c r="BP295" s="67">
        <f>VLOOKUP(AS295,Leyenda!$B$71:$E$75,4,FALSE)</f>
        <v>10</v>
      </c>
      <c r="BQ295" s="125">
        <f t="shared" si="101"/>
        <v>29</v>
      </c>
      <c r="BR295" s="85">
        <f t="shared" si="102"/>
        <v>33</v>
      </c>
      <c r="BS295" s="240">
        <f t="shared" si="103"/>
        <v>0</v>
      </c>
      <c r="BT295" s="18"/>
    </row>
    <row r="296" spans="1:72" x14ac:dyDescent="0.25">
      <c r="A296" s="18" t="s">
        <v>6</v>
      </c>
      <c r="B296" s="18">
        <v>2024</v>
      </c>
      <c r="C296" s="18" t="s">
        <v>138</v>
      </c>
      <c r="D296" s="18" t="s">
        <v>130</v>
      </c>
      <c r="E296" s="18">
        <v>20</v>
      </c>
      <c r="F296" s="18">
        <v>20</v>
      </c>
      <c r="G296" s="18" t="s">
        <v>156</v>
      </c>
      <c r="H296" s="248">
        <f t="shared" si="104"/>
        <v>20</v>
      </c>
      <c r="I296" s="135"/>
      <c r="J296" s="18" t="s">
        <v>181</v>
      </c>
      <c r="K296" s="4">
        <f t="shared" si="88"/>
        <v>31.5</v>
      </c>
      <c r="L296" s="4">
        <v>32</v>
      </c>
      <c r="M296" s="4">
        <f t="shared" si="96"/>
        <v>0.5</v>
      </c>
      <c r="N296" s="5">
        <v>1</v>
      </c>
      <c r="O296" s="5">
        <f t="shared" si="89"/>
        <v>0</v>
      </c>
      <c r="P296" s="31">
        <f t="shared" si="97"/>
        <v>0.5</v>
      </c>
      <c r="Q296" s="31">
        <f t="shared" si="92"/>
        <v>0.5</v>
      </c>
      <c r="R296" s="31">
        <v>25</v>
      </c>
      <c r="S296" s="31">
        <v>20</v>
      </c>
      <c r="T296" s="31">
        <v>0.41</v>
      </c>
      <c r="U296" s="31">
        <v>0.13</v>
      </c>
      <c r="V296" s="187">
        <f t="shared" si="105"/>
        <v>26</v>
      </c>
      <c r="W296" s="31">
        <v>6</v>
      </c>
      <c r="X296" s="31"/>
      <c r="Y296" s="31">
        <f t="shared" si="90"/>
        <v>6</v>
      </c>
      <c r="Z296" s="31">
        <f t="shared" si="91"/>
        <v>68.333333333333329</v>
      </c>
      <c r="AA296" s="18">
        <v>0</v>
      </c>
      <c r="AB296" s="18" t="s">
        <v>96</v>
      </c>
      <c r="AC296" s="18" t="s">
        <v>333</v>
      </c>
      <c r="AD296" s="18" t="s">
        <v>337</v>
      </c>
      <c r="AE296" s="18">
        <v>20</v>
      </c>
      <c r="AF296" s="18">
        <v>25</v>
      </c>
      <c r="AG296" s="18" t="s">
        <v>32</v>
      </c>
      <c r="AH296" s="18" t="s">
        <v>32</v>
      </c>
      <c r="AI296" s="18" t="str">
        <f>+VLOOKUP(AH296,Leyenda!$O$4:$U$10,6,FALSE)</f>
        <v>0,15-0,25</v>
      </c>
      <c r="AJ296" s="18" t="str">
        <f>+VLOOKUP(AG296,Leyenda!$O$4:$U$10,7,FALSE)</f>
        <v>No Blasting need</v>
      </c>
      <c r="AK296" s="18">
        <f>+VLOOKUP(AJ296,Leyenda!$U$4:$V$10,2,FALSE)</f>
        <v>2</v>
      </c>
      <c r="AL296" s="18" t="s">
        <v>27</v>
      </c>
      <c r="AM296" s="18" t="s">
        <v>32</v>
      </c>
      <c r="AN296" s="18" t="s">
        <v>66</v>
      </c>
      <c r="AO296" s="18" t="s">
        <v>81</v>
      </c>
      <c r="AP296" s="18" t="s">
        <v>100</v>
      </c>
      <c r="AQ296" s="18" t="s">
        <v>109</v>
      </c>
      <c r="AR296" s="18" t="s">
        <v>118</v>
      </c>
      <c r="AS296" s="18" t="s">
        <v>198</v>
      </c>
      <c r="AT296" s="18"/>
      <c r="AU296" s="18"/>
      <c r="AV296" s="18">
        <f>+VLOOKUP(AN296,Leyenda!$B$30:$E$34,3,FALSE)</f>
        <v>1</v>
      </c>
      <c r="AW296" s="18">
        <f>+VLOOKUP('2. Logging Brejo Seco'!AO296,Meteorizacion,3,FALSE)</f>
        <v>0</v>
      </c>
      <c r="AX296" s="18">
        <f>+VLOOKUP('2. Logging Brejo Seco'!AP296,Apertura,3,FALSE)</f>
        <v>0</v>
      </c>
      <c r="AY296" s="18">
        <f>+VLOOKUP('2. Logging Brejo Seco'!AQ296,Leyenda!$B$55:$D$59,3,FALSE)</f>
        <v>1</v>
      </c>
      <c r="AZ296" s="18">
        <f>+VLOOKUP('2. Logging Brejo Seco'!AR296,Relleno,3,FALSE)</f>
        <v>2</v>
      </c>
      <c r="BA296" s="18">
        <f t="shared" si="106"/>
        <v>4</v>
      </c>
      <c r="BB296" s="49">
        <f t="shared" si="93"/>
        <v>6</v>
      </c>
      <c r="BC296" s="49">
        <f>VLOOKUP(AH296,Leyenda!$B$4:$D$10,3,FALSE)</f>
        <v>1</v>
      </c>
      <c r="BD296" s="50">
        <f t="shared" si="98"/>
        <v>6</v>
      </c>
      <c r="BE296" s="49">
        <f t="shared" si="99"/>
        <v>4</v>
      </c>
      <c r="BF296" s="49">
        <f>VLOOKUP(AS296,Leyenda!$B$70:$D$75,3,FALSE)</f>
        <v>15</v>
      </c>
      <c r="BG296" s="67">
        <f t="shared" si="94"/>
        <v>19</v>
      </c>
      <c r="BH296" s="67">
        <f>VLOOKUP(AM296,Leyenda!$B$4:$E$10,4,FALSE)</f>
        <v>1</v>
      </c>
      <c r="BI296" s="67">
        <f t="shared" si="100"/>
        <v>6</v>
      </c>
      <c r="BJ296" s="67">
        <f t="shared" si="95"/>
        <v>6</v>
      </c>
      <c r="BK296" s="67">
        <f>+VLOOKUP('2. Logging Brejo Seco'!AP296,Leyenda!$B$47:$E$51,4,FALSE)</f>
        <v>0</v>
      </c>
      <c r="BL296" s="67">
        <f>+VLOOKUP('2. Logging Brejo Seco'!AQ296,Leyenda!$B$55:$E$59,4,FALSE)</f>
        <v>1</v>
      </c>
      <c r="BM296" s="67">
        <f>+VLOOKUP('2. Logging Brejo Seco'!AR296,Leyenda!$B$63:$E$67,3,FALSE)</f>
        <v>2</v>
      </c>
      <c r="BN296" s="67">
        <f>+VLOOKUP('2. Logging Brejo Seco'!AO296,Leyenda!$B$39:$E$43,4,FALSE)</f>
        <v>0</v>
      </c>
      <c r="BO296" s="67">
        <f>+VLOOKUP('2. Logging Brejo Seco'!AN296,Leyenda!$B$30:$E$34,4,FALSE)</f>
        <v>1</v>
      </c>
      <c r="BP296" s="67">
        <f>VLOOKUP(AS296,Leyenda!$B$71:$E$75,4,FALSE)</f>
        <v>10</v>
      </c>
      <c r="BQ296" s="125">
        <f t="shared" si="101"/>
        <v>27</v>
      </c>
      <c r="BR296" s="85">
        <f t="shared" si="102"/>
        <v>32</v>
      </c>
      <c r="BS296" s="240">
        <f t="shared" si="103"/>
        <v>0</v>
      </c>
      <c r="BT296" s="18"/>
    </row>
    <row r="297" spans="1:72" x14ac:dyDescent="0.25">
      <c r="A297" s="18" t="s">
        <v>6</v>
      </c>
      <c r="B297" s="18">
        <v>2024</v>
      </c>
      <c r="C297" s="18" t="s">
        <v>138</v>
      </c>
      <c r="D297" s="18" t="s">
        <v>130</v>
      </c>
      <c r="E297" s="18">
        <v>20</v>
      </c>
      <c r="F297" s="18">
        <v>20</v>
      </c>
      <c r="G297" s="18" t="s">
        <v>156</v>
      </c>
      <c r="H297" s="248">
        <f t="shared" si="104"/>
        <v>20</v>
      </c>
      <c r="I297" s="135"/>
      <c r="J297" s="18" t="s">
        <v>181</v>
      </c>
      <c r="K297" s="4">
        <f t="shared" si="88"/>
        <v>32</v>
      </c>
      <c r="L297" s="4">
        <v>32.5</v>
      </c>
      <c r="M297" s="4">
        <f t="shared" si="96"/>
        <v>0.5</v>
      </c>
      <c r="N297" s="5">
        <v>1</v>
      </c>
      <c r="O297" s="5">
        <f t="shared" si="89"/>
        <v>0</v>
      </c>
      <c r="P297" s="31">
        <f t="shared" si="97"/>
        <v>0.5</v>
      </c>
      <c r="Q297" s="31">
        <f t="shared" si="92"/>
        <v>0.5</v>
      </c>
      <c r="R297" s="31">
        <v>25</v>
      </c>
      <c r="S297" s="31">
        <v>20</v>
      </c>
      <c r="T297" s="31">
        <v>0.49</v>
      </c>
      <c r="U297" s="31">
        <v>0.1</v>
      </c>
      <c r="V297" s="65">
        <f t="shared" si="105"/>
        <v>20</v>
      </c>
      <c r="W297" s="31">
        <v>4</v>
      </c>
      <c r="X297" s="31"/>
      <c r="Y297" s="31">
        <f t="shared" si="90"/>
        <v>4</v>
      </c>
      <c r="Z297" s="31">
        <f t="shared" si="91"/>
        <v>122.5</v>
      </c>
      <c r="AA297" s="18">
        <v>0</v>
      </c>
      <c r="AB297" s="18" t="s">
        <v>96</v>
      </c>
      <c r="AC297" s="18" t="s">
        <v>333</v>
      </c>
      <c r="AD297" s="18" t="s">
        <v>337</v>
      </c>
      <c r="AE297" s="18">
        <v>20</v>
      </c>
      <c r="AF297" s="18">
        <v>25</v>
      </c>
      <c r="AG297" s="18" t="s">
        <v>32</v>
      </c>
      <c r="AH297" s="18" t="s">
        <v>32</v>
      </c>
      <c r="AI297" s="18" t="str">
        <f>+VLOOKUP(AH297,Leyenda!$O$4:$U$10,6,FALSE)</f>
        <v>0,15-0,25</v>
      </c>
      <c r="AJ297" s="18" t="str">
        <f>+VLOOKUP(AG297,Leyenda!$O$4:$U$10,7,FALSE)</f>
        <v>No Blasting need</v>
      </c>
      <c r="AK297" s="18">
        <f>+VLOOKUP(AJ297,Leyenda!$U$4:$V$10,2,FALSE)</f>
        <v>2</v>
      </c>
      <c r="AL297" s="18" t="s">
        <v>27</v>
      </c>
      <c r="AM297" s="18" t="s">
        <v>32</v>
      </c>
      <c r="AN297" s="18" t="s">
        <v>66</v>
      </c>
      <c r="AO297" s="18" t="s">
        <v>79</v>
      </c>
      <c r="AP297" s="18" t="s">
        <v>96</v>
      </c>
      <c r="AQ297" s="18" t="s">
        <v>107</v>
      </c>
      <c r="AR297" s="18" t="s">
        <v>118</v>
      </c>
      <c r="AS297" s="18" t="s">
        <v>198</v>
      </c>
      <c r="AT297" s="18"/>
      <c r="AU297" s="18"/>
      <c r="AV297" s="18">
        <f>+VLOOKUP(AN297,Leyenda!$B$30:$E$34,3,FALSE)</f>
        <v>1</v>
      </c>
      <c r="AW297" s="18">
        <f>+VLOOKUP('2. Logging Brejo Seco'!AO297,Meteorizacion,3,FALSE)</f>
        <v>1</v>
      </c>
      <c r="AX297" s="18">
        <f>+VLOOKUP('2. Logging Brejo Seco'!AP297,Apertura,3,FALSE)</f>
        <v>1</v>
      </c>
      <c r="AY297" s="18">
        <f>+VLOOKUP('2. Logging Brejo Seco'!AQ297,Leyenda!$B$55:$D$59,3,FALSE)</f>
        <v>3</v>
      </c>
      <c r="AZ297" s="18">
        <f>+VLOOKUP('2. Logging Brejo Seco'!AR297,Relleno,3,FALSE)</f>
        <v>2</v>
      </c>
      <c r="BA297" s="18">
        <f t="shared" si="106"/>
        <v>8</v>
      </c>
      <c r="BB297" s="49">
        <f t="shared" si="93"/>
        <v>4</v>
      </c>
      <c r="BC297" s="49">
        <f>VLOOKUP(AH297,Leyenda!$B$4:$D$10,3,FALSE)</f>
        <v>1</v>
      </c>
      <c r="BD297" s="50">
        <f t="shared" si="98"/>
        <v>8</v>
      </c>
      <c r="BE297" s="49">
        <f t="shared" si="99"/>
        <v>8</v>
      </c>
      <c r="BF297" s="49">
        <f>VLOOKUP(AS297,Leyenda!$B$70:$D$75,3,FALSE)</f>
        <v>15</v>
      </c>
      <c r="BG297" s="67">
        <f t="shared" si="94"/>
        <v>22</v>
      </c>
      <c r="BH297" s="67">
        <f>VLOOKUP(AM297,Leyenda!$B$4:$E$10,4,FALSE)</f>
        <v>1</v>
      </c>
      <c r="BI297" s="67">
        <f t="shared" si="100"/>
        <v>9</v>
      </c>
      <c r="BJ297" s="67">
        <f t="shared" si="95"/>
        <v>4</v>
      </c>
      <c r="BK297" s="67">
        <f>+VLOOKUP('2. Logging Brejo Seco'!AP297,Leyenda!$B$47:$E$51,4,FALSE)</f>
        <v>1</v>
      </c>
      <c r="BL297" s="67">
        <f>+VLOOKUP('2. Logging Brejo Seco'!AQ297,Leyenda!$B$55:$E$59,4,FALSE)</f>
        <v>3</v>
      </c>
      <c r="BM297" s="67">
        <f>+VLOOKUP('2. Logging Brejo Seco'!AR297,Leyenda!$B$63:$E$67,3,FALSE)</f>
        <v>2</v>
      </c>
      <c r="BN297" s="67">
        <f>+VLOOKUP('2. Logging Brejo Seco'!AO297,Leyenda!$B$39:$E$43,4,FALSE)</f>
        <v>1</v>
      </c>
      <c r="BO297" s="67">
        <f>+VLOOKUP('2. Logging Brejo Seco'!AN297,Leyenda!$B$30:$E$34,4,FALSE)</f>
        <v>1</v>
      </c>
      <c r="BP297" s="67">
        <f>VLOOKUP(AS297,Leyenda!$B$71:$E$75,4,FALSE)</f>
        <v>10</v>
      </c>
      <c r="BQ297" s="125">
        <f t="shared" si="101"/>
        <v>32</v>
      </c>
      <c r="BR297" s="85">
        <f t="shared" si="102"/>
        <v>36</v>
      </c>
      <c r="BS297" s="240">
        <f t="shared" si="103"/>
        <v>0</v>
      </c>
      <c r="BT297" s="18"/>
    </row>
    <row r="298" spans="1:72" x14ac:dyDescent="0.25">
      <c r="A298" s="18" t="s">
        <v>6</v>
      </c>
      <c r="B298" s="18">
        <v>2024</v>
      </c>
      <c r="C298" s="18" t="s">
        <v>138</v>
      </c>
      <c r="D298" s="18" t="s">
        <v>130</v>
      </c>
      <c r="E298" s="18">
        <v>20</v>
      </c>
      <c r="F298" s="18">
        <v>20</v>
      </c>
      <c r="G298" s="18" t="s">
        <v>156</v>
      </c>
      <c r="H298" s="248">
        <f t="shared" si="104"/>
        <v>20</v>
      </c>
      <c r="I298" s="135"/>
      <c r="J298" s="18" t="s">
        <v>181</v>
      </c>
      <c r="K298" s="4">
        <f t="shared" si="88"/>
        <v>32.5</v>
      </c>
      <c r="L298" s="4">
        <v>33</v>
      </c>
      <c r="M298" s="4">
        <f t="shared" si="96"/>
        <v>0.5</v>
      </c>
      <c r="N298" s="5">
        <v>1</v>
      </c>
      <c r="O298" s="5">
        <f t="shared" si="89"/>
        <v>0</v>
      </c>
      <c r="P298" s="31">
        <f t="shared" si="97"/>
        <v>0.5</v>
      </c>
      <c r="Q298" s="31">
        <f t="shared" si="92"/>
        <v>0.5</v>
      </c>
      <c r="R298" s="31">
        <v>500</v>
      </c>
      <c r="S298" s="31">
        <v>1</v>
      </c>
      <c r="T298" s="31">
        <v>0.44</v>
      </c>
      <c r="U298" s="31">
        <v>0.22</v>
      </c>
      <c r="V298" s="65">
        <f t="shared" si="105"/>
        <v>44</v>
      </c>
      <c r="W298" s="31">
        <v>3</v>
      </c>
      <c r="X298" s="31"/>
      <c r="Y298" s="31">
        <f t="shared" si="90"/>
        <v>3</v>
      </c>
      <c r="Z298" s="31">
        <f t="shared" si="91"/>
        <v>146.66666666666666</v>
      </c>
      <c r="AA298" s="18">
        <v>30</v>
      </c>
      <c r="AB298" s="18" t="s">
        <v>96</v>
      </c>
      <c r="AC298" s="18" t="s">
        <v>116</v>
      </c>
      <c r="AD298" s="18" t="s">
        <v>337</v>
      </c>
      <c r="AE298" s="18">
        <v>1</v>
      </c>
      <c r="AF298" s="18">
        <v>500</v>
      </c>
      <c r="AG298" s="18" t="s">
        <v>29</v>
      </c>
      <c r="AH298" s="18" t="s">
        <v>29</v>
      </c>
      <c r="AI298" s="18" t="str">
        <f>+VLOOKUP(AH298,Leyenda!$O$4:$U$10,6,FALSE)</f>
        <v>0,25-0,35</v>
      </c>
      <c r="AJ298" s="18" t="str">
        <f>+VLOOKUP(AG298,Leyenda!$O$4:$U$10,7,FALSE)</f>
        <v>No Blasting need</v>
      </c>
      <c r="AK298" s="18">
        <f>+VLOOKUP(AJ298,Leyenda!$U$4:$V$10,2,FALSE)</f>
        <v>2</v>
      </c>
      <c r="AL298" s="18" t="s">
        <v>27</v>
      </c>
      <c r="AM298" s="18" t="s">
        <v>29</v>
      </c>
      <c r="AN298" s="18" t="s">
        <v>66</v>
      </c>
      <c r="AO298" s="18" t="s">
        <v>79</v>
      </c>
      <c r="AP298" s="18" t="s">
        <v>96</v>
      </c>
      <c r="AQ298" s="18" t="s">
        <v>109</v>
      </c>
      <c r="AR298" s="18" t="s">
        <v>120</v>
      </c>
      <c r="AS298" s="18" t="s">
        <v>198</v>
      </c>
      <c r="AT298" s="18"/>
      <c r="AU298" s="18"/>
      <c r="AV298" s="18">
        <f>+VLOOKUP(AN298,Leyenda!$B$30:$E$34,3,FALSE)</f>
        <v>1</v>
      </c>
      <c r="AW298" s="18">
        <f>+VLOOKUP('2. Logging Brejo Seco'!AO298,Meteorizacion,3,FALSE)</f>
        <v>1</v>
      </c>
      <c r="AX298" s="18">
        <f>+VLOOKUP('2. Logging Brejo Seco'!AP298,Apertura,3,FALSE)</f>
        <v>1</v>
      </c>
      <c r="AY298" s="18">
        <f>+VLOOKUP('2. Logging Brejo Seco'!AQ298,Leyenda!$B$55:$D$59,3,FALSE)</f>
        <v>1</v>
      </c>
      <c r="AZ298" s="18">
        <f>+VLOOKUP('2. Logging Brejo Seco'!AR298,Relleno,3,FALSE)</f>
        <v>2</v>
      </c>
      <c r="BA298" s="18">
        <f t="shared" si="106"/>
        <v>6</v>
      </c>
      <c r="BB298" s="49">
        <f t="shared" si="93"/>
        <v>9</v>
      </c>
      <c r="BC298" s="49">
        <f>VLOOKUP(AH298,Leyenda!$B$4:$D$10,3,FALSE)</f>
        <v>2</v>
      </c>
      <c r="BD298" s="50">
        <f t="shared" si="98"/>
        <v>8</v>
      </c>
      <c r="BE298" s="49">
        <f t="shared" si="99"/>
        <v>6</v>
      </c>
      <c r="BF298" s="49">
        <f>VLOOKUP(AS298,Leyenda!$B$70:$D$75,3,FALSE)</f>
        <v>15</v>
      </c>
      <c r="BG298" s="67">
        <f t="shared" si="94"/>
        <v>31</v>
      </c>
      <c r="BH298" s="67">
        <f>VLOOKUP(AM298,Leyenda!$B$4:$E$10,4,FALSE)</f>
        <v>2</v>
      </c>
      <c r="BI298" s="67">
        <f t="shared" si="100"/>
        <v>10</v>
      </c>
      <c r="BJ298" s="67">
        <f t="shared" si="95"/>
        <v>9</v>
      </c>
      <c r="BK298" s="67">
        <f>+VLOOKUP('2. Logging Brejo Seco'!AP298,Leyenda!$B$47:$E$51,4,FALSE)</f>
        <v>1</v>
      </c>
      <c r="BL298" s="67">
        <f>+VLOOKUP('2. Logging Brejo Seco'!AQ298,Leyenda!$B$55:$E$59,4,FALSE)</f>
        <v>1</v>
      </c>
      <c r="BM298" s="67">
        <f>+VLOOKUP('2. Logging Brejo Seco'!AR298,Leyenda!$B$63:$E$67,3,FALSE)</f>
        <v>2</v>
      </c>
      <c r="BN298" s="67">
        <f>+VLOOKUP('2. Logging Brejo Seco'!AO298,Leyenda!$B$39:$E$43,4,FALSE)</f>
        <v>1</v>
      </c>
      <c r="BO298" s="67">
        <f>+VLOOKUP('2. Logging Brejo Seco'!AN298,Leyenda!$B$30:$E$34,4,FALSE)</f>
        <v>1</v>
      </c>
      <c r="BP298" s="67">
        <f>VLOOKUP(AS298,Leyenda!$B$71:$E$75,4,FALSE)</f>
        <v>10</v>
      </c>
      <c r="BQ298" s="125">
        <f t="shared" si="101"/>
        <v>37</v>
      </c>
      <c r="BR298" s="85">
        <f t="shared" si="102"/>
        <v>40</v>
      </c>
      <c r="BS298" s="240">
        <f t="shared" si="103"/>
        <v>0</v>
      </c>
      <c r="BT298" s="18"/>
    </row>
    <row r="299" spans="1:72" x14ac:dyDescent="0.25">
      <c r="A299" s="18" t="s">
        <v>6</v>
      </c>
      <c r="B299" s="18">
        <v>2024</v>
      </c>
      <c r="C299" s="18" t="s">
        <v>138</v>
      </c>
      <c r="D299" s="18" t="s">
        <v>130</v>
      </c>
      <c r="E299" s="18">
        <v>20</v>
      </c>
      <c r="F299" s="18">
        <v>20</v>
      </c>
      <c r="G299" s="18" t="s">
        <v>156</v>
      </c>
      <c r="H299" s="248">
        <f t="shared" si="104"/>
        <v>20</v>
      </c>
      <c r="I299" s="135"/>
      <c r="J299" s="18" t="s">
        <v>181</v>
      </c>
      <c r="K299" s="4">
        <f t="shared" si="88"/>
        <v>33</v>
      </c>
      <c r="L299" s="4">
        <v>33.5</v>
      </c>
      <c r="M299" s="4">
        <f t="shared" si="96"/>
        <v>0.5</v>
      </c>
      <c r="N299" s="5">
        <v>1</v>
      </c>
      <c r="O299" s="5">
        <f t="shared" si="89"/>
        <v>0</v>
      </c>
      <c r="P299" s="31">
        <f t="shared" si="97"/>
        <v>0.5</v>
      </c>
      <c r="Q299" s="31">
        <f t="shared" si="92"/>
        <v>0.5</v>
      </c>
      <c r="R299" s="31">
        <v>500</v>
      </c>
      <c r="S299" s="31">
        <v>1</v>
      </c>
      <c r="T299" s="31">
        <v>0.5</v>
      </c>
      <c r="U299" s="31">
        <v>0.5</v>
      </c>
      <c r="V299" s="65">
        <f t="shared" si="105"/>
        <v>100</v>
      </c>
      <c r="W299" s="31">
        <v>1</v>
      </c>
      <c r="X299" s="31"/>
      <c r="Y299" s="31">
        <f t="shared" si="90"/>
        <v>1</v>
      </c>
      <c r="Z299" s="31">
        <f t="shared" si="91"/>
        <v>500</v>
      </c>
      <c r="AA299" s="18">
        <v>70</v>
      </c>
      <c r="AB299" s="18" t="s">
        <v>100</v>
      </c>
      <c r="AC299" s="18" t="s">
        <v>116</v>
      </c>
      <c r="AD299" s="18" t="s">
        <v>337</v>
      </c>
      <c r="AE299" s="18">
        <v>1</v>
      </c>
      <c r="AF299" s="18">
        <v>500</v>
      </c>
      <c r="AG299" s="18" t="s">
        <v>29</v>
      </c>
      <c r="AH299" s="18" t="s">
        <v>29</v>
      </c>
      <c r="AI299" s="18" t="str">
        <f>+VLOOKUP(AH299,Leyenda!$O$4:$U$10,6,FALSE)</f>
        <v>0,25-0,35</v>
      </c>
      <c r="AJ299" s="18" t="str">
        <f>+VLOOKUP(AG299,Leyenda!$O$4:$U$10,7,FALSE)</f>
        <v>No Blasting need</v>
      </c>
      <c r="AK299" s="18">
        <f>+VLOOKUP(AJ299,Leyenda!$U$4:$V$10,2,FALSE)</f>
        <v>2</v>
      </c>
      <c r="AL299" s="18" t="s">
        <v>27</v>
      </c>
      <c r="AM299" s="18" t="s">
        <v>29</v>
      </c>
      <c r="AN299" s="18" t="s">
        <v>66</v>
      </c>
      <c r="AO299" s="18" t="s">
        <v>79</v>
      </c>
      <c r="AP299" s="18" t="s">
        <v>96</v>
      </c>
      <c r="AQ299" s="18" t="s">
        <v>109</v>
      </c>
      <c r="AR299" s="18" t="s">
        <v>118</v>
      </c>
      <c r="AS299" s="18" t="s">
        <v>198</v>
      </c>
      <c r="AT299" s="18"/>
      <c r="AU299" s="18"/>
      <c r="AV299" s="18">
        <f>+VLOOKUP(AN299,Leyenda!$B$30:$E$34,3,FALSE)</f>
        <v>1</v>
      </c>
      <c r="AW299" s="18">
        <f>+VLOOKUP('2. Logging Brejo Seco'!AO299,Meteorizacion,3,FALSE)</f>
        <v>1</v>
      </c>
      <c r="AX299" s="18">
        <f>+VLOOKUP('2. Logging Brejo Seco'!AP299,Apertura,3,FALSE)</f>
        <v>1</v>
      </c>
      <c r="AY299" s="18">
        <f>+VLOOKUP('2. Logging Brejo Seco'!AQ299,Leyenda!$B$55:$D$59,3,FALSE)</f>
        <v>1</v>
      </c>
      <c r="AZ299" s="18">
        <f>+VLOOKUP('2. Logging Brejo Seco'!AR299,Relleno,3,FALSE)</f>
        <v>2</v>
      </c>
      <c r="BA299" s="18">
        <f t="shared" si="106"/>
        <v>6</v>
      </c>
      <c r="BB299" s="49">
        <f t="shared" si="93"/>
        <v>20</v>
      </c>
      <c r="BC299" s="49">
        <f>VLOOKUP(AH299,Leyenda!$B$4:$D$10,3,FALSE)</f>
        <v>2</v>
      </c>
      <c r="BD299" s="50">
        <f t="shared" si="98"/>
        <v>12</v>
      </c>
      <c r="BE299" s="49">
        <f t="shared" si="99"/>
        <v>6</v>
      </c>
      <c r="BF299" s="49">
        <f>VLOOKUP(AS299,Leyenda!$B$70:$D$75,3,FALSE)</f>
        <v>15</v>
      </c>
      <c r="BG299" s="67">
        <f t="shared" si="94"/>
        <v>59</v>
      </c>
      <c r="BH299" s="67">
        <f>VLOOKUP(AM299,Leyenda!$B$4:$E$10,4,FALSE)</f>
        <v>2</v>
      </c>
      <c r="BI299" s="67">
        <f t="shared" si="100"/>
        <v>18</v>
      </c>
      <c r="BJ299" s="67">
        <f t="shared" si="95"/>
        <v>20</v>
      </c>
      <c r="BK299" s="67">
        <f>+VLOOKUP('2. Logging Brejo Seco'!AP299,Leyenda!$B$47:$E$51,4,FALSE)</f>
        <v>1</v>
      </c>
      <c r="BL299" s="67">
        <f>+VLOOKUP('2. Logging Brejo Seco'!AQ299,Leyenda!$B$55:$E$59,4,FALSE)</f>
        <v>1</v>
      </c>
      <c r="BM299" s="67">
        <f>+VLOOKUP('2. Logging Brejo Seco'!AR299,Leyenda!$B$63:$E$67,3,FALSE)</f>
        <v>2</v>
      </c>
      <c r="BN299" s="67">
        <f>+VLOOKUP('2. Logging Brejo Seco'!AO299,Leyenda!$B$39:$E$43,4,FALSE)</f>
        <v>1</v>
      </c>
      <c r="BO299" s="67">
        <f>+VLOOKUP('2. Logging Brejo Seco'!AN299,Leyenda!$B$30:$E$34,4,FALSE)</f>
        <v>1</v>
      </c>
      <c r="BP299" s="67">
        <f>VLOOKUP(AS299,Leyenda!$B$71:$E$75,4,FALSE)</f>
        <v>10</v>
      </c>
      <c r="BQ299" s="125">
        <f t="shared" si="101"/>
        <v>56</v>
      </c>
      <c r="BR299" s="85">
        <f t="shared" si="102"/>
        <v>55</v>
      </c>
      <c r="BS299" s="240">
        <f t="shared" si="103"/>
        <v>0</v>
      </c>
      <c r="BT299" s="18"/>
    </row>
    <row r="300" spans="1:72" x14ac:dyDescent="0.25">
      <c r="A300" s="18" t="s">
        <v>6</v>
      </c>
      <c r="B300" s="18">
        <v>2024</v>
      </c>
      <c r="C300" s="18" t="s">
        <v>138</v>
      </c>
      <c r="D300" s="18" t="s">
        <v>130</v>
      </c>
      <c r="E300" s="18">
        <v>20</v>
      </c>
      <c r="F300" s="18">
        <v>20</v>
      </c>
      <c r="G300" s="18" t="s">
        <v>156</v>
      </c>
      <c r="H300" s="248">
        <f t="shared" si="104"/>
        <v>20</v>
      </c>
      <c r="I300" s="135"/>
      <c r="J300" s="18" t="s">
        <v>181</v>
      </c>
      <c r="K300" s="4">
        <f t="shared" si="88"/>
        <v>33.5</v>
      </c>
      <c r="L300" s="4">
        <v>34</v>
      </c>
      <c r="M300" s="4">
        <f t="shared" si="96"/>
        <v>0.5</v>
      </c>
      <c r="N300" s="5">
        <v>1</v>
      </c>
      <c r="O300" s="5">
        <f t="shared" si="89"/>
        <v>0</v>
      </c>
      <c r="P300" s="31">
        <f t="shared" si="97"/>
        <v>0.5</v>
      </c>
      <c r="Q300" s="31">
        <f t="shared" si="92"/>
        <v>0.5</v>
      </c>
      <c r="R300" s="31">
        <v>100</v>
      </c>
      <c r="S300" s="31">
        <v>5</v>
      </c>
      <c r="T300" s="31">
        <v>0.47</v>
      </c>
      <c r="U300" s="31">
        <v>0.27</v>
      </c>
      <c r="V300" s="65">
        <f t="shared" si="105"/>
        <v>54</v>
      </c>
      <c r="W300" s="31">
        <v>3</v>
      </c>
      <c r="X300" s="31"/>
      <c r="Y300" s="31">
        <f t="shared" si="90"/>
        <v>3</v>
      </c>
      <c r="Z300" s="31">
        <f t="shared" si="91"/>
        <v>156.66666666666666</v>
      </c>
      <c r="AA300" s="18">
        <v>72</v>
      </c>
      <c r="AB300" s="18" t="s">
        <v>100</v>
      </c>
      <c r="AC300" s="18" t="s">
        <v>118</v>
      </c>
      <c r="AD300" s="18" t="s">
        <v>337</v>
      </c>
      <c r="AE300" s="18">
        <v>5</v>
      </c>
      <c r="AF300" s="18">
        <v>100</v>
      </c>
      <c r="AG300" s="18" t="s">
        <v>29</v>
      </c>
      <c r="AH300" s="18" t="s">
        <v>29</v>
      </c>
      <c r="AI300" s="18" t="str">
        <f>+VLOOKUP(AH300,Leyenda!$O$4:$U$10,6,FALSE)</f>
        <v>0,25-0,35</v>
      </c>
      <c r="AJ300" s="18" t="str">
        <f>+VLOOKUP(AG300,Leyenda!$O$4:$U$10,7,FALSE)</f>
        <v>No Blasting need</v>
      </c>
      <c r="AK300" s="18">
        <f>+VLOOKUP(AJ300,Leyenda!$U$4:$V$10,2,FALSE)</f>
        <v>2</v>
      </c>
      <c r="AL300" s="18" t="s">
        <v>27</v>
      </c>
      <c r="AM300" s="18" t="s">
        <v>29</v>
      </c>
      <c r="AN300" s="18" t="s">
        <v>66</v>
      </c>
      <c r="AO300" s="18" t="s">
        <v>77</v>
      </c>
      <c r="AP300" s="18" t="s">
        <v>96</v>
      </c>
      <c r="AQ300" s="18" t="s">
        <v>109</v>
      </c>
      <c r="AR300" s="18" t="s">
        <v>118</v>
      </c>
      <c r="AS300" s="18" t="s">
        <v>198</v>
      </c>
      <c r="AT300" s="18"/>
      <c r="AU300" s="18"/>
      <c r="AV300" s="18">
        <f>+VLOOKUP(AN300,Leyenda!$B$30:$E$34,3,FALSE)</f>
        <v>1</v>
      </c>
      <c r="AW300" s="18">
        <f>+VLOOKUP('2. Logging Brejo Seco'!AO300,Meteorizacion,3,FALSE)</f>
        <v>3</v>
      </c>
      <c r="AX300" s="18">
        <f>+VLOOKUP('2. Logging Brejo Seco'!AP300,Apertura,3,FALSE)</f>
        <v>1</v>
      </c>
      <c r="AY300" s="18">
        <f>+VLOOKUP('2. Logging Brejo Seco'!AQ300,Leyenda!$B$55:$D$59,3,FALSE)</f>
        <v>1</v>
      </c>
      <c r="AZ300" s="18">
        <f>+VLOOKUP('2. Logging Brejo Seco'!AR300,Relleno,3,FALSE)</f>
        <v>2</v>
      </c>
      <c r="BA300" s="18">
        <f t="shared" si="106"/>
        <v>8</v>
      </c>
      <c r="BB300" s="49">
        <f t="shared" si="93"/>
        <v>11</v>
      </c>
      <c r="BC300" s="49">
        <f>VLOOKUP(AH300,Leyenda!$B$4:$D$10,3,FALSE)</f>
        <v>2</v>
      </c>
      <c r="BD300" s="50">
        <f t="shared" si="98"/>
        <v>8</v>
      </c>
      <c r="BE300" s="49">
        <f t="shared" si="99"/>
        <v>8</v>
      </c>
      <c r="BF300" s="49">
        <f>VLOOKUP(AS300,Leyenda!$B$70:$D$75,3,FALSE)</f>
        <v>15</v>
      </c>
      <c r="BG300" s="67">
        <f t="shared" si="94"/>
        <v>39</v>
      </c>
      <c r="BH300" s="67">
        <f>VLOOKUP(AM300,Leyenda!$B$4:$E$10,4,FALSE)</f>
        <v>2</v>
      </c>
      <c r="BI300" s="67">
        <f t="shared" si="100"/>
        <v>11</v>
      </c>
      <c r="BJ300" s="67">
        <f t="shared" si="95"/>
        <v>11</v>
      </c>
      <c r="BK300" s="67">
        <f>+VLOOKUP('2. Logging Brejo Seco'!AP300,Leyenda!$B$47:$E$51,4,FALSE)</f>
        <v>1</v>
      </c>
      <c r="BL300" s="67">
        <f>+VLOOKUP('2. Logging Brejo Seco'!AQ300,Leyenda!$B$55:$E$59,4,FALSE)</f>
        <v>1</v>
      </c>
      <c r="BM300" s="67">
        <f>+VLOOKUP('2. Logging Brejo Seco'!AR300,Leyenda!$B$63:$E$67,3,FALSE)</f>
        <v>2</v>
      </c>
      <c r="BN300" s="67">
        <f>+VLOOKUP('2. Logging Brejo Seco'!AO300,Leyenda!$B$39:$E$43,4,FALSE)</f>
        <v>3</v>
      </c>
      <c r="BO300" s="67">
        <f>+VLOOKUP('2. Logging Brejo Seco'!AN300,Leyenda!$B$30:$E$34,4,FALSE)</f>
        <v>1</v>
      </c>
      <c r="BP300" s="67">
        <f>VLOOKUP(AS300,Leyenda!$B$71:$E$75,4,FALSE)</f>
        <v>10</v>
      </c>
      <c r="BQ300" s="125">
        <f t="shared" si="101"/>
        <v>42</v>
      </c>
      <c r="BR300" s="85">
        <f t="shared" si="102"/>
        <v>44</v>
      </c>
      <c r="BS300" s="240">
        <f t="shared" si="103"/>
        <v>0</v>
      </c>
      <c r="BT300" s="18"/>
    </row>
    <row r="301" spans="1:72" x14ac:dyDescent="0.25">
      <c r="A301" s="18" t="s">
        <v>6</v>
      </c>
      <c r="B301" s="18">
        <v>2024</v>
      </c>
      <c r="C301" s="18" t="s">
        <v>138</v>
      </c>
      <c r="D301" s="18" t="s">
        <v>130</v>
      </c>
      <c r="E301" s="18">
        <v>20</v>
      </c>
      <c r="F301" s="18">
        <v>20</v>
      </c>
      <c r="G301" s="18" t="s">
        <v>156</v>
      </c>
      <c r="H301" s="248">
        <f t="shared" si="104"/>
        <v>20</v>
      </c>
      <c r="I301" s="135"/>
      <c r="J301" s="18" t="s">
        <v>181</v>
      </c>
      <c r="K301" s="4">
        <f t="shared" si="88"/>
        <v>34</v>
      </c>
      <c r="L301" s="4">
        <v>34.5</v>
      </c>
      <c r="M301" s="4">
        <f t="shared" si="96"/>
        <v>0.5</v>
      </c>
      <c r="N301" s="5">
        <v>1</v>
      </c>
      <c r="O301" s="5">
        <f t="shared" si="89"/>
        <v>0</v>
      </c>
      <c r="P301" s="31">
        <f t="shared" si="97"/>
        <v>0.5</v>
      </c>
      <c r="Q301" s="31">
        <f t="shared" si="92"/>
        <v>0.5</v>
      </c>
      <c r="R301" s="31">
        <v>25</v>
      </c>
      <c r="S301" s="31">
        <v>20</v>
      </c>
      <c r="T301" s="31">
        <v>0.48</v>
      </c>
      <c r="U301" s="31">
        <v>0</v>
      </c>
      <c r="V301" s="65">
        <f t="shared" si="105"/>
        <v>0</v>
      </c>
      <c r="W301" s="31">
        <v>8</v>
      </c>
      <c r="X301" s="31"/>
      <c r="Y301" s="31">
        <f t="shared" si="90"/>
        <v>8</v>
      </c>
      <c r="Z301" s="31">
        <f t="shared" si="91"/>
        <v>60</v>
      </c>
      <c r="AA301" s="18">
        <v>0</v>
      </c>
      <c r="AB301" s="18" t="s">
        <v>100</v>
      </c>
      <c r="AC301" s="18" t="s">
        <v>333</v>
      </c>
      <c r="AD301" s="18" t="s">
        <v>337</v>
      </c>
      <c r="AE301" s="18">
        <v>20</v>
      </c>
      <c r="AF301" s="18">
        <v>25</v>
      </c>
      <c r="AG301" s="18" t="s">
        <v>32</v>
      </c>
      <c r="AH301" s="18" t="s">
        <v>32</v>
      </c>
      <c r="AI301" s="18" t="str">
        <f>+VLOOKUP(AH301,Leyenda!$O$4:$U$10,6,FALSE)</f>
        <v>0,15-0,25</v>
      </c>
      <c r="AJ301" s="18" t="str">
        <f>+VLOOKUP(AG301,Leyenda!$O$4:$U$10,7,FALSE)</f>
        <v>No Blasting need</v>
      </c>
      <c r="AK301" s="18">
        <f>+VLOOKUP(AJ301,Leyenda!$U$4:$V$10,2,FALSE)</f>
        <v>2</v>
      </c>
      <c r="AL301" s="18" t="s">
        <v>27</v>
      </c>
      <c r="AM301" s="18" t="s">
        <v>32</v>
      </c>
      <c r="AN301" s="18" t="s">
        <v>66</v>
      </c>
      <c r="AO301" s="18" t="s">
        <v>79</v>
      </c>
      <c r="AP301" s="18" t="s">
        <v>96</v>
      </c>
      <c r="AQ301" s="18" t="s">
        <v>109</v>
      </c>
      <c r="AR301" s="18" t="s">
        <v>118</v>
      </c>
      <c r="AS301" s="18" t="s">
        <v>198</v>
      </c>
      <c r="AT301" s="18"/>
      <c r="AU301" s="18"/>
      <c r="AV301" s="18">
        <f>+VLOOKUP(AN301,Leyenda!$B$30:$E$34,3,FALSE)</f>
        <v>1</v>
      </c>
      <c r="AW301" s="18">
        <f>+VLOOKUP('2. Logging Brejo Seco'!AO301,Meteorizacion,3,FALSE)</f>
        <v>1</v>
      </c>
      <c r="AX301" s="18">
        <f>+VLOOKUP('2. Logging Brejo Seco'!AP301,Apertura,3,FALSE)</f>
        <v>1</v>
      </c>
      <c r="AY301" s="18">
        <f>+VLOOKUP('2. Logging Brejo Seco'!AQ301,Leyenda!$B$55:$D$59,3,FALSE)</f>
        <v>1</v>
      </c>
      <c r="AZ301" s="18">
        <f>+VLOOKUP('2. Logging Brejo Seco'!AR301,Relleno,3,FALSE)</f>
        <v>2</v>
      </c>
      <c r="BA301" s="18">
        <f t="shared" si="106"/>
        <v>6</v>
      </c>
      <c r="BB301" s="49">
        <f t="shared" si="93"/>
        <v>0</v>
      </c>
      <c r="BC301" s="49">
        <f>VLOOKUP(AH301,Leyenda!$B$4:$D$10,3,FALSE)</f>
        <v>1</v>
      </c>
      <c r="BD301" s="50">
        <f t="shared" si="98"/>
        <v>6</v>
      </c>
      <c r="BE301" s="49">
        <f t="shared" si="99"/>
        <v>6</v>
      </c>
      <c r="BF301" s="49">
        <f>VLOOKUP(AS301,Leyenda!$B$70:$D$75,3,FALSE)</f>
        <v>15</v>
      </c>
      <c r="BG301" s="67">
        <f t="shared" si="94"/>
        <v>9</v>
      </c>
      <c r="BH301" s="67">
        <f>VLOOKUP(AM301,Leyenda!$B$4:$E$10,4,FALSE)</f>
        <v>1</v>
      </c>
      <c r="BI301" s="67">
        <f t="shared" si="100"/>
        <v>5</v>
      </c>
      <c r="BJ301" s="67">
        <f t="shared" si="95"/>
        <v>0</v>
      </c>
      <c r="BK301" s="67">
        <f>+VLOOKUP('2. Logging Brejo Seco'!AP301,Leyenda!$B$47:$E$51,4,FALSE)</f>
        <v>1</v>
      </c>
      <c r="BL301" s="67">
        <f>+VLOOKUP('2. Logging Brejo Seco'!AQ301,Leyenda!$B$55:$E$59,4,FALSE)</f>
        <v>1</v>
      </c>
      <c r="BM301" s="67">
        <f>+VLOOKUP('2. Logging Brejo Seco'!AR301,Leyenda!$B$63:$E$67,3,FALSE)</f>
        <v>2</v>
      </c>
      <c r="BN301" s="67">
        <f>+VLOOKUP('2. Logging Brejo Seco'!AO301,Leyenda!$B$39:$E$43,4,FALSE)</f>
        <v>1</v>
      </c>
      <c r="BO301" s="67">
        <f>+VLOOKUP('2. Logging Brejo Seco'!AN301,Leyenda!$B$30:$E$34,4,FALSE)</f>
        <v>1</v>
      </c>
      <c r="BP301" s="67">
        <f>VLOOKUP(AS301,Leyenda!$B$71:$E$75,4,FALSE)</f>
        <v>10</v>
      </c>
      <c r="BQ301" s="125">
        <f t="shared" si="101"/>
        <v>22</v>
      </c>
      <c r="BR301" s="85">
        <f t="shared" si="102"/>
        <v>28</v>
      </c>
      <c r="BS301" s="240">
        <f t="shared" si="103"/>
        <v>0</v>
      </c>
      <c r="BT301" s="18"/>
    </row>
    <row r="302" spans="1:72" x14ac:dyDescent="0.25">
      <c r="A302" s="18" t="s">
        <v>6</v>
      </c>
      <c r="B302" s="18">
        <v>2024</v>
      </c>
      <c r="C302" s="18" t="s">
        <v>138</v>
      </c>
      <c r="D302" s="18" t="s">
        <v>130</v>
      </c>
      <c r="E302" s="18">
        <v>20</v>
      </c>
      <c r="F302" s="18">
        <v>20</v>
      </c>
      <c r="G302" s="18" t="s">
        <v>156</v>
      </c>
      <c r="H302" s="248">
        <f t="shared" si="104"/>
        <v>20</v>
      </c>
      <c r="I302" s="135"/>
      <c r="J302" s="18" t="s">
        <v>181</v>
      </c>
      <c r="K302" s="4">
        <f t="shared" ref="K302:K352" si="107">+L301</f>
        <v>34.5</v>
      </c>
      <c r="L302" s="4">
        <v>35</v>
      </c>
      <c r="M302" s="4">
        <f t="shared" si="96"/>
        <v>0.5</v>
      </c>
      <c r="N302" s="5">
        <v>1</v>
      </c>
      <c r="O302" s="5">
        <f t="shared" si="89"/>
        <v>0</v>
      </c>
      <c r="P302" s="31">
        <f t="shared" si="97"/>
        <v>0.5</v>
      </c>
      <c r="Q302" s="31">
        <f t="shared" si="92"/>
        <v>0.5</v>
      </c>
      <c r="R302" s="31">
        <v>500</v>
      </c>
      <c r="S302" s="31">
        <v>1</v>
      </c>
      <c r="T302" s="31">
        <v>0.4</v>
      </c>
      <c r="U302" s="31">
        <v>0.25</v>
      </c>
      <c r="V302" s="65">
        <f t="shared" si="105"/>
        <v>50</v>
      </c>
      <c r="W302" s="31">
        <v>3</v>
      </c>
      <c r="X302" s="31"/>
      <c r="Y302" s="31">
        <f t="shared" si="90"/>
        <v>3</v>
      </c>
      <c r="Z302" s="31">
        <f t="shared" si="91"/>
        <v>133.33333333333334</v>
      </c>
      <c r="AA302" s="18">
        <v>52</v>
      </c>
      <c r="AB302" s="18" t="s">
        <v>100</v>
      </c>
      <c r="AC302" s="18" t="s">
        <v>116</v>
      </c>
      <c r="AD302" s="18" t="s">
        <v>337</v>
      </c>
      <c r="AE302" s="18">
        <v>1</v>
      </c>
      <c r="AF302" s="18">
        <v>500</v>
      </c>
      <c r="AG302" s="18" t="s">
        <v>29</v>
      </c>
      <c r="AH302" s="18" t="s">
        <v>29</v>
      </c>
      <c r="AI302" s="18" t="str">
        <f>+VLOOKUP(AH302,Leyenda!$O$4:$U$10,6,FALSE)</f>
        <v>0,25-0,35</v>
      </c>
      <c r="AJ302" s="18" t="str">
        <f>+VLOOKUP(AG302,Leyenda!$O$4:$U$10,7,FALSE)</f>
        <v>No Blasting need</v>
      </c>
      <c r="AK302" s="18">
        <f>+VLOOKUP(AJ302,Leyenda!$U$4:$V$10,2,FALSE)</f>
        <v>2</v>
      </c>
      <c r="AL302" s="18" t="s">
        <v>29</v>
      </c>
      <c r="AM302" s="18" t="s">
        <v>29</v>
      </c>
      <c r="AN302" s="18" t="s">
        <v>66</v>
      </c>
      <c r="AO302" s="18" t="s">
        <v>79</v>
      </c>
      <c r="AP302" s="18" t="s">
        <v>96</v>
      </c>
      <c r="AQ302" s="18" t="s">
        <v>109</v>
      </c>
      <c r="AR302" s="18" t="s">
        <v>120</v>
      </c>
      <c r="AS302" s="18" t="s">
        <v>198</v>
      </c>
      <c r="AT302" s="18"/>
      <c r="AU302" s="18"/>
      <c r="AV302" s="18">
        <f>+VLOOKUP(AN302,Leyenda!$B$30:$E$34,3,FALSE)</f>
        <v>1</v>
      </c>
      <c r="AW302" s="18">
        <f>+VLOOKUP('2. Logging Brejo Seco'!AO302,Meteorizacion,3,FALSE)</f>
        <v>1</v>
      </c>
      <c r="AX302" s="18">
        <f>+VLOOKUP('2. Logging Brejo Seco'!AP302,Apertura,3,FALSE)</f>
        <v>1</v>
      </c>
      <c r="AY302" s="18">
        <f>+VLOOKUP('2. Logging Brejo Seco'!AQ302,Leyenda!$B$55:$D$59,3,FALSE)</f>
        <v>1</v>
      </c>
      <c r="AZ302" s="18">
        <f>+VLOOKUP('2. Logging Brejo Seco'!AR302,Relleno,3,FALSE)</f>
        <v>2</v>
      </c>
      <c r="BA302" s="18">
        <f t="shared" si="106"/>
        <v>6</v>
      </c>
      <c r="BB302" s="49">
        <f t="shared" si="93"/>
        <v>10</v>
      </c>
      <c r="BC302" s="49">
        <f>VLOOKUP(AH302,Leyenda!$B$4:$D$10,3,FALSE)</f>
        <v>2</v>
      </c>
      <c r="BD302" s="50">
        <f t="shared" si="98"/>
        <v>8</v>
      </c>
      <c r="BE302" s="49">
        <f t="shared" si="99"/>
        <v>6</v>
      </c>
      <c r="BF302" s="49">
        <f>VLOOKUP(AS302,Leyenda!$B$70:$D$75,3,FALSE)</f>
        <v>15</v>
      </c>
      <c r="BG302" s="67">
        <f t="shared" si="94"/>
        <v>34</v>
      </c>
      <c r="BH302" s="67">
        <f>VLOOKUP(AM302,Leyenda!$B$4:$E$10,4,FALSE)</f>
        <v>2</v>
      </c>
      <c r="BI302" s="67">
        <f t="shared" si="100"/>
        <v>10</v>
      </c>
      <c r="BJ302" s="67">
        <f t="shared" si="95"/>
        <v>10</v>
      </c>
      <c r="BK302" s="67">
        <f>+VLOOKUP('2. Logging Brejo Seco'!AP302,Leyenda!$B$47:$E$51,4,FALSE)</f>
        <v>1</v>
      </c>
      <c r="BL302" s="67">
        <f>+VLOOKUP('2. Logging Brejo Seco'!AQ302,Leyenda!$B$55:$E$59,4,FALSE)</f>
        <v>1</v>
      </c>
      <c r="BM302" s="67">
        <f>+VLOOKUP('2. Logging Brejo Seco'!AR302,Leyenda!$B$63:$E$67,3,FALSE)</f>
        <v>2</v>
      </c>
      <c r="BN302" s="67">
        <f>+VLOOKUP('2. Logging Brejo Seco'!AO302,Leyenda!$B$39:$E$43,4,FALSE)</f>
        <v>1</v>
      </c>
      <c r="BO302" s="67">
        <f>+VLOOKUP('2. Logging Brejo Seco'!AN302,Leyenda!$B$30:$E$34,4,FALSE)</f>
        <v>1</v>
      </c>
      <c r="BP302" s="67">
        <f>VLOOKUP(AS302,Leyenda!$B$71:$E$75,4,FALSE)</f>
        <v>10</v>
      </c>
      <c r="BQ302" s="125">
        <f t="shared" si="101"/>
        <v>38</v>
      </c>
      <c r="BR302" s="85">
        <f t="shared" si="102"/>
        <v>41</v>
      </c>
      <c r="BS302" s="240">
        <f t="shared" si="103"/>
        <v>0</v>
      </c>
      <c r="BT302" s="18"/>
    </row>
    <row r="303" spans="1:72" x14ac:dyDescent="0.25">
      <c r="A303" s="18" t="s">
        <v>6</v>
      </c>
      <c r="B303" s="18">
        <v>2024</v>
      </c>
      <c r="C303" s="18" t="s">
        <v>138</v>
      </c>
      <c r="D303" s="18" t="s">
        <v>130</v>
      </c>
      <c r="E303" s="18">
        <v>20</v>
      </c>
      <c r="F303" s="18">
        <v>20</v>
      </c>
      <c r="G303" s="18" t="s">
        <v>156</v>
      </c>
      <c r="H303" s="248">
        <f t="shared" si="104"/>
        <v>20</v>
      </c>
      <c r="I303" s="135"/>
      <c r="J303" s="18" t="s">
        <v>181</v>
      </c>
      <c r="K303" s="4">
        <f t="shared" si="107"/>
        <v>35</v>
      </c>
      <c r="L303" s="4">
        <v>35.5</v>
      </c>
      <c r="M303" s="4">
        <f t="shared" si="96"/>
        <v>0.5</v>
      </c>
      <c r="N303" s="5">
        <v>1</v>
      </c>
      <c r="O303" s="5">
        <f t="shared" si="89"/>
        <v>0</v>
      </c>
      <c r="P303" s="31">
        <f t="shared" si="97"/>
        <v>0.5</v>
      </c>
      <c r="Q303" s="31">
        <f t="shared" si="92"/>
        <v>0.5</v>
      </c>
      <c r="R303" s="31">
        <v>25</v>
      </c>
      <c r="S303" s="31">
        <v>20</v>
      </c>
      <c r="T303" s="31">
        <f>0.28+0.15</f>
        <v>0.43000000000000005</v>
      </c>
      <c r="U303" s="31">
        <v>0</v>
      </c>
      <c r="V303" s="65">
        <f t="shared" si="105"/>
        <v>0</v>
      </c>
      <c r="W303" s="31">
        <v>5</v>
      </c>
      <c r="X303" s="31"/>
      <c r="Y303" s="31">
        <f t="shared" si="90"/>
        <v>5</v>
      </c>
      <c r="Z303" s="31">
        <f t="shared" si="91"/>
        <v>86.000000000000014</v>
      </c>
      <c r="AA303" s="18">
        <v>0</v>
      </c>
      <c r="AB303" s="18" t="s">
        <v>100</v>
      </c>
      <c r="AC303" s="18" t="s">
        <v>333</v>
      </c>
      <c r="AD303" s="18" t="s">
        <v>337</v>
      </c>
      <c r="AE303" s="18">
        <v>20</v>
      </c>
      <c r="AF303" s="18">
        <v>25</v>
      </c>
      <c r="AG303" s="18" t="s">
        <v>29</v>
      </c>
      <c r="AH303" s="18" t="s">
        <v>29</v>
      </c>
      <c r="AI303" s="18" t="str">
        <f>+VLOOKUP(AH303,Leyenda!$O$4:$U$10,6,FALSE)</f>
        <v>0,25-0,35</v>
      </c>
      <c r="AJ303" s="18" t="str">
        <f>+VLOOKUP(AG303,Leyenda!$O$4:$U$10,7,FALSE)</f>
        <v>No Blasting need</v>
      </c>
      <c r="AK303" s="18">
        <f>+VLOOKUP(AJ303,Leyenda!$U$4:$V$10,2,FALSE)</f>
        <v>2</v>
      </c>
      <c r="AL303" s="18" t="s">
        <v>29</v>
      </c>
      <c r="AM303" s="18" t="s">
        <v>29</v>
      </c>
      <c r="AN303" s="18" t="s">
        <v>66</v>
      </c>
      <c r="AO303" s="18" t="s">
        <v>79</v>
      </c>
      <c r="AP303" s="18" t="s">
        <v>96</v>
      </c>
      <c r="AQ303" s="18" t="s">
        <v>107</v>
      </c>
      <c r="AR303" s="18" t="s">
        <v>580</v>
      </c>
      <c r="AS303" s="18" t="s">
        <v>198</v>
      </c>
      <c r="AT303" s="18"/>
      <c r="AU303" s="18"/>
      <c r="AV303" s="18">
        <f>+VLOOKUP(AN303,Leyenda!$B$30:$E$34,3,FALSE)</f>
        <v>1</v>
      </c>
      <c r="AW303" s="18">
        <f>+VLOOKUP('2. Logging Brejo Seco'!AO303,Meteorizacion,3,FALSE)</f>
        <v>1</v>
      </c>
      <c r="AX303" s="18">
        <f>+VLOOKUP('2. Logging Brejo Seco'!AP303,Apertura,3,FALSE)</f>
        <v>1</v>
      </c>
      <c r="AY303" s="18">
        <f>+VLOOKUP('2. Logging Brejo Seco'!AQ303,Leyenda!$B$55:$D$59,3,FALSE)</f>
        <v>3</v>
      </c>
      <c r="AZ303" s="18">
        <f>+VLOOKUP('2. Logging Brejo Seco'!AR303,Relleno,3,FALSE)</f>
        <v>2</v>
      </c>
      <c r="BA303" s="18">
        <f t="shared" si="106"/>
        <v>8</v>
      </c>
      <c r="BB303" s="49">
        <f t="shared" si="93"/>
        <v>0</v>
      </c>
      <c r="BC303" s="49">
        <f>VLOOKUP(AH303,Leyenda!$B$4:$D$10,3,FALSE)</f>
        <v>2</v>
      </c>
      <c r="BD303" s="50">
        <f t="shared" si="98"/>
        <v>7</v>
      </c>
      <c r="BE303" s="49">
        <f t="shared" si="99"/>
        <v>8</v>
      </c>
      <c r="BF303" s="49">
        <f>VLOOKUP(AS303,Leyenda!$B$70:$D$75,3,FALSE)</f>
        <v>15</v>
      </c>
      <c r="BG303" s="67">
        <f t="shared" si="94"/>
        <v>12</v>
      </c>
      <c r="BH303" s="67">
        <f>VLOOKUP(AM303,Leyenda!$B$4:$E$10,4,FALSE)</f>
        <v>2</v>
      </c>
      <c r="BI303" s="67">
        <f t="shared" si="100"/>
        <v>7</v>
      </c>
      <c r="BJ303" s="67">
        <f t="shared" si="95"/>
        <v>0</v>
      </c>
      <c r="BK303" s="67">
        <f>+VLOOKUP('2. Logging Brejo Seco'!AP303,Leyenda!$B$47:$E$51,4,FALSE)</f>
        <v>1</v>
      </c>
      <c r="BL303" s="67">
        <f>+VLOOKUP('2. Logging Brejo Seco'!AQ303,Leyenda!$B$55:$E$59,4,FALSE)</f>
        <v>3</v>
      </c>
      <c r="BM303" s="67">
        <f>+VLOOKUP('2. Logging Brejo Seco'!AR303,Leyenda!$B$63:$E$67,3,FALSE)</f>
        <v>2</v>
      </c>
      <c r="BN303" s="67">
        <f>+VLOOKUP('2. Logging Brejo Seco'!AO303,Leyenda!$B$39:$E$43,4,FALSE)</f>
        <v>1</v>
      </c>
      <c r="BO303" s="67">
        <f>+VLOOKUP('2. Logging Brejo Seco'!AN303,Leyenda!$B$30:$E$34,4,FALSE)</f>
        <v>1</v>
      </c>
      <c r="BP303" s="67">
        <f>VLOOKUP(AS303,Leyenda!$B$71:$E$75,4,FALSE)</f>
        <v>10</v>
      </c>
      <c r="BQ303" s="125">
        <f t="shared" si="101"/>
        <v>27</v>
      </c>
      <c r="BR303" s="85">
        <f t="shared" si="102"/>
        <v>32</v>
      </c>
      <c r="BS303" s="240">
        <f t="shared" si="103"/>
        <v>0</v>
      </c>
      <c r="BT303" s="18"/>
    </row>
    <row r="304" spans="1:72" x14ac:dyDescent="0.25">
      <c r="A304" s="18" t="s">
        <v>6</v>
      </c>
      <c r="B304" s="18">
        <v>2024</v>
      </c>
      <c r="C304" s="18" t="s">
        <v>138</v>
      </c>
      <c r="D304" s="18" t="s">
        <v>130</v>
      </c>
      <c r="E304" s="18">
        <v>20</v>
      </c>
      <c r="F304" s="18">
        <v>20</v>
      </c>
      <c r="G304" s="18" t="s">
        <v>156</v>
      </c>
      <c r="H304" s="248">
        <f t="shared" si="104"/>
        <v>20</v>
      </c>
      <c r="I304" s="135"/>
      <c r="J304" s="18" t="s">
        <v>181</v>
      </c>
      <c r="K304" s="4">
        <f t="shared" si="107"/>
        <v>35.5</v>
      </c>
      <c r="L304" s="4">
        <v>36</v>
      </c>
      <c r="M304" s="4">
        <f t="shared" si="96"/>
        <v>0.5</v>
      </c>
      <c r="N304" s="5">
        <v>1</v>
      </c>
      <c r="O304" s="5">
        <f t="shared" si="89"/>
        <v>0</v>
      </c>
      <c r="P304" s="31">
        <f t="shared" si="97"/>
        <v>0.5</v>
      </c>
      <c r="Q304" s="31">
        <f t="shared" si="92"/>
        <v>0.5</v>
      </c>
      <c r="R304" s="31">
        <v>25</v>
      </c>
      <c r="S304" s="31">
        <v>20</v>
      </c>
      <c r="T304" s="31">
        <v>0.5</v>
      </c>
      <c r="U304" s="31">
        <v>0</v>
      </c>
      <c r="V304" s="65">
        <f t="shared" si="105"/>
        <v>0</v>
      </c>
      <c r="W304" s="31">
        <v>8</v>
      </c>
      <c r="X304" s="31"/>
      <c r="Y304" s="31">
        <f t="shared" si="90"/>
        <v>8</v>
      </c>
      <c r="Z304" s="31">
        <f t="shared" si="91"/>
        <v>62.5</v>
      </c>
      <c r="AA304" s="18">
        <v>0</v>
      </c>
      <c r="AB304" s="18" t="s">
        <v>100</v>
      </c>
      <c r="AC304" s="18" t="s">
        <v>333</v>
      </c>
      <c r="AD304" s="18" t="s">
        <v>337</v>
      </c>
      <c r="AE304" s="18">
        <v>20</v>
      </c>
      <c r="AF304" s="18">
        <v>25</v>
      </c>
      <c r="AG304" s="18" t="s">
        <v>34</v>
      </c>
      <c r="AH304" s="18" t="s">
        <v>34</v>
      </c>
      <c r="AI304" s="18">
        <f>+VLOOKUP(AH304,Leyenda!$O$4:$U$10,6,FALSE)</f>
        <v>0</v>
      </c>
      <c r="AJ304" s="18" t="str">
        <f>+VLOOKUP(AG304,Leyenda!$O$4:$U$10,7,FALSE)</f>
        <v>No Blasting need</v>
      </c>
      <c r="AK304" s="18">
        <f>+VLOOKUP(AJ304,Leyenda!$U$4:$V$10,2,FALSE)</f>
        <v>2</v>
      </c>
      <c r="AL304" s="18" t="s">
        <v>196</v>
      </c>
      <c r="AM304" s="18" t="s">
        <v>34</v>
      </c>
      <c r="AN304" s="18" t="s">
        <v>66</v>
      </c>
      <c r="AO304" s="18" t="s">
        <v>79</v>
      </c>
      <c r="AP304" s="18" t="s">
        <v>96</v>
      </c>
      <c r="AQ304" s="18" t="s">
        <v>109</v>
      </c>
      <c r="AR304" s="18" t="s">
        <v>118</v>
      </c>
      <c r="AS304" s="18" t="s">
        <v>198</v>
      </c>
      <c r="AT304" s="18"/>
      <c r="AU304" s="18"/>
      <c r="AV304" s="18">
        <f>+VLOOKUP(AN304,Leyenda!$B$30:$E$34,3,FALSE)</f>
        <v>1</v>
      </c>
      <c r="AW304" s="18">
        <f>+VLOOKUP('2. Logging Brejo Seco'!AO304,Meteorizacion,3,FALSE)</f>
        <v>1</v>
      </c>
      <c r="AX304" s="18">
        <f>+VLOOKUP('2. Logging Brejo Seco'!AP304,Apertura,3,FALSE)</f>
        <v>1</v>
      </c>
      <c r="AY304" s="18">
        <f>+VLOOKUP('2. Logging Brejo Seco'!AQ304,Leyenda!$B$55:$D$59,3,FALSE)</f>
        <v>1</v>
      </c>
      <c r="AZ304" s="18">
        <f>+VLOOKUP('2. Logging Brejo Seco'!AR304,Relleno,3,FALSE)</f>
        <v>2</v>
      </c>
      <c r="BA304" s="18">
        <f t="shared" si="106"/>
        <v>6</v>
      </c>
      <c r="BB304" s="49">
        <f t="shared" si="93"/>
        <v>0</v>
      </c>
      <c r="BC304" s="49">
        <f>VLOOKUP(AH304,Leyenda!$B$4:$D$10,3,FALSE)</f>
        <v>0</v>
      </c>
      <c r="BD304" s="50">
        <f t="shared" si="98"/>
        <v>6</v>
      </c>
      <c r="BE304" s="49">
        <f t="shared" si="99"/>
        <v>6</v>
      </c>
      <c r="BF304" s="49">
        <f>VLOOKUP(AS304,Leyenda!$B$70:$D$75,3,FALSE)</f>
        <v>15</v>
      </c>
      <c r="BG304" s="67">
        <f t="shared" si="94"/>
        <v>9</v>
      </c>
      <c r="BH304" s="67">
        <f>VLOOKUP(AM304,Leyenda!$B$4:$E$10,4,FALSE)</f>
        <v>0</v>
      </c>
      <c r="BI304" s="67">
        <f t="shared" si="100"/>
        <v>5</v>
      </c>
      <c r="BJ304" s="67">
        <f t="shared" si="95"/>
        <v>0</v>
      </c>
      <c r="BK304" s="67">
        <f>+VLOOKUP('2. Logging Brejo Seco'!AP304,Leyenda!$B$47:$E$51,4,FALSE)</f>
        <v>1</v>
      </c>
      <c r="BL304" s="67">
        <f>+VLOOKUP('2. Logging Brejo Seco'!AQ304,Leyenda!$B$55:$E$59,4,FALSE)</f>
        <v>1</v>
      </c>
      <c r="BM304" s="67">
        <f>+VLOOKUP('2. Logging Brejo Seco'!AR304,Leyenda!$B$63:$E$67,3,FALSE)</f>
        <v>2</v>
      </c>
      <c r="BN304" s="67">
        <f>+VLOOKUP('2. Logging Brejo Seco'!AO304,Leyenda!$B$39:$E$43,4,FALSE)</f>
        <v>1</v>
      </c>
      <c r="BO304" s="67">
        <f>+VLOOKUP('2. Logging Brejo Seco'!AN304,Leyenda!$B$30:$E$34,4,FALSE)</f>
        <v>1</v>
      </c>
      <c r="BP304" s="67">
        <f>VLOOKUP(AS304,Leyenda!$B$71:$E$75,4,FALSE)</f>
        <v>10</v>
      </c>
      <c r="BQ304" s="125">
        <f t="shared" si="101"/>
        <v>21</v>
      </c>
      <c r="BR304" s="85">
        <f t="shared" si="102"/>
        <v>27</v>
      </c>
      <c r="BS304" s="240">
        <f t="shared" si="103"/>
        <v>0</v>
      </c>
      <c r="BT304" s="18"/>
    </row>
    <row r="305" spans="1:72" x14ac:dyDescent="0.25">
      <c r="A305" s="18" t="s">
        <v>6</v>
      </c>
      <c r="B305" s="18">
        <v>2024</v>
      </c>
      <c r="C305" s="18" t="s">
        <v>138</v>
      </c>
      <c r="D305" s="18" t="s">
        <v>130</v>
      </c>
      <c r="E305" s="18">
        <v>20</v>
      </c>
      <c r="F305" s="18">
        <v>20</v>
      </c>
      <c r="G305" s="18" t="s">
        <v>156</v>
      </c>
      <c r="H305" s="248">
        <f t="shared" si="104"/>
        <v>20</v>
      </c>
      <c r="I305" s="135"/>
      <c r="J305" s="18" t="s">
        <v>181</v>
      </c>
      <c r="K305" s="4">
        <f t="shared" si="107"/>
        <v>36</v>
      </c>
      <c r="L305" s="4">
        <v>36.5</v>
      </c>
      <c r="M305" s="4">
        <f t="shared" si="96"/>
        <v>0.5</v>
      </c>
      <c r="N305" s="5">
        <v>1</v>
      </c>
      <c r="O305" s="5">
        <f t="shared" si="89"/>
        <v>0</v>
      </c>
      <c r="P305" s="31">
        <f t="shared" si="97"/>
        <v>0.5</v>
      </c>
      <c r="Q305" s="31">
        <f t="shared" si="92"/>
        <v>0.5</v>
      </c>
      <c r="R305" s="31">
        <v>25</v>
      </c>
      <c r="S305" s="31">
        <v>20</v>
      </c>
      <c r="T305" s="31">
        <v>0.48</v>
      </c>
      <c r="U305" s="31">
        <v>0</v>
      </c>
      <c r="V305" s="187">
        <f t="shared" si="105"/>
        <v>0</v>
      </c>
      <c r="W305" s="31">
        <v>7</v>
      </c>
      <c r="X305" s="31"/>
      <c r="Y305" s="31">
        <f t="shared" si="90"/>
        <v>7</v>
      </c>
      <c r="Z305" s="31">
        <f t="shared" si="91"/>
        <v>68.571428571428569</v>
      </c>
      <c r="AA305" s="18">
        <v>0</v>
      </c>
      <c r="AB305" s="18" t="s">
        <v>100</v>
      </c>
      <c r="AC305" s="18" t="s">
        <v>333</v>
      </c>
      <c r="AD305" s="18" t="s">
        <v>337</v>
      </c>
      <c r="AE305" s="18">
        <v>20</v>
      </c>
      <c r="AF305" s="18">
        <v>25</v>
      </c>
      <c r="AG305" s="18" t="s">
        <v>34</v>
      </c>
      <c r="AH305" s="18" t="s">
        <v>34</v>
      </c>
      <c r="AI305" s="18">
        <f>+VLOOKUP(AH305,Leyenda!$O$4:$U$10,6,FALSE)</f>
        <v>0</v>
      </c>
      <c r="AJ305" s="18" t="str">
        <f>+VLOOKUP(AG305,Leyenda!$O$4:$U$10,7,FALSE)</f>
        <v>No Blasting need</v>
      </c>
      <c r="AK305" s="18">
        <f>+VLOOKUP(AJ305,Leyenda!$U$4:$V$10,2,FALSE)</f>
        <v>2</v>
      </c>
      <c r="AL305" s="18" t="s">
        <v>199</v>
      </c>
      <c r="AM305" s="18" t="s">
        <v>34</v>
      </c>
      <c r="AN305" s="18" t="s">
        <v>66</v>
      </c>
      <c r="AO305" s="18" t="s">
        <v>81</v>
      </c>
      <c r="AP305" s="18" t="s">
        <v>96</v>
      </c>
      <c r="AQ305" s="18" t="s">
        <v>109</v>
      </c>
      <c r="AR305" s="18" t="s">
        <v>120</v>
      </c>
      <c r="AS305" s="18" t="s">
        <v>198</v>
      </c>
      <c r="AT305" s="18"/>
      <c r="AU305" s="18"/>
      <c r="AV305" s="18">
        <f>+VLOOKUP(AN305,Leyenda!$B$30:$E$34,3,FALSE)</f>
        <v>1</v>
      </c>
      <c r="AW305" s="18">
        <f>+VLOOKUP('2. Logging Brejo Seco'!AO305,Meteorizacion,3,FALSE)</f>
        <v>0</v>
      </c>
      <c r="AX305" s="18">
        <f>+VLOOKUP('2. Logging Brejo Seco'!AP305,Apertura,3,FALSE)</f>
        <v>1</v>
      </c>
      <c r="AY305" s="18">
        <f>+VLOOKUP('2. Logging Brejo Seco'!AQ305,Leyenda!$B$55:$D$59,3,FALSE)</f>
        <v>1</v>
      </c>
      <c r="AZ305" s="18">
        <f>+VLOOKUP('2. Logging Brejo Seco'!AR305,Relleno,3,FALSE)</f>
        <v>2</v>
      </c>
      <c r="BA305" s="18">
        <f t="shared" si="106"/>
        <v>5</v>
      </c>
      <c r="BB305" s="49">
        <f t="shared" si="93"/>
        <v>0</v>
      </c>
      <c r="BC305" s="49">
        <f>VLOOKUP(AH305,Leyenda!$B$4:$D$10,3,FALSE)</f>
        <v>0</v>
      </c>
      <c r="BD305" s="50">
        <f t="shared" si="98"/>
        <v>6</v>
      </c>
      <c r="BE305" s="49">
        <f t="shared" si="99"/>
        <v>5</v>
      </c>
      <c r="BF305" s="49">
        <f>VLOOKUP(AS305,Leyenda!$B$70:$D$75,3,FALSE)</f>
        <v>15</v>
      </c>
      <c r="BG305" s="67">
        <f t="shared" si="94"/>
        <v>7.5</v>
      </c>
      <c r="BH305" s="67">
        <f>VLOOKUP(AM305,Leyenda!$B$4:$E$10,4,FALSE)</f>
        <v>0</v>
      </c>
      <c r="BI305" s="67">
        <f t="shared" si="100"/>
        <v>6</v>
      </c>
      <c r="BJ305" s="67">
        <f t="shared" si="95"/>
        <v>0</v>
      </c>
      <c r="BK305" s="67">
        <f>+VLOOKUP('2. Logging Brejo Seco'!AP305,Leyenda!$B$47:$E$51,4,FALSE)</f>
        <v>1</v>
      </c>
      <c r="BL305" s="67">
        <f>+VLOOKUP('2. Logging Brejo Seco'!AQ305,Leyenda!$B$55:$E$59,4,FALSE)</f>
        <v>1</v>
      </c>
      <c r="BM305" s="67">
        <f>+VLOOKUP('2. Logging Brejo Seco'!AR305,Leyenda!$B$63:$E$67,3,FALSE)</f>
        <v>2</v>
      </c>
      <c r="BN305" s="67">
        <f>+VLOOKUP('2. Logging Brejo Seco'!AO305,Leyenda!$B$39:$E$43,4,FALSE)</f>
        <v>0</v>
      </c>
      <c r="BO305" s="67">
        <f>+VLOOKUP('2. Logging Brejo Seco'!AN305,Leyenda!$B$30:$E$34,4,FALSE)</f>
        <v>1</v>
      </c>
      <c r="BP305" s="67">
        <f>VLOOKUP(AS305,Leyenda!$B$71:$E$75,4,FALSE)</f>
        <v>10</v>
      </c>
      <c r="BQ305" s="125">
        <f t="shared" si="101"/>
        <v>21</v>
      </c>
      <c r="BR305" s="85">
        <f t="shared" si="102"/>
        <v>26</v>
      </c>
      <c r="BS305" s="240">
        <f t="shared" si="103"/>
        <v>0</v>
      </c>
      <c r="BT305" s="18"/>
    </row>
    <row r="306" spans="1:72" x14ac:dyDescent="0.25">
      <c r="A306" s="18" t="s">
        <v>6</v>
      </c>
      <c r="B306" s="18">
        <v>2024</v>
      </c>
      <c r="C306" s="18" t="s">
        <v>138</v>
      </c>
      <c r="D306" s="18" t="s">
        <v>130</v>
      </c>
      <c r="E306" s="18">
        <v>20</v>
      </c>
      <c r="F306" s="18">
        <v>20</v>
      </c>
      <c r="G306" s="18" t="s">
        <v>156</v>
      </c>
      <c r="H306" s="248">
        <f t="shared" si="104"/>
        <v>20</v>
      </c>
      <c r="I306" s="135"/>
      <c r="J306" s="18" t="s">
        <v>181</v>
      </c>
      <c r="K306" s="4">
        <f t="shared" si="107"/>
        <v>36.5</v>
      </c>
      <c r="L306" s="4">
        <v>37</v>
      </c>
      <c r="M306" s="4">
        <f t="shared" si="96"/>
        <v>0.5</v>
      </c>
      <c r="N306" s="5">
        <v>1</v>
      </c>
      <c r="O306" s="5">
        <f t="shared" ref="O306:O369" si="108">1-N306</f>
        <v>0</v>
      </c>
      <c r="P306" s="31">
        <f t="shared" si="97"/>
        <v>0.5</v>
      </c>
      <c r="Q306" s="31">
        <f t="shared" si="92"/>
        <v>0.5</v>
      </c>
      <c r="R306" s="31">
        <v>25</v>
      </c>
      <c r="S306" s="31">
        <v>20</v>
      </c>
      <c r="T306" s="31">
        <v>0.42</v>
      </c>
      <c r="U306" s="31">
        <v>0.33</v>
      </c>
      <c r="V306" s="187">
        <f t="shared" si="105"/>
        <v>66</v>
      </c>
      <c r="W306" s="31">
        <v>3</v>
      </c>
      <c r="X306" s="31"/>
      <c r="Y306" s="31">
        <f t="shared" si="90"/>
        <v>3</v>
      </c>
      <c r="Z306" s="31">
        <f t="shared" si="91"/>
        <v>140</v>
      </c>
      <c r="AA306" s="18">
        <v>0</v>
      </c>
      <c r="AB306" s="18" t="s">
        <v>100</v>
      </c>
      <c r="AC306" s="18" t="s">
        <v>333</v>
      </c>
      <c r="AD306" s="18" t="s">
        <v>337</v>
      </c>
      <c r="AE306" s="18">
        <v>20</v>
      </c>
      <c r="AF306" s="18">
        <v>25</v>
      </c>
      <c r="AG306" s="18" t="s">
        <v>34</v>
      </c>
      <c r="AH306" s="18" t="s">
        <v>34</v>
      </c>
      <c r="AI306" s="18">
        <f>+VLOOKUP(AH306,Leyenda!$O$4:$U$10,6,FALSE)</f>
        <v>0</v>
      </c>
      <c r="AJ306" s="18" t="str">
        <f>+VLOOKUP(AG306,Leyenda!$O$4:$U$10,7,FALSE)</f>
        <v>No Blasting need</v>
      </c>
      <c r="AK306" s="18">
        <f>+VLOOKUP(AJ306,Leyenda!$U$4:$V$10,2,FALSE)</f>
        <v>2</v>
      </c>
      <c r="AL306" s="18" t="s">
        <v>199</v>
      </c>
      <c r="AM306" s="18" t="s">
        <v>34</v>
      </c>
      <c r="AN306" s="18" t="s">
        <v>64</v>
      </c>
      <c r="AO306" s="18" t="s">
        <v>77</v>
      </c>
      <c r="AP306" s="18" t="s">
        <v>96</v>
      </c>
      <c r="AQ306" s="18" t="s">
        <v>109</v>
      </c>
      <c r="AR306" s="18" t="s">
        <v>120</v>
      </c>
      <c r="AS306" s="18" t="s">
        <v>198</v>
      </c>
      <c r="AT306" s="18"/>
      <c r="AU306" s="18"/>
      <c r="AV306" s="18">
        <f>+VLOOKUP(AN306,Leyenda!$B$30:$E$34,3,FALSE)</f>
        <v>2</v>
      </c>
      <c r="AW306" s="18">
        <f>+VLOOKUP('2. Logging Brejo Seco'!AO306,Meteorizacion,3,FALSE)</f>
        <v>3</v>
      </c>
      <c r="AX306" s="18">
        <f>+VLOOKUP('2. Logging Brejo Seco'!AP306,Apertura,3,FALSE)</f>
        <v>1</v>
      </c>
      <c r="AY306" s="18">
        <f>+VLOOKUP('2. Logging Brejo Seco'!AQ306,Leyenda!$B$55:$D$59,3,FALSE)</f>
        <v>1</v>
      </c>
      <c r="AZ306" s="18">
        <f>+VLOOKUP('2. Logging Brejo Seco'!AR306,Relleno,3,FALSE)</f>
        <v>2</v>
      </c>
      <c r="BA306" s="18">
        <f t="shared" si="106"/>
        <v>9</v>
      </c>
      <c r="BB306" s="49">
        <f t="shared" si="93"/>
        <v>14</v>
      </c>
      <c r="BC306" s="49">
        <f>VLOOKUP(AH306,Leyenda!$B$4:$D$10,3,FALSE)</f>
        <v>0</v>
      </c>
      <c r="BD306" s="50">
        <f t="shared" si="98"/>
        <v>8</v>
      </c>
      <c r="BE306" s="49">
        <f t="shared" si="99"/>
        <v>9</v>
      </c>
      <c r="BF306" s="49">
        <f>VLOOKUP(AS306,Leyenda!$B$70:$D$75,3,FALSE)</f>
        <v>15</v>
      </c>
      <c r="BG306" s="67">
        <f t="shared" si="94"/>
        <v>46.5</v>
      </c>
      <c r="BH306" s="67">
        <f>VLOOKUP(AM306,Leyenda!$B$4:$E$10,4,FALSE)</f>
        <v>0</v>
      </c>
      <c r="BI306" s="67">
        <f t="shared" si="100"/>
        <v>10</v>
      </c>
      <c r="BJ306" s="67">
        <f t="shared" si="95"/>
        <v>14</v>
      </c>
      <c r="BK306" s="67">
        <f>+VLOOKUP('2. Logging Brejo Seco'!AP306,Leyenda!$B$47:$E$51,4,FALSE)</f>
        <v>1</v>
      </c>
      <c r="BL306" s="67">
        <f>+VLOOKUP('2. Logging Brejo Seco'!AQ306,Leyenda!$B$55:$E$59,4,FALSE)</f>
        <v>1</v>
      </c>
      <c r="BM306" s="67">
        <f>+VLOOKUP('2. Logging Brejo Seco'!AR306,Leyenda!$B$63:$E$67,3,FALSE)</f>
        <v>2</v>
      </c>
      <c r="BN306" s="67">
        <f>+VLOOKUP('2. Logging Brejo Seco'!AO306,Leyenda!$B$39:$E$43,4,FALSE)</f>
        <v>3</v>
      </c>
      <c r="BO306" s="67">
        <f>+VLOOKUP('2. Logging Brejo Seco'!AN306,Leyenda!$B$30:$E$34,4,FALSE)</f>
        <v>3</v>
      </c>
      <c r="BP306" s="67">
        <f>VLOOKUP(AS306,Leyenda!$B$71:$E$75,4,FALSE)</f>
        <v>10</v>
      </c>
      <c r="BQ306" s="125">
        <f t="shared" si="101"/>
        <v>44</v>
      </c>
      <c r="BR306" s="85">
        <f t="shared" si="102"/>
        <v>46</v>
      </c>
      <c r="BS306" s="240">
        <f t="shared" si="103"/>
        <v>0</v>
      </c>
      <c r="BT306" s="18"/>
    </row>
    <row r="307" spans="1:72" x14ac:dyDescent="0.25">
      <c r="A307" s="18" t="s">
        <v>6</v>
      </c>
      <c r="B307" s="18">
        <v>2024</v>
      </c>
      <c r="C307" s="18" t="s">
        <v>138</v>
      </c>
      <c r="D307" s="18" t="s">
        <v>130</v>
      </c>
      <c r="E307" s="18">
        <v>20</v>
      </c>
      <c r="F307" s="18">
        <v>20</v>
      </c>
      <c r="G307" s="18" t="s">
        <v>156</v>
      </c>
      <c r="H307" s="248">
        <f t="shared" si="104"/>
        <v>20</v>
      </c>
      <c r="I307" s="135"/>
      <c r="J307" s="18" t="s">
        <v>181</v>
      </c>
      <c r="K307" s="4">
        <f t="shared" si="107"/>
        <v>37</v>
      </c>
      <c r="L307" s="4">
        <v>37.5</v>
      </c>
      <c r="M307" s="4">
        <f t="shared" si="96"/>
        <v>0.5</v>
      </c>
      <c r="N307" s="5">
        <v>1</v>
      </c>
      <c r="O307" s="5">
        <f t="shared" si="108"/>
        <v>0</v>
      </c>
      <c r="P307" s="31">
        <f t="shared" si="97"/>
        <v>0.5</v>
      </c>
      <c r="Q307" s="31">
        <f t="shared" si="92"/>
        <v>0.5</v>
      </c>
      <c r="R307" s="31">
        <v>100</v>
      </c>
      <c r="S307" s="31">
        <v>5</v>
      </c>
      <c r="T307" s="31">
        <v>0.46</v>
      </c>
      <c r="U307" s="31">
        <v>0.1</v>
      </c>
      <c r="V307" s="187">
        <f t="shared" si="105"/>
        <v>20</v>
      </c>
      <c r="W307" s="31">
        <v>7</v>
      </c>
      <c r="X307" s="31"/>
      <c r="Y307" s="31">
        <f t="shared" si="90"/>
        <v>7</v>
      </c>
      <c r="Z307" s="31">
        <f t="shared" si="91"/>
        <v>65.714285714285708</v>
      </c>
      <c r="AA307" s="18">
        <v>22</v>
      </c>
      <c r="AB307" s="18" t="s">
        <v>100</v>
      </c>
      <c r="AC307" s="18" t="s">
        <v>118</v>
      </c>
      <c r="AD307" s="18" t="s">
        <v>337</v>
      </c>
      <c r="AE307" s="18">
        <v>5</v>
      </c>
      <c r="AF307" s="18">
        <v>100</v>
      </c>
      <c r="AG307" s="18" t="s">
        <v>34</v>
      </c>
      <c r="AH307" s="18" t="s">
        <v>34</v>
      </c>
      <c r="AI307" s="18">
        <f>+VLOOKUP(AH307,Leyenda!$O$4:$U$10,6,FALSE)</f>
        <v>0</v>
      </c>
      <c r="AJ307" s="18" t="str">
        <f>+VLOOKUP(AG307,Leyenda!$O$4:$U$10,7,FALSE)</f>
        <v>No Blasting need</v>
      </c>
      <c r="AK307" s="18">
        <f>+VLOOKUP(AJ307,Leyenda!$U$4:$V$10,2,FALSE)</f>
        <v>2</v>
      </c>
      <c r="AL307" s="18" t="s">
        <v>196</v>
      </c>
      <c r="AM307" s="18" t="s">
        <v>34</v>
      </c>
      <c r="AN307" s="18" t="s">
        <v>66</v>
      </c>
      <c r="AO307" s="18" t="s">
        <v>79</v>
      </c>
      <c r="AP307" s="18" t="s">
        <v>96</v>
      </c>
      <c r="AQ307" s="18" t="s">
        <v>109</v>
      </c>
      <c r="AR307" s="18" t="s">
        <v>120</v>
      </c>
      <c r="AS307" s="18" t="s">
        <v>198</v>
      </c>
      <c r="AT307" s="18"/>
      <c r="AU307" s="18"/>
      <c r="AV307" s="18">
        <f>+VLOOKUP(AN307,Leyenda!$B$30:$E$34,3,FALSE)</f>
        <v>1</v>
      </c>
      <c r="AW307" s="18">
        <f>+VLOOKUP('2. Logging Brejo Seco'!AO307,Meteorizacion,3,FALSE)</f>
        <v>1</v>
      </c>
      <c r="AX307" s="18">
        <f>+VLOOKUP('2. Logging Brejo Seco'!AP307,Apertura,3,FALSE)</f>
        <v>1</v>
      </c>
      <c r="AY307" s="18">
        <f>+VLOOKUP('2. Logging Brejo Seco'!AQ307,Leyenda!$B$55:$D$59,3,FALSE)</f>
        <v>1</v>
      </c>
      <c r="AZ307" s="18">
        <f>+VLOOKUP('2. Logging Brejo Seco'!AR307,Relleno,3,FALSE)</f>
        <v>2</v>
      </c>
      <c r="BA307" s="18">
        <f t="shared" si="106"/>
        <v>6</v>
      </c>
      <c r="BB307" s="49">
        <f t="shared" si="93"/>
        <v>4</v>
      </c>
      <c r="BC307" s="49">
        <f>VLOOKUP(AH307,Leyenda!$B$4:$D$10,3,FALSE)</f>
        <v>0</v>
      </c>
      <c r="BD307" s="50">
        <f t="shared" si="98"/>
        <v>6</v>
      </c>
      <c r="BE307" s="49">
        <f t="shared" si="99"/>
        <v>6</v>
      </c>
      <c r="BF307" s="49">
        <f>VLOOKUP(AS307,Leyenda!$B$70:$D$75,3,FALSE)</f>
        <v>15</v>
      </c>
      <c r="BG307" s="67">
        <f t="shared" si="94"/>
        <v>19</v>
      </c>
      <c r="BH307" s="67">
        <f>VLOOKUP(AM307,Leyenda!$B$4:$E$10,4,FALSE)</f>
        <v>0</v>
      </c>
      <c r="BI307" s="67">
        <f t="shared" si="100"/>
        <v>6</v>
      </c>
      <c r="BJ307" s="67">
        <f t="shared" si="95"/>
        <v>4</v>
      </c>
      <c r="BK307" s="67">
        <f>+VLOOKUP('2. Logging Brejo Seco'!AP307,Leyenda!$B$47:$E$51,4,FALSE)</f>
        <v>1</v>
      </c>
      <c r="BL307" s="67">
        <f>+VLOOKUP('2. Logging Brejo Seco'!AQ307,Leyenda!$B$55:$E$59,4,FALSE)</f>
        <v>1</v>
      </c>
      <c r="BM307" s="67">
        <f>+VLOOKUP('2. Logging Brejo Seco'!AR307,Leyenda!$B$63:$E$67,3,FALSE)</f>
        <v>2</v>
      </c>
      <c r="BN307" s="67">
        <f>+VLOOKUP('2. Logging Brejo Seco'!AO307,Leyenda!$B$39:$E$43,4,FALSE)</f>
        <v>1</v>
      </c>
      <c r="BO307" s="67">
        <f>+VLOOKUP('2. Logging Brejo Seco'!AN307,Leyenda!$B$30:$E$34,4,FALSE)</f>
        <v>1</v>
      </c>
      <c r="BP307" s="67">
        <f>VLOOKUP(AS307,Leyenda!$B$71:$E$75,4,FALSE)</f>
        <v>10</v>
      </c>
      <c r="BQ307" s="125">
        <f t="shared" si="101"/>
        <v>26</v>
      </c>
      <c r="BR307" s="85">
        <f t="shared" si="102"/>
        <v>31</v>
      </c>
      <c r="BS307" s="240">
        <f t="shared" si="103"/>
        <v>0</v>
      </c>
      <c r="BT307" s="18"/>
    </row>
    <row r="308" spans="1:72" x14ac:dyDescent="0.25">
      <c r="A308" s="18" t="s">
        <v>6</v>
      </c>
      <c r="B308" s="18">
        <v>2024</v>
      </c>
      <c r="C308" s="18" t="s">
        <v>138</v>
      </c>
      <c r="D308" s="18" t="s">
        <v>130</v>
      </c>
      <c r="E308" s="18">
        <v>20</v>
      </c>
      <c r="F308" s="18">
        <v>20</v>
      </c>
      <c r="G308" s="18" t="s">
        <v>156</v>
      </c>
      <c r="H308" s="248">
        <f t="shared" si="104"/>
        <v>20</v>
      </c>
      <c r="I308" s="135"/>
      <c r="J308" s="18" t="s">
        <v>181</v>
      </c>
      <c r="K308" s="4">
        <f t="shared" si="107"/>
        <v>37.5</v>
      </c>
      <c r="L308" s="4">
        <v>38</v>
      </c>
      <c r="M308" s="4">
        <f t="shared" si="96"/>
        <v>0.5</v>
      </c>
      <c r="N308" s="5">
        <v>1</v>
      </c>
      <c r="O308" s="5">
        <f t="shared" si="108"/>
        <v>0</v>
      </c>
      <c r="P308" s="31">
        <f t="shared" si="97"/>
        <v>0.5</v>
      </c>
      <c r="Q308" s="31">
        <f t="shared" si="92"/>
        <v>0.5</v>
      </c>
      <c r="R308" s="31">
        <v>100</v>
      </c>
      <c r="S308" s="31">
        <v>5</v>
      </c>
      <c r="T308" s="31">
        <v>0.37</v>
      </c>
      <c r="U308" s="31">
        <v>0.1</v>
      </c>
      <c r="V308" s="187">
        <f t="shared" si="105"/>
        <v>20</v>
      </c>
      <c r="W308" s="31">
        <v>10</v>
      </c>
      <c r="X308" s="31"/>
      <c r="Y308" s="31">
        <f t="shared" si="90"/>
        <v>10</v>
      </c>
      <c r="Z308" s="31">
        <f t="shared" si="91"/>
        <v>37</v>
      </c>
      <c r="AA308" s="18">
        <v>26</v>
      </c>
      <c r="AB308" s="18" t="s">
        <v>100</v>
      </c>
      <c r="AC308" s="18" t="s">
        <v>118</v>
      </c>
      <c r="AD308" s="18" t="s">
        <v>337</v>
      </c>
      <c r="AE308" s="18">
        <v>5</v>
      </c>
      <c r="AF308" s="18">
        <v>100</v>
      </c>
      <c r="AG308" s="18" t="s">
        <v>34</v>
      </c>
      <c r="AH308" s="18" t="s">
        <v>34</v>
      </c>
      <c r="AI308" s="18">
        <f>+VLOOKUP(AH308,Leyenda!$O$4:$U$10,6,FALSE)</f>
        <v>0</v>
      </c>
      <c r="AJ308" s="18" t="str">
        <f>+VLOOKUP(AG308,Leyenda!$O$4:$U$10,7,FALSE)</f>
        <v>No Blasting need</v>
      </c>
      <c r="AK308" s="18">
        <f>+VLOOKUP(AJ308,Leyenda!$U$4:$V$10,2,FALSE)</f>
        <v>2</v>
      </c>
      <c r="AL308" s="18" t="s">
        <v>199</v>
      </c>
      <c r="AM308" s="18" t="s">
        <v>34</v>
      </c>
      <c r="AN308" s="18" t="s">
        <v>227</v>
      </c>
      <c r="AO308" s="18" t="s">
        <v>79</v>
      </c>
      <c r="AP308" s="18" t="s">
        <v>96</v>
      </c>
      <c r="AQ308" s="18" t="s">
        <v>109</v>
      </c>
      <c r="AR308" s="18" t="s">
        <v>120</v>
      </c>
      <c r="AS308" s="18" t="s">
        <v>198</v>
      </c>
      <c r="AT308" s="18"/>
      <c r="AU308" s="18"/>
      <c r="AV308" s="18">
        <f>+VLOOKUP(AN308,Leyenda!$B$30:$E$34,3,FALSE)</f>
        <v>1</v>
      </c>
      <c r="AW308" s="18">
        <f>+VLOOKUP('2. Logging Brejo Seco'!AO308,Meteorizacion,3,FALSE)</f>
        <v>1</v>
      </c>
      <c r="AX308" s="18">
        <f>+VLOOKUP('2. Logging Brejo Seco'!AP308,Apertura,3,FALSE)</f>
        <v>1</v>
      </c>
      <c r="AY308" s="18">
        <f>+VLOOKUP('2. Logging Brejo Seco'!AQ308,Leyenda!$B$55:$D$59,3,FALSE)</f>
        <v>1</v>
      </c>
      <c r="AZ308" s="18">
        <f>+VLOOKUP('2. Logging Brejo Seco'!AR308,Relleno,3,FALSE)</f>
        <v>2</v>
      </c>
      <c r="BA308" s="18">
        <f t="shared" si="106"/>
        <v>6</v>
      </c>
      <c r="BB308" s="49">
        <f t="shared" si="93"/>
        <v>4</v>
      </c>
      <c r="BC308" s="49">
        <f>VLOOKUP(AH308,Leyenda!$B$4:$D$10,3,FALSE)</f>
        <v>0</v>
      </c>
      <c r="BD308" s="50">
        <f t="shared" si="98"/>
        <v>5</v>
      </c>
      <c r="BE308" s="49">
        <f t="shared" si="99"/>
        <v>6</v>
      </c>
      <c r="BF308" s="49">
        <f>VLOOKUP(AS308,Leyenda!$B$70:$D$75,3,FALSE)</f>
        <v>15</v>
      </c>
      <c r="BG308" s="67">
        <f t="shared" si="94"/>
        <v>19</v>
      </c>
      <c r="BH308" s="67">
        <f>VLOOKUP(AM308,Leyenda!$B$4:$E$10,4,FALSE)</f>
        <v>0</v>
      </c>
      <c r="BI308" s="67">
        <f t="shared" si="100"/>
        <v>5</v>
      </c>
      <c r="BJ308" s="67">
        <f t="shared" si="95"/>
        <v>4</v>
      </c>
      <c r="BK308" s="67">
        <f>+VLOOKUP('2. Logging Brejo Seco'!AP308,Leyenda!$B$47:$E$51,4,FALSE)</f>
        <v>1</v>
      </c>
      <c r="BL308" s="67">
        <f>+VLOOKUP('2. Logging Brejo Seco'!AQ308,Leyenda!$B$55:$E$59,4,FALSE)</f>
        <v>1</v>
      </c>
      <c r="BM308" s="67">
        <f>+VLOOKUP('2. Logging Brejo Seco'!AR308,Leyenda!$B$63:$E$67,3,FALSE)</f>
        <v>2</v>
      </c>
      <c r="BN308" s="67">
        <f>+VLOOKUP('2. Logging Brejo Seco'!AO308,Leyenda!$B$39:$E$43,4,FALSE)</f>
        <v>1</v>
      </c>
      <c r="BO308" s="67">
        <f>+VLOOKUP('2. Logging Brejo Seco'!AN308,Leyenda!$B$30:$E$34,4,FALSE)</f>
        <v>1</v>
      </c>
      <c r="BP308" s="67">
        <f>VLOOKUP(AS308,Leyenda!$B$71:$E$75,4,FALSE)</f>
        <v>10</v>
      </c>
      <c r="BQ308" s="125">
        <f t="shared" si="101"/>
        <v>25</v>
      </c>
      <c r="BR308" s="85">
        <f t="shared" si="102"/>
        <v>30</v>
      </c>
      <c r="BS308" s="240">
        <f t="shared" si="103"/>
        <v>0</v>
      </c>
      <c r="BT308" s="18"/>
    </row>
    <row r="309" spans="1:72" x14ac:dyDescent="0.25">
      <c r="A309" s="18" t="s">
        <v>6</v>
      </c>
      <c r="B309" s="18">
        <v>2024</v>
      </c>
      <c r="C309" s="18" t="s">
        <v>138</v>
      </c>
      <c r="D309" s="18" t="s">
        <v>130</v>
      </c>
      <c r="E309" s="18">
        <v>20</v>
      </c>
      <c r="F309" s="18">
        <v>20</v>
      </c>
      <c r="G309" s="18" t="s">
        <v>156</v>
      </c>
      <c r="H309" s="248">
        <f t="shared" si="104"/>
        <v>20</v>
      </c>
      <c r="I309" s="135"/>
      <c r="J309" s="18" t="s">
        <v>181</v>
      </c>
      <c r="K309" s="4">
        <f t="shared" si="107"/>
        <v>38</v>
      </c>
      <c r="L309" s="4">
        <v>38.5</v>
      </c>
      <c r="M309" s="4">
        <f t="shared" si="96"/>
        <v>0.5</v>
      </c>
      <c r="N309" s="5">
        <v>1</v>
      </c>
      <c r="O309" s="5">
        <f t="shared" si="108"/>
        <v>0</v>
      </c>
      <c r="P309" s="31">
        <f t="shared" si="97"/>
        <v>0.5</v>
      </c>
      <c r="Q309" s="31">
        <f t="shared" si="92"/>
        <v>0.5</v>
      </c>
      <c r="R309" s="31">
        <v>500</v>
      </c>
      <c r="S309" s="31">
        <v>1</v>
      </c>
      <c r="T309" s="31">
        <v>0.46</v>
      </c>
      <c r="U309" s="31">
        <v>0.27</v>
      </c>
      <c r="V309" s="65">
        <f t="shared" si="105"/>
        <v>54</v>
      </c>
      <c r="W309" s="31">
        <v>3</v>
      </c>
      <c r="X309" s="31"/>
      <c r="Y309" s="31">
        <f t="shared" si="90"/>
        <v>3</v>
      </c>
      <c r="Z309" s="31">
        <f t="shared" si="91"/>
        <v>153.33333333333334</v>
      </c>
      <c r="AA309" s="18">
        <v>46</v>
      </c>
      <c r="AB309" s="18" t="s">
        <v>100</v>
      </c>
      <c r="AC309" s="18" t="s">
        <v>116</v>
      </c>
      <c r="AD309" s="18" t="s">
        <v>337</v>
      </c>
      <c r="AE309" s="18">
        <v>1</v>
      </c>
      <c r="AF309" s="18">
        <v>500</v>
      </c>
      <c r="AG309" s="18" t="s">
        <v>29</v>
      </c>
      <c r="AH309" s="18" t="s">
        <v>29</v>
      </c>
      <c r="AI309" s="18" t="str">
        <f>+VLOOKUP(AH309,Leyenda!$O$4:$U$10,6,FALSE)</f>
        <v>0,25-0,35</v>
      </c>
      <c r="AJ309" s="18" t="str">
        <f>+VLOOKUP(AG309,Leyenda!$O$4:$U$10,7,FALSE)</f>
        <v>No Blasting need</v>
      </c>
      <c r="AK309" s="18">
        <f>+VLOOKUP(AJ309,Leyenda!$U$4:$V$10,2,FALSE)</f>
        <v>2</v>
      </c>
      <c r="AL309" s="18" t="s">
        <v>29</v>
      </c>
      <c r="AM309" s="18" t="s">
        <v>29</v>
      </c>
      <c r="AN309" s="18" t="s">
        <v>64</v>
      </c>
      <c r="AO309" s="18" t="s">
        <v>79</v>
      </c>
      <c r="AP309" s="18" t="s">
        <v>92</v>
      </c>
      <c r="AQ309" s="18" t="s">
        <v>105</v>
      </c>
      <c r="AR309" s="18" t="s">
        <v>118</v>
      </c>
      <c r="AS309" s="18" t="s">
        <v>198</v>
      </c>
      <c r="AT309" s="18"/>
      <c r="AU309" s="18"/>
      <c r="AV309" s="18">
        <f>+VLOOKUP(AN309,Leyenda!$B$30:$E$34,3,FALSE)</f>
        <v>2</v>
      </c>
      <c r="AW309" s="18">
        <f>+VLOOKUP('2. Logging Brejo Seco'!AO309,Meteorizacion,3,FALSE)</f>
        <v>1</v>
      </c>
      <c r="AX309" s="18">
        <f>+VLOOKUP('2. Logging Brejo Seco'!AP309,Apertura,3,FALSE)</f>
        <v>3</v>
      </c>
      <c r="AY309" s="18">
        <f>+VLOOKUP('2. Logging Brejo Seco'!AQ309,Leyenda!$B$55:$D$59,3,FALSE)</f>
        <v>4</v>
      </c>
      <c r="AZ309" s="18">
        <f>+VLOOKUP('2. Logging Brejo Seco'!AR309,Relleno,3,FALSE)</f>
        <v>2</v>
      </c>
      <c r="BA309" s="18">
        <f t="shared" si="106"/>
        <v>12</v>
      </c>
      <c r="BB309" s="49">
        <f t="shared" si="93"/>
        <v>11</v>
      </c>
      <c r="BC309" s="49">
        <f>VLOOKUP(AH309,Leyenda!$B$4:$D$10,3,FALSE)</f>
        <v>2</v>
      </c>
      <c r="BD309" s="50">
        <f t="shared" si="98"/>
        <v>8</v>
      </c>
      <c r="BE309" s="49">
        <f t="shared" si="99"/>
        <v>12</v>
      </c>
      <c r="BF309" s="49">
        <f>VLOOKUP(AS309,Leyenda!$B$70:$D$75,3,FALSE)</f>
        <v>15</v>
      </c>
      <c r="BG309" s="67">
        <f t="shared" si="94"/>
        <v>45</v>
      </c>
      <c r="BH309" s="67">
        <f>VLOOKUP(AM309,Leyenda!$B$4:$E$10,4,FALSE)</f>
        <v>2</v>
      </c>
      <c r="BI309" s="67">
        <f t="shared" si="100"/>
        <v>11</v>
      </c>
      <c r="BJ309" s="67">
        <f t="shared" si="95"/>
        <v>11</v>
      </c>
      <c r="BK309" s="67">
        <f>+VLOOKUP('2. Logging Brejo Seco'!AP309,Leyenda!$B$47:$E$51,4,FALSE)</f>
        <v>3</v>
      </c>
      <c r="BL309" s="67">
        <f>+VLOOKUP('2. Logging Brejo Seco'!AQ309,Leyenda!$B$55:$E$59,4,FALSE)</f>
        <v>4</v>
      </c>
      <c r="BM309" s="67">
        <f>+VLOOKUP('2. Logging Brejo Seco'!AR309,Leyenda!$B$63:$E$67,3,FALSE)</f>
        <v>2</v>
      </c>
      <c r="BN309" s="67">
        <f>+VLOOKUP('2. Logging Brejo Seco'!AO309,Leyenda!$B$39:$E$43,4,FALSE)</f>
        <v>1</v>
      </c>
      <c r="BO309" s="67">
        <f>+VLOOKUP('2. Logging Brejo Seco'!AN309,Leyenda!$B$30:$E$34,4,FALSE)</f>
        <v>3</v>
      </c>
      <c r="BP309" s="67">
        <f>VLOOKUP(AS309,Leyenda!$B$71:$E$75,4,FALSE)</f>
        <v>10</v>
      </c>
      <c r="BQ309" s="125">
        <f t="shared" si="101"/>
        <v>47</v>
      </c>
      <c r="BR309" s="85">
        <f t="shared" si="102"/>
        <v>48</v>
      </c>
      <c r="BS309" s="240">
        <f t="shared" si="103"/>
        <v>0</v>
      </c>
      <c r="BT309" s="18"/>
    </row>
    <row r="310" spans="1:72" x14ac:dyDescent="0.25">
      <c r="A310" s="18" t="s">
        <v>6</v>
      </c>
      <c r="B310" s="18">
        <v>2024</v>
      </c>
      <c r="C310" s="18" t="s">
        <v>138</v>
      </c>
      <c r="D310" s="18" t="s">
        <v>130</v>
      </c>
      <c r="E310" s="18">
        <v>20</v>
      </c>
      <c r="F310" s="18">
        <v>40</v>
      </c>
      <c r="G310" s="18" t="s">
        <v>156</v>
      </c>
      <c r="H310" s="248">
        <f t="shared" si="104"/>
        <v>40</v>
      </c>
      <c r="I310" s="135"/>
      <c r="J310" s="18" t="s">
        <v>182</v>
      </c>
      <c r="K310" s="4">
        <f t="shared" si="107"/>
        <v>38.5</v>
      </c>
      <c r="L310" s="4">
        <v>39</v>
      </c>
      <c r="M310" s="4">
        <f t="shared" si="96"/>
        <v>0.5</v>
      </c>
      <c r="N310" s="5">
        <v>1</v>
      </c>
      <c r="O310" s="5">
        <f t="shared" si="108"/>
        <v>0</v>
      </c>
      <c r="P310" s="31">
        <f t="shared" si="97"/>
        <v>0.5</v>
      </c>
      <c r="Q310" s="31">
        <f t="shared" si="92"/>
        <v>0.5</v>
      </c>
      <c r="R310" s="31">
        <v>100</v>
      </c>
      <c r="S310" s="31">
        <v>5</v>
      </c>
      <c r="T310" s="31">
        <v>0.43</v>
      </c>
      <c r="U310" s="31">
        <v>0.35</v>
      </c>
      <c r="V310" s="65">
        <f t="shared" si="105"/>
        <v>70</v>
      </c>
      <c r="W310" s="31">
        <v>4</v>
      </c>
      <c r="X310" s="31"/>
      <c r="Y310" s="31">
        <f t="shared" si="90"/>
        <v>4</v>
      </c>
      <c r="Z310" s="31">
        <f t="shared" si="91"/>
        <v>107.5</v>
      </c>
      <c r="AA310" s="18">
        <v>78</v>
      </c>
      <c r="AB310" s="18" t="s">
        <v>330</v>
      </c>
      <c r="AC310" s="18" t="s">
        <v>118</v>
      </c>
      <c r="AD310" s="18" t="s">
        <v>334</v>
      </c>
      <c r="AE310" s="18">
        <v>5</v>
      </c>
      <c r="AF310" s="18">
        <v>100</v>
      </c>
      <c r="AG310" s="18" t="s">
        <v>34</v>
      </c>
      <c r="AH310" s="18" t="s">
        <v>34</v>
      </c>
      <c r="AI310" s="18">
        <f>+VLOOKUP(AH310,Leyenda!$O$4:$U$10,6,FALSE)</f>
        <v>0</v>
      </c>
      <c r="AJ310" s="18" t="str">
        <f>+VLOOKUP(AG310,Leyenda!$O$4:$U$10,7,FALSE)</f>
        <v>No Blasting need</v>
      </c>
      <c r="AK310" s="18">
        <f>+VLOOKUP(AJ310,Leyenda!$U$4:$V$10,2,FALSE)</f>
        <v>2</v>
      </c>
      <c r="AL310" s="18" t="s">
        <v>196</v>
      </c>
      <c r="AM310" s="18" t="s">
        <v>34</v>
      </c>
      <c r="AN310" s="18" t="s">
        <v>64</v>
      </c>
      <c r="AO310" s="18" t="s">
        <v>79</v>
      </c>
      <c r="AP310" s="18" t="s">
        <v>96</v>
      </c>
      <c r="AQ310" s="18" t="s">
        <v>107</v>
      </c>
      <c r="AR310" s="18" t="s">
        <v>118</v>
      </c>
      <c r="AS310" s="18" t="s">
        <v>198</v>
      </c>
      <c r="AT310" s="18" t="s">
        <v>262</v>
      </c>
      <c r="AU310" s="18"/>
      <c r="AV310" s="18">
        <f>+VLOOKUP(AN310,Leyenda!$B$30:$E$34,3,FALSE)</f>
        <v>2</v>
      </c>
      <c r="AW310" s="18">
        <f>+VLOOKUP('2. Logging Brejo Seco'!AO310,Meteorizacion,3,FALSE)</f>
        <v>1</v>
      </c>
      <c r="AX310" s="18">
        <f>+VLOOKUP('2. Logging Brejo Seco'!AP310,Apertura,3,FALSE)</f>
        <v>1</v>
      </c>
      <c r="AY310" s="18">
        <f>+VLOOKUP('2. Logging Brejo Seco'!AQ310,Leyenda!$B$55:$D$59,3,FALSE)</f>
        <v>3</v>
      </c>
      <c r="AZ310" s="18">
        <f>+VLOOKUP('2. Logging Brejo Seco'!AR310,Relleno,3,FALSE)</f>
        <v>2</v>
      </c>
      <c r="BA310" s="18">
        <f t="shared" si="106"/>
        <v>9</v>
      </c>
      <c r="BB310" s="49">
        <f t="shared" si="93"/>
        <v>14</v>
      </c>
      <c r="BC310" s="49">
        <f>VLOOKUP(AH310,Leyenda!$B$4:$D$10,3,FALSE)</f>
        <v>0</v>
      </c>
      <c r="BD310" s="50">
        <f t="shared" si="98"/>
        <v>7</v>
      </c>
      <c r="BE310" s="49">
        <f t="shared" si="99"/>
        <v>9</v>
      </c>
      <c r="BF310" s="49">
        <f>VLOOKUP(AS310,Leyenda!$B$70:$D$75,3,FALSE)</f>
        <v>15</v>
      </c>
      <c r="BG310" s="67">
        <f t="shared" si="94"/>
        <v>48.5</v>
      </c>
      <c r="BH310" s="67">
        <f>VLOOKUP(AM310,Leyenda!$B$4:$E$10,4,FALSE)</f>
        <v>0</v>
      </c>
      <c r="BI310" s="67">
        <f t="shared" si="100"/>
        <v>9</v>
      </c>
      <c r="BJ310" s="67">
        <f t="shared" si="95"/>
        <v>14</v>
      </c>
      <c r="BK310" s="67">
        <f>+VLOOKUP('2. Logging Brejo Seco'!AP310,Leyenda!$B$47:$E$51,4,FALSE)</f>
        <v>1</v>
      </c>
      <c r="BL310" s="67">
        <f>+VLOOKUP('2. Logging Brejo Seco'!AQ310,Leyenda!$B$55:$E$59,4,FALSE)</f>
        <v>3</v>
      </c>
      <c r="BM310" s="67">
        <f>+VLOOKUP('2. Logging Brejo Seco'!AR310,Leyenda!$B$63:$E$67,3,FALSE)</f>
        <v>2</v>
      </c>
      <c r="BN310" s="67">
        <f>+VLOOKUP('2. Logging Brejo Seco'!AO310,Leyenda!$B$39:$E$43,4,FALSE)</f>
        <v>1</v>
      </c>
      <c r="BO310" s="67">
        <f>+VLOOKUP('2. Logging Brejo Seco'!AN310,Leyenda!$B$30:$E$34,4,FALSE)</f>
        <v>3</v>
      </c>
      <c r="BP310" s="67">
        <f>VLOOKUP(AS310,Leyenda!$B$71:$E$75,4,FALSE)</f>
        <v>10</v>
      </c>
      <c r="BQ310" s="125">
        <f t="shared" si="101"/>
        <v>43</v>
      </c>
      <c r="BR310" s="85">
        <f t="shared" si="102"/>
        <v>45</v>
      </c>
      <c r="BS310" s="240">
        <f t="shared" si="103"/>
        <v>0</v>
      </c>
      <c r="BT310" s="18"/>
    </row>
    <row r="311" spans="1:72" x14ac:dyDescent="0.25">
      <c r="A311" s="18" t="s">
        <v>6</v>
      </c>
      <c r="B311" s="18">
        <v>2024</v>
      </c>
      <c r="C311" s="18" t="s">
        <v>138</v>
      </c>
      <c r="D311" s="18" t="s">
        <v>130</v>
      </c>
      <c r="E311" s="18">
        <v>20</v>
      </c>
      <c r="F311" s="18">
        <v>30</v>
      </c>
      <c r="G311" s="18" t="s">
        <v>156</v>
      </c>
      <c r="H311" s="248">
        <f t="shared" si="104"/>
        <v>30</v>
      </c>
      <c r="I311" s="135"/>
      <c r="J311" s="18" t="s">
        <v>182</v>
      </c>
      <c r="K311" s="4">
        <f t="shared" si="107"/>
        <v>39</v>
      </c>
      <c r="L311" s="4">
        <v>39.5</v>
      </c>
      <c r="M311" s="4">
        <f t="shared" si="96"/>
        <v>0.5</v>
      </c>
      <c r="N311" s="5">
        <v>1</v>
      </c>
      <c r="O311" s="5">
        <f t="shared" si="108"/>
        <v>0</v>
      </c>
      <c r="P311" s="31">
        <f t="shared" si="97"/>
        <v>0.5</v>
      </c>
      <c r="Q311" s="31">
        <f t="shared" si="92"/>
        <v>0.5</v>
      </c>
      <c r="R311" s="31">
        <v>500</v>
      </c>
      <c r="S311" s="31">
        <v>1</v>
      </c>
      <c r="T311" s="31">
        <v>0.46</v>
      </c>
      <c r="U311" s="31">
        <v>0.18</v>
      </c>
      <c r="V311" s="65">
        <f t="shared" si="105"/>
        <v>36</v>
      </c>
      <c r="W311" s="31">
        <v>4</v>
      </c>
      <c r="X311" s="31"/>
      <c r="Y311" s="31">
        <f t="shared" si="90"/>
        <v>4</v>
      </c>
      <c r="Z311" s="31">
        <f t="shared" si="91"/>
        <v>115</v>
      </c>
      <c r="AA311" s="18">
        <v>26</v>
      </c>
      <c r="AB311" s="18" t="s">
        <v>330</v>
      </c>
      <c r="AC311" s="18" t="s">
        <v>116</v>
      </c>
      <c r="AD311" s="18" t="s">
        <v>334</v>
      </c>
      <c r="AE311" s="18">
        <v>1</v>
      </c>
      <c r="AF311" s="18">
        <v>500</v>
      </c>
      <c r="AG311" s="18" t="s">
        <v>27</v>
      </c>
      <c r="AH311" s="18" t="s">
        <v>27</v>
      </c>
      <c r="AI311" s="18" t="str">
        <f>+VLOOKUP(AH311,Leyenda!$O$4:$U$10,6,FALSE)</f>
        <v>0,35-0,50</v>
      </c>
      <c r="AJ311" s="18" t="str">
        <f>+VLOOKUP(AG311,Leyenda!$O$4:$U$10,7,FALSE)</f>
        <v>Easy to blast</v>
      </c>
      <c r="AK311" s="18">
        <f>+VLOOKUP(AJ311,Leyenda!$U$4:$V$10,2,FALSE)</f>
        <v>3</v>
      </c>
      <c r="AL311" s="18" t="s">
        <v>29</v>
      </c>
      <c r="AM311" s="18" t="s">
        <v>27</v>
      </c>
      <c r="AN311" s="18" t="s">
        <v>64</v>
      </c>
      <c r="AO311" s="18" t="s">
        <v>77</v>
      </c>
      <c r="AP311" s="18" t="s">
        <v>96</v>
      </c>
      <c r="AQ311" s="18" t="s">
        <v>107</v>
      </c>
      <c r="AR311" s="18" t="s">
        <v>118</v>
      </c>
      <c r="AS311" s="18" t="s">
        <v>198</v>
      </c>
      <c r="AT311" s="18"/>
      <c r="AU311" s="18"/>
      <c r="AV311" s="18">
        <f>+VLOOKUP(AN311,Leyenda!$B$30:$E$34,3,FALSE)</f>
        <v>2</v>
      </c>
      <c r="AW311" s="18">
        <f>+VLOOKUP('2. Logging Brejo Seco'!AO311,Meteorizacion,3,FALSE)</f>
        <v>3</v>
      </c>
      <c r="AX311" s="18">
        <f>+VLOOKUP('2. Logging Brejo Seco'!AP311,Apertura,3,FALSE)</f>
        <v>1</v>
      </c>
      <c r="AY311" s="18">
        <f>+VLOOKUP('2. Logging Brejo Seco'!AQ311,Leyenda!$B$55:$D$59,3,FALSE)</f>
        <v>3</v>
      </c>
      <c r="AZ311" s="18">
        <f>+VLOOKUP('2. Logging Brejo Seco'!AR311,Relleno,3,FALSE)</f>
        <v>2</v>
      </c>
      <c r="BA311" s="18">
        <f t="shared" si="106"/>
        <v>11</v>
      </c>
      <c r="BB311" s="49">
        <f t="shared" si="93"/>
        <v>8</v>
      </c>
      <c r="BC311" s="49">
        <f>VLOOKUP(AH311,Leyenda!$B$4:$D$10,3,FALSE)</f>
        <v>4</v>
      </c>
      <c r="BD311" s="50">
        <f t="shared" si="98"/>
        <v>8</v>
      </c>
      <c r="BE311" s="49">
        <f t="shared" si="99"/>
        <v>11</v>
      </c>
      <c r="BF311" s="49">
        <v>10</v>
      </c>
      <c r="BG311" s="67">
        <f t="shared" si="94"/>
        <v>34.5</v>
      </c>
      <c r="BH311" s="67">
        <f>VLOOKUP(AM311,Leyenda!$B$4:$E$10,4,FALSE)</f>
        <v>4</v>
      </c>
      <c r="BI311" s="67">
        <f t="shared" si="100"/>
        <v>9</v>
      </c>
      <c r="BJ311" s="67">
        <f t="shared" si="95"/>
        <v>8</v>
      </c>
      <c r="BK311" s="67">
        <f>+VLOOKUP('2. Logging Brejo Seco'!AP311,Leyenda!$B$47:$E$51,4,FALSE)</f>
        <v>1</v>
      </c>
      <c r="BL311" s="67">
        <f>+VLOOKUP('2. Logging Brejo Seco'!AQ311,Leyenda!$B$55:$E$59,4,FALSE)</f>
        <v>3</v>
      </c>
      <c r="BM311" s="67">
        <f>+VLOOKUP('2. Logging Brejo Seco'!AR311,Leyenda!$B$63:$E$67,3,FALSE)</f>
        <v>2</v>
      </c>
      <c r="BN311" s="67">
        <f>+VLOOKUP('2. Logging Brejo Seco'!AO311,Leyenda!$B$39:$E$43,4,FALSE)</f>
        <v>3</v>
      </c>
      <c r="BO311" s="67">
        <f>+VLOOKUP('2. Logging Brejo Seco'!AN311,Leyenda!$B$30:$E$34,4,FALSE)</f>
        <v>3</v>
      </c>
      <c r="BP311" s="67">
        <f>VLOOKUP(AS311,Leyenda!$B$71:$E$75,4,FALSE)</f>
        <v>10</v>
      </c>
      <c r="BQ311" s="125">
        <f t="shared" si="101"/>
        <v>43</v>
      </c>
      <c r="BR311" s="85">
        <f t="shared" si="102"/>
        <v>41</v>
      </c>
      <c r="BS311" s="240">
        <f t="shared" si="103"/>
        <v>0</v>
      </c>
      <c r="BT311" s="18"/>
    </row>
    <row r="312" spans="1:72" x14ac:dyDescent="0.25">
      <c r="A312" s="18" t="s">
        <v>6</v>
      </c>
      <c r="B312" s="18">
        <v>2024</v>
      </c>
      <c r="C312" s="18" t="s">
        <v>138</v>
      </c>
      <c r="D312" s="18" t="s">
        <v>130</v>
      </c>
      <c r="E312" s="18">
        <v>20</v>
      </c>
      <c r="F312" s="18">
        <v>40</v>
      </c>
      <c r="G312" s="18" t="s">
        <v>156</v>
      </c>
      <c r="H312" s="248">
        <f t="shared" si="104"/>
        <v>40</v>
      </c>
      <c r="I312" s="135"/>
      <c r="J312" s="18" t="s">
        <v>182</v>
      </c>
      <c r="K312" s="4">
        <f t="shared" si="107"/>
        <v>39.5</v>
      </c>
      <c r="L312" s="4">
        <v>40</v>
      </c>
      <c r="M312" s="4">
        <f t="shared" si="96"/>
        <v>0.5</v>
      </c>
      <c r="N312" s="5">
        <v>1</v>
      </c>
      <c r="O312" s="5">
        <f t="shared" si="108"/>
        <v>0</v>
      </c>
      <c r="P312" s="31">
        <f t="shared" si="97"/>
        <v>0.5</v>
      </c>
      <c r="Q312" s="31">
        <f t="shared" si="92"/>
        <v>0.5</v>
      </c>
      <c r="R312" s="31">
        <v>100</v>
      </c>
      <c r="S312" s="31">
        <v>5</v>
      </c>
      <c r="T312" s="31">
        <v>0.47</v>
      </c>
      <c r="U312" s="31">
        <v>0.33</v>
      </c>
      <c r="V312" s="65">
        <f t="shared" si="105"/>
        <v>66</v>
      </c>
      <c r="W312" s="31">
        <v>2</v>
      </c>
      <c r="X312" s="31"/>
      <c r="Y312" s="31">
        <f t="shared" si="90"/>
        <v>2</v>
      </c>
      <c r="Z312" s="31">
        <f t="shared" si="91"/>
        <v>235</v>
      </c>
      <c r="AA312" s="18">
        <v>88</v>
      </c>
      <c r="AB312" s="18" t="s">
        <v>330</v>
      </c>
      <c r="AC312" s="18" t="s">
        <v>118</v>
      </c>
      <c r="AD312" s="18" t="s">
        <v>334</v>
      </c>
      <c r="AE312" s="18">
        <v>5</v>
      </c>
      <c r="AF312" s="18">
        <v>100</v>
      </c>
      <c r="AG312" s="18" t="s">
        <v>29</v>
      </c>
      <c r="AH312" s="18" t="s">
        <v>29</v>
      </c>
      <c r="AI312" s="18" t="str">
        <f>+VLOOKUP(AH312,Leyenda!$O$4:$U$10,6,FALSE)</f>
        <v>0,25-0,35</v>
      </c>
      <c r="AJ312" s="18" t="str">
        <f>+VLOOKUP(AG312,Leyenda!$O$4:$U$10,7,FALSE)</f>
        <v>No Blasting need</v>
      </c>
      <c r="AK312" s="18">
        <f>+VLOOKUP(AJ312,Leyenda!$U$4:$V$10,2,FALSE)</f>
        <v>2</v>
      </c>
      <c r="AL312" s="18" t="s">
        <v>29</v>
      </c>
      <c r="AM312" s="18" t="s">
        <v>29</v>
      </c>
      <c r="AN312" s="18" t="s">
        <v>64</v>
      </c>
      <c r="AO312" s="18" t="s">
        <v>77</v>
      </c>
      <c r="AP312" s="18" t="s">
        <v>96</v>
      </c>
      <c r="AQ312" s="18" t="s">
        <v>107</v>
      </c>
      <c r="AR312" s="18" t="s">
        <v>118</v>
      </c>
      <c r="AS312" s="18" t="s">
        <v>198</v>
      </c>
      <c r="AT312" s="18"/>
      <c r="AU312" s="18"/>
      <c r="AV312" s="18">
        <f>+VLOOKUP(AN312,Leyenda!$B$30:$E$34,3,FALSE)</f>
        <v>2</v>
      </c>
      <c r="AW312" s="18">
        <f>+VLOOKUP('2. Logging Brejo Seco'!AO312,Meteorizacion,3,FALSE)</f>
        <v>3</v>
      </c>
      <c r="AX312" s="18">
        <f>+VLOOKUP('2. Logging Brejo Seco'!AP312,Apertura,3,FALSE)</f>
        <v>1</v>
      </c>
      <c r="AY312" s="18">
        <f>+VLOOKUP('2. Logging Brejo Seco'!AQ312,Leyenda!$B$55:$D$59,3,FALSE)</f>
        <v>3</v>
      </c>
      <c r="AZ312" s="18">
        <f>+VLOOKUP('2. Logging Brejo Seco'!AR312,Relleno,3,FALSE)</f>
        <v>2</v>
      </c>
      <c r="BA312" s="18">
        <f t="shared" si="106"/>
        <v>11</v>
      </c>
      <c r="BB312" s="49">
        <f t="shared" si="93"/>
        <v>14</v>
      </c>
      <c r="BC312" s="49">
        <f>VLOOKUP(AH312,Leyenda!$B$4:$D$10,3,FALSE)</f>
        <v>2</v>
      </c>
      <c r="BD312" s="50">
        <f t="shared" si="98"/>
        <v>10</v>
      </c>
      <c r="BE312" s="49">
        <f t="shared" si="99"/>
        <v>11</v>
      </c>
      <c r="BF312" s="49">
        <f>VLOOKUP(AS312,Leyenda!$B$70:$D$75,3,FALSE)</f>
        <v>15</v>
      </c>
      <c r="BG312" s="67">
        <f t="shared" si="94"/>
        <v>49.5</v>
      </c>
      <c r="BH312" s="67">
        <f>VLOOKUP(AM312,Leyenda!$B$4:$E$10,4,FALSE)</f>
        <v>2</v>
      </c>
      <c r="BI312" s="67">
        <f t="shared" si="100"/>
        <v>13</v>
      </c>
      <c r="BJ312" s="67">
        <f t="shared" si="95"/>
        <v>14</v>
      </c>
      <c r="BK312" s="67">
        <f>+VLOOKUP('2. Logging Brejo Seco'!AP312,Leyenda!$B$47:$E$51,4,FALSE)</f>
        <v>1</v>
      </c>
      <c r="BL312" s="67">
        <f>+VLOOKUP('2. Logging Brejo Seco'!AQ312,Leyenda!$B$55:$E$59,4,FALSE)</f>
        <v>3</v>
      </c>
      <c r="BM312" s="67">
        <f>+VLOOKUP('2. Logging Brejo Seco'!AR312,Leyenda!$B$63:$E$67,3,FALSE)</f>
        <v>2</v>
      </c>
      <c r="BN312" s="67">
        <f>+VLOOKUP('2. Logging Brejo Seco'!AO312,Leyenda!$B$39:$E$43,4,FALSE)</f>
        <v>3</v>
      </c>
      <c r="BO312" s="67">
        <f>+VLOOKUP('2. Logging Brejo Seco'!AN312,Leyenda!$B$30:$E$34,4,FALSE)</f>
        <v>3</v>
      </c>
      <c r="BP312" s="67">
        <f>VLOOKUP(AS312,Leyenda!$B$71:$E$75,4,FALSE)</f>
        <v>10</v>
      </c>
      <c r="BQ312" s="125">
        <f t="shared" si="101"/>
        <v>51</v>
      </c>
      <c r="BR312" s="85">
        <f t="shared" si="102"/>
        <v>52</v>
      </c>
      <c r="BS312" s="240">
        <f t="shared" si="103"/>
        <v>0</v>
      </c>
      <c r="BT312" s="18"/>
    </row>
    <row r="313" spans="1:72" x14ac:dyDescent="0.25">
      <c r="A313" s="18" t="s">
        <v>6</v>
      </c>
      <c r="B313" s="18">
        <v>2024</v>
      </c>
      <c r="C313" s="18" t="s">
        <v>138</v>
      </c>
      <c r="D313" s="18" t="s">
        <v>130</v>
      </c>
      <c r="E313" s="18">
        <v>20</v>
      </c>
      <c r="F313" s="18">
        <v>30</v>
      </c>
      <c r="G313" s="18" t="s">
        <v>156</v>
      </c>
      <c r="H313" s="248">
        <f t="shared" si="104"/>
        <v>30</v>
      </c>
      <c r="I313" s="135"/>
      <c r="J313" s="18" t="s">
        <v>182</v>
      </c>
      <c r="K313" s="4">
        <f t="shared" si="107"/>
        <v>40</v>
      </c>
      <c r="L313" s="4">
        <v>40.5</v>
      </c>
      <c r="M313" s="4">
        <f t="shared" si="96"/>
        <v>0.5</v>
      </c>
      <c r="N313" s="5">
        <v>1</v>
      </c>
      <c r="O313" s="5">
        <f t="shared" si="108"/>
        <v>0</v>
      </c>
      <c r="P313" s="31">
        <f t="shared" si="97"/>
        <v>0.5</v>
      </c>
      <c r="Q313" s="31">
        <f t="shared" si="92"/>
        <v>0.5</v>
      </c>
      <c r="R313" s="31">
        <v>500</v>
      </c>
      <c r="S313" s="31">
        <v>1</v>
      </c>
      <c r="T313" s="31">
        <v>0.46</v>
      </c>
      <c r="U313" s="31">
        <v>0.14000000000000001</v>
      </c>
      <c r="V313" s="65">
        <f t="shared" si="105"/>
        <v>28.000000000000004</v>
      </c>
      <c r="W313" s="31">
        <v>6</v>
      </c>
      <c r="X313" s="31"/>
      <c r="Y313" s="31">
        <f t="shared" si="90"/>
        <v>6</v>
      </c>
      <c r="Z313" s="31">
        <f t="shared" ref="Z313:Z354" si="109">+IF(T313=0,"",(T313*1000)/Y313)</f>
        <v>76.666666666666671</v>
      </c>
      <c r="AA313" s="18">
        <v>30</v>
      </c>
      <c r="AB313" s="18" t="s">
        <v>330</v>
      </c>
      <c r="AC313" s="18" t="s">
        <v>116</v>
      </c>
      <c r="AD313" s="18" t="s">
        <v>334</v>
      </c>
      <c r="AE313" s="18">
        <v>1</v>
      </c>
      <c r="AF313" s="18">
        <v>500</v>
      </c>
      <c r="AG313" s="18" t="s">
        <v>27</v>
      </c>
      <c r="AH313" s="18" t="s">
        <v>27</v>
      </c>
      <c r="AI313" s="18" t="str">
        <f>+VLOOKUP(AH313,Leyenda!$O$4:$U$10,6,FALSE)</f>
        <v>0,35-0,50</v>
      </c>
      <c r="AJ313" s="18" t="str">
        <f>+VLOOKUP(AG313,Leyenda!$O$4:$U$10,7,FALSE)</f>
        <v>Easy to blast</v>
      </c>
      <c r="AK313" s="18">
        <f>+VLOOKUP(AJ313,Leyenda!$U$4:$V$10,2,FALSE)</f>
        <v>3</v>
      </c>
      <c r="AL313" s="18" t="s">
        <v>29</v>
      </c>
      <c r="AM313" s="18" t="s">
        <v>27</v>
      </c>
      <c r="AN313" s="18" t="s">
        <v>64</v>
      </c>
      <c r="AO313" s="18" t="s">
        <v>77</v>
      </c>
      <c r="AP313" s="18" t="s">
        <v>96</v>
      </c>
      <c r="AQ313" s="18" t="s">
        <v>107</v>
      </c>
      <c r="AR313" s="18" t="s">
        <v>118</v>
      </c>
      <c r="AS313" s="18" t="s">
        <v>198</v>
      </c>
      <c r="AT313" s="18"/>
      <c r="AU313" s="18"/>
      <c r="AV313" s="18">
        <f>+VLOOKUP(AN313,Leyenda!$B$30:$E$34,3,FALSE)</f>
        <v>2</v>
      </c>
      <c r="AW313" s="18">
        <f>+VLOOKUP('2. Logging Brejo Seco'!AO313,Meteorizacion,3,FALSE)</f>
        <v>3</v>
      </c>
      <c r="AX313" s="18">
        <f>+VLOOKUP('2. Logging Brejo Seco'!AP313,Apertura,3,FALSE)</f>
        <v>1</v>
      </c>
      <c r="AY313" s="18">
        <f>+VLOOKUP('2. Logging Brejo Seco'!AQ313,Leyenda!$B$55:$D$59,3,FALSE)</f>
        <v>3</v>
      </c>
      <c r="AZ313" s="18">
        <f>+VLOOKUP('2. Logging Brejo Seco'!AR313,Relleno,3,FALSE)</f>
        <v>2</v>
      </c>
      <c r="BA313" s="18">
        <f t="shared" si="106"/>
        <v>11</v>
      </c>
      <c r="BB313" s="49">
        <f t="shared" si="93"/>
        <v>6</v>
      </c>
      <c r="BC313" s="49">
        <f>VLOOKUP(AH313,Leyenda!$B$4:$D$10,3,FALSE)</f>
        <v>4</v>
      </c>
      <c r="BD313" s="50">
        <f t="shared" si="98"/>
        <v>7</v>
      </c>
      <c r="BE313" s="49">
        <f t="shared" si="99"/>
        <v>11</v>
      </c>
      <c r="BF313" s="49">
        <v>10</v>
      </c>
      <c r="BG313" s="67">
        <f t="shared" si="94"/>
        <v>30.5</v>
      </c>
      <c r="BH313" s="67">
        <f>VLOOKUP(AM313,Leyenda!$B$4:$E$10,4,FALSE)</f>
        <v>4</v>
      </c>
      <c r="BI313" s="67">
        <f t="shared" si="100"/>
        <v>7</v>
      </c>
      <c r="BJ313" s="67">
        <f t="shared" si="95"/>
        <v>6</v>
      </c>
      <c r="BK313" s="67">
        <f>+VLOOKUP('2. Logging Brejo Seco'!AP313,Leyenda!$B$47:$E$51,4,FALSE)</f>
        <v>1</v>
      </c>
      <c r="BL313" s="67">
        <f>+VLOOKUP('2. Logging Brejo Seco'!AQ313,Leyenda!$B$55:$E$59,4,FALSE)</f>
        <v>3</v>
      </c>
      <c r="BM313" s="67">
        <f>+VLOOKUP('2. Logging Brejo Seco'!AR313,Leyenda!$B$63:$E$67,3,FALSE)</f>
        <v>2</v>
      </c>
      <c r="BN313" s="67">
        <f>+VLOOKUP('2. Logging Brejo Seco'!AO313,Leyenda!$B$39:$E$43,4,FALSE)</f>
        <v>3</v>
      </c>
      <c r="BO313" s="67">
        <f>+VLOOKUP('2. Logging Brejo Seco'!AN313,Leyenda!$B$30:$E$34,4,FALSE)</f>
        <v>3</v>
      </c>
      <c r="BP313" s="67">
        <f>VLOOKUP(AS313,Leyenda!$B$71:$E$75,4,FALSE)</f>
        <v>10</v>
      </c>
      <c r="BQ313" s="125">
        <f t="shared" si="101"/>
        <v>39</v>
      </c>
      <c r="BR313" s="85">
        <f t="shared" si="102"/>
        <v>38</v>
      </c>
      <c r="BS313" s="240">
        <f t="shared" si="103"/>
        <v>0</v>
      </c>
      <c r="BT313" s="18"/>
    </row>
    <row r="314" spans="1:72" x14ac:dyDescent="0.25">
      <c r="A314" s="18" t="s">
        <v>6</v>
      </c>
      <c r="B314" s="18">
        <v>2024</v>
      </c>
      <c r="C314" s="18" t="s">
        <v>138</v>
      </c>
      <c r="D314" s="18" t="s">
        <v>130</v>
      </c>
      <c r="E314" s="18">
        <v>20</v>
      </c>
      <c r="F314" s="18">
        <v>30</v>
      </c>
      <c r="G314" s="18" t="s">
        <v>156</v>
      </c>
      <c r="H314" s="248">
        <f t="shared" si="104"/>
        <v>30</v>
      </c>
      <c r="I314" s="135"/>
      <c r="J314" s="18" t="s">
        <v>182</v>
      </c>
      <c r="K314" s="4">
        <f t="shared" si="107"/>
        <v>40.5</v>
      </c>
      <c r="L314" s="4">
        <v>41</v>
      </c>
      <c r="M314" s="4">
        <f t="shared" si="96"/>
        <v>0.5</v>
      </c>
      <c r="N314" s="5">
        <v>1</v>
      </c>
      <c r="O314" s="5">
        <f t="shared" si="108"/>
        <v>0</v>
      </c>
      <c r="P314" s="31">
        <f t="shared" si="97"/>
        <v>0.5</v>
      </c>
      <c r="Q314" s="31">
        <f t="shared" si="92"/>
        <v>0.5</v>
      </c>
      <c r="R314" s="31">
        <v>25</v>
      </c>
      <c r="S314" s="31">
        <v>20</v>
      </c>
      <c r="T314" s="31">
        <v>0.5</v>
      </c>
      <c r="U314" s="31">
        <v>0</v>
      </c>
      <c r="V314" s="65">
        <f t="shared" si="105"/>
        <v>0</v>
      </c>
      <c r="W314" s="31">
        <v>8</v>
      </c>
      <c r="X314" s="31"/>
      <c r="Y314" s="31">
        <f t="shared" si="90"/>
        <v>8</v>
      </c>
      <c r="Z314" s="31">
        <f t="shared" si="109"/>
        <v>62.5</v>
      </c>
      <c r="AA314" s="18">
        <v>0</v>
      </c>
      <c r="AB314" s="18" t="s">
        <v>330</v>
      </c>
      <c r="AC314" s="18" t="s">
        <v>333</v>
      </c>
      <c r="AD314" s="18" t="s">
        <v>334</v>
      </c>
      <c r="AE314" s="18">
        <v>20</v>
      </c>
      <c r="AF314" s="18">
        <v>25</v>
      </c>
      <c r="AG314" s="18" t="s">
        <v>27</v>
      </c>
      <c r="AH314" s="18" t="s">
        <v>27</v>
      </c>
      <c r="AI314" s="18" t="str">
        <f>+VLOOKUP(AH314,Leyenda!$O$4:$U$10,6,FALSE)</f>
        <v>0,35-0,50</v>
      </c>
      <c r="AJ314" s="18" t="str">
        <f>+VLOOKUP(AG314,Leyenda!$O$4:$U$10,7,FALSE)</f>
        <v>Easy to blast</v>
      </c>
      <c r="AK314" s="18">
        <f>+VLOOKUP(AJ314,Leyenda!$U$4:$V$10,2,FALSE)</f>
        <v>3</v>
      </c>
      <c r="AL314" s="18" t="s">
        <v>29</v>
      </c>
      <c r="AM314" s="18" t="s">
        <v>27</v>
      </c>
      <c r="AN314" s="18" t="s">
        <v>64</v>
      </c>
      <c r="AO314" s="18" t="s">
        <v>77</v>
      </c>
      <c r="AP314" s="18" t="s">
        <v>96</v>
      </c>
      <c r="AQ314" s="18" t="s">
        <v>107</v>
      </c>
      <c r="AR314" s="18" t="s">
        <v>118</v>
      </c>
      <c r="AS314" s="18" t="s">
        <v>198</v>
      </c>
      <c r="AT314" s="18"/>
      <c r="AU314" s="18"/>
      <c r="AV314" s="18">
        <f>+VLOOKUP(AN314,Leyenda!$B$30:$E$34,3,FALSE)</f>
        <v>2</v>
      </c>
      <c r="AW314" s="18">
        <f>+VLOOKUP('2. Logging Brejo Seco'!AO314,Meteorizacion,3,FALSE)</f>
        <v>3</v>
      </c>
      <c r="AX314" s="18">
        <f>+VLOOKUP('2. Logging Brejo Seco'!AP314,Apertura,3,FALSE)</f>
        <v>1</v>
      </c>
      <c r="AY314" s="18">
        <f>+VLOOKUP('2. Logging Brejo Seco'!AQ314,Leyenda!$B$55:$D$59,3,FALSE)</f>
        <v>3</v>
      </c>
      <c r="AZ314" s="18">
        <f>+VLOOKUP('2. Logging Brejo Seco'!AR314,Relleno,3,FALSE)</f>
        <v>2</v>
      </c>
      <c r="BA314" s="18">
        <f t="shared" si="106"/>
        <v>11</v>
      </c>
      <c r="BB314" s="49">
        <f t="shared" si="93"/>
        <v>0</v>
      </c>
      <c r="BC314" s="49">
        <f>VLOOKUP(AH314,Leyenda!$B$4:$D$10,3,FALSE)</f>
        <v>4</v>
      </c>
      <c r="BD314" s="50">
        <f t="shared" si="98"/>
        <v>6</v>
      </c>
      <c r="BE314" s="49">
        <f t="shared" si="99"/>
        <v>11</v>
      </c>
      <c r="BF314" s="49">
        <v>10</v>
      </c>
      <c r="BG314" s="67">
        <f t="shared" si="94"/>
        <v>16.5</v>
      </c>
      <c r="BH314" s="67">
        <f>VLOOKUP(AM314,Leyenda!$B$4:$E$10,4,FALSE)</f>
        <v>4</v>
      </c>
      <c r="BI314" s="67">
        <f t="shared" si="100"/>
        <v>5</v>
      </c>
      <c r="BJ314" s="67">
        <f t="shared" si="95"/>
        <v>0</v>
      </c>
      <c r="BK314" s="67">
        <f>+VLOOKUP('2. Logging Brejo Seco'!AP314,Leyenda!$B$47:$E$51,4,FALSE)</f>
        <v>1</v>
      </c>
      <c r="BL314" s="67">
        <f>+VLOOKUP('2. Logging Brejo Seco'!AQ314,Leyenda!$B$55:$E$59,4,FALSE)</f>
        <v>3</v>
      </c>
      <c r="BM314" s="67">
        <f>+VLOOKUP('2. Logging Brejo Seco'!AR314,Leyenda!$B$63:$E$67,3,FALSE)</f>
        <v>2</v>
      </c>
      <c r="BN314" s="67">
        <f>+VLOOKUP('2. Logging Brejo Seco'!AO314,Leyenda!$B$39:$E$43,4,FALSE)</f>
        <v>3</v>
      </c>
      <c r="BO314" s="67">
        <f>+VLOOKUP('2. Logging Brejo Seco'!AN314,Leyenda!$B$30:$E$34,4,FALSE)</f>
        <v>3</v>
      </c>
      <c r="BP314" s="67">
        <f>VLOOKUP(AS314,Leyenda!$B$71:$E$75,4,FALSE)</f>
        <v>10</v>
      </c>
      <c r="BQ314" s="125">
        <f t="shared" si="101"/>
        <v>31</v>
      </c>
      <c r="BR314" s="85">
        <f t="shared" si="102"/>
        <v>31</v>
      </c>
      <c r="BS314" s="240">
        <f t="shared" si="103"/>
        <v>0</v>
      </c>
      <c r="BT314" s="18"/>
    </row>
    <row r="315" spans="1:72" x14ac:dyDescent="0.25">
      <c r="A315" s="18" t="s">
        <v>6</v>
      </c>
      <c r="B315" s="18">
        <v>2024</v>
      </c>
      <c r="C315" s="18" t="s">
        <v>138</v>
      </c>
      <c r="D315" s="18" t="s">
        <v>130</v>
      </c>
      <c r="E315" s="18">
        <v>20</v>
      </c>
      <c r="F315" s="18">
        <v>40</v>
      </c>
      <c r="G315" s="18" t="s">
        <v>156</v>
      </c>
      <c r="H315" s="248">
        <f t="shared" si="104"/>
        <v>40</v>
      </c>
      <c r="I315" s="135"/>
      <c r="J315" s="18" t="s">
        <v>182</v>
      </c>
      <c r="K315" s="4">
        <f t="shared" si="107"/>
        <v>41</v>
      </c>
      <c r="L315" s="4">
        <v>41.5</v>
      </c>
      <c r="M315" s="4">
        <f t="shared" si="96"/>
        <v>0.5</v>
      </c>
      <c r="N315" s="5">
        <v>1</v>
      </c>
      <c r="O315" s="5">
        <f t="shared" si="108"/>
        <v>0</v>
      </c>
      <c r="P315" s="31">
        <f t="shared" si="97"/>
        <v>0.5</v>
      </c>
      <c r="Q315" s="31">
        <f t="shared" si="92"/>
        <v>0.5</v>
      </c>
      <c r="R315" s="31">
        <v>100</v>
      </c>
      <c r="S315" s="31">
        <v>5</v>
      </c>
      <c r="T315" s="31">
        <v>0.45</v>
      </c>
      <c r="U315" s="31">
        <v>0.37</v>
      </c>
      <c r="V315" s="65">
        <f t="shared" si="105"/>
        <v>74</v>
      </c>
      <c r="W315" s="31">
        <v>3</v>
      </c>
      <c r="X315" s="31"/>
      <c r="Y315" s="31">
        <f t="shared" si="90"/>
        <v>3</v>
      </c>
      <c r="Z315" s="31">
        <f t="shared" si="109"/>
        <v>150</v>
      </c>
      <c r="AA315" s="18">
        <v>86</v>
      </c>
      <c r="AB315" s="18" t="s">
        <v>330</v>
      </c>
      <c r="AC315" s="18" t="s">
        <v>118</v>
      </c>
      <c r="AD315" s="18" t="s">
        <v>334</v>
      </c>
      <c r="AE315" s="18">
        <v>5</v>
      </c>
      <c r="AF315" s="18">
        <v>100</v>
      </c>
      <c r="AG315" s="18" t="s">
        <v>27</v>
      </c>
      <c r="AH315" s="18" t="s">
        <v>27</v>
      </c>
      <c r="AI315" s="18" t="str">
        <f>+VLOOKUP(AH315,Leyenda!$O$4:$U$10,6,FALSE)</f>
        <v>0,35-0,50</v>
      </c>
      <c r="AJ315" s="18" t="str">
        <f>+VLOOKUP(AG315,Leyenda!$O$4:$U$10,7,FALSE)</f>
        <v>Easy to blast</v>
      </c>
      <c r="AK315" s="18">
        <f>+VLOOKUP(AJ315,Leyenda!$U$4:$V$10,2,FALSE)</f>
        <v>3</v>
      </c>
      <c r="AL315" s="18" t="s">
        <v>29</v>
      </c>
      <c r="AM315" s="18" t="s">
        <v>27</v>
      </c>
      <c r="AN315" s="18" t="s">
        <v>64</v>
      </c>
      <c r="AO315" s="18" t="s">
        <v>77</v>
      </c>
      <c r="AP315" s="18" t="s">
        <v>96</v>
      </c>
      <c r="AQ315" s="18" t="s">
        <v>107</v>
      </c>
      <c r="AR315" s="18" t="s">
        <v>118</v>
      </c>
      <c r="AS315" s="18" t="s">
        <v>198</v>
      </c>
      <c r="AT315" s="18" t="s">
        <v>262</v>
      </c>
      <c r="AU315" s="18"/>
      <c r="AV315" s="18">
        <f>+VLOOKUP(AN315,Leyenda!$B$30:$E$34,3,FALSE)</f>
        <v>2</v>
      </c>
      <c r="AW315" s="18">
        <f>+VLOOKUP('2. Logging Brejo Seco'!AO315,Meteorizacion,3,FALSE)</f>
        <v>3</v>
      </c>
      <c r="AX315" s="18">
        <f>+VLOOKUP('2. Logging Brejo Seco'!AP315,Apertura,3,FALSE)</f>
        <v>1</v>
      </c>
      <c r="AY315" s="18">
        <f>+VLOOKUP('2. Logging Brejo Seco'!AQ315,Leyenda!$B$55:$D$59,3,FALSE)</f>
        <v>3</v>
      </c>
      <c r="AZ315" s="18">
        <f>+VLOOKUP('2. Logging Brejo Seco'!AR315,Relleno,3,FALSE)</f>
        <v>2</v>
      </c>
      <c r="BA315" s="18">
        <f t="shared" si="106"/>
        <v>11</v>
      </c>
      <c r="BB315" s="49">
        <f t="shared" si="93"/>
        <v>15</v>
      </c>
      <c r="BC315" s="49">
        <f>VLOOKUP(AH315,Leyenda!$B$4:$D$10,3,FALSE)</f>
        <v>4</v>
      </c>
      <c r="BD315" s="50">
        <f t="shared" si="98"/>
        <v>8</v>
      </c>
      <c r="BE315" s="49">
        <f t="shared" si="99"/>
        <v>11</v>
      </c>
      <c r="BF315" s="49">
        <f>VLOOKUP(AS315,Leyenda!$B$70:$D$75,3,FALSE)</f>
        <v>15</v>
      </c>
      <c r="BG315" s="67">
        <f t="shared" si="94"/>
        <v>53.5</v>
      </c>
      <c r="BH315" s="67">
        <f>VLOOKUP(AM315,Leyenda!$B$4:$E$10,4,FALSE)</f>
        <v>4</v>
      </c>
      <c r="BI315" s="67">
        <f t="shared" si="100"/>
        <v>11</v>
      </c>
      <c r="BJ315" s="67">
        <f t="shared" si="95"/>
        <v>15</v>
      </c>
      <c r="BK315" s="67">
        <f>+VLOOKUP('2. Logging Brejo Seco'!AP315,Leyenda!$B$47:$E$51,4,FALSE)</f>
        <v>1</v>
      </c>
      <c r="BL315" s="67">
        <f>+VLOOKUP('2. Logging Brejo Seco'!AQ315,Leyenda!$B$55:$E$59,4,FALSE)</f>
        <v>3</v>
      </c>
      <c r="BM315" s="67">
        <f>+VLOOKUP('2. Logging Brejo Seco'!AR315,Leyenda!$B$63:$E$67,3,FALSE)</f>
        <v>2</v>
      </c>
      <c r="BN315" s="67">
        <f>+VLOOKUP('2. Logging Brejo Seco'!AO315,Leyenda!$B$39:$E$43,4,FALSE)</f>
        <v>3</v>
      </c>
      <c r="BO315" s="67">
        <f>+VLOOKUP('2. Logging Brejo Seco'!AN315,Leyenda!$B$30:$E$34,4,FALSE)</f>
        <v>3</v>
      </c>
      <c r="BP315" s="67">
        <f>VLOOKUP(AS315,Leyenda!$B$71:$E$75,4,FALSE)</f>
        <v>10</v>
      </c>
      <c r="BQ315" s="125">
        <f t="shared" si="101"/>
        <v>52</v>
      </c>
      <c r="BR315" s="85">
        <f t="shared" si="102"/>
        <v>53</v>
      </c>
      <c r="BS315" s="240">
        <f t="shared" si="103"/>
        <v>0</v>
      </c>
      <c r="BT315" s="18"/>
    </row>
    <row r="316" spans="1:72" x14ac:dyDescent="0.25">
      <c r="A316" s="18" t="s">
        <v>6</v>
      </c>
      <c r="B316" s="18">
        <v>2024</v>
      </c>
      <c r="C316" s="18" t="s">
        <v>138</v>
      </c>
      <c r="D316" s="18" t="s">
        <v>130</v>
      </c>
      <c r="E316" s="18">
        <v>20</v>
      </c>
      <c r="F316" s="18">
        <v>40</v>
      </c>
      <c r="G316" s="18" t="s">
        <v>156</v>
      </c>
      <c r="H316" s="248">
        <f t="shared" si="104"/>
        <v>40</v>
      </c>
      <c r="I316" s="135"/>
      <c r="J316" s="18" t="s">
        <v>182</v>
      </c>
      <c r="K316" s="4">
        <f t="shared" si="107"/>
        <v>41.5</v>
      </c>
      <c r="L316" s="4">
        <v>42</v>
      </c>
      <c r="M316" s="4">
        <f t="shared" si="96"/>
        <v>0.5</v>
      </c>
      <c r="N316" s="5">
        <v>1</v>
      </c>
      <c r="O316" s="5">
        <f t="shared" si="108"/>
        <v>0</v>
      </c>
      <c r="P316" s="31">
        <f t="shared" si="97"/>
        <v>0.5</v>
      </c>
      <c r="Q316" s="31">
        <f t="shared" si="92"/>
        <v>0.5</v>
      </c>
      <c r="R316" s="31">
        <v>500</v>
      </c>
      <c r="S316" s="31">
        <v>1</v>
      </c>
      <c r="T316" s="31">
        <v>0.47</v>
      </c>
      <c r="U316" s="31">
        <v>0.27</v>
      </c>
      <c r="V316" s="65">
        <f t="shared" si="105"/>
        <v>54</v>
      </c>
      <c r="W316" s="31">
        <v>3</v>
      </c>
      <c r="X316" s="31"/>
      <c r="Y316" s="31">
        <f t="shared" si="90"/>
        <v>3</v>
      </c>
      <c r="Z316" s="31">
        <f t="shared" si="109"/>
        <v>156.66666666666666</v>
      </c>
      <c r="AA316" s="18">
        <v>76</v>
      </c>
      <c r="AB316" s="18" t="s">
        <v>330</v>
      </c>
      <c r="AC316" s="18" t="s">
        <v>116</v>
      </c>
      <c r="AD316" s="18" t="s">
        <v>334</v>
      </c>
      <c r="AE316" s="18">
        <v>1</v>
      </c>
      <c r="AF316" s="18">
        <v>500</v>
      </c>
      <c r="AG316" s="18" t="s">
        <v>27</v>
      </c>
      <c r="AH316" s="18" t="s">
        <v>27</v>
      </c>
      <c r="AI316" s="18" t="str">
        <f>+VLOOKUP(AH316,Leyenda!$O$4:$U$10,6,FALSE)</f>
        <v>0,35-0,50</v>
      </c>
      <c r="AJ316" s="18" t="str">
        <f>+VLOOKUP(AG316,Leyenda!$O$4:$U$10,7,FALSE)</f>
        <v>Easy to blast</v>
      </c>
      <c r="AK316" s="18">
        <f>+VLOOKUP(AJ316,Leyenda!$U$4:$V$10,2,FALSE)</f>
        <v>3</v>
      </c>
      <c r="AL316" s="18" t="s">
        <v>29</v>
      </c>
      <c r="AM316" s="18" t="s">
        <v>27</v>
      </c>
      <c r="AN316" s="18" t="s">
        <v>64</v>
      </c>
      <c r="AO316" s="18" t="s">
        <v>77</v>
      </c>
      <c r="AP316" s="18" t="s">
        <v>96</v>
      </c>
      <c r="AQ316" s="18" t="s">
        <v>107</v>
      </c>
      <c r="AR316" s="18" t="s">
        <v>118</v>
      </c>
      <c r="AS316" s="18" t="s">
        <v>198</v>
      </c>
      <c r="AT316" s="18"/>
      <c r="AU316" s="18"/>
      <c r="AV316" s="18">
        <f>+VLOOKUP(AN316,Leyenda!$B$30:$E$34,3,FALSE)</f>
        <v>2</v>
      </c>
      <c r="AW316" s="18">
        <f>+VLOOKUP('2. Logging Brejo Seco'!AO316,Meteorizacion,3,FALSE)</f>
        <v>3</v>
      </c>
      <c r="AX316" s="18">
        <f>+VLOOKUP('2. Logging Brejo Seco'!AP316,Apertura,3,FALSE)</f>
        <v>1</v>
      </c>
      <c r="AY316" s="18">
        <f>+VLOOKUP('2. Logging Brejo Seco'!AQ316,Leyenda!$B$55:$D$59,3,FALSE)</f>
        <v>3</v>
      </c>
      <c r="AZ316" s="18">
        <f>+VLOOKUP('2. Logging Brejo Seco'!AR316,Relleno,3,FALSE)</f>
        <v>2</v>
      </c>
      <c r="BA316" s="18">
        <f t="shared" si="106"/>
        <v>11</v>
      </c>
      <c r="BB316" s="49">
        <f t="shared" si="93"/>
        <v>11</v>
      </c>
      <c r="BC316" s="49">
        <f>VLOOKUP(AH316,Leyenda!$B$4:$D$10,3,FALSE)</f>
        <v>4</v>
      </c>
      <c r="BD316" s="50">
        <f t="shared" si="98"/>
        <v>8</v>
      </c>
      <c r="BE316" s="49">
        <f t="shared" si="99"/>
        <v>11</v>
      </c>
      <c r="BF316" s="49">
        <f>VLOOKUP(AS316,Leyenda!$B$70:$D$75,3,FALSE)</f>
        <v>15</v>
      </c>
      <c r="BG316" s="67">
        <f t="shared" si="94"/>
        <v>43.5</v>
      </c>
      <c r="BH316" s="67">
        <f>VLOOKUP(AM316,Leyenda!$B$4:$E$10,4,FALSE)</f>
        <v>4</v>
      </c>
      <c r="BI316" s="67">
        <f t="shared" si="100"/>
        <v>11</v>
      </c>
      <c r="BJ316" s="67">
        <f t="shared" si="95"/>
        <v>11</v>
      </c>
      <c r="BK316" s="67">
        <f>+VLOOKUP('2. Logging Brejo Seco'!AP316,Leyenda!$B$47:$E$51,4,FALSE)</f>
        <v>1</v>
      </c>
      <c r="BL316" s="67">
        <f>+VLOOKUP('2. Logging Brejo Seco'!AQ316,Leyenda!$B$55:$E$59,4,FALSE)</f>
        <v>3</v>
      </c>
      <c r="BM316" s="67">
        <f>+VLOOKUP('2. Logging Brejo Seco'!AR316,Leyenda!$B$63:$E$67,3,FALSE)</f>
        <v>2</v>
      </c>
      <c r="BN316" s="67">
        <f>+VLOOKUP('2. Logging Brejo Seco'!AO316,Leyenda!$B$39:$E$43,4,FALSE)</f>
        <v>3</v>
      </c>
      <c r="BO316" s="67">
        <f>+VLOOKUP('2. Logging Brejo Seco'!AN316,Leyenda!$B$30:$E$34,4,FALSE)</f>
        <v>3</v>
      </c>
      <c r="BP316" s="67">
        <f>VLOOKUP(AS316,Leyenda!$B$71:$E$75,4,FALSE)</f>
        <v>10</v>
      </c>
      <c r="BQ316" s="125">
        <f t="shared" si="101"/>
        <v>48</v>
      </c>
      <c r="BR316" s="85">
        <f t="shared" si="102"/>
        <v>49</v>
      </c>
      <c r="BS316" s="240">
        <f t="shared" si="103"/>
        <v>0</v>
      </c>
      <c r="BT316" s="18"/>
    </row>
    <row r="317" spans="1:72" x14ac:dyDescent="0.25">
      <c r="A317" s="18" t="s">
        <v>6</v>
      </c>
      <c r="B317" s="18">
        <v>2024</v>
      </c>
      <c r="C317" s="18" t="s">
        <v>138</v>
      </c>
      <c r="D317" s="18" t="s">
        <v>130</v>
      </c>
      <c r="E317" s="18">
        <v>20</v>
      </c>
      <c r="F317" s="18">
        <v>30</v>
      </c>
      <c r="G317" s="18" t="s">
        <v>156</v>
      </c>
      <c r="H317" s="248">
        <f t="shared" si="104"/>
        <v>30</v>
      </c>
      <c r="I317" s="135"/>
      <c r="J317" s="18" t="s">
        <v>182</v>
      </c>
      <c r="K317" s="4">
        <f t="shared" si="107"/>
        <v>42</v>
      </c>
      <c r="L317" s="4">
        <v>42.5</v>
      </c>
      <c r="M317" s="4">
        <f t="shared" si="96"/>
        <v>0.5</v>
      </c>
      <c r="N317" s="5">
        <v>1</v>
      </c>
      <c r="O317" s="5">
        <f t="shared" si="108"/>
        <v>0</v>
      </c>
      <c r="P317" s="31">
        <f t="shared" si="97"/>
        <v>0.5</v>
      </c>
      <c r="Q317" s="31">
        <f t="shared" si="92"/>
        <v>0.5</v>
      </c>
      <c r="R317" s="31">
        <v>500</v>
      </c>
      <c r="S317" s="31">
        <v>1</v>
      </c>
      <c r="T317" s="31">
        <v>0.33</v>
      </c>
      <c r="U317" s="31">
        <v>0.21</v>
      </c>
      <c r="V317" s="65">
        <f t="shared" si="105"/>
        <v>42</v>
      </c>
      <c r="W317" s="31">
        <v>3</v>
      </c>
      <c r="X317" s="31"/>
      <c r="Y317" s="31">
        <f t="shared" si="90"/>
        <v>3</v>
      </c>
      <c r="Z317" s="31">
        <f t="shared" si="109"/>
        <v>110</v>
      </c>
      <c r="AA317" s="18">
        <v>42</v>
      </c>
      <c r="AB317" s="18" t="s">
        <v>330</v>
      </c>
      <c r="AC317" s="18" t="s">
        <v>116</v>
      </c>
      <c r="AD317" s="18" t="s">
        <v>334</v>
      </c>
      <c r="AE317" s="18">
        <v>1</v>
      </c>
      <c r="AF317" s="18">
        <v>500</v>
      </c>
      <c r="AG317" s="18" t="s">
        <v>27</v>
      </c>
      <c r="AH317" s="18" t="s">
        <v>27</v>
      </c>
      <c r="AI317" s="18" t="str">
        <f>+VLOOKUP(AH317,Leyenda!$O$4:$U$10,6,FALSE)</f>
        <v>0,35-0,50</v>
      </c>
      <c r="AJ317" s="18" t="str">
        <f>+VLOOKUP(AG317,Leyenda!$O$4:$U$10,7,FALSE)</f>
        <v>Easy to blast</v>
      </c>
      <c r="AK317" s="18">
        <f>+VLOOKUP(AJ317,Leyenda!$U$4:$V$10,2,FALSE)</f>
        <v>3</v>
      </c>
      <c r="AL317" s="18" t="s">
        <v>32</v>
      </c>
      <c r="AM317" s="18" t="s">
        <v>27</v>
      </c>
      <c r="AN317" s="18" t="s">
        <v>64</v>
      </c>
      <c r="AO317" s="18" t="s">
        <v>79</v>
      </c>
      <c r="AP317" s="18" t="s">
        <v>96</v>
      </c>
      <c r="AQ317" s="18" t="s">
        <v>107</v>
      </c>
      <c r="AR317" s="18" t="s">
        <v>120</v>
      </c>
      <c r="AS317" s="18" t="s">
        <v>198</v>
      </c>
      <c r="AT317" s="18"/>
      <c r="AU317" s="18"/>
      <c r="AV317" s="18">
        <f>+VLOOKUP(AN317,Leyenda!$B$30:$E$34,3,FALSE)</f>
        <v>2</v>
      </c>
      <c r="AW317" s="18">
        <f>+VLOOKUP('2. Logging Brejo Seco'!AO317,Meteorizacion,3,FALSE)</f>
        <v>1</v>
      </c>
      <c r="AX317" s="18">
        <f>+VLOOKUP('2. Logging Brejo Seco'!AP317,Apertura,3,FALSE)</f>
        <v>1</v>
      </c>
      <c r="AY317" s="18">
        <f>+VLOOKUP('2. Logging Brejo Seco'!AQ317,Leyenda!$B$55:$D$59,3,FALSE)</f>
        <v>3</v>
      </c>
      <c r="AZ317" s="18">
        <f>+VLOOKUP('2. Logging Brejo Seco'!AR317,Relleno,3,FALSE)</f>
        <v>2</v>
      </c>
      <c r="BA317" s="18">
        <f t="shared" si="106"/>
        <v>9</v>
      </c>
      <c r="BB317" s="49">
        <f t="shared" si="93"/>
        <v>9</v>
      </c>
      <c r="BC317" s="49">
        <f>VLOOKUP(AH317,Leyenda!$B$4:$D$10,3,FALSE)</f>
        <v>4</v>
      </c>
      <c r="BD317" s="50">
        <f t="shared" si="98"/>
        <v>7</v>
      </c>
      <c r="BE317" s="49">
        <f t="shared" si="99"/>
        <v>9</v>
      </c>
      <c r="BF317" s="49">
        <v>10</v>
      </c>
      <c r="BG317" s="67">
        <f t="shared" si="94"/>
        <v>34.5</v>
      </c>
      <c r="BH317" s="67">
        <f>VLOOKUP(AM317,Leyenda!$B$4:$E$10,4,FALSE)</f>
        <v>4</v>
      </c>
      <c r="BI317" s="67">
        <f t="shared" si="100"/>
        <v>9</v>
      </c>
      <c r="BJ317" s="67">
        <f t="shared" si="95"/>
        <v>9</v>
      </c>
      <c r="BK317" s="67">
        <f>+VLOOKUP('2. Logging Brejo Seco'!AP317,Leyenda!$B$47:$E$51,4,FALSE)</f>
        <v>1</v>
      </c>
      <c r="BL317" s="67">
        <f>+VLOOKUP('2. Logging Brejo Seco'!AQ317,Leyenda!$B$55:$E$59,4,FALSE)</f>
        <v>3</v>
      </c>
      <c r="BM317" s="67">
        <f>+VLOOKUP('2. Logging Brejo Seco'!AR317,Leyenda!$B$63:$E$67,3,FALSE)</f>
        <v>2</v>
      </c>
      <c r="BN317" s="67">
        <f>+VLOOKUP('2. Logging Brejo Seco'!AO317,Leyenda!$B$39:$E$43,4,FALSE)</f>
        <v>1</v>
      </c>
      <c r="BO317" s="67">
        <f>+VLOOKUP('2. Logging Brejo Seco'!AN317,Leyenda!$B$30:$E$34,4,FALSE)</f>
        <v>3</v>
      </c>
      <c r="BP317" s="67">
        <f>VLOOKUP(AS317,Leyenda!$B$71:$E$75,4,FALSE)</f>
        <v>10</v>
      </c>
      <c r="BQ317" s="125">
        <f t="shared" si="101"/>
        <v>42</v>
      </c>
      <c r="BR317" s="85">
        <f t="shared" si="102"/>
        <v>39</v>
      </c>
      <c r="BS317" s="240">
        <f t="shared" si="103"/>
        <v>0</v>
      </c>
      <c r="BT317" s="18"/>
    </row>
    <row r="318" spans="1:72" x14ac:dyDescent="0.25">
      <c r="A318" s="18" t="s">
        <v>6</v>
      </c>
      <c r="B318" s="18">
        <v>2024</v>
      </c>
      <c r="C318" s="18" t="s">
        <v>138</v>
      </c>
      <c r="D318" s="18" t="s">
        <v>130</v>
      </c>
      <c r="E318" s="18">
        <v>20</v>
      </c>
      <c r="F318" s="18">
        <v>30</v>
      </c>
      <c r="G318" s="18" t="s">
        <v>156</v>
      </c>
      <c r="H318" s="248">
        <f t="shared" si="104"/>
        <v>30</v>
      </c>
      <c r="I318" s="135"/>
      <c r="J318" s="18" t="s">
        <v>183</v>
      </c>
      <c r="K318" s="4">
        <f t="shared" si="107"/>
        <v>42.5</v>
      </c>
      <c r="L318" s="4">
        <v>43</v>
      </c>
      <c r="M318" s="4">
        <f t="shared" si="96"/>
        <v>0.5</v>
      </c>
      <c r="N318" s="5">
        <v>1</v>
      </c>
      <c r="O318" s="5">
        <f t="shared" si="108"/>
        <v>0</v>
      </c>
      <c r="P318" s="31">
        <f t="shared" si="97"/>
        <v>0.5</v>
      </c>
      <c r="Q318" s="31">
        <f t="shared" si="92"/>
        <v>0.5</v>
      </c>
      <c r="R318" s="31">
        <v>25</v>
      </c>
      <c r="S318" s="31">
        <v>20</v>
      </c>
      <c r="T318" s="31">
        <v>0.46</v>
      </c>
      <c r="U318" s="31">
        <v>0.12</v>
      </c>
      <c r="V318" s="65">
        <f t="shared" si="105"/>
        <v>24</v>
      </c>
      <c r="W318" s="31">
        <v>8</v>
      </c>
      <c r="X318" s="31"/>
      <c r="Y318" s="31">
        <f t="shared" si="90"/>
        <v>8</v>
      </c>
      <c r="Z318" s="31">
        <f t="shared" si="109"/>
        <v>57.5</v>
      </c>
      <c r="AA318" s="18">
        <v>0</v>
      </c>
      <c r="AB318" s="18" t="s">
        <v>330</v>
      </c>
      <c r="AC318" s="18" t="s">
        <v>333</v>
      </c>
      <c r="AD318" s="18" t="s">
        <v>335</v>
      </c>
      <c r="AE318" s="18">
        <v>20</v>
      </c>
      <c r="AF318" s="18">
        <v>25</v>
      </c>
      <c r="AG318" s="18" t="s">
        <v>34</v>
      </c>
      <c r="AH318" s="18" t="s">
        <v>34</v>
      </c>
      <c r="AI318" s="18">
        <f>+VLOOKUP(AH318,Leyenda!$O$4:$U$10,6,FALSE)</f>
        <v>0</v>
      </c>
      <c r="AJ318" s="18" t="str">
        <f>+VLOOKUP(AG318,Leyenda!$O$4:$U$10,7,FALSE)</f>
        <v>No Blasting need</v>
      </c>
      <c r="AK318" s="18">
        <f>+VLOOKUP(AJ318,Leyenda!$U$4:$V$10,2,FALSE)</f>
        <v>2</v>
      </c>
      <c r="AL318" s="18" t="s">
        <v>34</v>
      </c>
      <c r="AM318" s="18" t="s">
        <v>34</v>
      </c>
      <c r="AN318" s="18" t="s">
        <v>66</v>
      </c>
      <c r="AO318" s="18" t="s">
        <v>79</v>
      </c>
      <c r="AP318" s="18" t="s">
        <v>96</v>
      </c>
      <c r="AQ318" s="18" t="s">
        <v>109</v>
      </c>
      <c r="AR318" s="18" t="s">
        <v>122</v>
      </c>
      <c r="AS318" s="18" t="s">
        <v>198</v>
      </c>
      <c r="AT318" s="18" t="s">
        <v>263</v>
      </c>
      <c r="AU318" s="18"/>
      <c r="AV318" s="18">
        <f>+VLOOKUP(AN318,Leyenda!$B$30:$E$34,3,FALSE)</f>
        <v>1</v>
      </c>
      <c r="AW318" s="18">
        <f>+VLOOKUP('2. Logging Brejo Seco'!AO318,Meteorizacion,3,FALSE)</f>
        <v>1</v>
      </c>
      <c r="AX318" s="18">
        <f>+VLOOKUP('2. Logging Brejo Seco'!AP318,Apertura,3,FALSE)</f>
        <v>1</v>
      </c>
      <c r="AY318" s="18">
        <f>+VLOOKUP('2. Logging Brejo Seco'!AQ318,Leyenda!$B$55:$D$59,3,FALSE)</f>
        <v>1</v>
      </c>
      <c r="AZ318" s="18">
        <f>+VLOOKUP('2. Logging Brejo Seco'!AR318,Relleno,3,FALSE)</f>
        <v>0</v>
      </c>
      <c r="BA318" s="18">
        <f t="shared" si="106"/>
        <v>4</v>
      </c>
      <c r="BB318" s="49">
        <f t="shared" si="93"/>
        <v>5</v>
      </c>
      <c r="BC318" s="49">
        <f>VLOOKUP(AH318,Leyenda!$B$4:$D$10,3,FALSE)</f>
        <v>0</v>
      </c>
      <c r="BD318" s="50">
        <f t="shared" si="98"/>
        <v>6</v>
      </c>
      <c r="BE318" s="49">
        <f t="shared" si="99"/>
        <v>4</v>
      </c>
      <c r="BF318" s="49">
        <v>10</v>
      </c>
      <c r="BG318" s="67">
        <f t="shared" si="94"/>
        <v>18</v>
      </c>
      <c r="BH318" s="67">
        <f>VLOOKUP(AM318,Leyenda!$B$4:$E$10,4,FALSE)</f>
        <v>0</v>
      </c>
      <c r="BI318" s="67">
        <f t="shared" si="100"/>
        <v>5</v>
      </c>
      <c r="BJ318" s="67">
        <f t="shared" si="95"/>
        <v>5</v>
      </c>
      <c r="BK318" s="67">
        <f>+VLOOKUP('2. Logging Brejo Seco'!AP318,Leyenda!$B$47:$E$51,4,FALSE)</f>
        <v>1</v>
      </c>
      <c r="BL318" s="67">
        <f>+VLOOKUP('2. Logging Brejo Seco'!AQ318,Leyenda!$B$55:$E$59,4,FALSE)</f>
        <v>1</v>
      </c>
      <c r="BM318" s="67">
        <f>+VLOOKUP('2. Logging Brejo Seco'!AR318,Leyenda!$B$63:$E$67,3,FALSE)</f>
        <v>0</v>
      </c>
      <c r="BN318" s="67">
        <f>+VLOOKUP('2. Logging Brejo Seco'!AO318,Leyenda!$B$39:$E$43,4,FALSE)</f>
        <v>1</v>
      </c>
      <c r="BO318" s="67">
        <f>+VLOOKUP('2. Logging Brejo Seco'!AN318,Leyenda!$B$30:$E$34,4,FALSE)</f>
        <v>1</v>
      </c>
      <c r="BP318" s="67">
        <f>VLOOKUP(AS318,Leyenda!$B$71:$E$75,4,FALSE)</f>
        <v>10</v>
      </c>
      <c r="BQ318" s="125">
        <f t="shared" si="101"/>
        <v>24</v>
      </c>
      <c r="BR318" s="85">
        <f t="shared" si="102"/>
        <v>25</v>
      </c>
      <c r="BS318" s="240">
        <f t="shared" si="103"/>
        <v>0</v>
      </c>
      <c r="BT318" s="18" t="s">
        <v>712</v>
      </c>
    </row>
    <row r="319" spans="1:72" x14ac:dyDescent="0.25">
      <c r="A319" s="18" t="s">
        <v>6</v>
      </c>
      <c r="B319" s="18">
        <v>2024</v>
      </c>
      <c r="C319" s="18" t="s">
        <v>138</v>
      </c>
      <c r="D319" s="18" t="s">
        <v>130</v>
      </c>
      <c r="E319" s="18">
        <v>20</v>
      </c>
      <c r="F319" s="18">
        <v>30</v>
      </c>
      <c r="G319" s="18" t="s">
        <v>156</v>
      </c>
      <c r="H319" s="248">
        <f t="shared" si="104"/>
        <v>30</v>
      </c>
      <c r="I319" s="135"/>
      <c r="J319" s="18" t="s">
        <v>183</v>
      </c>
      <c r="K319" s="4">
        <f t="shared" si="107"/>
        <v>43</v>
      </c>
      <c r="L319" s="4">
        <v>43.5</v>
      </c>
      <c r="M319" s="4">
        <f t="shared" si="96"/>
        <v>0.5</v>
      </c>
      <c r="N319" s="5">
        <v>1</v>
      </c>
      <c r="O319" s="5">
        <f t="shared" si="108"/>
        <v>0</v>
      </c>
      <c r="P319" s="31">
        <f t="shared" si="97"/>
        <v>0.5</v>
      </c>
      <c r="Q319" s="31">
        <f t="shared" si="92"/>
        <v>0.5</v>
      </c>
      <c r="R319" s="31">
        <v>25</v>
      </c>
      <c r="S319" s="31">
        <v>20</v>
      </c>
      <c r="T319" s="31">
        <v>0.43</v>
      </c>
      <c r="U319" s="31">
        <v>0.11</v>
      </c>
      <c r="V319" s="65">
        <f t="shared" si="105"/>
        <v>22</v>
      </c>
      <c r="W319" s="31">
        <v>7</v>
      </c>
      <c r="X319" s="31"/>
      <c r="Y319" s="31">
        <f t="shared" si="90"/>
        <v>7</v>
      </c>
      <c r="Z319" s="31">
        <f t="shared" si="109"/>
        <v>61.428571428571431</v>
      </c>
      <c r="AA319" s="18">
        <v>0</v>
      </c>
      <c r="AB319" s="18" t="s">
        <v>330</v>
      </c>
      <c r="AC319" s="18" t="s">
        <v>333</v>
      </c>
      <c r="AD319" s="18" t="s">
        <v>335</v>
      </c>
      <c r="AE319" s="18">
        <v>20</v>
      </c>
      <c r="AF319" s="18">
        <v>25</v>
      </c>
      <c r="AG319" s="18" t="s">
        <v>34</v>
      </c>
      <c r="AH319" s="18" t="s">
        <v>34</v>
      </c>
      <c r="AI319" s="18">
        <f>+VLOOKUP(AH319,Leyenda!$O$4:$U$10,6,FALSE)</f>
        <v>0</v>
      </c>
      <c r="AJ319" s="18" t="str">
        <f>+VLOOKUP(AG319,Leyenda!$O$4:$U$10,7,FALSE)</f>
        <v>No Blasting need</v>
      </c>
      <c r="AK319" s="18">
        <f>+VLOOKUP(AJ319,Leyenda!$U$4:$V$10,2,FALSE)</f>
        <v>2</v>
      </c>
      <c r="AL319" s="18" t="s">
        <v>34</v>
      </c>
      <c r="AM319" s="18" t="s">
        <v>34</v>
      </c>
      <c r="AN319" s="18" t="s">
        <v>66</v>
      </c>
      <c r="AO319" s="18" t="s">
        <v>79</v>
      </c>
      <c r="AP319" s="18" t="s">
        <v>100</v>
      </c>
      <c r="AQ319" s="18" t="s">
        <v>109</v>
      </c>
      <c r="AR319" s="18" t="s">
        <v>122</v>
      </c>
      <c r="AS319" s="18" t="s">
        <v>198</v>
      </c>
      <c r="AT319" s="18"/>
      <c r="AU319" s="18"/>
      <c r="AV319" s="18">
        <f>+VLOOKUP(AN319,Leyenda!$B$30:$E$34,3,FALSE)</f>
        <v>1</v>
      </c>
      <c r="AW319" s="18">
        <f>+VLOOKUP('2. Logging Brejo Seco'!AO319,Meteorizacion,3,FALSE)</f>
        <v>1</v>
      </c>
      <c r="AX319" s="18">
        <f>+VLOOKUP('2. Logging Brejo Seco'!AP319,Apertura,3,FALSE)</f>
        <v>0</v>
      </c>
      <c r="AY319" s="18">
        <f>+VLOOKUP('2. Logging Brejo Seco'!AQ319,Leyenda!$B$55:$D$59,3,FALSE)</f>
        <v>1</v>
      </c>
      <c r="AZ319" s="18">
        <f>+VLOOKUP('2. Logging Brejo Seco'!AR319,Relleno,3,FALSE)</f>
        <v>0</v>
      </c>
      <c r="BA319" s="18">
        <f t="shared" si="106"/>
        <v>3</v>
      </c>
      <c r="BB319" s="49">
        <f t="shared" si="93"/>
        <v>5</v>
      </c>
      <c r="BC319" s="49">
        <f>VLOOKUP(AH319,Leyenda!$B$4:$D$10,3,FALSE)</f>
        <v>0</v>
      </c>
      <c r="BD319" s="50">
        <f t="shared" si="98"/>
        <v>6</v>
      </c>
      <c r="BE319" s="49">
        <f t="shared" si="99"/>
        <v>3</v>
      </c>
      <c r="BF319" s="49">
        <v>10</v>
      </c>
      <c r="BG319" s="67">
        <f t="shared" si="94"/>
        <v>15.5</v>
      </c>
      <c r="BH319" s="67">
        <f>VLOOKUP(AM319,Leyenda!$B$4:$E$10,4,FALSE)</f>
        <v>0</v>
      </c>
      <c r="BI319" s="67">
        <f t="shared" si="100"/>
        <v>5</v>
      </c>
      <c r="BJ319" s="67">
        <f t="shared" si="95"/>
        <v>5</v>
      </c>
      <c r="BK319" s="67">
        <f>+VLOOKUP('2. Logging Brejo Seco'!AP319,Leyenda!$B$47:$E$51,4,FALSE)</f>
        <v>0</v>
      </c>
      <c r="BL319" s="67">
        <f>+VLOOKUP('2. Logging Brejo Seco'!AQ319,Leyenda!$B$55:$E$59,4,FALSE)</f>
        <v>1</v>
      </c>
      <c r="BM319" s="67">
        <f>+VLOOKUP('2. Logging Brejo Seco'!AR319,Leyenda!$B$63:$E$67,3,FALSE)</f>
        <v>0</v>
      </c>
      <c r="BN319" s="67">
        <f>+VLOOKUP('2. Logging Brejo Seco'!AO319,Leyenda!$B$39:$E$43,4,FALSE)</f>
        <v>1</v>
      </c>
      <c r="BO319" s="67">
        <f>+VLOOKUP('2. Logging Brejo Seco'!AN319,Leyenda!$B$30:$E$34,4,FALSE)</f>
        <v>1</v>
      </c>
      <c r="BP319" s="67">
        <f>VLOOKUP(AS319,Leyenda!$B$71:$E$75,4,FALSE)</f>
        <v>10</v>
      </c>
      <c r="BQ319" s="125">
        <f t="shared" si="101"/>
        <v>23</v>
      </c>
      <c r="BR319" s="85">
        <f t="shared" si="102"/>
        <v>24</v>
      </c>
      <c r="BS319" s="240">
        <f t="shared" si="103"/>
        <v>0</v>
      </c>
      <c r="BT319" s="18" t="s">
        <v>712</v>
      </c>
    </row>
    <row r="320" spans="1:72" x14ac:dyDescent="0.25">
      <c r="A320" s="18" t="s">
        <v>6</v>
      </c>
      <c r="B320" s="18">
        <v>2024</v>
      </c>
      <c r="C320" s="18" t="s">
        <v>138</v>
      </c>
      <c r="D320" s="18" t="s">
        <v>130</v>
      </c>
      <c r="E320" s="18">
        <v>20</v>
      </c>
      <c r="F320" s="18">
        <v>30</v>
      </c>
      <c r="G320" s="18" t="s">
        <v>156</v>
      </c>
      <c r="H320" s="248">
        <f t="shared" si="104"/>
        <v>30</v>
      </c>
      <c r="I320" s="135"/>
      <c r="J320" s="18" t="s">
        <v>184</v>
      </c>
      <c r="K320" s="4">
        <f t="shared" si="107"/>
        <v>43.5</v>
      </c>
      <c r="L320" s="4">
        <v>44</v>
      </c>
      <c r="M320" s="4">
        <f t="shared" si="96"/>
        <v>0.5</v>
      </c>
      <c r="N320" s="5">
        <v>0.6</v>
      </c>
      <c r="O320" s="5">
        <f t="shared" si="108"/>
        <v>0.4</v>
      </c>
      <c r="P320" s="31">
        <f t="shared" si="97"/>
        <v>0.3</v>
      </c>
      <c r="Q320" s="31">
        <f t="shared" si="92"/>
        <v>0.3</v>
      </c>
      <c r="R320" s="31">
        <v>15</v>
      </c>
      <c r="S320" s="31">
        <v>20</v>
      </c>
      <c r="T320" s="31">
        <v>0.28999999999999998</v>
      </c>
      <c r="U320" s="31">
        <v>0</v>
      </c>
      <c r="V320" s="65">
        <f t="shared" si="105"/>
        <v>0</v>
      </c>
      <c r="W320" s="31">
        <v>7</v>
      </c>
      <c r="X320" s="31"/>
      <c r="Y320" s="31">
        <f t="shared" si="90"/>
        <v>7</v>
      </c>
      <c r="Z320" s="31">
        <f t="shared" si="109"/>
        <v>41.428571428571431</v>
      </c>
      <c r="AA320" s="18">
        <v>0</v>
      </c>
      <c r="AB320" s="18" t="s">
        <v>330</v>
      </c>
      <c r="AC320" s="18" t="s">
        <v>333</v>
      </c>
      <c r="AD320" s="18" t="s">
        <v>335</v>
      </c>
      <c r="AE320" s="18">
        <v>20</v>
      </c>
      <c r="AF320" s="18">
        <v>15</v>
      </c>
      <c r="AG320" s="18" t="s">
        <v>34</v>
      </c>
      <c r="AH320" s="18" t="s">
        <v>34</v>
      </c>
      <c r="AI320" s="18">
        <f>+VLOOKUP(AH320,Leyenda!$O$4:$U$10,6,FALSE)</f>
        <v>0</v>
      </c>
      <c r="AJ320" s="18" t="str">
        <f>+VLOOKUP(AG320,Leyenda!$O$4:$U$10,7,FALSE)</f>
        <v>No Blasting need</v>
      </c>
      <c r="AK320" s="18">
        <f>+VLOOKUP(AJ320,Leyenda!$U$4:$V$10,2,FALSE)</f>
        <v>2</v>
      </c>
      <c r="AL320" s="18" t="s">
        <v>34</v>
      </c>
      <c r="AM320" s="18" t="s">
        <v>34</v>
      </c>
      <c r="AN320" s="18" t="s">
        <v>69</v>
      </c>
      <c r="AO320" s="18" t="s">
        <v>81</v>
      </c>
      <c r="AP320" s="18" t="s">
        <v>100</v>
      </c>
      <c r="AQ320" s="18" t="s">
        <v>109</v>
      </c>
      <c r="AR320" s="18" t="s">
        <v>120</v>
      </c>
      <c r="AS320" s="18" t="s">
        <v>198</v>
      </c>
      <c r="AT320" s="18" t="s">
        <v>231</v>
      </c>
      <c r="AU320" s="18"/>
      <c r="AV320" s="18">
        <f>+VLOOKUP(AN320,Leyenda!$B$30:$E$34,3,FALSE)</f>
        <v>0</v>
      </c>
      <c r="AW320" s="18">
        <f>+VLOOKUP('2. Logging Brejo Seco'!AO320,Meteorizacion,3,FALSE)</f>
        <v>0</v>
      </c>
      <c r="AX320" s="18">
        <f>+VLOOKUP('2. Logging Brejo Seco'!AP320,Apertura,3,FALSE)</f>
        <v>0</v>
      </c>
      <c r="AY320" s="18">
        <f>+VLOOKUP('2. Logging Brejo Seco'!AQ320,Leyenda!$B$55:$D$59,3,FALSE)</f>
        <v>1</v>
      </c>
      <c r="AZ320" s="18">
        <f>+VLOOKUP('2. Logging Brejo Seco'!AR320,Relleno,3,FALSE)</f>
        <v>2</v>
      </c>
      <c r="BA320" s="18">
        <f t="shared" si="106"/>
        <v>3</v>
      </c>
      <c r="BB320" s="49">
        <f t="shared" si="93"/>
        <v>0</v>
      </c>
      <c r="BC320" s="49">
        <f>VLOOKUP(AH320,Leyenda!$B$4:$D$10,3,FALSE)</f>
        <v>0</v>
      </c>
      <c r="BD320" s="50">
        <f t="shared" si="98"/>
        <v>5</v>
      </c>
      <c r="BE320" s="49">
        <f t="shared" si="99"/>
        <v>3</v>
      </c>
      <c r="BF320" s="49">
        <v>10</v>
      </c>
      <c r="BG320" s="67">
        <f t="shared" si="94"/>
        <v>4.5</v>
      </c>
      <c r="BH320" s="67">
        <f>VLOOKUP(AM320,Leyenda!$B$4:$E$10,4,FALSE)</f>
        <v>0</v>
      </c>
      <c r="BI320" s="67">
        <f t="shared" si="100"/>
        <v>5</v>
      </c>
      <c r="BJ320" s="67">
        <f t="shared" si="95"/>
        <v>0</v>
      </c>
      <c r="BK320" s="67">
        <f>+VLOOKUP('2. Logging Brejo Seco'!AP320,Leyenda!$B$47:$E$51,4,FALSE)</f>
        <v>0</v>
      </c>
      <c r="BL320" s="67">
        <f>+VLOOKUP('2. Logging Brejo Seco'!AQ320,Leyenda!$B$55:$E$59,4,FALSE)</f>
        <v>1</v>
      </c>
      <c r="BM320" s="67">
        <f>+VLOOKUP('2. Logging Brejo Seco'!AR320,Leyenda!$B$63:$E$67,3,FALSE)</f>
        <v>2</v>
      </c>
      <c r="BN320" s="67">
        <f>+VLOOKUP('2. Logging Brejo Seco'!AO320,Leyenda!$B$39:$E$43,4,FALSE)</f>
        <v>0</v>
      </c>
      <c r="BO320" s="67">
        <f>+VLOOKUP('2. Logging Brejo Seco'!AN320,Leyenda!$B$30:$E$34,4,FALSE)</f>
        <v>0</v>
      </c>
      <c r="BP320" s="67">
        <f>VLOOKUP(AS320,Leyenda!$B$71:$E$75,4,FALSE)</f>
        <v>10</v>
      </c>
      <c r="BQ320" s="125">
        <f t="shared" si="101"/>
        <v>18</v>
      </c>
      <c r="BR320" s="85">
        <f t="shared" si="102"/>
        <v>18</v>
      </c>
      <c r="BS320" s="240">
        <f t="shared" si="103"/>
        <v>0.4</v>
      </c>
      <c r="BT320" s="18" t="s">
        <v>712</v>
      </c>
    </row>
    <row r="321" spans="1:72" x14ac:dyDescent="0.25">
      <c r="A321" s="18" t="s">
        <v>6</v>
      </c>
      <c r="B321" s="18">
        <v>2024</v>
      </c>
      <c r="C321" s="18" t="s">
        <v>138</v>
      </c>
      <c r="D321" s="18" t="s">
        <v>130</v>
      </c>
      <c r="E321" s="18">
        <v>20</v>
      </c>
      <c r="F321" s="18">
        <v>30</v>
      </c>
      <c r="G321" s="18" t="s">
        <v>156</v>
      </c>
      <c r="H321" s="248">
        <f t="shared" si="104"/>
        <v>30</v>
      </c>
      <c r="I321" s="135"/>
      <c r="J321" s="18" t="s">
        <v>184</v>
      </c>
      <c r="K321" s="4">
        <f t="shared" si="107"/>
        <v>44</v>
      </c>
      <c r="L321" s="4">
        <v>44.5</v>
      </c>
      <c r="M321" s="4">
        <f t="shared" si="96"/>
        <v>0.5</v>
      </c>
      <c r="N321" s="5">
        <v>0.78</v>
      </c>
      <c r="O321" s="5">
        <f t="shared" si="108"/>
        <v>0.21999999999999997</v>
      </c>
      <c r="P321" s="31">
        <f t="shared" si="97"/>
        <v>0.39</v>
      </c>
      <c r="Q321" s="31">
        <f t="shared" si="92"/>
        <v>0.39</v>
      </c>
      <c r="R321" s="31">
        <v>19.5</v>
      </c>
      <c r="S321" s="31">
        <v>20</v>
      </c>
      <c r="T321" s="31">
        <v>0.39</v>
      </c>
      <c r="U321" s="31">
        <v>0</v>
      </c>
      <c r="V321" s="65">
        <f t="shared" si="105"/>
        <v>0</v>
      </c>
      <c r="W321" s="132">
        <v>7</v>
      </c>
      <c r="X321" s="31"/>
      <c r="Y321" s="31">
        <f t="shared" si="90"/>
        <v>7</v>
      </c>
      <c r="Z321" s="31">
        <f t="shared" si="109"/>
        <v>55.714285714285715</v>
      </c>
      <c r="AA321" s="18">
        <v>0</v>
      </c>
      <c r="AB321" s="18" t="s">
        <v>330</v>
      </c>
      <c r="AC321" s="18" t="s">
        <v>333</v>
      </c>
      <c r="AD321" s="18" t="s">
        <v>335</v>
      </c>
      <c r="AE321" s="18">
        <v>20</v>
      </c>
      <c r="AF321" s="18">
        <v>19.5</v>
      </c>
      <c r="AG321" s="18" t="s">
        <v>34</v>
      </c>
      <c r="AH321" s="18" t="s">
        <v>34</v>
      </c>
      <c r="AI321" s="18">
        <f>+VLOOKUP(AH321,Leyenda!$O$4:$U$10,6,FALSE)</f>
        <v>0</v>
      </c>
      <c r="AJ321" s="18" t="str">
        <f>+VLOOKUP(AG321,Leyenda!$O$4:$U$10,7,FALSE)</f>
        <v>No Blasting need</v>
      </c>
      <c r="AK321" s="18">
        <f>+VLOOKUP(AJ321,Leyenda!$U$4:$V$10,2,FALSE)</f>
        <v>2</v>
      </c>
      <c r="AL321" s="18" t="s">
        <v>34</v>
      </c>
      <c r="AM321" s="18" t="s">
        <v>34</v>
      </c>
      <c r="AN321" s="18" t="s">
        <v>69</v>
      </c>
      <c r="AO321" s="18" t="s">
        <v>81</v>
      </c>
      <c r="AP321" s="18" t="s">
        <v>100</v>
      </c>
      <c r="AQ321" s="18" t="s">
        <v>109</v>
      </c>
      <c r="AR321" s="18" t="s">
        <v>120</v>
      </c>
      <c r="AS321" s="18" t="s">
        <v>198</v>
      </c>
      <c r="AT321" s="18" t="s">
        <v>231</v>
      </c>
      <c r="AU321" s="18"/>
      <c r="AV321" s="18">
        <f>+VLOOKUP(AN321,Leyenda!$B$30:$E$34,3,FALSE)</f>
        <v>0</v>
      </c>
      <c r="AW321" s="18">
        <f>+VLOOKUP('2. Logging Brejo Seco'!AO321,Meteorizacion,3,FALSE)</f>
        <v>0</v>
      </c>
      <c r="AX321" s="18">
        <f>+VLOOKUP('2. Logging Brejo Seco'!AP321,Apertura,3,FALSE)</f>
        <v>0</v>
      </c>
      <c r="AY321" s="18">
        <f>+VLOOKUP('2. Logging Brejo Seco'!AQ321,Leyenda!$B$55:$D$59,3,FALSE)</f>
        <v>1</v>
      </c>
      <c r="AZ321" s="18">
        <f>+VLOOKUP('2. Logging Brejo Seco'!AR321,Relleno,3,FALSE)</f>
        <v>2</v>
      </c>
      <c r="BA321" s="18">
        <f t="shared" si="106"/>
        <v>3</v>
      </c>
      <c r="BB321" s="49">
        <f t="shared" si="93"/>
        <v>0</v>
      </c>
      <c r="BC321" s="49">
        <f>VLOOKUP(AH321,Leyenda!$B$4:$D$10,3,FALSE)</f>
        <v>0</v>
      </c>
      <c r="BD321" s="50">
        <f t="shared" si="98"/>
        <v>6</v>
      </c>
      <c r="BE321" s="49">
        <f t="shared" si="99"/>
        <v>3</v>
      </c>
      <c r="BF321" s="49">
        <v>10</v>
      </c>
      <c r="BG321" s="67">
        <f t="shared" si="94"/>
        <v>4.5</v>
      </c>
      <c r="BH321" s="67">
        <f>VLOOKUP(AM321,Leyenda!$B$4:$E$10,4,FALSE)</f>
        <v>0</v>
      </c>
      <c r="BI321" s="67">
        <f t="shared" si="100"/>
        <v>5</v>
      </c>
      <c r="BJ321" s="67">
        <f t="shared" si="95"/>
        <v>0</v>
      </c>
      <c r="BK321" s="67">
        <f>+VLOOKUP('2. Logging Brejo Seco'!AP321,Leyenda!$B$47:$E$51,4,FALSE)</f>
        <v>0</v>
      </c>
      <c r="BL321" s="67">
        <f>+VLOOKUP('2. Logging Brejo Seco'!AQ321,Leyenda!$B$55:$E$59,4,FALSE)</f>
        <v>1</v>
      </c>
      <c r="BM321" s="67">
        <f>+VLOOKUP('2. Logging Brejo Seco'!AR321,Leyenda!$B$63:$E$67,3,FALSE)</f>
        <v>2</v>
      </c>
      <c r="BN321" s="67">
        <f>+VLOOKUP('2. Logging Brejo Seco'!AO321,Leyenda!$B$39:$E$43,4,FALSE)</f>
        <v>0</v>
      </c>
      <c r="BO321" s="67">
        <f>+VLOOKUP('2. Logging Brejo Seco'!AN321,Leyenda!$B$30:$E$34,4,FALSE)</f>
        <v>0</v>
      </c>
      <c r="BP321" s="67">
        <f>VLOOKUP(AS321,Leyenda!$B$71:$E$75,4,FALSE)</f>
        <v>10</v>
      </c>
      <c r="BQ321" s="125">
        <f t="shared" si="101"/>
        <v>18</v>
      </c>
      <c r="BR321" s="85">
        <f t="shared" si="102"/>
        <v>19</v>
      </c>
      <c r="BS321" s="240">
        <f t="shared" si="103"/>
        <v>0.21999999999999997</v>
      </c>
      <c r="BT321" s="18" t="s">
        <v>712</v>
      </c>
    </row>
    <row r="322" spans="1:72" x14ac:dyDescent="0.25">
      <c r="A322" s="18" t="s">
        <v>6</v>
      </c>
      <c r="B322" s="18">
        <v>2024</v>
      </c>
      <c r="C322" s="18" t="s">
        <v>138</v>
      </c>
      <c r="D322" s="18" t="s">
        <v>130</v>
      </c>
      <c r="E322" s="18">
        <v>20</v>
      </c>
      <c r="F322" s="18">
        <v>30</v>
      </c>
      <c r="G322" s="18" t="s">
        <v>156</v>
      </c>
      <c r="H322" s="248">
        <f t="shared" si="104"/>
        <v>30</v>
      </c>
      <c r="I322" s="135"/>
      <c r="J322" s="18" t="s">
        <v>184</v>
      </c>
      <c r="K322" s="4">
        <f t="shared" si="107"/>
        <v>44.5</v>
      </c>
      <c r="L322" s="4">
        <v>45</v>
      </c>
      <c r="M322" s="4">
        <f t="shared" si="96"/>
        <v>0.5</v>
      </c>
      <c r="N322" s="5">
        <v>0.74</v>
      </c>
      <c r="O322" s="5">
        <f t="shared" si="108"/>
        <v>0.26</v>
      </c>
      <c r="P322" s="31">
        <f t="shared" si="97"/>
        <v>0.37</v>
      </c>
      <c r="Q322" s="31">
        <f t="shared" si="92"/>
        <v>0.37</v>
      </c>
      <c r="R322" s="31">
        <v>18.5</v>
      </c>
      <c r="S322" s="31">
        <v>20</v>
      </c>
      <c r="T322" s="31">
        <v>0.35</v>
      </c>
      <c r="U322" s="31">
        <v>0</v>
      </c>
      <c r="V322" s="65">
        <f t="shared" si="105"/>
        <v>0</v>
      </c>
      <c r="W322" s="31">
        <v>5</v>
      </c>
      <c r="X322" s="31"/>
      <c r="Y322" s="31">
        <f t="shared" si="90"/>
        <v>5</v>
      </c>
      <c r="Z322" s="31">
        <f t="shared" si="109"/>
        <v>70</v>
      </c>
      <c r="AA322" s="18">
        <v>0</v>
      </c>
      <c r="AB322" s="18" t="s">
        <v>330</v>
      </c>
      <c r="AC322" s="18" t="s">
        <v>333</v>
      </c>
      <c r="AD322" s="18" t="s">
        <v>335</v>
      </c>
      <c r="AE322" s="18">
        <v>20</v>
      </c>
      <c r="AF322" s="18">
        <v>18.5</v>
      </c>
      <c r="AG322" s="18" t="s">
        <v>34</v>
      </c>
      <c r="AH322" s="18" t="s">
        <v>34</v>
      </c>
      <c r="AI322" s="18">
        <f>+VLOOKUP(AH322,Leyenda!$O$4:$U$10,6,FALSE)</f>
        <v>0</v>
      </c>
      <c r="AJ322" s="18" t="str">
        <f>+VLOOKUP(AG322,Leyenda!$O$4:$U$10,7,FALSE)</f>
        <v>No Blasting need</v>
      </c>
      <c r="AK322" s="18">
        <f>+VLOOKUP(AJ322,Leyenda!$U$4:$V$10,2,FALSE)</f>
        <v>2</v>
      </c>
      <c r="AL322" s="18" t="s">
        <v>34</v>
      </c>
      <c r="AM322" s="18" t="s">
        <v>34</v>
      </c>
      <c r="AN322" s="18" t="s">
        <v>69</v>
      </c>
      <c r="AO322" s="18" t="s">
        <v>81</v>
      </c>
      <c r="AP322" s="18" t="s">
        <v>100</v>
      </c>
      <c r="AQ322" s="18" t="s">
        <v>109</v>
      </c>
      <c r="AR322" s="18" t="s">
        <v>120</v>
      </c>
      <c r="AS322" s="18" t="s">
        <v>198</v>
      </c>
      <c r="AT322" s="18" t="s">
        <v>231</v>
      </c>
      <c r="AU322" s="18"/>
      <c r="AV322" s="18">
        <f>+VLOOKUP(AN322,Leyenda!$B$30:$E$34,3,FALSE)</f>
        <v>0</v>
      </c>
      <c r="AW322" s="18">
        <f>+VLOOKUP('2. Logging Brejo Seco'!AO322,Meteorizacion,3,FALSE)</f>
        <v>0</v>
      </c>
      <c r="AX322" s="18">
        <f>+VLOOKUP('2. Logging Brejo Seco'!AP322,Apertura,3,FALSE)</f>
        <v>0</v>
      </c>
      <c r="AY322" s="18">
        <f>+VLOOKUP('2. Logging Brejo Seco'!AQ322,Leyenda!$B$55:$D$59,3,FALSE)</f>
        <v>1</v>
      </c>
      <c r="AZ322" s="18">
        <f>+VLOOKUP('2. Logging Brejo Seco'!AR322,Relleno,3,FALSE)</f>
        <v>2</v>
      </c>
      <c r="BA322" s="18">
        <f t="shared" si="106"/>
        <v>3</v>
      </c>
      <c r="BB322" s="49">
        <f t="shared" si="93"/>
        <v>0</v>
      </c>
      <c r="BC322" s="49">
        <f>VLOOKUP(AH322,Leyenda!$B$4:$D$10,3,FALSE)</f>
        <v>0</v>
      </c>
      <c r="BD322" s="50">
        <f t="shared" si="98"/>
        <v>6</v>
      </c>
      <c r="BE322" s="49">
        <f t="shared" si="99"/>
        <v>3</v>
      </c>
      <c r="BF322" s="49">
        <v>10</v>
      </c>
      <c r="BG322" s="67">
        <f t="shared" si="94"/>
        <v>4.5</v>
      </c>
      <c r="BH322" s="67">
        <f>VLOOKUP(AM322,Leyenda!$B$4:$E$10,4,FALSE)</f>
        <v>0</v>
      </c>
      <c r="BI322" s="67">
        <f t="shared" si="100"/>
        <v>6</v>
      </c>
      <c r="BJ322" s="67">
        <f t="shared" si="95"/>
        <v>0</v>
      </c>
      <c r="BK322" s="67">
        <f>+VLOOKUP('2. Logging Brejo Seco'!AP322,Leyenda!$B$47:$E$51,4,FALSE)</f>
        <v>0</v>
      </c>
      <c r="BL322" s="67">
        <f>+VLOOKUP('2. Logging Brejo Seco'!AQ322,Leyenda!$B$55:$E$59,4,FALSE)</f>
        <v>1</v>
      </c>
      <c r="BM322" s="67">
        <f>+VLOOKUP('2. Logging Brejo Seco'!AR322,Leyenda!$B$63:$E$67,3,FALSE)</f>
        <v>2</v>
      </c>
      <c r="BN322" s="67">
        <f>+VLOOKUP('2. Logging Brejo Seco'!AO322,Leyenda!$B$39:$E$43,4,FALSE)</f>
        <v>0</v>
      </c>
      <c r="BO322" s="67">
        <f>+VLOOKUP('2. Logging Brejo Seco'!AN322,Leyenda!$B$30:$E$34,4,FALSE)</f>
        <v>0</v>
      </c>
      <c r="BP322" s="67">
        <f>VLOOKUP(AS322,Leyenda!$B$71:$E$75,4,FALSE)</f>
        <v>10</v>
      </c>
      <c r="BQ322" s="125">
        <f t="shared" si="101"/>
        <v>19</v>
      </c>
      <c r="BR322" s="85">
        <f t="shared" si="102"/>
        <v>19</v>
      </c>
      <c r="BS322" s="240">
        <f t="shared" si="103"/>
        <v>0.26</v>
      </c>
      <c r="BT322" s="18" t="s">
        <v>712</v>
      </c>
    </row>
    <row r="323" spans="1:72" x14ac:dyDescent="0.25">
      <c r="A323" s="18" t="s">
        <v>6</v>
      </c>
      <c r="B323" s="18">
        <v>2024</v>
      </c>
      <c r="C323" s="18" t="s">
        <v>138</v>
      </c>
      <c r="D323" s="18" t="s">
        <v>130</v>
      </c>
      <c r="E323" s="18">
        <v>20</v>
      </c>
      <c r="F323" s="18">
        <v>30</v>
      </c>
      <c r="G323" s="18" t="s">
        <v>156</v>
      </c>
      <c r="H323" s="248">
        <f t="shared" si="104"/>
        <v>30</v>
      </c>
      <c r="I323" s="135"/>
      <c r="J323" s="18" t="s">
        <v>185</v>
      </c>
      <c r="K323" s="4">
        <f t="shared" si="107"/>
        <v>45</v>
      </c>
      <c r="L323" s="4">
        <v>45.5</v>
      </c>
      <c r="M323" s="4">
        <f t="shared" si="96"/>
        <v>0.5</v>
      </c>
      <c r="N323" s="5">
        <v>0.36</v>
      </c>
      <c r="O323" s="5">
        <f t="shared" si="108"/>
        <v>0.64</v>
      </c>
      <c r="P323" s="31">
        <f t="shared" si="97"/>
        <v>0.18</v>
      </c>
      <c r="Q323" s="31">
        <f t="shared" ref="Q323:Q352" si="110">+N323*M323</f>
        <v>0.18</v>
      </c>
      <c r="R323" s="31">
        <v>9</v>
      </c>
      <c r="S323" s="31">
        <v>20</v>
      </c>
      <c r="T323" s="31">
        <v>0.18</v>
      </c>
      <c r="U323" s="31">
        <v>0</v>
      </c>
      <c r="V323" s="65">
        <f t="shared" si="105"/>
        <v>0</v>
      </c>
      <c r="W323" s="31">
        <v>5</v>
      </c>
      <c r="X323" s="31"/>
      <c r="Y323" s="31">
        <f t="shared" si="90"/>
        <v>5</v>
      </c>
      <c r="Z323" s="31">
        <f t="shared" si="109"/>
        <v>36</v>
      </c>
      <c r="AA323" s="18">
        <v>0</v>
      </c>
      <c r="AB323" s="18" t="s">
        <v>330</v>
      </c>
      <c r="AC323" s="18" t="s">
        <v>333</v>
      </c>
      <c r="AD323" s="18" t="s">
        <v>337</v>
      </c>
      <c r="AE323" s="18">
        <v>20</v>
      </c>
      <c r="AF323" s="18">
        <v>9</v>
      </c>
      <c r="AG323" s="18" t="s">
        <v>34</v>
      </c>
      <c r="AH323" s="18" t="s">
        <v>34</v>
      </c>
      <c r="AI323" s="18">
        <f>+VLOOKUP(AH323,Leyenda!$O$4:$U$10,6,FALSE)</f>
        <v>0</v>
      </c>
      <c r="AJ323" s="18" t="str">
        <f>+VLOOKUP(AG323,Leyenda!$O$4:$U$10,7,FALSE)</f>
        <v>No Blasting need</v>
      </c>
      <c r="AK323" s="18">
        <f>+VLOOKUP(AJ323,Leyenda!$U$4:$V$10,2,FALSE)</f>
        <v>2</v>
      </c>
      <c r="AL323" s="18" t="s">
        <v>32</v>
      </c>
      <c r="AM323" s="18" t="s">
        <v>34</v>
      </c>
      <c r="AN323" s="18" t="s">
        <v>66</v>
      </c>
      <c r="AO323" s="18" t="s">
        <v>79</v>
      </c>
      <c r="AP323" s="18" t="s">
        <v>96</v>
      </c>
      <c r="AQ323" s="18" t="s">
        <v>109</v>
      </c>
      <c r="AR323" s="18" t="s">
        <v>120</v>
      </c>
      <c r="AS323" s="18" t="s">
        <v>198</v>
      </c>
      <c r="AT323" s="18" t="s">
        <v>264</v>
      </c>
      <c r="AU323" s="18"/>
      <c r="AV323" s="18">
        <f>+VLOOKUP(AN323,Leyenda!$B$30:$E$34,3,FALSE)</f>
        <v>1</v>
      </c>
      <c r="AW323" s="18">
        <f>+VLOOKUP('2. Logging Brejo Seco'!AO323,Meteorizacion,3,FALSE)</f>
        <v>1</v>
      </c>
      <c r="AX323" s="18">
        <f>+VLOOKUP('2. Logging Brejo Seco'!AP323,Apertura,3,FALSE)</f>
        <v>1</v>
      </c>
      <c r="AY323" s="18">
        <f>+VLOOKUP('2. Logging Brejo Seco'!AQ323,Leyenda!$B$55:$D$59,3,FALSE)</f>
        <v>1</v>
      </c>
      <c r="AZ323" s="18">
        <f>+VLOOKUP('2. Logging Brejo Seco'!AR323,Relleno,3,FALSE)</f>
        <v>2</v>
      </c>
      <c r="BA323" s="18">
        <f t="shared" si="106"/>
        <v>6</v>
      </c>
      <c r="BB323" s="49">
        <f t="shared" ref="BB323:BB357" si="111">ROUND(-0.0002*POWER(V323,2)+0.2197*V323,0)</f>
        <v>0</v>
      </c>
      <c r="BC323" s="49">
        <f>VLOOKUP(AH323,Leyenda!$B$4:$D$10,3,FALSE)</f>
        <v>0</v>
      </c>
      <c r="BD323" s="50">
        <f t="shared" si="98"/>
        <v>5</v>
      </c>
      <c r="BE323" s="49">
        <f t="shared" si="99"/>
        <v>6</v>
      </c>
      <c r="BF323" s="49">
        <v>10</v>
      </c>
      <c r="BG323" s="67">
        <f t="shared" ref="BG323:BG357" si="112">1.5*BA323+(V323*0.5)</f>
        <v>9</v>
      </c>
      <c r="BH323" s="67">
        <f>VLOOKUP(AM323,Leyenda!$B$4:$E$10,4,FALSE)</f>
        <v>0</v>
      </c>
      <c r="BI323" s="67">
        <f t="shared" si="100"/>
        <v>5</v>
      </c>
      <c r="BJ323" s="67">
        <f t="shared" ref="BJ323:BJ357" si="113">ROUND(-0.0002*POWER(V323,2)+0.2197*V323,0)</f>
        <v>0</v>
      </c>
      <c r="BK323" s="67">
        <f>+VLOOKUP('2. Logging Brejo Seco'!AP323,Leyenda!$B$47:$E$51,4,FALSE)</f>
        <v>1</v>
      </c>
      <c r="BL323" s="67">
        <f>+VLOOKUP('2. Logging Brejo Seco'!AQ323,Leyenda!$B$55:$E$59,4,FALSE)</f>
        <v>1</v>
      </c>
      <c r="BM323" s="67">
        <f>+VLOOKUP('2. Logging Brejo Seco'!AR323,Leyenda!$B$63:$E$67,3,FALSE)</f>
        <v>2</v>
      </c>
      <c r="BN323" s="67">
        <f>+VLOOKUP('2. Logging Brejo Seco'!AO323,Leyenda!$B$39:$E$43,4,FALSE)</f>
        <v>1</v>
      </c>
      <c r="BO323" s="67">
        <f>+VLOOKUP('2. Logging Brejo Seco'!AN323,Leyenda!$B$30:$E$34,4,FALSE)</f>
        <v>1</v>
      </c>
      <c r="BP323" s="67">
        <f>VLOOKUP(AS323,Leyenda!$B$71:$E$75,4,FALSE)</f>
        <v>10</v>
      </c>
      <c r="BQ323" s="125">
        <f t="shared" si="101"/>
        <v>21</v>
      </c>
      <c r="BR323" s="85">
        <f t="shared" si="102"/>
        <v>21</v>
      </c>
      <c r="BS323" s="240">
        <f t="shared" si="103"/>
        <v>0.64</v>
      </c>
      <c r="BT323" s="18"/>
    </row>
    <row r="324" spans="1:72" x14ac:dyDescent="0.25">
      <c r="A324" s="18" t="s">
        <v>6</v>
      </c>
      <c r="B324" s="18">
        <v>2024</v>
      </c>
      <c r="C324" s="18" t="s">
        <v>138</v>
      </c>
      <c r="D324" s="18" t="s">
        <v>130</v>
      </c>
      <c r="E324" s="18">
        <v>20</v>
      </c>
      <c r="F324" s="18">
        <v>30</v>
      </c>
      <c r="G324" s="18" t="s">
        <v>156</v>
      </c>
      <c r="H324" s="248">
        <f t="shared" si="104"/>
        <v>30</v>
      </c>
      <c r="I324" s="135"/>
      <c r="J324" s="18" t="s">
        <v>185</v>
      </c>
      <c r="K324" s="4">
        <f t="shared" si="107"/>
        <v>45.5</v>
      </c>
      <c r="L324" s="4">
        <v>46</v>
      </c>
      <c r="M324" s="4">
        <f t="shared" ref="M324:M388" si="114">+L324-K324</f>
        <v>0.5</v>
      </c>
      <c r="N324" s="5">
        <v>0</v>
      </c>
      <c r="O324" s="5">
        <f t="shared" si="108"/>
        <v>1</v>
      </c>
      <c r="P324" s="31">
        <f t="shared" ref="P324:P388" si="115">+M324*N324</f>
        <v>0</v>
      </c>
      <c r="Q324" s="31">
        <f t="shared" si="110"/>
        <v>0</v>
      </c>
      <c r="R324" s="31" t="s">
        <v>348</v>
      </c>
      <c r="S324" s="31">
        <v>20</v>
      </c>
      <c r="T324" s="31">
        <v>0.5</v>
      </c>
      <c r="U324" s="31">
        <v>0</v>
      </c>
      <c r="V324" s="65">
        <f t="shared" si="105"/>
        <v>0</v>
      </c>
      <c r="W324" s="31">
        <v>10</v>
      </c>
      <c r="X324" s="31"/>
      <c r="Y324" s="31">
        <f t="shared" si="90"/>
        <v>10</v>
      </c>
      <c r="Z324" s="31">
        <f t="shared" si="109"/>
        <v>50</v>
      </c>
      <c r="AA324" s="18">
        <v>0</v>
      </c>
      <c r="AB324" s="18" t="s">
        <v>330</v>
      </c>
      <c r="AC324" s="18" t="s">
        <v>333</v>
      </c>
      <c r="AD324" s="18" t="s">
        <v>337</v>
      </c>
      <c r="AE324" s="18">
        <v>20</v>
      </c>
      <c r="AF324" s="18" t="s">
        <v>348</v>
      </c>
      <c r="AG324" s="18" t="s">
        <v>34</v>
      </c>
      <c r="AH324" s="18" t="s">
        <v>34</v>
      </c>
      <c r="AI324" s="18">
        <f>+VLOOKUP(AH324,Leyenda!$O$4:$U$10,6,FALSE)</f>
        <v>0</v>
      </c>
      <c r="AJ324" s="18" t="str">
        <f>+VLOOKUP(AG324,Leyenda!$O$4:$U$10,7,FALSE)</f>
        <v>No Blasting need</v>
      </c>
      <c r="AK324" s="18">
        <f>+VLOOKUP(AJ324,Leyenda!$U$4:$V$10,2,FALSE)</f>
        <v>2</v>
      </c>
      <c r="AL324" s="18" t="s">
        <v>32</v>
      </c>
      <c r="AM324" s="18" t="s">
        <v>34</v>
      </c>
      <c r="AN324" s="18" t="s">
        <v>66</v>
      </c>
      <c r="AO324" s="18" t="s">
        <v>79</v>
      </c>
      <c r="AP324" s="18" t="s">
        <v>96</v>
      </c>
      <c r="AQ324" s="18" t="s">
        <v>109</v>
      </c>
      <c r="AR324" s="18" t="s">
        <v>120</v>
      </c>
      <c r="AS324" s="18" t="s">
        <v>198</v>
      </c>
      <c r="AT324" s="18"/>
      <c r="AU324" s="18"/>
      <c r="AV324" s="18">
        <f>+VLOOKUP(AN324,Leyenda!$B$30:$E$34,3,FALSE)</f>
        <v>1</v>
      </c>
      <c r="AW324" s="18">
        <f>+VLOOKUP('2. Logging Brejo Seco'!AO324,Meteorizacion,3,FALSE)</f>
        <v>1</v>
      </c>
      <c r="AX324" s="18">
        <f>+VLOOKUP('2. Logging Brejo Seco'!AP324,Apertura,3,FALSE)</f>
        <v>1</v>
      </c>
      <c r="AY324" s="18">
        <f>+VLOOKUP('2. Logging Brejo Seco'!AQ324,Leyenda!$B$55:$D$59,3,FALSE)</f>
        <v>1</v>
      </c>
      <c r="AZ324" s="18">
        <f>+VLOOKUP('2. Logging Brejo Seco'!AR324,Relleno,3,FALSE)</f>
        <v>2</v>
      </c>
      <c r="BA324" s="18">
        <f t="shared" si="106"/>
        <v>6</v>
      </c>
      <c r="BB324" s="49">
        <f t="shared" si="111"/>
        <v>0</v>
      </c>
      <c r="BC324" s="49">
        <f>VLOOKUP(AH324,Leyenda!$B$4:$D$10,3,FALSE)</f>
        <v>0</v>
      </c>
      <c r="BD324" s="50">
        <f t="shared" ref="BD324:BD387" si="116">IF(Z324="",ROUND((IF(Z324&lt;=400,1.5478*POWER(Z324,0.3351),-2*POWER(10,-6)*POWER(Z324,2)+0.0091*Z324+8.1704)),0),ROUND((IF(Z324&lt;=400,1.5478*POWER(Z324,0.3351),-2*POWER(10,-6)*POWER(Z324,2)+0.0091*Z324+8.1704)),0))</f>
        <v>6</v>
      </c>
      <c r="BE324" s="49">
        <f t="shared" ref="BE324:BE388" si="117">+BA324</f>
        <v>6</v>
      </c>
      <c r="BF324" s="49">
        <v>10</v>
      </c>
      <c r="BG324" s="67">
        <f t="shared" si="112"/>
        <v>9</v>
      </c>
      <c r="BH324" s="67">
        <f>VLOOKUP(AM324,Leyenda!$B$4:$E$10,4,FALSE)</f>
        <v>0</v>
      </c>
      <c r="BI324" s="67">
        <f t="shared" ref="BI324:BI387" si="118">IF(Z324="",ROUND(IF(Z324&lt;=50,5,IF(Z324&gt;=3000,30,6.038*LN(Z324)-19.63)),0),ROUND(IF(Z324&lt;=50,5,IF(Z324&gt;=3000,30,6.038*LN(Z324)-19.63)),0))</f>
        <v>5</v>
      </c>
      <c r="BJ324" s="67">
        <f t="shared" si="113"/>
        <v>0</v>
      </c>
      <c r="BK324" s="67">
        <f>+VLOOKUP('2. Logging Brejo Seco'!AP324,Leyenda!$B$47:$E$51,4,FALSE)</f>
        <v>1</v>
      </c>
      <c r="BL324" s="67">
        <f>+VLOOKUP('2. Logging Brejo Seco'!AQ324,Leyenda!$B$55:$E$59,4,FALSE)</f>
        <v>1</v>
      </c>
      <c r="BM324" s="67">
        <f>+VLOOKUP('2. Logging Brejo Seco'!AR324,Leyenda!$B$63:$E$67,3,FALSE)</f>
        <v>2</v>
      </c>
      <c r="BN324" s="67">
        <f>+VLOOKUP('2. Logging Brejo Seco'!AO324,Leyenda!$B$39:$E$43,4,FALSE)</f>
        <v>1</v>
      </c>
      <c r="BO324" s="67">
        <f>+VLOOKUP('2. Logging Brejo Seco'!AN324,Leyenda!$B$30:$E$34,4,FALSE)</f>
        <v>1</v>
      </c>
      <c r="BP324" s="67">
        <f>VLOOKUP(AS324,Leyenda!$B$71:$E$75,4,FALSE)</f>
        <v>10</v>
      </c>
      <c r="BQ324" s="125">
        <f t="shared" ref="BQ324:BQ388" si="119">+BH324+BI324+BJ324+BK324+BL324+BM324+BN324+BO324+BP324</f>
        <v>21</v>
      </c>
      <c r="BR324" s="85">
        <f t="shared" ref="BR324:BR388" si="120">+BC324+BD324+BB324+BE324+BF324</f>
        <v>22</v>
      </c>
      <c r="BS324" s="240">
        <f t="shared" ref="BS324:BS387" si="121">1-N324</f>
        <v>1</v>
      </c>
      <c r="BT324" s="18"/>
    </row>
    <row r="325" spans="1:72" x14ac:dyDescent="0.25">
      <c r="A325" s="18" t="s">
        <v>6</v>
      </c>
      <c r="B325" s="18">
        <v>2024</v>
      </c>
      <c r="C325" s="18" t="s">
        <v>138</v>
      </c>
      <c r="D325" s="18" t="s">
        <v>130</v>
      </c>
      <c r="E325" s="18">
        <v>20</v>
      </c>
      <c r="F325" s="18">
        <v>30</v>
      </c>
      <c r="G325" s="18" t="s">
        <v>156</v>
      </c>
      <c r="H325" s="248">
        <f t="shared" si="104"/>
        <v>30</v>
      </c>
      <c r="I325" s="135"/>
      <c r="J325" s="18" t="s">
        <v>186</v>
      </c>
      <c r="K325" s="4">
        <f t="shared" si="107"/>
        <v>46</v>
      </c>
      <c r="L325" s="4">
        <v>46.5</v>
      </c>
      <c r="M325" s="4">
        <f t="shared" si="114"/>
        <v>0.5</v>
      </c>
      <c r="N325" s="5">
        <v>0.46</v>
      </c>
      <c r="O325" s="5">
        <f t="shared" si="108"/>
        <v>0.54</v>
      </c>
      <c r="P325" s="31">
        <f t="shared" si="115"/>
        <v>0.23</v>
      </c>
      <c r="Q325" s="31">
        <f t="shared" si="110"/>
        <v>0.23</v>
      </c>
      <c r="R325" s="31">
        <v>11.5</v>
      </c>
      <c r="S325" s="31">
        <v>20</v>
      </c>
      <c r="T325" s="31">
        <v>0.23</v>
      </c>
      <c r="U325" s="31">
        <v>0</v>
      </c>
      <c r="V325" s="65">
        <f t="shared" si="105"/>
        <v>0</v>
      </c>
      <c r="W325" s="31">
        <v>7</v>
      </c>
      <c r="X325" s="31"/>
      <c r="Y325" s="31">
        <f t="shared" si="90"/>
        <v>7</v>
      </c>
      <c r="Z325" s="31">
        <f t="shared" si="109"/>
        <v>32.857142857142854</v>
      </c>
      <c r="AA325" s="18">
        <v>0</v>
      </c>
      <c r="AB325" s="18" t="s">
        <v>330</v>
      </c>
      <c r="AC325" s="18" t="s">
        <v>333</v>
      </c>
      <c r="AD325" s="18" t="s">
        <v>337</v>
      </c>
      <c r="AE325" s="18">
        <v>20</v>
      </c>
      <c r="AF325" s="18">
        <v>11.5</v>
      </c>
      <c r="AG325" s="18" t="s">
        <v>34</v>
      </c>
      <c r="AH325" s="18" t="s">
        <v>34</v>
      </c>
      <c r="AI325" s="18">
        <f>+VLOOKUP(AH325,Leyenda!$O$4:$U$10,6,FALSE)</f>
        <v>0</v>
      </c>
      <c r="AJ325" s="18" t="str">
        <f>+VLOOKUP(AG325,Leyenda!$O$4:$U$10,7,FALSE)</f>
        <v>No Blasting need</v>
      </c>
      <c r="AK325" s="18">
        <f>+VLOOKUP(AJ325,Leyenda!$U$4:$V$10,2,FALSE)</f>
        <v>2</v>
      </c>
      <c r="AL325" s="18" t="s">
        <v>29</v>
      </c>
      <c r="AM325" s="18" t="s">
        <v>34</v>
      </c>
      <c r="AN325" s="18" t="s">
        <v>66</v>
      </c>
      <c r="AO325" s="18" t="s">
        <v>79</v>
      </c>
      <c r="AP325" s="18" t="s">
        <v>96</v>
      </c>
      <c r="AQ325" s="18" t="s">
        <v>107</v>
      </c>
      <c r="AR325" s="18" t="s">
        <v>118</v>
      </c>
      <c r="AS325" s="18" t="s">
        <v>198</v>
      </c>
      <c r="AT325" s="18" t="s">
        <v>235</v>
      </c>
      <c r="AU325" s="18"/>
      <c r="AV325" s="18">
        <f>+VLOOKUP(AN325,Leyenda!$B$30:$E$34,3,FALSE)</f>
        <v>1</v>
      </c>
      <c r="AW325" s="18">
        <f>+VLOOKUP('2. Logging Brejo Seco'!AO325,Meteorizacion,3,FALSE)</f>
        <v>1</v>
      </c>
      <c r="AX325" s="18">
        <f>+VLOOKUP('2. Logging Brejo Seco'!AP325,Apertura,3,FALSE)</f>
        <v>1</v>
      </c>
      <c r="AY325" s="18">
        <f>+VLOOKUP('2. Logging Brejo Seco'!AQ325,Leyenda!$B$55:$D$59,3,FALSE)</f>
        <v>3</v>
      </c>
      <c r="AZ325" s="18">
        <f>+VLOOKUP('2. Logging Brejo Seco'!AR325,Relleno,3,FALSE)</f>
        <v>2</v>
      </c>
      <c r="BA325" s="18">
        <f t="shared" si="106"/>
        <v>8</v>
      </c>
      <c r="BB325" s="49">
        <f t="shared" si="111"/>
        <v>0</v>
      </c>
      <c r="BC325" s="49">
        <f>VLOOKUP(AH325,Leyenda!$B$4:$D$10,3,FALSE)</f>
        <v>0</v>
      </c>
      <c r="BD325" s="50">
        <f t="shared" si="116"/>
        <v>5</v>
      </c>
      <c r="BE325" s="49">
        <f t="shared" si="117"/>
        <v>8</v>
      </c>
      <c r="BF325" s="49">
        <v>10</v>
      </c>
      <c r="BG325" s="67">
        <f t="shared" si="112"/>
        <v>12</v>
      </c>
      <c r="BH325" s="67">
        <f>VLOOKUP(AM325,Leyenda!$B$4:$E$10,4,FALSE)</f>
        <v>0</v>
      </c>
      <c r="BI325" s="67">
        <f t="shared" si="118"/>
        <v>5</v>
      </c>
      <c r="BJ325" s="67">
        <f t="shared" si="113"/>
        <v>0</v>
      </c>
      <c r="BK325" s="67">
        <f>+VLOOKUP('2. Logging Brejo Seco'!AP325,Leyenda!$B$47:$E$51,4,FALSE)</f>
        <v>1</v>
      </c>
      <c r="BL325" s="67">
        <f>+VLOOKUP('2. Logging Brejo Seco'!AQ325,Leyenda!$B$55:$E$59,4,FALSE)</f>
        <v>3</v>
      </c>
      <c r="BM325" s="67">
        <f>+VLOOKUP('2. Logging Brejo Seco'!AR325,Leyenda!$B$63:$E$67,3,FALSE)</f>
        <v>2</v>
      </c>
      <c r="BN325" s="67">
        <f>+VLOOKUP('2. Logging Brejo Seco'!AO325,Leyenda!$B$39:$E$43,4,FALSE)</f>
        <v>1</v>
      </c>
      <c r="BO325" s="67">
        <f>+VLOOKUP('2. Logging Brejo Seco'!AN325,Leyenda!$B$30:$E$34,4,FALSE)</f>
        <v>1</v>
      </c>
      <c r="BP325" s="67">
        <f>VLOOKUP(AS325,Leyenda!$B$71:$E$75,4,FALSE)</f>
        <v>10</v>
      </c>
      <c r="BQ325" s="125">
        <f t="shared" si="119"/>
        <v>23</v>
      </c>
      <c r="BR325" s="85">
        <f t="shared" si="120"/>
        <v>23</v>
      </c>
      <c r="BS325" s="240">
        <f t="shared" si="121"/>
        <v>0.54</v>
      </c>
      <c r="BT325" s="18"/>
    </row>
    <row r="326" spans="1:72" x14ac:dyDescent="0.25">
      <c r="A326" s="18" t="s">
        <v>6</v>
      </c>
      <c r="B326" s="18">
        <v>2024</v>
      </c>
      <c r="C326" s="18" t="s">
        <v>138</v>
      </c>
      <c r="D326" s="18" t="s">
        <v>130</v>
      </c>
      <c r="E326" s="18">
        <v>20</v>
      </c>
      <c r="F326" s="18">
        <v>30</v>
      </c>
      <c r="G326" s="18" t="s">
        <v>156</v>
      </c>
      <c r="H326" s="248">
        <f t="shared" si="104"/>
        <v>30</v>
      </c>
      <c r="I326" s="135"/>
      <c r="J326" s="18" t="s">
        <v>186</v>
      </c>
      <c r="K326" s="4">
        <f t="shared" si="107"/>
        <v>46.5</v>
      </c>
      <c r="L326" s="4">
        <v>47</v>
      </c>
      <c r="M326" s="4">
        <f t="shared" si="114"/>
        <v>0.5</v>
      </c>
      <c r="N326" s="5">
        <v>0.2</v>
      </c>
      <c r="O326" s="5">
        <f t="shared" si="108"/>
        <v>0.8</v>
      </c>
      <c r="P326" s="31">
        <f t="shared" si="115"/>
        <v>0.1</v>
      </c>
      <c r="Q326" s="31">
        <f t="shared" si="110"/>
        <v>0.1</v>
      </c>
      <c r="R326" s="31">
        <v>5</v>
      </c>
      <c r="S326" s="31">
        <v>20</v>
      </c>
      <c r="T326" s="31">
        <v>7.0000000000000007E-2</v>
      </c>
      <c r="U326" s="31">
        <v>0</v>
      </c>
      <c r="V326" s="65">
        <f t="shared" si="105"/>
        <v>0</v>
      </c>
      <c r="W326" s="31">
        <v>5</v>
      </c>
      <c r="X326" s="31"/>
      <c r="Y326" s="31">
        <f t="shared" si="90"/>
        <v>5</v>
      </c>
      <c r="Z326" s="31">
        <f t="shared" si="109"/>
        <v>14</v>
      </c>
      <c r="AA326" s="18">
        <v>0</v>
      </c>
      <c r="AB326" s="18" t="s">
        <v>330</v>
      </c>
      <c r="AC326" s="18" t="s">
        <v>333</v>
      </c>
      <c r="AD326" s="18" t="s">
        <v>337</v>
      </c>
      <c r="AE326" s="18">
        <v>20</v>
      </c>
      <c r="AF326" s="18">
        <v>5</v>
      </c>
      <c r="AG326" s="18" t="s">
        <v>34</v>
      </c>
      <c r="AH326" s="18" t="s">
        <v>34</v>
      </c>
      <c r="AI326" s="18">
        <f>+VLOOKUP(AH326,Leyenda!$O$4:$U$10,6,FALSE)</f>
        <v>0</v>
      </c>
      <c r="AJ326" s="18" t="str">
        <f>+VLOOKUP(AG326,Leyenda!$O$4:$U$10,7,FALSE)</f>
        <v>No Blasting need</v>
      </c>
      <c r="AK326" s="18">
        <f>+VLOOKUP(AJ326,Leyenda!$U$4:$V$10,2,FALSE)</f>
        <v>2</v>
      </c>
      <c r="AL326" s="18" t="s">
        <v>29</v>
      </c>
      <c r="AM326" s="18" t="s">
        <v>34</v>
      </c>
      <c r="AN326" s="18" t="s">
        <v>66</v>
      </c>
      <c r="AO326" s="18" t="s">
        <v>79</v>
      </c>
      <c r="AP326" s="18" t="s">
        <v>96</v>
      </c>
      <c r="AQ326" s="18" t="s">
        <v>107</v>
      </c>
      <c r="AR326" s="18" t="s">
        <v>118</v>
      </c>
      <c r="AS326" s="18" t="s">
        <v>198</v>
      </c>
      <c r="AT326" s="18" t="s">
        <v>235</v>
      </c>
      <c r="AU326" s="18"/>
      <c r="AV326" s="18">
        <f>+VLOOKUP(AN326,Leyenda!$B$30:$E$34,3,FALSE)</f>
        <v>1</v>
      </c>
      <c r="AW326" s="18">
        <f>+VLOOKUP('2. Logging Brejo Seco'!AO326,Meteorizacion,3,FALSE)</f>
        <v>1</v>
      </c>
      <c r="AX326" s="18">
        <f>+VLOOKUP('2. Logging Brejo Seco'!AP326,Apertura,3,FALSE)</f>
        <v>1</v>
      </c>
      <c r="AY326" s="18">
        <f>+VLOOKUP('2. Logging Brejo Seco'!AQ326,Leyenda!$B$55:$D$59,3,FALSE)</f>
        <v>3</v>
      </c>
      <c r="AZ326" s="18">
        <f>+VLOOKUP('2. Logging Brejo Seco'!AR326,Relleno,3,FALSE)</f>
        <v>2</v>
      </c>
      <c r="BA326" s="18">
        <f t="shared" si="106"/>
        <v>8</v>
      </c>
      <c r="BB326" s="49">
        <f t="shared" si="111"/>
        <v>0</v>
      </c>
      <c r="BC326" s="49">
        <f>VLOOKUP(AH326,Leyenda!$B$4:$D$10,3,FALSE)</f>
        <v>0</v>
      </c>
      <c r="BD326" s="50">
        <f t="shared" si="116"/>
        <v>4</v>
      </c>
      <c r="BE326" s="49">
        <f t="shared" si="117"/>
        <v>8</v>
      </c>
      <c r="BF326" s="49">
        <v>10</v>
      </c>
      <c r="BG326" s="67">
        <f t="shared" si="112"/>
        <v>12</v>
      </c>
      <c r="BH326" s="67">
        <f>VLOOKUP(AM326,Leyenda!$B$4:$E$10,4,FALSE)</f>
        <v>0</v>
      </c>
      <c r="BI326" s="67">
        <f t="shared" si="118"/>
        <v>5</v>
      </c>
      <c r="BJ326" s="67">
        <f t="shared" si="113"/>
        <v>0</v>
      </c>
      <c r="BK326" s="67">
        <f>+VLOOKUP('2. Logging Brejo Seco'!AP326,Leyenda!$B$47:$E$51,4,FALSE)</f>
        <v>1</v>
      </c>
      <c r="BL326" s="67">
        <f>+VLOOKUP('2. Logging Brejo Seco'!AQ326,Leyenda!$B$55:$E$59,4,FALSE)</f>
        <v>3</v>
      </c>
      <c r="BM326" s="67">
        <f>+VLOOKUP('2. Logging Brejo Seco'!AR326,Leyenda!$B$63:$E$67,3,FALSE)</f>
        <v>2</v>
      </c>
      <c r="BN326" s="67">
        <f>+VLOOKUP('2. Logging Brejo Seco'!AO326,Leyenda!$B$39:$E$43,4,FALSE)</f>
        <v>1</v>
      </c>
      <c r="BO326" s="67">
        <f>+VLOOKUP('2. Logging Brejo Seco'!AN326,Leyenda!$B$30:$E$34,4,FALSE)</f>
        <v>1</v>
      </c>
      <c r="BP326" s="67">
        <f>VLOOKUP(AS326,Leyenda!$B$71:$E$75,4,FALSE)</f>
        <v>10</v>
      </c>
      <c r="BQ326" s="125">
        <f t="shared" si="119"/>
        <v>23</v>
      </c>
      <c r="BR326" s="85">
        <f t="shared" si="120"/>
        <v>22</v>
      </c>
      <c r="BS326" s="240">
        <f t="shared" si="121"/>
        <v>0.8</v>
      </c>
      <c r="BT326" s="18"/>
    </row>
    <row r="327" spans="1:72" x14ac:dyDescent="0.25">
      <c r="A327" s="18" t="s">
        <v>6</v>
      </c>
      <c r="B327" s="18">
        <v>2024</v>
      </c>
      <c r="C327" s="18" t="s">
        <v>138</v>
      </c>
      <c r="D327" s="18" t="s">
        <v>130</v>
      </c>
      <c r="E327" s="18">
        <v>20</v>
      </c>
      <c r="F327" s="18">
        <v>30</v>
      </c>
      <c r="G327" s="18" t="s">
        <v>156</v>
      </c>
      <c r="H327" s="248">
        <f t="shared" si="104"/>
        <v>30</v>
      </c>
      <c r="I327" s="135"/>
      <c r="J327" s="18" t="s">
        <v>186</v>
      </c>
      <c r="K327" s="4">
        <f t="shared" si="107"/>
        <v>47</v>
      </c>
      <c r="L327" s="4">
        <v>47.5</v>
      </c>
      <c r="M327" s="4">
        <f t="shared" si="114"/>
        <v>0.5</v>
      </c>
      <c r="N327" s="5">
        <v>0.24</v>
      </c>
      <c r="O327" s="5">
        <f t="shared" si="108"/>
        <v>0.76</v>
      </c>
      <c r="P327" s="31">
        <f t="shared" si="115"/>
        <v>0.12</v>
      </c>
      <c r="Q327" s="31">
        <f t="shared" si="110"/>
        <v>0.12</v>
      </c>
      <c r="R327" s="31">
        <v>6</v>
      </c>
      <c r="S327" s="31">
        <v>20</v>
      </c>
      <c r="T327" s="31">
        <v>0.1</v>
      </c>
      <c r="U327" s="31">
        <v>0</v>
      </c>
      <c r="V327" s="65">
        <f t="shared" si="105"/>
        <v>0</v>
      </c>
      <c r="W327" s="31">
        <v>5</v>
      </c>
      <c r="X327" s="31"/>
      <c r="Y327" s="31">
        <f t="shared" si="90"/>
        <v>5</v>
      </c>
      <c r="Z327" s="31">
        <f t="shared" si="109"/>
        <v>20</v>
      </c>
      <c r="AA327" s="18">
        <v>0</v>
      </c>
      <c r="AB327" s="18" t="s">
        <v>330</v>
      </c>
      <c r="AC327" s="18" t="s">
        <v>333</v>
      </c>
      <c r="AD327" s="18" t="s">
        <v>337</v>
      </c>
      <c r="AE327" s="18">
        <v>20</v>
      </c>
      <c r="AF327" s="18">
        <v>6</v>
      </c>
      <c r="AG327" s="18" t="s">
        <v>34</v>
      </c>
      <c r="AH327" s="18" t="s">
        <v>34</v>
      </c>
      <c r="AI327" s="18">
        <f>+VLOOKUP(AH327,Leyenda!$O$4:$U$10,6,FALSE)</f>
        <v>0</v>
      </c>
      <c r="AJ327" s="18" t="str">
        <f>+VLOOKUP(AG327,Leyenda!$O$4:$U$10,7,FALSE)</f>
        <v>No Blasting need</v>
      </c>
      <c r="AK327" s="18">
        <f>+VLOOKUP(AJ327,Leyenda!$U$4:$V$10,2,FALSE)</f>
        <v>2</v>
      </c>
      <c r="AL327" s="18" t="s">
        <v>29</v>
      </c>
      <c r="AM327" s="18" t="s">
        <v>34</v>
      </c>
      <c r="AN327" s="18" t="s">
        <v>66</v>
      </c>
      <c r="AO327" s="18" t="s">
        <v>79</v>
      </c>
      <c r="AP327" s="18" t="s">
        <v>96</v>
      </c>
      <c r="AQ327" s="18" t="s">
        <v>107</v>
      </c>
      <c r="AR327" s="18" t="s">
        <v>118</v>
      </c>
      <c r="AS327" s="18" t="s">
        <v>198</v>
      </c>
      <c r="AT327" s="18" t="s">
        <v>235</v>
      </c>
      <c r="AU327" s="18"/>
      <c r="AV327" s="18">
        <f>+VLOOKUP(AN327,Leyenda!$B$30:$E$34,3,FALSE)</f>
        <v>1</v>
      </c>
      <c r="AW327" s="18">
        <f>+VLOOKUP('2. Logging Brejo Seco'!AO327,Meteorizacion,3,FALSE)</f>
        <v>1</v>
      </c>
      <c r="AX327" s="18">
        <f>+VLOOKUP('2. Logging Brejo Seco'!AP327,Apertura,3,FALSE)</f>
        <v>1</v>
      </c>
      <c r="AY327" s="18">
        <f>+VLOOKUP('2. Logging Brejo Seco'!AQ327,Leyenda!$B$55:$D$59,3,FALSE)</f>
        <v>3</v>
      </c>
      <c r="AZ327" s="18">
        <f>+VLOOKUP('2. Logging Brejo Seco'!AR327,Relleno,3,FALSE)</f>
        <v>2</v>
      </c>
      <c r="BA327" s="18">
        <f t="shared" si="106"/>
        <v>8</v>
      </c>
      <c r="BB327" s="49">
        <f t="shared" si="111"/>
        <v>0</v>
      </c>
      <c r="BC327" s="49">
        <f>VLOOKUP(AH327,Leyenda!$B$4:$D$10,3,FALSE)</f>
        <v>0</v>
      </c>
      <c r="BD327" s="50">
        <f t="shared" si="116"/>
        <v>4</v>
      </c>
      <c r="BE327" s="49">
        <f t="shared" si="117"/>
        <v>8</v>
      </c>
      <c r="BF327" s="49">
        <v>10</v>
      </c>
      <c r="BG327" s="67">
        <f t="shared" si="112"/>
        <v>12</v>
      </c>
      <c r="BH327" s="67">
        <f>VLOOKUP(AM327,Leyenda!$B$4:$E$10,4,FALSE)</f>
        <v>0</v>
      </c>
      <c r="BI327" s="67">
        <f t="shared" si="118"/>
        <v>5</v>
      </c>
      <c r="BJ327" s="67">
        <f t="shared" si="113"/>
        <v>0</v>
      </c>
      <c r="BK327" s="67">
        <f>+VLOOKUP('2. Logging Brejo Seco'!AP327,Leyenda!$B$47:$E$51,4,FALSE)</f>
        <v>1</v>
      </c>
      <c r="BL327" s="67">
        <f>+VLOOKUP('2. Logging Brejo Seco'!AQ327,Leyenda!$B$55:$E$59,4,FALSE)</f>
        <v>3</v>
      </c>
      <c r="BM327" s="67">
        <f>+VLOOKUP('2. Logging Brejo Seco'!AR327,Leyenda!$B$63:$E$67,3,FALSE)</f>
        <v>2</v>
      </c>
      <c r="BN327" s="67">
        <f>+VLOOKUP('2. Logging Brejo Seco'!AO327,Leyenda!$B$39:$E$43,4,FALSE)</f>
        <v>1</v>
      </c>
      <c r="BO327" s="67">
        <f>+VLOOKUP('2. Logging Brejo Seco'!AN327,Leyenda!$B$30:$E$34,4,FALSE)</f>
        <v>1</v>
      </c>
      <c r="BP327" s="67">
        <f>VLOOKUP(AS327,Leyenda!$B$71:$E$75,4,FALSE)</f>
        <v>10</v>
      </c>
      <c r="BQ327" s="125">
        <f t="shared" si="119"/>
        <v>23</v>
      </c>
      <c r="BR327" s="85">
        <f t="shared" si="120"/>
        <v>22</v>
      </c>
      <c r="BS327" s="240">
        <f t="shared" si="121"/>
        <v>0.76</v>
      </c>
      <c r="BT327" s="18"/>
    </row>
    <row r="328" spans="1:72" x14ac:dyDescent="0.25">
      <c r="A328" s="18" t="s">
        <v>6</v>
      </c>
      <c r="B328" s="18">
        <v>2024</v>
      </c>
      <c r="C328" s="18" t="s">
        <v>138</v>
      </c>
      <c r="D328" s="18" t="s">
        <v>130</v>
      </c>
      <c r="E328" s="18">
        <v>20</v>
      </c>
      <c r="F328" s="18">
        <v>30</v>
      </c>
      <c r="G328" s="18" t="s">
        <v>156</v>
      </c>
      <c r="H328" s="248">
        <f t="shared" si="104"/>
        <v>30</v>
      </c>
      <c r="I328" s="135"/>
      <c r="J328" s="18" t="s">
        <v>186</v>
      </c>
      <c r="K328" s="4">
        <f t="shared" si="107"/>
        <v>47.5</v>
      </c>
      <c r="L328" s="4">
        <v>48</v>
      </c>
      <c r="M328" s="4">
        <f t="shared" si="114"/>
        <v>0.5</v>
      </c>
      <c r="N328" s="5">
        <v>0.22</v>
      </c>
      <c r="O328" s="5">
        <f t="shared" si="108"/>
        <v>0.78</v>
      </c>
      <c r="P328" s="31">
        <f t="shared" si="115"/>
        <v>0.11</v>
      </c>
      <c r="Q328" s="31">
        <f t="shared" si="110"/>
        <v>0.11</v>
      </c>
      <c r="R328" s="31">
        <v>5.5</v>
      </c>
      <c r="S328" s="31">
        <v>20</v>
      </c>
      <c r="T328" s="31">
        <v>0.1</v>
      </c>
      <c r="U328" s="31">
        <v>0</v>
      </c>
      <c r="V328" s="65">
        <f t="shared" si="105"/>
        <v>0</v>
      </c>
      <c r="W328" s="31">
        <v>5</v>
      </c>
      <c r="X328" s="31"/>
      <c r="Y328" s="31">
        <f t="shared" si="90"/>
        <v>5</v>
      </c>
      <c r="Z328" s="31">
        <f t="shared" si="109"/>
        <v>20</v>
      </c>
      <c r="AA328" s="18">
        <v>0</v>
      </c>
      <c r="AB328" s="18" t="s">
        <v>330</v>
      </c>
      <c r="AC328" s="18" t="s">
        <v>333</v>
      </c>
      <c r="AD328" s="18" t="s">
        <v>337</v>
      </c>
      <c r="AE328" s="18">
        <v>20</v>
      </c>
      <c r="AF328" s="18">
        <v>5.5</v>
      </c>
      <c r="AG328" s="18" t="s">
        <v>34</v>
      </c>
      <c r="AH328" s="18" t="s">
        <v>34</v>
      </c>
      <c r="AI328" s="18">
        <f>+VLOOKUP(AH328,Leyenda!$O$4:$U$10,6,FALSE)</f>
        <v>0</v>
      </c>
      <c r="AJ328" s="18" t="str">
        <f>+VLOOKUP(AG328,Leyenda!$O$4:$U$10,7,FALSE)</f>
        <v>No Blasting need</v>
      </c>
      <c r="AK328" s="18">
        <f>+VLOOKUP(AJ328,Leyenda!$U$4:$V$10,2,FALSE)</f>
        <v>2</v>
      </c>
      <c r="AL328" s="18" t="s">
        <v>29</v>
      </c>
      <c r="AM328" s="18" t="s">
        <v>34</v>
      </c>
      <c r="AN328" s="18" t="s">
        <v>66</v>
      </c>
      <c r="AO328" s="18" t="s">
        <v>79</v>
      </c>
      <c r="AP328" s="18" t="s">
        <v>96</v>
      </c>
      <c r="AQ328" s="18" t="s">
        <v>107</v>
      </c>
      <c r="AR328" s="18" t="s">
        <v>118</v>
      </c>
      <c r="AS328" s="18" t="s">
        <v>198</v>
      </c>
      <c r="AT328" s="18" t="s">
        <v>235</v>
      </c>
      <c r="AU328" s="18"/>
      <c r="AV328" s="18">
        <f>+VLOOKUP(AN328,Leyenda!$B$30:$E$34,3,FALSE)</f>
        <v>1</v>
      </c>
      <c r="AW328" s="18">
        <f>+VLOOKUP('2. Logging Brejo Seco'!AO328,Meteorizacion,3,FALSE)</f>
        <v>1</v>
      </c>
      <c r="AX328" s="18">
        <f>+VLOOKUP('2. Logging Brejo Seco'!AP328,Apertura,3,FALSE)</f>
        <v>1</v>
      </c>
      <c r="AY328" s="18">
        <f>+VLOOKUP('2. Logging Brejo Seco'!AQ328,Leyenda!$B$55:$D$59,3,FALSE)</f>
        <v>3</v>
      </c>
      <c r="AZ328" s="18">
        <f>+VLOOKUP('2. Logging Brejo Seco'!AR328,Relleno,3,FALSE)</f>
        <v>2</v>
      </c>
      <c r="BA328" s="18">
        <f t="shared" si="106"/>
        <v>8</v>
      </c>
      <c r="BB328" s="49">
        <f t="shared" si="111"/>
        <v>0</v>
      </c>
      <c r="BC328" s="49">
        <f>VLOOKUP(AH328,Leyenda!$B$4:$D$10,3,FALSE)</f>
        <v>0</v>
      </c>
      <c r="BD328" s="50">
        <f t="shared" si="116"/>
        <v>4</v>
      </c>
      <c r="BE328" s="49">
        <f t="shared" si="117"/>
        <v>8</v>
      </c>
      <c r="BF328" s="49">
        <v>10</v>
      </c>
      <c r="BG328" s="67">
        <f t="shared" si="112"/>
        <v>12</v>
      </c>
      <c r="BH328" s="67">
        <f>VLOOKUP(AM328,Leyenda!$B$4:$E$10,4,FALSE)</f>
        <v>0</v>
      </c>
      <c r="BI328" s="67">
        <f t="shared" si="118"/>
        <v>5</v>
      </c>
      <c r="BJ328" s="67">
        <f t="shared" si="113"/>
        <v>0</v>
      </c>
      <c r="BK328" s="67">
        <f>+VLOOKUP('2. Logging Brejo Seco'!AP328,Leyenda!$B$47:$E$51,4,FALSE)</f>
        <v>1</v>
      </c>
      <c r="BL328" s="67">
        <f>+VLOOKUP('2. Logging Brejo Seco'!AQ328,Leyenda!$B$55:$E$59,4,FALSE)</f>
        <v>3</v>
      </c>
      <c r="BM328" s="67">
        <f>+VLOOKUP('2. Logging Brejo Seco'!AR328,Leyenda!$B$63:$E$67,3,FALSE)</f>
        <v>2</v>
      </c>
      <c r="BN328" s="67">
        <f>+VLOOKUP('2. Logging Brejo Seco'!AO328,Leyenda!$B$39:$E$43,4,FALSE)</f>
        <v>1</v>
      </c>
      <c r="BO328" s="67">
        <f>+VLOOKUP('2. Logging Brejo Seco'!AN328,Leyenda!$B$30:$E$34,4,FALSE)</f>
        <v>1</v>
      </c>
      <c r="BP328" s="67">
        <f>VLOOKUP(AS328,Leyenda!$B$71:$E$75,4,FALSE)</f>
        <v>10</v>
      </c>
      <c r="BQ328" s="125">
        <f t="shared" si="119"/>
        <v>23</v>
      </c>
      <c r="BR328" s="85">
        <f t="shared" si="120"/>
        <v>22</v>
      </c>
      <c r="BS328" s="240">
        <f t="shared" si="121"/>
        <v>0.78</v>
      </c>
      <c r="BT328" s="18"/>
    </row>
    <row r="329" spans="1:72" x14ac:dyDescent="0.25">
      <c r="A329" s="18" t="s">
        <v>6</v>
      </c>
      <c r="B329" s="18">
        <v>2024</v>
      </c>
      <c r="C329" s="18" t="s">
        <v>138</v>
      </c>
      <c r="D329" s="18" t="s">
        <v>130</v>
      </c>
      <c r="E329" s="18">
        <v>20</v>
      </c>
      <c r="F329" s="18">
        <v>30</v>
      </c>
      <c r="G329" s="18" t="s">
        <v>156</v>
      </c>
      <c r="H329" s="248">
        <f t="shared" si="104"/>
        <v>30</v>
      </c>
      <c r="I329" s="135"/>
      <c r="J329" s="18" t="s">
        <v>186</v>
      </c>
      <c r="K329" s="4">
        <f t="shared" si="107"/>
        <v>48</v>
      </c>
      <c r="L329" s="4">
        <v>48.5</v>
      </c>
      <c r="M329" s="4">
        <f t="shared" si="114"/>
        <v>0.5</v>
      </c>
      <c r="N329" s="5">
        <v>0.38</v>
      </c>
      <c r="O329" s="5">
        <f t="shared" si="108"/>
        <v>0.62</v>
      </c>
      <c r="P329" s="31">
        <f t="shared" si="115"/>
        <v>0.19</v>
      </c>
      <c r="Q329" s="31">
        <f t="shared" si="110"/>
        <v>0.19</v>
      </c>
      <c r="R329" s="31">
        <v>9.5</v>
      </c>
      <c r="S329" s="31">
        <v>20</v>
      </c>
      <c r="T329" s="31">
        <v>0.18</v>
      </c>
      <c r="U329" s="31">
        <v>0</v>
      </c>
      <c r="V329" s="65">
        <f t="shared" si="105"/>
        <v>0</v>
      </c>
      <c r="W329" s="31">
        <v>7</v>
      </c>
      <c r="X329" s="31"/>
      <c r="Y329" s="31">
        <f t="shared" si="90"/>
        <v>7</v>
      </c>
      <c r="Z329" s="31">
        <f t="shared" si="109"/>
        <v>25.714285714285715</v>
      </c>
      <c r="AA329" s="18">
        <v>0</v>
      </c>
      <c r="AB329" s="18" t="s">
        <v>330</v>
      </c>
      <c r="AC329" s="18" t="s">
        <v>333</v>
      </c>
      <c r="AD329" s="18" t="s">
        <v>337</v>
      </c>
      <c r="AE329" s="18">
        <v>20</v>
      </c>
      <c r="AF329" s="18">
        <v>9.5</v>
      </c>
      <c r="AG329" s="18" t="s">
        <v>32</v>
      </c>
      <c r="AH329" s="18" t="s">
        <v>32</v>
      </c>
      <c r="AI329" s="18" t="str">
        <f>+VLOOKUP(AH329,Leyenda!$O$4:$U$10,6,FALSE)</f>
        <v>0,15-0,25</v>
      </c>
      <c r="AJ329" s="18" t="str">
        <f>+VLOOKUP(AG329,Leyenda!$O$4:$U$10,7,FALSE)</f>
        <v>No Blasting need</v>
      </c>
      <c r="AK329" s="18">
        <f>+VLOOKUP(AJ329,Leyenda!$U$4:$V$10,2,FALSE)</f>
        <v>2</v>
      </c>
      <c r="AL329" s="18" t="s">
        <v>29</v>
      </c>
      <c r="AM329" s="18" t="s">
        <v>32</v>
      </c>
      <c r="AN329" s="18" t="s">
        <v>66</v>
      </c>
      <c r="AO329" s="18" t="s">
        <v>79</v>
      </c>
      <c r="AP329" s="18" t="s">
        <v>96</v>
      </c>
      <c r="AQ329" s="18" t="s">
        <v>107</v>
      </c>
      <c r="AR329" s="18" t="s">
        <v>118</v>
      </c>
      <c r="AS329" s="18" t="s">
        <v>198</v>
      </c>
      <c r="AT329" s="18" t="s">
        <v>235</v>
      </c>
      <c r="AU329" s="18"/>
      <c r="AV329" s="18">
        <f>+VLOOKUP(AN329,Leyenda!$B$30:$E$34,3,FALSE)</f>
        <v>1</v>
      </c>
      <c r="AW329" s="18">
        <f>+VLOOKUP('2. Logging Brejo Seco'!AO329,Meteorizacion,3,FALSE)</f>
        <v>1</v>
      </c>
      <c r="AX329" s="18">
        <f>+VLOOKUP('2. Logging Brejo Seco'!AP329,Apertura,3,FALSE)</f>
        <v>1</v>
      </c>
      <c r="AY329" s="18">
        <f>+VLOOKUP('2. Logging Brejo Seco'!AQ329,Leyenda!$B$55:$D$59,3,FALSE)</f>
        <v>3</v>
      </c>
      <c r="AZ329" s="18">
        <f>+VLOOKUP('2. Logging Brejo Seco'!AR329,Relleno,3,FALSE)</f>
        <v>2</v>
      </c>
      <c r="BA329" s="18">
        <f t="shared" si="106"/>
        <v>8</v>
      </c>
      <c r="BB329" s="49">
        <f t="shared" si="111"/>
        <v>0</v>
      </c>
      <c r="BC329" s="49">
        <f>VLOOKUP(AH329,Leyenda!$B$4:$D$10,3,FALSE)</f>
        <v>1</v>
      </c>
      <c r="BD329" s="50">
        <f t="shared" si="116"/>
        <v>5</v>
      </c>
      <c r="BE329" s="49">
        <f t="shared" si="117"/>
        <v>8</v>
      </c>
      <c r="BF329" s="49">
        <v>10</v>
      </c>
      <c r="BG329" s="67">
        <f t="shared" si="112"/>
        <v>12</v>
      </c>
      <c r="BH329" s="67">
        <f>VLOOKUP(AM329,Leyenda!$B$4:$E$10,4,FALSE)</f>
        <v>1</v>
      </c>
      <c r="BI329" s="67">
        <f t="shared" si="118"/>
        <v>5</v>
      </c>
      <c r="BJ329" s="67">
        <f t="shared" si="113"/>
        <v>0</v>
      </c>
      <c r="BK329" s="67">
        <f>+VLOOKUP('2. Logging Brejo Seco'!AP329,Leyenda!$B$47:$E$51,4,FALSE)</f>
        <v>1</v>
      </c>
      <c r="BL329" s="67">
        <f>+VLOOKUP('2. Logging Brejo Seco'!AQ329,Leyenda!$B$55:$E$59,4,FALSE)</f>
        <v>3</v>
      </c>
      <c r="BM329" s="67">
        <f>+VLOOKUP('2. Logging Brejo Seco'!AR329,Leyenda!$B$63:$E$67,3,FALSE)</f>
        <v>2</v>
      </c>
      <c r="BN329" s="67">
        <f>+VLOOKUP('2. Logging Brejo Seco'!AO329,Leyenda!$B$39:$E$43,4,FALSE)</f>
        <v>1</v>
      </c>
      <c r="BO329" s="67">
        <f>+VLOOKUP('2. Logging Brejo Seco'!AN329,Leyenda!$B$30:$E$34,4,FALSE)</f>
        <v>1</v>
      </c>
      <c r="BP329" s="67">
        <f>VLOOKUP(AS329,Leyenda!$B$71:$E$75,4,FALSE)</f>
        <v>10</v>
      </c>
      <c r="BQ329" s="125">
        <f t="shared" si="119"/>
        <v>24</v>
      </c>
      <c r="BR329" s="85">
        <f t="shared" si="120"/>
        <v>24</v>
      </c>
      <c r="BS329" s="240">
        <f t="shared" si="121"/>
        <v>0.62</v>
      </c>
      <c r="BT329" s="18"/>
    </row>
    <row r="330" spans="1:72" x14ac:dyDescent="0.25">
      <c r="A330" s="18" t="s">
        <v>6</v>
      </c>
      <c r="B330" s="18">
        <v>2024</v>
      </c>
      <c r="C330" s="18" t="s">
        <v>138</v>
      </c>
      <c r="D330" s="18" t="s">
        <v>130</v>
      </c>
      <c r="E330" s="18">
        <v>20</v>
      </c>
      <c r="F330" s="18">
        <v>30</v>
      </c>
      <c r="G330" s="18" t="s">
        <v>156</v>
      </c>
      <c r="H330" s="248">
        <f t="shared" ref="H330:H393" si="122">+F330</f>
        <v>30</v>
      </c>
      <c r="I330" s="135"/>
      <c r="J330" s="18" t="s">
        <v>186</v>
      </c>
      <c r="K330" s="4">
        <f t="shared" si="107"/>
        <v>48.5</v>
      </c>
      <c r="L330" s="4">
        <v>49</v>
      </c>
      <c r="M330" s="4">
        <f t="shared" si="114"/>
        <v>0.5</v>
      </c>
      <c r="N330" s="5">
        <v>0.46</v>
      </c>
      <c r="O330" s="5">
        <f t="shared" si="108"/>
        <v>0.54</v>
      </c>
      <c r="P330" s="31">
        <f t="shared" si="115"/>
        <v>0.23</v>
      </c>
      <c r="Q330" s="31">
        <f t="shared" si="110"/>
        <v>0.23</v>
      </c>
      <c r="R330" s="31">
        <v>11.5</v>
      </c>
      <c r="S330" s="31">
        <v>20</v>
      </c>
      <c r="T330" s="31">
        <v>0.23</v>
      </c>
      <c r="U330" s="31">
        <v>0</v>
      </c>
      <c r="V330" s="65">
        <f t="shared" ref="V330:V394" si="123">+U330/M330*100</f>
        <v>0</v>
      </c>
      <c r="W330" s="31">
        <v>8</v>
      </c>
      <c r="X330" s="31"/>
      <c r="Y330" s="31">
        <f t="shared" si="90"/>
        <v>8</v>
      </c>
      <c r="Z330" s="31">
        <f t="shared" si="109"/>
        <v>28.75</v>
      </c>
      <c r="AA330" s="18">
        <v>0</v>
      </c>
      <c r="AB330" s="18" t="s">
        <v>330</v>
      </c>
      <c r="AC330" s="18" t="s">
        <v>333</v>
      </c>
      <c r="AD330" s="18" t="s">
        <v>337</v>
      </c>
      <c r="AE330" s="18">
        <v>20</v>
      </c>
      <c r="AF330" s="18">
        <v>11.5</v>
      </c>
      <c r="AG330" s="18" t="s">
        <v>32</v>
      </c>
      <c r="AH330" s="18" t="s">
        <v>32</v>
      </c>
      <c r="AI330" s="18" t="str">
        <f>+VLOOKUP(AH330,Leyenda!$O$4:$U$10,6,FALSE)</f>
        <v>0,15-0,25</v>
      </c>
      <c r="AJ330" s="18" t="str">
        <f>+VLOOKUP(AG330,Leyenda!$O$4:$U$10,7,FALSE)</f>
        <v>No Blasting need</v>
      </c>
      <c r="AK330" s="18">
        <f>+VLOOKUP(AJ330,Leyenda!$U$4:$V$10,2,FALSE)</f>
        <v>2</v>
      </c>
      <c r="AL330" s="18" t="s">
        <v>29</v>
      </c>
      <c r="AM330" s="18" t="s">
        <v>32</v>
      </c>
      <c r="AN330" s="18" t="s">
        <v>66</v>
      </c>
      <c r="AO330" s="18" t="s">
        <v>79</v>
      </c>
      <c r="AP330" s="18" t="s">
        <v>96</v>
      </c>
      <c r="AQ330" s="18" t="s">
        <v>107</v>
      </c>
      <c r="AR330" s="18" t="s">
        <v>118</v>
      </c>
      <c r="AS330" s="18" t="s">
        <v>198</v>
      </c>
      <c r="AT330" s="18" t="s">
        <v>235</v>
      </c>
      <c r="AU330" s="18"/>
      <c r="AV330" s="18">
        <f>+VLOOKUP(AN330,Leyenda!$B$30:$E$34,3,FALSE)</f>
        <v>1</v>
      </c>
      <c r="AW330" s="18">
        <f>+VLOOKUP('2. Logging Brejo Seco'!AO330,Meteorizacion,3,FALSE)</f>
        <v>1</v>
      </c>
      <c r="AX330" s="18">
        <f>+VLOOKUP('2. Logging Brejo Seco'!AP330,Apertura,3,FALSE)</f>
        <v>1</v>
      </c>
      <c r="AY330" s="18">
        <f>+VLOOKUP('2. Logging Brejo Seco'!AQ330,Leyenda!$B$55:$D$59,3,FALSE)</f>
        <v>3</v>
      </c>
      <c r="AZ330" s="18">
        <f>+VLOOKUP('2. Logging Brejo Seco'!AR330,Relleno,3,FALSE)</f>
        <v>2</v>
      </c>
      <c r="BA330" s="18">
        <f t="shared" ref="BA330:BA394" si="124">+SUM(AV330:AZ330)</f>
        <v>8</v>
      </c>
      <c r="BB330" s="49">
        <f t="shared" si="111"/>
        <v>0</v>
      </c>
      <c r="BC330" s="49">
        <f>VLOOKUP(AH330,Leyenda!$B$4:$D$10,3,FALSE)</f>
        <v>1</v>
      </c>
      <c r="BD330" s="50">
        <f t="shared" si="116"/>
        <v>5</v>
      </c>
      <c r="BE330" s="49">
        <f t="shared" si="117"/>
        <v>8</v>
      </c>
      <c r="BF330" s="49">
        <v>10</v>
      </c>
      <c r="BG330" s="67">
        <f t="shared" si="112"/>
        <v>12</v>
      </c>
      <c r="BH330" s="67">
        <f>VLOOKUP(AM330,Leyenda!$B$4:$E$10,4,FALSE)</f>
        <v>1</v>
      </c>
      <c r="BI330" s="67">
        <f t="shared" si="118"/>
        <v>5</v>
      </c>
      <c r="BJ330" s="67">
        <f t="shared" si="113"/>
        <v>0</v>
      </c>
      <c r="BK330" s="67">
        <f>+VLOOKUP('2. Logging Brejo Seco'!AP330,Leyenda!$B$47:$E$51,4,FALSE)</f>
        <v>1</v>
      </c>
      <c r="BL330" s="67">
        <f>+VLOOKUP('2. Logging Brejo Seco'!AQ330,Leyenda!$B$55:$E$59,4,FALSE)</f>
        <v>3</v>
      </c>
      <c r="BM330" s="67">
        <f>+VLOOKUP('2. Logging Brejo Seco'!AR330,Leyenda!$B$63:$E$67,3,FALSE)</f>
        <v>2</v>
      </c>
      <c r="BN330" s="67">
        <f>+VLOOKUP('2. Logging Brejo Seco'!AO330,Leyenda!$B$39:$E$43,4,FALSE)</f>
        <v>1</v>
      </c>
      <c r="BO330" s="67">
        <f>+VLOOKUP('2. Logging Brejo Seco'!AN330,Leyenda!$B$30:$E$34,4,FALSE)</f>
        <v>1</v>
      </c>
      <c r="BP330" s="67">
        <f>VLOOKUP(AS330,Leyenda!$B$71:$E$75,4,FALSE)</f>
        <v>10</v>
      </c>
      <c r="BQ330" s="125">
        <f t="shared" si="119"/>
        <v>24</v>
      </c>
      <c r="BR330" s="85">
        <f t="shared" si="120"/>
        <v>24</v>
      </c>
      <c r="BS330" s="240">
        <f t="shared" si="121"/>
        <v>0.54</v>
      </c>
      <c r="BT330" s="18"/>
    </row>
    <row r="331" spans="1:72" x14ac:dyDescent="0.25">
      <c r="A331" s="18" t="s">
        <v>6</v>
      </c>
      <c r="B331" s="18">
        <v>2024</v>
      </c>
      <c r="C331" s="18" t="s">
        <v>138</v>
      </c>
      <c r="D331" s="18" t="s">
        <v>130</v>
      </c>
      <c r="E331" s="18">
        <v>20</v>
      </c>
      <c r="F331" s="18">
        <v>30</v>
      </c>
      <c r="G331" s="18" t="s">
        <v>156</v>
      </c>
      <c r="H331" s="248">
        <f t="shared" si="122"/>
        <v>30</v>
      </c>
      <c r="I331" s="135"/>
      <c r="J331" s="18" t="s">
        <v>186</v>
      </c>
      <c r="K331" s="4">
        <f t="shared" si="107"/>
        <v>49</v>
      </c>
      <c r="L331" s="4">
        <v>49.5</v>
      </c>
      <c r="M331" s="4">
        <f t="shared" si="114"/>
        <v>0.5</v>
      </c>
      <c r="N331" s="5">
        <v>0.34</v>
      </c>
      <c r="O331" s="5">
        <f t="shared" si="108"/>
        <v>0.65999999999999992</v>
      </c>
      <c r="P331" s="31">
        <f t="shared" si="115"/>
        <v>0.17</v>
      </c>
      <c r="Q331" s="31">
        <f t="shared" si="110"/>
        <v>0.17</v>
      </c>
      <c r="R331" s="31">
        <v>8.5</v>
      </c>
      <c r="S331" s="31">
        <v>20</v>
      </c>
      <c r="T331" s="31">
        <v>0.1</v>
      </c>
      <c r="U331" s="31">
        <v>0</v>
      </c>
      <c r="V331" s="65">
        <f t="shared" si="123"/>
        <v>0</v>
      </c>
      <c r="W331" s="31">
        <v>7</v>
      </c>
      <c r="X331" s="31"/>
      <c r="Y331" s="31">
        <f t="shared" si="90"/>
        <v>7</v>
      </c>
      <c r="Z331" s="31">
        <f t="shared" si="109"/>
        <v>14.285714285714286</v>
      </c>
      <c r="AA331" s="18">
        <v>0</v>
      </c>
      <c r="AB331" s="18" t="s">
        <v>330</v>
      </c>
      <c r="AC331" s="18" t="s">
        <v>333</v>
      </c>
      <c r="AD331" s="18" t="s">
        <v>337</v>
      </c>
      <c r="AE331" s="18">
        <v>20</v>
      </c>
      <c r="AF331" s="18">
        <v>8.5</v>
      </c>
      <c r="AG331" s="18" t="s">
        <v>32</v>
      </c>
      <c r="AH331" s="18" t="s">
        <v>32</v>
      </c>
      <c r="AI331" s="18" t="str">
        <f>+VLOOKUP(AH331,Leyenda!$O$4:$U$10,6,FALSE)</f>
        <v>0,15-0,25</v>
      </c>
      <c r="AJ331" s="18" t="str">
        <f>+VLOOKUP(AG331,Leyenda!$O$4:$U$10,7,FALSE)</f>
        <v>No Blasting need</v>
      </c>
      <c r="AK331" s="18">
        <f>+VLOOKUP(AJ331,Leyenda!$U$4:$V$10,2,FALSE)</f>
        <v>2</v>
      </c>
      <c r="AL331" s="18" t="s">
        <v>29</v>
      </c>
      <c r="AM331" s="18" t="s">
        <v>32</v>
      </c>
      <c r="AN331" s="18" t="s">
        <v>66</v>
      </c>
      <c r="AO331" s="18" t="s">
        <v>79</v>
      </c>
      <c r="AP331" s="18" t="s">
        <v>96</v>
      </c>
      <c r="AQ331" s="18" t="s">
        <v>107</v>
      </c>
      <c r="AR331" s="18" t="s">
        <v>118</v>
      </c>
      <c r="AS331" s="18" t="s">
        <v>198</v>
      </c>
      <c r="AT331" s="18" t="s">
        <v>235</v>
      </c>
      <c r="AU331" s="18"/>
      <c r="AV331" s="18">
        <f>+VLOOKUP(AN331,Leyenda!$B$30:$E$34,3,FALSE)</f>
        <v>1</v>
      </c>
      <c r="AW331" s="18">
        <f>+VLOOKUP('2. Logging Brejo Seco'!AO331,Meteorizacion,3,FALSE)</f>
        <v>1</v>
      </c>
      <c r="AX331" s="18">
        <f>+VLOOKUP('2. Logging Brejo Seco'!AP331,Apertura,3,FALSE)</f>
        <v>1</v>
      </c>
      <c r="AY331" s="18">
        <f>+VLOOKUP('2. Logging Brejo Seco'!AQ331,Leyenda!$B$55:$D$59,3,FALSE)</f>
        <v>3</v>
      </c>
      <c r="AZ331" s="18">
        <f>+VLOOKUP('2. Logging Brejo Seco'!AR331,Relleno,3,FALSE)</f>
        <v>2</v>
      </c>
      <c r="BA331" s="18">
        <f t="shared" si="124"/>
        <v>8</v>
      </c>
      <c r="BB331" s="49">
        <f t="shared" si="111"/>
        <v>0</v>
      </c>
      <c r="BC331" s="49">
        <f>VLOOKUP(AH331,Leyenda!$B$4:$D$10,3,FALSE)</f>
        <v>1</v>
      </c>
      <c r="BD331" s="50">
        <f t="shared" si="116"/>
        <v>4</v>
      </c>
      <c r="BE331" s="49">
        <f t="shared" si="117"/>
        <v>8</v>
      </c>
      <c r="BF331" s="49">
        <v>10</v>
      </c>
      <c r="BG331" s="67">
        <f t="shared" si="112"/>
        <v>12</v>
      </c>
      <c r="BH331" s="67">
        <f>VLOOKUP(AM331,Leyenda!$B$4:$E$10,4,FALSE)</f>
        <v>1</v>
      </c>
      <c r="BI331" s="67">
        <f t="shared" si="118"/>
        <v>5</v>
      </c>
      <c r="BJ331" s="67">
        <f t="shared" si="113"/>
        <v>0</v>
      </c>
      <c r="BK331" s="67">
        <f>+VLOOKUP('2. Logging Brejo Seco'!AP331,Leyenda!$B$47:$E$51,4,FALSE)</f>
        <v>1</v>
      </c>
      <c r="BL331" s="67">
        <f>+VLOOKUP('2. Logging Brejo Seco'!AQ331,Leyenda!$B$55:$E$59,4,FALSE)</f>
        <v>3</v>
      </c>
      <c r="BM331" s="67">
        <f>+VLOOKUP('2. Logging Brejo Seco'!AR331,Leyenda!$B$63:$E$67,3,FALSE)</f>
        <v>2</v>
      </c>
      <c r="BN331" s="67">
        <f>+VLOOKUP('2. Logging Brejo Seco'!AO331,Leyenda!$B$39:$E$43,4,FALSE)</f>
        <v>1</v>
      </c>
      <c r="BO331" s="67">
        <f>+VLOOKUP('2. Logging Brejo Seco'!AN331,Leyenda!$B$30:$E$34,4,FALSE)</f>
        <v>1</v>
      </c>
      <c r="BP331" s="67">
        <f>VLOOKUP(AS331,Leyenda!$B$71:$E$75,4,FALSE)</f>
        <v>10</v>
      </c>
      <c r="BQ331" s="125">
        <f t="shared" si="119"/>
        <v>24</v>
      </c>
      <c r="BR331" s="85">
        <f t="shared" si="120"/>
        <v>23</v>
      </c>
      <c r="BS331" s="240">
        <f t="shared" si="121"/>
        <v>0.65999999999999992</v>
      </c>
      <c r="BT331" s="18" t="s">
        <v>750</v>
      </c>
    </row>
    <row r="332" spans="1:72" x14ac:dyDescent="0.25">
      <c r="A332" s="18" t="s">
        <v>6</v>
      </c>
      <c r="B332" s="18">
        <v>2024</v>
      </c>
      <c r="C332" s="18" t="s">
        <v>138</v>
      </c>
      <c r="D332" s="18" t="s">
        <v>130</v>
      </c>
      <c r="E332" s="18">
        <v>20</v>
      </c>
      <c r="F332" s="18">
        <v>30</v>
      </c>
      <c r="G332" s="18" t="s">
        <v>156</v>
      </c>
      <c r="H332" s="248">
        <f t="shared" si="122"/>
        <v>30</v>
      </c>
      <c r="I332" s="135"/>
      <c r="J332" s="18"/>
      <c r="K332" s="4">
        <f t="shared" si="107"/>
        <v>49.5</v>
      </c>
      <c r="L332" s="4">
        <v>50</v>
      </c>
      <c r="M332" s="4">
        <f t="shared" si="114"/>
        <v>0.5</v>
      </c>
      <c r="N332" s="5">
        <v>0</v>
      </c>
      <c r="O332" s="5">
        <f t="shared" si="108"/>
        <v>1</v>
      </c>
      <c r="P332" s="31">
        <f t="shared" si="115"/>
        <v>0</v>
      </c>
      <c r="Q332" s="31">
        <f t="shared" si="110"/>
        <v>0</v>
      </c>
      <c r="R332" s="31" t="s">
        <v>348</v>
      </c>
      <c r="S332" s="31">
        <v>20</v>
      </c>
      <c r="T332" s="31">
        <v>0.5</v>
      </c>
      <c r="U332" s="31">
        <v>0</v>
      </c>
      <c r="V332" s="65">
        <f t="shared" si="123"/>
        <v>0</v>
      </c>
      <c r="W332" s="31">
        <v>10</v>
      </c>
      <c r="X332" s="31"/>
      <c r="Y332" s="31">
        <f t="shared" si="90"/>
        <v>10</v>
      </c>
      <c r="Z332" s="31">
        <f t="shared" si="109"/>
        <v>50</v>
      </c>
      <c r="AA332" s="18">
        <v>0</v>
      </c>
      <c r="AB332" s="18" t="s">
        <v>330</v>
      </c>
      <c r="AC332" s="18" t="s">
        <v>333</v>
      </c>
      <c r="AD332" s="18" t="s">
        <v>337</v>
      </c>
      <c r="AE332" s="18">
        <v>20</v>
      </c>
      <c r="AF332" s="18" t="s">
        <v>348</v>
      </c>
      <c r="AG332" s="18" t="s">
        <v>29</v>
      </c>
      <c r="AH332" s="18" t="s">
        <v>29</v>
      </c>
      <c r="AI332" s="18" t="str">
        <f>+VLOOKUP(AH332,Leyenda!$O$4:$U$10,6,FALSE)</f>
        <v>0,25-0,35</v>
      </c>
      <c r="AJ332" s="18" t="str">
        <f>+VLOOKUP(AG332,Leyenda!$O$4:$U$10,7,FALSE)</f>
        <v>No Blasting need</v>
      </c>
      <c r="AK332" s="18">
        <f>+VLOOKUP(AJ332,Leyenda!$U$4:$V$10,2,FALSE)</f>
        <v>2</v>
      </c>
      <c r="AL332" s="18" t="s">
        <v>29</v>
      </c>
      <c r="AM332" s="18" t="s">
        <v>29</v>
      </c>
      <c r="AN332" s="18" t="s">
        <v>66</v>
      </c>
      <c r="AO332" s="18" t="s">
        <v>79</v>
      </c>
      <c r="AP332" s="18" t="s">
        <v>96</v>
      </c>
      <c r="AQ332" s="18" t="s">
        <v>107</v>
      </c>
      <c r="AR332" s="18" t="s">
        <v>118</v>
      </c>
      <c r="AS332" s="18" t="s">
        <v>198</v>
      </c>
      <c r="AT332" s="18" t="s">
        <v>235</v>
      </c>
      <c r="AU332" s="18"/>
      <c r="AV332" s="18">
        <f>+VLOOKUP(AN332,Leyenda!$B$30:$E$34,3,FALSE)</f>
        <v>1</v>
      </c>
      <c r="AW332" s="18">
        <f>+VLOOKUP('2. Logging Brejo Seco'!AO332,Meteorizacion,3,FALSE)</f>
        <v>1</v>
      </c>
      <c r="AX332" s="18">
        <f>+VLOOKUP('2. Logging Brejo Seco'!AP332,Apertura,3,FALSE)</f>
        <v>1</v>
      </c>
      <c r="AY332" s="18">
        <f>+VLOOKUP('2. Logging Brejo Seco'!AQ332,Leyenda!$B$55:$D$59,3,FALSE)</f>
        <v>3</v>
      </c>
      <c r="AZ332" s="18">
        <f>+VLOOKUP('2. Logging Brejo Seco'!AR332,Relleno,3,FALSE)</f>
        <v>2</v>
      </c>
      <c r="BA332" s="18">
        <f t="shared" si="124"/>
        <v>8</v>
      </c>
      <c r="BB332" s="49">
        <f t="shared" si="111"/>
        <v>0</v>
      </c>
      <c r="BC332" s="49">
        <f>VLOOKUP(AH332,Leyenda!$B$4:$D$10,3,FALSE)</f>
        <v>2</v>
      </c>
      <c r="BD332" s="50">
        <f t="shared" si="116"/>
        <v>6</v>
      </c>
      <c r="BE332" s="49">
        <f t="shared" si="117"/>
        <v>8</v>
      </c>
      <c r="BF332" s="49">
        <v>10</v>
      </c>
      <c r="BG332" s="67">
        <f t="shared" si="112"/>
        <v>12</v>
      </c>
      <c r="BH332" s="67">
        <f>VLOOKUP(AM332,Leyenda!$B$4:$E$10,4,FALSE)</f>
        <v>2</v>
      </c>
      <c r="BI332" s="67">
        <f t="shared" si="118"/>
        <v>5</v>
      </c>
      <c r="BJ332" s="67">
        <f t="shared" si="113"/>
        <v>0</v>
      </c>
      <c r="BK332" s="67">
        <f>+VLOOKUP('2. Logging Brejo Seco'!AP332,Leyenda!$B$47:$E$51,4,FALSE)</f>
        <v>1</v>
      </c>
      <c r="BL332" s="67">
        <f>+VLOOKUP('2. Logging Brejo Seco'!AQ332,Leyenda!$B$55:$E$59,4,FALSE)</f>
        <v>3</v>
      </c>
      <c r="BM332" s="67">
        <f>+VLOOKUP('2. Logging Brejo Seco'!AR332,Leyenda!$B$63:$E$67,3,FALSE)</f>
        <v>2</v>
      </c>
      <c r="BN332" s="67">
        <f>+VLOOKUP('2. Logging Brejo Seco'!AO332,Leyenda!$B$39:$E$43,4,FALSE)</f>
        <v>1</v>
      </c>
      <c r="BO332" s="67">
        <f>+VLOOKUP('2. Logging Brejo Seco'!AN332,Leyenda!$B$30:$E$34,4,FALSE)</f>
        <v>1</v>
      </c>
      <c r="BP332" s="67">
        <f>VLOOKUP(AS332,Leyenda!$B$71:$E$75,4,FALSE)</f>
        <v>10</v>
      </c>
      <c r="BQ332" s="125">
        <f t="shared" si="119"/>
        <v>25</v>
      </c>
      <c r="BR332" s="85">
        <f t="shared" si="120"/>
        <v>26</v>
      </c>
      <c r="BS332" s="240">
        <f t="shared" si="121"/>
        <v>1</v>
      </c>
      <c r="BT332" s="18" t="s">
        <v>752</v>
      </c>
    </row>
    <row r="333" spans="1:72" x14ac:dyDescent="0.25">
      <c r="A333" s="18" t="s">
        <v>6</v>
      </c>
      <c r="B333" s="18">
        <v>2024</v>
      </c>
      <c r="C333" s="18" t="s">
        <v>138</v>
      </c>
      <c r="D333" s="18" t="s">
        <v>130</v>
      </c>
      <c r="E333" s="18">
        <v>20</v>
      </c>
      <c r="F333" s="18">
        <v>30</v>
      </c>
      <c r="G333" s="18" t="s">
        <v>156</v>
      </c>
      <c r="H333" s="248">
        <f t="shared" si="122"/>
        <v>30</v>
      </c>
      <c r="I333" s="135"/>
      <c r="J333" s="18" t="s">
        <v>185</v>
      </c>
      <c r="K333" s="4">
        <f t="shared" si="107"/>
        <v>50</v>
      </c>
      <c r="L333" s="4">
        <v>50.5</v>
      </c>
      <c r="M333" s="4">
        <f t="shared" si="114"/>
        <v>0.5</v>
      </c>
      <c r="N333" s="5">
        <v>0.18</v>
      </c>
      <c r="O333" s="5">
        <f t="shared" si="108"/>
        <v>0.82000000000000006</v>
      </c>
      <c r="P333" s="31">
        <f t="shared" si="115"/>
        <v>0.09</v>
      </c>
      <c r="Q333" s="31">
        <f t="shared" si="110"/>
        <v>0.09</v>
      </c>
      <c r="R333" s="31">
        <v>4.5</v>
      </c>
      <c r="S333" s="31">
        <v>20</v>
      </c>
      <c r="T333" s="31">
        <v>0.1</v>
      </c>
      <c r="U333" s="31">
        <v>0</v>
      </c>
      <c r="V333" s="65">
        <f t="shared" si="123"/>
        <v>0</v>
      </c>
      <c r="W333" s="31">
        <v>10</v>
      </c>
      <c r="X333" s="31"/>
      <c r="Y333" s="31">
        <f t="shared" si="90"/>
        <v>10</v>
      </c>
      <c r="Z333" s="31">
        <f t="shared" si="109"/>
        <v>10</v>
      </c>
      <c r="AA333" s="18">
        <v>0</v>
      </c>
      <c r="AB333" s="18" t="s">
        <v>330</v>
      </c>
      <c r="AC333" s="18" t="s">
        <v>333</v>
      </c>
      <c r="AD333" s="18" t="s">
        <v>337</v>
      </c>
      <c r="AE333" s="18">
        <v>20</v>
      </c>
      <c r="AF333" s="18">
        <v>4.5</v>
      </c>
      <c r="AG333" s="18" t="s">
        <v>29</v>
      </c>
      <c r="AH333" s="18" t="s">
        <v>29</v>
      </c>
      <c r="AI333" s="18" t="str">
        <f>+VLOOKUP(AH333,Leyenda!$O$4:$U$10,6,FALSE)</f>
        <v>0,25-0,35</v>
      </c>
      <c r="AJ333" s="18" t="str">
        <f>+VLOOKUP(AG333,Leyenda!$O$4:$U$10,7,FALSE)</f>
        <v>No Blasting need</v>
      </c>
      <c r="AK333" s="18">
        <f>+VLOOKUP(AJ333,Leyenda!$U$4:$V$10,2,FALSE)</f>
        <v>2</v>
      </c>
      <c r="AL333" s="18" t="s">
        <v>29</v>
      </c>
      <c r="AM333" s="18" t="s">
        <v>29</v>
      </c>
      <c r="AN333" s="18" t="s">
        <v>66</v>
      </c>
      <c r="AO333" s="18" t="s">
        <v>79</v>
      </c>
      <c r="AP333" s="18" t="s">
        <v>96</v>
      </c>
      <c r="AQ333" s="18" t="s">
        <v>107</v>
      </c>
      <c r="AR333" s="18" t="s">
        <v>118</v>
      </c>
      <c r="AS333" s="18" t="s">
        <v>198</v>
      </c>
      <c r="AT333" s="18" t="s">
        <v>235</v>
      </c>
      <c r="AU333" s="18"/>
      <c r="AV333" s="18">
        <f>+VLOOKUP(AN333,Leyenda!$B$30:$E$34,3,FALSE)</f>
        <v>1</v>
      </c>
      <c r="AW333" s="18">
        <f>+VLOOKUP('2. Logging Brejo Seco'!AO333,Meteorizacion,3,FALSE)</f>
        <v>1</v>
      </c>
      <c r="AX333" s="18">
        <f>+VLOOKUP('2. Logging Brejo Seco'!AP333,Apertura,3,FALSE)</f>
        <v>1</v>
      </c>
      <c r="AY333" s="18">
        <f>+VLOOKUP('2. Logging Brejo Seco'!AQ333,Leyenda!$B$55:$D$59,3,FALSE)</f>
        <v>3</v>
      </c>
      <c r="AZ333" s="18">
        <f>+VLOOKUP('2. Logging Brejo Seco'!AR333,Relleno,3,FALSE)</f>
        <v>2</v>
      </c>
      <c r="BA333" s="18">
        <f t="shared" si="124"/>
        <v>8</v>
      </c>
      <c r="BB333" s="49">
        <f t="shared" si="111"/>
        <v>0</v>
      </c>
      <c r="BC333" s="49">
        <f>VLOOKUP(AH333,Leyenda!$B$4:$D$10,3,FALSE)</f>
        <v>2</v>
      </c>
      <c r="BD333" s="50">
        <f t="shared" si="116"/>
        <v>3</v>
      </c>
      <c r="BE333" s="49">
        <f t="shared" si="117"/>
        <v>8</v>
      </c>
      <c r="BF333" s="49">
        <v>10</v>
      </c>
      <c r="BG333" s="67">
        <f t="shared" si="112"/>
        <v>12</v>
      </c>
      <c r="BH333" s="67">
        <f>VLOOKUP(AM333,Leyenda!$B$4:$E$10,4,FALSE)</f>
        <v>2</v>
      </c>
      <c r="BI333" s="67">
        <f t="shared" si="118"/>
        <v>5</v>
      </c>
      <c r="BJ333" s="67">
        <f t="shared" si="113"/>
        <v>0</v>
      </c>
      <c r="BK333" s="67">
        <f>+VLOOKUP('2. Logging Brejo Seco'!AP333,Leyenda!$B$47:$E$51,4,FALSE)</f>
        <v>1</v>
      </c>
      <c r="BL333" s="67">
        <f>+VLOOKUP('2. Logging Brejo Seco'!AQ333,Leyenda!$B$55:$E$59,4,FALSE)</f>
        <v>3</v>
      </c>
      <c r="BM333" s="67">
        <f>+VLOOKUP('2. Logging Brejo Seco'!AR333,Leyenda!$B$63:$E$67,3,FALSE)</f>
        <v>2</v>
      </c>
      <c r="BN333" s="67">
        <f>+VLOOKUP('2. Logging Brejo Seco'!AO333,Leyenda!$B$39:$E$43,4,FALSE)</f>
        <v>1</v>
      </c>
      <c r="BO333" s="67">
        <f>+VLOOKUP('2. Logging Brejo Seco'!AN333,Leyenda!$B$30:$E$34,4,FALSE)</f>
        <v>1</v>
      </c>
      <c r="BP333" s="67">
        <f>VLOOKUP(AS333,Leyenda!$B$71:$E$75,4,FALSE)</f>
        <v>10</v>
      </c>
      <c r="BQ333" s="125">
        <f t="shared" si="119"/>
        <v>25</v>
      </c>
      <c r="BR333" s="85">
        <f t="shared" si="120"/>
        <v>23</v>
      </c>
      <c r="BS333" s="240">
        <f t="shared" si="121"/>
        <v>0.82000000000000006</v>
      </c>
      <c r="BT333" s="18" t="s">
        <v>752</v>
      </c>
    </row>
    <row r="334" spans="1:72" x14ac:dyDescent="0.25">
      <c r="A334" s="18" t="s">
        <v>6</v>
      </c>
      <c r="B334" s="18">
        <v>2024</v>
      </c>
      <c r="C334" s="18" t="s">
        <v>138</v>
      </c>
      <c r="D334" s="18" t="s">
        <v>130</v>
      </c>
      <c r="E334" s="18">
        <v>20</v>
      </c>
      <c r="F334" s="18">
        <v>30</v>
      </c>
      <c r="G334" s="18" t="s">
        <v>156</v>
      </c>
      <c r="H334" s="248">
        <f t="shared" si="122"/>
        <v>30</v>
      </c>
      <c r="I334" s="135"/>
      <c r="J334" s="18" t="s">
        <v>185</v>
      </c>
      <c r="K334" s="4">
        <f t="shared" si="107"/>
        <v>50.5</v>
      </c>
      <c r="L334" s="4">
        <v>51</v>
      </c>
      <c r="M334" s="4">
        <f t="shared" si="114"/>
        <v>0.5</v>
      </c>
      <c r="N334" s="5">
        <v>0.26</v>
      </c>
      <c r="O334" s="5">
        <f t="shared" si="108"/>
        <v>0.74</v>
      </c>
      <c r="P334" s="31">
        <f t="shared" si="115"/>
        <v>0.13</v>
      </c>
      <c r="Q334" s="31">
        <f t="shared" si="110"/>
        <v>0.13</v>
      </c>
      <c r="R334" s="31">
        <v>6.5</v>
      </c>
      <c r="S334" s="31">
        <v>20</v>
      </c>
      <c r="T334" s="31">
        <v>0.12</v>
      </c>
      <c r="U334" s="31">
        <v>0</v>
      </c>
      <c r="V334" s="65">
        <f t="shared" si="123"/>
        <v>0</v>
      </c>
      <c r="W334" s="31">
        <v>10</v>
      </c>
      <c r="X334" s="31"/>
      <c r="Y334" s="31">
        <f t="shared" si="90"/>
        <v>10</v>
      </c>
      <c r="Z334" s="31">
        <f t="shared" si="109"/>
        <v>12</v>
      </c>
      <c r="AA334" s="18">
        <v>0</v>
      </c>
      <c r="AB334" s="18" t="s">
        <v>330</v>
      </c>
      <c r="AC334" s="18" t="s">
        <v>333</v>
      </c>
      <c r="AD334" s="18" t="s">
        <v>337</v>
      </c>
      <c r="AE334" s="18">
        <v>20</v>
      </c>
      <c r="AF334" s="18">
        <v>6.5</v>
      </c>
      <c r="AG334" s="18" t="s">
        <v>29</v>
      </c>
      <c r="AH334" s="18" t="s">
        <v>29</v>
      </c>
      <c r="AI334" s="18" t="str">
        <f>+VLOOKUP(AH334,Leyenda!$O$4:$U$10,6,FALSE)</f>
        <v>0,25-0,35</v>
      </c>
      <c r="AJ334" s="18" t="str">
        <f>+VLOOKUP(AG334,Leyenda!$O$4:$U$10,7,FALSE)</f>
        <v>No Blasting need</v>
      </c>
      <c r="AK334" s="18">
        <f>+VLOOKUP(AJ334,Leyenda!$U$4:$V$10,2,FALSE)</f>
        <v>2</v>
      </c>
      <c r="AL334" s="18" t="s">
        <v>29</v>
      </c>
      <c r="AM334" s="18" t="s">
        <v>29</v>
      </c>
      <c r="AN334" s="18" t="s">
        <v>66</v>
      </c>
      <c r="AO334" s="18" t="s">
        <v>79</v>
      </c>
      <c r="AP334" s="18" t="s">
        <v>96</v>
      </c>
      <c r="AQ334" s="18" t="s">
        <v>107</v>
      </c>
      <c r="AR334" s="18" t="s">
        <v>118</v>
      </c>
      <c r="AS334" s="18" t="s">
        <v>198</v>
      </c>
      <c r="AT334" s="18" t="s">
        <v>235</v>
      </c>
      <c r="AU334" s="18"/>
      <c r="AV334" s="18">
        <f>+VLOOKUP(AN334,Leyenda!$B$30:$E$34,3,FALSE)</f>
        <v>1</v>
      </c>
      <c r="AW334" s="18">
        <f>+VLOOKUP('2. Logging Brejo Seco'!AO334,Meteorizacion,3,FALSE)</f>
        <v>1</v>
      </c>
      <c r="AX334" s="18">
        <f>+VLOOKUP('2. Logging Brejo Seco'!AP334,Apertura,3,FALSE)</f>
        <v>1</v>
      </c>
      <c r="AY334" s="18">
        <f>+VLOOKUP('2. Logging Brejo Seco'!AQ334,Leyenda!$B$55:$D$59,3,FALSE)</f>
        <v>3</v>
      </c>
      <c r="AZ334" s="18">
        <f>+VLOOKUP('2. Logging Brejo Seco'!AR334,Relleno,3,FALSE)</f>
        <v>2</v>
      </c>
      <c r="BA334" s="18">
        <f t="shared" si="124"/>
        <v>8</v>
      </c>
      <c r="BB334" s="49">
        <f t="shared" si="111"/>
        <v>0</v>
      </c>
      <c r="BC334" s="49">
        <f>VLOOKUP(AH334,Leyenda!$B$4:$D$10,3,FALSE)</f>
        <v>2</v>
      </c>
      <c r="BD334" s="50">
        <f t="shared" si="116"/>
        <v>4</v>
      </c>
      <c r="BE334" s="49">
        <f t="shared" si="117"/>
        <v>8</v>
      </c>
      <c r="BF334" s="49">
        <v>10</v>
      </c>
      <c r="BG334" s="67">
        <f t="shared" si="112"/>
        <v>12</v>
      </c>
      <c r="BH334" s="67">
        <f>VLOOKUP(AM334,Leyenda!$B$4:$E$10,4,FALSE)</f>
        <v>2</v>
      </c>
      <c r="BI334" s="67">
        <f t="shared" si="118"/>
        <v>5</v>
      </c>
      <c r="BJ334" s="67">
        <f t="shared" si="113"/>
        <v>0</v>
      </c>
      <c r="BK334" s="67">
        <f>+VLOOKUP('2. Logging Brejo Seco'!AP334,Leyenda!$B$47:$E$51,4,FALSE)</f>
        <v>1</v>
      </c>
      <c r="BL334" s="67">
        <f>+VLOOKUP('2. Logging Brejo Seco'!AQ334,Leyenda!$B$55:$E$59,4,FALSE)</f>
        <v>3</v>
      </c>
      <c r="BM334" s="67">
        <f>+VLOOKUP('2. Logging Brejo Seco'!AR334,Leyenda!$B$63:$E$67,3,FALSE)</f>
        <v>2</v>
      </c>
      <c r="BN334" s="67">
        <f>+VLOOKUP('2. Logging Brejo Seco'!AO334,Leyenda!$B$39:$E$43,4,FALSE)</f>
        <v>1</v>
      </c>
      <c r="BO334" s="67">
        <f>+VLOOKUP('2. Logging Brejo Seco'!AN334,Leyenda!$B$30:$E$34,4,FALSE)</f>
        <v>1</v>
      </c>
      <c r="BP334" s="67">
        <f>VLOOKUP(AS334,Leyenda!$B$71:$E$75,4,FALSE)</f>
        <v>10</v>
      </c>
      <c r="BQ334" s="125">
        <f t="shared" si="119"/>
        <v>25</v>
      </c>
      <c r="BR334" s="85">
        <f t="shared" si="120"/>
        <v>24</v>
      </c>
      <c r="BS334" s="240">
        <f t="shared" si="121"/>
        <v>0.74</v>
      </c>
      <c r="BT334" s="18" t="s">
        <v>752</v>
      </c>
    </row>
    <row r="335" spans="1:72" x14ac:dyDescent="0.25">
      <c r="A335" s="18" t="s">
        <v>6</v>
      </c>
      <c r="B335" s="18">
        <v>2024</v>
      </c>
      <c r="C335" s="18" t="s">
        <v>138</v>
      </c>
      <c r="D335" s="18" t="s">
        <v>130</v>
      </c>
      <c r="E335" s="18">
        <v>20</v>
      </c>
      <c r="F335" s="18">
        <v>30</v>
      </c>
      <c r="G335" s="18" t="s">
        <v>156</v>
      </c>
      <c r="H335" s="248">
        <f t="shared" si="122"/>
        <v>30</v>
      </c>
      <c r="I335" s="135"/>
      <c r="J335" s="18" t="s">
        <v>185</v>
      </c>
      <c r="K335" s="4">
        <f t="shared" si="107"/>
        <v>51</v>
      </c>
      <c r="L335" s="4">
        <v>51.5</v>
      </c>
      <c r="M335" s="4">
        <f t="shared" si="114"/>
        <v>0.5</v>
      </c>
      <c r="N335" s="5">
        <v>0.16</v>
      </c>
      <c r="O335" s="5">
        <f t="shared" si="108"/>
        <v>0.84</v>
      </c>
      <c r="P335" s="31">
        <f t="shared" si="115"/>
        <v>0.08</v>
      </c>
      <c r="Q335" s="31">
        <f t="shared" si="110"/>
        <v>0.08</v>
      </c>
      <c r="R335" s="31">
        <v>4</v>
      </c>
      <c r="S335" s="31">
        <v>20</v>
      </c>
      <c r="T335" s="31">
        <v>0.06</v>
      </c>
      <c r="U335" s="31">
        <v>0</v>
      </c>
      <c r="V335" s="65">
        <f t="shared" si="123"/>
        <v>0</v>
      </c>
      <c r="W335" s="31">
        <v>10</v>
      </c>
      <c r="X335" s="31"/>
      <c r="Y335" s="31">
        <f t="shared" si="90"/>
        <v>10</v>
      </c>
      <c r="Z335" s="31">
        <f t="shared" si="109"/>
        <v>6</v>
      </c>
      <c r="AA335" s="18">
        <v>0</v>
      </c>
      <c r="AB335" s="18" t="s">
        <v>330</v>
      </c>
      <c r="AC335" s="18" t="s">
        <v>333</v>
      </c>
      <c r="AD335" s="18" t="s">
        <v>337</v>
      </c>
      <c r="AE335" s="18">
        <v>20</v>
      </c>
      <c r="AF335" s="18">
        <v>4</v>
      </c>
      <c r="AG335" s="18" t="s">
        <v>29</v>
      </c>
      <c r="AH335" s="18" t="s">
        <v>29</v>
      </c>
      <c r="AI335" s="18" t="str">
        <f>+VLOOKUP(AH335,Leyenda!$O$4:$U$10,6,FALSE)</f>
        <v>0,25-0,35</v>
      </c>
      <c r="AJ335" s="18" t="str">
        <f>+VLOOKUP(AG335,Leyenda!$O$4:$U$10,7,FALSE)</f>
        <v>No Blasting need</v>
      </c>
      <c r="AK335" s="18">
        <f>+VLOOKUP(AJ335,Leyenda!$U$4:$V$10,2,FALSE)</f>
        <v>2</v>
      </c>
      <c r="AL335" s="18" t="s">
        <v>29</v>
      </c>
      <c r="AM335" s="18" t="s">
        <v>29</v>
      </c>
      <c r="AN335" s="18" t="s">
        <v>66</v>
      </c>
      <c r="AO335" s="18" t="s">
        <v>79</v>
      </c>
      <c r="AP335" s="18" t="s">
        <v>96</v>
      </c>
      <c r="AQ335" s="18" t="s">
        <v>107</v>
      </c>
      <c r="AR335" s="18" t="s">
        <v>118</v>
      </c>
      <c r="AS335" s="18" t="s">
        <v>198</v>
      </c>
      <c r="AT335" s="18" t="s">
        <v>235</v>
      </c>
      <c r="AU335" s="18"/>
      <c r="AV335" s="18">
        <f>+VLOOKUP(AN335,Leyenda!$B$30:$E$34,3,FALSE)</f>
        <v>1</v>
      </c>
      <c r="AW335" s="18">
        <f>+VLOOKUP('2. Logging Brejo Seco'!AO335,Meteorizacion,3,FALSE)</f>
        <v>1</v>
      </c>
      <c r="AX335" s="18">
        <f>+VLOOKUP('2. Logging Brejo Seco'!AP335,Apertura,3,FALSE)</f>
        <v>1</v>
      </c>
      <c r="AY335" s="18">
        <f>+VLOOKUP('2. Logging Brejo Seco'!AQ335,Leyenda!$B$55:$D$59,3,FALSE)</f>
        <v>3</v>
      </c>
      <c r="AZ335" s="18">
        <f>+VLOOKUP('2. Logging Brejo Seco'!AR335,Relleno,3,FALSE)</f>
        <v>2</v>
      </c>
      <c r="BA335" s="18">
        <f t="shared" si="124"/>
        <v>8</v>
      </c>
      <c r="BB335" s="49">
        <f t="shared" si="111"/>
        <v>0</v>
      </c>
      <c r="BC335" s="49">
        <f>VLOOKUP(AH335,Leyenda!$B$4:$D$10,3,FALSE)</f>
        <v>2</v>
      </c>
      <c r="BD335" s="50">
        <f t="shared" si="116"/>
        <v>3</v>
      </c>
      <c r="BE335" s="49">
        <f t="shared" si="117"/>
        <v>8</v>
      </c>
      <c r="BF335" s="49">
        <v>10</v>
      </c>
      <c r="BG335" s="67">
        <f t="shared" si="112"/>
        <v>12</v>
      </c>
      <c r="BH335" s="67">
        <f>VLOOKUP(AM335,Leyenda!$B$4:$E$10,4,FALSE)</f>
        <v>2</v>
      </c>
      <c r="BI335" s="67">
        <f t="shared" si="118"/>
        <v>5</v>
      </c>
      <c r="BJ335" s="67">
        <f t="shared" si="113"/>
        <v>0</v>
      </c>
      <c r="BK335" s="67">
        <f>+VLOOKUP('2. Logging Brejo Seco'!AP335,Leyenda!$B$47:$E$51,4,FALSE)</f>
        <v>1</v>
      </c>
      <c r="BL335" s="67">
        <f>+VLOOKUP('2. Logging Brejo Seco'!AQ335,Leyenda!$B$55:$E$59,4,FALSE)</f>
        <v>3</v>
      </c>
      <c r="BM335" s="67">
        <f>+VLOOKUP('2. Logging Brejo Seco'!AR335,Leyenda!$B$63:$E$67,3,FALSE)</f>
        <v>2</v>
      </c>
      <c r="BN335" s="67">
        <f>+VLOOKUP('2. Logging Brejo Seco'!AO335,Leyenda!$B$39:$E$43,4,FALSE)</f>
        <v>1</v>
      </c>
      <c r="BO335" s="67">
        <f>+VLOOKUP('2. Logging Brejo Seco'!AN335,Leyenda!$B$30:$E$34,4,FALSE)</f>
        <v>1</v>
      </c>
      <c r="BP335" s="67">
        <f>VLOOKUP(AS335,Leyenda!$B$71:$E$75,4,FALSE)</f>
        <v>10</v>
      </c>
      <c r="BQ335" s="125">
        <f t="shared" si="119"/>
        <v>25</v>
      </c>
      <c r="BR335" s="85">
        <f t="shared" si="120"/>
        <v>23</v>
      </c>
      <c r="BS335" s="240">
        <f t="shared" si="121"/>
        <v>0.84</v>
      </c>
      <c r="BT335" s="18" t="s">
        <v>752</v>
      </c>
    </row>
    <row r="336" spans="1:72" x14ac:dyDescent="0.25">
      <c r="A336" s="18" t="s">
        <v>6</v>
      </c>
      <c r="B336" s="18">
        <v>2024</v>
      </c>
      <c r="C336" s="18" t="s">
        <v>138</v>
      </c>
      <c r="D336" s="18" t="s">
        <v>130</v>
      </c>
      <c r="E336" s="18">
        <v>20</v>
      </c>
      <c r="F336" s="18">
        <v>30</v>
      </c>
      <c r="G336" s="18" t="s">
        <v>156</v>
      </c>
      <c r="H336" s="248">
        <f t="shared" si="122"/>
        <v>30</v>
      </c>
      <c r="I336" s="135"/>
      <c r="J336" s="18" t="s">
        <v>185</v>
      </c>
      <c r="K336" s="4">
        <f t="shared" si="107"/>
        <v>51.5</v>
      </c>
      <c r="L336" s="4">
        <v>52</v>
      </c>
      <c r="M336" s="4">
        <f t="shared" si="114"/>
        <v>0.5</v>
      </c>
      <c r="N336" s="5">
        <v>0.62</v>
      </c>
      <c r="O336" s="5">
        <f t="shared" si="108"/>
        <v>0.38</v>
      </c>
      <c r="P336" s="31">
        <f t="shared" si="115"/>
        <v>0.31</v>
      </c>
      <c r="Q336" s="31">
        <f t="shared" si="110"/>
        <v>0.31</v>
      </c>
      <c r="R336" s="31">
        <v>15.5</v>
      </c>
      <c r="S336" s="31">
        <v>20</v>
      </c>
      <c r="T336" s="31">
        <v>0.28999999999999998</v>
      </c>
      <c r="U336" s="31">
        <v>0</v>
      </c>
      <c r="V336" s="65">
        <f t="shared" si="123"/>
        <v>0</v>
      </c>
      <c r="W336" s="31">
        <v>10</v>
      </c>
      <c r="X336" s="31"/>
      <c r="Y336" s="31">
        <f t="shared" si="90"/>
        <v>10</v>
      </c>
      <c r="Z336" s="31">
        <f t="shared" si="109"/>
        <v>29</v>
      </c>
      <c r="AA336" s="18">
        <v>0</v>
      </c>
      <c r="AB336" s="18" t="s">
        <v>330</v>
      </c>
      <c r="AC336" s="18" t="s">
        <v>333</v>
      </c>
      <c r="AD336" s="18" t="s">
        <v>337</v>
      </c>
      <c r="AE336" s="18">
        <v>20</v>
      </c>
      <c r="AF336" s="18">
        <v>15.5</v>
      </c>
      <c r="AG336" s="18" t="s">
        <v>29</v>
      </c>
      <c r="AH336" s="18" t="s">
        <v>29</v>
      </c>
      <c r="AI336" s="18" t="str">
        <f>+VLOOKUP(AH336,Leyenda!$O$4:$U$10,6,FALSE)</f>
        <v>0,25-0,35</v>
      </c>
      <c r="AJ336" s="18" t="str">
        <f>+VLOOKUP(AG336,Leyenda!$O$4:$U$10,7,FALSE)</f>
        <v>No Blasting need</v>
      </c>
      <c r="AK336" s="18">
        <f>+VLOOKUP(AJ336,Leyenda!$U$4:$V$10,2,FALSE)</f>
        <v>2</v>
      </c>
      <c r="AL336" s="18" t="s">
        <v>29</v>
      </c>
      <c r="AM336" s="18" t="s">
        <v>29</v>
      </c>
      <c r="AN336" s="18" t="s">
        <v>66</v>
      </c>
      <c r="AO336" s="18" t="s">
        <v>79</v>
      </c>
      <c r="AP336" s="18" t="s">
        <v>96</v>
      </c>
      <c r="AQ336" s="18" t="s">
        <v>107</v>
      </c>
      <c r="AR336" s="18" t="s">
        <v>118</v>
      </c>
      <c r="AS336" s="18" t="s">
        <v>198</v>
      </c>
      <c r="AT336" s="18" t="s">
        <v>235</v>
      </c>
      <c r="AU336" s="18"/>
      <c r="AV336" s="18">
        <f>+VLOOKUP(AN336,Leyenda!$B$30:$E$34,3,FALSE)</f>
        <v>1</v>
      </c>
      <c r="AW336" s="18">
        <f>+VLOOKUP('2. Logging Brejo Seco'!AO336,Meteorizacion,3,FALSE)</f>
        <v>1</v>
      </c>
      <c r="AX336" s="18">
        <f>+VLOOKUP('2. Logging Brejo Seco'!AP336,Apertura,3,FALSE)</f>
        <v>1</v>
      </c>
      <c r="AY336" s="18">
        <f>+VLOOKUP('2. Logging Brejo Seco'!AQ336,Leyenda!$B$55:$D$59,3,FALSE)</f>
        <v>3</v>
      </c>
      <c r="AZ336" s="18">
        <f>+VLOOKUP('2. Logging Brejo Seco'!AR336,Relleno,3,FALSE)</f>
        <v>2</v>
      </c>
      <c r="BA336" s="18">
        <f t="shared" si="124"/>
        <v>8</v>
      </c>
      <c r="BB336" s="49">
        <f t="shared" si="111"/>
        <v>0</v>
      </c>
      <c r="BC336" s="49">
        <f>VLOOKUP(AH336,Leyenda!$B$4:$D$10,3,FALSE)</f>
        <v>2</v>
      </c>
      <c r="BD336" s="50">
        <f t="shared" si="116"/>
        <v>5</v>
      </c>
      <c r="BE336" s="49">
        <f t="shared" si="117"/>
        <v>8</v>
      </c>
      <c r="BF336" s="49">
        <v>10</v>
      </c>
      <c r="BG336" s="67">
        <f t="shared" si="112"/>
        <v>12</v>
      </c>
      <c r="BH336" s="67">
        <f>VLOOKUP(AM336,Leyenda!$B$4:$E$10,4,FALSE)</f>
        <v>2</v>
      </c>
      <c r="BI336" s="67">
        <f t="shared" si="118"/>
        <v>5</v>
      </c>
      <c r="BJ336" s="67">
        <f t="shared" si="113"/>
        <v>0</v>
      </c>
      <c r="BK336" s="67">
        <f>+VLOOKUP('2. Logging Brejo Seco'!AP336,Leyenda!$B$47:$E$51,4,FALSE)</f>
        <v>1</v>
      </c>
      <c r="BL336" s="67">
        <f>+VLOOKUP('2. Logging Brejo Seco'!AQ336,Leyenda!$B$55:$E$59,4,FALSE)</f>
        <v>3</v>
      </c>
      <c r="BM336" s="67">
        <f>+VLOOKUP('2. Logging Brejo Seco'!AR336,Leyenda!$B$63:$E$67,3,FALSE)</f>
        <v>2</v>
      </c>
      <c r="BN336" s="67">
        <f>+VLOOKUP('2. Logging Brejo Seco'!AO336,Leyenda!$B$39:$E$43,4,FALSE)</f>
        <v>1</v>
      </c>
      <c r="BO336" s="67">
        <f>+VLOOKUP('2. Logging Brejo Seco'!AN336,Leyenda!$B$30:$E$34,4,FALSE)</f>
        <v>1</v>
      </c>
      <c r="BP336" s="67">
        <f>VLOOKUP(AS336,Leyenda!$B$71:$E$75,4,FALSE)</f>
        <v>10</v>
      </c>
      <c r="BQ336" s="125">
        <f t="shared" si="119"/>
        <v>25</v>
      </c>
      <c r="BR336" s="85">
        <f t="shared" si="120"/>
        <v>25</v>
      </c>
      <c r="BS336" s="240">
        <f t="shared" si="121"/>
        <v>0.38</v>
      </c>
      <c r="BT336" s="18" t="s">
        <v>752</v>
      </c>
    </row>
    <row r="337" spans="1:72" x14ac:dyDescent="0.25">
      <c r="A337" s="18" t="s">
        <v>6</v>
      </c>
      <c r="B337" s="18">
        <v>2024</v>
      </c>
      <c r="C337" s="18" t="s">
        <v>138</v>
      </c>
      <c r="D337" s="18" t="s">
        <v>130</v>
      </c>
      <c r="E337" s="18">
        <v>20</v>
      </c>
      <c r="F337" s="18">
        <v>30</v>
      </c>
      <c r="G337" s="18" t="s">
        <v>156</v>
      </c>
      <c r="H337" s="248">
        <f t="shared" si="122"/>
        <v>30</v>
      </c>
      <c r="I337" s="135"/>
      <c r="J337" s="18" t="s">
        <v>185</v>
      </c>
      <c r="K337" s="4">
        <f t="shared" si="107"/>
        <v>52</v>
      </c>
      <c r="L337" s="4">
        <v>52.5</v>
      </c>
      <c r="M337" s="4">
        <f t="shared" si="114"/>
        <v>0.5</v>
      </c>
      <c r="N337" s="5">
        <v>0.57999999999999996</v>
      </c>
      <c r="O337" s="5">
        <f t="shared" si="108"/>
        <v>0.42000000000000004</v>
      </c>
      <c r="P337" s="31">
        <f t="shared" si="115"/>
        <v>0.28999999999999998</v>
      </c>
      <c r="Q337" s="31">
        <f t="shared" si="110"/>
        <v>0.28999999999999998</v>
      </c>
      <c r="R337" s="31">
        <v>14.5</v>
      </c>
      <c r="S337" s="31">
        <v>20</v>
      </c>
      <c r="T337" s="31">
        <v>0.22</v>
      </c>
      <c r="U337" s="31">
        <v>0</v>
      </c>
      <c r="V337" s="65">
        <f t="shared" si="123"/>
        <v>0</v>
      </c>
      <c r="W337" s="31">
        <v>10</v>
      </c>
      <c r="X337" s="31"/>
      <c r="Y337" s="31">
        <f t="shared" si="90"/>
        <v>10</v>
      </c>
      <c r="Z337" s="31">
        <f t="shared" si="109"/>
        <v>22</v>
      </c>
      <c r="AA337" s="18">
        <v>0</v>
      </c>
      <c r="AB337" s="18" t="s">
        <v>330</v>
      </c>
      <c r="AC337" s="18" t="s">
        <v>333</v>
      </c>
      <c r="AD337" s="18" t="s">
        <v>337</v>
      </c>
      <c r="AE337" s="18">
        <v>20</v>
      </c>
      <c r="AF337" s="18">
        <v>14.5</v>
      </c>
      <c r="AG337" s="18" t="s">
        <v>29</v>
      </c>
      <c r="AH337" s="18" t="s">
        <v>29</v>
      </c>
      <c r="AI337" s="18" t="str">
        <f>+VLOOKUP(AH337,Leyenda!$O$4:$U$10,6,FALSE)</f>
        <v>0,25-0,35</v>
      </c>
      <c r="AJ337" s="18" t="str">
        <f>+VLOOKUP(AG337,Leyenda!$O$4:$U$10,7,FALSE)</f>
        <v>No Blasting need</v>
      </c>
      <c r="AK337" s="18">
        <f>+VLOOKUP(AJ337,Leyenda!$U$4:$V$10,2,FALSE)</f>
        <v>2</v>
      </c>
      <c r="AL337" s="18" t="s">
        <v>29</v>
      </c>
      <c r="AM337" s="18" t="s">
        <v>29</v>
      </c>
      <c r="AN337" s="18" t="s">
        <v>66</v>
      </c>
      <c r="AO337" s="18" t="s">
        <v>79</v>
      </c>
      <c r="AP337" s="18" t="s">
        <v>96</v>
      </c>
      <c r="AQ337" s="18" t="s">
        <v>107</v>
      </c>
      <c r="AR337" s="18" t="s">
        <v>118</v>
      </c>
      <c r="AS337" s="18" t="s">
        <v>198</v>
      </c>
      <c r="AT337" s="18" t="s">
        <v>235</v>
      </c>
      <c r="AU337" s="18"/>
      <c r="AV337" s="18">
        <f>+VLOOKUP(AN337,Leyenda!$B$30:$E$34,3,FALSE)</f>
        <v>1</v>
      </c>
      <c r="AW337" s="18">
        <f>+VLOOKUP('2. Logging Brejo Seco'!AO337,Meteorizacion,3,FALSE)</f>
        <v>1</v>
      </c>
      <c r="AX337" s="18">
        <f>+VLOOKUP('2. Logging Brejo Seco'!AP337,Apertura,3,FALSE)</f>
        <v>1</v>
      </c>
      <c r="AY337" s="18">
        <f>+VLOOKUP('2. Logging Brejo Seco'!AQ337,Leyenda!$B$55:$D$59,3,FALSE)</f>
        <v>3</v>
      </c>
      <c r="AZ337" s="18">
        <f>+VLOOKUP('2. Logging Brejo Seco'!AR337,Relleno,3,FALSE)</f>
        <v>2</v>
      </c>
      <c r="BA337" s="18">
        <f t="shared" si="124"/>
        <v>8</v>
      </c>
      <c r="BB337" s="49">
        <f t="shared" si="111"/>
        <v>0</v>
      </c>
      <c r="BC337" s="49">
        <f>VLOOKUP(AH337,Leyenda!$B$4:$D$10,3,FALSE)</f>
        <v>2</v>
      </c>
      <c r="BD337" s="50">
        <f t="shared" si="116"/>
        <v>4</v>
      </c>
      <c r="BE337" s="49">
        <f t="shared" si="117"/>
        <v>8</v>
      </c>
      <c r="BF337" s="49">
        <v>10</v>
      </c>
      <c r="BG337" s="67">
        <f t="shared" si="112"/>
        <v>12</v>
      </c>
      <c r="BH337" s="67">
        <f>VLOOKUP(AM337,Leyenda!$B$4:$E$10,4,FALSE)</f>
        <v>2</v>
      </c>
      <c r="BI337" s="67">
        <f t="shared" si="118"/>
        <v>5</v>
      </c>
      <c r="BJ337" s="67">
        <f t="shared" si="113"/>
        <v>0</v>
      </c>
      <c r="BK337" s="67">
        <f>+VLOOKUP('2. Logging Brejo Seco'!AP337,Leyenda!$B$47:$E$51,4,FALSE)</f>
        <v>1</v>
      </c>
      <c r="BL337" s="67">
        <f>+VLOOKUP('2. Logging Brejo Seco'!AQ337,Leyenda!$B$55:$E$59,4,FALSE)</f>
        <v>3</v>
      </c>
      <c r="BM337" s="67">
        <f>+VLOOKUP('2. Logging Brejo Seco'!AR337,Leyenda!$B$63:$E$67,3,FALSE)</f>
        <v>2</v>
      </c>
      <c r="BN337" s="67">
        <f>+VLOOKUP('2. Logging Brejo Seco'!AO337,Leyenda!$B$39:$E$43,4,FALSE)</f>
        <v>1</v>
      </c>
      <c r="BO337" s="67">
        <f>+VLOOKUP('2. Logging Brejo Seco'!AN337,Leyenda!$B$30:$E$34,4,FALSE)</f>
        <v>1</v>
      </c>
      <c r="BP337" s="67">
        <f>VLOOKUP(AS337,Leyenda!$B$71:$E$75,4,FALSE)</f>
        <v>10</v>
      </c>
      <c r="BQ337" s="125">
        <f t="shared" si="119"/>
        <v>25</v>
      </c>
      <c r="BR337" s="85">
        <f t="shared" si="120"/>
        <v>24</v>
      </c>
      <c r="BS337" s="240">
        <f t="shared" si="121"/>
        <v>0.42000000000000004</v>
      </c>
      <c r="BT337" s="18" t="s">
        <v>752</v>
      </c>
    </row>
    <row r="338" spans="1:72" x14ac:dyDescent="0.25">
      <c r="A338" s="18" t="s">
        <v>6</v>
      </c>
      <c r="B338" s="18">
        <v>2024</v>
      </c>
      <c r="C338" s="18" t="s">
        <v>138</v>
      </c>
      <c r="D338" s="18" t="s">
        <v>130</v>
      </c>
      <c r="E338" s="18">
        <v>20</v>
      </c>
      <c r="F338" s="18">
        <v>30</v>
      </c>
      <c r="G338" s="18" t="s">
        <v>156</v>
      </c>
      <c r="H338" s="248">
        <f t="shared" si="122"/>
        <v>30</v>
      </c>
      <c r="I338" s="135"/>
      <c r="J338" s="18" t="s">
        <v>185</v>
      </c>
      <c r="K338" s="4">
        <f t="shared" si="107"/>
        <v>52.5</v>
      </c>
      <c r="L338" s="4">
        <v>53</v>
      </c>
      <c r="M338" s="4">
        <f t="shared" si="114"/>
        <v>0.5</v>
      </c>
      <c r="N338" s="5">
        <v>0.46</v>
      </c>
      <c r="O338" s="5">
        <f t="shared" si="108"/>
        <v>0.54</v>
      </c>
      <c r="P338" s="31">
        <f t="shared" si="115"/>
        <v>0.23</v>
      </c>
      <c r="Q338" s="31">
        <f t="shared" si="110"/>
        <v>0.23</v>
      </c>
      <c r="R338" s="31">
        <v>11.5</v>
      </c>
      <c r="S338" s="31">
        <v>20</v>
      </c>
      <c r="T338" s="31">
        <v>0.21</v>
      </c>
      <c r="U338" s="31">
        <v>0</v>
      </c>
      <c r="V338" s="65">
        <f t="shared" si="123"/>
        <v>0</v>
      </c>
      <c r="W338" s="31">
        <v>10</v>
      </c>
      <c r="X338" s="31"/>
      <c r="Y338" s="31">
        <f t="shared" si="90"/>
        <v>10</v>
      </c>
      <c r="Z338" s="31">
        <f t="shared" si="109"/>
        <v>21</v>
      </c>
      <c r="AA338" s="18">
        <v>0</v>
      </c>
      <c r="AB338" s="18" t="s">
        <v>330</v>
      </c>
      <c r="AC338" s="18" t="s">
        <v>333</v>
      </c>
      <c r="AD338" s="18" t="s">
        <v>337</v>
      </c>
      <c r="AE338" s="18">
        <v>20</v>
      </c>
      <c r="AF338" s="18">
        <v>11.5</v>
      </c>
      <c r="AG338" s="18" t="s">
        <v>29</v>
      </c>
      <c r="AH338" s="18" t="s">
        <v>29</v>
      </c>
      <c r="AI338" s="18" t="str">
        <f>+VLOOKUP(AH338,Leyenda!$O$4:$U$10,6,FALSE)</f>
        <v>0,25-0,35</v>
      </c>
      <c r="AJ338" s="18" t="str">
        <f>+VLOOKUP(AG338,Leyenda!$O$4:$U$10,7,FALSE)</f>
        <v>No Blasting need</v>
      </c>
      <c r="AK338" s="18">
        <f>+VLOOKUP(AJ338,Leyenda!$U$4:$V$10,2,FALSE)</f>
        <v>2</v>
      </c>
      <c r="AL338" s="18" t="s">
        <v>29</v>
      </c>
      <c r="AM338" s="18" t="s">
        <v>29</v>
      </c>
      <c r="AN338" s="18" t="s">
        <v>66</v>
      </c>
      <c r="AO338" s="18" t="s">
        <v>79</v>
      </c>
      <c r="AP338" s="18" t="s">
        <v>96</v>
      </c>
      <c r="AQ338" s="18" t="s">
        <v>107</v>
      </c>
      <c r="AR338" s="18" t="s">
        <v>118</v>
      </c>
      <c r="AS338" s="18" t="s">
        <v>198</v>
      </c>
      <c r="AT338" s="18" t="s">
        <v>235</v>
      </c>
      <c r="AU338" s="18"/>
      <c r="AV338" s="18">
        <f>+VLOOKUP(AN338,Leyenda!$B$30:$E$34,3,FALSE)</f>
        <v>1</v>
      </c>
      <c r="AW338" s="18">
        <f>+VLOOKUP('2. Logging Brejo Seco'!AO338,Meteorizacion,3,FALSE)</f>
        <v>1</v>
      </c>
      <c r="AX338" s="18">
        <f>+VLOOKUP('2. Logging Brejo Seco'!AP338,Apertura,3,FALSE)</f>
        <v>1</v>
      </c>
      <c r="AY338" s="18">
        <f>+VLOOKUP('2. Logging Brejo Seco'!AQ338,Leyenda!$B$55:$D$59,3,FALSE)</f>
        <v>3</v>
      </c>
      <c r="AZ338" s="18">
        <f>+VLOOKUP('2. Logging Brejo Seco'!AR338,Relleno,3,FALSE)</f>
        <v>2</v>
      </c>
      <c r="BA338" s="18">
        <f t="shared" si="124"/>
        <v>8</v>
      </c>
      <c r="BB338" s="49">
        <f t="shared" si="111"/>
        <v>0</v>
      </c>
      <c r="BC338" s="49">
        <f>VLOOKUP(AH338,Leyenda!$B$4:$D$10,3,FALSE)</f>
        <v>2</v>
      </c>
      <c r="BD338" s="50">
        <f t="shared" si="116"/>
        <v>4</v>
      </c>
      <c r="BE338" s="49">
        <f t="shared" si="117"/>
        <v>8</v>
      </c>
      <c r="BF338" s="49">
        <v>10</v>
      </c>
      <c r="BG338" s="67">
        <f t="shared" si="112"/>
        <v>12</v>
      </c>
      <c r="BH338" s="67">
        <f>VLOOKUP(AM338,Leyenda!$B$4:$E$10,4,FALSE)</f>
        <v>2</v>
      </c>
      <c r="BI338" s="67">
        <f t="shared" si="118"/>
        <v>5</v>
      </c>
      <c r="BJ338" s="67">
        <f t="shared" si="113"/>
        <v>0</v>
      </c>
      <c r="BK338" s="67">
        <f>+VLOOKUP('2. Logging Brejo Seco'!AP338,Leyenda!$B$47:$E$51,4,FALSE)</f>
        <v>1</v>
      </c>
      <c r="BL338" s="67">
        <f>+VLOOKUP('2. Logging Brejo Seco'!AQ338,Leyenda!$B$55:$E$59,4,FALSE)</f>
        <v>3</v>
      </c>
      <c r="BM338" s="67">
        <f>+VLOOKUP('2. Logging Brejo Seco'!AR338,Leyenda!$B$63:$E$67,3,FALSE)</f>
        <v>2</v>
      </c>
      <c r="BN338" s="67">
        <f>+VLOOKUP('2. Logging Brejo Seco'!AO338,Leyenda!$B$39:$E$43,4,FALSE)</f>
        <v>1</v>
      </c>
      <c r="BO338" s="67">
        <f>+VLOOKUP('2. Logging Brejo Seco'!AN338,Leyenda!$B$30:$E$34,4,FALSE)</f>
        <v>1</v>
      </c>
      <c r="BP338" s="67">
        <f>VLOOKUP(AS338,Leyenda!$B$71:$E$75,4,FALSE)</f>
        <v>10</v>
      </c>
      <c r="BQ338" s="125">
        <f t="shared" si="119"/>
        <v>25</v>
      </c>
      <c r="BR338" s="85">
        <f t="shared" si="120"/>
        <v>24</v>
      </c>
      <c r="BS338" s="240">
        <f t="shared" si="121"/>
        <v>0.54</v>
      </c>
      <c r="BT338" s="18" t="s">
        <v>752</v>
      </c>
    </row>
    <row r="339" spans="1:72" x14ac:dyDescent="0.25">
      <c r="A339" s="18" t="s">
        <v>6</v>
      </c>
      <c r="B339" s="18">
        <v>2024</v>
      </c>
      <c r="C339" s="18" t="s">
        <v>138</v>
      </c>
      <c r="D339" s="18" t="s">
        <v>130</v>
      </c>
      <c r="E339" s="18">
        <v>20</v>
      </c>
      <c r="F339" s="18">
        <v>30</v>
      </c>
      <c r="G339" s="18" t="s">
        <v>156</v>
      </c>
      <c r="H339" s="248">
        <f t="shared" si="122"/>
        <v>30</v>
      </c>
      <c r="I339" s="135"/>
      <c r="J339" s="18" t="s">
        <v>185</v>
      </c>
      <c r="K339" s="4">
        <f t="shared" si="107"/>
        <v>53</v>
      </c>
      <c r="L339" s="4">
        <v>53.5</v>
      </c>
      <c r="M339" s="4">
        <f t="shared" si="114"/>
        <v>0.5</v>
      </c>
      <c r="N339" s="5">
        <v>0.18</v>
      </c>
      <c r="O339" s="5">
        <f t="shared" si="108"/>
        <v>0.82000000000000006</v>
      </c>
      <c r="P339" s="31">
        <f t="shared" si="115"/>
        <v>0.09</v>
      </c>
      <c r="Q339" s="31">
        <f t="shared" si="110"/>
        <v>0.09</v>
      </c>
      <c r="R339" s="31">
        <v>4.5</v>
      </c>
      <c r="S339" s="31">
        <v>20</v>
      </c>
      <c r="T339" s="31">
        <v>0.08</v>
      </c>
      <c r="U339" s="31">
        <v>0</v>
      </c>
      <c r="V339" s="65">
        <f t="shared" si="123"/>
        <v>0</v>
      </c>
      <c r="W339" s="31">
        <v>10</v>
      </c>
      <c r="X339" s="31"/>
      <c r="Y339" s="31">
        <f t="shared" si="90"/>
        <v>10</v>
      </c>
      <c r="Z339" s="31">
        <f t="shared" si="109"/>
        <v>8</v>
      </c>
      <c r="AA339" s="18">
        <v>0</v>
      </c>
      <c r="AB339" s="18" t="s">
        <v>330</v>
      </c>
      <c r="AC339" s="18" t="s">
        <v>333</v>
      </c>
      <c r="AD339" s="18" t="s">
        <v>337</v>
      </c>
      <c r="AE339" s="18">
        <v>20</v>
      </c>
      <c r="AF339" s="18">
        <v>4.5</v>
      </c>
      <c r="AG339" s="18" t="s">
        <v>32</v>
      </c>
      <c r="AH339" s="18" t="s">
        <v>32</v>
      </c>
      <c r="AI339" s="18" t="str">
        <f>+VLOOKUP(AH339,Leyenda!$O$4:$U$10,6,FALSE)</f>
        <v>0,15-0,25</v>
      </c>
      <c r="AJ339" s="18" t="str">
        <f>+VLOOKUP(AG339,Leyenda!$O$4:$U$10,7,FALSE)</f>
        <v>No Blasting need</v>
      </c>
      <c r="AK339" s="18">
        <f>+VLOOKUP(AJ339,Leyenda!$U$4:$V$10,2,FALSE)</f>
        <v>2</v>
      </c>
      <c r="AL339" s="18" t="s">
        <v>29</v>
      </c>
      <c r="AM339" s="18" t="s">
        <v>32</v>
      </c>
      <c r="AN339" s="18" t="s">
        <v>66</v>
      </c>
      <c r="AO339" s="18" t="s">
        <v>79</v>
      </c>
      <c r="AP339" s="18" t="s">
        <v>96</v>
      </c>
      <c r="AQ339" s="18" t="s">
        <v>107</v>
      </c>
      <c r="AR339" s="18" t="s">
        <v>118</v>
      </c>
      <c r="AS339" s="18" t="s">
        <v>198</v>
      </c>
      <c r="AT339" s="18" t="s">
        <v>235</v>
      </c>
      <c r="AU339" s="18"/>
      <c r="AV339" s="18">
        <f>+VLOOKUP(AN339,Leyenda!$B$30:$E$34,3,FALSE)</f>
        <v>1</v>
      </c>
      <c r="AW339" s="18">
        <f>+VLOOKUP('2. Logging Brejo Seco'!AO339,Meteorizacion,3,FALSE)</f>
        <v>1</v>
      </c>
      <c r="AX339" s="18">
        <f>+VLOOKUP('2. Logging Brejo Seco'!AP339,Apertura,3,FALSE)</f>
        <v>1</v>
      </c>
      <c r="AY339" s="18">
        <f>+VLOOKUP('2. Logging Brejo Seco'!AQ339,Leyenda!$B$55:$D$59,3,FALSE)</f>
        <v>3</v>
      </c>
      <c r="AZ339" s="18">
        <f>+VLOOKUP('2. Logging Brejo Seco'!AR339,Relleno,3,FALSE)</f>
        <v>2</v>
      </c>
      <c r="BA339" s="18">
        <f t="shared" si="124"/>
        <v>8</v>
      </c>
      <c r="BB339" s="49">
        <f t="shared" si="111"/>
        <v>0</v>
      </c>
      <c r="BC339" s="49">
        <f>VLOOKUP(AH339,Leyenda!$B$4:$D$10,3,FALSE)</f>
        <v>1</v>
      </c>
      <c r="BD339" s="50">
        <f t="shared" si="116"/>
        <v>3</v>
      </c>
      <c r="BE339" s="49">
        <f t="shared" si="117"/>
        <v>8</v>
      </c>
      <c r="BF339" s="49">
        <v>10</v>
      </c>
      <c r="BG339" s="67">
        <f t="shared" si="112"/>
        <v>12</v>
      </c>
      <c r="BH339" s="67">
        <f>VLOOKUP(AM339,Leyenda!$B$4:$E$10,4,FALSE)</f>
        <v>1</v>
      </c>
      <c r="BI339" s="67">
        <f t="shared" si="118"/>
        <v>5</v>
      </c>
      <c r="BJ339" s="67">
        <f t="shared" si="113"/>
        <v>0</v>
      </c>
      <c r="BK339" s="67">
        <f>+VLOOKUP('2. Logging Brejo Seco'!AP339,Leyenda!$B$47:$E$51,4,FALSE)</f>
        <v>1</v>
      </c>
      <c r="BL339" s="67">
        <f>+VLOOKUP('2. Logging Brejo Seco'!AQ339,Leyenda!$B$55:$E$59,4,FALSE)</f>
        <v>3</v>
      </c>
      <c r="BM339" s="67">
        <f>+VLOOKUP('2. Logging Brejo Seco'!AR339,Leyenda!$B$63:$E$67,3,FALSE)</f>
        <v>2</v>
      </c>
      <c r="BN339" s="67">
        <f>+VLOOKUP('2. Logging Brejo Seco'!AO339,Leyenda!$B$39:$E$43,4,FALSE)</f>
        <v>1</v>
      </c>
      <c r="BO339" s="67">
        <f>+VLOOKUP('2. Logging Brejo Seco'!AN339,Leyenda!$B$30:$E$34,4,FALSE)</f>
        <v>1</v>
      </c>
      <c r="BP339" s="67">
        <f>VLOOKUP(AS339,Leyenda!$B$71:$E$75,4,FALSE)</f>
        <v>10</v>
      </c>
      <c r="BQ339" s="125">
        <f t="shared" si="119"/>
        <v>24</v>
      </c>
      <c r="BR339" s="85">
        <f t="shared" si="120"/>
        <v>22</v>
      </c>
      <c r="BS339" s="240">
        <f t="shared" si="121"/>
        <v>0.82000000000000006</v>
      </c>
      <c r="BT339" s="18" t="s">
        <v>752</v>
      </c>
    </row>
    <row r="340" spans="1:72" x14ac:dyDescent="0.25">
      <c r="A340" s="18" t="s">
        <v>6</v>
      </c>
      <c r="B340" s="18">
        <v>2024</v>
      </c>
      <c r="C340" s="18" t="s">
        <v>138</v>
      </c>
      <c r="D340" s="18" t="s">
        <v>130</v>
      </c>
      <c r="E340" s="18">
        <v>20</v>
      </c>
      <c r="F340" s="18">
        <v>30</v>
      </c>
      <c r="G340" s="18" t="s">
        <v>156</v>
      </c>
      <c r="H340" s="248">
        <f t="shared" si="122"/>
        <v>30</v>
      </c>
      <c r="I340" s="135"/>
      <c r="J340" s="18" t="s">
        <v>185</v>
      </c>
      <c r="K340" s="4">
        <f t="shared" si="107"/>
        <v>53.5</v>
      </c>
      <c r="L340" s="4">
        <v>54</v>
      </c>
      <c r="M340" s="4">
        <f t="shared" si="114"/>
        <v>0.5</v>
      </c>
      <c r="N340" s="5">
        <v>0.14000000000000001</v>
      </c>
      <c r="O340" s="5">
        <f t="shared" si="108"/>
        <v>0.86</v>
      </c>
      <c r="P340" s="31">
        <f t="shared" si="115"/>
        <v>7.0000000000000007E-2</v>
      </c>
      <c r="Q340" s="31">
        <f t="shared" si="110"/>
        <v>7.0000000000000007E-2</v>
      </c>
      <c r="R340" s="31">
        <v>3.5</v>
      </c>
      <c r="S340" s="31">
        <v>20</v>
      </c>
      <c r="T340" s="31">
        <v>0.05</v>
      </c>
      <c r="U340" s="31">
        <v>0</v>
      </c>
      <c r="V340" s="65">
        <f t="shared" si="123"/>
        <v>0</v>
      </c>
      <c r="W340" s="31">
        <v>10</v>
      </c>
      <c r="X340" s="31"/>
      <c r="Y340" s="31">
        <f t="shared" si="90"/>
        <v>10</v>
      </c>
      <c r="Z340" s="31">
        <f t="shared" si="109"/>
        <v>5</v>
      </c>
      <c r="AA340" s="18">
        <v>0</v>
      </c>
      <c r="AB340" s="18" t="s">
        <v>330</v>
      </c>
      <c r="AC340" s="18" t="s">
        <v>333</v>
      </c>
      <c r="AD340" s="18" t="s">
        <v>337</v>
      </c>
      <c r="AE340" s="18">
        <v>20</v>
      </c>
      <c r="AF340" s="18">
        <v>3.5</v>
      </c>
      <c r="AG340" s="18" t="s">
        <v>32</v>
      </c>
      <c r="AH340" s="18" t="s">
        <v>32</v>
      </c>
      <c r="AI340" s="18" t="str">
        <f>+VLOOKUP(AH340,Leyenda!$O$4:$U$10,6,FALSE)</f>
        <v>0,15-0,25</v>
      </c>
      <c r="AJ340" s="18" t="str">
        <f>+VLOOKUP(AG340,Leyenda!$O$4:$U$10,7,FALSE)</f>
        <v>No Blasting need</v>
      </c>
      <c r="AK340" s="18">
        <f>+VLOOKUP(AJ340,Leyenda!$U$4:$V$10,2,FALSE)</f>
        <v>2</v>
      </c>
      <c r="AL340" s="18" t="s">
        <v>29</v>
      </c>
      <c r="AM340" s="18" t="s">
        <v>32</v>
      </c>
      <c r="AN340" s="18" t="s">
        <v>66</v>
      </c>
      <c r="AO340" s="18" t="s">
        <v>79</v>
      </c>
      <c r="AP340" s="18" t="s">
        <v>96</v>
      </c>
      <c r="AQ340" s="18" t="s">
        <v>107</v>
      </c>
      <c r="AR340" s="18" t="s">
        <v>118</v>
      </c>
      <c r="AS340" s="18" t="s">
        <v>198</v>
      </c>
      <c r="AT340" s="18" t="s">
        <v>235</v>
      </c>
      <c r="AU340" s="18"/>
      <c r="AV340" s="18">
        <f>+VLOOKUP(AN340,Leyenda!$B$30:$E$34,3,FALSE)</f>
        <v>1</v>
      </c>
      <c r="AW340" s="18">
        <f>+VLOOKUP('2. Logging Brejo Seco'!AO340,Meteorizacion,3,FALSE)</f>
        <v>1</v>
      </c>
      <c r="AX340" s="18">
        <f>+VLOOKUP('2. Logging Brejo Seco'!AP340,Apertura,3,FALSE)</f>
        <v>1</v>
      </c>
      <c r="AY340" s="18">
        <f>+VLOOKUP('2. Logging Brejo Seco'!AQ340,Leyenda!$B$55:$D$59,3,FALSE)</f>
        <v>3</v>
      </c>
      <c r="AZ340" s="18">
        <f>+VLOOKUP('2. Logging Brejo Seco'!AR340,Relleno,3,FALSE)</f>
        <v>2</v>
      </c>
      <c r="BA340" s="18">
        <f t="shared" si="124"/>
        <v>8</v>
      </c>
      <c r="BB340" s="49">
        <f t="shared" si="111"/>
        <v>0</v>
      </c>
      <c r="BC340" s="49">
        <f>VLOOKUP(AH340,Leyenda!$B$4:$D$10,3,FALSE)</f>
        <v>1</v>
      </c>
      <c r="BD340" s="50">
        <f t="shared" si="116"/>
        <v>3</v>
      </c>
      <c r="BE340" s="49">
        <f t="shared" si="117"/>
        <v>8</v>
      </c>
      <c r="BF340" s="49">
        <v>10</v>
      </c>
      <c r="BG340" s="67">
        <f t="shared" si="112"/>
        <v>12</v>
      </c>
      <c r="BH340" s="67">
        <f>VLOOKUP(AM340,Leyenda!$B$4:$E$10,4,FALSE)</f>
        <v>1</v>
      </c>
      <c r="BI340" s="67">
        <f t="shared" si="118"/>
        <v>5</v>
      </c>
      <c r="BJ340" s="67">
        <f t="shared" si="113"/>
        <v>0</v>
      </c>
      <c r="BK340" s="67">
        <f>+VLOOKUP('2. Logging Brejo Seco'!AP340,Leyenda!$B$47:$E$51,4,FALSE)</f>
        <v>1</v>
      </c>
      <c r="BL340" s="67">
        <f>+VLOOKUP('2. Logging Brejo Seco'!AQ340,Leyenda!$B$55:$E$59,4,FALSE)</f>
        <v>3</v>
      </c>
      <c r="BM340" s="67">
        <f>+VLOOKUP('2. Logging Brejo Seco'!AR340,Leyenda!$B$63:$E$67,3,FALSE)</f>
        <v>2</v>
      </c>
      <c r="BN340" s="67">
        <f>+VLOOKUP('2. Logging Brejo Seco'!AO340,Leyenda!$B$39:$E$43,4,FALSE)</f>
        <v>1</v>
      </c>
      <c r="BO340" s="67">
        <f>+VLOOKUP('2. Logging Brejo Seco'!AN340,Leyenda!$B$30:$E$34,4,FALSE)</f>
        <v>1</v>
      </c>
      <c r="BP340" s="67">
        <f>VLOOKUP(AS340,Leyenda!$B$71:$E$75,4,FALSE)</f>
        <v>10</v>
      </c>
      <c r="BQ340" s="125">
        <f t="shared" si="119"/>
        <v>24</v>
      </c>
      <c r="BR340" s="85">
        <f t="shared" si="120"/>
        <v>22</v>
      </c>
      <c r="BS340" s="240">
        <f t="shared" si="121"/>
        <v>0.86</v>
      </c>
      <c r="BT340" s="18" t="s">
        <v>752</v>
      </c>
    </row>
    <row r="341" spans="1:72" x14ac:dyDescent="0.25">
      <c r="A341" s="18" t="s">
        <v>6</v>
      </c>
      <c r="B341" s="18">
        <v>2024</v>
      </c>
      <c r="C341" s="18" t="s">
        <v>138</v>
      </c>
      <c r="D341" s="18" t="s">
        <v>130</v>
      </c>
      <c r="E341" s="18">
        <v>20</v>
      </c>
      <c r="F341" s="18">
        <v>30</v>
      </c>
      <c r="G341" s="18" t="s">
        <v>156</v>
      </c>
      <c r="H341" s="248">
        <f t="shared" si="122"/>
        <v>30</v>
      </c>
      <c r="I341" s="135"/>
      <c r="J341" s="18" t="s">
        <v>185</v>
      </c>
      <c r="K341" s="4">
        <f t="shared" si="107"/>
        <v>54</v>
      </c>
      <c r="L341" s="4">
        <v>54.5</v>
      </c>
      <c r="M341" s="4">
        <f t="shared" si="114"/>
        <v>0.5</v>
      </c>
      <c r="N341" s="5">
        <v>0.18</v>
      </c>
      <c r="O341" s="5">
        <f t="shared" si="108"/>
        <v>0.82000000000000006</v>
      </c>
      <c r="P341" s="31">
        <f t="shared" si="115"/>
        <v>0.09</v>
      </c>
      <c r="Q341" s="31">
        <f t="shared" si="110"/>
        <v>0.09</v>
      </c>
      <c r="R341" s="31">
        <v>4.5</v>
      </c>
      <c r="S341" s="31">
        <v>20</v>
      </c>
      <c r="T341" s="31">
        <v>7.0000000000000007E-2</v>
      </c>
      <c r="U341" s="31">
        <v>0</v>
      </c>
      <c r="V341" s="65">
        <f t="shared" si="123"/>
        <v>0</v>
      </c>
      <c r="W341" s="31">
        <v>10</v>
      </c>
      <c r="X341" s="31"/>
      <c r="Y341" s="31">
        <f t="shared" si="90"/>
        <v>10</v>
      </c>
      <c r="Z341" s="31">
        <f t="shared" si="109"/>
        <v>7</v>
      </c>
      <c r="AA341" s="18">
        <v>0</v>
      </c>
      <c r="AB341" s="18" t="s">
        <v>330</v>
      </c>
      <c r="AC341" s="18" t="s">
        <v>333</v>
      </c>
      <c r="AD341" s="18" t="s">
        <v>337</v>
      </c>
      <c r="AE341" s="18">
        <v>20</v>
      </c>
      <c r="AF341" s="18">
        <v>4.5</v>
      </c>
      <c r="AG341" s="18" t="s">
        <v>32</v>
      </c>
      <c r="AH341" s="18" t="s">
        <v>32</v>
      </c>
      <c r="AI341" s="18" t="str">
        <f>+VLOOKUP(AH341,Leyenda!$O$4:$U$10,6,FALSE)</f>
        <v>0,15-0,25</v>
      </c>
      <c r="AJ341" s="18" t="str">
        <f>+VLOOKUP(AG341,Leyenda!$O$4:$U$10,7,FALSE)</f>
        <v>No Blasting need</v>
      </c>
      <c r="AK341" s="18">
        <f>+VLOOKUP(AJ341,Leyenda!$U$4:$V$10,2,FALSE)</f>
        <v>2</v>
      </c>
      <c r="AL341" s="18" t="s">
        <v>29</v>
      </c>
      <c r="AM341" s="18" t="s">
        <v>32</v>
      </c>
      <c r="AN341" s="18" t="s">
        <v>66</v>
      </c>
      <c r="AO341" s="18" t="s">
        <v>79</v>
      </c>
      <c r="AP341" s="18" t="s">
        <v>96</v>
      </c>
      <c r="AQ341" s="18" t="s">
        <v>107</v>
      </c>
      <c r="AR341" s="18" t="s">
        <v>118</v>
      </c>
      <c r="AS341" s="18" t="s">
        <v>198</v>
      </c>
      <c r="AT341" s="18" t="s">
        <v>235</v>
      </c>
      <c r="AU341" s="18"/>
      <c r="AV341" s="18">
        <f>+VLOOKUP(AN341,Leyenda!$B$30:$E$34,3,FALSE)</f>
        <v>1</v>
      </c>
      <c r="AW341" s="18">
        <f>+VLOOKUP('2. Logging Brejo Seco'!AO341,Meteorizacion,3,FALSE)</f>
        <v>1</v>
      </c>
      <c r="AX341" s="18">
        <f>+VLOOKUP('2. Logging Brejo Seco'!AP341,Apertura,3,FALSE)</f>
        <v>1</v>
      </c>
      <c r="AY341" s="18">
        <f>+VLOOKUP('2. Logging Brejo Seco'!AQ341,Leyenda!$B$55:$D$59,3,FALSE)</f>
        <v>3</v>
      </c>
      <c r="AZ341" s="18">
        <f>+VLOOKUP('2. Logging Brejo Seco'!AR341,Relleno,3,FALSE)</f>
        <v>2</v>
      </c>
      <c r="BA341" s="18">
        <f t="shared" si="124"/>
        <v>8</v>
      </c>
      <c r="BB341" s="49">
        <f t="shared" si="111"/>
        <v>0</v>
      </c>
      <c r="BC341" s="49">
        <f>VLOOKUP(AH341,Leyenda!$B$4:$D$10,3,FALSE)</f>
        <v>1</v>
      </c>
      <c r="BD341" s="50">
        <f t="shared" si="116"/>
        <v>3</v>
      </c>
      <c r="BE341" s="49">
        <f t="shared" si="117"/>
        <v>8</v>
      </c>
      <c r="BF341" s="49">
        <v>10</v>
      </c>
      <c r="BG341" s="67">
        <f t="shared" si="112"/>
        <v>12</v>
      </c>
      <c r="BH341" s="67">
        <f>VLOOKUP(AM341,Leyenda!$B$4:$E$10,4,FALSE)</f>
        <v>1</v>
      </c>
      <c r="BI341" s="67">
        <f t="shared" si="118"/>
        <v>5</v>
      </c>
      <c r="BJ341" s="67">
        <f t="shared" si="113"/>
        <v>0</v>
      </c>
      <c r="BK341" s="67">
        <f>+VLOOKUP('2. Logging Brejo Seco'!AP341,Leyenda!$B$47:$E$51,4,FALSE)</f>
        <v>1</v>
      </c>
      <c r="BL341" s="67">
        <f>+VLOOKUP('2. Logging Brejo Seco'!AQ341,Leyenda!$B$55:$E$59,4,FALSE)</f>
        <v>3</v>
      </c>
      <c r="BM341" s="67">
        <f>+VLOOKUP('2. Logging Brejo Seco'!AR341,Leyenda!$B$63:$E$67,3,FALSE)</f>
        <v>2</v>
      </c>
      <c r="BN341" s="67">
        <f>+VLOOKUP('2. Logging Brejo Seco'!AO341,Leyenda!$B$39:$E$43,4,FALSE)</f>
        <v>1</v>
      </c>
      <c r="BO341" s="67">
        <f>+VLOOKUP('2. Logging Brejo Seco'!AN341,Leyenda!$B$30:$E$34,4,FALSE)</f>
        <v>1</v>
      </c>
      <c r="BP341" s="67">
        <f>VLOOKUP(AS341,Leyenda!$B$71:$E$75,4,FALSE)</f>
        <v>10</v>
      </c>
      <c r="BQ341" s="125">
        <f t="shared" si="119"/>
        <v>24</v>
      </c>
      <c r="BR341" s="85">
        <f t="shared" si="120"/>
        <v>22</v>
      </c>
      <c r="BS341" s="240">
        <f t="shared" si="121"/>
        <v>0.82000000000000006</v>
      </c>
      <c r="BT341" s="18" t="s">
        <v>752</v>
      </c>
    </row>
    <row r="342" spans="1:72" x14ac:dyDescent="0.25">
      <c r="A342" s="18" t="s">
        <v>6</v>
      </c>
      <c r="B342" s="18">
        <v>2024</v>
      </c>
      <c r="C342" s="18" t="s">
        <v>138</v>
      </c>
      <c r="D342" s="18" t="s">
        <v>130</v>
      </c>
      <c r="E342" s="18">
        <v>20</v>
      </c>
      <c r="F342" s="18">
        <v>30</v>
      </c>
      <c r="G342" s="18" t="s">
        <v>156</v>
      </c>
      <c r="H342" s="248">
        <f t="shared" si="122"/>
        <v>30</v>
      </c>
      <c r="I342" s="135"/>
      <c r="J342" s="18" t="s">
        <v>185</v>
      </c>
      <c r="K342" s="4">
        <f t="shared" si="107"/>
        <v>54.5</v>
      </c>
      <c r="L342" s="4">
        <v>55</v>
      </c>
      <c r="M342" s="4">
        <f t="shared" si="114"/>
        <v>0.5</v>
      </c>
      <c r="N342" s="5">
        <v>0.16</v>
      </c>
      <c r="O342" s="5">
        <f t="shared" si="108"/>
        <v>0.84</v>
      </c>
      <c r="P342" s="31">
        <f t="shared" si="115"/>
        <v>0.08</v>
      </c>
      <c r="Q342" s="31">
        <f t="shared" si="110"/>
        <v>0.08</v>
      </c>
      <c r="R342" s="31">
        <v>4</v>
      </c>
      <c r="S342" s="31">
        <v>20</v>
      </c>
      <c r="T342" s="31">
        <v>7.0000000000000007E-2</v>
      </c>
      <c r="U342" s="31">
        <v>0</v>
      </c>
      <c r="V342" s="65">
        <f t="shared" si="123"/>
        <v>0</v>
      </c>
      <c r="W342" s="31">
        <v>10</v>
      </c>
      <c r="X342" s="31"/>
      <c r="Y342" s="31">
        <f t="shared" si="90"/>
        <v>10</v>
      </c>
      <c r="Z342" s="31">
        <f t="shared" si="109"/>
        <v>7</v>
      </c>
      <c r="AA342" s="18">
        <v>0</v>
      </c>
      <c r="AB342" s="18" t="s">
        <v>330</v>
      </c>
      <c r="AC342" s="18" t="s">
        <v>333</v>
      </c>
      <c r="AD342" s="18" t="s">
        <v>337</v>
      </c>
      <c r="AE342" s="18">
        <v>20</v>
      </c>
      <c r="AF342" s="18">
        <v>4</v>
      </c>
      <c r="AG342" s="18" t="s">
        <v>32</v>
      </c>
      <c r="AH342" s="18" t="s">
        <v>32</v>
      </c>
      <c r="AI342" s="18" t="str">
        <f>+VLOOKUP(AH342,Leyenda!$O$4:$U$10,6,FALSE)</f>
        <v>0,15-0,25</v>
      </c>
      <c r="AJ342" s="18" t="str">
        <f>+VLOOKUP(AG342,Leyenda!$O$4:$U$10,7,FALSE)</f>
        <v>No Blasting need</v>
      </c>
      <c r="AK342" s="18">
        <f>+VLOOKUP(AJ342,Leyenda!$U$4:$V$10,2,FALSE)</f>
        <v>2</v>
      </c>
      <c r="AL342" s="18" t="s">
        <v>29</v>
      </c>
      <c r="AM342" s="18" t="s">
        <v>32</v>
      </c>
      <c r="AN342" s="18" t="s">
        <v>66</v>
      </c>
      <c r="AO342" s="18" t="s">
        <v>79</v>
      </c>
      <c r="AP342" s="18" t="s">
        <v>96</v>
      </c>
      <c r="AQ342" s="18" t="s">
        <v>107</v>
      </c>
      <c r="AR342" s="18" t="s">
        <v>118</v>
      </c>
      <c r="AS342" s="18" t="s">
        <v>198</v>
      </c>
      <c r="AT342" s="18" t="s">
        <v>235</v>
      </c>
      <c r="AU342" s="18"/>
      <c r="AV342" s="18">
        <f>+VLOOKUP(AN342,Leyenda!$B$30:$E$34,3,FALSE)</f>
        <v>1</v>
      </c>
      <c r="AW342" s="18">
        <f>+VLOOKUP('2. Logging Brejo Seco'!AO342,Meteorizacion,3,FALSE)</f>
        <v>1</v>
      </c>
      <c r="AX342" s="18">
        <f>+VLOOKUP('2. Logging Brejo Seco'!AP342,Apertura,3,FALSE)</f>
        <v>1</v>
      </c>
      <c r="AY342" s="18">
        <f>+VLOOKUP('2. Logging Brejo Seco'!AQ342,Leyenda!$B$55:$D$59,3,FALSE)</f>
        <v>3</v>
      </c>
      <c r="AZ342" s="18">
        <f>+VLOOKUP('2. Logging Brejo Seco'!AR342,Relleno,3,FALSE)</f>
        <v>2</v>
      </c>
      <c r="BA342" s="18">
        <f t="shared" si="124"/>
        <v>8</v>
      </c>
      <c r="BB342" s="49">
        <f t="shared" si="111"/>
        <v>0</v>
      </c>
      <c r="BC342" s="49">
        <f>VLOOKUP(AH342,Leyenda!$B$4:$D$10,3,FALSE)</f>
        <v>1</v>
      </c>
      <c r="BD342" s="50">
        <f t="shared" si="116"/>
        <v>3</v>
      </c>
      <c r="BE342" s="49">
        <f t="shared" si="117"/>
        <v>8</v>
      </c>
      <c r="BF342" s="49">
        <v>10</v>
      </c>
      <c r="BG342" s="67">
        <f t="shared" si="112"/>
        <v>12</v>
      </c>
      <c r="BH342" s="67">
        <f>VLOOKUP(AM342,Leyenda!$B$4:$E$10,4,FALSE)</f>
        <v>1</v>
      </c>
      <c r="BI342" s="67">
        <f t="shared" si="118"/>
        <v>5</v>
      </c>
      <c r="BJ342" s="67">
        <f t="shared" si="113"/>
        <v>0</v>
      </c>
      <c r="BK342" s="67">
        <f>+VLOOKUP('2. Logging Brejo Seco'!AP342,Leyenda!$B$47:$E$51,4,FALSE)</f>
        <v>1</v>
      </c>
      <c r="BL342" s="67">
        <f>+VLOOKUP('2. Logging Brejo Seco'!AQ342,Leyenda!$B$55:$E$59,4,FALSE)</f>
        <v>3</v>
      </c>
      <c r="BM342" s="67">
        <f>+VLOOKUP('2. Logging Brejo Seco'!AR342,Leyenda!$B$63:$E$67,3,FALSE)</f>
        <v>2</v>
      </c>
      <c r="BN342" s="67">
        <f>+VLOOKUP('2. Logging Brejo Seco'!AO342,Leyenda!$B$39:$E$43,4,FALSE)</f>
        <v>1</v>
      </c>
      <c r="BO342" s="67">
        <f>+VLOOKUP('2. Logging Brejo Seco'!AN342,Leyenda!$B$30:$E$34,4,FALSE)</f>
        <v>1</v>
      </c>
      <c r="BP342" s="67">
        <f>VLOOKUP(AS342,Leyenda!$B$71:$E$75,4,FALSE)</f>
        <v>10</v>
      </c>
      <c r="BQ342" s="125">
        <f t="shared" si="119"/>
        <v>24</v>
      </c>
      <c r="BR342" s="85">
        <f t="shared" si="120"/>
        <v>22</v>
      </c>
      <c r="BS342" s="240">
        <f t="shared" si="121"/>
        <v>0.84</v>
      </c>
      <c r="BT342" s="18" t="s">
        <v>752</v>
      </c>
    </row>
    <row r="343" spans="1:72" x14ac:dyDescent="0.25">
      <c r="A343" s="18" t="s">
        <v>6</v>
      </c>
      <c r="B343" s="18">
        <v>2024</v>
      </c>
      <c r="C343" s="18" t="s">
        <v>138</v>
      </c>
      <c r="D343" s="18" t="s">
        <v>130</v>
      </c>
      <c r="E343" s="18">
        <v>20</v>
      </c>
      <c r="F343" s="18">
        <v>30</v>
      </c>
      <c r="G343" s="18" t="s">
        <v>156</v>
      </c>
      <c r="H343" s="248">
        <f t="shared" si="122"/>
        <v>30</v>
      </c>
      <c r="I343" s="135"/>
      <c r="J343" s="18" t="s">
        <v>185</v>
      </c>
      <c r="K343" s="4">
        <f t="shared" si="107"/>
        <v>55</v>
      </c>
      <c r="L343" s="4">
        <v>55.5</v>
      </c>
      <c r="M343" s="4">
        <f t="shared" si="114"/>
        <v>0.5</v>
      </c>
      <c r="N343" s="5">
        <v>0.14000000000000001</v>
      </c>
      <c r="O343" s="5">
        <f t="shared" si="108"/>
        <v>0.86</v>
      </c>
      <c r="P343" s="31">
        <f t="shared" si="115"/>
        <v>7.0000000000000007E-2</v>
      </c>
      <c r="Q343" s="31">
        <f t="shared" si="110"/>
        <v>7.0000000000000007E-2</v>
      </c>
      <c r="R343" s="31">
        <v>3.5</v>
      </c>
      <c r="S343" s="31">
        <v>20</v>
      </c>
      <c r="T343" s="31">
        <v>0.5</v>
      </c>
      <c r="U343" s="31">
        <v>0</v>
      </c>
      <c r="V343" s="65">
        <f t="shared" si="123"/>
        <v>0</v>
      </c>
      <c r="W343" s="31">
        <v>10</v>
      </c>
      <c r="X343" s="31"/>
      <c r="Y343" s="31">
        <f t="shared" si="90"/>
        <v>10</v>
      </c>
      <c r="Z343" s="31">
        <f t="shared" si="109"/>
        <v>50</v>
      </c>
      <c r="AA343" s="18">
        <v>0</v>
      </c>
      <c r="AB343" s="18" t="s">
        <v>330</v>
      </c>
      <c r="AC343" s="18" t="s">
        <v>333</v>
      </c>
      <c r="AD343" s="18" t="s">
        <v>337</v>
      </c>
      <c r="AE343" s="18">
        <v>20</v>
      </c>
      <c r="AF343" s="18">
        <v>3.5</v>
      </c>
      <c r="AG343" s="18" t="s">
        <v>32</v>
      </c>
      <c r="AH343" s="18" t="s">
        <v>32</v>
      </c>
      <c r="AI343" s="18" t="str">
        <f>+VLOOKUP(AH343,Leyenda!$O$4:$U$10,6,FALSE)</f>
        <v>0,15-0,25</v>
      </c>
      <c r="AJ343" s="18" t="str">
        <f>+VLOOKUP(AG343,Leyenda!$O$4:$U$10,7,FALSE)</f>
        <v>No Blasting need</v>
      </c>
      <c r="AK343" s="18">
        <f>+VLOOKUP(AJ343,Leyenda!$U$4:$V$10,2,FALSE)</f>
        <v>2</v>
      </c>
      <c r="AL343" s="18" t="s">
        <v>29</v>
      </c>
      <c r="AM343" s="18" t="s">
        <v>32</v>
      </c>
      <c r="AN343" s="18" t="s">
        <v>66</v>
      </c>
      <c r="AO343" s="18" t="s">
        <v>79</v>
      </c>
      <c r="AP343" s="18" t="s">
        <v>96</v>
      </c>
      <c r="AQ343" s="18" t="s">
        <v>107</v>
      </c>
      <c r="AR343" s="18" t="s">
        <v>118</v>
      </c>
      <c r="AS343" s="18" t="s">
        <v>198</v>
      </c>
      <c r="AT343" s="18" t="s">
        <v>235</v>
      </c>
      <c r="AU343" s="18"/>
      <c r="AV343" s="18">
        <f>+VLOOKUP(AN343,Leyenda!$B$30:$E$34,3,FALSE)</f>
        <v>1</v>
      </c>
      <c r="AW343" s="18">
        <f>+VLOOKUP('2. Logging Brejo Seco'!AO343,Meteorizacion,3,FALSE)</f>
        <v>1</v>
      </c>
      <c r="AX343" s="18">
        <f>+VLOOKUP('2. Logging Brejo Seco'!AP343,Apertura,3,FALSE)</f>
        <v>1</v>
      </c>
      <c r="AY343" s="18">
        <f>+VLOOKUP('2. Logging Brejo Seco'!AQ343,Leyenda!$B$55:$D$59,3,FALSE)</f>
        <v>3</v>
      </c>
      <c r="AZ343" s="18">
        <f>+VLOOKUP('2. Logging Brejo Seco'!AR343,Relleno,3,FALSE)</f>
        <v>2</v>
      </c>
      <c r="BA343" s="18">
        <f t="shared" si="124"/>
        <v>8</v>
      </c>
      <c r="BB343" s="49">
        <f t="shared" si="111"/>
        <v>0</v>
      </c>
      <c r="BC343" s="49">
        <f>VLOOKUP(AH343,Leyenda!$B$4:$D$10,3,FALSE)</f>
        <v>1</v>
      </c>
      <c r="BD343" s="50">
        <f t="shared" si="116"/>
        <v>6</v>
      </c>
      <c r="BE343" s="49">
        <f t="shared" si="117"/>
        <v>8</v>
      </c>
      <c r="BF343" s="49">
        <v>10</v>
      </c>
      <c r="BG343" s="67">
        <f t="shared" si="112"/>
        <v>12</v>
      </c>
      <c r="BH343" s="67">
        <f>VLOOKUP(AM343,Leyenda!$B$4:$E$10,4,FALSE)</f>
        <v>1</v>
      </c>
      <c r="BI343" s="67">
        <f t="shared" si="118"/>
        <v>5</v>
      </c>
      <c r="BJ343" s="67">
        <f t="shared" si="113"/>
        <v>0</v>
      </c>
      <c r="BK343" s="67">
        <f>+VLOOKUP('2. Logging Brejo Seco'!AP343,Leyenda!$B$47:$E$51,4,FALSE)</f>
        <v>1</v>
      </c>
      <c r="BL343" s="67">
        <f>+VLOOKUP('2. Logging Brejo Seco'!AQ343,Leyenda!$B$55:$E$59,4,FALSE)</f>
        <v>3</v>
      </c>
      <c r="BM343" s="67">
        <f>+VLOOKUP('2. Logging Brejo Seco'!AR343,Leyenda!$B$63:$E$67,3,FALSE)</f>
        <v>2</v>
      </c>
      <c r="BN343" s="67">
        <f>+VLOOKUP('2. Logging Brejo Seco'!AO343,Leyenda!$B$39:$E$43,4,FALSE)</f>
        <v>1</v>
      </c>
      <c r="BO343" s="67">
        <f>+VLOOKUP('2. Logging Brejo Seco'!AN343,Leyenda!$B$30:$E$34,4,FALSE)</f>
        <v>1</v>
      </c>
      <c r="BP343" s="67">
        <f>VLOOKUP(AS343,Leyenda!$B$71:$E$75,4,FALSE)</f>
        <v>10</v>
      </c>
      <c r="BQ343" s="125">
        <f t="shared" si="119"/>
        <v>24</v>
      </c>
      <c r="BR343" s="85">
        <f t="shared" si="120"/>
        <v>25</v>
      </c>
      <c r="BS343" s="240">
        <f t="shared" si="121"/>
        <v>0.86</v>
      </c>
      <c r="BT343" s="18" t="s">
        <v>752</v>
      </c>
    </row>
    <row r="344" spans="1:72" x14ac:dyDescent="0.25">
      <c r="A344" s="18" t="s">
        <v>6</v>
      </c>
      <c r="B344" s="18">
        <v>2024</v>
      </c>
      <c r="C344" s="18" t="s">
        <v>138</v>
      </c>
      <c r="D344" s="18" t="s">
        <v>130</v>
      </c>
      <c r="E344" s="18">
        <v>20</v>
      </c>
      <c r="F344" s="18">
        <v>30</v>
      </c>
      <c r="G344" s="18" t="s">
        <v>156</v>
      </c>
      <c r="H344" s="248">
        <f t="shared" si="122"/>
        <v>30</v>
      </c>
      <c r="I344" s="135"/>
      <c r="J344" s="18"/>
      <c r="K344" s="4">
        <f t="shared" si="107"/>
        <v>55.5</v>
      </c>
      <c r="L344" s="4">
        <v>56</v>
      </c>
      <c r="M344" s="4">
        <f t="shared" si="114"/>
        <v>0.5</v>
      </c>
      <c r="N344" s="5">
        <v>0</v>
      </c>
      <c r="O344" s="5">
        <f t="shared" si="108"/>
        <v>1</v>
      </c>
      <c r="P344" s="31">
        <f t="shared" si="115"/>
        <v>0</v>
      </c>
      <c r="Q344" s="31">
        <f t="shared" si="110"/>
        <v>0</v>
      </c>
      <c r="R344" s="31" t="s">
        <v>348</v>
      </c>
      <c r="S344" s="31">
        <v>20</v>
      </c>
      <c r="T344" s="31">
        <v>0.5</v>
      </c>
      <c r="U344" s="31">
        <v>0</v>
      </c>
      <c r="V344" s="65">
        <f t="shared" si="123"/>
        <v>0</v>
      </c>
      <c r="W344" s="31">
        <v>10</v>
      </c>
      <c r="X344" s="31"/>
      <c r="Y344" s="31">
        <f t="shared" si="90"/>
        <v>10</v>
      </c>
      <c r="Z344" s="31">
        <f t="shared" si="109"/>
        <v>50</v>
      </c>
      <c r="AA344" s="18">
        <v>0</v>
      </c>
      <c r="AB344" s="18" t="s">
        <v>330</v>
      </c>
      <c r="AC344" s="18" t="s">
        <v>333</v>
      </c>
      <c r="AD344" s="18" t="s">
        <v>337</v>
      </c>
      <c r="AE344" s="18">
        <v>20</v>
      </c>
      <c r="AF344" s="18" t="s">
        <v>348</v>
      </c>
      <c r="AG344" s="18" t="s">
        <v>34</v>
      </c>
      <c r="AH344" s="18" t="s">
        <v>34</v>
      </c>
      <c r="AI344" s="18">
        <f>+VLOOKUP(AH344,Leyenda!$O$4:$U$10,6,FALSE)</f>
        <v>0</v>
      </c>
      <c r="AJ344" s="18" t="str">
        <f>+VLOOKUP(AG344,Leyenda!$O$4:$U$10,7,FALSE)</f>
        <v>No Blasting need</v>
      </c>
      <c r="AK344" s="18">
        <f>+VLOOKUP(AJ344,Leyenda!$U$4:$V$10,2,FALSE)</f>
        <v>2</v>
      </c>
      <c r="AL344" s="18" t="s">
        <v>29</v>
      </c>
      <c r="AM344" s="18" t="s">
        <v>34</v>
      </c>
      <c r="AN344" s="18" t="s">
        <v>66</v>
      </c>
      <c r="AO344" s="18" t="s">
        <v>79</v>
      </c>
      <c r="AP344" s="18" t="s">
        <v>96</v>
      </c>
      <c r="AQ344" s="18" t="s">
        <v>107</v>
      </c>
      <c r="AR344" s="18" t="s">
        <v>118</v>
      </c>
      <c r="AS344" s="18" t="s">
        <v>198</v>
      </c>
      <c r="AT344" s="18" t="s">
        <v>235</v>
      </c>
      <c r="AU344" s="18"/>
      <c r="AV344" s="18">
        <f>+VLOOKUP(AN344,Leyenda!$B$30:$E$34,3,FALSE)</f>
        <v>1</v>
      </c>
      <c r="AW344" s="18">
        <f>+VLOOKUP('2. Logging Brejo Seco'!AO344,Meteorizacion,3,FALSE)</f>
        <v>1</v>
      </c>
      <c r="AX344" s="18">
        <f>+VLOOKUP('2. Logging Brejo Seco'!AP344,Apertura,3,FALSE)</f>
        <v>1</v>
      </c>
      <c r="AY344" s="18">
        <f>+VLOOKUP('2. Logging Brejo Seco'!AQ344,Leyenda!$B$55:$D$59,3,FALSE)</f>
        <v>3</v>
      </c>
      <c r="AZ344" s="18">
        <f>+VLOOKUP('2. Logging Brejo Seco'!AR344,Relleno,3,FALSE)</f>
        <v>2</v>
      </c>
      <c r="BA344" s="18">
        <f t="shared" si="124"/>
        <v>8</v>
      </c>
      <c r="BB344" s="49">
        <f t="shared" si="111"/>
        <v>0</v>
      </c>
      <c r="BC344" s="49">
        <f>VLOOKUP(AH344,Leyenda!$B$4:$D$10,3,FALSE)</f>
        <v>0</v>
      </c>
      <c r="BD344" s="50">
        <f t="shared" si="116"/>
        <v>6</v>
      </c>
      <c r="BE344" s="49">
        <f t="shared" si="117"/>
        <v>8</v>
      </c>
      <c r="BF344" s="49">
        <v>10</v>
      </c>
      <c r="BG344" s="67">
        <f t="shared" si="112"/>
        <v>12</v>
      </c>
      <c r="BH344" s="67">
        <f>VLOOKUP(AM344,Leyenda!$B$4:$E$10,4,FALSE)</f>
        <v>0</v>
      </c>
      <c r="BI344" s="67">
        <f t="shared" si="118"/>
        <v>5</v>
      </c>
      <c r="BJ344" s="67">
        <f t="shared" si="113"/>
        <v>0</v>
      </c>
      <c r="BK344" s="67">
        <f>+VLOOKUP('2. Logging Brejo Seco'!AP344,Leyenda!$B$47:$E$51,4,FALSE)</f>
        <v>1</v>
      </c>
      <c r="BL344" s="67">
        <f>+VLOOKUP('2. Logging Brejo Seco'!AQ344,Leyenda!$B$55:$E$59,4,FALSE)</f>
        <v>3</v>
      </c>
      <c r="BM344" s="67">
        <f>+VLOOKUP('2. Logging Brejo Seco'!AR344,Leyenda!$B$63:$E$67,3,FALSE)</f>
        <v>2</v>
      </c>
      <c r="BN344" s="67">
        <f>+VLOOKUP('2. Logging Brejo Seco'!AO344,Leyenda!$B$39:$E$43,4,FALSE)</f>
        <v>1</v>
      </c>
      <c r="BO344" s="67">
        <f>+VLOOKUP('2. Logging Brejo Seco'!AN344,Leyenda!$B$30:$E$34,4,FALSE)</f>
        <v>1</v>
      </c>
      <c r="BP344" s="67">
        <f>VLOOKUP(AS344,Leyenda!$B$71:$E$75,4,FALSE)</f>
        <v>10</v>
      </c>
      <c r="BQ344" s="125">
        <f t="shared" si="119"/>
        <v>23</v>
      </c>
      <c r="BR344" s="85">
        <f t="shared" si="120"/>
        <v>24</v>
      </c>
      <c r="BS344" s="240">
        <f t="shared" si="121"/>
        <v>1</v>
      </c>
      <c r="BT344" s="18" t="s">
        <v>752</v>
      </c>
    </row>
    <row r="345" spans="1:72" x14ac:dyDescent="0.25">
      <c r="A345" s="18" t="s">
        <v>6</v>
      </c>
      <c r="B345" s="18">
        <v>2024</v>
      </c>
      <c r="C345" s="18" t="s">
        <v>138</v>
      </c>
      <c r="D345" s="18" t="s">
        <v>130</v>
      </c>
      <c r="E345" s="18">
        <v>20</v>
      </c>
      <c r="F345" s="18">
        <v>30</v>
      </c>
      <c r="G345" s="18" t="s">
        <v>156</v>
      </c>
      <c r="H345" s="248">
        <f t="shared" si="122"/>
        <v>30</v>
      </c>
      <c r="I345" s="135"/>
      <c r="J345" s="18" t="s">
        <v>185</v>
      </c>
      <c r="K345" s="4">
        <f t="shared" si="107"/>
        <v>56</v>
      </c>
      <c r="L345" s="4">
        <v>56.5</v>
      </c>
      <c r="M345" s="4">
        <f t="shared" si="114"/>
        <v>0.5</v>
      </c>
      <c r="N345" s="5">
        <v>0.18</v>
      </c>
      <c r="O345" s="5">
        <f t="shared" si="108"/>
        <v>0.82000000000000006</v>
      </c>
      <c r="P345" s="31">
        <f t="shared" si="115"/>
        <v>0.09</v>
      </c>
      <c r="Q345" s="31">
        <f t="shared" si="110"/>
        <v>0.09</v>
      </c>
      <c r="R345" s="31">
        <v>4.5</v>
      </c>
      <c r="S345" s="31">
        <v>20</v>
      </c>
      <c r="T345" s="31">
        <v>7.0000000000000007E-2</v>
      </c>
      <c r="U345" s="31">
        <v>0</v>
      </c>
      <c r="V345" s="65">
        <f t="shared" si="123"/>
        <v>0</v>
      </c>
      <c r="W345" s="31">
        <v>10</v>
      </c>
      <c r="X345" s="31"/>
      <c r="Y345" s="31">
        <f t="shared" si="90"/>
        <v>10</v>
      </c>
      <c r="Z345" s="31">
        <f t="shared" si="109"/>
        <v>7</v>
      </c>
      <c r="AA345" s="18">
        <v>0</v>
      </c>
      <c r="AB345" s="18" t="s">
        <v>330</v>
      </c>
      <c r="AC345" s="18" t="s">
        <v>333</v>
      </c>
      <c r="AD345" s="18" t="s">
        <v>337</v>
      </c>
      <c r="AE345" s="18">
        <v>20</v>
      </c>
      <c r="AF345" s="18">
        <v>4.5</v>
      </c>
      <c r="AG345" s="18" t="s">
        <v>32</v>
      </c>
      <c r="AH345" s="18" t="s">
        <v>32</v>
      </c>
      <c r="AI345" s="18" t="str">
        <f>+VLOOKUP(AH345,Leyenda!$O$4:$U$10,6,FALSE)</f>
        <v>0,15-0,25</v>
      </c>
      <c r="AJ345" s="18" t="str">
        <f>+VLOOKUP(AG345,Leyenda!$O$4:$U$10,7,FALSE)</f>
        <v>No Blasting need</v>
      </c>
      <c r="AK345" s="18">
        <f>+VLOOKUP(AJ345,Leyenda!$U$4:$V$10,2,FALSE)</f>
        <v>2</v>
      </c>
      <c r="AL345" s="18" t="s">
        <v>29</v>
      </c>
      <c r="AM345" s="18" t="s">
        <v>32</v>
      </c>
      <c r="AN345" s="18" t="s">
        <v>66</v>
      </c>
      <c r="AO345" s="18" t="s">
        <v>79</v>
      </c>
      <c r="AP345" s="18" t="s">
        <v>96</v>
      </c>
      <c r="AQ345" s="18" t="s">
        <v>107</v>
      </c>
      <c r="AR345" s="18" t="s">
        <v>118</v>
      </c>
      <c r="AS345" s="18" t="s">
        <v>198</v>
      </c>
      <c r="AT345" s="18" t="s">
        <v>235</v>
      </c>
      <c r="AU345" s="18"/>
      <c r="AV345" s="18">
        <f>+VLOOKUP(AN345,Leyenda!$B$30:$E$34,3,FALSE)</f>
        <v>1</v>
      </c>
      <c r="AW345" s="18">
        <f>+VLOOKUP('2. Logging Brejo Seco'!AO345,Meteorizacion,3,FALSE)</f>
        <v>1</v>
      </c>
      <c r="AX345" s="18">
        <f>+VLOOKUP('2. Logging Brejo Seco'!AP345,Apertura,3,FALSE)</f>
        <v>1</v>
      </c>
      <c r="AY345" s="18">
        <f>+VLOOKUP('2. Logging Brejo Seco'!AQ345,Leyenda!$B$55:$D$59,3,FALSE)</f>
        <v>3</v>
      </c>
      <c r="AZ345" s="18">
        <f>+VLOOKUP('2. Logging Brejo Seco'!AR345,Relleno,3,FALSE)</f>
        <v>2</v>
      </c>
      <c r="BA345" s="18">
        <f t="shared" si="124"/>
        <v>8</v>
      </c>
      <c r="BB345" s="49">
        <f t="shared" si="111"/>
        <v>0</v>
      </c>
      <c r="BC345" s="49">
        <f>VLOOKUP(AH345,Leyenda!$B$4:$D$10,3,FALSE)</f>
        <v>1</v>
      </c>
      <c r="BD345" s="50">
        <f t="shared" si="116"/>
        <v>3</v>
      </c>
      <c r="BE345" s="49">
        <f t="shared" si="117"/>
        <v>8</v>
      </c>
      <c r="BF345" s="49">
        <v>10</v>
      </c>
      <c r="BG345" s="67">
        <f t="shared" si="112"/>
        <v>12</v>
      </c>
      <c r="BH345" s="67">
        <f>VLOOKUP(AM345,Leyenda!$B$4:$E$10,4,FALSE)</f>
        <v>1</v>
      </c>
      <c r="BI345" s="67">
        <f t="shared" si="118"/>
        <v>5</v>
      </c>
      <c r="BJ345" s="67">
        <f t="shared" si="113"/>
        <v>0</v>
      </c>
      <c r="BK345" s="67">
        <f>+VLOOKUP('2. Logging Brejo Seco'!AP345,Leyenda!$B$47:$E$51,4,FALSE)</f>
        <v>1</v>
      </c>
      <c r="BL345" s="67">
        <f>+VLOOKUP('2. Logging Brejo Seco'!AQ345,Leyenda!$B$55:$E$59,4,FALSE)</f>
        <v>3</v>
      </c>
      <c r="BM345" s="67">
        <f>+VLOOKUP('2. Logging Brejo Seco'!AR345,Leyenda!$B$63:$E$67,3,FALSE)</f>
        <v>2</v>
      </c>
      <c r="BN345" s="67">
        <f>+VLOOKUP('2. Logging Brejo Seco'!AO345,Leyenda!$B$39:$E$43,4,FALSE)</f>
        <v>1</v>
      </c>
      <c r="BO345" s="67">
        <f>+VLOOKUP('2. Logging Brejo Seco'!AN345,Leyenda!$B$30:$E$34,4,FALSE)</f>
        <v>1</v>
      </c>
      <c r="BP345" s="67">
        <f>VLOOKUP(AS345,Leyenda!$B$71:$E$75,4,FALSE)</f>
        <v>10</v>
      </c>
      <c r="BQ345" s="125">
        <f t="shared" si="119"/>
        <v>24</v>
      </c>
      <c r="BR345" s="85">
        <f t="shared" si="120"/>
        <v>22</v>
      </c>
      <c r="BS345" s="240">
        <f t="shared" si="121"/>
        <v>0.82000000000000006</v>
      </c>
      <c r="BT345" s="18" t="s">
        <v>752</v>
      </c>
    </row>
    <row r="346" spans="1:72" x14ac:dyDescent="0.25">
      <c r="A346" s="18" t="s">
        <v>6</v>
      </c>
      <c r="B346" s="18">
        <v>2024</v>
      </c>
      <c r="C346" s="18" t="s">
        <v>138</v>
      </c>
      <c r="D346" s="18" t="s">
        <v>130</v>
      </c>
      <c r="E346" s="18">
        <v>20</v>
      </c>
      <c r="F346" s="18">
        <v>30</v>
      </c>
      <c r="G346" s="18" t="s">
        <v>156</v>
      </c>
      <c r="H346" s="248">
        <f t="shared" si="122"/>
        <v>30</v>
      </c>
      <c r="I346" s="135"/>
      <c r="J346" s="18" t="s">
        <v>185</v>
      </c>
      <c r="K346" s="4">
        <f t="shared" si="107"/>
        <v>56.5</v>
      </c>
      <c r="L346" s="4">
        <v>57</v>
      </c>
      <c r="M346" s="4">
        <f t="shared" si="114"/>
        <v>0.5</v>
      </c>
      <c r="N346" s="5">
        <v>0</v>
      </c>
      <c r="O346" s="5">
        <f t="shared" si="108"/>
        <v>1</v>
      </c>
      <c r="P346" s="31">
        <f t="shared" si="115"/>
        <v>0</v>
      </c>
      <c r="Q346" s="31">
        <f t="shared" si="110"/>
        <v>0</v>
      </c>
      <c r="R346" s="31" t="s">
        <v>348</v>
      </c>
      <c r="S346" s="31">
        <v>20</v>
      </c>
      <c r="T346" s="31">
        <v>0.5</v>
      </c>
      <c r="U346" s="31">
        <v>0</v>
      </c>
      <c r="V346" s="65">
        <f t="shared" si="123"/>
        <v>0</v>
      </c>
      <c r="W346" s="31">
        <v>10</v>
      </c>
      <c r="X346" s="31"/>
      <c r="Y346" s="31">
        <f t="shared" si="90"/>
        <v>10</v>
      </c>
      <c r="Z346" s="31">
        <f t="shared" si="109"/>
        <v>50</v>
      </c>
      <c r="AA346" s="18">
        <v>0</v>
      </c>
      <c r="AB346" s="18" t="s">
        <v>330</v>
      </c>
      <c r="AC346" s="18" t="s">
        <v>333</v>
      </c>
      <c r="AD346" s="18" t="s">
        <v>337</v>
      </c>
      <c r="AE346" s="18">
        <v>20</v>
      </c>
      <c r="AF346" s="18" t="s">
        <v>348</v>
      </c>
      <c r="AG346" s="18" t="s">
        <v>32</v>
      </c>
      <c r="AH346" s="18" t="s">
        <v>32</v>
      </c>
      <c r="AI346" s="18" t="str">
        <f>+VLOOKUP(AH346,Leyenda!$O$4:$U$10,6,FALSE)</f>
        <v>0,15-0,25</v>
      </c>
      <c r="AJ346" s="18" t="str">
        <f>+VLOOKUP(AG346,Leyenda!$O$4:$U$10,7,FALSE)</f>
        <v>No Blasting need</v>
      </c>
      <c r="AK346" s="18">
        <f>+VLOOKUP(AJ346,Leyenda!$U$4:$V$10,2,FALSE)</f>
        <v>2</v>
      </c>
      <c r="AL346" s="18" t="s">
        <v>29</v>
      </c>
      <c r="AM346" s="18" t="s">
        <v>32</v>
      </c>
      <c r="AN346" s="18" t="s">
        <v>66</v>
      </c>
      <c r="AO346" s="18" t="s">
        <v>79</v>
      </c>
      <c r="AP346" s="18" t="s">
        <v>96</v>
      </c>
      <c r="AQ346" s="18" t="s">
        <v>107</v>
      </c>
      <c r="AR346" s="18" t="s">
        <v>118</v>
      </c>
      <c r="AS346" s="18" t="s">
        <v>198</v>
      </c>
      <c r="AT346" s="18" t="s">
        <v>235</v>
      </c>
      <c r="AU346" s="18"/>
      <c r="AV346" s="18">
        <f>+VLOOKUP(AN346,Leyenda!$B$30:$E$34,3,FALSE)</f>
        <v>1</v>
      </c>
      <c r="AW346" s="18">
        <f>+VLOOKUP('2. Logging Brejo Seco'!AO346,Meteorizacion,3,FALSE)</f>
        <v>1</v>
      </c>
      <c r="AX346" s="18">
        <f>+VLOOKUP('2. Logging Brejo Seco'!AP346,Apertura,3,FALSE)</f>
        <v>1</v>
      </c>
      <c r="AY346" s="18">
        <f>+VLOOKUP('2. Logging Brejo Seco'!AQ346,Leyenda!$B$55:$D$59,3,FALSE)</f>
        <v>3</v>
      </c>
      <c r="AZ346" s="18">
        <f>+VLOOKUP('2. Logging Brejo Seco'!AR346,Relleno,3,FALSE)</f>
        <v>2</v>
      </c>
      <c r="BA346" s="18">
        <f t="shared" si="124"/>
        <v>8</v>
      </c>
      <c r="BB346" s="49">
        <f t="shared" si="111"/>
        <v>0</v>
      </c>
      <c r="BC346" s="49">
        <f>VLOOKUP(AH346,Leyenda!$B$4:$D$10,3,FALSE)</f>
        <v>1</v>
      </c>
      <c r="BD346" s="50">
        <f t="shared" si="116"/>
        <v>6</v>
      </c>
      <c r="BE346" s="49">
        <f t="shared" si="117"/>
        <v>8</v>
      </c>
      <c r="BF346" s="49">
        <v>10</v>
      </c>
      <c r="BG346" s="67">
        <f t="shared" si="112"/>
        <v>12</v>
      </c>
      <c r="BH346" s="67">
        <f>VLOOKUP(AM346,Leyenda!$B$4:$E$10,4,FALSE)</f>
        <v>1</v>
      </c>
      <c r="BI346" s="67">
        <f t="shared" si="118"/>
        <v>5</v>
      </c>
      <c r="BJ346" s="67">
        <f t="shared" si="113"/>
        <v>0</v>
      </c>
      <c r="BK346" s="67">
        <f>+VLOOKUP('2. Logging Brejo Seco'!AP346,Leyenda!$B$47:$E$51,4,FALSE)</f>
        <v>1</v>
      </c>
      <c r="BL346" s="67">
        <f>+VLOOKUP('2. Logging Brejo Seco'!AQ346,Leyenda!$B$55:$E$59,4,FALSE)</f>
        <v>3</v>
      </c>
      <c r="BM346" s="67">
        <f>+VLOOKUP('2. Logging Brejo Seco'!AR346,Leyenda!$B$63:$E$67,3,FALSE)</f>
        <v>2</v>
      </c>
      <c r="BN346" s="67">
        <f>+VLOOKUP('2. Logging Brejo Seco'!AO346,Leyenda!$B$39:$E$43,4,FALSE)</f>
        <v>1</v>
      </c>
      <c r="BO346" s="67">
        <f>+VLOOKUP('2. Logging Brejo Seco'!AN346,Leyenda!$B$30:$E$34,4,FALSE)</f>
        <v>1</v>
      </c>
      <c r="BP346" s="67">
        <f>VLOOKUP(AS346,Leyenda!$B$71:$E$75,4,FALSE)</f>
        <v>10</v>
      </c>
      <c r="BQ346" s="125">
        <f t="shared" si="119"/>
        <v>24</v>
      </c>
      <c r="BR346" s="85">
        <f t="shared" si="120"/>
        <v>25</v>
      </c>
      <c r="BS346" s="240">
        <f t="shared" si="121"/>
        <v>1</v>
      </c>
      <c r="BT346" s="18" t="s">
        <v>752</v>
      </c>
    </row>
    <row r="347" spans="1:72" x14ac:dyDescent="0.25">
      <c r="A347" s="18" t="s">
        <v>6</v>
      </c>
      <c r="B347" s="18">
        <v>2024</v>
      </c>
      <c r="C347" s="18" t="s">
        <v>138</v>
      </c>
      <c r="D347" s="18" t="s">
        <v>130</v>
      </c>
      <c r="E347" s="18">
        <v>20</v>
      </c>
      <c r="F347" s="18">
        <v>30</v>
      </c>
      <c r="G347" s="18" t="s">
        <v>156</v>
      </c>
      <c r="H347" s="248">
        <f t="shared" si="122"/>
        <v>30</v>
      </c>
      <c r="I347" s="135"/>
      <c r="J347" s="18" t="s">
        <v>185</v>
      </c>
      <c r="K347" s="4">
        <f t="shared" si="107"/>
        <v>57</v>
      </c>
      <c r="L347" s="4">
        <v>57.5</v>
      </c>
      <c r="M347" s="4">
        <f t="shared" si="114"/>
        <v>0.5</v>
      </c>
      <c r="N347" s="5">
        <v>0.2</v>
      </c>
      <c r="O347" s="5">
        <f t="shared" si="108"/>
        <v>0.8</v>
      </c>
      <c r="P347" s="31">
        <f t="shared" si="115"/>
        <v>0.1</v>
      </c>
      <c r="Q347" s="31">
        <f t="shared" si="110"/>
        <v>0.1</v>
      </c>
      <c r="R347" s="31">
        <v>5</v>
      </c>
      <c r="S347" s="31">
        <v>20</v>
      </c>
      <c r="T347" s="31">
        <v>0.11</v>
      </c>
      <c r="U347" s="31">
        <v>0</v>
      </c>
      <c r="V347" s="65">
        <f t="shared" si="123"/>
        <v>0</v>
      </c>
      <c r="W347" s="31">
        <v>10</v>
      </c>
      <c r="X347" s="31"/>
      <c r="Y347" s="31">
        <f t="shared" si="90"/>
        <v>10</v>
      </c>
      <c r="Z347" s="31">
        <f t="shared" si="109"/>
        <v>11</v>
      </c>
      <c r="AA347" s="18">
        <v>0</v>
      </c>
      <c r="AB347" s="18" t="s">
        <v>330</v>
      </c>
      <c r="AC347" s="18" t="s">
        <v>333</v>
      </c>
      <c r="AD347" s="18" t="s">
        <v>337</v>
      </c>
      <c r="AE347" s="18">
        <v>20</v>
      </c>
      <c r="AF347" s="18">
        <v>5</v>
      </c>
      <c r="AG347" s="18" t="s">
        <v>32</v>
      </c>
      <c r="AH347" s="18" t="s">
        <v>32</v>
      </c>
      <c r="AI347" s="18" t="str">
        <f>+VLOOKUP(AH347,Leyenda!$O$4:$U$10,6,FALSE)</f>
        <v>0,15-0,25</v>
      </c>
      <c r="AJ347" s="18" t="str">
        <f>+VLOOKUP(AG347,Leyenda!$O$4:$U$10,7,FALSE)</f>
        <v>No Blasting need</v>
      </c>
      <c r="AK347" s="18">
        <f>+VLOOKUP(AJ347,Leyenda!$U$4:$V$10,2,FALSE)</f>
        <v>2</v>
      </c>
      <c r="AL347" s="18" t="s">
        <v>29</v>
      </c>
      <c r="AM347" s="18" t="s">
        <v>32</v>
      </c>
      <c r="AN347" s="18" t="s">
        <v>66</v>
      </c>
      <c r="AO347" s="18" t="s">
        <v>79</v>
      </c>
      <c r="AP347" s="18" t="s">
        <v>96</v>
      </c>
      <c r="AQ347" s="18" t="s">
        <v>107</v>
      </c>
      <c r="AR347" s="18" t="s">
        <v>118</v>
      </c>
      <c r="AS347" s="18" t="s">
        <v>198</v>
      </c>
      <c r="AT347" s="18" t="s">
        <v>235</v>
      </c>
      <c r="AU347" s="18"/>
      <c r="AV347" s="18">
        <f>+VLOOKUP(AN347,Leyenda!$B$30:$E$34,3,FALSE)</f>
        <v>1</v>
      </c>
      <c r="AW347" s="18">
        <f>+VLOOKUP('2. Logging Brejo Seco'!AO347,Meteorizacion,3,FALSE)</f>
        <v>1</v>
      </c>
      <c r="AX347" s="18">
        <f>+VLOOKUP('2. Logging Brejo Seco'!AP347,Apertura,3,FALSE)</f>
        <v>1</v>
      </c>
      <c r="AY347" s="18">
        <f>+VLOOKUP('2. Logging Brejo Seco'!AQ347,Leyenda!$B$55:$D$59,3,FALSE)</f>
        <v>3</v>
      </c>
      <c r="AZ347" s="18">
        <f>+VLOOKUP('2. Logging Brejo Seco'!AR347,Relleno,3,FALSE)</f>
        <v>2</v>
      </c>
      <c r="BA347" s="18">
        <f t="shared" si="124"/>
        <v>8</v>
      </c>
      <c r="BB347" s="49">
        <f t="shared" si="111"/>
        <v>0</v>
      </c>
      <c r="BC347" s="49">
        <f>VLOOKUP(AH347,Leyenda!$B$4:$D$10,3,FALSE)</f>
        <v>1</v>
      </c>
      <c r="BD347" s="50">
        <f t="shared" si="116"/>
        <v>3</v>
      </c>
      <c r="BE347" s="49">
        <f t="shared" si="117"/>
        <v>8</v>
      </c>
      <c r="BF347" s="49">
        <v>10</v>
      </c>
      <c r="BG347" s="67">
        <f t="shared" si="112"/>
        <v>12</v>
      </c>
      <c r="BH347" s="67">
        <f>VLOOKUP(AM347,Leyenda!$B$4:$E$10,4,FALSE)</f>
        <v>1</v>
      </c>
      <c r="BI347" s="67">
        <f t="shared" si="118"/>
        <v>5</v>
      </c>
      <c r="BJ347" s="67">
        <f t="shared" si="113"/>
        <v>0</v>
      </c>
      <c r="BK347" s="67">
        <f>+VLOOKUP('2. Logging Brejo Seco'!AP347,Leyenda!$B$47:$E$51,4,FALSE)</f>
        <v>1</v>
      </c>
      <c r="BL347" s="67">
        <f>+VLOOKUP('2. Logging Brejo Seco'!AQ347,Leyenda!$B$55:$E$59,4,FALSE)</f>
        <v>3</v>
      </c>
      <c r="BM347" s="67">
        <f>+VLOOKUP('2. Logging Brejo Seco'!AR347,Leyenda!$B$63:$E$67,3,FALSE)</f>
        <v>2</v>
      </c>
      <c r="BN347" s="67">
        <f>+VLOOKUP('2. Logging Brejo Seco'!AO347,Leyenda!$B$39:$E$43,4,FALSE)</f>
        <v>1</v>
      </c>
      <c r="BO347" s="67">
        <f>+VLOOKUP('2. Logging Brejo Seco'!AN347,Leyenda!$B$30:$E$34,4,FALSE)</f>
        <v>1</v>
      </c>
      <c r="BP347" s="67">
        <f>VLOOKUP(AS347,Leyenda!$B$71:$E$75,4,FALSE)</f>
        <v>10</v>
      </c>
      <c r="BQ347" s="125">
        <f t="shared" si="119"/>
        <v>24</v>
      </c>
      <c r="BR347" s="85">
        <f t="shared" si="120"/>
        <v>22</v>
      </c>
      <c r="BS347" s="240">
        <f t="shared" si="121"/>
        <v>0.8</v>
      </c>
      <c r="BT347" s="18" t="s">
        <v>752</v>
      </c>
    </row>
    <row r="348" spans="1:72" x14ac:dyDescent="0.25">
      <c r="A348" s="18" t="s">
        <v>6</v>
      </c>
      <c r="B348" s="18">
        <v>2024</v>
      </c>
      <c r="C348" s="18" t="s">
        <v>138</v>
      </c>
      <c r="D348" s="18" t="s">
        <v>130</v>
      </c>
      <c r="E348" s="18">
        <v>20</v>
      </c>
      <c r="F348" s="18">
        <v>30</v>
      </c>
      <c r="G348" s="18" t="s">
        <v>156</v>
      </c>
      <c r="H348" s="248">
        <f t="shared" si="122"/>
        <v>30</v>
      </c>
      <c r="I348" s="135"/>
      <c r="J348" s="18" t="s">
        <v>185</v>
      </c>
      <c r="K348" s="4">
        <f t="shared" si="107"/>
        <v>57.5</v>
      </c>
      <c r="L348" s="4">
        <v>58</v>
      </c>
      <c r="M348" s="4">
        <f t="shared" si="114"/>
        <v>0.5</v>
      </c>
      <c r="N348" s="5">
        <v>0</v>
      </c>
      <c r="O348" s="5">
        <f t="shared" si="108"/>
        <v>1</v>
      </c>
      <c r="P348" s="31">
        <f t="shared" si="115"/>
        <v>0</v>
      </c>
      <c r="Q348" s="31">
        <f t="shared" si="110"/>
        <v>0</v>
      </c>
      <c r="R348" s="31" t="s">
        <v>348</v>
      </c>
      <c r="S348" s="31">
        <v>20</v>
      </c>
      <c r="T348" s="31">
        <v>0.5</v>
      </c>
      <c r="U348" s="31">
        <v>0</v>
      </c>
      <c r="V348" s="65">
        <f t="shared" si="123"/>
        <v>0</v>
      </c>
      <c r="W348" s="31">
        <v>10</v>
      </c>
      <c r="X348" s="31"/>
      <c r="Y348" s="31">
        <f t="shared" si="90"/>
        <v>10</v>
      </c>
      <c r="Z348" s="31">
        <f t="shared" si="109"/>
        <v>50</v>
      </c>
      <c r="AA348" s="18">
        <v>0</v>
      </c>
      <c r="AB348" s="18" t="s">
        <v>330</v>
      </c>
      <c r="AC348" s="18" t="s">
        <v>333</v>
      </c>
      <c r="AD348" s="18" t="s">
        <v>337</v>
      </c>
      <c r="AE348" s="18">
        <v>20</v>
      </c>
      <c r="AF348" s="18" t="s">
        <v>348</v>
      </c>
      <c r="AG348" s="18" t="s">
        <v>32</v>
      </c>
      <c r="AH348" s="18" t="s">
        <v>32</v>
      </c>
      <c r="AI348" s="18" t="str">
        <f>+VLOOKUP(AH348,Leyenda!$O$4:$U$10,6,FALSE)</f>
        <v>0,15-0,25</v>
      </c>
      <c r="AJ348" s="18" t="str">
        <f>+VLOOKUP(AG348,Leyenda!$O$4:$U$10,7,FALSE)</f>
        <v>No Blasting need</v>
      </c>
      <c r="AK348" s="18">
        <f>+VLOOKUP(AJ348,Leyenda!$U$4:$V$10,2,FALSE)</f>
        <v>2</v>
      </c>
      <c r="AL348" s="18" t="s">
        <v>29</v>
      </c>
      <c r="AM348" s="18" t="s">
        <v>32</v>
      </c>
      <c r="AN348" s="18" t="s">
        <v>66</v>
      </c>
      <c r="AO348" s="18" t="s">
        <v>79</v>
      </c>
      <c r="AP348" s="18" t="s">
        <v>96</v>
      </c>
      <c r="AQ348" s="18" t="s">
        <v>107</v>
      </c>
      <c r="AR348" s="18" t="s">
        <v>118</v>
      </c>
      <c r="AS348" s="18" t="s">
        <v>198</v>
      </c>
      <c r="AT348" s="18" t="s">
        <v>235</v>
      </c>
      <c r="AU348" s="18"/>
      <c r="AV348" s="18">
        <f>+VLOOKUP(AN348,Leyenda!$B$30:$E$34,3,FALSE)</f>
        <v>1</v>
      </c>
      <c r="AW348" s="18">
        <f>+VLOOKUP('2. Logging Brejo Seco'!AO348,Meteorizacion,3,FALSE)</f>
        <v>1</v>
      </c>
      <c r="AX348" s="18">
        <f>+VLOOKUP('2. Logging Brejo Seco'!AP348,Apertura,3,FALSE)</f>
        <v>1</v>
      </c>
      <c r="AY348" s="18">
        <f>+VLOOKUP('2. Logging Brejo Seco'!AQ348,Leyenda!$B$55:$D$59,3,FALSE)</f>
        <v>3</v>
      </c>
      <c r="AZ348" s="18">
        <f>+VLOOKUP('2. Logging Brejo Seco'!AR348,Relleno,3,FALSE)</f>
        <v>2</v>
      </c>
      <c r="BA348" s="18">
        <f t="shared" si="124"/>
        <v>8</v>
      </c>
      <c r="BB348" s="49">
        <f t="shared" si="111"/>
        <v>0</v>
      </c>
      <c r="BC348" s="49">
        <f>VLOOKUP(AH348,Leyenda!$B$4:$D$10,3,FALSE)</f>
        <v>1</v>
      </c>
      <c r="BD348" s="50">
        <f t="shared" si="116"/>
        <v>6</v>
      </c>
      <c r="BE348" s="49">
        <f t="shared" si="117"/>
        <v>8</v>
      </c>
      <c r="BF348" s="49">
        <v>10</v>
      </c>
      <c r="BG348" s="67">
        <f t="shared" si="112"/>
        <v>12</v>
      </c>
      <c r="BH348" s="67">
        <f>VLOOKUP(AM348,Leyenda!$B$4:$E$10,4,FALSE)</f>
        <v>1</v>
      </c>
      <c r="BI348" s="67">
        <f t="shared" si="118"/>
        <v>5</v>
      </c>
      <c r="BJ348" s="67">
        <f t="shared" si="113"/>
        <v>0</v>
      </c>
      <c r="BK348" s="67">
        <f>+VLOOKUP('2. Logging Brejo Seco'!AP348,Leyenda!$B$47:$E$51,4,FALSE)</f>
        <v>1</v>
      </c>
      <c r="BL348" s="67">
        <f>+VLOOKUP('2. Logging Brejo Seco'!AQ348,Leyenda!$B$55:$E$59,4,FALSE)</f>
        <v>3</v>
      </c>
      <c r="BM348" s="67">
        <f>+VLOOKUP('2. Logging Brejo Seco'!AR348,Leyenda!$B$63:$E$67,3,FALSE)</f>
        <v>2</v>
      </c>
      <c r="BN348" s="67">
        <f>+VLOOKUP('2. Logging Brejo Seco'!AO348,Leyenda!$B$39:$E$43,4,FALSE)</f>
        <v>1</v>
      </c>
      <c r="BO348" s="67">
        <f>+VLOOKUP('2. Logging Brejo Seco'!AN348,Leyenda!$B$30:$E$34,4,FALSE)</f>
        <v>1</v>
      </c>
      <c r="BP348" s="67">
        <f>VLOOKUP(AS348,Leyenda!$B$71:$E$75,4,FALSE)</f>
        <v>10</v>
      </c>
      <c r="BQ348" s="125">
        <f t="shared" si="119"/>
        <v>24</v>
      </c>
      <c r="BR348" s="85">
        <f t="shared" si="120"/>
        <v>25</v>
      </c>
      <c r="BS348" s="240">
        <f t="shared" si="121"/>
        <v>1</v>
      </c>
      <c r="BT348" s="18" t="s">
        <v>752</v>
      </c>
    </row>
    <row r="349" spans="1:72" x14ac:dyDescent="0.25">
      <c r="A349" s="18" t="s">
        <v>6</v>
      </c>
      <c r="B349" s="18">
        <v>2024</v>
      </c>
      <c r="C349" s="18" t="s">
        <v>138</v>
      </c>
      <c r="D349" s="18" t="s">
        <v>130</v>
      </c>
      <c r="E349" s="18">
        <v>20</v>
      </c>
      <c r="F349" s="18">
        <v>30</v>
      </c>
      <c r="G349" s="18" t="s">
        <v>156</v>
      </c>
      <c r="H349" s="248">
        <f t="shared" si="122"/>
        <v>30</v>
      </c>
      <c r="I349" s="135"/>
      <c r="J349" s="18" t="s">
        <v>185</v>
      </c>
      <c r="K349" s="4">
        <f t="shared" si="107"/>
        <v>58</v>
      </c>
      <c r="L349" s="4">
        <v>58.5</v>
      </c>
      <c r="M349" s="4">
        <f t="shared" si="114"/>
        <v>0.5</v>
      </c>
      <c r="N349" s="5">
        <v>0.1</v>
      </c>
      <c r="O349" s="5">
        <f t="shared" si="108"/>
        <v>0.9</v>
      </c>
      <c r="P349" s="31">
        <f t="shared" si="115"/>
        <v>0.05</v>
      </c>
      <c r="Q349" s="31">
        <f t="shared" si="110"/>
        <v>0.05</v>
      </c>
      <c r="R349" s="31">
        <v>2.5</v>
      </c>
      <c r="S349" s="31">
        <v>20</v>
      </c>
      <c r="T349" s="31">
        <v>0.1</v>
      </c>
      <c r="U349" s="31">
        <v>0</v>
      </c>
      <c r="V349" s="65">
        <f t="shared" si="123"/>
        <v>0</v>
      </c>
      <c r="W349" s="31">
        <v>10</v>
      </c>
      <c r="X349" s="31"/>
      <c r="Y349" s="31">
        <f t="shared" si="90"/>
        <v>10</v>
      </c>
      <c r="Z349" s="31">
        <f t="shared" si="109"/>
        <v>10</v>
      </c>
      <c r="AA349" s="18">
        <v>0</v>
      </c>
      <c r="AB349" s="18" t="s">
        <v>330</v>
      </c>
      <c r="AC349" s="18" t="s">
        <v>333</v>
      </c>
      <c r="AD349" s="18" t="s">
        <v>337</v>
      </c>
      <c r="AE349" s="18">
        <v>20</v>
      </c>
      <c r="AF349" s="18">
        <v>2.5</v>
      </c>
      <c r="AG349" s="18" t="s">
        <v>32</v>
      </c>
      <c r="AH349" s="18" t="s">
        <v>32</v>
      </c>
      <c r="AI349" s="18" t="str">
        <f>+VLOOKUP(AH349,Leyenda!$O$4:$U$10,6,FALSE)</f>
        <v>0,15-0,25</v>
      </c>
      <c r="AJ349" s="18" t="str">
        <f>+VLOOKUP(AG349,Leyenda!$O$4:$U$10,7,FALSE)</f>
        <v>No Blasting need</v>
      </c>
      <c r="AK349" s="18">
        <f>+VLOOKUP(AJ349,Leyenda!$U$4:$V$10,2,FALSE)</f>
        <v>2</v>
      </c>
      <c r="AL349" s="18" t="s">
        <v>29</v>
      </c>
      <c r="AM349" s="18" t="s">
        <v>32</v>
      </c>
      <c r="AN349" s="18" t="s">
        <v>66</v>
      </c>
      <c r="AO349" s="18" t="s">
        <v>79</v>
      </c>
      <c r="AP349" s="18" t="s">
        <v>96</v>
      </c>
      <c r="AQ349" s="18" t="s">
        <v>107</v>
      </c>
      <c r="AR349" s="18" t="s">
        <v>118</v>
      </c>
      <c r="AS349" s="18" t="s">
        <v>198</v>
      </c>
      <c r="AT349" s="18" t="s">
        <v>235</v>
      </c>
      <c r="AU349" s="18"/>
      <c r="AV349" s="18">
        <f>+VLOOKUP(AN349,Leyenda!$B$30:$E$34,3,FALSE)</f>
        <v>1</v>
      </c>
      <c r="AW349" s="18">
        <f>+VLOOKUP('2. Logging Brejo Seco'!AO349,Meteorizacion,3,FALSE)</f>
        <v>1</v>
      </c>
      <c r="AX349" s="18">
        <f>+VLOOKUP('2. Logging Brejo Seco'!AP349,Apertura,3,FALSE)</f>
        <v>1</v>
      </c>
      <c r="AY349" s="18">
        <f>+VLOOKUP('2. Logging Brejo Seco'!AQ349,Leyenda!$B$55:$D$59,3,FALSE)</f>
        <v>3</v>
      </c>
      <c r="AZ349" s="18">
        <f>+VLOOKUP('2. Logging Brejo Seco'!AR349,Relleno,3,FALSE)</f>
        <v>2</v>
      </c>
      <c r="BA349" s="18">
        <f t="shared" si="124"/>
        <v>8</v>
      </c>
      <c r="BB349" s="49">
        <f t="shared" si="111"/>
        <v>0</v>
      </c>
      <c r="BC349" s="49">
        <f>VLOOKUP(AH349,Leyenda!$B$4:$D$10,3,FALSE)</f>
        <v>1</v>
      </c>
      <c r="BD349" s="50">
        <f t="shared" si="116"/>
        <v>3</v>
      </c>
      <c r="BE349" s="49">
        <f t="shared" si="117"/>
        <v>8</v>
      </c>
      <c r="BF349" s="49">
        <v>10</v>
      </c>
      <c r="BG349" s="67">
        <f t="shared" si="112"/>
        <v>12</v>
      </c>
      <c r="BH349" s="67">
        <f>VLOOKUP(AM349,Leyenda!$B$4:$E$10,4,FALSE)</f>
        <v>1</v>
      </c>
      <c r="BI349" s="67">
        <f t="shared" si="118"/>
        <v>5</v>
      </c>
      <c r="BJ349" s="67">
        <f t="shared" si="113"/>
        <v>0</v>
      </c>
      <c r="BK349" s="67">
        <f>+VLOOKUP('2. Logging Brejo Seco'!AP349,Leyenda!$B$47:$E$51,4,FALSE)</f>
        <v>1</v>
      </c>
      <c r="BL349" s="67">
        <f>+VLOOKUP('2. Logging Brejo Seco'!AQ349,Leyenda!$B$55:$E$59,4,FALSE)</f>
        <v>3</v>
      </c>
      <c r="BM349" s="67">
        <f>+VLOOKUP('2. Logging Brejo Seco'!AR349,Leyenda!$B$63:$E$67,3,FALSE)</f>
        <v>2</v>
      </c>
      <c r="BN349" s="67">
        <f>+VLOOKUP('2. Logging Brejo Seco'!AO349,Leyenda!$B$39:$E$43,4,FALSE)</f>
        <v>1</v>
      </c>
      <c r="BO349" s="67">
        <f>+VLOOKUP('2. Logging Brejo Seco'!AN349,Leyenda!$B$30:$E$34,4,FALSE)</f>
        <v>1</v>
      </c>
      <c r="BP349" s="67">
        <f>VLOOKUP(AS349,Leyenda!$B$71:$E$75,4,FALSE)</f>
        <v>10</v>
      </c>
      <c r="BQ349" s="125">
        <f t="shared" si="119"/>
        <v>24</v>
      </c>
      <c r="BR349" s="85">
        <f t="shared" si="120"/>
        <v>22</v>
      </c>
      <c r="BS349" s="240">
        <f t="shared" si="121"/>
        <v>0.9</v>
      </c>
      <c r="BT349" s="18" t="s">
        <v>752</v>
      </c>
    </row>
    <row r="350" spans="1:72" x14ac:dyDescent="0.25">
      <c r="A350" s="18" t="s">
        <v>6</v>
      </c>
      <c r="B350" s="18">
        <v>2024</v>
      </c>
      <c r="C350" s="18" t="s">
        <v>138</v>
      </c>
      <c r="D350" s="18" t="s">
        <v>130</v>
      </c>
      <c r="E350" s="18">
        <v>20</v>
      </c>
      <c r="F350" s="18">
        <v>30</v>
      </c>
      <c r="G350" s="18" t="s">
        <v>156</v>
      </c>
      <c r="H350" s="248">
        <f t="shared" si="122"/>
        <v>30</v>
      </c>
      <c r="I350" s="135"/>
      <c r="J350" s="18" t="s">
        <v>185</v>
      </c>
      <c r="K350" s="4">
        <f t="shared" si="107"/>
        <v>58.5</v>
      </c>
      <c r="L350" s="4">
        <v>59</v>
      </c>
      <c r="M350" s="4">
        <f t="shared" si="114"/>
        <v>0.5</v>
      </c>
      <c r="N350" s="5">
        <v>0.14000000000000001</v>
      </c>
      <c r="O350" s="5">
        <f t="shared" si="108"/>
        <v>0.86</v>
      </c>
      <c r="P350" s="31">
        <f t="shared" si="115"/>
        <v>7.0000000000000007E-2</v>
      </c>
      <c r="Q350" s="31">
        <f t="shared" si="110"/>
        <v>7.0000000000000007E-2</v>
      </c>
      <c r="R350" s="31">
        <v>3.5</v>
      </c>
      <c r="S350" s="31">
        <v>20</v>
      </c>
      <c r="T350" s="31">
        <v>7.0000000000000007E-2</v>
      </c>
      <c r="U350" s="31">
        <v>0</v>
      </c>
      <c r="V350" s="65">
        <f t="shared" si="123"/>
        <v>0</v>
      </c>
      <c r="W350" s="31">
        <v>10</v>
      </c>
      <c r="X350" s="31"/>
      <c r="Y350" s="31">
        <f t="shared" si="90"/>
        <v>10</v>
      </c>
      <c r="Z350" s="31">
        <f t="shared" si="109"/>
        <v>7</v>
      </c>
      <c r="AA350" s="18">
        <v>0</v>
      </c>
      <c r="AB350" s="18" t="s">
        <v>330</v>
      </c>
      <c r="AC350" s="18" t="s">
        <v>333</v>
      </c>
      <c r="AD350" s="18" t="s">
        <v>337</v>
      </c>
      <c r="AE350" s="18">
        <v>20</v>
      </c>
      <c r="AF350" s="18">
        <v>3.5</v>
      </c>
      <c r="AG350" s="18" t="s">
        <v>32</v>
      </c>
      <c r="AH350" s="18" t="s">
        <v>32</v>
      </c>
      <c r="AI350" s="18" t="str">
        <f>+VLOOKUP(AH350,Leyenda!$O$4:$U$10,6,FALSE)</f>
        <v>0,15-0,25</v>
      </c>
      <c r="AJ350" s="18" t="str">
        <f>+VLOOKUP(AG350,Leyenda!$O$4:$U$10,7,FALSE)</f>
        <v>No Blasting need</v>
      </c>
      <c r="AK350" s="18">
        <f>+VLOOKUP(AJ350,Leyenda!$U$4:$V$10,2,FALSE)</f>
        <v>2</v>
      </c>
      <c r="AL350" s="18" t="s">
        <v>29</v>
      </c>
      <c r="AM350" s="18" t="s">
        <v>32</v>
      </c>
      <c r="AN350" s="18" t="s">
        <v>66</v>
      </c>
      <c r="AO350" s="18" t="s">
        <v>79</v>
      </c>
      <c r="AP350" s="18" t="s">
        <v>96</v>
      </c>
      <c r="AQ350" s="18" t="s">
        <v>107</v>
      </c>
      <c r="AR350" s="18" t="s">
        <v>118</v>
      </c>
      <c r="AS350" s="18" t="s">
        <v>198</v>
      </c>
      <c r="AT350" s="18" t="s">
        <v>235</v>
      </c>
      <c r="AU350" s="18"/>
      <c r="AV350" s="18">
        <f>+VLOOKUP(AN350,Leyenda!$B$30:$E$34,3,FALSE)</f>
        <v>1</v>
      </c>
      <c r="AW350" s="18">
        <f>+VLOOKUP('2. Logging Brejo Seco'!AO350,Meteorizacion,3,FALSE)</f>
        <v>1</v>
      </c>
      <c r="AX350" s="18">
        <f>+VLOOKUP('2. Logging Brejo Seco'!AP350,Apertura,3,FALSE)</f>
        <v>1</v>
      </c>
      <c r="AY350" s="18">
        <f>+VLOOKUP('2. Logging Brejo Seco'!AQ350,Leyenda!$B$55:$D$59,3,FALSE)</f>
        <v>3</v>
      </c>
      <c r="AZ350" s="18">
        <f>+VLOOKUP('2. Logging Brejo Seco'!AR350,Relleno,3,FALSE)</f>
        <v>2</v>
      </c>
      <c r="BA350" s="18">
        <f t="shared" si="124"/>
        <v>8</v>
      </c>
      <c r="BB350" s="49">
        <f t="shared" si="111"/>
        <v>0</v>
      </c>
      <c r="BC350" s="49">
        <f>VLOOKUP(AH350,Leyenda!$B$4:$D$10,3,FALSE)</f>
        <v>1</v>
      </c>
      <c r="BD350" s="50">
        <f t="shared" si="116"/>
        <v>3</v>
      </c>
      <c r="BE350" s="49">
        <f t="shared" si="117"/>
        <v>8</v>
      </c>
      <c r="BF350" s="49">
        <v>10</v>
      </c>
      <c r="BG350" s="67">
        <f t="shared" si="112"/>
        <v>12</v>
      </c>
      <c r="BH350" s="67">
        <f>VLOOKUP(AM350,Leyenda!$B$4:$E$10,4,FALSE)</f>
        <v>1</v>
      </c>
      <c r="BI350" s="67">
        <f t="shared" si="118"/>
        <v>5</v>
      </c>
      <c r="BJ350" s="67">
        <f t="shared" si="113"/>
        <v>0</v>
      </c>
      <c r="BK350" s="67">
        <f>+VLOOKUP('2. Logging Brejo Seco'!AP350,Leyenda!$B$47:$E$51,4,FALSE)</f>
        <v>1</v>
      </c>
      <c r="BL350" s="67">
        <f>+VLOOKUP('2. Logging Brejo Seco'!AQ350,Leyenda!$B$55:$E$59,4,FALSE)</f>
        <v>3</v>
      </c>
      <c r="BM350" s="67">
        <f>+VLOOKUP('2. Logging Brejo Seco'!AR350,Leyenda!$B$63:$E$67,3,FALSE)</f>
        <v>2</v>
      </c>
      <c r="BN350" s="67">
        <f>+VLOOKUP('2. Logging Brejo Seco'!AO350,Leyenda!$B$39:$E$43,4,FALSE)</f>
        <v>1</v>
      </c>
      <c r="BO350" s="67">
        <f>+VLOOKUP('2. Logging Brejo Seco'!AN350,Leyenda!$B$30:$E$34,4,FALSE)</f>
        <v>1</v>
      </c>
      <c r="BP350" s="67">
        <f>VLOOKUP(AS350,Leyenda!$B$71:$E$75,4,FALSE)</f>
        <v>10</v>
      </c>
      <c r="BQ350" s="125">
        <f t="shared" si="119"/>
        <v>24</v>
      </c>
      <c r="BR350" s="85">
        <f t="shared" si="120"/>
        <v>22</v>
      </c>
      <c r="BS350" s="240">
        <f t="shared" si="121"/>
        <v>0.86</v>
      </c>
      <c r="BT350" s="18" t="s">
        <v>752</v>
      </c>
    </row>
    <row r="351" spans="1:72" x14ac:dyDescent="0.25">
      <c r="A351" s="18" t="s">
        <v>6</v>
      </c>
      <c r="B351" s="18">
        <v>2024</v>
      </c>
      <c r="C351" s="18" t="s">
        <v>138</v>
      </c>
      <c r="D351" s="18" t="s">
        <v>130</v>
      </c>
      <c r="E351" s="18">
        <v>20</v>
      </c>
      <c r="F351" s="18">
        <v>30</v>
      </c>
      <c r="G351" s="18" t="s">
        <v>156</v>
      </c>
      <c r="H351" s="248">
        <f t="shared" si="122"/>
        <v>30</v>
      </c>
      <c r="I351" s="135"/>
      <c r="J351" s="18"/>
      <c r="K351" s="4">
        <f t="shared" si="107"/>
        <v>59</v>
      </c>
      <c r="L351" s="4">
        <v>59.5</v>
      </c>
      <c r="M351" s="4">
        <f t="shared" si="114"/>
        <v>0.5</v>
      </c>
      <c r="N351" s="5">
        <v>0</v>
      </c>
      <c r="O351" s="5">
        <f t="shared" si="108"/>
        <v>1</v>
      </c>
      <c r="P351" s="31">
        <f t="shared" si="115"/>
        <v>0</v>
      </c>
      <c r="Q351" s="31">
        <f t="shared" si="110"/>
        <v>0</v>
      </c>
      <c r="R351" s="31" t="s">
        <v>348</v>
      </c>
      <c r="S351" s="31">
        <v>20</v>
      </c>
      <c r="T351" s="31">
        <v>0.5</v>
      </c>
      <c r="U351" s="31">
        <v>0</v>
      </c>
      <c r="V351" s="65">
        <f t="shared" si="123"/>
        <v>0</v>
      </c>
      <c r="W351" s="31">
        <v>10</v>
      </c>
      <c r="X351" s="31"/>
      <c r="Y351" s="31">
        <f t="shared" si="90"/>
        <v>10</v>
      </c>
      <c r="Z351" s="31">
        <f t="shared" si="109"/>
        <v>50</v>
      </c>
      <c r="AA351" s="18">
        <v>0</v>
      </c>
      <c r="AB351" s="18" t="s">
        <v>330</v>
      </c>
      <c r="AC351" s="18" t="s">
        <v>333</v>
      </c>
      <c r="AD351" s="18" t="s">
        <v>337</v>
      </c>
      <c r="AE351" s="18">
        <v>20</v>
      </c>
      <c r="AF351" s="18" t="s">
        <v>348</v>
      </c>
      <c r="AG351" s="18" t="s">
        <v>34</v>
      </c>
      <c r="AH351" s="18" t="s">
        <v>34</v>
      </c>
      <c r="AI351" s="18">
        <f>+VLOOKUP(AH351,Leyenda!$O$4:$U$10,6,FALSE)</f>
        <v>0</v>
      </c>
      <c r="AJ351" s="18" t="str">
        <f>+VLOOKUP(AG351,Leyenda!$O$4:$U$10,7,FALSE)</f>
        <v>No Blasting need</v>
      </c>
      <c r="AK351" s="18">
        <f>+VLOOKUP(AJ351,Leyenda!$U$4:$V$10,2,FALSE)</f>
        <v>2</v>
      </c>
      <c r="AL351" s="18" t="s">
        <v>29</v>
      </c>
      <c r="AM351" s="18" t="s">
        <v>34</v>
      </c>
      <c r="AN351" s="18" t="s">
        <v>66</v>
      </c>
      <c r="AO351" s="18" t="s">
        <v>79</v>
      </c>
      <c r="AP351" s="18" t="s">
        <v>96</v>
      </c>
      <c r="AQ351" s="18" t="s">
        <v>107</v>
      </c>
      <c r="AR351" s="18" t="s">
        <v>118</v>
      </c>
      <c r="AS351" s="18" t="s">
        <v>198</v>
      </c>
      <c r="AT351" s="18" t="s">
        <v>265</v>
      </c>
      <c r="AU351" s="18"/>
      <c r="AV351" s="18">
        <f>+VLOOKUP(AN351,Leyenda!$B$30:$E$34,3,FALSE)</f>
        <v>1</v>
      </c>
      <c r="AW351" s="18">
        <f>+VLOOKUP('2. Logging Brejo Seco'!AO351,Meteorizacion,3,FALSE)</f>
        <v>1</v>
      </c>
      <c r="AX351" s="18">
        <f>+VLOOKUP('2. Logging Brejo Seco'!AP351,Apertura,3,FALSE)</f>
        <v>1</v>
      </c>
      <c r="AY351" s="18">
        <f>+VLOOKUP('2. Logging Brejo Seco'!AQ351,Leyenda!$B$55:$D$59,3,FALSE)</f>
        <v>3</v>
      </c>
      <c r="AZ351" s="18">
        <f>+VLOOKUP('2. Logging Brejo Seco'!AR351,Relleno,3,FALSE)</f>
        <v>2</v>
      </c>
      <c r="BA351" s="18">
        <f t="shared" si="124"/>
        <v>8</v>
      </c>
      <c r="BB351" s="49">
        <f t="shared" si="111"/>
        <v>0</v>
      </c>
      <c r="BC351" s="49">
        <f>VLOOKUP(AH351,Leyenda!$B$4:$D$10,3,FALSE)</f>
        <v>0</v>
      </c>
      <c r="BD351" s="50">
        <f t="shared" si="116"/>
        <v>6</v>
      </c>
      <c r="BE351" s="49">
        <f t="shared" si="117"/>
        <v>8</v>
      </c>
      <c r="BF351" s="49">
        <v>10</v>
      </c>
      <c r="BG351" s="67">
        <f t="shared" si="112"/>
        <v>12</v>
      </c>
      <c r="BH351" s="67">
        <f>VLOOKUP(AM351,Leyenda!$B$4:$E$10,4,FALSE)</f>
        <v>0</v>
      </c>
      <c r="BI351" s="67">
        <f t="shared" si="118"/>
        <v>5</v>
      </c>
      <c r="BJ351" s="67">
        <f t="shared" si="113"/>
        <v>0</v>
      </c>
      <c r="BK351" s="67">
        <f>+VLOOKUP('2. Logging Brejo Seco'!AP351,Leyenda!$B$47:$E$51,4,FALSE)</f>
        <v>1</v>
      </c>
      <c r="BL351" s="67">
        <f>+VLOOKUP('2. Logging Brejo Seco'!AQ351,Leyenda!$B$55:$E$59,4,FALSE)</f>
        <v>3</v>
      </c>
      <c r="BM351" s="67">
        <f>+VLOOKUP('2. Logging Brejo Seco'!AR351,Leyenda!$B$63:$E$67,3,FALSE)</f>
        <v>2</v>
      </c>
      <c r="BN351" s="67">
        <f>+VLOOKUP('2. Logging Brejo Seco'!AO351,Leyenda!$B$39:$E$43,4,FALSE)</f>
        <v>1</v>
      </c>
      <c r="BO351" s="67">
        <f>+VLOOKUP('2. Logging Brejo Seco'!AN351,Leyenda!$B$30:$E$34,4,FALSE)</f>
        <v>1</v>
      </c>
      <c r="BP351" s="67">
        <f>VLOOKUP(AS351,Leyenda!$B$71:$E$75,4,FALSE)</f>
        <v>10</v>
      </c>
      <c r="BQ351" s="125">
        <f t="shared" si="119"/>
        <v>23</v>
      </c>
      <c r="BR351" s="85">
        <f t="shared" si="120"/>
        <v>24</v>
      </c>
      <c r="BS351" s="240">
        <f t="shared" si="121"/>
        <v>1</v>
      </c>
      <c r="BT351" s="18" t="s">
        <v>745</v>
      </c>
    </row>
    <row r="352" spans="1:72" x14ac:dyDescent="0.25">
      <c r="A352" s="18" t="s">
        <v>6</v>
      </c>
      <c r="B352" s="18">
        <v>2024</v>
      </c>
      <c r="C352" s="18" t="s">
        <v>138</v>
      </c>
      <c r="D352" s="18" t="s">
        <v>130</v>
      </c>
      <c r="E352" s="18">
        <v>20</v>
      </c>
      <c r="F352" s="18">
        <v>30</v>
      </c>
      <c r="G352" s="18" t="s">
        <v>156</v>
      </c>
      <c r="H352" s="248">
        <f t="shared" si="122"/>
        <v>30</v>
      </c>
      <c r="I352" s="135"/>
      <c r="J352" s="18"/>
      <c r="K352" s="4">
        <f t="shared" si="107"/>
        <v>59.5</v>
      </c>
      <c r="L352" s="4">
        <v>60</v>
      </c>
      <c r="M352" s="4">
        <f t="shared" si="114"/>
        <v>0.5</v>
      </c>
      <c r="N352" s="5">
        <v>0</v>
      </c>
      <c r="O352" s="5">
        <f t="shared" si="108"/>
        <v>1</v>
      </c>
      <c r="P352" s="31">
        <f t="shared" si="115"/>
        <v>0</v>
      </c>
      <c r="Q352" s="31">
        <f t="shared" si="110"/>
        <v>0</v>
      </c>
      <c r="R352" s="31" t="s">
        <v>348</v>
      </c>
      <c r="S352" s="31">
        <v>20</v>
      </c>
      <c r="T352" s="31">
        <v>0.5</v>
      </c>
      <c r="U352" s="31">
        <v>0</v>
      </c>
      <c r="V352" s="65">
        <f t="shared" si="123"/>
        <v>0</v>
      </c>
      <c r="W352" s="31">
        <v>10</v>
      </c>
      <c r="X352" s="31"/>
      <c r="Y352" s="31">
        <f t="shared" si="90"/>
        <v>10</v>
      </c>
      <c r="Z352" s="31">
        <f t="shared" si="109"/>
        <v>50</v>
      </c>
      <c r="AA352" s="18">
        <v>0</v>
      </c>
      <c r="AB352" s="18" t="s">
        <v>330</v>
      </c>
      <c r="AC352" s="18" t="s">
        <v>333</v>
      </c>
      <c r="AD352" s="18" t="s">
        <v>337</v>
      </c>
      <c r="AE352" s="18">
        <v>20</v>
      </c>
      <c r="AF352" s="18" t="s">
        <v>348</v>
      </c>
      <c r="AG352" s="18" t="s">
        <v>34</v>
      </c>
      <c r="AH352" s="18" t="s">
        <v>34</v>
      </c>
      <c r="AI352" s="18">
        <f>+VLOOKUP(AH352,Leyenda!$O$4:$U$10,6,FALSE)</f>
        <v>0</v>
      </c>
      <c r="AJ352" s="18" t="str">
        <f>+VLOOKUP(AG352,Leyenda!$O$4:$U$10,7,FALSE)</f>
        <v>No Blasting need</v>
      </c>
      <c r="AK352" s="18">
        <f>+VLOOKUP(AJ352,Leyenda!$U$4:$V$10,2,FALSE)</f>
        <v>2</v>
      </c>
      <c r="AL352" s="18" t="s">
        <v>29</v>
      </c>
      <c r="AM352" s="18" t="s">
        <v>34</v>
      </c>
      <c r="AN352" s="18" t="s">
        <v>66</v>
      </c>
      <c r="AO352" s="18" t="s">
        <v>79</v>
      </c>
      <c r="AP352" s="18" t="s">
        <v>96</v>
      </c>
      <c r="AQ352" s="18" t="s">
        <v>107</v>
      </c>
      <c r="AR352" s="18" t="s">
        <v>118</v>
      </c>
      <c r="AS352" s="18" t="s">
        <v>198</v>
      </c>
      <c r="AT352" s="18" t="s">
        <v>265</v>
      </c>
      <c r="AU352" s="18"/>
      <c r="AV352" s="18">
        <f>+VLOOKUP(AN352,Leyenda!$B$30:$E$34,3,FALSE)</f>
        <v>1</v>
      </c>
      <c r="AW352" s="18">
        <f>+VLOOKUP('2. Logging Brejo Seco'!AO352,Meteorizacion,3,FALSE)</f>
        <v>1</v>
      </c>
      <c r="AX352" s="18">
        <f>+VLOOKUP('2. Logging Brejo Seco'!AP352,Apertura,3,FALSE)</f>
        <v>1</v>
      </c>
      <c r="AY352" s="18">
        <f>+VLOOKUP('2. Logging Brejo Seco'!AQ352,Leyenda!$B$55:$D$59,3,FALSE)</f>
        <v>3</v>
      </c>
      <c r="AZ352" s="18">
        <f>+VLOOKUP('2. Logging Brejo Seco'!AR352,Relleno,3,FALSE)</f>
        <v>2</v>
      </c>
      <c r="BA352" s="18">
        <f t="shared" si="124"/>
        <v>8</v>
      </c>
      <c r="BB352" s="49">
        <f t="shared" si="111"/>
        <v>0</v>
      </c>
      <c r="BC352" s="49">
        <f>VLOOKUP(AH352,Leyenda!$B$4:$D$10,3,FALSE)</f>
        <v>0</v>
      </c>
      <c r="BD352" s="50">
        <f t="shared" si="116"/>
        <v>6</v>
      </c>
      <c r="BE352" s="49">
        <f t="shared" si="117"/>
        <v>8</v>
      </c>
      <c r="BF352" s="49">
        <v>10</v>
      </c>
      <c r="BG352" s="67">
        <f t="shared" si="112"/>
        <v>12</v>
      </c>
      <c r="BH352" s="67">
        <f>VLOOKUP(AM352,Leyenda!$B$4:$E$10,4,FALSE)</f>
        <v>0</v>
      </c>
      <c r="BI352" s="67">
        <f t="shared" si="118"/>
        <v>5</v>
      </c>
      <c r="BJ352" s="67">
        <f t="shared" si="113"/>
        <v>0</v>
      </c>
      <c r="BK352" s="67">
        <f>+VLOOKUP('2. Logging Brejo Seco'!AP352,Leyenda!$B$47:$E$51,4,FALSE)</f>
        <v>1</v>
      </c>
      <c r="BL352" s="67">
        <f>+VLOOKUP('2. Logging Brejo Seco'!AQ352,Leyenda!$B$55:$E$59,4,FALSE)</f>
        <v>3</v>
      </c>
      <c r="BM352" s="67">
        <f>+VLOOKUP('2. Logging Brejo Seco'!AR352,Leyenda!$B$63:$E$67,3,FALSE)</f>
        <v>2</v>
      </c>
      <c r="BN352" s="67">
        <f>+VLOOKUP('2. Logging Brejo Seco'!AO352,Leyenda!$B$39:$E$43,4,FALSE)</f>
        <v>1</v>
      </c>
      <c r="BO352" s="67">
        <f>+VLOOKUP('2. Logging Brejo Seco'!AN352,Leyenda!$B$30:$E$34,4,FALSE)</f>
        <v>1</v>
      </c>
      <c r="BP352" s="67">
        <f>VLOOKUP(AS352,Leyenda!$B$71:$E$75,4,FALSE)</f>
        <v>10</v>
      </c>
      <c r="BQ352" s="125">
        <f t="shared" si="119"/>
        <v>23</v>
      </c>
      <c r="BR352" s="85">
        <f t="shared" si="120"/>
        <v>24</v>
      </c>
      <c r="BS352" s="240">
        <f t="shared" si="121"/>
        <v>1</v>
      </c>
      <c r="BT352" s="18" t="s">
        <v>745</v>
      </c>
    </row>
    <row r="353" spans="1:72" x14ac:dyDescent="0.25">
      <c r="A353" s="35" t="s">
        <v>6</v>
      </c>
      <c r="B353" s="35">
        <v>2024</v>
      </c>
      <c r="C353" s="35" t="s">
        <v>138</v>
      </c>
      <c r="D353" s="35" t="s">
        <v>132</v>
      </c>
      <c r="E353" s="35">
        <v>60</v>
      </c>
      <c r="F353" s="35">
        <v>60</v>
      </c>
      <c r="G353" s="35" t="s">
        <v>136</v>
      </c>
      <c r="H353" s="248">
        <f t="shared" si="122"/>
        <v>60</v>
      </c>
      <c r="I353" s="246"/>
      <c r="J353" s="35" t="s">
        <v>164</v>
      </c>
      <c r="K353" s="131">
        <v>0</v>
      </c>
      <c r="L353" s="133">
        <v>0.5</v>
      </c>
      <c r="M353" s="4">
        <f t="shared" si="114"/>
        <v>0.5</v>
      </c>
      <c r="N353" s="5">
        <v>0.78</v>
      </c>
      <c r="O353" s="5">
        <f t="shared" si="108"/>
        <v>0.21999999999999997</v>
      </c>
      <c r="P353" s="31">
        <f t="shared" si="115"/>
        <v>0.39</v>
      </c>
      <c r="Q353" s="31">
        <f>+N353*M353</f>
        <v>0.39</v>
      </c>
      <c r="R353" s="31">
        <v>19.5</v>
      </c>
      <c r="S353" s="31">
        <v>20</v>
      </c>
      <c r="T353" s="31">
        <v>0.4</v>
      </c>
      <c r="U353" s="31">
        <v>0</v>
      </c>
      <c r="V353" s="65">
        <f t="shared" si="123"/>
        <v>0</v>
      </c>
      <c r="W353" s="132">
        <v>10</v>
      </c>
      <c r="X353" s="31"/>
      <c r="Y353" s="31">
        <f t="shared" si="90"/>
        <v>10</v>
      </c>
      <c r="Z353" s="31">
        <f t="shared" si="109"/>
        <v>40</v>
      </c>
      <c r="AA353" s="44">
        <v>32</v>
      </c>
      <c r="AB353" s="18" t="s">
        <v>330</v>
      </c>
      <c r="AC353" s="18" t="s">
        <v>333</v>
      </c>
      <c r="AD353" s="18" t="s">
        <v>335</v>
      </c>
      <c r="AE353" s="18">
        <v>20</v>
      </c>
      <c r="AF353" s="18">
        <v>19.5</v>
      </c>
      <c r="AG353" s="18" t="s">
        <v>34</v>
      </c>
      <c r="AH353" s="18" t="s">
        <v>34</v>
      </c>
      <c r="AI353" s="18">
        <f>+VLOOKUP(AH353,Leyenda!$O$4:$U$10,6,FALSE)</f>
        <v>0</v>
      </c>
      <c r="AJ353" s="18" t="str">
        <f>+VLOOKUP(AG353,Leyenda!$O$4:$U$10,7,FALSE)</f>
        <v>No Blasting need</v>
      </c>
      <c r="AK353" s="18">
        <f>+VLOOKUP(AJ353,Leyenda!$U$4:$V$10,2,FALSE)</f>
        <v>2</v>
      </c>
      <c r="AL353" s="18" t="s">
        <v>228</v>
      </c>
      <c r="AM353" s="18" t="s">
        <v>34</v>
      </c>
      <c r="AN353" s="18" t="s">
        <v>69</v>
      </c>
      <c r="AO353" s="18" t="s">
        <v>81</v>
      </c>
      <c r="AP353" s="18" t="s">
        <v>100</v>
      </c>
      <c r="AQ353" s="18" t="s">
        <v>111</v>
      </c>
      <c r="AR353" s="18" t="s">
        <v>122</v>
      </c>
      <c r="AS353" s="18" t="s">
        <v>198</v>
      </c>
      <c r="AT353" s="18"/>
      <c r="AU353" s="18"/>
      <c r="AV353" s="18">
        <f>+VLOOKUP(AN353,Leyenda!$B$30:$E$34,3,FALSE)</f>
        <v>0</v>
      </c>
      <c r="AW353" s="18">
        <f>+VLOOKUP('2. Logging Brejo Seco'!AO353,Meteorizacion,3,FALSE)</f>
        <v>0</v>
      </c>
      <c r="AX353" s="18">
        <f>+VLOOKUP('2. Logging Brejo Seco'!AP353,Apertura,3,FALSE)</f>
        <v>0</v>
      </c>
      <c r="AY353" s="18">
        <f>+VLOOKUP('2. Logging Brejo Seco'!AQ353,Leyenda!$B$55:$D$59,3,FALSE)</f>
        <v>0</v>
      </c>
      <c r="AZ353" s="18">
        <f>+VLOOKUP('2. Logging Brejo Seco'!AR353,Relleno,3,FALSE)</f>
        <v>0</v>
      </c>
      <c r="BA353" s="18">
        <f t="shared" si="124"/>
        <v>0</v>
      </c>
      <c r="BB353" s="49">
        <f t="shared" si="111"/>
        <v>0</v>
      </c>
      <c r="BC353" s="49">
        <f>VLOOKUP(AH353,Leyenda!$B$4:$D$10,3,FALSE)</f>
        <v>0</v>
      </c>
      <c r="BD353" s="50">
        <f t="shared" si="116"/>
        <v>5</v>
      </c>
      <c r="BE353" s="49">
        <f t="shared" si="117"/>
        <v>0</v>
      </c>
      <c r="BF353" s="49">
        <f>VLOOKUP(AS353,Leyenda!$B$70:$D$75,3,FALSE)</f>
        <v>15</v>
      </c>
      <c r="BG353" s="67">
        <f t="shared" si="112"/>
        <v>0</v>
      </c>
      <c r="BH353" s="67">
        <f>VLOOKUP(AM353,Leyenda!$B$4:$E$10,4,FALSE)</f>
        <v>0</v>
      </c>
      <c r="BI353" s="67">
        <f t="shared" si="118"/>
        <v>5</v>
      </c>
      <c r="BJ353" s="67">
        <f t="shared" si="113"/>
        <v>0</v>
      </c>
      <c r="BK353" s="67">
        <f>+VLOOKUP('2. Logging Brejo Seco'!AP353,Leyenda!$B$47:$E$51,4,FALSE)</f>
        <v>0</v>
      </c>
      <c r="BL353" s="67">
        <f>+VLOOKUP('2. Logging Brejo Seco'!AQ353,Leyenda!$B$55:$E$59,4,FALSE)</f>
        <v>0</v>
      </c>
      <c r="BM353" s="67">
        <f>+VLOOKUP('2. Logging Brejo Seco'!AR353,Leyenda!$B$63:$E$67,3,FALSE)</f>
        <v>0</v>
      </c>
      <c r="BN353" s="67">
        <f>+VLOOKUP('2. Logging Brejo Seco'!AO353,Leyenda!$B$39:$E$43,4,FALSE)</f>
        <v>0</v>
      </c>
      <c r="BO353" s="67">
        <f>+VLOOKUP('2. Logging Brejo Seco'!AN353,Leyenda!$B$30:$E$34,4,FALSE)</f>
        <v>0</v>
      </c>
      <c r="BP353" s="67">
        <f>VLOOKUP(AS353,Leyenda!$B$71:$E$75,4,FALSE)</f>
        <v>10</v>
      </c>
      <c r="BQ353" s="67">
        <f t="shared" si="119"/>
        <v>15</v>
      </c>
      <c r="BR353" s="18">
        <f t="shared" si="120"/>
        <v>20</v>
      </c>
      <c r="BS353" s="240">
        <f t="shared" si="121"/>
        <v>0.21999999999999997</v>
      </c>
      <c r="BT353" s="18"/>
    </row>
    <row r="354" spans="1:72" x14ac:dyDescent="0.25">
      <c r="A354" s="18" t="s">
        <v>6</v>
      </c>
      <c r="B354" s="18">
        <v>2024</v>
      </c>
      <c r="C354" s="18" t="s">
        <v>138</v>
      </c>
      <c r="D354" s="18" t="s">
        <v>132</v>
      </c>
      <c r="E354" s="18">
        <v>60</v>
      </c>
      <c r="F354" s="18">
        <v>60</v>
      </c>
      <c r="G354" s="18" t="s">
        <v>136</v>
      </c>
      <c r="H354" s="248">
        <f t="shared" si="122"/>
        <v>60</v>
      </c>
      <c r="I354" s="135"/>
      <c r="J354" s="18" t="s">
        <v>164</v>
      </c>
      <c r="K354" s="4">
        <f>+L353</f>
        <v>0.5</v>
      </c>
      <c r="L354" s="4">
        <v>1</v>
      </c>
      <c r="M354" s="4">
        <f t="shared" si="114"/>
        <v>0.5</v>
      </c>
      <c r="N354" s="5">
        <v>0.74</v>
      </c>
      <c r="O354" s="5">
        <f t="shared" si="108"/>
        <v>0.26</v>
      </c>
      <c r="P354" s="31">
        <f t="shared" si="115"/>
        <v>0.37</v>
      </c>
      <c r="Q354" s="31">
        <f t="shared" ref="Q354:Q418" si="125">+N354*M354</f>
        <v>0.37</v>
      </c>
      <c r="R354" s="31">
        <v>18.5</v>
      </c>
      <c r="S354" s="31">
        <v>20</v>
      </c>
      <c r="T354" s="31">
        <v>0.36</v>
      </c>
      <c r="U354" s="31">
        <v>0</v>
      </c>
      <c r="V354" s="65">
        <f t="shared" si="123"/>
        <v>0</v>
      </c>
      <c r="W354" s="31">
        <v>10</v>
      </c>
      <c r="X354" s="31"/>
      <c r="Y354" s="31">
        <f t="shared" si="90"/>
        <v>10</v>
      </c>
      <c r="Z354" s="31">
        <f t="shared" si="109"/>
        <v>36</v>
      </c>
      <c r="AA354" s="44">
        <v>0</v>
      </c>
      <c r="AB354" s="18" t="s">
        <v>330</v>
      </c>
      <c r="AC354" s="18" t="s">
        <v>333</v>
      </c>
      <c r="AD354" s="18" t="s">
        <v>335</v>
      </c>
      <c r="AE354" s="18">
        <v>20</v>
      </c>
      <c r="AF354" s="18">
        <v>18.5</v>
      </c>
      <c r="AG354" s="18" t="s">
        <v>34</v>
      </c>
      <c r="AH354" s="18" t="s">
        <v>34</v>
      </c>
      <c r="AI354" s="18">
        <f>+VLOOKUP(AH354,Leyenda!$O$4:$U$10,6,FALSE)</f>
        <v>0</v>
      </c>
      <c r="AJ354" s="18" t="str">
        <f>+VLOOKUP(AG354,Leyenda!$O$4:$U$10,7,FALSE)</f>
        <v>No Blasting need</v>
      </c>
      <c r="AK354" s="18">
        <f>+VLOOKUP(AJ354,Leyenda!$U$4:$V$10,2,FALSE)</f>
        <v>2</v>
      </c>
      <c r="AL354" s="18" t="s">
        <v>228</v>
      </c>
      <c r="AM354" s="18" t="s">
        <v>34</v>
      </c>
      <c r="AN354" s="18" t="s">
        <v>69</v>
      </c>
      <c r="AO354" s="18" t="s">
        <v>81</v>
      </c>
      <c r="AP354" s="18" t="s">
        <v>100</v>
      </c>
      <c r="AQ354" s="18" t="s">
        <v>111</v>
      </c>
      <c r="AR354" s="18" t="s">
        <v>122</v>
      </c>
      <c r="AS354" s="18" t="s">
        <v>198</v>
      </c>
      <c r="AT354" s="18"/>
      <c r="AU354" s="18"/>
      <c r="AV354" s="18">
        <f>+VLOOKUP(AN354,Leyenda!$B$30:$E$34,3,FALSE)</f>
        <v>0</v>
      </c>
      <c r="AW354" s="18">
        <f>+VLOOKUP('2. Logging Brejo Seco'!AO354,Meteorizacion,3,FALSE)</f>
        <v>0</v>
      </c>
      <c r="AX354" s="18">
        <f>+VLOOKUP('2. Logging Brejo Seco'!AP354,Apertura,3,FALSE)</f>
        <v>0</v>
      </c>
      <c r="AY354" s="18">
        <f>+VLOOKUP('2. Logging Brejo Seco'!AQ354,Leyenda!$B$55:$D$59,3,FALSE)</f>
        <v>0</v>
      </c>
      <c r="AZ354" s="18">
        <f>+VLOOKUP('2. Logging Brejo Seco'!AR354,Relleno,3,FALSE)</f>
        <v>0</v>
      </c>
      <c r="BA354" s="18">
        <f t="shared" si="124"/>
        <v>0</v>
      </c>
      <c r="BB354" s="49">
        <f t="shared" si="111"/>
        <v>0</v>
      </c>
      <c r="BC354" s="49">
        <f>VLOOKUP(AH354,Leyenda!$B$4:$D$10,3,FALSE)</f>
        <v>0</v>
      </c>
      <c r="BD354" s="50">
        <f t="shared" si="116"/>
        <v>5</v>
      </c>
      <c r="BE354" s="49">
        <f t="shared" si="117"/>
        <v>0</v>
      </c>
      <c r="BF354" s="49">
        <f>VLOOKUP(AS354,Leyenda!$B$70:$D$75,3,FALSE)</f>
        <v>15</v>
      </c>
      <c r="BG354" s="67">
        <f t="shared" si="112"/>
        <v>0</v>
      </c>
      <c r="BH354" s="67">
        <f>VLOOKUP(AM354,Leyenda!$B$4:$E$10,4,FALSE)</f>
        <v>0</v>
      </c>
      <c r="BI354" s="67">
        <f t="shared" si="118"/>
        <v>5</v>
      </c>
      <c r="BJ354" s="67">
        <f t="shared" si="113"/>
        <v>0</v>
      </c>
      <c r="BK354" s="67">
        <f>+VLOOKUP('2. Logging Brejo Seco'!AP354,Leyenda!$B$47:$E$51,4,FALSE)</f>
        <v>0</v>
      </c>
      <c r="BL354" s="67">
        <f>+VLOOKUP('2. Logging Brejo Seco'!AQ354,Leyenda!$B$55:$E$59,4,FALSE)</f>
        <v>0</v>
      </c>
      <c r="BM354" s="67">
        <f>+VLOOKUP('2. Logging Brejo Seco'!AR354,Leyenda!$B$63:$E$67,3,FALSE)</f>
        <v>0</v>
      </c>
      <c r="BN354" s="67">
        <f>+VLOOKUP('2. Logging Brejo Seco'!AO354,Leyenda!$B$39:$E$43,4,FALSE)</f>
        <v>0</v>
      </c>
      <c r="BO354" s="67">
        <f>+VLOOKUP('2. Logging Brejo Seco'!AN354,Leyenda!$B$30:$E$34,4,FALSE)</f>
        <v>0</v>
      </c>
      <c r="BP354" s="67">
        <f>VLOOKUP(AS354,Leyenda!$B$71:$E$75,4,FALSE)</f>
        <v>10</v>
      </c>
      <c r="BQ354" s="67">
        <f t="shared" si="119"/>
        <v>15</v>
      </c>
      <c r="BR354" s="18">
        <f t="shared" si="120"/>
        <v>20</v>
      </c>
      <c r="BS354" s="240">
        <f t="shared" si="121"/>
        <v>0.26</v>
      </c>
      <c r="BT354" s="18"/>
    </row>
    <row r="355" spans="1:72" x14ac:dyDescent="0.25">
      <c r="A355" s="18" t="s">
        <v>6</v>
      </c>
      <c r="B355" s="18">
        <v>2024</v>
      </c>
      <c r="C355" s="18" t="s">
        <v>138</v>
      </c>
      <c r="D355" s="18" t="s">
        <v>132</v>
      </c>
      <c r="E355" s="18">
        <v>60</v>
      </c>
      <c r="F355" s="18">
        <v>60</v>
      </c>
      <c r="G355" s="18" t="s">
        <v>136</v>
      </c>
      <c r="H355" s="248">
        <f t="shared" si="122"/>
        <v>60</v>
      </c>
      <c r="I355" s="135"/>
      <c r="J355" s="18" t="s">
        <v>165</v>
      </c>
      <c r="K355" s="4">
        <f>+L354</f>
        <v>1</v>
      </c>
      <c r="L355" s="4">
        <v>1.5</v>
      </c>
      <c r="M355" s="4">
        <f t="shared" si="114"/>
        <v>0.5</v>
      </c>
      <c r="N355" s="5">
        <v>0.66</v>
      </c>
      <c r="O355" s="5">
        <f t="shared" si="108"/>
        <v>0.33999999999999997</v>
      </c>
      <c r="P355" s="31">
        <f t="shared" si="115"/>
        <v>0.33</v>
      </c>
      <c r="Q355" s="31">
        <f t="shared" si="125"/>
        <v>0.33</v>
      </c>
      <c r="R355" s="31">
        <v>16.5</v>
      </c>
      <c r="S355" s="31">
        <v>20</v>
      </c>
      <c r="T355" s="31">
        <v>0.27</v>
      </c>
      <c r="U355" s="31">
        <v>0</v>
      </c>
      <c r="V355" s="65">
        <f t="shared" si="123"/>
        <v>0</v>
      </c>
      <c r="W355" s="31">
        <v>10</v>
      </c>
      <c r="X355" s="31"/>
      <c r="Y355" s="31">
        <f t="shared" ref="Y355:Y411" si="126">+W355+X355</f>
        <v>10</v>
      </c>
      <c r="Z355" s="31">
        <f t="shared" ref="Z355:Z394" si="127">+IF(T355=0,"",(T355*1000)/Y355)</f>
        <v>27</v>
      </c>
      <c r="AA355" s="44">
        <v>0</v>
      </c>
      <c r="AB355" s="18" t="s">
        <v>100</v>
      </c>
      <c r="AC355" s="18" t="s">
        <v>333</v>
      </c>
      <c r="AD355" s="18" t="s">
        <v>336</v>
      </c>
      <c r="AE355" s="18">
        <v>20</v>
      </c>
      <c r="AF355" s="18">
        <v>16.5</v>
      </c>
      <c r="AG355" s="18" t="s">
        <v>32</v>
      </c>
      <c r="AH355" s="18" t="s">
        <v>32</v>
      </c>
      <c r="AI355" s="18" t="str">
        <f>+VLOOKUP(AH355,Leyenda!$O$4:$U$10,6,FALSE)</f>
        <v>0,15-0,25</v>
      </c>
      <c r="AJ355" s="18" t="str">
        <f>+VLOOKUP(AG355,Leyenda!$O$4:$U$10,7,FALSE)</f>
        <v>No Blasting need</v>
      </c>
      <c r="AK355" s="18">
        <f>+VLOOKUP(AJ355,Leyenda!$U$4:$V$10,2,FALSE)</f>
        <v>2</v>
      </c>
      <c r="AL355" s="18" t="s">
        <v>228</v>
      </c>
      <c r="AM355" s="18" t="s">
        <v>34</v>
      </c>
      <c r="AN355" s="18" t="s">
        <v>69</v>
      </c>
      <c r="AO355" s="18" t="s">
        <v>81</v>
      </c>
      <c r="AP355" s="18" t="s">
        <v>100</v>
      </c>
      <c r="AQ355" s="18" t="s">
        <v>111</v>
      </c>
      <c r="AR355" s="18" t="s">
        <v>122</v>
      </c>
      <c r="AS355" s="18" t="s">
        <v>198</v>
      </c>
      <c r="AT355" s="18"/>
      <c r="AU355" s="18"/>
      <c r="AV355" s="18">
        <f>+VLOOKUP(AN355,Leyenda!$B$30:$E$34,3,FALSE)</f>
        <v>0</v>
      </c>
      <c r="AW355" s="18">
        <f>+VLOOKUP('2. Logging Brejo Seco'!AO355,Meteorizacion,3,FALSE)</f>
        <v>0</v>
      </c>
      <c r="AX355" s="18">
        <f>+VLOOKUP('2. Logging Brejo Seco'!AP355,Apertura,3,FALSE)</f>
        <v>0</v>
      </c>
      <c r="AY355" s="18">
        <f>+VLOOKUP('2. Logging Brejo Seco'!AQ355,Leyenda!$B$55:$D$59,3,FALSE)</f>
        <v>0</v>
      </c>
      <c r="AZ355" s="18">
        <f>+VLOOKUP('2. Logging Brejo Seco'!AR355,Relleno,3,FALSE)</f>
        <v>0</v>
      </c>
      <c r="BA355" s="18">
        <f t="shared" si="124"/>
        <v>0</v>
      </c>
      <c r="BB355" s="49">
        <f t="shared" si="111"/>
        <v>0</v>
      </c>
      <c r="BC355" s="49">
        <f>VLOOKUP(AH355,Leyenda!$B$4:$D$10,3,FALSE)</f>
        <v>1</v>
      </c>
      <c r="BD355" s="50">
        <f t="shared" si="116"/>
        <v>5</v>
      </c>
      <c r="BE355" s="49">
        <f t="shared" si="117"/>
        <v>0</v>
      </c>
      <c r="BF355" s="49">
        <f>VLOOKUP(AS355,Leyenda!$B$70:$D$75,3,FALSE)</f>
        <v>15</v>
      </c>
      <c r="BG355" s="67">
        <f t="shared" si="112"/>
        <v>0</v>
      </c>
      <c r="BH355" s="67">
        <f>VLOOKUP(AM355,Leyenda!$B$4:$E$10,4,FALSE)</f>
        <v>0</v>
      </c>
      <c r="BI355" s="67">
        <f t="shared" si="118"/>
        <v>5</v>
      </c>
      <c r="BJ355" s="67">
        <f t="shared" si="113"/>
        <v>0</v>
      </c>
      <c r="BK355" s="67">
        <f>+VLOOKUP('2. Logging Brejo Seco'!AP355,Leyenda!$B$47:$E$51,4,FALSE)</f>
        <v>0</v>
      </c>
      <c r="BL355" s="67">
        <f>+VLOOKUP('2. Logging Brejo Seco'!AQ355,Leyenda!$B$55:$E$59,4,FALSE)</f>
        <v>0</v>
      </c>
      <c r="BM355" s="67">
        <f>+VLOOKUP('2. Logging Brejo Seco'!AR355,Leyenda!$B$63:$E$67,3,FALSE)</f>
        <v>0</v>
      </c>
      <c r="BN355" s="67">
        <f>+VLOOKUP('2. Logging Brejo Seco'!AO355,Leyenda!$B$39:$E$43,4,FALSE)</f>
        <v>0</v>
      </c>
      <c r="BO355" s="67">
        <f>+VLOOKUP('2. Logging Brejo Seco'!AN355,Leyenda!$B$30:$E$34,4,FALSE)</f>
        <v>0</v>
      </c>
      <c r="BP355" s="67">
        <f>VLOOKUP(AS355,Leyenda!$B$71:$E$75,4,FALSE)</f>
        <v>10</v>
      </c>
      <c r="BQ355" s="67">
        <f t="shared" si="119"/>
        <v>15</v>
      </c>
      <c r="BR355" s="18">
        <f t="shared" si="120"/>
        <v>21</v>
      </c>
      <c r="BS355" s="240">
        <f t="shared" si="121"/>
        <v>0.33999999999999997</v>
      </c>
      <c r="BT355" s="18"/>
    </row>
    <row r="356" spans="1:72" x14ac:dyDescent="0.25">
      <c r="A356" s="18" t="s">
        <v>6</v>
      </c>
      <c r="B356" s="18">
        <v>2024</v>
      </c>
      <c r="C356" s="18" t="s">
        <v>138</v>
      </c>
      <c r="D356" s="18" t="s">
        <v>132</v>
      </c>
      <c r="E356" s="18">
        <v>60</v>
      </c>
      <c r="F356" s="18">
        <v>60</v>
      </c>
      <c r="G356" s="18" t="s">
        <v>136</v>
      </c>
      <c r="H356" s="248">
        <f t="shared" si="122"/>
        <v>60</v>
      </c>
      <c r="I356" s="135"/>
      <c r="J356" s="18" t="s">
        <v>165</v>
      </c>
      <c r="K356" s="4">
        <f t="shared" ref="K356:K413" si="128">+L355</f>
        <v>1.5</v>
      </c>
      <c r="L356" s="4">
        <v>2.12</v>
      </c>
      <c r="M356" s="4">
        <f t="shared" si="114"/>
        <v>0.62000000000000011</v>
      </c>
      <c r="N356" s="5">
        <v>1</v>
      </c>
      <c r="O356" s="5">
        <f t="shared" si="108"/>
        <v>0</v>
      </c>
      <c r="P356" s="31">
        <f t="shared" si="115"/>
        <v>0.62000000000000011</v>
      </c>
      <c r="Q356" s="31">
        <f t="shared" si="125"/>
        <v>0.62000000000000011</v>
      </c>
      <c r="R356" s="31">
        <v>62.000000000000014</v>
      </c>
      <c r="S356" s="31">
        <v>10</v>
      </c>
      <c r="T356" s="31">
        <v>0.55000000000000004</v>
      </c>
      <c r="U356" s="31">
        <v>0.4</v>
      </c>
      <c r="V356" s="65">
        <f t="shared" si="123"/>
        <v>64.51612903225805</v>
      </c>
      <c r="W356" s="31">
        <v>3</v>
      </c>
      <c r="X356" s="31"/>
      <c r="Y356" s="31">
        <f t="shared" si="126"/>
        <v>3</v>
      </c>
      <c r="Z356" s="31">
        <f t="shared" si="127"/>
        <v>183.33333333333334</v>
      </c>
      <c r="AA356" s="44">
        <v>95</v>
      </c>
      <c r="AB356" s="18" t="s">
        <v>96</v>
      </c>
      <c r="AC356" s="18" t="s">
        <v>120</v>
      </c>
      <c r="AD356" s="18" t="s">
        <v>337</v>
      </c>
      <c r="AE356" s="18">
        <v>10</v>
      </c>
      <c r="AF356" s="18">
        <v>62.000000000000014</v>
      </c>
      <c r="AG356" s="18" t="s">
        <v>29</v>
      </c>
      <c r="AH356" s="18" t="s">
        <v>29</v>
      </c>
      <c r="AI356" s="18" t="str">
        <f>+VLOOKUP(AH356,Leyenda!$O$4:$U$10,6,FALSE)</f>
        <v>0,25-0,35</v>
      </c>
      <c r="AJ356" s="18" t="str">
        <f>+VLOOKUP(AG356,Leyenda!$O$4:$U$10,7,FALSE)</f>
        <v>No Blasting need</v>
      </c>
      <c r="AK356" s="18">
        <f>+VLOOKUP(AJ356,Leyenda!$U$4:$V$10,2,FALSE)</f>
        <v>2</v>
      </c>
      <c r="AL356" s="18" t="s">
        <v>239</v>
      </c>
      <c r="AM356" s="18" t="s">
        <v>34</v>
      </c>
      <c r="AN356" s="18" t="s">
        <v>69</v>
      </c>
      <c r="AO356" s="18" t="s">
        <v>81</v>
      </c>
      <c r="AP356" s="18" t="s">
        <v>100</v>
      </c>
      <c r="AQ356" s="18" t="s">
        <v>109</v>
      </c>
      <c r="AR356" s="18" t="s">
        <v>122</v>
      </c>
      <c r="AS356" s="18" t="s">
        <v>247</v>
      </c>
      <c r="AT356" s="18"/>
      <c r="AU356" s="18"/>
      <c r="AV356" s="18">
        <f>+VLOOKUP(AN356,Leyenda!$B$30:$E$34,3,FALSE)</f>
        <v>0</v>
      </c>
      <c r="AW356" s="18">
        <f>+VLOOKUP('2. Logging Brejo Seco'!AO356,Meteorizacion,3,FALSE)</f>
        <v>0</v>
      </c>
      <c r="AX356" s="18">
        <f>+VLOOKUP('2. Logging Brejo Seco'!AP356,Apertura,3,FALSE)</f>
        <v>0</v>
      </c>
      <c r="AY356" s="18">
        <f>+VLOOKUP('2. Logging Brejo Seco'!AQ356,Leyenda!$B$55:$D$59,3,FALSE)</f>
        <v>1</v>
      </c>
      <c r="AZ356" s="18">
        <f>+VLOOKUP('2. Logging Brejo Seco'!AR356,Relleno,3,FALSE)</f>
        <v>0</v>
      </c>
      <c r="BA356" s="18">
        <f t="shared" si="124"/>
        <v>1</v>
      </c>
      <c r="BB356" s="49">
        <f t="shared" si="111"/>
        <v>13</v>
      </c>
      <c r="BC356" s="49">
        <f>VLOOKUP(AH356,Leyenda!$B$4:$D$10,3,FALSE)</f>
        <v>2</v>
      </c>
      <c r="BD356" s="50">
        <f t="shared" si="116"/>
        <v>9</v>
      </c>
      <c r="BE356" s="49">
        <f t="shared" si="117"/>
        <v>1</v>
      </c>
      <c r="BF356" s="49">
        <f>VLOOKUP(AS356,Leyenda!$B$70:$D$75,3,FALSE)</f>
        <v>10</v>
      </c>
      <c r="BG356" s="67">
        <f t="shared" si="112"/>
        <v>33.758064516129025</v>
      </c>
      <c r="BH356" s="67">
        <f>VLOOKUP(AM356,Leyenda!$B$4:$E$10,4,FALSE)</f>
        <v>0</v>
      </c>
      <c r="BI356" s="67">
        <f t="shared" si="118"/>
        <v>12</v>
      </c>
      <c r="BJ356" s="67">
        <f t="shared" si="113"/>
        <v>13</v>
      </c>
      <c r="BK356" s="67">
        <f>+VLOOKUP('2. Logging Brejo Seco'!AP356,Leyenda!$B$47:$E$51,4,FALSE)</f>
        <v>0</v>
      </c>
      <c r="BL356" s="67">
        <f>+VLOOKUP('2. Logging Brejo Seco'!AQ356,Leyenda!$B$55:$E$59,4,FALSE)</f>
        <v>1</v>
      </c>
      <c r="BM356" s="67">
        <f>+VLOOKUP('2. Logging Brejo Seco'!AR356,Leyenda!$B$63:$E$67,3,FALSE)</f>
        <v>0</v>
      </c>
      <c r="BN356" s="67">
        <f>+VLOOKUP('2. Logging Brejo Seco'!AO356,Leyenda!$B$39:$E$43,4,FALSE)</f>
        <v>0</v>
      </c>
      <c r="BO356" s="67">
        <f>+VLOOKUP('2. Logging Brejo Seco'!AN356,Leyenda!$B$30:$E$34,4,FALSE)</f>
        <v>0</v>
      </c>
      <c r="BP356" s="67">
        <f>VLOOKUP(AS356,Leyenda!$B$71:$E$75,4,FALSE)</f>
        <v>7</v>
      </c>
      <c r="BQ356" s="67">
        <f t="shared" si="119"/>
        <v>33</v>
      </c>
      <c r="BR356" s="18">
        <f t="shared" si="120"/>
        <v>35</v>
      </c>
      <c r="BS356" s="240">
        <f t="shared" si="121"/>
        <v>0</v>
      </c>
      <c r="BT356" s="18"/>
    </row>
    <row r="357" spans="1:72" x14ac:dyDescent="0.25">
      <c r="A357" s="18" t="s">
        <v>6</v>
      </c>
      <c r="B357" s="18">
        <v>2024</v>
      </c>
      <c r="C357" s="18" t="s">
        <v>138</v>
      </c>
      <c r="D357" s="18" t="s">
        <v>132</v>
      </c>
      <c r="E357" s="18">
        <v>60</v>
      </c>
      <c r="F357" s="18">
        <v>40</v>
      </c>
      <c r="G357" s="18" t="s">
        <v>136</v>
      </c>
      <c r="H357" s="248">
        <f t="shared" si="122"/>
        <v>40</v>
      </c>
      <c r="I357" s="135"/>
      <c r="J357" s="18" t="s">
        <v>165</v>
      </c>
      <c r="K357" s="4">
        <f t="shared" si="128"/>
        <v>2.12</v>
      </c>
      <c r="L357" s="4">
        <v>2.4</v>
      </c>
      <c r="M357" s="4">
        <f t="shared" si="114"/>
        <v>0.2799999999999998</v>
      </c>
      <c r="N357" s="5">
        <v>1</v>
      </c>
      <c r="O357" s="5">
        <f t="shared" si="108"/>
        <v>0</v>
      </c>
      <c r="P357" s="31">
        <f t="shared" si="115"/>
        <v>0.2799999999999998</v>
      </c>
      <c r="Q357" s="31">
        <f t="shared" si="125"/>
        <v>0.2799999999999998</v>
      </c>
      <c r="R357" s="31">
        <v>699.99999999999977</v>
      </c>
      <c r="S357" s="31">
        <v>1</v>
      </c>
      <c r="T357" s="31">
        <v>0.24</v>
      </c>
      <c r="U357" s="31">
        <v>0.24</v>
      </c>
      <c r="V357" s="65">
        <f t="shared" si="123"/>
        <v>85.714285714285779</v>
      </c>
      <c r="W357" s="31">
        <v>2</v>
      </c>
      <c r="X357" s="31"/>
      <c r="Y357" s="31">
        <f t="shared" si="126"/>
        <v>2</v>
      </c>
      <c r="Z357" s="31">
        <f t="shared" si="127"/>
        <v>120</v>
      </c>
      <c r="AA357" s="44">
        <v>30</v>
      </c>
      <c r="AB357" s="18" t="s">
        <v>96</v>
      </c>
      <c r="AC357" s="18" t="s">
        <v>333</v>
      </c>
      <c r="AD357" s="18" t="s">
        <v>334</v>
      </c>
      <c r="AE357" s="18">
        <v>20</v>
      </c>
      <c r="AF357" s="18">
        <v>34.999999999999986</v>
      </c>
      <c r="AG357" s="18" t="s">
        <v>24</v>
      </c>
      <c r="AH357" s="18" t="s">
        <v>24</v>
      </c>
      <c r="AI357" s="18" t="str">
        <f>+VLOOKUP(AH357,Leyenda!$O$4:$U$10,6,FALSE)</f>
        <v>0,50-0,80</v>
      </c>
      <c r="AJ357" s="18" t="str">
        <f>+VLOOKUP(AG357,Leyenda!$O$4:$U$10,7,FALSE)</f>
        <v>Fairly easy to blast</v>
      </c>
      <c r="AK357" s="18">
        <f>+VLOOKUP(AJ357,Leyenda!$U$4:$V$10,2,FALSE)</f>
        <v>4</v>
      </c>
      <c r="AL357" s="18" t="s">
        <v>24</v>
      </c>
      <c r="AM357" s="18" t="s">
        <v>24</v>
      </c>
      <c r="AN357" s="18" t="s">
        <v>69</v>
      </c>
      <c r="AO357" s="18" t="s">
        <v>81</v>
      </c>
      <c r="AP357" s="18" t="s">
        <v>100</v>
      </c>
      <c r="AQ357" s="18" t="s">
        <v>109</v>
      </c>
      <c r="AR357" s="18" t="s">
        <v>122</v>
      </c>
      <c r="AS357" s="18" t="s">
        <v>247</v>
      </c>
      <c r="AT357" s="18"/>
      <c r="AU357" s="18"/>
      <c r="AV357" s="18">
        <f>+VLOOKUP(AN357,Leyenda!$B$30:$E$34,3,FALSE)</f>
        <v>0</v>
      </c>
      <c r="AW357" s="18">
        <f>+VLOOKUP('2. Logging Brejo Seco'!AO357,Meteorizacion,3,FALSE)</f>
        <v>0</v>
      </c>
      <c r="AX357" s="18">
        <f>+VLOOKUP('2. Logging Brejo Seco'!AP357,Apertura,3,FALSE)</f>
        <v>0</v>
      </c>
      <c r="AY357" s="18">
        <f>+VLOOKUP('2. Logging Brejo Seco'!AQ357,Leyenda!$B$55:$D$59,3,FALSE)</f>
        <v>1</v>
      </c>
      <c r="AZ357" s="18">
        <f>+VLOOKUP('2. Logging Brejo Seco'!AR357,Relleno,3,FALSE)</f>
        <v>0</v>
      </c>
      <c r="BA357" s="18">
        <f t="shared" si="124"/>
        <v>1</v>
      </c>
      <c r="BB357" s="49">
        <f t="shared" si="111"/>
        <v>17</v>
      </c>
      <c r="BC357" s="49">
        <f>VLOOKUP(AH357,Leyenda!$B$4:$D$10,3,FALSE)</f>
        <v>7</v>
      </c>
      <c r="BD357" s="50">
        <f t="shared" si="116"/>
        <v>8</v>
      </c>
      <c r="BE357" s="49">
        <f t="shared" si="117"/>
        <v>1</v>
      </c>
      <c r="BF357" s="49">
        <f>VLOOKUP(AS357,Leyenda!$B$70:$D$75,3,FALSE)</f>
        <v>10</v>
      </c>
      <c r="BG357" s="67">
        <f t="shared" si="112"/>
        <v>44.35714285714289</v>
      </c>
      <c r="BH357" s="67">
        <f>VLOOKUP(AM357,Leyenda!$B$4:$E$10,4,FALSE)</f>
        <v>7</v>
      </c>
      <c r="BI357" s="67">
        <f t="shared" si="118"/>
        <v>9</v>
      </c>
      <c r="BJ357" s="67">
        <f t="shared" si="113"/>
        <v>17</v>
      </c>
      <c r="BK357" s="67">
        <f>+VLOOKUP('2. Logging Brejo Seco'!AP357,Leyenda!$B$47:$E$51,4,FALSE)</f>
        <v>0</v>
      </c>
      <c r="BL357" s="67">
        <f>+VLOOKUP('2. Logging Brejo Seco'!AQ357,Leyenda!$B$55:$E$59,4,FALSE)</f>
        <v>1</v>
      </c>
      <c r="BM357" s="67">
        <f>+VLOOKUP('2. Logging Brejo Seco'!AR357,Leyenda!$B$63:$E$67,3,FALSE)</f>
        <v>0</v>
      </c>
      <c r="BN357" s="67">
        <f>+VLOOKUP('2. Logging Brejo Seco'!AO357,Leyenda!$B$39:$E$43,4,FALSE)</f>
        <v>0</v>
      </c>
      <c r="BO357" s="67">
        <f>+VLOOKUP('2. Logging Brejo Seco'!AN357,Leyenda!$B$30:$E$34,4,FALSE)</f>
        <v>0</v>
      </c>
      <c r="BP357" s="67">
        <f>VLOOKUP(AS357,Leyenda!$B$71:$E$75,4,FALSE)</f>
        <v>7</v>
      </c>
      <c r="BQ357" s="67">
        <f t="shared" si="119"/>
        <v>41</v>
      </c>
      <c r="BR357" s="18">
        <f t="shared" si="120"/>
        <v>43</v>
      </c>
      <c r="BS357" s="240">
        <f t="shared" si="121"/>
        <v>0</v>
      </c>
      <c r="BT357" s="18"/>
    </row>
    <row r="358" spans="1:72" x14ac:dyDescent="0.25">
      <c r="A358" s="18" t="s">
        <v>6</v>
      </c>
      <c r="B358" s="18">
        <v>2024</v>
      </c>
      <c r="C358" s="18" t="s">
        <v>138</v>
      </c>
      <c r="D358" s="18" t="s">
        <v>132</v>
      </c>
      <c r="E358" s="18">
        <v>60</v>
      </c>
      <c r="F358" s="18">
        <v>40</v>
      </c>
      <c r="G358" s="18" t="s">
        <v>136</v>
      </c>
      <c r="H358" s="248">
        <f t="shared" si="122"/>
        <v>40</v>
      </c>
      <c r="I358" s="135"/>
      <c r="J358" s="18" t="s">
        <v>165</v>
      </c>
      <c r="K358" s="4">
        <v>2.4</v>
      </c>
      <c r="L358" s="4">
        <v>2.8</v>
      </c>
      <c r="M358" s="4">
        <f t="shared" si="114"/>
        <v>0.39999999999999991</v>
      </c>
      <c r="N358" s="5">
        <v>1</v>
      </c>
      <c r="O358" s="5">
        <f t="shared" si="108"/>
        <v>0</v>
      </c>
      <c r="P358" s="31">
        <f t="shared" si="115"/>
        <v>0.39999999999999991</v>
      </c>
      <c r="Q358" s="31">
        <f t="shared" si="125"/>
        <v>0.39999999999999991</v>
      </c>
      <c r="R358" s="31"/>
      <c r="S358" s="31"/>
      <c r="T358" s="31">
        <v>0.41</v>
      </c>
      <c r="U358" s="31">
        <v>0.11</v>
      </c>
      <c r="V358" s="65">
        <f t="shared" si="123"/>
        <v>27.500000000000007</v>
      </c>
      <c r="W358" s="31">
        <v>5</v>
      </c>
      <c r="X358" s="31"/>
      <c r="Y358" s="31">
        <f t="shared" si="126"/>
        <v>5</v>
      </c>
      <c r="Z358" s="31">
        <f t="shared" si="127"/>
        <v>82</v>
      </c>
      <c r="AA358" s="44"/>
      <c r="AB358" s="18"/>
      <c r="AC358" s="18"/>
      <c r="AD358" s="18"/>
      <c r="AE358" s="18"/>
      <c r="AF358" s="18">
        <v>34.999999999999986</v>
      </c>
      <c r="AG358" s="18" t="s">
        <v>24</v>
      </c>
      <c r="AH358" s="18" t="s">
        <v>24</v>
      </c>
      <c r="AI358" s="18" t="str">
        <f>+VLOOKUP(AH358,Leyenda!$O$4:$U$10,6,FALSE)</f>
        <v>0,50-0,80</v>
      </c>
      <c r="AJ358" s="18" t="str">
        <f>+VLOOKUP(AG358,Leyenda!$O$4:$U$10,7,FALSE)</f>
        <v>Fairly easy to blast</v>
      </c>
      <c r="AK358" s="18">
        <f>+VLOOKUP(AJ358,Leyenda!$U$4:$V$10,2,FALSE)</f>
        <v>4</v>
      </c>
      <c r="AL358" s="18"/>
      <c r="AM358" s="18" t="s">
        <v>27</v>
      </c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49"/>
      <c r="BC358" s="49">
        <f>VLOOKUP(AH358,Leyenda!$B$4:$D$10,3,FALSE)</f>
        <v>7</v>
      </c>
      <c r="BD358" s="50">
        <f t="shared" si="116"/>
        <v>7</v>
      </c>
      <c r="BE358" s="49"/>
      <c r="BF358" s="49"/>
      <c r="BG358" s="67"/>
      <c r="BH358" s="67"/>
      <c r="BI358" s="67">
        <f t="shared" si="118"/>
        <v>7</v>
      </c>
      <c r="BJ358" s="67"/>
      <c r="BK358" s="67"/>
      <c r="BL358" s="67"/>
      <c r="BM358" s="67"/>
      <c r="BN358" s="67"/>
      <c r="BO358" s="67"/>
      <c r="BP358" s="67"/>
      <c r="BQ358" s="67"/>
      <c r="BR358" s="18"/>
      <c r="BS358" s="240">
        <f t="shared" si="121"/>
        <v>0</v>
      </c>
      <c r="BT358" s="18"/>
    </row>
    <row r="359" spans="1:72" x14ac:dyDescent="0.25">
      <c r="A359" s="18" t="s">
        <v>6</v>
      </c>
      <c r="B359" s="18">
        <v>2024</v>
      </c>
      <c r="C359" s="18" t="s">
        <v>138</v>
      </c>
      <c r="D359" s="18" t="s">
        <v>132</v>
      </c>
      <c r="E359" s="18">
        <v>60</v>
      </c>
      <c r="F359" s="18">
        <v>40</v>
      </c>
      <c r="G359" s="18" t="s">
        <v>136</v>
      </c>
      <c r="H359" s="248">
        <f t="shared" si="122"/>
        <v>40</v>
      </c>
      <c r="I359" s="135"/>
      <c r="J359" s="18" t="s">
        <v>165</v>
      </c>
      <c r="K359" s="4">
        <v>2.8</v>
      </c>
      <c r="L359" s="4">
        <v>3.32</v>
      </c>
      <c r="M359" s="4">
        <f t="shared" si="114"/>
        <v>0.52</v>
      </c>
      <c r="N359" s="5">
        <v>1</v>
      </c>
      <c r="O359" s="5">
        <f t="shared" si="108"/>
        <v>0</v>
      </c>
      <c r="P359" s="31">
        <f t="shared" si="115"/>
        <v>0.52</v>
      </c>
      <c r="Q359" s="31">
        <f t="shared" si="125"/>
        <v>0.52</v>
      </c>
      <c r="R359" s="31">
        <v>500</v>
      </c>
      <c r="S359" s="31">
        <v>1</v>
      </c>
      <c r="T359" s="31">
        <v>0.21</v>
      </c>
      <c r="U359" s="31">
        <v>0.21</v>
      </c>
      <c r="V359" s="65">
        <f t="shared" si="123"/>
        <v>40.38461538461538</v>
      </c>
      <c r="W359" s="31">
        <v>3</v>
      </c>
      <c r="X359" s="31"/>
      <c r="Y359" s="31">
        <f t="shared" si="126"/>
        <v>3</v>
      </c>
      <c r="Z359" s="31">
        <f t="shared" si="127"/>
        <v>70</v>
      </c>
      <c r="AA359" s="44">
        <v>26</v>
      </c>
      <c r="AB359" s="18" t="s">
        <v>96</v>
      </c>
      <c r="AC359" s="18" t="s">
        <v>333</v>
      </c>
      <c r="AD359" s="18" t="s">
        <v>334</v>
      </c>
      <c r="AE359" s="18">
        <v>20</v>
      </c>
      <c r="AF359" s="18">
        <v>25</v>
      </c>
      <c r="AG359" s="18" t="s">
        <v>24</v>
      </c>
      <c r="AH359" s="18" t="s">
        <v>24</v>
      </c>
      <c r="AI359" s="18" t="str">
        <f>+VLOOKUP(AH359,Leyenda!$O$4:$U$10,6,FALSE)</f>
        <v>0,50-0,80</v>
      </c>
      <c r="AJ359" s="18" t="str">
        <f>+VLOOKUP(AG359,Leyenda!$O$4:$U$10,7,FALSE)</f>
        <v>Fairly easy to blast</v>
      </c>
      <c r="AK359" s="18">
        <f>+VLOOKUP(AJ359,Leyenda!$U$4:$V$10,2,FALSE)</f>
        <v>4</v>
      </c>
      <c r="AL359" s="18" t="s">
        <v>239</v>
      </c>
      <c r="AM359" s="18" t="s">
        <v>27</v>
      </c>
      <c r="AN359" s="18" t="s">
        <v>69</v>
      </c>
      <c r="AO359" s="18" t="s">
        <v>81</v>
      </c>
      <c r="AP359" s="18" t="s">
        <v>100</v>
      </c>
      <c r="AQ359" s="18" t="s">
        <v>109</v>
      </c>
      <c r="AR359" s="18" t="s">
        <v>122</v>
      </c>
      <c r="AS359" s="18" t="s">
        <v>247</v>
      </c>
      <c r="AT359" s="18"/>
      <c r="AU359" s="18"/>
      <c r="AV359" s="18">
        <f>+VLOOKUP(AN359,Leyenda!$B$30:$E$34,3,FALSE)</f>
        <v>0</v>
      </c>
      <c r="AW359" s="18">
        <f>+VLOOKUP('2. Logging Brejo Seco'!AO359,Meteorizacion,3,FALSE)</f>
        <v>0</v>
      </c>
      <c r="AX359" s="18">
        <f>+VLOOKUP('2. Logging Brejo Seco'!AP359,Apertura,3,FALSE)</f>
        <v>0</v>
      </c>
      <c r="AY359" s="18">
        <f>+VLOOKUP('2. Logging Brejo Seco'!AQ359,Leyenda!$B$55:$D$59,3,FALSE)</f>
        <v>1</v>
      </c>
      <c r="AZ359" s="18">
        <f>+VLOOKUP('2. Logging Brejo Seco'!AR359,Relleno,3,FALSE)</f>
        <v>0</v>
      </c>
      <c r="BA359" s="18">
        <f t="shared" si="124"/>
        <v>1</v>
      </c>
      <c r="BB359" s="49">
        <f t="shared" ref="BB359:BB390" si="129">ROUND(-0.0002*POWER(V359,2)+0.2197*V359,0)</f>
        <v>9</v>
      </c>
      <c r="BC359" s="49">
        <f>VLOOKUP(AH359,Leyenda!$B$4:$D$10,3,FALSE)</f>
        <v>7</v>
      </c>
      <c r="BD359" s="50">
        <f t="shared" si="116"/>
        <v>6</v>
      </c>
      <c r="BE359" s="49">
        <f t="shared" si="117"/>
        <v>1</v>
      </c>
      <c r="BF359" s="49">
        <f>VLOOKUP(AS359,Leyenda!$B$70:$D$75,3,FALSE)</f>
        <v>10</v>
      </c>
      <c r="BG359" s="67">
        <f t="shared" ref="BG359:BG390" si="130">1.5*BA359+(V359*0.5)</f>
        <v>21.69230769230769</v>
      </c>
      <c r="BH359" s="67">
        <f>VLOOKUP(AG359,Leyenda!$B$4:$E$10,4,FALSE)</f>
        <v>7</v>
      </c>
      <c r="BI359" s="67">
        <f t="shared" si="118"/>
        <v>6</v>
      </c>
      <c r="BJ359" s="67">
        <f t="shared" ref="BJ359:BJ390" si="131">ROUND(-0.0002*POWER(V359,2)+0.2197*V359,0)</f>
        <v>9</v>
      </c>
      <c r="BK359" s="67">
        <f>+VLOOKUP('2. Logging Brejo Seco'!AP359,Leyenda!$B$47:$E$51,4,FALSE)</f>
        <v>0</v>
      </c>
      <c r="BL359" s="67">
        <f>+VLOOKUP('2. Logging Brejo Seco'!AQ359,Leyenda!$B$55:$E$59,4,FALSE)</f>
        <v>1</v>
      </c>
      <c r="BM359" s="67">
        <f>+VLOOKUP('2. Logging Brejo Seco'!AR359,Leyenda!$B$63:$E$67,3,FALSE)</f>
        <v>0</v>
      </c>
      <c r="BN359" s="67">
        <f>+VLOOKUP('2. Logging Brejo Seco'!AO359,Leyenda!$B$39:$E$43,4,FALSE)</f>
        <v>0</v>
      </c>
      <c r="BO359" s="67">
        <f>+VLOOKUP('2. Logging Brejo Seco'!AN359,Leyenda!$B$30:$E$34,4,FALSE)</f>
        <v>0</v>
      </c>
      <c r="BP359" s="67">
        <f>VLOOKUP(AS359,Leyenda!$B$71:$E$75,4,FALSE)</f>
        <v>7</v>
      </c>
      <c r="BQ359" s="67">
        <f t="shared" si="119"/>
        <v>30</v>
      </c>
      <c r="BR359" s="18">
        <f t="shared" si="120"/>
        <v>33</v>
      </c>
      <c r="BS359" s="240">
        <f t="shared" si="121"/>
        <v>0</v>
      </c>
      <c r="BT359" s="18"/>
    </row>
    <row r="360" spans="1:72" x14ac:dyDescent="0.25">
      <c r="A360" s="18" t="s">
        <v>6</v>
      </c>
      <c r="B360" s="18">
        <v>2024</v>
      </c>
      <c r="C360" s="18" t="s">
        <v>138</v>
      </c>
      <c r="D360" s="18" t="s">
        <v>132</v>
      </c>
      <c r="E360" s="18">
        <v>60</v>
      </c>
      <c r="F360" s="18">
        <v>40</v>
      </c>
      <c r="G360" s="18" t="s">
        <v>136</v>
      </c>
      <c r="H360" s="248">
        <f t="shared" si="122"/>
        <v>40</v>
      </c>
      <c r="I360" s="135"/>
      <c r="J360" s="18" t="s">
        <v>166</v>
      </c>
      <c r="K360" s="4">
        <f t="shared" si="128"/>
        <v>3.32</v>
      </c>
      <c r="L360" s="4">
        <v>3.82</v>
      </c>
      <c r="M360" s="4">
        <f t="shared" si="114"/>
        <v>0.5</v>
      </c>
      <c r="N360" s="5">
        <v>1</v>
      </c>
      <c r="O360" s="5">
        <f t="shared" si="108"/>
        <v>0</v>
      </c>
      <c r="P360" s="31">
        <f t="shared" si="115"/>
        <v>0.5</v>
      </c>
      <c r="Q360" s="31">
        <f t="shared" si="125"/>
        <v>0.5</v>
      </c>
      <c r="R360" s="31">
        <v>25</v>
      </c>
      <c r="S360" s="31">
        <v>20</v>
      </c>
      <c r="T360" s="31">
        <v>0.19</v>
      </c>
      <c r="U360" s="31">
        <v>0</v>
      </c>
      <c r="V360" s="65">
        <f t="shared" si="123"/>
        <v>0</v>
      </c>
      <c r="W360" s="31">
        <v>5</v>
      </c>
      <c r="X360" s="31"/>
      <c r="Y360" s="31">
        <f t="shared" si="126"/>
        <v>5</v>
      </c>
      <c r="Z360" s="31">
        <f t="shared" si="127"/>
        <v>38</v>
      </c>
      <c r="AA360" s="44">
        <v>0</v>
      </c>
      <c r="AB360" s="18" t="s">
        <v>330</v>
      </c>
      <c r="AC360" s="18" t="s">
        <v>333</v>
      </c>
      <c r="AD360" s="18" t="s">
        <v>335</v>
      </c>
      <c r="AE360" s="18">
        <v>20</v>
      </c>
      <c r="AF360" s="18">
        <v>25</v>
      </c>
      <c r="AG360" s="18" t="s">
        <v>34</v>
      </c>
      <c r="AH360" s="18" t="s">
        <v>34</v>
      </c>
      <c r="AI360" s="18">
        <f>+VLOOKUP(AH360,Leyenda!$O$4:$U$10,6,FALSE)</f>
        <v>0</v>
      </c>
      <c r="AJ360" s="18" t="str">
        <f>+VLOOKUP(AG360,Leyenda!$O$4:$U$10,7,FALSE)</f>
        <v>No Blasting need</v>
      </c>
      <c r="AK360" s="18">
        <f>+VLOOKUP(AJ360,Leyenda!$U$4:$V$10,2,FALSE)</f>
        <v>2</v>
      </c>
      <c r="AL360" s="18" t="s">
        <v>239</v>
      </c>
      <c r="AM360" s="18" t="s">
        <v>27</v>
      </c>
      <c r="AN360" s="18" t="s">
        <v>69</v>
      </c>
      <c r="AO360" s="18" t="s">
        <v>81</v>
      </c>
      <c r="AP360" s="18" t="s">
        <v>100</v>
      </c>
      <c r="AQ360" s="18" t="s">
        <v>109</v>
      </c>
      <c r="AR360" s="18" t="s">
        <v>122</v>
      </c>
      <c r="AS360" s="18" t="s">
        <v>247</v>
      </c>
      <c r="AT360" s="18"/>
      <c r="AU360" s="18"/>
      <c r="AV360" s="18">
        <f>+VLOOKUP(AN360,Leyenda!$B$30:$E$34,3,FALSE)</f>
        <v>0</v>
      </c>
      <c r="AW360" s="18">
        <f>+VLOOKUP('2. Logging Brejo Seco'!AO360,Meteorizacion,3,FALSE)</f>
        <v>0</v>
      </c>
      <c r="AX360" s="18">
        <f>+VLOOKUP('2. Logging Brejo Seco'!AP360,Apertura,3,FALSE)</f>
        <v>0</v>
      </c>
      <c r="AY360" s="18">
        <f>+VLOOKUP('2. Logging Brejo Seco'!AQ360,Leyenda!$B$55:$D$59,3,FALSE)</f>
        <v>1</v>
      </c>
      <c r="AZ360" s="18">
        <f>+VLOOKUP('2. Logging Brejo Seco'!AR360,Relleno,3,FALSE)</f>
        <v>0</v>
      </c>
      <c r="BA360" s="18">
        <f t="shared" si="124"/>
        <v>1</v>
      </c>
      <c r="BB360" s="49">
        <f t="shared" si="129"/>
        <v>0</v>
      </c>
      <c r="BC360" s="49">
        <f>VLOOKUP(AH360,Leyenda!$B$4:$D$10,3,FALSE)</f>
        <v>0</v>
      </c>
      <c r="BD360" s="50">
        <f t="shared" si="116"/>
        <v>5</v>
      </c>
      <c r="BE360" s="49">
        <f t="shared" si="117"/>
        <v>1</v>
      </c>
      <c r="BF360" s="49">
        <f>VLOOKUP(AS360,Leyenda!$B$70:$D$75,3,FALSE)</f>
        <v>10</v>
      </c>
      <c r="BG360" s="67">
        <f t="shared" si="130"/>
        <v>1.5</v>
      </c>
      <c r="BH360" s="67">
        <f>VLOOKUP(AG360,Leyenda!$B$4:$E$10,4,FALSE)</f>
        <v>0</v>
      </c>
      <c r="BI360" s="67">
        <f t="shared" si="118"/>
        <v>5</v>
      </c>
      <c r="BJ360" s="67">
        <f t="shared" si="131"/>
        <v>0</v>
      </c>
      <c r="BK360" s="67">
        <f>+VLOOKUP('2. Logging Brejo Seco'!AP360,Leyenda!$B$47:$E$51,4,FALSE)</f>
        <v>0</v>
      </c>
      <c r="BL360" s="67">
        <f>+VLOOKUP('2. Logging Brejo Seco'!AQ360,Leyenda!$B$55:$E$59,4,FALSE)</f>
        <v>1</v>
      </c>
      <c r="BM360" s="67">
        <f>+VLOOKUP('2. Logging Brejo Seco'!AR360,Leyenda!$B$63:$E$67,3,FALSE)</f>
        <v>0</v>
      </c>
      <c r="BN360" s="67">
        <f>+VLOOKUP('2. Logging Brejo Seco'!AO360,Leyenda!$B$39:$E$43,4,FALSE)</f>
        <v>0</v>
      </c>
      <c r="BO360" s="67">
        <f>+VLOOKUP('2. Logging Brejo Seco'!AN360,Leyenda!$B$30:$E$34,4,FALSE)</f>
        <v>0</v>
      </c>
      <c r="BP360" s="67">
        <f>VLOOKUP(AS360,Leyenda!$B$71:$E$75,4,FALSE)</f>
        <v>7</v>
      </c>
      <c r="BQ360" s="67">
        <f t="shared" si="119"/>
        <v>13</v>
      </c>
      <c r="BR360" s="18">
        <f t="shared" si="120"/>
        <v>16</v>
      </c>
      <c r="BS360" s="240">
        <f t="shared" si="121"/>
        <v>0</v>
      </c>
      <c r="BT360" s="18"/>
    </row>
    <row r="361" spans="1:72" x14ac:dyDescent="0.25">
      <c r="A361" s="18" t="s">
        <v>6</v>
      </c>
      <c r="B361" s="18">
        <v>2024</v>
      </c>
      <c r="C361" s="18" t="s">
        <v>138</v>
      </c>
      <c r="D361" s="18" t="s">
        <v>132</v>
      </c>
      <c r="E361" s="18">
        <v>40</v>
      </c>
      <c r="F361" s="18">
        <v>40</v>
      </c>
      <c r="G361" s="18" t="s">
        <v>153</v>
      </c>
      <c r="H361" s="248">
        <f t="shared" si="122"/>
        <v>40</v>
      </c>
      <c r="I361" s="135"/>
      <c r="J361" s="18" t="s">
        <v>166</v>
      </c>
      <c r="K361" s="4">
        <f t="shared" si="128"/>
        <v>3.82</v>
      </c>
      <c r="L361" s="18">
        <v>4.32</v>
      </c>
      <c r="M361" s="4">
        <f t="shared" si="114"/>
        <v>0.50000000000000044</v>
      </c>
      <c r="N361" s="5">
        <v>0.48</v>
      </c>
      <c r="O361" s="5">
        <f t="shared" si="108"/>
        <v>0.52</v>
      </c>
      <c r="P361" s="31">
        <f t="shared" si="115"/>
        <v>0.24000000000000021</v>
      </c>
      <c r="Q361" s="31">
        <f t="shared" si="125"/>
        <v>0.24000000000000021</v>
      </c>
      <c r="R361" s="31">
        <v>12.000000000000011</v>
      </c>
      <c r="S361" s="31">
        <v>20</v>
      </c>
      <c r="T361" s="31">
        <v>0.21</v>
      </c>
      <c r="U361" s="31">
        <v>0</v>
      </c>
      <c r="V361" s="65">
        <f t="shared" si="123"/>
        <v>0</v>
      </c>
      <c r="W361" s="31">
        <v>5</v>
      </c>
      <c r="X361" s="31"/>
      <c r="Y361" s="31">
        <f t="shared" si="126"/>
        <v>5</v>
      </c>
      <c r="Z361" s="31">
        <f t="shared" si="127"/>
        <v>42</v>
      </c>
      <c r="AA361" s="18">
        <v>0</v>
      </c>
      <c r="AB361" s="18" t="s">
        <v>330</v>
      </c>
      <c r="AC361" s="18" t="s">
        <v>333</v>
      </c>
      <c r="AD361" s="18" t="s">
        <v>335</v>
      </c>
      <c r="AE361" s="18">
        <v>20</v>
      </c>
      <c r="AF361" s="18">
        <v>12.000000000000011</v>
      </c>
      <c r="AG361" s="18" t="s">
        <v>34</v>
      </c>
      <c r="AH361" s="18" t="s">
        <v>34</v>
      </c>
      <c r="AI361" s="18">
        <f>+VLOOKUP(AH361,Leyenda!$O$4:$U$10,6,FALSE)</f>
        <v>0</v>
      </c>
      <c r="AJ361" s="18" t="str">
        <f>+VLOOKUP(AG361,Leyenda!$O$4:$U$10,7,FALSE)</f>
        <v>No Blasting need</v>
      </c>
      <c r="AK361" s="18">
        <f>+VLOOKUP(AJ361,Leyenda!$U$4:$V$10,2,FALSE)</f>
        <v>2</v>
      </c>
      <c r="AL361" s="18"/>
      <c r="AM361" s="18" t="s">
        <v>22</v>
      </c>
      <c r="AN361" s="18" t="s">
        <v>69</v>
      </c>
      <c r="AO361" s="18" t="s">
        <v>81</v>
      </c>
      <c r="AP361" s="18" t="s">
        <v>100</v>
      </c>
      <c r="AQ361" s="18" t="s">
        <v>107</v>
      </c>
      <c r="AR361" s="18" t="s">
        <v>120</v>
      </c>
      <c r="AS361" s="18" t="s">
        <v>247</v>
      </c>
      <c r="AT361" s="18"/>
      <c r="AU361" s="18"/>
      <c r="AV361" s="18">
        <f>+VLOOKUP(AN361,Leyenda!$B$30:$E$34,3,FALSE)</f>
        <v>0</v>
      </c>
      <c r="AW361" s="18">
        <f>+VLOOKUP('2. Logging Brejo Seco'!AO361,Meteorizacion,3,FALSE)</f>
        <v>0</v>
      </c>
      <c r="AX361" s="18">
        <f>+VLOOKUP('2. Logging Brejo Seco'!AP361,Apertura,3,FALSE)</f>
        <v>0</v>
      </c>
      <c r="AY361" s="18">
        <f>+VLOOKUP('2. Logging Brejo Seco'!AQ361,Leyenda!$B$55:$D$59,3,FALSE)</f>
        <v>3</v>
      </c>
      <c r="AZ361" s="18">
        <f>+VLOOKUP('2. Logging Brejo Seco'!AR361,Relleno,3,FALSE)</f>
        <v>2</v>
      </c>
      <c r="BA361" s="18">
        <f t="shared" si="124"/>
        <v>5</v>
      </c>
      <c r="BB361" s="49">
        <f t="shared" si="129"/>
        <v>0</v>
      </c>
      <c r="BC361" s="49">
        <f>VLOOKUP(AH361,Leyenda!$B$4:$D$10,3,FALSE)</f>
        <v>0</v>
      </c>
      <c r="BD361" s="50">
        <f t="shared" si="116"/>
        <v>5</v>
      </c>
      <c r="BE361" s="49">
        <f t="shared" si="117"/>
        <v>5</v>
      </c>
      <c r="BF361" s="49">
        <f>VLOOKUP(AS361,Leyenda!$B$70:$D$75,3,FALSE)</f>
        <v>10</v>
      </c>
      <c r="BG361" s="67">
        <f t="shared" si="130"/>
        <v>7.5</v>
      </c>
      <c r="BH361" s="67">
        <f>VLOOKUP(AG361,Leyenda!$B$4:$E$10,4,FALSE)</f>
        <v>0</v>
      </c>
      <c r="BI361" s="67">
        <f t="shared" si="118"/>
        <v>5</v>
      </c>
      <c r="BJ361" s="67">
        <f t="shared" si="131"/>
        <v>0</v>
      </c>
      <c r="BK361" s="67">
        <f>+VLOOKUP('2. Logging Brejo Seco'!AP361,Leyenda!$B$47:$E$51,4,FALSE)</f>
        <v>0</v>
      </c>
      <c r="BL361" s="67">
        <f>+VLOOKUP('2. Logging Brejo Seco'!AQ361,Leyenda!$B$55:$E$59,4,FALSE)</f>
        <v>3</v>
      </c>
      <c r="BM361" s="67">
        <f>+VLOOKUP('2. Logging Brejo Seco'!AR361,Leyenda!$B$63:$E$67,3,FALSE)</f>
        <v>2</v>
      </c>
      <c r="BN361" s="67">
        <f>+VLOOKUP('2. Logging Brejo Seco'!AO361,Leyenda!$B$39:$E$43,4,FALSE)</f>
        <v>0</v>
      </c>
      <c r="BO361" s="67">
        <f>+VLOOKUP('2. Logging Brejo Seco'!AN361,Leyenda!$B$30:$E$34,4,FALSE)</f>
        <v>0</v>
      </c>
      <c r="BP361" s="67">
        <f>VLOOKUP(AS361,Leyenda!$B$71:$E$75,4,FALSE)</f>
        <v>7</v>
      </c>
      <c r="BQ361" s="67">
        <f t="shared" si="119"/>
        <v>17</v>
      </c>
      <c r="BR361" s="18">
        <f t="shared" si="120"/>
        <v>20</v>
      </c>
      <c r="BS361" s="240">
        <f t="shared" si="121"/>
        <v>0.52</v>
      </c>
      <c r="BT361" s="18"/>
    </row>
    <row r="362" spans="1:72" x14ac:dyDescent="0.25">
      <c r="A362" s="18" t="s">
        <v>6</v>
      </c>
      <c r="B362" s="18">
        <v>2024</v>
      </c>
      <c r="C362" s="18" t="s">
        <v>138</v>
      </c>
      <c r="D362" s="18" t="s">
        <v>132</v>
      </c>
      <c r="E362" s="18">
        <v>40</v>
      </c>
      <c r="F362" s="18">
        <v>40</v>
      </c>
      <c r="G362" s="18" t="s">
        <v>153</v>
      </c>
      <c r="H362" s="248">
        <f t="shared" si="122"/>
        <v>40</v>
      </c>
      <c r="I362" s="135"/>
      <c r="J362" s="18" t="s">
        <v>166</v>
      </c>
      <c r="K362" s="4">
        <f t="shared" si="128"/>
        <v>4.32</v>
      </c>
      <c r="L362" s="18">
        <v>4.5</v>
      </c>
      <c r="M362" s="4">
        <f t="shared" si="114"/>
        <v>0.17999999999999972</v>
      </c>
      <c r="N362" s="5">
        <v>0.83</v>
      </c>
      <c r="O362" s="5">
        <f t="shared" si="108"/>
        <v>0.17000000000000004</v>
      </c>
      <c r="P362" s="31">
        <f t="shared" si="115"/>
        <v>0.14939999999999976</v>
      </c>
      <c r="Q362" s="31">
        <f t="shared" si="125"/>
        <v>0.14939999999999976</v>
      </c>
      <c r="R362" s="31">
        <v>149.39999999999975</v>
      </c>
      <c r="S362" s="31">
        <v>1</v>
      </c>
      <c r="T362" s="31">
        <v>0.14000000000000001</v>
      </c>
      <c r="U362" s="31">
        <v>0</v>
      </c>
      <c r="V362" s="65">
        <f t="shared" si="123"/>
        <v>0</v>
      </c>
      <c r="W362" s="31">
        <v>5</v>
      </c>
      <c r="X362" s="31"/>
      <c r="Y362" s="31">
        <f t="shared" si="126"/>
        <v>5</v>
      </c>
      <c r="Z362" s="31">
        <f t="shared" si="127"/>
        <v>28</v>
      </c>
      <c r="AA362" s="18">
        <v>56</v>
      </c>
      <c r="AB362" s="18" t="s">
        <v>100</v>
      </c>
      <c r="AC362" s="18" t="s">
        <v>116</v>
      </c>
      <c r="AD362" s="18" t="s">
        <v>336</v>
      </c>
      <c r="AE362" s="18">
        <v>1</v>
      </c>
      <c r="AF362" s="18">
        <v>149.39999999999975</v>
      </c>
      <c r="AG362" s="18" t="s">
        <v>32</v>
      </c>
      <c r="AH362" s="18" t="s">
        <v>32</v>
      </c>
      <c r="AI362" s="18" t="str">
        <f>+VLOOKUP(AH362,Leyenda!$O$4:$U$10,6,FALSE)</f>
        <v>0,15-0,25</v>
      </c>
      <c r="AJ362" s="18" t="str">
        <f>+VLOOKUP(AG362,Leyenda!$O$4:$U$10,7,FALSE)</f>
        <v>No Blasting need</v>
      </c>
      <c r="AK362" s="18">
        <f>+VLOOKUP(AJ362,Leyenda!$U$4:$V$10,2,FALSE)</f>
        <v>2</v>
      </c>
      <c r="AL362" s="18"/>
      <c r="AM362" s="18" t="s">
        <v>29</v>
      </c>
      <c r="AN362" s="18" t="s">
        <v>69</v>
      </c>
      <c r="AO362" s="18" t="s">
        <v>81</v>
      </c>
      <c r="AP362" s="18" t="s">
        <v>100</v>
      </c>
      <c r="AQ362" s="18" t="s">
        <v>107</v>
      </c>
      <c r="AR362" s="18" t="s">
        <v>120</v>
      </c>
      <c r="AS362" s="18" t="s">
        <v>247</v>
      </c>
      <c r="AT362" s="18"/>
      <c r="AU362" s="18"/>
      <c r="AV362" s="18">
        <f>+VLOOKUP(AN362,Leyenda!$B$30:$E$34,3,FALSE)</f>
        <v>0</v>
      </c>
      <c r="AW362" s="18">
        <f>+VLOOKUP('2. Logging Brejo Seco'!AO362,Meteorizacion,3,FALSE)</f>
        <v>0</v>
      </c>
      <c r="AX362" s="18">
        <f>+VLOOKUP('2. Logging Brejo Seco'!AP362,Apertura,3,FALSE)</f>
        <v>0</v>
      </c>
      <c r="AY362" s="18">
        <f>+VLOOKUP('2. Logging Brejo Seco'!AQ362,Leyenda!$B$55:$D$59,3,FALSE)</f>
        <v>3</v>
      </c>
      <c r="AZ362" s="18">
        <f>+VLOOKUP('2. Logging Brejo Seco'!AR362,Relleno,3,FALSE)</f>
        <v>2</v>
      </c>
      <c r="BA362" s="18">
        <f t="shared" si="124"/>
        <v>5</v>
      </c>
      <c r="BB362" s="49">
        <f t="shared" si="129"/>
        <v>0</v>
      </c>
      <c r="BC362" s="49">
        <f>VLOOKUP(AH362,Leyenda!$B$4:$D$10,3,FALSE)</f>
        <v>1</v>
      </c>
      <c r="BD362" s="50">
        <f t="shared" si="116"/>
        <v>5</v>
      </c>
      <c r="BE362" s="49">
        <f t="shared" si="117"/>
        <v>5</v>
      </c>
      <c r="BF362" s="49">
        <f>VLOOKUP(AS362,Leyenda!$B$70:$D$75,3,FALSE)</f>
        <v>10</v>
      </c>
      <c r="BG362" s="67">
        <f t="shared" si="130"/>
        <v>7.5</v>
      </c>
      <c r="BH362" s="67">
        <f>VLOOKUP(AG362,Leyenda!$B$4:$E$10,4,FALSE)</f>
        <v>1</v>
      </c>
      <c r="BI362" s="67">
        <f t="shared" si="118"/>
        <v>5</v>
      </c>
      <c r="BJ362" s="67">
        <f t="shared" si="131"/>
        <v>0</v>
      </c>
      <c r="BK362" s="67">
        <f>+VLOOKUP('2. Logging Brejo Seco'!AP362,Leyenda!$B$47:$E$51,4,FALSE)</f>
        <v>0</v>
      </c>
      <c r="BL362" s="67">
        <f>+VLOOKUP('2. Logging Brejo Seco'!AQ362,Leyenda!$B$55:$E$59,4,FALSE)</f>
        <v>3</v>
      </c>
      <c r="BM362" s="67">
        <f>+VLOOKUP('2. Logging Brejo Seco'!AR362,Leyenda!$B$63:$E$67,3,FALSE)</f>
        <v>2</v>
      </c>
      <c r="BN362" s="67">
        <f>+VLOOKUP('2. Logging Brejo Seco'!AO362,Leyenda!$B$39:$E$43,4,FALSE)</f>
        <v>0</v>
      </c>
      <c r="BO362" s="67">
        <f>+VLOOKUP('2. Logging Brejo Seco'!AN362,Leyenda!$B$30:$E$34,4,FALSE)</f>
        <v>0</v>
      </c>
      <c r="BP362" s="67">
        <f>VLOOKUP(AS362,Leyenda!$B$71:$E$75,4,FALSE)</f>
        <v>7</v>
      </c>
      <c r="BQ362" s="67">
        <f t="shared" si="119"/>
        <v>18</v>
      </c>
      <c r="BR362" s="18">
        <f t="shared" si="120"/>
        <v>21</v>
      </c>
      <c r="BS362" s="240">
        <f t="shared" si="121"/>
        <v>0.17000000000000004</v>
      </c>
      <c r="BT362" s="18"/>
    </row>
    <row r="363" spans="1:72" x14ac:dyDescent="0.25">
      <c r="A363" s="18" t="s">
        <v>6</v>
      </c>
      <c r="B363" s="18">
        <v>2024</v>
      </c>
      <c r="C363" s="18" t="s">
        <v>138</v>
      </c>
      <c r="D363" s="18" t="s">
        <v>132</v>
      </c>
      <c r="E363" s="18">
        <v>40</v>
      </c>
      <c r="F363" s="18">
        <v>40</v>
      </c>
      <c r="G363" s="18" t="s">
        <v>153</v>
      </c>
      <c r="H363" s="248">
        <f t="shared" si="122"/>
        <v>40</v>
      </c>
      <c r="I363" s="135"/>
      <c r="J363" s="18" t="s">
        <v>166</v>
      </c>
      <c r="K363" s="4">
        <f t="shared" si="128"/>
        <v>4.5</v>
      </c>
      <c r="L363" s="18">
        <v>5</v>
      </c>
      <c r="M363" s="4">
        <f t="shared" si="114"/>
        <v>0.5</v>
      </c>
      <c r="N363" s="5">
        <v>0.56000000000000005</v>
      </c>
      <c r="O363" s="5">
        <f t="shared" si="108"/>
        <v>0.43999999999999995</v>
      </c>
      <c r="P363" s="31">
        <f t="shared" si="115"/>
        <v>0.28000000000000003</v>
      </c>
      <c r="Q363" s="31">
        <f t="shared" si="125"/>
        <v>0.28000000000000003</v>
      </c>
      <c r="R363" s="31">
        <v>14</v>
      </c>
      <c r="S363" s="31">
        <v>20</v>
      </c>
      <c r="T363" s="31">
        <v>0.25</v>
      </c>
      <c r="U363" s="31">
        <v>0</v>
      </c>
      <c r="V363" s="65">
        <f t="shared" si="123"/>
        <v>0</v>
      </c>
      <c r="W363" s="31">
        <v>4</v>
      </c>
      <c r="X363" s="31"/>
      <c r="Y363" s="31">
        <f t="shared" si="126"/>
        <v>4</v>
      </c>
      <c r="Z363" s="31">
        <f t="shared" si="127"/>
        <v>62.5</v>
      </c>
      <c r="AA363" s="18">
        <v>0</v>
      </c>
      <c r="AB363" s="18" t="s">
        <v>100</v>
      </c>
      <c r="AC363" s="18" t="s">
        <v>333</v>
      </c>
      <c r="AD363" s="18" t="s">
        <v>335</v>
      </c>
      <c r="AE363" s="18">
        <v>20</v>
      </c>
      <c r="AF363" s="18">
        <v>14</v>
      </c>
      <c r="AG363" s="18" t="s">
        <v>34</v>
      </c>
      <c r="AH363" s="18" t="s">
        <v>34</v>
      </c>
      <c r="AI363" s="18">
        <f>+VLOOKUP(AH363,Leyenda!$O$4:$U$10,6,FALSE)</f>
        <v>0</v>
      </c>
      <c r="AJ363" s="18" t="str">
        <f>+VLOOKUP(AG363,Leyenda!$O$4:$U$10,7,FALSE)</f>
        <v>No Blasting need</v>
      </c>
      <c r="AK363" s="18">
        <f>+VLOOKUP(AJ363,Leyenda!$U$4:$V$10,2,FALSE)</f>
        <v>2</v>
      </c>
      <c r="AL363" s="18"/>
      <c r="AM363" s="18" t="s">
        <v>32</v>
      </c>
      <c r="AN363" s="18" t="s">
        <v>69</v>
      </c>
      <c r="AO363" s="18" t="s">
        <v>81</v>
      </c>
      <c r="AP363" s="18" t="s">
        <v>100</v>
      </c>
      <c r="AQ363" s="18" t="s">
        <v>107</v>
      </c>
      <c r="AR363" s="18" t="s">
        <v>120</v>
      </c>
      <c r="AS363" s="18" t="s">
        <v>247</v>
      </c>
      <c r="AT363" s="18"/>
      <c r="AU363" s="18"/>
      <c r="AV363" s="18">
        <f>+VLOOKUP(AN363,Leyenda!$B$30:$E$34,3,FALSE)</f>
        <v>0</v>
      </c>
      <c r="AW363" s="18">
        <f>+VLOOKUP('2. Logging Brejo Seco'!AO363,Meteorizacion,3,FALSE)</f>
        <v>0</v>
      </c>
      <c r="AX363" s="18">
        <f>+VLOOKUP('2. Logging Brejo Seco'!AP363,Apertura,3,FALSE)</f>
        <v>0</v>
      </c>
      <c r="AY363" s="18">
        <f>+VLOOKUP('2. Logging Brejo Seco'!AQ363,Leyenda!$B$55:$D$59,3,FALSE)</f>
        <v>3</v>
      </c>
      <c r="AZ363" s="18">
        <f>+VLOOKUP('2. Logging Brejo Seco'!AR363,Relleno,3,FALSE)</f>
        <v>2</v>
      </c>
      <c r="BA363" s="18">
        <f t="shared" si="124"/>
        <v>5</v>
      </c>
      <c r="BB363" s="49">
        <f t="shared" si="129"/>
        <v>0</v>
      </c>
      <c r="BC363" s="49">
        <f>VLOOKUP(AH363,Leyenda!$B$4:$D$10,3,FALSE)</f>
        <v>0</v>
      </c>
      <c r="BD363" s="50">
        <f t="shared" si="116"/>
        <v>6</v>
      </c>
      <c r="BE363" s="49">
        <f t="shared" si="117"/>
        <v>5</v>
      </c>
      <c r="BF363" s="49">
        <f>VLOOKUP(AS363,Leyenda!$B$70:$D$75,3,FALSE)</f>
        <v>10</v>
      </c>
      <c r="BG363" s="67">
        <f t="shared" si="130"/>
        <v>7.5</v>
      </c>
      <c r="BH363" s="67">
        <f>VLOOKUP(AG363,Leyenda!$B$4:$E$10,4,FALSE)</f>
        <v>0</v>
      </c>
      <c r="BI363" s="67">
        <f t="shared" si="118"/>
        <v>5</v>
      </c>
      <c r="BJ363" s="67">
        <f t="shared" si="131"/>
        <v>0</v>
      </c>
      <c r="BK363" s="67">
        <f>+VLOOKUP('2. Logging Brejo Seco'!AP363,Leyenda!$B$47:$E$51,4,FALSE)</f>
        <v>0</v>
      </c>
      <c r="BL363" s="67">
        <f>+VLOOKUP('2. Logging Brejo Seco'!AQ363,Leyenda!$B$55:$E$59,4,FALSE)</f>
        <v>3</v>
      </c>
      <c r="BM363" s="67">
        <f>+VLOOKUP('2. Logging Brejo Seco'!AR363,Leyenda!$B$63:$E$67,3,FALSE)</f>
        <v>2</v>
      </c>
      <c r="BN363" s="67">
        <f>+VLOOKUP('2. Logging Brejo Seco'!AO363,Leyenda!$B$39:$E$43,4,FALSE)</f>
        <v>0</v>
      </c>
      <c r="BO363" s="67">
        <f>+VLOOKUP('2. Logging Brejo Seco'!AN363,Leyenda!$B$30:$E$34,4,FALSE)</f>
        <v>0</v>
      </c>
      <c r="BP363" s="67">
        <f>VLOOKUP(AS363,Leyenda!$B$71:$E$75,4,FALSE)</f>
        <v>7</v>
      </c>
      <c r="BQ363" s="67">
        <f t="shared" si="119"/>
        <v>17</v>
      </c>
      <c r="BR363" s="18">
        <f t="shared" si="120"/>
        <v>21</v>
      </c>
      <c r="BS363" s="240">
        <f t="shared" si="121"/>
        <v>0.43999999999999995</v>
      </c>
      <c r="BT363" s="18"/>
    </row>
    <row r="364" spans="1:72" x14ac:dyDescent="0.25">
      <c r="A364" s="18" t="s">
        <v>6</v>
      </c>
      <c r="B364" s="18">
        <v>2024</v>
      </c>
      <c r="C364" s="18" t="s">
        <v>138</v>
      </c>
      <c r="D364" s="18" t="s">
        <v>132</v>
      </c>
      <c r="E364" s="18">
        <v>40</v>
      </c>
      <c r="F364" s="18">
        <v>50</v>
      </c>
      <c r="G364" s="18" t="s">
        <v>153</v>
      </c>
      <c r="H364" s="248">
        <f t="shared" si="122"/>
        <v>50</v>
      </c>
      <c r="I364" s="135"/>
      <c r="J364" s="18" t="s">
        <v>166</v>
      </c>
      <c r="K364" s="4">
        <f t="shared" si="128"/>
        <v>5</v>
      </c>
      <c r="L364" s="18">
        <v>5.5</v>
      </c>
      <c r="M364" s="4">
        <f t="shared" si="114"/>
        <v>0.5</v>
      </c>
      <c r="N364" s="5">
        <v>0.56000000000000005</v>
      </c>
      <c r="O364" s="5">
        <f t="shared" si="108"/>
        <v>0.43999999999999995</v>
      </c>
      <c r="P364" s="31">
        <f t="shared" si="115"/>
        <v>0.28000000000000003</v>
      </c>
      <c r="Q364" s="31">
        <f t="shared" si="125"/>
        <v>0.28000000000000003</v>
      </c>
      <c r="R364" s="31">
        <v>14</v>
      </c>
      <c r="S364" s="31">
        <v>20</v>
      </c>
      <c r="T364" s="31">
        <v>0.26</v>
      </c>
      <c r="U364" s="31">
        <v>0</v>
      </c>
      <c r="V364" s="65">
        <f t="shared" si="123"/>
        <v>0</v>
      </c>
      <c r="W364" s="31">
        <v>4</v>
      </c>
      <c r="X364" s="31"/>
      <c r="Y364" s="31">
        <f t="shared" si="126"/>
        <v>4</v>
      </c>
      <c r="Z364" s="31">
        <f t="shared" si="127"/>
        <v>65</v>
      </c>
      <c r="AA364" s="18">
        <v>0</v>
      </c>
      <c r="AB364" s="18" t="s">
        <v>100</v>
      </c>
      <c r="AC364" s="18" t="s">
        <v>333</v>
      </c>
      <c r="AD364" s="18" t="s">
        <v>335</v>
      </c>
      <c r="AE364" s="18">
        <v>20</v>
      </c>
      <c r="AF364" s="18">
        <v>14</v>
      </c>
      <c r="AG364" s="18" t="s">
        <v>29</v>
      </c>
      <c r="AH364" s="18" t="s">
        <v>29</v>
      </c>
      <c r="AI364" s="18" t="str">
        <f>+VLOOKUP(AH364,Leyenda!$O$4:$U$10,6,FALSE)</f>
        <v>0,25-0,35</v>
      </c>
      <c r="AJ364" s="18" t="str">
        <f>+VLOOKUP(AG364,Leyenda!$O$4:$U$10,7,FALSE)</f>
        <v>No Blasting need</v>
      </c>
      <c r="AK364" s="18">
        <f>+VLOOKUP(AJ364,Leyenda!$U$4:$V$10,2,FALSE)</f>
        <v>2</v>
      </c>
      <c r="AL364" s="18"/>
      <c r="AM364" s="18" t="s">
        <v>34</v>
      </c>
      <c r="AN364" s="18" t="s">
        <v>69</v>
      </c>
      <c r="AO364" s="18" t="s">
        <v>81</v>
      </c>
      <c r="AP364" s="18" t="s">
        <v>100</v>
      </c>
      <c r="AQ364" s="18" t="s">
        <v>107</v>
      </c>
      <c r="AR364" s="18" t="s">
        <v>120</v>
      </c>
      <c r="AS364" s="18" t="s">
        <v>247</v>
      </c>
      <c r="AT364" s="18"/>
      <c r="AU364" s="18"/>
      <c r="AV364" s="18">
        <f>+VLOOKUP(AN364,Leyenda!$B$30:$E$34,3,FALSE)</f>
        <v>0</v>
      </c>
      <c r="AW364" s="18">
        <f>+VLOOKUP('2. Logging Brejo Seco'!AO364,Meteorizacion,3,FALSE)</f>
        <v>0</v>
      </c>
      <c r="AX364" s="18">
        <f>+VLOOKUP('2. Logging Brejo Seco'!AP364,Apertura,3,FALSE)</f>
        <v>0</v>
      </c>
      <c r="AY364" s="18">
        <f>+VLOOKUP('2. Logging Brejo Seco'!AQ364,Leyenda!$B$55:$D$59,3,FALSE)</f>
        <v>3</v>
      </c>
      <c r="AZ364" s="18">
        <f>+VLOOKUP('2. Logging Brejo Seco'!AR364,Relleno,3,FALSE)</f>
        <v>2</v>
      </c>
      <c r="BA364" s="18">
        <f t="shared" si="124"/>
        <v>5</v>
      </c>
      <c r="BB364" s="49">
        <f t="shared" si="129"/>
        <v>0</v>
      </c>
      <c r="BC364" s="49">
        <f>VLOOKUP(AH364,Leyenda!$B$4:$D$10,3,FALSE)</f>
        <v>2</v>
      </c>
      <c r="BD364" s="50">
        <f t="shared" si="116"/>
        <v>6</v>
      </c>
      <c r="BE364" s="49">
        <f t="shared" si="117"/>
        <v>5</v>
      </c>
      <c r="BF364" s="49">
        <f>VLOOKUP(AS364,Leyenda!$B$70:$D$75,3,FALSE)</f>
        <v>10</v>
      </c>
      <c r="BG364" s="67">
        <f t="shared" si="130"/>
        <v>7.5</v>
      </c>
      <c r="BH364" s="67">
        <f>VLOOKUP(AG364,Leyenda!$B$4:$E$10,4,FALSE)</f>
        <v>2</v>
      </c>
      <c r="BI364" s="67">
        <f t="shared" si="118"/>
        <v>6</v>
      </c>
      <c r="BJ364" s="67">
        <f t="shared" si="131"/>
        <v>0</v>
      </c>
      <c r="BK364" s="67">
        <f>+VLOOKUP('2. Logging Brejo Seco'!AP364,Leyenda!$B$47:$E$51,4,FALSE)</f>
        <v>0</v>
      </c>
      <c r="BL364" s="67">
        <f>+VLOOKUP('2. Logging Brejo Seco'!AQ364,Leyenda!$B$55:$E$59,4,FALSE)</f>
        <v>3</v>
      </c>
      <c r="BM364" s="67">
        <f>+VLOOKUP('2. Logging Brejo Seco'!AR364,Leyenda!$B$63:$E$67,3,FALSE)</f>
        <v>2</v>
      </c>
      <c r="BN364" s="67">
        <f>+VLOOKUP('2. Logging Brejo Seco'!AO364,Leyenda!$B$39:$E$43,4,FALSE)</f>
        <v>0</v>
      </c>
      <c r="BO364" s="67">
        <f>+VLOOKUP('2. Logging Brejo Seco'!AN364,Leyenda!$B$30:$E$34,4,FALSE)</f>
        <v>0</v>
      </c>
      <c r="BP364" s="67">
        <f>VLOOKUP(AS364,Leyenda!$B$71:$E$75,4,FALSE)</f>
        <v>7</v>
      </c>
      <c r="BQ364" s="67">
        <f t="shared" si="119"/>
        <v>20</v>
      </c>
      <c r="BR364" s="18">
        <f t="shared" si="120"/>
        <v>23</v>
      </c>
      <c r="BS364" s="240">
        <f t="shared" si="121"/>
        <v>0.43999999999999995</v>
      </c>
      <c r="BT364" s="18"/>
    </row>
    <row r="365" spans="1:72" x14ac:dyDescent="0.25">
      <c r="A365" s="18" t="s">
        <v>6</v>
      </c>
      <c r="B365" s="18">
        <v>2024</v>
      </c>
      <c r="C365" s="18" t="s">
        <v>138</v>
      </c>
      <c r="D365" s="18" t="s">
        <v>132</v>
      </c>
      <c r="E365" s="18">
        <v>40</v>
      </c>
      <c r="F365" s="18">
        <v>50</v>
      </c>
      <c r="G365" s="18" t="s">
        <v>153</v>
      </c>
      <c r="H365" s="248">
        <f t="shared" si="122"/>
        <v>50</v>
      </c>
      <c r="I365" s="135"/>
      <c r="J365" s="18" t="s">
        <v>166</v>
      </c>
      <c r="K365" s="4">
        <f t="shared" si="128"/>
        <v>5.5</v>
      </c>
      <c r="L365" s="18">
        <v>6</v>
      </c>
      <c r="M365" s="4">
        <f t="shared" si="114"/>
        <v>0.5</v>
      </c>
      <c r="N365" s="5">
        <v>0.52</v>
      </c>
      <c r="O365" s="5">
        <f t="shared" si="108"/>
        <v>0.48</v>
      </c>
      <c r="P365" s="31">
        <f t="shared" si="115"/>
        <v>0.26</v>
      </c>
      <c r="Q365" s="31">
        <f t="shared" si="125"/>
        <v>0.26</v>
      </c>
      <c r="R365" s="31">
        <v>13</v>
      </c>
      <c r="S365" s="31">
        <v>20</v>
      </c>
      <c r="T365" s="31">
        <v>0.25</v>
      </c>
      <c r="U365" s="31">
        <v>0</v>
      </c>
      <c r="V365" s="65">
        <f t="shared" si="123"/>
        <v>0</v>
      </c>
      <c r="W365" s="31">
        <v>4</v>
      </c>
      <c r="X365" s="31"/>
      <c r="Y365" s="31">
        <f t="shared" si="126"/>
        <v>4</v>
      </c>
      <c r="Z365" s="31">
        <f t="shared" si="127"/>
        <v>62.5</v>
      </c>
      <c r="AA365" s="18">
        <v>0</v>
      </c>
      <c r="AB365" s="18" t="s">
        <v>100</v>
      </c>
      <c r="AC365" s="18" t="s">
        <v>333</v>
      </c>
      <c r="AD365" s="18" t="s">
        <v>335</v>
      </c>
      <c r="AE365" s="18">
        <v>20</v>
      </c>
      <c r="AF365" s="18">
        <v>13</v>
      </c>
      <c r="AG365" s="18" t="s">
        <v>29</v>
      </c>
      <c r="AH365" s="18" t="s">
        <v>29</v>
      </c>
      <c r="AI365" s="18" t="str">
        <f>+VLOOKUP(AH365,Leyenda!$O$4:$U$10,6,FALSE)</f>
        <v>0,25-0,35</v>
      </c>
      <c r="AJ365" s="18" t="str">
        <f>+VLOOKUP(AG365,Leyenda!$O$4:$U$10,7,FALSE)</f>
        <v>No Blasting need</v>
      </c>
      <c r="AK365" s="18">
        <f>+VLOOKUP(AJ365,Leyenda!$U$4:$V$10,2,FALSE)</f>
        <v>2</v>
      </c>
      <c r="AL365" s="18"/>
      <c r="AM365" s="18" t="s">
        <v>29</v>
      </c>
      <c r="AN365" s="18" t="s">
        <v>69</v>
      </c>
      <c r="AO365" s="18" t="s">
        <v>81</v>
      </c>
      <c r="AP365" s="18" t="s">
        <v>100</v>
      </c>
      <c r="AQ365" s="18" t="s">
        <v>107</v>
      </c>
      <c r="AR365" s="18" t="s">
        <v>120</v>
      </c>
      <c r="AS365" s="18" t="s">
        <v>247</v>
      </c>
      <c r="AT365" s="18"/>
      <c r="AU365" s="18"/>
      <c r="AV365" s="18">
        <f>+VLOOKUP(AN365,Leyenda!$B$30:$E$34,3,FALSE)</f>
        <v>0</v>
      </c>
      <c r="AW365" s="18">
        <f>+VLOOKUP('2. Logging Brejo Seco'!AO365,Meteorizacion,3,FALSE)</f>
        <v>0</v>
      </c>
      <c r="AX365" s="18">
        <f>+VLOOKUP('2. Logging Brejo Seco'!AP365,Apertura,3,FALSE)</f>
        <v>0</v>
      </c>
      <c r="AY365" s="18">
        <f>+VLOOKUP('2. Logging Brejo Seco'!AQ365,Leyenda!$B$55:$D$59,3,FALSE)</f>
        <v>3</v>
      </c>
      <c r="AZ365" s="18">
        <f>+VLOOKUP('2. Logging Brejo Seco'!AR365,Relleno,3,FALSE)</f>
        <v>2</v>
      </c>
      <c r="BA365" s="18">
        <f t="shared" si="124"/>
        <v>5</v>
      </c>
      <c r="BB365" s="49">
        <f t="shared" si="129"/>
        <v>0</v>
      </c>
      <c r="BC365" s="49">
        <f>VLOOKUP(AH365,Leyenda!$B$4:$D$10,3,FALSE)</f>
        <v>2</v>
      </c>
      <c r="BD365" s="50">
        <f t="shared" si="116"/>
        <v>6</v>
      </c>
      <c r="BE365" s="49">
        <f t="shared" si="117"/>
        <v>5</v>
      </c>
      <c r="BF365" s="49">
        <f>VLOOKUP(AS365,Leyenda!$B$70:$D$75,3,FALSE)</f>
        <v>10</v>
      </c>
      <c r="BG365" s="67">
        <f t="shared" si="130"/>
        <v>7.5</v>
      </c>
      <c r="BH365" s="67">
        <f>VLOOKUP(AG365,Leyenda!$B$4:$E$10,4,FALSE)</f>
        <v>2</v>
      </c>
      <c r="BI365" s="67">
        <f t="shared" si="118"/>
        <v>5</v>
      </c>
      <c r="BJ365" s="67">
        <f t="shared" si="131"/>
        <v>0</v>
      </c>
      <c r="BK365" s="67">
        <f>+VLOOKUP('2. Logging Brejo Seco'!AP365,Leyenda!$B$47:$E$51,4,FALSE)</f>
        <v>0</v>
      </c>
      <c r="BL365" s="67">
        <f>+VLOOKUP('2. Logging Brejo Seco'!AQ365,Leyenda!$B$55:$E$59,4,FALSE)</f>
        <v>3</v>
      </c>
      <c r="BM365" s="67">
        <f>+VLOOKUP('2. Logging Brejo Seco'!AR365,Leyenda!$B$63:$E$67,3,FALSE)</f>
        <v>2</v>
      </c>
      <c r="BN365" s="67">
        <f>+VLOOKUP('2. Logging Brejo Seco'!AO365,Leyenda!$B$39:$E$43,4,FALSE)</f>
        <v>0</v>
      </c>
      <c r="BO365" s="67">
        <f>+VLOOKUP('2. Logging Brejo Seco'!AN365,Leyenda!$B$30:$E$34,4,FALSE)</f>
        <v>0</v>
      </c>
      <c r="BP365" s="67">
        <f>VLOOKUP(AS365,Leyenda!$B$71:$E$75,4,FALSE)</f>
        <v>7</v>
      </c>
      <c r="BQ365" s="67">
        <f t="shared" si="119"/>
        <v>19</v>
      </c>
      <c r="BR365" s="18">
        <f t="shared" si="120"/>
        <v>23</v>
      </c>
      <c r="BS365" s="240">
        <f t="shared" si="121"/>
        <v>0.48</v>
      </c>
      <c r="BT365" s="18"/>
    </row>
    <row r="366" spans="1:72" x14ac:dyDescent="0.25">
      <c r="A366" s="18" t="s">
        <v>6</v>
      </c>
      <c r="B366" s="18">
        <v>2024</v>
      </c>
      <c r="C366" s="18" t="s">
        <v>138</v>
      </c>
      <c r="D366" s="18" t="s">
        <v>132</v>
      </c>
      <c r="E366" s="18">
        <v>40</v>
      </c>
      <c r="F366" s="18">
        <v>50</v>
      </c>
      <c r="G366" s="18" t="s">
        <v>153</v>
      </c>
      <c r="H366" s="248">
        <f t="shared" si="122"/>
        <v>50</v>
      </c>
      <c r="I366" s="135"/>
      <c r="J366" s="18" t="s">
        <v>166</v>
      </c>
      <c r="K366" s="4">
        <f t="shared" si="128"/>
        <v>6</v>
      </c>
      <c r="L366" s="18">
        <v>6.5</v>
      </c>
      <c r="M366" s="4">
        <f t="shared" si="114"/>
        <v>0.5</v>
      </c>
      <c r="N366" s="5">
        <v>0.74</v>
      </c>
      <c r="O366" s="5">
        <f t="shared" si="108"/>
        <v>0.26</v>
      </c>
      <c r="P366" s="31">
        <f t="shared" si="115"/>
        <v>0.37</v>
      </c>
      <c r="Q366" s="31">
        <f t="shared" si="125"/>
        <v>0.37</v>
      </c>
      <c r="R366" s="31">
        <v>18.5</v>
      </c>
      <c r="S366" s="31">
        <v>20</v>
      </c>
      <c r="T366" s="31">
        <v>0.28000000000000003</v>
      </c>
      <c r="U366" s="31">
        <v>0</v>
      </c>
      <c r="V366" s="65">
        <f t="shared" si="123"/>
        <v>0</v>
      </c>
      <c r="W366" s="31">
        <v>3</v>
      </c>
      <c r="X366" s="31"/>
      <c r="Y366" s="31">
        <f t="shared" si="126"/>
        <v>3</v>
      </c>
      <c r="Z366" s="31">
        <f>+IF(T365=0,"",(T365*1000)/Y366)</f>
        <v>83.333333333333329</v>
      </c>
      <c r="AA366" s="18">
        <v>0</v>
      </c>
      <c r="AB366" s="18" t="s">
        <v>100</v>
      </c>
      <c r="AC366" s="18" t="s">
        <v>333</v>
      </c>
      <c r="AD366" s="18" t="s">
        <v>335</v>
      </c>
      <c r="AE366" s="18">
        <v>20</v>
      </c>
      <c r="AF366" s="18">
        <v>18.5</v>
      </c>
      <c r="AG366" s="18" t="s">
        <v>29</v>
      </c>
      <c r="AH366" s="18" t="s">
        <v>29</v>
      </c>
      <c r="AI366" s="18" t="str">
        <f>+VLOOKUP(AH366,Leyenda!$O$4:$U$10,6,FALSE)</f>
        <v>0,25-0,35</v>
      </c>
      <c r="AJ366" s="18" t="str">
        <f>+VLOOKUP(AG366,Leyenda!$O$4:$U$10,7,FALSE)</f>
        <v>No Blasting need</v>
      </c>
      <c r="AK366" s="18">
        <f>+VLOOKUP(AJ366,Leyenda!$U$4:$V$10,2,FALSE)</f>
        <v>2</v>
      </c>
      <c r="AL366" s="18"/>
      <c r="AM366" s="18" t="s">
        <v>27</v>
      </c>
      <c r="AN366" s="18" t="s">
        <v>69</v>
      </c>
      <c r="AO366" s="18" t="s">
        <v>81</v>
      </c>
      <c r="AP366" s="18" t="s">
        <v>100</v>
      </c>
      <c r="AQ366" s="18" t="s">
        <v>107</v>
      </c>
      <c r="AR366" s="18" t="s">
        <v>120</v>
      </c>
      <c r="AS366" s="18" t="s">
        <v>247</v>
      </c>
      <c r="AT366" s="18"/>
      <c r="AU366" s="18"/>
      <c r="AV366" s="18">
        <f>+VLOOKUP(AN366,Leyenda!$B$30:$E$34,3,FALSE)</f>
        <v>0</v>
      </c>
      <c r="AW366" s="18">
        <f>+VLOOKUP('2. Logging Brejo Seco'!AO366,Meteorizacion,3,FALSE)</f>
        <v>0</v>
      </c>
      <c r="AX366" s="18">
        <f>+VLOOKUP('2. Logging Brejo Seco'!AP366,Apertura,3,FALSE)</f>
        <v>0</v>
      </c>
      <c r="AY366" s="18">
        <f>+VLOOKUP('2. Logging Brejo Seco'!AQ366,Leyenda!$B$55:$D$59,3,FALSE)</f>
        <v>3</v>
      </c>
      <c r="AZ366" s="18">
        <f>+VLOOKUP('2. Logging Brejo Seco'!AR366,Relleno,3,FALSE)</f>
        <v>2</v>
      </c>
      <c r="BA366" s="18">
        <f t="shared" si="124"/>
        <v>5</v>
      </c>
      <c r="BB366" s="49">
        <f t="shared" si="129"/>
        <v>0</v>
      </c>
      <c r="BC366" s="49">
        <f>VLOOKUP(AH366,Leyenda!$B$4:$D$10,3,FALSE)</f>
        <v>2</v>
      </c>
      <c r="BD366" s="50">
        <f t="shared" si="116"/>
        <v>7</v>
      </c>
      <c r="BE366" s="49">
        <f t="shared" si="117"/>
        <v>5</v>
      </c>
      <c r="BF366" s="49">
        <f>VLOOKUP(AS366,Leyenda!$B$70:$D$75,3,FALSE)</f>
        <v>10</v>
      </c>
      <c r="BG366" s="67">
        <f t="shared" si="130"/>
        <v>7.5</v>
      </c>
      <c r="BH366" s="67">
        <f>VLOOKUP(AG366,Leyenda!$B$4:$E$10,4,FALSE)</f>
        <v>2</v>
      </c>
      <c r="BI366" s="67">
        <f t="shared" si="118"/>
        <v>7</v>
      </c>
      <c r="BJ366" s="67">
        <f t="shared" si="131"/>
        <v>0</v>
      </c>
      <c r="BK366" s="67">
        <f>+VLOOKUP('2. Logging Brejo Seco'!AP366,Leyenda!$B$47:$E$51,4,FALSE)</f>
        <v>0</v>
      </c>
      <c r="BL366" s="67">
        <f>+VLOOKUP('2. Logging Brejo Seco'!AQ366,Leyenda!$B$55:$E$59,4,FALSE)</f>
        <v>3</v>
      </c>
      <c r="BM366" s="67">
        <f>+VLOOKUP('2. Logging Brejo Seco'!AR366,Leyenda!$B$63:$E$67,3,FALSE)</f>
        <v>2</v>
      </c>
      <c r="BN366" s="67">
        <f>+VLOOKUP('2. Logging Brejo Seco'!AO366,Leyenda!$B$39:$E$43,4,FALSE)</f>
        <v>0</v>
      </c>
      <c r="BO366" s="67">
        <f>+VLOOKUP('2. Logging Brejo Seco'!AN366,Leyenda!$B$30:$E$34,4,FALSE)</f>
        <v>0</v>
      </c>
      <c r="BP366" s="67">
        <f>VLOOKUP(AS366,Leyenda!$B$71:$E$75,4,FALSE)</f>
        <v>7</v>
      </c>
      <c r="BQ366" s="67">
        <f t="shared" si="119"/>
        <v>21</v>
      </c>
      <c r="BR366" s="18">
        <f t="shared" si="120"/>
        <v>24</v>
      </c>
      <c r="BS366" s="240">
        <f t="shared" si="121"/>
        <v>0.26</v>
      </c>
      <c r="BT366" s="18"/>
    </row>
    <row r="367" spans="1:72" x14ac:dyDescent="0.25">
      <c r="A367" s="18" t="s">
        <v>6</v>
      </c>
      <c r="B367" s="18">
        <v>2024</v>
      </c>
      <c r="C367" s="18" t="s">
        <v>138</v>
      </c>
      <c r="D367" s="18" t="s">
        <v>132</v>
      </c>
      <c r="E367" s="18">
        <v>40</v>
      </c>
      <c r="F367" s="18">
        <v>50</v>
      </c>
      <c r="G367" s="18" t="s">
        <v>153</v>
      </c>
      <c r="H367" s="248">
        <f t="shared" si="122"/>
        <v>50</v>
      </c>
      <c r="I367" s="135"/>
      <c r="J367" s="18" t="s">
        <v>166</v>
      </c>
      <c r="K367" s="4">
        <f t="shared" si="128"/>
        <v>6.5</v>
      </c>
      <c r="L367" s="18">
        <v>7</v>
      </c>
      <c r="M367" s="4">
        <f t="shared" si="114"/>
        <v>0.5</v>
      </c>
      <c r="N367" s="5">
        <v>0.4</v>
      </c>
      <c r="O367" s="5">
        <f t="shared" si="108"/>
        <v>0.6</v>
      </c>
      <c r="P367" s="31">
        <f t="shared" si="115"/>
        <v>0.2</v>
      </c>
      <c r="Q367" s="31">
        <f t="shared" si="125"/>
        <v>0.2</v>
      </c>
      <c r="R367" s="31">
        <v>10</v>
      </c>
      <c r="S367" s="31">
        <v>20</v>
      </c>
      <c r="T367" s="31">
        <v>0.19</v>
      </c>
      <c r="U367" s="31">
        <v>0</v>
      </c>
      <c r="V367" s="65">
        <f t="shared" si="123"/>
        <v>0</v>
      </c>
      <c r="W367" s="31">
        <v>5</v>
      </c>
      <c r="X367" s="31"/>
      <c r="Y367" s="31">
        <f t="shared" si="126"/>
        <v>5</v>
      </c>
      <c r="Z367" s="31">
        <f>+IF(T366=0,"",(T366*1000)/Y367)</f>
        <v>56</v>
      </c>
      <c r="AA367" s="18">
        <v>0</v>
      </c>
      <c r="AB367" s="18" t="s">
        <v>330</v>
      </c>
      <c r="AC367" s="18" t="s">
        <v>333</v>
      </c>
      <c r="AD367" s="18" t="s">
        <v>335</v>
      </c>
      <c r="AE367" s="18">
        <v>20</v>
      </c>
      <c r="AF367" s="18">
        <v>10</v>
      </c>
      <c r="AG367" s="18" t="s">
        <v>34</v>
      </c>
      <c r="AH367" s="18" t="s">
        <v>34</v>
      </c>
      <c r="AI367" s="18">
        <f>+VLOOKUP(AH367,Leyenda!$O$4:$U$10,6,FALSE)</f>
        <v>0</v>
      </c>
      <c r="AJ367" s="18" t="str">
        <f>+VLOOKUP(AG367,Leyenda!$O$4:$U$10,7,FALSE)</f>
        <v>No Blasting need</v>
      </c>
      <c r="AK367" s="18">
        <f>+VLOOKUP(AJ367,Leyenda!$U$4:$V$10,2,FALSE)</f>
        <v>2</v>
      </c>
      <c r="AL367" s="18"/>
      <c r="AM367" s="18" t="s">
        <v>27</v>
      </c>
      <c r="AN367" s="18" t="s">
        <v>69</v>
      </c>
      <c r="AO367" s="18" t="s">
        <v>81</v>
      </c>
      <c r="AP367" s="18" t="s">
        <v>100</v>
      </c>
      <c r="AQ367" s="18" t="s">
        <v>107</v>
      </c>
      <c r="AR367" s="18" t="s">
        <v>120</v>
      </c>
      <c r="AS367" s="18" t="s">
        <v>247</v>
      </c>
      <c r="AT367" s="18"/>
      <c r="AU367" s="18"/>
      <c r="AV367" s="18">
        <f>+VLOOKUP(AN367,Leyenda!$B$30:$E$34,3,FALSE)</f>
        <v>0</v>
      </c>
      <c r="AW367" s="18">
        <f>+VLOOKUP('2. Logging Brejo Seco'!AO367,Meteorizacion,3,FALSE)</f>
        <v>0</v>
      </c>
      <c r="AX367" s="18">
        <f>+VLOOKUP('2. Logging Brejo Seco'!AP367,Apertura,3,FALSE)</f>
        <v>0</v>
      </c>
      <c r="AY367" s="18">
        <f>+VLOOKUP('2. Logging Brejo Seco'!AQ367,Leyenda!$B$55:$D$59,3,FALSE)</f>
        <v>3</v>
      </c>
      <c r="AZ367" s="18">
        <f>+VLOOKUP('2. Logging Brejo Seco'!AR367,Relleno,3,FALSE)</f>
        <v>2</v>
      </c>
      <c r="BA367" s="18">
        <f t="shared" si="124"/>
        <v>5</v>
      </c>
      <c r="BB367" s="49">
        <f t="shared" si="129"/>
        <v>0</v>
      </c>
      <c r="BC367" s="49">
        <f>VLOOKUP(AH367,Leyenda!$B$4:$D$10,3,FALSE)</f>
        <v>0</v>
      </c>
      <c r="BD367" s="50">
        <f t="shared" si="116"/>
        <v>6</v>
      </c>
      <c r="BE367" s="49">
        <f t="shared" si="117"/>
        <v>5</v>
      </c>
      <c r="BF367" s="49">
        <f>VLOOKUP(AS367,Leyenda!$B$70:$D$75,3,FALSE)</f>
        <v>10</v>
      </c>
      <c r="BG367" s="67">
        <f t="shared" si="130"/>
        <v>7.5</v>
      </c>
      <c r="BH367" s="67">
        <f>VLOOKUP(AG367,Leyenda!$B$4:$E$10,4,FALSE)</f>
        <v>0</v>
      </c>
      <c r="BI367" s="67">
        <f t="shared" si="118"/>
        <v>5</v>
      </c>
      <c r="BJ367" s="67">
        <f t="shared" si="131"/>
        <v>0</v>
      </c>
      <c r="BK367" s="67">
        <f>+VLOOKUP('2. Logging Brejo Seco'!AP367,Leyenda!$B$47:$E$51,4,FALSE)</f>
        <v>0</v>
      </c>
      <c r="BL367" s="67">
        <f>+VLOOKUP('2. Logging Brejo Seco'!AQ367,Leyenda!$B$55:$E$59,4,FALSE)</f>
        <v>3</v>
      </c>
      <c r="BM367" s="67">
        <f>+VLOOKUP('2. Logging Brejo Seco'!AR367,Leyenda!$B$63:$E$67,3,FALSE)</f>
        <v>2</v>
      </c>
      <c r="BN367" s="67">
        <f>+VLOOKUP('2. Logging Brejo Seco'!AO367,Leyenda!$B$39:$E$43,4,FALSE)</f>
        <v>0</v>
      </c>
      <c r="BO367" s="67">
        <f>+VLOOKUP('2. Logging Brejo Seco'!AN367,Leyenda!$B$30:$E$34,4,FALSE)</f>
        <v>0</v>
      </c>
      <c r="BP367" s="67">
        <f>VLOOKUP(AS367,Leyenda!$B$71:$E$75,4,FALSE)</f>
        <v>7</v>
      </c>
      <c r="BQ367" s="67">
        <f t="shared" si="119"/>
        <v>17</v>
      </c>
      <c r="BR367" s="18">
        <f t="shared" si="120"/>
        <v>21</v>
      </c>
      <c r="BS367" s="240">
        <f t="shared" si="121"/>
        <v>0.6</v>
      </c>
      <c r="BT367" s="18"/>
    </row>
    <row r="368" spans="1:72" x14ac:dyDescent="0.25">
      <c r="A368" s="18" t="s">
        <v>6</v>
      </c>
      <c r="B368" s="18">
        <v>2024</v>
      </c>
      <c r="C368" s="18" t="s">
        <v>138</v>
      </c>
      <c r="D368" s="18" t="s">
        <v>132</v>
      </c>
      <c r="E368" s="18">
        <v>40</v>
      </c>
      <c r="F368" s="18">
        <v>50</v>
      </c>
      <c r="G368" s="18" t="s">
        <v>153</v>
      </c>
      <c r="H368" s="248">
        <f t="shared" si="122"/>
        <v>50</v>
      </c>
      <c r="I368" s="135"/>
      <c r="J368" s="18" t="s">
        <v>166</v>
      </c>
      <c r="K368" s="4">
        <f t="shared" si="128"/>
        <v>7</v>
      </c>
      <c r="L368" s="18">
        <v>7.5</v>
      </c>
      <c r="M368" s="4">
        <f t="shared" si="114"/>
        <v>0.5</v>
      </c>
      <c r="N368" s="5">
        <v>0.48</v>
      </c>
      <c r="O368" s="5">
        <f t="shared" si="108"/>
        <v>0.52</v>
      </c>
      <c r="P368" s="31">
        <f t="shared" si="115"/>
        <v>0.24</v>
      </c>
      <c r="Q368" s="31">
        <f t="shared" si="125"/>
        <v>0.24</v>
      </c>
      <c r="R368" s="31">
        <v>12</v>
      </c>
      <c r="S368" s="31">
        <v>20</v>
      </c>
      <c r="T368" s="31">
        <v>0.23</v>
      </c>
      <c r="U368" s="31">
        <v>0</v>
      </c>
      <c r="V368" s="65">
        <f t="shared" si="123"/>
        <v>0</v>
      </c>
      <c r="W368" s="31">
        <v>5</v>
      </c>
      <c r="X368" s="31"/>
      <c r="Y368" s="31">
        <f t="shared" si="126"/>
        <v>5</v>
      </c>
      <c r="Z368" s="31">
        <f>+IF(T367=0,"",(T367*1000)/Y368)</f>
        <v>38</v>
      </c>
      <c r="AA368" s="18">
        <v>0</v>
      </c>
      <c r="AB368" s="18" t="s">
        <v>330</v>
      </c>
      <c r="AC368" s="18" t="s">
        <v>333</v>
      </c>
      <c r="AD368" s="18" t="s">
        <v>335</v>
      </c>
      <c r="AE368" s="18">
        <v>20</v>
      </c>
      <c r="AF368" s="18">
        <v>12</v>
      </c>
      <c r="AG368" s="18" t="s">
        <v>34</v>
      </c>
      <c r="AH368" s="18" t="s">
        <v>34</v>
      </c>
      <c r="AI368" s="18">
        <f>+VLOOKUP(AH368,Leyenda!$O$4:$U$10,6,FALSE)</f>
        <v>0</v>
      </c>
      <c r="AJ368" s="18" t="str">
        <f>+VLOOKUP(AG368,Leyenda!$O$4:$U$10,7,FALSE)</f>
        <v>No Blasting need</v>
      </c>
      <c r="AK368" s="18">
        <f>+VLOOKUP(AJ368,Leyenda!$U$4:$V$10,2,FALSE)</f>
        <v>2</v>
      </c>
      <c r="AL368" s="18"/>
      <c r="AM368" s="18" t="s">
        <v>24</v>
      </c>
      <c r="AN368" s="18" t="s">
        <v>69</v>
      </c>
      <c r="AO368" s="18" t="s">
        <v>81</v>
      </c>
      <c r="AP368" s="18" t="s">
        <v>100</v>
      </c>
      <c r="AQ368" s="18" t="s">
        <v>107</v>
      </c>
      <c r="AR368" s="18" t="s">
        <v>120</v>
      </c>
      <c r="AS368" s="18" t="s">
        <v>247</v>
      </c>
      <c r="AT368" s="18"/>
      <c r="AU368" s="18"/>
      <c r="AV368" s="18">
        <f>+VLOOKUP(AN368,Leyenda!$B$30:$E$34,3,FALSE)</f>
        <v>0</v>
      </c>
      <c r="AW368" s="18">
        <f>+VLOOKUP('2. Logging Brejo Seco'!AO368,Meteorizacion,3,FALSE)</f>
        <v>0</v>
      </c>
      <c r="AX368" s="18">
        <f>+VLOOKUP('2. Logging Brejo Seco'!AP368,Apertura,3,FALSE)</f>
        <v>0</v>
      </c>
      <c r="AY368" s="18">
        <f>+VLOOKUP('2. Logging Brejo Seco'!AQ368,Leyenda!$B$55:$D$59,3,FALSE)</f>
        <v>3</v>
      </c>
      <c r="AZ368" s="18">
        <f>+VLOOKUP('2. Logging Brejo Seco'!AR368,Relleno,3,FALSE)</f>
        <v>2</v>
      </c>
      <c r="BA368" s="18">
        <f t="shared" si="124"/>
        <v>5</v>
      </c>
      <c r="BB368" s="49">
        <f t="shared" si="129"/>
        <v>0</v>
      </c>
      <c r="BC368" s="49">
        <f>VLOOKUP(AH368,Leyenda!$B$4:$D$10,3,FALSE)</f>
        <v>0</v>
      </c>
      <c r="BD368" s="50">
        <f t="shared" si="116"/>
        <v>5</v>
      </c>
      <c r="BE368" s="49">
        <f t="shared" si="117"/>
        <v>5</v>
      </c>
      <c r="BF368" s="49">
        <f>VLOOKUP(AS368,Leyenda!$B$70:$D$75,3,FALSE)</f>
        <v>10</v>
      </c>
      <c r="BG368" s="67">
        <f t="shared" si="130"/>
        <v>7.5</v>
      </c>
      <c r="BH368" s="67">
        <f>VLOOKUP(AG368,Leyenda!$B$4:$E$10,4,FALSE)</f>
        <v>0</v>
      </c>
      <c r="BI368" s="67">
        <f t="shared" si="118"/>
        <v>5</v>
      </c>
      <c r="BJ368" s="67">
        <f t="shared" si="131"/>
        <v>0</v>
      </c>
      <c r="BK368" s="67">
        <f>+VLOOKUP('2. Logging Brejo Seco'!AP368,Leyenda!$B$47:$E$51,4,FALSE)</f>
        <v>0</v>
      </c>
      <c r="BL368" s="67">
        <f>+VLOOKUP('2. Logging Brejo Seco'!AQ368,Leyenda!$B$55:$E$59,4,FALSE)</f>
        <v>3</v>
      </c>
      <c r="BM368" s="67">
        <f>+VLOOKUP('2. Logging Brejo Seco'!AR368,Leyenda!$B$63:$E$67,3,FALSE)</f>
        <v>2</v>
      </c>
      <c r="BN368" s="67">
        <f>+VLOOKUP('2. Logging Brejo Seco'!AO368,Leyenda!$B$39:$E$43,4,FALSE)</f>
        <v>0</v>
      </c>
      <c r="BO368" s="67">
        <f>+VLOOKUP('2. Logging Brejo Seco'!AN368,Leyenda!$B$30:$E$34,4,FALSE)</f>
        <v>0</v>
      </c>
      <c r="BP368" s="67">
        <f>VLOOKUP(AS368,Leyenda!$B$71:$E$75,4,FALSE)</f>
        <v>7</v>
      </c>
      <c r="BQ368" s="67">
        <f t="shared" si="119"/>
        <v>17</v>
      </c>
      <c r="BR368" s="18">
        <f t="shared" si="120"/>
        <v>20</v>
      </c>
      <c r="BS368" s="240">
        <f t="shared" si="121"/>
        <v>0.52</v>
      </c>
      <c r="BT368" s="18"/>
    </row>
    <row r="369" spans="1:72" x14ac:dyDescent="0.25">
      <c r="A369" s="18" t="s">
        <v>6</v>
      </c>
      <c r="B369" s="18">
        <v>2024</v>
      </c>
      <c r="C369" s="18" t="s">
        <v>138</v>
      </c>
      <c r="D369" s="18" t="s">
        <v>132</v>
      </c>
      <c r="E369" s="18">
        <v>40</v>
      </c>
      <c r="F369" s="18">
        <v>50</v>
      </c>
      <c r="G369" s="18" t="s">
        <v>153</v>
      </c>
      <c r="H369" s="248">
        <f t="shared" si="122"/>
        <v>50</v>
      </c>
      <c r="I369" s="135"/>
      <c r="J369" s="18" t="s">
        <v>166</v>
      </c>
      <c r="K369" s="4">
        <f t="shared" si="128"/>
        <v>7.5</v>
      </c>
      <c r="L369" s="18">
        <v>8</v>
      </c>
      <c r="M369" s="4">
        <f t="shared" si="114"/>
        <v>0.5</v>
      </c>
      <c r="N369" s="5">
        <v>0.46</v>
      </c>
      <c r="O369" s="5">
        <f t="shared" si="108"/>
        <v>0.54</v>
      </c>
      <c r="P369" s="31">
        <f t="shared" si="115"/>
        <v>0.23</v>
      </c>
      <c r="Q369" s="31">
        <f t="shared" si="125"/>
        <v>0.23</v>
      </c>
      <c r="R369" s="31">
        <v>11.5</v>
      </c>
      <c r="S369" s="31">
        <v>20</v>
      </c>
      <c r="T369" s="31">
        <v>0.21</v>
      </c>
      <c r="U369" s="31">
        <v>0</v>
      </c>
      <c r="V369" s="65">
        <f t="shared" si="123"/>
        <v>0</v>
      </c>
      <c r="W369" s="31">
        <v>5</v>
      </c>
      <c r="X369" s="31"/>
      <c r="Y369" s="31">
        <f t="shared" si="126"/>
        <v>5</v>
      </c>
      <c r="Z369" s="31">
        <f>+IF(T368=0,"",(T368*1000)/Y369)</f>
        <v>46</v>
      </c>
      <c r="AA369" s="18">
        <v>0</v>
      </c>
      <c r="AB369" s="18" t="s">
        <v>330</v>
      </c>
      <c r="AC369" s="18" t="s">
        <v>333</v>
      </c>
      <c r="AD369" s="18" t="s">
        <v>335</v>
      </c>
      <c r="AE369" s="18">
        <v>20</v>
      </c>
      <c r="AF369" s="18">
        <v>11.5</v>
      </c>
      <c r="AG369" s="18" t="s">
        <v>34</v>
      </c>
      <c r="AH369" s="18" t="s">
        <v>34</v>
      </c>
      <c r="AI369" s="18">
        <f>+VLOOKUP(AH369,Leyenda!$O$4:$U$10,6,FALSE)</f>
        <v>0</v>
      </c>
      <c r="AJ369" s="18" t="str">
        <f>+VLOOKUP(AG369,Leyenda!$O$4:$U$10,7,FALSE)</f>
        <v>No Blasting need</v>
      </c>
      <c r="AK369" s="18">
        <f>+VLOOKUP(AJ369,Leyenda!$U$4:$V$10,2,FALSE)</f>
        <v>2</v>
      </c>
      <c r="AL369" s="18"/>
      <c r="AM369" s="18" t="s">
        <v>24</v>
      </c>
      <c r="AN369" s="18" t="s">
        <v>69</v>
      </c>
      <c r="AO369" s="18" t="s">
        <v>81</v>
      </c>
      <c r="AP369" s="18" t="s">
        <v>100</v>
      </c>
      <c r="AQ369" s="18" t="s">
        <v>107</v>
      </c>
      <c r="AR369" s="18" t="s">
        <v>120</v>
      </c>
      <c r="AS369" s="18" t="s">
        <v>247</v>
      </c>
      <c r="AT369" s="18"/>
      <c r="AU369" s="18"/>
      <c r="AV369" s="18">
        <f>+VLOOKUP(AN369,Leyenda!$B$30:$E$34,3,FALSE)</f>
        <v>0</v>
      </c>
      <c r="AW369" s="18">
        <f>+VLOOKUP('2. Logging Brejo Seco'!AO369,Meteorizacion,3,FALSE)</f>
        <v>0</v>
      </c>
      <c r="AX369" s="18">
        <f>+VLOOKUP('2. Logging Brejo Seco'!AP369,Apertura,3,FALSE)</f>
        <v>0</v>
      </c>
      <c r="AY369" s="18">
        <f>+VLOOKUP('2. Logging Brejo Seco'!AQ369,Leyenda!$B$55:$D$59,3,FALSE)</f>
        <v>3</v>
      </c>
      <c r="AZ369" s="18">
        <f>+VLOOKUP('2. Logging Brejo Seco'!AR369,Relleno,3,FALSE)</f>
        <v>2</v>
      </c>
      <c r="BA369" s="18">
        <f t="shared" si="124"/>
        <v>5</v>
      </c>
      <c r="BB369" s="49">
        <f t="shared" si="129"/>
        <v>0</v>
      </c>
      <c r="BC369" s="49">
        <f>VLOOKUP(AH369,Leyenda!$B$4:$D$10,3,FALSE)</f>
        <v>0</v>
      </c>
      <c r="BD369" s="50">
        <f t="shared" si="116"/>
        <v>6</v>
      </c>
      <c r="BE369" s="49">
        <f t="shared" si="117"/>
        <v>5</v>
      </c>
      <c r="BF369" s="49">
        <f>VLOOKUP(AS369,Leyenda!$B$70:$D$75,3,FALSE)</f>
        <v>10</v>
      </c>
      <c r="BG369" s="67">
        <f t="shared" si="130"/>
        <v>7.5</v>
      </c>
      <c r="BH369" s="67">
        <f>VLOOKUP(AG369,Leyenda!$B$4:$E$10,4,FALSE)</f>
        <v>0</v>
      </c>
      <c r="BI369" s="67">
        <f t="shared" si="118"/>
        <v>5</v>
      </c>
      <c r="BJ369" s="67">
        <f t="shared" si="131"/>
        <v>0</v>
      </c>
      <c r="BK369" s="67">
        <f>+VLOOKUP('2. Logging Brejo Seco'!AP369,Leyenda!$B$47:$E$51,4,FALSE)</f>
        <v>0</v>
      </c>
      <c r="BL369" s="67">
        <f>+VLOOKUP('2. Logging Brejo Seco'!AQ369,Leyenda!$B$55:$E$59,4,FALSE)</f>
        <v>3</v>
      </c>
      <c r="BM369" s="67">
        <f>+VLOOKUP('2. Logging Brejo Seco'!AR369,Leyenda!$B$63:$E$67,3,FALSE)</f>
        <v>2</v>
      </c>
      <c r="BN369" s="67">
        <f>+VLOOKUP('2. Logging Brejo Seco'!AO369,Leyenda!$B$39:$E$43,4,FALSE)</f>
        <v>0</v>
      </c>
      <c r="BO369" s="67">
        <f>+VLOOKUP('2. Logging Brejo Seco'!AN369,Leyenda!$B$30:$E$34,4,FALSE)</f>
        <v>0</v>
      </c>
      <c r="BP369" s="67">
        <f>VLOOKUP(AS369,Leyenda!$B$71:$E$75,4,FALSE)</f>
        <v>7</v>
      </c>
      <c r="BQ369" s="67">
        <f t="shared" si="119"/>
        <v>17</v>
      </c>
      <c r="BR369" s="18">
        <f t="shared" si="120"/>
        <v>21</v>
      </c>
      <c r="BS369" s="240">
        <f t="shared" si="121"/>
        <v>0.54</v>
      </c>
      <c r="BT369" s="18"/>
    </row>
    <row r="370" spans="1:72" x14ac:dyDescent="0.25">
      <c r="A370" s="18" t="s">
        <v>6</v>
      </c>
      <c r="B370" s="18">
        <v>2024</v>
      </c>
      <c r="C370" s="18" t="s">
        <v>138</v>
      </c>
      <c r="D370" s="18" t="s">
        <v>132</v>
      </c>
      <c r="E370" s="18">
        <v>40</v>
      </c>
      <c r="F370" s="18">
        <v>50</v>
      </c>
      <c r="G370" s="18" t="s">
        <v>153</v>
      </c>
      <c r="H370" s="248">
        <f t="shared" si="122"/>
        <v>50</v>
      </c>
      <c r="I370" s="135"/>
      <c r="J370" s="18" t="s">
        <v>166</v>
      </c>
      <c r="K370" s="4">
        <f t="shared" si="128"/>
        <v>8</v>
      </c>
      <c r="L370" s="18">
        <v>8.5</v>
      </c>
      <c r="M370" s="4">
        <f t="shared" si="114"/>
        <v>0.5</v>
      </c>
      <c r="N370" s="5">
        <v>0.38</v>
      </c>
      <c r="O370" s="5">
        <f t="shared" ref="O370:O433" si="132">1-N370</f>
        <v>0.62</v>
      </c>
      <c r="P370" s="31">
        <f t="shared" si="115"/>
        <v>0.19</v>
      </c>
      <c r="Q370" s="31">
        <f t="shared" si="125"/>
        <v>0.19</v>
      </c>
      <c r="R370" s="31">
        <v>12.666666666666666</v>
      </c>
      <c r="S370" s="31">
        <v>15</v>
      </c>
      <c r="T370" s="84">
        <v>0.15</v>
      </c>
      <c r="U370" s="31">
        <v>0.13</v>
      </c>
      <c r="V370" s="65">
        <f t="shared" si="123"/>
        <v>26</v>
      </c>
      <c r="W370" s="31">
        <v>3</v>
      </c>
      <c r="X370" s="31"/>
      <c r="Y370" s="31">
        <f t="shared" si="126"/>
        <v>3</v>
      </c>
      <c r="Z370" s="31">
        <f>+IF(T369=0,"",(T369*1000)/Y370)</f>
        <v>70</v>
      </c>
      <c r="AA370" s="18">
        <v>0</v>
      </c>
      <c r="AB370" s="18" t="s">
        <v>100</v>
      </c>
      <c r="AC370" s="18" t="s">
        <v>122</v>
      </c>
      <c r="AD370" s="18" t="s">
        <v>337</v>
      </c>
      <c r="AE370" s="18">
        <v>15</v>
      </c>
      <c r="AF370" s="18">
        <v>12.666666666666666</v>
      </c>
      <c r="AG370" s="18" t="s">
        <v>29</v>
      </c>
      <c r="AH370" s="18" t="s">
        <v>29</v>
      </c>
      <c r="AI370" s="18" t="str">
        <f>+VLOOKUP(AH370,Leyenda!$O$4:$U$10,6,FALSE)</f>
        <v>0,25-0,35</v>
      </c>
      <c r="AJ370" s="18" t="str">
        <f>+VLOOKUP(AG370,Leyenda!$O$4:$U$10,7,FALSE)</f>
        <v>No Blasting need</v>
      </c>
      <c r="AK370" s="18">
        <f>+VLOOKUP(AJ370,Leyenda!$U$4:$V$10,2,FALSE)</f>
        <v>2</v>
      </c>
      <c r="AL370" s="18"/>
      <c r="AM370" s="18" t="s">
        <v>27</v>
      </c>
      <c r="AN370" s="18" t="s">
        <v>69</v>
      </c>
      <c r="AO370" s="18" t="s">
        <v>81</v>
      </c>
      <c r="AP370" s="18" t="s">
        <v>100</v>
      </c>
      <c r="AQ370" s="18" t="s">
        <v>107</v>
      </c>
      <c r="AR370" s="18" t="s">
        <v>120</v>
      </c>
      <c r="AS370" s="18" t="s">
        <v>247</v>
      </c>
      <c r="AT370" s="18"/>
      <c r="AU370" s="18"/>
      <c r="AV370" s="18">
        <f>+VLOOKUP(AN370,Leyenda!$B$30:$E$34,3,FALSE)</f>
        <v>0</v>
      </c>
      <c r="AW370" s="18">
        <f>+VLOOKUP('2. Logging Brejo Seco'!AO370,Meteorizacion,3,FALSE)</f>
        <v>0</v>
      </c>
      <c r="AX370" s="18">
        <f>+VLOOKUP('2. Logging Brejo Seco'!AP370,Apertura,3,FALSE)</f>
        <v>0</v>
      </c>
      <c r="AY370" s="18">
        <f>+VLOOKUP('2. Logging Brejo Seco'!AQ370,Leyenda!$B$55:$D$59,3,FALSE)</f>
        <v>3</v>
      </c>
      <c r="AZ370" s="18">
        <f>+VLOOKUP('2. Logging Brejo Seco'!AR370,Relleno,3,FALSE)</f>
        <v>2</v>
      </c>
      <c r="BA370" s="18">
        <f t="shared" si="124"/>
        <v>5</v>
      </c>
      <c r="BB370" s="49">
        <f t="shared" si="129"/>
        <v>6</v>
      </c>
      <c r="BC370" s="49">
        <f>VLOOKUP(AH370,Leyenda!$B$4:$D$10,3,FALSE)</f>
        <v>2</v>
      </c>
      <c r="BD370" s="50">
        <f t="shared" si="116"/>
        <v>6</v>
      </c>
      <c r="BE370" s="49">
        <f t="shared" si="117"/>
        <v>5</v>
      </c>
      <c r="BF370" s="49">
        <f>VLOOKUP(AS370,Leyenda!$B$70:$D$75,3,FALSE)</f>
        <v>10</v>
      </c>
      <c r="BG370" s="67">
        <f t="shared" si="130"/>
        <v>20.5</v>
      </c>
      <c r="BH370" s="67">
        <f>VLOOKUP(AG370,Leyenda!$B$4:$E$10,4,FALSE)</f>
        <v>2</v>
      </c>
      <c r="BI370" s="67">
        <f t="shared" si="118"/>
        <v>6</v>
      </c>
      <c r="BJ370" s="67">
        <f t="shared" si="131"/>
        <v>6</v>
      </c>
      <c r="BK370" s="67">
        <f>+VLOOKUP('2. Logging Brejo Seco'!AP370,Leyenda!$B$47:$E$51,4,FALSE)</f>
        <v>0</v>
      </c>
      <c r="BL370" s="67">
        <f>+VLOOKUP('2. Logging Brejo Seco'!AQ370,Leyenda!$B$55:$E$59,4,FALSE)</f>
        <v>3</v>
      </c>
      <c r="BM370" s="67">
        <f>+VLOOKUP('2. Logging Brejo Seco'!AR370,Leyenda!$B$63:$E$67,3,FALSE)</f>
        <v>2</v>
      </c>
      <c r="BN370" s="67">
        <f>+VLOOKUP('2. Logging Brejo Seco'!AO370,Leyenda!$B$39:$E$43,4,FALSE)</f>
        <v>0</v>
      </c>
      <c r="BO370" s="67">
        <f>+VLOOKUP('2. Logging Brejo Seco'!AN370,Leyenda!$B$30:$E$34,4,FALSE)</f>
        <v>0</v>
      </c>
      <c r="BP370" s="67">
        <f>VLOOKUP(AS370,Leyenda!$B$71:$E$75,4,FALSE)</f>
        <v>7</v>
      </c>
      <c r="BQ370" s="67">
        <f t="shared" si="119"/>
        <v>26</v>
      </c>
      <c r="BR370" s="18">
        <f t="shared" si="120"/>
        <v>29</v>
      </c>
      <c r="BS370" s="240">
        <f t="shared" si="121"/>
        <v>0.62</v>
      </c>
      <c r="BT370" s="18"/>
    </row>
    <row r="371" spans="1:72" x14ac:dyDescent="0.25">
      <c r="A371" s="18" t="s">
        <v>6</v>
      </c>
      <c r="B371" s="18">
        <v>2024</v>
      </c>
      <c r="C371" s="18" t="s">
        <v>138</v>
      </c>
      <c r="D371" s="18" t="s">
        <v>132</v>
      </c>
      <c r="E371" s="18">
        <v>40</v>
      </c>
      <c r="F371" s="18">
        <v>50</v>
      </c>
      <c r="G371" s="18" t="s">
        <v>153</v>
      </c>
      <c r="H371" s="248">
        <f t="shared" si="122"/>
        <v>50</v>
      </c>
      <c r="I371" s="135"/>
      <c r="J371" s="18" t="s">
        <v>166</v>
      </c>
      <c r="K371" s="4">
        <f t="shared" si="128"/>
        <v>8.5</v>
      </c>
      <c r="L371" s="18">
        <v>9</v>
      </c>
      <c r="M371" s="4">
        <f t="shared" si="114"/>
        <v>0.5</v>
      </c>
      <c r="N371" s="5">
        <v>0.36</v>
      </c>
      <c r="O371" s="5">
        <f t="shared" si="132"/>
        <v>0.64</v>
      </c>
      <c r="P371" s="31">
        <f t="shared" si="115"/>
        <v>0.18</v>
      </c>
      <c r="Q371" s="31">
        <f t="shared" si="125"/>
        <v>0.18</v>
      </c>
      <c r="R371" s="31">
        <v>36</v>
      </c>
      <c r="S371" s="31">
        <v>5</v>
      </c>
      <c r="T371" s="31">
        <v>0.16</v>
      </c>
      <c r="U371" s="31">
        <v>0.11</v>
      </c>
      <c r="V371" s="65">
        <f t="shared" si="123"/>
        <v>22</v>
      </c>
      <c r="W371" s="31">
        <v>3</v>
      </c>
      <c r="X371" s="31"/>
      <c r="Y371" s="31">
        <f t="shared" si="126"/>
        <v>3</v>
      </c>
      <c r="Z371" s="31">
        <f t="shared" si="127"/>
        <v>53.333333333333336</v>
      </c>
      <c r="AA371" s="18">
        <v>24</v>
      </c>
      <c r="AB371" s="18" t="s">
        <v>100</v>
      </c>
      <c r="AC371" s="18" t="s">
        <v>118</v>
      </c>
      <c r="AD371" s="18" t="s">
        <v>337</v>
      </c>
      <c r="AE371" s="18">
        <v>5</v>
      </c>
      <c r="AF371" s="18">
        <v>36</v>
      </c>
      <c r="AG371" s="18" t="s">
        <v>29</v>
      </c>
      <c r="AH371" s="18" t="s">
        <v>29</v>
      </c>
      <c r="AI371" s="18" t="str">
        <f>+VLOOKUP(AH371,Leyenda!$O$4:$U$10,6,FALSE)</f>
        <v>0,25-0,35</v>
      </c>
      <c r="AJ371" s="18" t="str">
        <f>+VLOOKUP(AG371,Leyenda!$O$4:$U$10,7,FALSE)</f>
        <v>No Blasting need</v>
      </c>
      <c r="AK371" s="18">
        <f>+VLOOKUP(AJ371,Leyenda!$U$4:$V$10,2,FALSE)</f>
        <v>2</v>
      </c>
      <c r="AL371" s="18"/>
      <c r="AM371" s="18" t="s">
        <v>29</v>
      </c>
      <c r="AN371" s="18" t="s">
        <v>69</v>
      </c>
      <c r="AO371" s="18" t="s">
        <v>81</v>
      </c>
      <c r="AP371" s="18" t="s">
        <v>100</v>
      </c>
      <c r="AQ371" s="18" t="s">
        <v>107</v>
      </c>
      <c r="AR371" s="18" t="s">
        <v>120</v>
      </c>
      <c r="AS371" s="18" t="s">
        <v>247</v>
      </c>
      <c r="AT371" s="18"/>
      <c r="AU371" s="18"/>
      <c r="AV371" s="18">
        <f>+VLOOKUP(AN371,Leyenda!$B$30:$E$34,3,FALSE)</f>
        <v>0</v>
      </c>
      <c r="AW371" s="18">
        <f>+VLOOKUP('2. Logging Brejo Seco'!AO371,Meteorizacion,3,FALSE)</f>
        <v>0</v>
      </c>
      <c r="AX371" s="18">
        <f>+VLOOKUP('2. Logging Brejo Seco'!AP371,Apertura,3,FALSE)</f>
        <v>0</v>
      </c>
      <c r="AY371" s="18">
        <f>+VLOOKUP('2. Logging Brejo Seco'!AQ371,Leyenda!$B$55:$D$59,3,FALSE)</f>
        <v>3</v>
      </c>
      <c r="AZ371" s="18">
        <f>+VLOOKUP('2. Logging Brejo Seco'!AR371,Relleno,3,FALSE)</f>
        <v>2</v>
      </c>
      <c r="BA371" s="18">
        <f t="shared" si="124"/>
        <v>5</v>
      </c>
      <c r="BB371" s="49">
        <f t="shared" si="129"/>
        <v>5</v>
      </c>
      <c r="BC371" s="49">
        <f>VLOOKUP(AH371,Leyenda!$B$4:$D$10,3,FALSE)</f>
        <v>2</v>
      </c>
      <c r="BD371" s="50">
        <f t="shared" si="116"/>
        <v>6</v>
      </c>
      <c r="BE371" s="49">
        <f t="shared" si="117"/>
        <v>5</v>
      </c>
      <c r="BF371" s="49">
        <f>VLOOKUP(AS371,Leyenda!$B$70:$D$75,3,FALSE)</f>
        <v>10</v>
      </c>
      <c r="BG371" s="67">
        <f t="shared" si="130"/>
        <v>18.5</v>
      </c>
      <c r="BH371" s="67">
        <f>VLOOKUP(AG371,Leyenda!$B$4:$E$10,4,FALSE)</f>
        <v>2</v>
      </c>
      <c r="BI371" s="67">
        <f t="shared" si="118"/>
        <v>4</v>
      </c>
      <c r="BJ371" s="67">
        <f t="shared" si="131"/>
        <v>5</v>
      </c>
      <c r="BK371" s="67">
        <f>+VLOOKUP('2. Logging Brejo Seco'!AP371,Leyenda!$B$47:$E$51,4,FALSE)</f>
        <v>0</v>
      </c>
      <c r="BL371" s="67">
        <f>+VLOOKUP('2. Logging Brejo Seco'!AQ371,Leyenda!$B$55:$E$59,4,FALSE)</f>
        <v>3</v>
      </c>
      <c r="BM371" s="67">
        <f>+VLOOKUP('2. Logging Brejo Seco'!AR371,Leyenda!$B$63:$E$67,3,FALSE)</f>
        <v>2</v>
      </c>
      <c r="BN371" s="67">
        <f>+VLOOKUP('2. Logging Brejo Seco'!AO371,Leyenda!$B$39:$E$43,4,FALSE)</f>
        <v>0</v>
      </c>
      <c r="BO371" s="67">
        <f>+VLOOKUP('2. Logging Brejo Seco'!AN371,Leyenda!$B$30:$E$34,4,FALSE)</f>
        <v>0</v>
      </c>
      <c r="BP371" s="67">
        <f>VLOOKUP(AS371,Leyenda!$B$71:$E$75,4,FALSE)</f>
        <v>7</v>
      </c>
      <c r="BQ371" s="67">
        <f t="shared" si="119"/>
        <v>23</v>
      </c>
      <c r="BR371" s="18">
        <f t="shared" si="120"/>
        <v>28</v>
      </c>
      <c r="BS371" s="240">
        <f t="shared" si="121"/>
        <v>0.64</v>
      </c>
      <c r="BT371" s="18"/>
    </row>
    <row r="372" spans="1:72" x14ac:dyDescent="0.25">
      <c r="A372" s="18" t="s">
        <v>6</v>
      </c>
      <c r="B372" s="18">
        <v>2024</v>
      </c>
      <c r="C372" s="18" t="s">
        <v>138</v>
      </c>
      <c r="D372" s="18" t="s">
        <v>132</v>
      </c>
      <c r="E372" s="18">
        <v>40</v>
      </c>
      <c r="F372" s="18">
        <v>50</v>
      </c>
      <c r="G372" s="18" t="s">
        <v>153</v>
      </c>
      <c r="H372" s="248">
        <f t="shared" si="122"/>
        <v>50</v>
      </c>
      <c r="I372" s="135"/>
      <c r="J372" s="18" t="s">
        <v>166</v>
      </c>
      <c r="K372" s="4">
        <f t="shared" si="128"/>
        <v>9</v>
      </c>
      <c r="L372" s="18">
        <v>9.5</v>
      </c>
      <c r="M372" s="4">
        <f t="shared" si="114"/>
        <v>0.5</v>
      </c>
      <c r="N372" s="5">
        <v>0.4</v>
      </c>
      <c r="O372" s="5">
        <f t="shared" si="132"/>
        <v>0.6</v>
      </c>
      <c r="P372" s="31">
        <f t="shared" si="115"/>
        <v>0.2</v>
      </c>
      <c r="Q372" s="31">
        <f t="shared" si="125"/>
        <v>0.2</v>
      </c>
      <c r="R372" s="31">
        <v>10</v>
      </c>
      <c r="S372" s="31">
        <v>20</v>
      </c>
      <c r="T372" s="31">
        <v>0.18</v>
      </c>
      <c r="U372" s="31">
        <v>0</v>
      </c>
      <c r="V372" s="65">
        <f t="shared" si="123"/>
        <v>0</v>
      </c>
      <c r="W372" s="31">
        <v>5</v>
      </c>
      <c r="X372" s="31"/>
      <c r="Y372" s="31">
        <f t="shared" si="126"/>
        <v>5</v>
      </c>
      <c r="Z372" s="31">
        <f t="shared" si="127"/>
        <v>36</v>
      </c>
      <c r="AA372" s="18">
        <v>0</v>
      </c>
      <c r="AB372" s="18" t="s">
        <v>100</v>
      </c>
      <c r="AC372" s="18" t="s">
        <v>333</v>
      </c>
      <c r="AD372" s="18" t="s">
        <v>336</v>
      </c>
      <c r="AE372" s="18">
        <v>20</v>
      </c>
      <c r="AF372" s="18">
        <v>10</v>
      </c>
      <c r="AG372" s="18" t="s">
        <v>29</v>
      </c>
      <c r="AH372" s="18" t="s">
        <v>29</v>
      </c>
      <c r="AI372" s="18" t="str">
        <f>+VLOOKUP(AH372,Leyenda!$O$4:$U$10,6,FALSE)</f>
        <v>0,25-0,35</v>
      </c>
      <c r="AJ372" s="18" t="str">
        <f>+VLOOKUP(AG372,Leyenda!$O$4:$U$10,7,FALSE)</f>
        <v>No Blasting need</v>
      </c>
      <c r="AK372" s="18">
        <f>+VLOOKUP(AJ372,Leyenda!$U$4:$V$10,2,FALSE)</f>
        <v>2</v>
      </c>
      <c r="AL372" s="18"/>
      <c r="AM372" s="18" t="s">
        <v>29</v>
      </c>
      <c r="AN372" s="18" t="s">
        <v>69</v>
      </c>
      <c r="AO372" s="18" t="s">
        <v>81</v>
      </c>
      <c r="AP372" s="18" t="s">
        <v>100</v>
      </c>
      <c r="AQ372" s="18" t="s">
        <v>107</v>
      </c>
      <c r="AR372" s="18" t="s">
        <v>120</v>
      </c>
      <c r="AS372" s="18" t="s">
        <v>247</v>
      </c>
      <c r="AT372" s="18"/>
      <c r="AU372" s="18"/>
      <c r="AV372" s="18">
        <f>+VLOOKUP(AN372,Leyenda!$B$30:$E$34,3,FALSE)</f>
        <v>0</v>
      </c>
      <c r="AW372" s="18">
        <f>+VLOOKUP('2. Logging Brejo Seco'!AO372,Meteorizacion,3,FALSE)</f>
        <v>0</v>
      </c>
      <c r="AX372" s="18">
        <f>+VLOOKUP('2. Logging Brejo Seco'!AP372,Apertura,3,FALSE)</f>
        <v>0</v>
      </c>
      <c r="AY372" s="18">
        <f>+VLOOKUP('2. Logging Brejo Seco'!AQ372,Leyenda!$B$55:$D$59,3,FALSE)</f>
        <v>3</v>
      </c>
      <c r="AZ372" s="18">
        <f>+VLOOKUP('2. Logging Brejo Seco'!AR372,Relleno,3,FALSE)</f>
        <v>2</v>
      </c>
      <c r="BA372" s="18">
        <f t="shared" si="124"/>
        <v>5</v>
      </c>
      <c r="BB372" s="49">
        <f t="shared" si="129"/>
        <v>0</v>
      </c>
      <c r="BC372" s="49">
        <f>VLOOKUP(AH372,Leyenda!$B$4:$D$10,3,FALSE)</f>
        <v>2</v>
      </c>
      <c r="BD372" s="50">
        <f t="shared" si="116"/>
        <v>5</v>
      </c>
      <c r="BE372" s="49">
        <f t="shared" si="117"/>
        <v>5</v>
      </c>
      <c r="BF372" s="49">
        <f>VLOOKUP(AS372,Leyenda!$B$70:$D$75,3,FALSE)</f>
        <v>10</v>
      </c>
      <c r="BG372" s="67">
        <f t="shared" si="130"/>
        <v>7.5</v>
      </c>
      <c r="BH372" s="67">
        <f>VLOOKUP(AG372,Leyenda!$B$4:$E$10,4,FALSE)</f>
        <v>2</v>
      </c>
      <c r="BI372" s="67">
        <f t="shared" si="118"/>
        <v>5</v>
      </c>
      <c r="BJ372" s="67">
        <f t="shared" si="131"/>
        <v>0</v>
      </c>
      <c r="BK372" s="67">
        <f>+VLOOKUP('2. Logging Brejo Seco'!AP372,Leyenda!$B$47:$E$51,4,FALSE)</f>
        <v>0</v>
      </c>
      <c r="BL372" s="67">
        <f>+VLOOKUP('2. Logging Brejo Seco'!AQ372,Leyenda!$B$55:$E$59,4,FALSE)</f>
        <v>3</v>
      </c>
      <c r="BM372" s="67">
        <f>+VLOOKUP('2. Logging Brejo Seco'!AR372,Leyenda!$B$63:$E$67,3,FALSE)</f>
        <v>2</v>
      </c>
      <c r="BN372" s="67">
        <f>+VLOOKUP('2. Logging Brejo Seco'!AO372,Leyenda!$B$39:$E$43,4,FALSE)</f>
        <v>0</v>
      </c>
      <c r="BO372" s="67">
        <f>+VLOOKUP('2. Logging Brejo Seco'!AN372,Leyenda!$B$30:$E$34,4,FALSE)</f>
        <v>0</v>
      </c>
      <c r="BP372" s="67">
        <f>VLOOKUP(AS372,Leyenda!$B$71:$E$75,4,FALSE)</f>
        <v>7</v>
      </c>
      <c r="BQ372" s="67">
        <f t="shared" si="119"/>
        <v>19</v>
      </c>
      <c r="BR372" s="18">
        <f t="shared" si="120"/>
        <v>22</v>
      </c>
      <c r="BS372" s="240">
        <f t="shared" si="121"/>
        <v>0.6</v>
      </c>
      <c r="BT372" s="18"/>
    </row>
    <row r="373" spans="1:72" x14ac:dyDescent="0.25">
      <c r="A373" s="18" t="s">
        <v>6</v>
      </c>
      <c r="B373" s="18">
        <v>2024</v>
      </c>
      <c r="C373" s="18" t="s">
        <v>138</v>
      </c>
      <c r="D373" s="18" t="s">
        <v>132</v>
      </c>
      <c r="E373" s="18">
        <v>40</v>
      </c>
      <c r="F373" s="18">
        <v>50</v>
      </c>
      <c r="G373" s="18" t="s">
        <v>153</v>
      </c>
      <c r="H373" s="248">
        <f t="shared" si="122"/>
        <v>50</v>
      </c>
      <c r="I373" s="135"/>
      <c r="J373" s="18" t="s">
        <v>166</v>
      </c>
      <c r="K373" s="4">
        <v>9.5</v>
      </c>
      <c r="L373" s="18">
        <v>10</v>
      </c>
      <c r="M373" s="4">
        <f t="shared" si="114"/>
        <v>0.5</v>
      </c>
      <c r="N373" s="5">
        <v>0.42</v>
      </c>
      <c r="O373" s="5">
        <f t="shared" si="132"/>
        <v>0.58000000000000007</v>
      </c>
      <c r="P373" s="31">
        <f t="shared" si="115"/>
        <v>0.21</v>
      </c>
      <c r="Q373" s="31">
        <f t="shared" si="125"/>
        <v>0.21</v>
      </c>
      <c r="R373" s="31">
        <v>210</v>
      </c>
      <c r="S373" s="31">
        <v>1</v>
      </c>
      <c r="T373" s="31">
        <v>0.19</v>
      </c>
      <c r="U373" s="31">
        <v>0.11</v>
      </c>
      <c r="V373" s="65">
        <f t="shared" si="123"/>
        <v>22</v>
      </c>
      <c r="W373" s="31">
        <v>3</v>
      </c>
      <c r="X373" s="31"/>
      <c r="Y373" s="31">
        <f t="shared" si="126"/>
        <v>3</v>
      </c>
      <c r="Z373" s="31">
        <f t="shared" si="127"/>
        <v>63.333333333333336</v>
      </c>
      <c r="AA373" s="18">
        <v>24</v>
      </c>
      <c r="AB373" s="18" t="s">
        <v>96</v>
      </c>
      <c r="AC373" s="18" t="s">
        <v>116</v>
      </c>
      <c r="AD373" s="18" t="s">
        <v>337</v>
      </c>
      <c r="AE373" s="18">
        <v>1</v>
      </c>
      <c r="AF373" s="18">
        <v>210</v>
      </c>
      <c r="AG373" s="18" t="s">
        <v>29</v>
      </c>
      <c r="AH373" s="18" t="s">
        <v>29</v>
      </c>
      <c r="AI373" s="18" t="str">
        <f>+VLOOKUP(AH373,Leyenda!$O$4:$U$10,6,FALSE)</f>
        <v>0,25-0,35</v>
      </c>
      <c r="AJ373" s="18" t="str">
        <f>+VLOOKUP(AG373,Leyenda!$O$4:$U$10,7,FALSE)</f>
        <v>No Blasting need</v>
      </c>
      <c r="AK373" s="18">
        <f>+VLOOKUP(AJ373,Leyenda!$U$4:$V$10,2,FALSE)</f>
        <v>2</v>
      </c>
      <c r="AL373" s="18"/>
      <c r="AM373" s="18" t="s">
        <v>29</v>
      </c>
      <c r="AN373" s="18" t="s">
        <v>69</v>
      </c>
      <c r="AO373" s="18" t="s">
        <v>81</v>
      </c>
      <c r="AP373" s="18" t="s">
        <v>100</v>
      </c>
      <c r="AQ373" s="18" t="s">
        <v>107</v>
      </c>
      <c r="AR373" s="18" t="s">
        <v>120</v>
      </c>
      <c r="AS373" s="18" t="s">
        <v>247</v>
      </c>
      <c r="AT373" s="18"/>
      <c r="AU373" s="18"/>
      <c r="AV373" s="18">
        <f>+VLOOKUP(AN373,Leyenda!$B$30:$E$34,3,FALSE)</f>
        <v>0</v>
      </c>
      <c r="AW373" s="18">
        <f>+VLOOKUP('2. Logging Brejo Seco'!AO373,Meteorizacion,3,FALSE)</f>
        <v>0</v>
      </c>
      <c r="AX373" s="18">
        <f>+VLOOKUP('2. Logging Brejo Seco'!AP373,Apertura,3,FALSE)</f>
        <v>0</v>
      </c>
      <c r="AY373" s="18">
        <f>+VLOOKUP('2. Logging Brejo Seco'!AQ373,Leyenda!$B$55:$D$59,3,FALSE)</f>
        <v>3</v>
      </c>
      <c r="AZ373" s="18">
        <f>+VLOOKUP('2. Logging Brejo Seco'!AR373,Relleno,3,FALSE)</f>
        <v>2</v>
      </c>
      <c r="BA373" s="18">
        <f t="shared" si="124"/>
        <v>5</v>
      </c>
      <c r="BB373" s="49">
        <f t="shared" si="129"/>
        <v>5</v>
      </c>
      <c r="BC373" s="49">
        <f>VLOOKUP(AH373,Leyenda!$B$4:$D$10,3,FALSE)</f>
        <v>2</v>
      </c>
      <c r="BD373" s="50">
        <f t="shared" si="116"/>
        <v>6</v>
      </c>
      <c r="BE373" s="49">
        <f t="shared" si="117"/>
        <v>5</v>
      </c>
      <c r="BF373" s="49">
        <f>VLOOKUP(AS373,Leyenda!$B$70:$D$75,3,FALSE)</f>
        <v>10</v>
      </c>
      <c r="BG373" s="67">
        <f t="shared" si="130"/>
        <v>18.5</v>
      </c>
      <c r="BH373" s="67">
        <f>VLOOKUP(AG373,Leyenda!$B$4:$E$10,4,FALSE)</f>
        <v>2</v>
      </c>
      <c r="BI373" s="67">
        <f t="shared" si="118"/>
        <v>5</v>
      </c>
      <c r="BJ373" s="67">
        <f t="shared" si="131"/>
        <v>5</v>
      </c>
      <c r="BK373" s="67">
        <f>+VLOOKUP('2. Logging Brejo Seco'!AP373,Leyenda!$B$47:$E$51,4,FALSE)</f>
        <v>0</v>
      </c>
      <c r="BL373" s="67">
        <f>+VLOOKUP('2. Logging Brejo Seco'!AQ373,Leyenda!$B$55:$E$59,4,FALSE)</f>
        <v>3</v>
      </c>
      <c r="BM373" s="67">
        <f>+VLOOKUP('2. Logging Brejo Seco'!AR373,Leyenda!$B$63:$E$67,3,FALSE)</f>
        <v>2</v>
      </c>
      <c r="BN373" s="67">
        <f>+VLOOKUP('2. Logging Brejo Seco'!AO373,Leyenda!$B$39:$E$43,4,FALSE)</f>
        <v>0</v>
      </c>
      <c r="BO373" s="67">
        <f>+VLOOKUP('2. Logging Brejo Seco'!AN373,Leyenda!$B$30:$E$34,4,FALSE)</f>
        <v>0</v>
      </c>
      <c r="BP373" s="67">
        <f>VLOOKUP(AS373,Leyenda!$B$71:$E$75,4,FALSE)</f>
        <v>7</v>
      </c>
      <c r="BQ373" s="67">
        <f t="shared" si="119"/>
        <v>24</v>
      </c>
      <c r="BR373" s="18">
        <f t="shared" si="120"/>
        <v>28</v>
      </c>
      <c r="BS373" s="240">
        <f t="shared" si="121"/>
        <v>0.58000000000000007</v>
      </c>
      <c r="BT373" s="18"/>
    </row>
    <row r="374" spans="1:72" x14ac:dyDescent="0.25">
      <c r="A374" s="18" t="s">
        <v>6</v>
      </c>
      <c r="B374" s="18">
        <v>2024</v>
      </c>
      <c r="C374" s="18" t="s">
        <v>138</v>
      </c>
      <c r="D374" s="18" t="s">
        <v>132</v>
      </c>
      <c r="E374" s="18">
        <v>40</v>
      </c>
      <c r="F374" s="18">
        <v>50</v>
      </c>
      <c r="G374" s="18" t="s">
        <v>153</v>
      </c>
      <c r="H374" s="248">
        <f t="shared" si="122"/>
        <v>50</v>
      </c>
      <c r="I374" s="135"/>
      <c r="J374" s="18" t="s">
        <v>166</v>
      </c>
      <c r="K374" s="4">
        <f t="shared" si="128"/>
        <v>10</v>
      </c>
      <c r="L374" s="18">
        <v>10.5</v>
      </c>
      <c r="M374" s="4">
        <f t="shared" si="114"/>
        <v>0.5</v>
      </c>
      <c r="N374" s="5">
        <v>0.48</v>
      </c>
      <c r="O374" s="5">
        <f t="shared" si="132"/>
        <v>0.52</v>
      </c>
      <c r="P374" s="31">
        <f t="shared" si="115"/>
        <v>0.24</v>
      </c>
      <c r="Q374" s="31">
        <f t="shared" si="125"/>
        <v>0.24</v>
      </c>
      <c r="R374" s="31">
        <v>12</v>
      </c>
      <c r="S374" s="31">
        <v>20</v>
      </c>
      <c r="T374" s="31">
        <v>0.19</v>
      </c>
      <c r="U374" s="31">
        <v>0.11</v>
      </c>
      <c r="V374" s="65">
        <f t="shared" si="123"/>
        <v>22</v>
      </c>
      <c r="W374" s="31">
        <v>3</v>
      </c>
      <c r="X374" s="31"/>
      <c r="Y374" s="31">
        <f t="shared" si="126"/>
        <v>3</v>
      </c>
      <c r="Z374" s="31">
        <f t="shared" si="127"/>
        <v>63.333333333333336</v>
      </c>
      <c r="AA374" s="18">
        <v>0</v>
      </c>
      <c r="AB374" s="18" t="s">
        <v>100</v>
      </c>
      <c r="AC374" s="18" t="s">
        <v>333</v>
      </c>
      <c r="AD374" s="18" t="s">
        <v>336</v>
      </c>
      <c r="AE374" s="18">
        <v>20</v>
      </c>
      <c r="AF374" s="18">
        <v>12</v>
      </c>
      <c r="AG374" s="18" t="s">
        <v>29</v>
      </c>
      <c r="AH374" s="18" t="s">
        <v>29</v>
      </c>
      <c r="AI374" s="18" t="str">
        <f>+VLOOKUP(AH374,Leyenda!$O$4:$U$10,6,FALSE)</f>
        <v>0,25-0,35</v>
      </c>
      <c r="AJ374" s="18" t="str">
        <f>+VLOOKUP(AG374,Leyenda!$O$4:$U$10,7,FALSE)</f>
        <v>No Blasting need</v>
      </c>
      <c r="AK374" s="18">
        <f>+VLOOKUP(AJ374,Leyenda!$U$4:$V$10,2,FALSE)</f>
        <v>2</v>
      </c>
      <c r="AL374" s="18"/>
      <c r="AM374" s="18" t="s">
        <v>34</v>
      </c>
      <c r="AN374" s="18" t="s">
        <v>69</v>
      </c>
      <c r="AO374" s="18" t="s">
        <v>81</v>
      </c>
      <c r="AP374" s="18" t="s">
        <v>100</v>
      </c>
      <c r="AQ374" s="18" t="s">
        <v>107</v>
      </c>
      <c r="AR374" s="18" t="s">
        <v>120</v>
      </c>
      <c r="AS374" s="18" t="s">
        <v>247</v>
      </c>
      <c r="AT374" s="18"/>
      <c r="AU374" s="18"/>
      <c r="AV374" s="18">
        <f>+VLOOKUP(AN374,Leyenda!$B$30:$E$34,3,FALSE)</f>
        <v>0</v>
      </c>
      <c r="AW374" s="18">
        <f>+VLOOKUP('2. Logging Brejo Seco'!AO374,Meteorizacion,3,FALSE)</f>
        <v>0</v>
      </c>
      <c r="AX374" s="18">
        <f>+VLOOKUP('2. Logging Brejo Seco'!AP374,Apertura,3,FALSE)</f>
        <v>0</v>
      </c>
      <c r="AY374" s="18">
        <f>+VLOOKUP('2. Logging Brejo Seco'!AQ374,Leyenda!$B$55:$D$59,3,FALSE)</f>
        <v>3</v>
      </c>
      <c r="AZ374" s="18">
        <f>+VLOOKUP('2. Logging Brejo Seco'!AR374,Relleno,3,FALSE)</f>
        <v>2</v>
      </c>
      <c r="BA374" s="18">
        <f t="shared" si="124"/>
        <v>5</v>
      </c>
      <c r="BB374" s="49">
        <f t="shared" si="129"/>
        <v>5</v>
      </c>
      <c r="BC374" s="49">
        <f>VLOOKUP(AH374,Leyenda!$B$4:$D$10,3,FALSE)</f>
        <v>2</v>
      </c>
      <c r="BD374" s="50">
        <f t="shared" si="116"/>
        <v>6</v>
      </c>
      <c r="BE374" s="49">
        <f t="shared" si="117"/>
        <v>5</v>
      </c>
      <c r="BF374" s="49">
        <f>VLOOKUP(AS374,Leyenda!$B$70:$D$75,3,FALSE)</f>
        <v>10</v>
      </c>
      <c r="BG374" s="67">
        <f t="shared" si="130"/>
        <v>18.5</v>
      </c>
      <c r="BH374" s="67">
        <f>VLOOKUP(AG374,Leyenda!$B$4:$E$10,4,FALSE)</f>
        <v>2</v>
      </c>
      <c r="BI374" s="67">
        <f t="shared" si="118"/>
        <v>5</v>
      </c>
      <c r="BJ374" s="67">
        <f t="shared" si="131"/>
        <v>5</v>
      </c>
      <c r="BK374" s="67">
        <f>+VLOOKUP('2. Logging Brejo Seco'!AP374,Leyenda!$B$47:$E$51,4,FALSE)</f>
        <v>0</v>
      </c>
      <c r="BL374" s="67">
        <f>+VLOOKUP('2. Logging Brejo Seco'!AQ374,Leyenda!$B$55:$E$59,4,FALSE)</f>
        <v>3</v>
      </c>
      <c r="BM374" s="67">
        <f>+VLOOKUP('2. Logging Brejo Seco'!AR374,Leyenda!$B$63:$E$67,3,FALSE)</f>
        <v>2</v>
      </c>
      <c r="BN374" s="67">
        <f>+VLOOKUP('2. Logging Brejo Seco'!AO374,Leyenda!$B$39:$E$43,4,FALSE)</f>
        <v>0</v>
      </c>
      <c r="BO374" s="67">
        <f>+VLOOKUP('2. Logging Brejo Seco'!AN374,Leyenda!$B$30:$E$34,4,FALSE)</f>
        <v>0</v>
      </c>
      <c r="BP374" s="67">
        <f>VLOOKUP(AS374,Leyenda!$B$71:$E$75,4,FALSE)</f>
        <v>7</v>
      </c>
      <c r="BQ374" s="67">
        <f t="shared" si="119"/>
        <v>24</v>
      </c>
      <c r="BR374" s="18">
        <f t="shared" si="120"/>
        <v>28</v>
      </c>
      <c r="BS374" s="240">
        <f t="shared" si="121"/>
        <v>0.52</v>
      </c>
      <c r="BT374" s="18"/>
    </row>
    <row r="375" spans="1:72" x14ac:dyDescent="0.25">
      <c r="A375" s="18" t="s">
        <v>6</v>
      </c>
      <c r="B375" s="18">
        <v>2024</v>
      </c>
      <c r="C375" s="18" t="s">
        <v>138</v>
      </c>
      <c r="D375" s="18" t="s">
        <v>132</v>
      </c>
      <c r="E375" s="18">
        <v>40</v>
      </c>
      <c r="F375" s="18">
        <v>50</v>
      </c>
      <c r="G375" s="18" t="s">
        <v>153</v>
      </c>
      <c r="H375" s="248">
        <f t="shared" si="122"/>
        <v>50</v>
      </c>
      <c r="I375" s="135"/>
      <c r="J375" s="18" t="s">
        <v>166</v>
      </c>
      <c r="K375" s="4">
        <f t="shared" si="128"/>
        <v>10.5</v>
      </c>
      <c r="L375" s="18">
        <v>11</v>
      </c>
      <c r="M375" s="4">
        <f t="shared" si="114"/>
        <v>0.5</v>
      </c>
      <c r="N375" s="5">
        <v>0.4</v>
      </c>
      <c r="O375" s="5">
        <f t="shared" si="132"/>
        <v>0.6</v>
      </c>
      <c r="P375" s="31">
        <f t="shared" si="115"/>
        <v>0.2</v>
      </c>
      <c r="Q375" s="31">
        <f t="shared" si="125"/>
        <v>0.2</v>
      </c>
      <c r="R375" s="31">
        <v>10</v>
      </c>
      <c r="S375" s="31">
        <v>20</v>
      </c>
      <c r="T375" s="31">
        <v>0.15</v>
      </c>
      <c r="U375" s="31">
        <v>0</v>
      </c>
      <c r="V375" s="65">
        <f t="shared" si="123"/>
        <v>0</v>
      </c>
      <c r="W375" s="31">
        <v>4</v>
      </c>
      <c r="X375" s="31"/>
      <c r="Y375" s="31">
        <f t="shared" si="126"/>
        <v>4</v>
      </c>
      <c r="Z375" s="31">
        <f t="shared" si="127"/>
        <v>37.5</v>
      </c>
      <c r="AA375" s="18">
        <v>0</v>
      </c>
      <c r="AB375" s="18" t="s">
        <v>100</v>
      </c>
      <c r="AC375" s="18" t="s">
        <v>333</v>
      </c>
      <c r="AD375" s="18" t="s">
        <v>336</v>
      </c>
      <c r="AE375" s="18">
        <v>20</v>
      </c>
      <c r="AF375" s="18">
        <v>10</v>
      </c>
      <c r="AG375" s="18" t="s">
        <v>29</v>
      </c>
      <c r="AH375" s="18" t="s">
        <v>29</v>
      </c>
      <c r="AI375" s="18" t="str">
        <f>+VLOOKUP(AH375,Leyenda!$O$4:$U$10,6,FALSE)</f>
        <v>0,25-0,35</v>
      </c>
      <c r="AJ375" s="18" t="str">
        <f>+VLOOKUP(AG375,Leyenda!$O$4:$U$10,7,FALSE)</f>
        <v>No Blasting need</v>
      </c>
      <c r="AK375" s="18">
        <f>+VLOOKUP(AJ375,Leyenda!$U$4:$V$10,2,FALSE)</f>
        <v>2</v>
      </c>
      <c r="AL375" s="18"/>
      <c r="AM375" s="18" t="s">
        <v>32</v>
      </c>
      <c r="AN375" s="18" t="s">
        <v>69</v>
      </c>
      <c r="AO375" s="18" t="s">
        <v>81</v>
      </c>
      <c r="AP375" s="18" t="s">
        <v>100</v>
      </c>
      <c r="AQ375" s="18" t="s">
        <v>107</v>
      </c>
      <c r="AR375" s="18" t="s">
        <v>120</v>
      </c>
      <c r="AS375" s="18" t="s">
        <v>247</v>
      </c>
      <c r="AT375" s="18"/>
      <c r="AU375" s="18"/>
      <c r="AV375" s="18">
        <f>+VLOOKUP(AN375,Leyenda!$B$30:$E$34,3,FALSE)</f>
        <v>0</v>
      </c>
      <c r="AW375" s="18">
        <f>+VLOOKUP('2. Logging Brejo Seco'!AO375,Meteorizacion,3,FALSE)</f>
        <v>0</v>
      </c>
      <c r="AX375" s="18">
        <f>+VLOOKUP('2. Logging Brejo Seco'!AP375,Apertura,3,FALSE)</f>
        <v>0</v>
      </c>
      <c r="AY375" s="18">
        <f>+VLOOKUP('2. Logging Brejo Seco'!AQ375,Leyenda!$B$55:$D$59,3,FALSE)</f>
        <v>3</v>
      </c>
      <c r="AZ375" s="18">
        <f>+VLOOKUP('2. Logging Brejo Seco'!AR375,Relleno,3,FALSE)</f>
        <v>2</v>
      </c>
      <c r="BA375" s="18">
        <f t="shared" si="124"/>
        <v>5</v>
      </c>
      <c r="BB375" s="49">
        <f t="shared" si="129"/>
        <v>0</v>
      </c>
      <c r="BC375" s="49">
        <f>VLOOKUP(AH375,Leyenda!$B$4:$D$10,3,FALSE)</f>
        <v>2</v>
      </c>
      <c r="BD375" s="50">
        <f t="shared" si="116"/>
        <v>5</v>
      </c>
      <c r="BE375" s="49">
        <f t="shared" si="117"/>
        <v>5</v>
      </c>
      <c r="BF375" s="49">
        <f>VLOOKUP(AS375,Leyenda!$B$70:$D$75,3,FALSE)</f>
        <v>10</v>
      </c>
      <c r="BG375" s="67">
        <f t="shared" si="130"/>
        <v>7.5</v>
      </c>
      <c r="BH375" s="67">
        <f>VLOOKUP(AG375,Leyenda!$B$4:$E$10,4,FALSE)</f>
        <v>2</v>
      </c>
      <c r="BI375" s="67">
        <f t="shared" si="118"/>
        <v>5</v>
      </c>
      <c r="BJ375" s="67">
        <f t="shared" si="131"/>
        <v>0</v>
      </c>
      <c r="BK375" s="67">
        <f>+VLOOKUP('2. Logging Brejo Seco'!AP375,Leyenda!$B$47:$E$51,4,FALSE)</f>
        <v>0</v>
      </c>
      <c r="BL375" s="67">
        <f>+VLOOKUP('2. Logging Brejo Seco'!AQ375,Leyenda!$B$55:$E$59,4,FALSE)</f>
        <v>3</v>
      </c>
      <c r="BM375" s="67">
        <f>+VLOOKUP('2. Logging Brejo Seco'!AR375,Leyenda!$B$63:$E$67,3,FALSE)</f>
        <v>2</v>
      </c>
      <c r="BN375" s="67">
        <f>+VLOOKUP('2. Logging Brejo Seco'!AO375,Leyenda!$B$39:$E$43,4,FALSE)</f>
        <v>0</v>
      </c>
      <c r="BO375" s="67">
        <f>+VLOOKUP('2. Logging Brejo Seco'!AN375,Leyenda!$B$30:$E$34,4,FALSE)</f>
        <v>0</v>
      </c>
      <c r="BP375" s="67">
        <f>VLOOKUP(AS375,Leyenda!$B$71:$E$75,4,FALSE)</f>
        <v>7</v>
      </c>
      <c r="BQ375" s="67">
        <f t="shared" si="119"/>
        <v>19</v>
      </c>
      <c r="BR375" s="18">
        <f t="shared" si="120"/>
        <v>22</v>
      </c>
      <c r="BS375" s="240">
        <f t="shared" si="121"/>
        <v>0.6</v>
      </c>
      <c r="BT375" s="18"/>
    </row>
    <row r="376" spans="1:72" x14ac:dyDescent="0.25">
      <c r="A376" s="18" t="s">
        <v>6</v>
      </c>
      <c r="B376" s="18">
        <v>2024</v>
      </c>
      <c r="C376" s="18" t="s">
        <v>138</v>
      </c>
      <c r="D376" s="18" t="s">
        <v>132</v>
      </c>
      <c r="E376" s="18">
        <v>40</v>
      </c>
      <c r="F376" s="18">
        <v>50</v>
      </c>
      <c r="G376" s="18" t="s">
        <v>153</v>
      </c>
      <c r="H376" s="248">
        <f t="shared" si="122"/>
        <v>50</v>
      </c>
      <c r="I376" s="135"/>
      <c r="J376" s="18" t="s">
        <v>166</v>
      </c>
      <c r="K376" s="4">
        <f t="shared" si="128"/>
        <v>11</v>
      </c>
      <c r="L376" s="18">
        <v>11.5</v>
      </c>
      <c r="M376" s="4">
        <f t="shared" si="114"/>
        <v>0.5</v>
      </c>
      <c r="N376" s="5">
        <v>0.54</v>
      </c>
      <c r="O376" s="5">
        <f t="shared" si="132"/>
        <v>0.45999999999999996</v>
      </c>
      <c r="P376" s="31">
        <f t="shared" si="115"/>
        <v>0.27</v>
      </c>
      <c r="Q376" s="31">
        <f t="shared" si="125"/>
        <v>0.27</v>
      </c>
      <c r="R376" s="31">
        <v>270</v>
      </c>
      <c r="S376" s="31">
        <v>1</v>
      </c>
      <c r="T376" s="31">
        <v>0.18</v>
      </c>
      <c r="U376" s="31">
        <v>0.13</v>
      </c>
      <c r="V376" s="65">
        <f t="shared" si="123"/>
        <v>26</v>
      </c>
      <c r="W376" s="31">
        <v>2</v>
      </c>
      <c r="X376" s="31"/>
      <c r="Y376" s="31">
        <f t="shared" si="126"/>
        <v>2</v>
      </c>
      <c r="Z376" s="31">
        <f t="shared" si="127"/>
        <v>90</v>
      </c>
      <c r="AA376" s="18">
        <v>26</v>
      </c>
      <c r="AB376" s="18" t="s">
        <v>100</v>
      </c>
      <c r="AC376" s="18" t="s">
        <v>116</v>
      </c>
      <c r="AD376" s="18" t="s">
        <v>337</v>
      </c>
      <c r="AE376" s="18">
        <v>1</v>
      </c>
      <c r="AF376" s="18">
        <v>270</v>
      </c>
      <c r="AG376" s="18" t="s">
        <v>29</v>
      </c>
      <c r="AH376" s="18" t="s">
        <v>29</v>
      </c>
      <c r="AI376" s="18" t="str">
        <f>+VLOOKUP(AH376,Leyenda!$O$4:$U$10,6,FALSE)</f>
        <v>0,25-0,35</v>
      </c>
      <c r="AJ376" s="18" t="str">
        <f>+VLOOKUP(AG376,Leyenda!$O$4:$U$10,7,FALSE)</f>
        <v>No Blasting need</v>
      </c>
      <c r="AK376" s="18">
        <f>+VLOOKUP(AJ376,Leyenda!$U$4:$V$10,2,FALSE)</f>
        <v>2</v>
      </c>
      <c r="AL376" s="18"/>
      <c r="AM376" s="18" t="s">
        <v>32</v>
      </c>
      <c r="AN376" s="18" t="s">
        <v>69</v>
      </c>
      <c r="AO376" s="18" t="s">
        <v>81</v>
      </c>
      <c r="AP376" s="18" t="s">
        <v>100</v>
      </c>
      <c r="AQ376" s="18" t="s">
        <v>107</v>
      </c>
      <c r="AR376" s="18" t="s">
        <v>120</v>
      </c>
      <c r="AS376" s="18" t="s">
        <v>247</v>
      </c>
      <c r="AT376" s="18"/>
      <c r="AU376" s="18"/>
      <c r="AV376" s="18">
        <f>+VLOOKUP(AN376,Leyenda!$B$30:$E$34,3,FALSE)</f>
        <v>0</v>
      </c>
      <c r="AW376" s="18">
        <f>+VLOOKUP('2. Logging Brejo Seco'!AO376,Meteorizacion,3,FALSE)</f>
        <v>0</v>
      </c>
      <c r="AX376" s="18">
        <f>+VLOOKUP('2. Logging Brejo Seco'!AP376,Apertura,3,FALSE)</f>
        <v>0</v>
      </c>
      <c r="AY376" s="18">
        <f>+VLOOKUP('2. Logging Brejo Seco'!AQ376,Leyenda!$B$55:$D$59,3,FALSE)</f>
        <v>3</v>
      </c>
      <c r="AZ376" s="18">
        <f>+VLOOKUP('2. Logging Brejo Seco'!AR376,Relleno,3,FALSE)</f>
        <v>2</v>
      </c>
      <c r="BA376" s="18">
        <f t="shared" si="124"/>
        <v>5</v>
      </c>
      <c r="BB376" s="49">
        <f t="shared" si="129"/>
        <v>6</v>
      </c>
      <c r="BC376" s="49">
        <f>VLOOKUP(AH376,Leyenda!$B$4:$D$10,3,FALSE)</f>
        <v>2</v>
      </c>
      <c r="BD376" s="50">
        <f t="shared" si="116"/>
        <v>7</v>
      </c>
      <c r="BE376" s="49">
        <f t="shared" si="117"/>
        <v>5</v>
      </c>
      <c r="BF376" s="49">
        <f>VLOOKUP(AS376,Leyenda!$B$70:$D$75,3,FALSE)</f>
        <v>10</v>
      </c>
      <c r="BG376" s="67">
        <f t="shared" si="130"/>
        <v>20.5</v>
      </c>
      <c r="BH376" s="67">
        <f>VLOOKUP(AG376,Leyenda!$B$4:$E$10,4,FALSE)</f>
        <v>2</v>
      </c>
      <c r="BI376" s="67">
        <f t="shared" si="118"/>
        <v>8</v>
      </c>
      <c r="BJ376" s="67">
        <f t="shared" si="131"/>
        <v>6</v>
      </c>
      <c r="BK376" s="67">
        <f>+VLOOKUP('2. Logging Brejo Seco'!AP376,Leyenda!$B$47:$E$51,4,FALSE)</f>
        <v>0</v>
      </c>
      <c r="BL376" s="67">
        <f>+VLOOKUP('2. Logging Brejo Seco'!AQ376,Leyenda!$B$55:$E$59,4,FALSE)</f>
        <v>3</v>
      </c>
      <c r="BM376" s="67">
        <f>+VLOOKUP('2. Logging Brejo Seco'!AR376,Leyenda!$B$63:$E$67,3,FALSE)</f>
        <v>2</v>
      </c>
      <c r="BN376" s="67">
        <f>+VLOOKUP('2. Logging Brejo Seco'!AO376,Leyenda!$B$39:$E$43,4,FALSE)</f>
        <v>0</v>
      </c>
      <c r="BO376" s="67">
        <f>+VLOOKUP('2. Logging Brejo Seco'!AN376,Leyenda!$B$30:$E$34,4,FALSE)</f>
        <v>0</v>
      </c>
      <c r="BP376" s="67">
        <f>VLOOKUP(AS376,Leyenda!$B$71:$E$75,4,FALSE)</f>
        <v>7</v>
      </c>
      <c r="BQ376" s="67">
        <f t="shared" si="119"/>
        <v>28</v>
      </c>
      <c r="BR376" s="18">
        <f t="shared" si="120"/>
        <v>30</v>
      </c>
      <c r="BS376" s="240">
        <f t="shared" si="121"/>
        <v>0.45999999999999996</v>
      </c>
      <c r="BT376" s="18"/>
    </row>
    <row r="377" spans="1:72" x14ac:dyDescent="0.25">
      <c r="A377" s="18" t="s">
        <v>6</v>
      </c>
      <c r="B377" s="18">
        <v>2024</v>
      </c>
      <c r="C377" s="18" t="s">
        <v>138</v>
      </c>
      <c r="D377" s="18" t="s">
        <v>132</v>
      </c>
      <c r="E377" s="18">
        <v>50</v>
      </c>
      <c r="F377" s="18">
        <v>50</v>
      </c>
      <c r="G377" s="18" t="s">
        <v>154</v>
      </c>
      <c r="H377" s="248">
        <f t="shared" si="122"/>
        <v>50</v>
      </c>
      <c r="I377" s="135"/>
      <c r="J377" s="18" t="s">
        <v>166</v>
      </c>
      <c r="K377" s="4">
        <f t="shared" si="128"/>
        <v>11.5</v>
      </c>
      <c r="L377" s="18">
        <v>12</v>
      </c>
      <c r="M377" s="4">
        <f t="shared" si="114"/>
        <v>0.5</v>
      </c>
      <c r="N377" s="5">
        <v>0.42</v>
      </c>
      <c r="O377" s="5">
        <f t="shared" si="132"/>
        <v>0.58000000000000007</v>
      </c>
      <c r="P377" s="31">
        <f t="shared" si="115"/>
        <v>0.21</v>
      </c>
      <c r="Q377" s="31">
        <f t="shared" si="125"/>
        <v>0.21</v>
      </c>
      <c r="R377" s="31">
        <v>10.5</v>
      </c>
      <c r="S377" s="31">
        <v>20</v>
      </c>
      <c r="T377" s="31">
        <v>0.14000000000000001</v>
      </c>
      <c r="U377" s="31">
        <v>0</v>
      </c>
      <c r="V377" s="65">
        <f t="shared" si="123"/>
        <v>0</v>
      </c>
      <c r="W377" s="31">
        <v>3</v>
      </c>
      <c r="X377" s="31"/>
      <c r="Y377" s="31">
        <f t="shared" si="126"/>
        <v>3</v>
      </c>
      <c r="Z377" s="31">
        <f t="shared" si="127"/>
        <v>46.666666666666664</v>
      </c>
      <c r="AA377" s="18">
        <v>0</v>
      </c>
      <c r="AB377" s="18" t="s">
        <v>330</v>
      </c>
      <c r="AC377" s="18" t="s">
        <v>333</v>
      </c>
      <c r="AD377" s="18" t="s">
        <v>335</v>
      </c>
      <c r="AE377" s="18">
        <v>20</v>
      </c>
      <c r="AF377" s="18">
        <v>10.5</v>
      </c>
      <c r="AG377" s="18" t="s">
        <v>29</v>
      </c>
      <c r="AH377" s="18" t="s">
        <v>29</v>
      </c>
      <c r="AI377" s="18" t="str">
        <f>+VLOOKUP(AH377,Leyenda!$O$4:$U$10,6,FALSE)</f>
        <v>0,25-0,35</v>
      </c>
      <c r="AJ377" s="18" t="str">
        <f>+VLOOKUP(AG377,Leyenda!$O$4:$U$10,7,FALSE)</f>
        <v>No Blasting need</v>
      </c>
      <c r="AK377" s="18">
        <f>+VLOOKUP(AJ377,Leyenda!$U$4:$V$10,2,FALSE)</f>
        <v>2</v>
      </c>
      <c r="AL377" s="18"/>
      <c r="AM377" s="18" t="s">
        <v>32</v>
      </c>
      <c r="AN377" s="18" t="s">
        <v>69</v>
      </c>
      <c r="AO377" s="18" t="s">
        <v>81</v>
      </c>
      <c r="AP377" s="18" t="s">
        <v>100</v>
      </c>
      <c r="AQ377" s="18" t="s">
        <v>109</v>
      </c>
      <c r="AR377" s="18" t="s">
        <v>122</v>
      </c>
      <c r="AS377" s="18" t="s">
        <v>198</v>
      </c>
      <c r="AT377" s="18"/>
      <c r="AU377" s="18"/>
      <c r="AV377" s="18">
        <f>+VLOOKUP(AN377,Leyenda!$B$30:$E$34,3,FALSE)</f>
        <v>0</v>
      </c>
      <c r="AW377" s="18">
        <f>+VLOOKUP('2. Logging Brejo Seco'!AO377,Meteorizacion,3,FALSE)</f>
        <v>0</v>
      </c>
      <c r="AX377" s="18">
        <f>+VLOOKUP('2. Logging Brejo Seco'!AP377,Apertura,3,FALSE)</f>
        <v>0</v>
      </c>
      <c r="AY377" s="18">
        <f>+VLOOKUP('2. Logging Brejo Seco'!AQ377,Leyenda!$B$55:$D$59,3,FALSE)</f>
        <v>1</v>
      </c>
      <c r="AZ377" s="18">
        <f>+VLOOKUP('2. Logging Brejo Seco'!AR377,Relleno,3,FALSE)</f>
        <v>0</v>
      </c>
      <c r="BA377" s="18">
        <f t="shared" si="124"/>
        <v>1</v>
      </c>
      <c r="BB377" s="49">
        <f t="shared" si="129"/>
        <v>0</v>
      </c>
      <c r="BC377" s="49">
        <f>VLOOKUP(AH377,Leyenda!$B$4:$D$10,3,FALSE)</f>
        <v>2</v>
      </c>
      <c r="BD377" s="50">
        <f t="shared" si="116"/>
        <v>6</v>
      </c>
      <c r="BE377" s="49">
        <f t="shared" si="117"/>
        <v>1</v>
      </c>
      <c r="BF377" s="49">
        <f>VLOOKUP(AS377,Leyenda!$B$70:$D$75,3,FALSE)</f>
        <v>15</v>
      </c>
      <c r="BG377" s="67">
        <f t="shared" si="130"/>
        <v>1.5</v>
      </c>
      <c r="BH377" s="67">
        <f>VLOOKUP(AG377,Leyenda!$B$4:$E$10,4,FALSE)</f>
        <v>2</v>
      </c>
      <c r="BI377" s="67">
        <f t="shared" si="118"/>
        <v>5</v>
      </c>
      <c r="BJ377" s="67">
        <f t="shared" si="131"/>
        <v>0</v>
      </c>
      <c r="BK377" s="67">
        <f>+VLOOKUP('2. Logging Brejo Seco'!AP377,Leyenda!$B$47:$E$51,4,FALSE)</f>
        <v>0</v>
      </c>
      <c r="BL377" s="67">
        <f>+VLOOKUP('2. Logging Brejo Seco'!AQ377,Leyenda!$B$55:$E$59,4,FALSE)</f>
        <v>1</v>
      </c>
      <c r="BM377" s="67">
        <f>+VLOOKUP('2. Logging Brejo Seco'!AR377,Leyenda!$B$63:$E$67,3,FALSE)</f>
        <v>0</v>
      </c>
      <c r="BN377" s="67">
        <f>+VLOOKUP('2. Logging Brejo Seco'!AO377,Leyenda!$B$39:$E$43,4,FALSE)</f>
        <v>0</v>
      </c>
      <c r="BO377" s="67">
        <f>+VLOOKUP('2. Logging Brejo Seco'!AN377,Leyenda!$B$30:$E$34,4,FALSE)</f>
        <v>0</v>
      </c>
      <c r="BP377" s="67">
        <f>VLOOKUP(AS377,Leyenda!$B$71:$E$75,4,FALSE)</f>
        <v>10</v>
      </c>
      <c r="BQ377" s="67">
        <f t="shared" si="119"/>
        <v>18</v>
      </c>
      <c r="BR377" s="18">
        <f t="shared" si="120"/>
        <v>24</v>
      </c>
      <c r="BS377" s="240">
        <f t="shared" si="121"/>
        <v>0.58000000000000007</v>
      </c>
      <c r="BT377" s="18"/>
    </row>
    <row r="378" spans="1:72" x14ac:dyDescent="0.25">
      <c r="A378" s="18" t="s">
        <v>6</v>
      </c>
      <c r="B378" s="18">
        <v>2024</v>
      </c>
      <c r="C378" s="18" t="s">
        <v>138</v>
      </c>
      <c r="D378" s="18" t="s">
        <v>132</v>
      </c>
      <c r="E378" s="18">
        <v>50</v>
      </c>
      <c r="F378" s="18">
        <v>50</v>
      </c>
      <c r="G378" s="18" t="s">
        <v>154</v>
      </c>
      <c r="H378" s="248">
        <f t="shared" si="122"/>
        <v>50</v>
      </c>
      <c r="I378" s="135"/>
      <c r="J378" s="18" t="s">
        <v>166</v>
      </c>
      <c r="K378" s="4">
        <f t="shared" si="128"/>
        <v>12</v>
      </c>
      <c r="L378" s="18">
        <v>12.5</v>
      </c>
      <c r="M378" s="4">
        <f t="shared" si="114"/>
        <v>0.5</v>
      </c>
      <c r="N378" s="5">
        <v>0.52</v>
      </c>
      <c r="O378" s="5">
        <f t="shared" si="132"/>
        <v>0.48</v>
      </c>
      <c r="P378" s="31">
        <f t="shared" si="115"/>
        <v>0.26</v>
      </c>
      <c r="Q378" s="31">
        <f t="shared" si="125"/>
        <v>0.26</v>
      </c>
      <c r="R378" s="31">
        <v>13</v>
      </c>
      <c r="S378" s="31">
        <v>20</v>
      </c>
      <c r="T378" s="31">
        <v>0.19</v>
      </c>
      <c r="U378" s="31">
        <v>0.21</v>
      </c>
      <c r="V378" s="65">
        <f t="shared" si="123"/>
        <v>42</v>
      </c>
      <c r="W378" s="31">
        <v>2</v>
      </c>
      <c r="X378" s="31"/>
      <c r="Y378" s="31">
        <f t="shared" si="126"/>
        <v>2</v>
      </c>
      <c r="Z378" s="31">
        <f t="shared" si="127"/>
        <v>95</v>
      </c>
      <c r="AA378" s="18">
        <v>0</v>
      </c>
      <c r="AB378" s="18" t="s">
        <v>330</v>
      </c>
      <c r="AC378" s="18" t="s">
        <v>333</v>
      </c>
      <c r="AD378" s="18" t="s">
        <v>335</v>
      </c>
      <c r="AE378" s="18">
        <v>20</v>
      </c>
      <c r="AF378" s="18">
        <v>13</v>
      </c>
      <c r="AG378" s="18" t="s">
        <v>29</v>
      </c>
      <c r="AH378" s="18" t="s">
        <v>29</v>
      </c>
      <c r="AI378" s="18" t="str">
        <f>+VLOOKUP(AH378,Leyenda!$O$4:$U$10,6,FALSE)</f>
        <v>0,25-0,35</v>
      </c>
      <c r="AJ378" s="18" t="str">
        <f>+VLOOKUP(AG378,Leyenda!$O$4:$U$10,7,FALSE)</f>
        <v>No Blasting need</v>
      </c>
      <c r="AK378" s="18">
        <f>+VLOOKUP(AJ378,Leyenda!$U$4:$V$10,2,FALSE)</f>
        <v>2</v>
      </c>
      <c r="AL378" s="18"/>
      <c r="AM378" s="18" t="s">
        <v>34</v>
      </c>
      <c r="AN378" s="18" t="s">
        <v>69</v>
      </c>
      <c r="AO378" s="18" t="s">
        <v>81</v>
      </c>
      <c r="AP378" s="18" t="s">
        <v>100</v>
      </c>
      <c r="AQ378" s="18" t="s">
        <v>109</v>
      </c>
      <c r="AR378" s="18" t="s">
        <v>122</v>
      </c>
      <c r="AS378" s="18" t="s">
        <v>198</v>
      </c>
      <c r="AT378" s="18"/>
      <c r="AU378" s="18"/>
      <c r="AV378" s="18">
        <f>+VLOOKUP(AN378,Leyenda!$B$30:$E$34,3,FALSE)</f>
        <v>0</v>
      </c>
      <c r="AW378" s="18">
        <f>+VLOOKUP('2. Logging Brejo Seco'!AO378,Meteorizacion,3,FALSE)</f>
        <v>0</v>
      </c>
      <c r="AX378" s="18">
        <f>+VLOOKUP('2. Logging Brejo Seco'!AP378,Apertura,3,FALSE)</f>
        <v>0</v>
      </c>
      <c r="AY378" s="18">
        <f>+VLOOKUP('2. Logging Brejo Seco'!AQ378,Leyenda!$B$55:$D$59,3,FALSE)</f>
        <v>1</v>
      </c>
      <c r="AZ378" s="18">
        <f>+VLOOKUP('2. Logging Brejo Seco'!AR378,Relleno,3,FALSE)</f>
        <v>0</v>
      </c>
      <c r="BA378" s="18">
        <f t="shared" si="124"/>
        <v>1</v>
      </c>
      <c r="BB378" s="49">
        <f t="shared" si="129"/>
        <v>9</v>
      </c>
      <c r="BC378" s="49">
        <f>VLOOKUP(AH378,Leyenda!$B$4:$D$10,3,FALSE)</f>
        <v>2</v>
      </c>
      <c r="BD378" s="50">
        <f t="shared" si="116"/>
        <v>7</v>
      </c>
      <c r="BE378" s="49">
        <f t="shared" si="117"/>
        <v>1</v>
      </c>
      <c r="BF378" s="49">
        <f>VLOOKUP(AS378,Leyenda!$B$70:$D$75,3,FALSE)</f>
        <v>15</v>
      </c>
      <c r="BG378" s="67">
        <f t="shared" si="130"/>
        <v>22.5</v>
      </c>
      <c r="BH378" s="67">
        <f>VLOOKUP(AG378,Leyenda!$B$4:$E$10,4,FALSE)</f>
        <v>2</v>
      </c>
      <c r="BI378" s="67">
        <f t="shared" si="118"/>
        <v>8</v>
      </c>
      <c r="BJ378" s="67">
        <f t="shared" si="131"/>
        <v>9</v>
      </c>
      <c r="BK378" s="67">
        <f>+VLOOKUP('2. Logging Brejo Seco'!AP378,Leyenda!$B$47:$E$51,4,FALSE)</f>
        <v>0</v>
      </c>
      <c r="BL378" s="67">
        <f>+VLOOKUP('2. Logging Brejo Seco'!AQ378,Leyenda!$B$55:$E$59,4,FALSE)</f>
        <v>1</v>
      </c>
      <c r="BM378" s="67">
        <f>+VLOOKUP('2. Logging Brejo Seco'!AR378,Leyenda!$B$63:$E$67,3,FALSE)</f>
        <v>0</v>
      </c>
      <c r="BN378" s="67">
        <f>+VLOOKUP('2. Logging Brejo Seco'!AO378,Leyenda!$B$39:$E$43,4,FALSE)</f>
        <v>0</v>
      </c>
      <c r="BO378" s="67">
        <f>+VLOOKUP('2. Logging Brejo Seco'!AN378,Leyenda!$B$30:$E$34,4,FALSE)</f>
        <v>0</v>
      </c>
      <c r="BP378" s="67">
        <f>VLOOKUP(AS378,Leyenda!$B$71:$E$75,4,FALSE)</f>
        <v>10</v>
      </c>
      <c r="BQ378" s="67">
        <f t="shared" si="119"/>
        <v>30</v>
      </c>
      <c r="BR378" s="18">
        <f t="shared" si="120"/>
        <v>34</v>
      </c>
      <c r="BS378" s="240">
        <f t="shared" si="121"/>
        <v>0.48</v>
      </c>
      <c r="BT378" s="18"/>
    </row>
    <row r="379" spans="1:72" x14ac:dyDescent="0.25">
      <c r="A379" s="18" t="s">
        <v>6</v>
      </c>
      <c r="B379" s="18">
        <v>2024</v>
      </c>
      <c r="C379" s="18" t="s">
        <v>138</v>
      </c>
      <c r="D379" s="18" t="s">
        <v>132</v>
      </c>
      <c r="E379" s="18">
        <v>50</v>
      </c>
      <c r="F379" s="18">
        <v>50</v>
      </c>
      <c r="G379" s="18" t="s">
        <v>154</v>
      </c>
      <c r="H379" s="248">
        <f t="shared" si="122"/>
        <v>50</v>
      </c>
      <c r="I379" s="135"/>
      <c r="J379" s="18" t="s">
        <v>166</v>
      </c>
      <c r="K379" s="4">
        <f t="shared" si="128"/>
        <v>12.5</v>
      </c>
      <c r="L379" s="18">
        <v>13</v>
      </c>
      <c r="M379" s="4">
        <f t="shared" si="114"/>
        <v>0.5</v>
      </c>
      <c r="N379" s="5">
        <v>0.5</v>
      </c>
      <c r="O379" s="5">
        <f t="shared" si="132"/>
        <v>0.5</v>
      </c>
      <c r="P379" s="31">
        <f t="shared" si="115"/>
        <v>0.25</v>
      </c>
      <c r="Q379" s="31">
        <f t="shared" si="125"/>
        <v>0.25</v>
      </c>
      <c r="R379" s="31">
        <v>250</v>
      </c>
      <c r="S379" s="31">
        <v>1</v>
      </c>
      <c r="T379" s="31">
        <v>0.17</v>
      </c>
      <c r="U379" s="31">
        <v>0.11</v>
      </c>
      <c r="V379" s="65">
        <f t="shared" si="123"/>
        <v>22</v>
      </c>
      <c r="W379" s="31">
        <v>3</v>
      </c>
      <c r="X379" s="31"/>
      <c r="Y379" s="31">
        <f t="shared" si="126"/>
        <v>3</v>
      </c>
      <c r="Z379" s="31">
        <f t="shared" si="127"/>
        <v>56.666666666666664</v>
      </c>
      <c r="AA379" s="18">
        <v>26</v>
      </c>
      <c r="AB379" s="18" t="s">
        <v>100</v>
      </c>
      <c r="AC379" s="18" t="s">
        <v>116</v>
      </c>
      <c r="AD379" s="18" t="s">
        <v>337</v>
      </c>
      <c r="AE379" s="18">
        <v>1</v>
      </c>
      <c r="AF379" s="18">
        <v>250</v>
      </c>
      <c r="AG379" s="18" t="s">
        <v>29</v>
      </c>
      <c r="AH379" s="18" t="s">
        <v>29</v>
      </c>
      <c r="AI379" s="18" t="str">
        <f>+VLOOKUP(AH379,Leyenda!$O$4:$U$10,6,FALSE)</f>
        <v>0,25-0,35</v>
      </c>
      <c r="AJ379" s="18" t="str">
        <f>+VLOOKUP(AG379,Leyenda!$O$4:$U$10,7,FALSE)</f>
        <v>No Blasting need</v>
      </c>
      <c r="AK379" s="18">
        <f>+VLOOKUP(AJ379,Leyenda!$U$4:$V$10,2,FALSE)</f>
        <v>2</v>
      </c>
      <c r="AL379" s="18"/>
      <c r="AM379" s="18" t="s">
        <v>24</v>
      </c>
      <c r="AN379" s="18" t="s">
        <v>69</v>
      </c>
      <c r="AO379" s="18" t="s">
        <v>81</v>
      </c>
      <c r="AP379" s="18" t="s">
        <v>100</v>
      </c>
      <c r="AQ379" s="18" t="s">
        <v>109</v>
      </c>
      <c r="AR379" s="18" t="s">
        <v>122</v>
      </c>
      <c r="AS379" s="18" t="s">
        <v>198</v>
      </c>
      <c r="AT379" s="18"/>
      <c r="AU379" s="18"/>
      <c r="AV379" s="18">
        <f>+VLOOKUP(AN379,Leyenda!$B$30:$E$34,3,FALSE)</f>
        <v>0</v>
      </c>
      <c r="AW379" s="18">
        <f>+VLOOKUP('2. Logging Brejo Seco'!AO379,Meteorizacion,3,FALSE)</f>
        <v>0</v>
      </c>
      <c r="AX379" s="18">
        <f>+VLOOKUP('2. Logging Brejo Seco'!AP379,Apertura,3,FALSE)</f>
        <v>0</v>
      </c>
      <c r="AY379" s="18">
        <f>+VLOOKUP('2. Logging Brejo Seco'!AQ379,Leyenda!$B$55:$D$59,3,FALSE)</f>
        <v>1</v>
      </c>
      <c r="AZ379" s="18">
        <f>+VLOOKUP('2. Logging Brejo Seco'!AR379,Relleno,3,FALSE)</f>
        <v>0</v>
      </c>
      <c r="BA379" s="18">
        <f t="shared" si="124"/>
        <v>1</v>
      </c>
      <c r="BB379" s="49">
        <f t="shared" si="129"/>
        <v>5</v>
      </c>
      <c r="BC379" s="49">
        <f>VLOOKUP(AH379,Leyenda!$B$4:$D$10,3,FALSE)</f>
        <v>2</v>
      </c>
      <c r="BD379" s="50">
        <f t="shared" si="116"/>
        <v>6</v>
      </c>
      <c r="BE379" s="49">
        <f t="shared" si="117"/>
        <v>1</v>
      </c>
      <c r="BF379" s="49">
        <f>VLOOKUP(AS379,Leyenda!$B$70:$D$75,3,FALSE)</f>
        <v>15</v>
      </c>
      <c r="BG379" s="67">
        <f t="shared" si="130"/>
        <v>12.5</v>
      </c>
      <c r="BH379" s="67">
        <f>VLOOKUP(AG379,Leyenda!$B$4:$E$10,4,FALSE)</f>
        <v>2</v>
      </c>
      <c r="BI379" s="67">
        <f t="shared" si="118"/>
        <v>5</v>
      </c>
      <c r="BJ379" s="67">
        <f t="shared" si="131"/>
        <v>5</v>
      </c>
      <c r="BK379" s="67">
        <f>+VLOOKUP('2. Logging Brejo Seco'!AP379,Leyenda!$B$47:$E$51,4,FALSE)</f>
        <v>0</v>
      </c>
      <c r="BL379" s="67">
        <f>+VLOOKUP('2. Logging Brejo Seco'!AQ379,Leyenda!$B$55:$E$59,4,FALSE)</f>
        <v>1</v>
      </c>
      <c r="BM379" s="67">
        <f>+VLOOKUP('2. Logging Brejo Seco'!AR379,Leyenda!$B$63:$E$67,3,FALSE)</f>
        <v>0</v>
      </c>
      <c r="BN379" s="67">
        <f>+VLOOKUP('2. Logging Brejo Seco'!AO379,Leyenda!$B$39:$E$43,4,FALSE)</f>
        <v>0</v>
      </c>
      <c r="BO379" s="67">
        <f>+VLOOKUP('2. Logging Brejo Seco'!AN379,Leyenda!$B$30:$E$34,4,FALSE)</f>
        <v>0</v>
      </c>
      <c r="BP379" s="67">
        <f>VLOOKUP(AS379,Leyenda!$B$71:$E$75,4,FALSE)</f>
        <v>10</v>
      </c>
      <c r="BQ379" s="67">
        <f t="shared" si="119"/>
        <v>23</v>
      </c>
      <c r="BR379" s="18">
        <f t="shared" si="120"/>
        <v>29</v>
      </c>
      <c r="BS379" s="240">
        <f t="shared" si="121"/>
        <v>0.5</v>
      </c>
      <c r="BT379" s="18"/>
    </row>
    <row r="380" spans="1:72" x14ac:dyDescent="0.25">
      <c r="A380" s="18" t="s">
        <v>6</v>
      </c>
      <c r="B380" s="18">
        <v>2024</v>
      </c>
      <c r="C380" s="18" t="s">
        <v>138</v>
      </c>
      <c r="D380" s="18" t="s">
        <v>132</v>
      </c>
      <c r="E380" s="18">
        <v>50</v>
      </c>
      <c r="F380" s="18">
        <v>50</v>
      </c>
      <c r="G380" s="18" t="s">
        <v>154</v>
      </c>
      <c r="H380" s="248">
        <f t="shared" si="122"/>
        <v>50</v>
      </c>
      <c r="I380" s="135"/>
      <c r="J380" s="18" t="s">
        <v>166</v>
      </c>
      <c r="K380" s="4">
        <f t="shared" si="128"/>
        <v>13</v>
      </c>
      <c r="L380" s="18">
        <v>13.5</v>
      </c>
      <c r="M380" s="4">
        <f t="shared" si="114"/>
        <v>0.5</v>
      </c>
      <c r="N380" s="5">
        <v>0.42</v>
      </c>
      <c r="O380" s="5">
        <f t="shared" si="132"/>
        <v>0.58000000000000007</v>
      </c>
      <c r="P380" s="31">
        <f t="shared" si="115"/>
        <v>0.21</v>
      </c>
      <c r="Q380" s="31">
        <f t="shared" si="125"/>
        <v>0.21</v>
      </c>
      <c r="R380" s="31">
        <v>10.5</v>
      </c>
      <c r="S380" s="31">
        <v>20</v>
      </c>
      <c r="T380" s="31">
        <v>0.12</v>
      </c>
      <c r="U380" s="31">
        <v>0</v>
      </c>
      <c r="V380" s="65">
        <f t="shared" si="123"/>
        <v>0</v>
      </c>
      <c r="W380" s="31">
        <v>4</v>
      </c>
      <c r="X380" s="31"/>
      <c r="Y380" s="31">
        <f t="shared" si="126"/>
        <v>4</v>
      </c>
      <c r="Z380" s="31">
        <f t="shared" si="127"/>
        <v>30</v>
      </c>
      <c r="AA380" s="18">
        <v>0</v>
      </c>
      <c r="AB380" s="18" t="s">
        <v>100</v>
      </c>
      <c r="AC380" s="18" t="s">
        <v>333</v>
      </c>
      <c r="AD380" s="18" t="s">
        <v>336</v>
      </c>
      <c r="AE380" s="18">
        <v>20</v>
      </c>
      <c r="AF380" s="18">
        <v>10.5</v>
      </c>
      <c r="AG380" s="18" t="s">
        <v>29</v>
      </c>
      <c r="AH380" s="18" t="s">
        <v>29</v>
      </c>
      <c r="AI380" s="18" t="str">
        <f>+VLOOKUP(AH380,Leyenda!$O$4:$U$10,6,FALSE)</f>
        <v>0,25-0,35</v>
      </c>
      <c r="AJ380" s="18" t="str">
        <f>+VLOOKUP(AG380,Leyenda!$O$4:$U$10,7,FALSE)</f>
        <v>No Blasting need</v>
      </c>
      <c r="AK380" s="18">
        <f>+VLOOKUP(AJ380,Leyenda!$U$4:$V$10,2,FALSE)</f>
        <v>2</v>
      </c>
      <c r="AL380" s="18"/>
      <c r="AM380" s="18" t="s">
        <v>24</v>
      </c>
      <c r="AN380" s="18" t="s">
        <v>69</v>
      </c>
      <c r="AO380" s="18" t="s">
        <v>81</v>
      </c>
      <c r="AP380" s="18" t="s">
        <v>100</v>
      </c>
      <c r="AQ380" s="18" t="s">
        <v>109</v>
      </c>
      <c r="AR380" s="18" t="s">
        <v>122</v>
      </c>
      <c r="AS380" s="18" t="s">
        <v>198</v>
      </c>
      <c r="AT380" s="18"/>
      <c r="AU380" s="18"/>
      <c r="AV380" s="18">
        <f>+VLOOKUP(AN380,Leyenda!$B$30:$E$34,3,FALSE)</f>
        <v>0</v>
      </c>
      <c r="AW380" s="18">
        <f>+VLOOKUP('2. Logging Brejo Seco'!AO380,Meteorizacion,3,FALSE)</f>
        <v>0</v>
      </c>
      <c r="AX380" s="18">
        <f>+VLOOKUP('2. Logging Brejo Seco'!AP380,Apertura,3,FALSE)</f>
        <v>0</v>
      </c>
      <c r="AY380" s="18">
        <f>+VLOOKUP('2. Logging Brejo Seco'!AQ380,Leyenda!$B$55:$D$59,3,FALSE)</f>
        <v>1</v>
      </c>
      <c r="AZ380" s="18">
        <f>+VLOOKUP('2. Logging Brejo Seco'!AR380,Relleno,3,FALSE)</f>
        <v>0</v>
      </c>
      <c r="BA380" s="18">
        <f t="shared" si="124"/>
        <v>1</v>
      </c>
      <c r="BB380" s="49">
        <f t="shared" si="129"/>
        <v>0</v>
      </c>
      <c r="BC380" s="49">
        <f>VLOOKUP(AH380,Leyenda!$B$4:$D$10,3,FALSE)</f>
        <v>2</v>
      </c>
      <c r="BD380" s="50">
        <f t="shared" si="116"/>
        <v>5</v>
      </c>
      <c r="BE380" s="49">
        <f t="shared" si="117"/>
        <v>1</v>
      </c>
      <c r="BF380" s="49">
        <f>VLOOKUP(AS380,Leyenda!$B$70:$D$75,3,FALSE)</f>
        <v>15</v>
      </c>
      <c r="BG380" s="67">
        <f t="shared" si="130"/>
        <v>1.5</v>
      </c>
      <c r="BH380" s="67">
        <f>VLOOKUP(AG380,Leyenda!$B$4:$E$10,4,FALSE)</f>
        <v>2</v>
      </c>
      <c r="BI380" s="67">
        <f t="shared" si="118"/>
        <v>5</v>
      </c>
      <c r="BJ380" s="67">
        <f t="shared" si="131"/>
        <v>0</v>
      </c>
      <c r="BK380" s="67">
        <f>+VLOOKUP('2. Logging Brejo Seco'!AP380,Leyenda!$B$47:$E$51,4,FALSE)</f>
        <v>0</v>
      </c>
      <c r="BL380" s="67">
        <f>+VLOOKUP('2. Logging Brejo Seco'!AQ380,Leyenda!$B$55:$E$59,4,FALSE)</f>
        <v>1</v>
      </c>
      <c r="BM380" s="67">
        <f>+VLOOKUP('2. Logging Brejo Seco'!AR380,Leyenda!$B$63:$E$67,3,FALSE)</f>
        <v>0</v>
      </c>
      <c r="BN380" s="67">
        <f>+VLOOKUP('2. Logging Brejo Seco'!AO380,Leyenda!$B$39:$E$43,4,FALSE)</f>
        <v>0</v>
      </c>
      <c r="BO380" s="67">
        <f>+VLOOKUP('2. Logging Brejo Seco'!AN380,Leyenda!$B$30:$E$34,4,FALSE)</f>
        <v>0</v>
      </c>
      <c r="BP380" s="67">
        <f>VLOOKUP(AS380,Leyenda!$B$71:$E$75,4,FALSE)</f>
        <v>10</v>
      </c>
      <c r="BQ380" s="67">
        <f t="shared" si="119"/>
        <v>18</v>
      </c>
      <c r="BR380" s="18">
        <f t="shared" si="120"/>
        <v>23</v>
      </c>
      <c r="BS380" s="240">
        <f t="shared" si="121"/>
        <v>0.58000000000000007</v>
      </c>
      <c r="BT380" s="18"/>
    </row>
    <row r="381" spans="1:72" x14ac:dyDescent="0.25">
      <c r="A381" s="18" t="s">
        <v>6</v>
      </c>
      <c r="B381" s="18">
        <v>2024</v>
      </c>
      <c r="C381" s="18" t="s">
        <v>138</v>
      </c>
      <c r="D381" s="18" t="s">
        <v>132</v>
      </c>
      <c r="E381" s="18">
        <v>50</v>
      </c>
      <c r="F381" s="18">
        <v>50</v>
      </c>
      <c r="G381" s="18" t="s">
        <v>154</v>
      </c>
      <c r="H381" s="248">
        <f t="shared" si="122"/>
        <v>50</v>
      </c>
      <c r="I381" s="135"/>
      <c r="J381" s="18" t="s">
        <v>166</v>
      </c>
      <c r="K381" s="4">
        <f t="shared" si="128"/>
        <v>13.5</v>
      </c>
      <c r="L381" s="18">
        <v>14</v>
      </c>
      <c r="M381" s="4">
        <f t="shared" si="114"/>
        <v>0.5</v>
      </c>
      <c r="N381" s="5">
        <v>0.66</v>
      </c>
      <c r="O381" s="5">
        <f t="shared" si="132"/>
        <v>0.33999999999999997</v>
      </c>
      <c r="P381" s="31">
        <f t="shared" si="115"/>
        <v>0.33</v>
      </c>
      <c r="Q381" s="31">
        <f t="shared" si="125"/>
        <v>0.33</v>
      </c>
      <c r="R381" s="31">
        <v>16.5</v>
      </c>
      <c r="S381" s="31">
        <v>20</v>
      </c>
      <c r="T381" s="31">
        <v>0.21</v>
      </c>
      <c r="U381" s="31">
        <v>0.1</v>
      </c>
      <c r="V381" s="65">
        <f t="shared" si="123"/>
        <v>20</v>
      </c>
      <c r="W381" s="31">
        <v>4</v>
      </c>
      <c r="X381" s="31"/>
      <c r="Y381" s="31">
        <f t="shared" si="126"/>
        <v>4</v>
      </c>
      <c r="Z381" s="31">
        <f t="shared" si="127"/>
        <v>52.5</v>
      </c>
      <c r="AA381" s="18">
        <v>0</v>
      </c>
      <c r="AB381" s="18" t="s">
        <v>330</v>
      </c>
      <c r="AC381" s="18" t="s">
        <v>333</v>
      </c>
      <c r="AD381" s="18" t="s">
        <v>335</v>
      </c>
      <c r="AE381" s="18">
        <v>20</v>
      </c>
      <c r="AF381" s="18">
        <v>16.5</v>
      </c>
      <c r="AG381" s="18" t="s">
        <v>29</v>
      </c>
      <c r="AH381" s="18" t="s">
        <v>29</v>
      </c>
      <c r="AI381" s="18" t="str">
        <f>+VLOOKUP(AH381,Leyenda!$O$4:$U$10,6,FALSE)</f>
        <v>0,25-0,35</v>
      </c>
      <c r="AJ381" s="18" t="str">
        <f>+VLOOKUP(AG381,Leyenda!$O$4:$U$10,7,FALSE)</f>
        <v>No Blasting need</v>
      </c>
      <c r="AK381" s="18">
        <f>+VLOOKUP(AJ381,Leyenda!$U$4:$V$10,2,FALSE)</f>
        <v>2</v>
      </c>
      <c r="AL381" s="18"/>
      <c r="AM381" s="18" t="s">
        <v>24</v>
      </c>
      <c r="AN381" s="18" t="s">
        <v>69</v>
      </c>
      <c r="AO381" s="18" t="s">
        <v>81</v>
      </c>
      <c r="AP381" s="18" t="s">
        <v>100</v>
      </c>
      <c r="AQ381" s="18" t="s">
        <v>109</v>
      </c>
      <c r="AR381" s="18" t="s">
        <v>122</v>
      </c>
      <c r="AS381" s="18" t="s">
        <v>198</v>
      </c>
      <c r="AT381" s="18"/>
      <c r="AU381" s="18"/>
      <c r="AV381" s="18">
        <f>+VLOOKUP(AN381,Leyenda!$B$30:$E$34,3,FALSE)</f>
        <v>0</v>
      </c>
      <c r="AW381" s="18">
        <f>+VLOOKUP('2. Logging Brejo Seco'!AO381,Meteorizacion,3,FALSE)</f>
        <v>0</v>
      </c>
      <c r="AX381" s="18">
        <f>+VLOOKUP('2. Logging Brejo Seco'!AP381,Apertura,3,FALSE)</f>
        <v>0</v>
      </c>
      <c r="AY381" s="18">
        <f>+VLOOKUP('2. Logging Brejo Seco'!AQ381,Leyenda!$B$55:$D$59,3,FALSE)</f>
        <v>1</v>
      </c>
      <c r="AZ381" s="18">
        <f>+VLOOKUP('2. Logging Brejo Seco'!AR381,Relleno,3,FALSE)</f>
        <v>0</v>
      </c>
      <c r="BA381" s="18">
        <f t="shared" si="124"/>
        <v>1</v>
      </c>
      <c r="BB381" s="49">
        <f t="shared" si="129"/>
        <v>4</v>
      </c>
      <c r="BC381" s="49">
        <f>VLOOKUP(AH381,Leyenda!$B$4:$D$10,3,FALSE)</f>
        <v>2</v>
      </c>
      <c r="BD381" s="50">
        <f t="shared" si="116"/>
        <v>6</v>
      </c>
      <c r="BE381" s="49">
        <f t="shared" si="117"/>
        <v>1</v>
      </c>
      <c r="BF381" s="49">
        <f>VLOOKUP(AS381,Leyenda!$B$70:$D$75,3,FALSE)</f>
        <v>15</v>
      </c>
      <c r="BG381" s="67">
        <f t="shared" si="130"/>
        <v>11.5</v>
      </c>
      <c r="BH381" s="67">
        <f>VLOOKUP(AG381,Leyenda!$B$4:$E$10,4,FALSE)</f>
        <v>2</v>
      </c>
      <c r="BI381" s="67">
        <f t="shared" si="118"/>
        <v>4</v>
      </c>
      <c r="BJ381" s="67">
        <f t="shared" si="131"/>
        <v>4</v>
      </c>
      <c r="BK381" s="67">
        <f>+VLOOKUP('2. Logging Brejo Seco'!AP381,Leyenda!$B$47:$E$51,4,FALSE)</f>
        <v>0</v>
      </c>
      <c r="BL381" s="67">
        <f>+VLOOKUP('2. Logging Brejo Seco'!AQ381,Leyenda!$B$55:$E$59,4,FALSE)</f>
        <v>1</v>
      </c>
      <c r="BM381" s="67">
        <f>+VLOOKUP('2. Logging Brejo Seco'!AR381,Leyenda!$B$63:$E$67,3,FALSE)</f>
        <v>0</v>
      </c>
      <c r="BN381" s="67">
        <f>+VLOOKUP('2. Logging Brejo Seco'!AO381,Leyenda!$B$39:$E$43,4,FALSE)</f>
        <v>0</v>
      </c>
      <c r="BO381" s="67">
        <f>+VLOOKUP('2. Logging Brejo Seco'!AN381,Leyenda!$B$30:$E$34,4,FALSE)</f>
        <v>0</v>
      </c>
      <c r="BP381" s="67">
        <f>VLOOKUP(AS381,Leyenda!$B$71:$E$75,4,FALSE)</f>
        <v>10</v>
      </c>
      <c r="BQ381" s="67">
        <f t="shared" si="119"/>
        <v>21</v>
      </c>
      <c r="BR381" s="18">
        <f t="shared" si="120"/>
        <v>28</v>
      </c>
      <c r="BS381" s="240">
        <f t="shared" si="121"/>
        <v>0.33999999999999997</v>
      </c>
      <c r="BT381" s="18"/>
    </row>
    <row r="382" spans="1:72" x14ac:dyDescent="0.25">
      <c r="A382" s="18" t="s">
        <v>6</v>
      </c>
      <c r="B382" s="18">
        <v>2024</v>
      </c>
      <c r="C382" s="18" t="s">
        <v>138</v>
      </c>
      <c r="D382" s="18" t="s">
        <v>132</v>
      </c>
      <c r="E382" s="18">
        <v>50</v>
      </c>
      <c r="F382" s="18">
        <v>50</v>
      </c>
      <c r="G382" s="18" t="s">
        <v>154</v>
      </c>
      <c r="H382" s="248">
        <f t="shared" si="122"/>
        <v>50</v>
      </c>
      <c r="I382" s="135"/>
      <c r="J382" s="18" t="s">
        <v>166</v>
      </c>
      <c r="K382" s="4">
        <f t="shared" si="128"/>
        <v>14</v>
      </c>
      <c r="L382" s="18">
        <v>14.5</v>
      </c>
      <c r="M382" s="4">
        <f t="shared" si="114"/>
        <v>0.5</v>
      </c>
      <c r="N382" s="5">
        <v>0.54</v>
      </c>
      <c r="O382" s="5">
        <f t="shared" si="132"/>
        <v>0.45999999999999996</v>
      </c>
      <c r="P382" s="31">
        <f t="shared" si="115"/>
        <v>0.27</v>
      </c>
      <c r="Q382" s="31">
        <f t="shared" si="125"/>
        <v>0.27</v>
      </c>
      <c r="R382" s="31">
        <v>13.5</v>
      </c>
      <c r="S382" s="31">
        <v>20</v>
      </c>
      <c r="T382" s="31">
        <v>0.16</v>
      </c>
      <c r="U382" s="31">
        <v>0</v>
      </c>
      <c r="V382" s="65">
        <f t="shared" si="123"/>
        <v>0</v>
      </c>
      <c r="W382" s="31">
        <v>3</v>
      </c>
      <c r="X382" s="31"/>
      <c r="Y382" s="31">
        <f t="shared" si="126"/>
        <v>3</v>
      </c>
      <c r="Z382" s="31">
        <f t="shared" si="127"/>
        <v>53.333333333333336</v>
      </c>
      <c r="AA382" s="18">
        <v>0</v>
      </c>
      <c r="AB382" s="18" t="s">
        <v>330</v>
      </c>
      <c r="AC382" s="18" t="s">
        <v>333</v>
      </c>
      <c r="AD382" s="18" t="s">
        <v>335</v>
      </c>
      <c r="AE382" s="18">
        <v>20</v>
      </c>
      <c r="AF382" s="18">
        <v>13.5</v>
      </c>
      <c r="AG382" s="18" t="s">
        <v>29</v>
      </c>
      <c r="AH382" s="18" t="s">
        <v>29</v>
      </c>
      <c r="AI382" s="18" t="str">
        <f>+VLOOKUP(AH382,Leyenda!$O$4:$U$10,6,FALSE)</f>
        <v>0,25-0,35</v>
      </c>
      <c r="AJ382" s="18" t="str">
        <f>+VLOOKUP(AG382,Leyenda!$O$4:$U$10,7,FALSE)</f>
        <v>No Blasting need</v>
      </c>
      <c r="AK382" s="18">
        <f>+VLOOKUP(AJ382,Leyenda!$U$4:$V$10,2,FALSE)</f>
        <v>2</v>
      </c>
      <c r="AL382" s="18"/>
      <c r="AM382" s="18" t="s">
        <v>29</v>
      </c>
      <c r="AN382" s="18" t="s">
        <v>69</v>
      </c>
      <c r="AO382" s="18" t="s">
        <v>81</v>
      </c>
      <c r="AP382" s="18" t="s">
        <v>100</v>
      </c>
      <c r="AQ382" s="18" t="s">
        <v>109</v>
      </c>
      <c r="AR382" s="18" t="s">
        <v>122</v>
      </c>
      <c r="AS382" s="18" t="s">
        <v>198</v>
      </c>
      <c r="AT382" s="18"/>
      <c r="AU382" s="18"/>
      <c r="AV382" s="18">
        <f>+VLOOKUP(AN382,Leyenda!$B$30:$E$34,3,FALSE)</f>
        <v>0</v>
      </c>
      <c r="AW382" s="18">
        <f>+VLOOKUP('2. Logging Brejo Seco'!AO382,Meteorizacion,3,FALSE)</f>
        <v>0</v>
      </c>
      <c r="AX382" s="18">
        <f>+VLOOKUP('2. Logging Brejo Seco'!AP382,Apertura,3,FALSE)</f>
        <v>0</v>
      </c>
      <c r="AY382" s="18">
        <f>+VLOOKUP('2. Logging Brejo Seco'!AQ382,Leyenda!$B$55:$D$59,3,FALSE)</f>
        <v>1</v>
      </c>
      <c r="AZ382" s="18">
        <f>+VLOOKUP('2. Logging Brejo Seco'!AR382,Relleno,3,FALSE)</f>
        <v>0</v>
      </c>
      <c r="BA382" s="18">
        <f t="shared" si="124"/>
        <v>1</v>
      </c>
      <c r="BB382" s="49">
        <f t="shared" si="129"/>
        <v>0</v>
      </c>
      <c r="BC382" s="49">
        <f>VLOOKUP(AH382,Leyenda!$B$4:$D$10,3,FALSE)</f>
        <v>2</v>
      </c>
      <c r="BD382" s="50">
        <f t="shared" si="116"/>
        <v>6</v>
      </c>
      <c r="BE382" s="49">
        <f t="shared" si="117"/>
        <v>1</v>
      </c>
      <c r="BF382" s="49">
        <f>VLOOKUP(AS382,Leyenda!$B$70:$D$75,3,FALSE)</f>
        <v>15</v>
      </c>
      <c r="BG382" s="67">
        <f t="shared" si="130"/>
        <v>1.5</v>
      </c>
      <c r="BH382" s="67">
        <f>VLOOKUP(AG382,Leyenda!$B$4:$E$10,4,FALSE)</f>
        <v>2</v>
      </c>
      <c r="BI382" s="67">
        <f t="shared" si="118"/>
        <v>4</v>
      </c>
      <c r="BJ382" s="67">
        <f t="shared" si="131"/>
        <v>0</v>
      </c>
      <c r="BK382" s="67">
        <f>+VLOOKUP('2. Logging Brejo Seco'!AP382,Leyenda!$B$47:$E$51,4,FALSE)</f>
        <v>0</v>
      </c>
      <c r="BL382" s="67">
        <f>+VLOOKUP('2. Logging Brejo Seco'!AQ382,Leyenda!$B$55:$E$59,4,FALSE)</f>
        <v>1</v>
      </c>
      <c r="BM382" s="67">
        <f>+VLOOKUP('2. Logging Brejo Seco'!AR382,Leyenda!$B$63:$E$67,3,FALSE)</f>
        <v>0</v>
      </c>
      <c r="BN382" s="67">
        <f>+VLOOKUP('2. Logging Brejo Seco'!AO382,Leyenda!$B$39:$E$43,4,FALSE)</f>
        <v>0</v>
      </c>
      <c r="BO382" s="67">
        <f>+VLOOKUP('2. Logging Brejo Seco'!AN382,Leyenda!$B$30:$E$34,4,FALSE)</f>
        <v>0</v>
      </c>
      <c r="BP382" s="67">
        <f>VLOOKUP(AS382,Leyenda!$B$71:$E$75,4,FALSE)</f>
        <v>10</v>
      </c>
      <c r="BQ382" s="67">
        <f t="shared" si="119"/>
        <v>17</v>
      </c>
      <c r="BR382" s="18">
        <f t="shared" si="120"/>
        <v>24</v>
      </c>
      <c r="BS382" s="240">
        <f t="shared" si="121"/>
        <v>0.45999999999999996</v>
      </c>
      <c r="BT382" s="18"/>
    </row>
    <row r="383" spans="1:72" x14ac:dyDescent="0.25">
      <c r="A383" s="18" t="s">
        <v>6</v>
      </c>
      <c r="B383" s="18">
        <v>2024</v>
      </c>
      <c r="C383" s="18" t="s">
        <v>138</v>
      </c>
      <c r="D383" s="18" t="s">
        <v>132</v>
      </c>
      <c r="E383" s="18">
        <v>50</v>
      </c>
      <c r="F383" s="18">
        <v>50</v>
      </c>
      <c r="G383" s="18" t="s">
        <v>154</v>
      </c>
      <c r="H383" s="248">
        <f t="shared" si="122"/>
        <v>50</v>
      </c>
      <c r="I383" s="135"/>
      <c r="J383" s="18" t="s">
        <v>166</v>
      </c>
      <c r="K383" s="4">
        <f t="shared" si="128"/>
        <v>14.5</v>
      </c>
      <c r="L383" s="18">
        <v>15</v>
      </c>
      <c r="M383" s="4">
        <f t="shared" si="114"/>
        <v>0.5</v>
      </c>
      <c r="N383" s="5">
        <v>0.5</v>
      </c>
      <c r="O383" s="5">
        <f t="shared" si="132"/>
        <v>0.5</v>
      </c>
      <c r="P383" s="31">
        <f t="shared" si="115"/>
        <v>0.25</v>
      </c>
      <c r="Q383" s="31">
        <f t="shared" si="125"/>
        <v>0.25</v>
      </c>
      <c r="R383" s="31">
        <v>12.5</v>
      </c>
      <c r="S383" s="31">
        <v>20</v>
      </c>
      <c r="T383" s="31">
        <v>0.17</v>
      </c>
      <c r="U383" s="31">
        <v>0</v>
      </c>
      <c r="V383" s="65">
        <f t="shared" si="123"/>
        <v>0</v>
      </c>
      <c r="W383" s="31">
        <v>3</v>
      </c>
      <c r="X383" s="31"/>
      <c r="Y383" s="31">
        <f t="shared" si="126"/>
        <v>3</v>
      </c>
      <c r="Z383" s="31">
        <f t="shared" si="127"/>
        <v>56.666666666666664</v>
      </c>
      <c r="AA383" s="18">
        <v>0</v>
      </c>
      <c r="AB383" s="18" t="s">
        <v>330</v>
      </c>
      <c r="AC383" s="18" t="s">
        <v>333</v>
      </c>
      <c r="AD383" s="18" t="s">
        <v>335</v>
      </c>
      <c r="AE383" s="18">
        <v>20</v>
      </c>
      <c r="AF383" s="18">
        <v>12.5</v>
      </c>
      <c r="AG383" s="18" t="s">
        <v>29</v>
      </c>
      <c r="AH383" s="18" t="s">
        <v>29</v>
      </c>
      <c r="AI383" s="18" t="str">
        <f>+VLOOKUP(AH383,Leyenda!$O$4:$U$10,6,FALSE)</f>
        <v>0,25-0,35</v>
      </c>
      <c r="AJ383" s="18" t="str">
        <f>+VLOOKUP(AG383,Leyenda!$O$4:$U$10,7,FALSE)</f>
        <v>No Blasting need</v>
      </c>
      <c r="AK383" s="18">
        <f>+VLOOKUP(AJ383,Leyenda!$U$4:$V$10,2,FALSE)</f>
        <v>2</v>
      </c>
      <c r="AL383" s="18"/>
      <c r="AM383" s="18" t="s">
        <v>32</v>
      </c>
      <c r="AN383" s="18" t="s">
        <v>69</v>
      </c>
      <c r="AO383" s="18" t="s">
        <v>81</v>
      </c>
      <c r="AP383" s="18" t="s">
        <v>100</v>
      </c>
      <c r="AQ383" s="18" t="s">
        <v>109</v>
      </c>
      <c r="AR383" s="18" t="s">
        <v>122</v>
      </c>
      <c r="AS383" s="18" t="s">
        <v>198</v>
      </c>
      <c r="AT383" s="18"/>
      <c r="AU383" s="18"/>
      <c r="AV383" s="18">
        <f>+VLOOKUP(AN383,Leyenda!$B$30:$E$34,3,FALSE)</f>
        <v>0</v>
      </c>
      <c r="AW383" s="18">
        <f>+VLOOKUP('2. Logging Brejo Seco'!AO383,Meteorizacion,3,FALSE)</f>
        <v>0</v>
      </c>
      <c r="AX383" s="18">
        <f>+VLOOKUP('2. Logging Brejo Seco'!AP383,Apertura,3,FALSE)</f>
        <v>0</v>
      </c>
      <c r="AY383" s="18">
        <f>+VLOOKUP('2. Logging Brejo Seco'!AQ383,Leyenda!$B$55:$D$59,3,FALSE)</f>
        <v>1</v>
      </c>
      <c r="AZ383" s="18">
        <f>+VLOOKUP('2. Logging Brejo Seco'!AR383,Relleno,3,FALSE)</f>
        <v>0</v>
      </c>
      <c r="BA383" s="18">
        <f t="shared" si="124"/>
        <v>1</v>
      </c>
      <c r="BB383" s="49">
        <f t="shared" si="129"/>
        <v>0</v>
      </c>
      <c r="BC383" s="49">
        <f>VLOOKUP(AH383,Leyenda!$B$4:$D$10,3,FALSE)</f>
        <v>2</v>
      </c>
      <c r="BD383" s="50">
        <f t="shared" si="116"/>
        <v>6</v>
      </c>
      <c r="BE383" s="49">
        <f t="shared" si="117"/>
        <v>1</v>
      </c>
      <c r="BF383" s="49">
        <f>VLOOKUP(AS383,Leyenda!$B$70:$D$75,3,FALSE)</f>
        <v>15</v>
      </c>
      <c r="BG383" s="67">
        <f t="shared" si="130"/>
        <v>1.5</v>
      </c>
      <c r="BH383" s="67">
        <f>VLOOKUP(AG383,Leyenda!$B$4:$E$10,4,FALSE)</f>
        <v>2</v>
      </c>
      <c r="BI383" s="67">
        <f t="shared" si="118"/>
        <v>5</v>
      </c>
      <c r="BJ383" s="67">
        <f t="shared" si="131"/>
        <v>0</v>
      </c>
      <c r="BK383" s="67">
        <f>+VLOOKUP('2. Logging Brejo Seco'!AP383,Leyenda!$B$47:$E$51,4,FALSE)</f>
        <v>0</v>
      </c>
      <c r="BL383" s="67">
        <f>+VLOOKUP('2. Logging Brejo Seco'!AQ383,Leyenda!$B$55:$E$59,4,FALSE)</f>
        <v>1</v>
      </c>
      <c r="BM383" s="67">
        <f>+VLOOKUP('2. Logging Brejo Seco'!AR383,Leyenda!$B$63:$E$67,3,FALSE)</f>
        <v>0</v>
      </c>
      <c r="BN383" s="67">
        <f>+VLOOKUP('2. Logging Brejo Seco'!AO383,Leyenda!$B$39:$E$43,4,FALSE)</f>
        <v>0</v>
      </c>
      <c r="BO383" s="67">
        <f>+VLOOKUP('2. Logging Brejo Seco'!AN383,Leyenda!$B$30:$E$34,4,FALSE)</f>
        <v>0</v>
      </c>
      <c r="BP383" s="67">
        <f>VLOOKUP(AS383,Leyenda!$B$71:$E$75,4,FALSE)</f>
        <v>10</v>
      </c>
      <c r="BQ383" s="67">
        <f t="shared" si="119"/>
        <v>18</v>
      </c>
      <c r="BR383" s="18">
        <f t="shared" si="120"/>
        <v>24</v>
      </c>
      <c r="BS383" s="240">
        <f t="shared" si="121"/>
        <v>0.5</v>
      </c>
      <c r="BT383" s="18"/>
    </row>
    <row r="384" spans="1:72" x14ac:dyDescent="0.25">
      <c r="A384" s="18" t="s">
        <v>6</v>
      </c>
      <c r="B384" s="18">
        <v>2024</v>
      </c>
      <c r="C384" s="18" t="s">
        <v>138</v>
      </c>
      <c r="D384" s="18" t="s">
        <v>132</v>
      </c>
      <c r="E384" s="18">
        <v>50</v>
      </c>
      <c r="F384" s="18">
        <v>50</v>
      </c>
      <c r="G384" s="18" t="s">
        <v>154</v>
      </c>
      <c r="H384" s="248">
        <f t="shared" si="122"/>
        <v>50</v>
      </c>
      <c r="I384" s="135"/>
      <c r="J384" s="18" t="s">
        <v>166</v>
      </c>
      <c r="K384" s="4">
        <f t="shared" si="128"/>
        <v>15</v>
      </c>
      <c r="L384" s="18">
        <v>15.5</v>
      </c>
      <c r="M384" s="4">
        <f t="shared" si="114"/>
        <v>0.5</v>
      </c>
      <c r="N384" s="5">
        <v>0.38</v>
      </c>
      <c r="O384" s="5">
        <f t="shared" si="132"/>
        <v>0.62</v>
      </c>
      <c r="P384" s="31">
        <f t="shared" si="115"/>
        <v>0.19</v>
      </c>
      <c r="Q384" s="31">
        <f t="shared" si="125"/>
        <v>0.19</v>
      </c>
      <c r="R384" s="31">
        <v>9.5</v>
      </c>
      <c r="S384" s="31">
        <v>20</v>
      </c>
      <c r="T384" s="31">
        <v>0.12</v>
      </c>
      <c r="U384" s="31">
        <v>0</v>
      </c>
      <c r="V384" s="65">
        <f t="shared" si="123"/>
        <v>0</v>
      </c>
      <c r="W384" s="31">
        <v>4</v>
      </c>
      <c r="X384" s="31"/>
      <c r="Y384" s="31">
        <f t="shared" si="126"/>
        <v>4</v>
      </c>
      <c r="Z384" s="31">
        <f t="shared" si="127"/>
        <v>30</v>
      </c>
      <c r="AA384" s="18">
        <v>0</v>
      </c>
      <c r="AB384" s="18" t="s">
        <v>330</v>
      </c>
      <c r="AC384" s="18" t="s">
        <v>333</v>
      </c>
      <c r="AD384" s="18" t="s">
        <v>335</v>
      </c>
      <c r="AE384" s="18">
        <v>20</v>
      </c>
      <c r="AF384" s="18">
        <v>9.5</v>
      </c>
      <c r="AG384" s="18" t="s">
        <v>29</v>
      </c>
      <c r="AH384" s="18" t="s">
        <v>29</v>
      </c>
      <c r="AI384" s="18" t="str">
        <f>+VLOOKUP(AH384,Leyenda!$O$4:$U$10,6,FALSE)</f>
        <v>0,25-0,35</v>
      </c>
      <c r="AJ384" s="18" t="str">
        <f>+VLOOKUP(AG384,Leyenda!$O$4:$U$10,7,FALSE)</f>
        <v>No Blasting need</v>
      </c>
      <c r="AK384" s="18">
        <f>+VLOOKUP(AJ384,Leyenda!$U$4:$V$10,2,FALSE)</f>
        <v>2</v>
      </c>
      <c r="AL384" s="18"/>
      <c r="AM384" s="18" t="s">
        <v>29</v>
      </c>
      <c r="AN384" s="18" t="s">
        <v>69</v>
      </c>
      <c r="AO384" s="18" t="s">
        <v>81</v>
      </c>
      <c r="AP384" s="18" t="s">
        <v>100</v>
      </c>
      <c r="AQ384" s="18" t="s">
        <v>109</v>
      </c>
      <c r="AR384" s="18" t="s">
        <v>122</v>
      </c>
      <c r="AS384" s="18" t="s">
        <v>198</v>
      </c>
      <c r="AT384" s="18"/>
      <c r="AU384" s="18"/>
      <c r="AV384" s="18">
        <f>+VLOOKUP(AN384,Leyenda!$B$30:$E$34,3,FALSE)</f>
        <v>0</v>
      </c>
      <c r="AW384" s="18">
        <f>+VLOOKUP('2. Logging Brejo Seco'!AO384,Meteorizacion,3,FALSE)</f>
        <v>0</v>
      </c>
      <c r="AX384" s="18">
        <f>+VLOOKUP('2. Logging Brejo Seco'!AP384,Apertura,3,FALSE)</f>
        <v>0</v>
      </c>
      <c r="AY384" s="18">
        <f>+VLOOKUP('2. Logging Brejo Seco'!AQ384,Leyenda!$B$55:$D$59,3,FALSE)</f>
        <v>1</v>
      </c>
      <c r="AZ384" s="18">
        <f>+VLOOKUP('2. Logging Brejo Seco'!AR384,Relleno,3,FALSE)</f>
        <v>0</v>
      </c>
      <c r="BA384" s="18">
        <f t="shared" si="124"/>
        <v>1</v>
      </c>
      <c r="BB384" s="49">
        <f t="shared" si="129"/>
        <v>0</v>
      </c>
      <c r="BC384" s="49">
        <f>VLOOKUP(AH384,Leyenda!$B$4:$D$10,3,FALSE)</f>
        <v>2</v>
      </c>
      <c r="BD384" s="50">
        <f t="shared" si="116"/>
        <v>5</v>
      </c>
      <c r="BE384" s="49">
        <f t="shared" si="117"/>
        <v>1</v>
      </c>
      <c r="BF384" s="49">
        <f>VLOOKUP(AS384,Leyenda!$B$70:$D$75,3,FALSE)</f>
        <v>15</v>
      </c>
      <c r="BG384" s="67">
        <f t="shared" si="130"/>
        <v>1.5</v>
      </c>
      <c r="BH384" s="67">
        <f>VLOOKUP(AG384,Leyenda!$B$4:$E$10,4,FALSE)</f>
        <v>2</v>
      </c>
      <c r="BI384" s="67">
        <f t="shared" si="118"/>
        <v>5</v>
      </c>
      <c r="BJ384" s="67">
        <f t="shared" si="131"/>
        <v>0</v>
      </c>
      <c r="BK384" s="67">
        <f>+VLOOKUP('2. Logging Brejo Seco'!AP384,Leyenda!$B$47:$E$51,4,FALSE)</f>
        <v>0</v>
      </c>
      <c r="BL384" s="67">
        <f>+VLOOKUP('2. Logging Brejo Seco'!AQ384,Leyenda!$B$55:$E$59,4,FALSE)</f>
        <v>1</v>
      </c>
      <c r="BM384" s="67">
        <f>+VLOOKUP('2. Logging Brejo Seco'!AR384,Leyenda!$B$63:$E$67,3,FALSE)</f>
        <v>0</v>
      </c>
      <c r="BN384" s="67">
        <f>+VLOOKUP('2. Logging Brejo Seco'!AO384,Leyenda!$B$39:$E$43,4,FALSE)</f>
        <v>0</v>
      </c>
      <c r="BO384" s="67">
        <f>+VLOOKUP('2. Logging Brejo Seco'!AN384,Leyenda!$B$30:$E$34,4,FALSE)</f>
        <v>0</v>
      </c>
      <c r="BP384" s="67">
        <f>VLOOKUP(AS384,Leyenda!$B$71:$E$75,4,FALSE)</f>
        <v>10</v>
      </c>
      <c r="BQ384" s="67">
        <f t="shared" si="119"/>
        <v>18</v>
      </c>
      <c r="BR384" s="18">
        <f t="shared" si="120"/>
        <v>23</v>
      </c>
      <c r="BS384" s="240">
        <f t="shared" si="121"/>
        <v>0.62</v>
      </c>
      <c r="BT384" s="18"/>
    </row>
    <row r="385" spans="1:72" x14ac:dyDescent="0.25">
      <c r="A385" s="18" t="s">
        <v>6</v>
      </c>
      <c r="B385" s="18">
        <v>2024</v>
      </c>
      <c r="C385" s="18" t="s">
        <v>138</v>
      </c>
      <c r="D385" s="18" t="s">
        <v>132</v>
      </c>
      <c r="E385" s="18">
        <v>50</v>
      </c>
      <c r="F385" s="18">
        <v>50</v>
      </c>
      <c r="G385" s="18" t="s">
        <v>154</v>
      </c>
      <c r="H385" s="248">
        <f t="shared" si="122"/>
        <v>50</v>
      </c>
      <c r="I385" s="135"/>
      <c r="J385" s="18" t="s">
        <v>166</v>
      </c>
      <c r="K385" s="4">
        <f t="shared" si="128"/>
        <v>15.5</v>
      </c>
      <c r="L385" s="18">
        <v>16</v>
      </c>
      <c r="M385" s="4">
        <f t="shared" si="114"/>
        <v>0.5</v>
      </c>
      <c r="N385" s="5">
        <v>0.9</v>
      </c>
      <c r="O385" s="5">
        <f t="shared" si="132"/>
        <v>9.9999999999999978E-2</v>
      </c>
      <c r="P385" s="31">
        <f t="shared" si="115"/>
        <v>0.45</v>
      </c>
      <c r="Q385" s="31">
        <f t="shared" si="125"/>
        <v>0.45</v>
      </c>
      <c r="R385" s="31">
        <v>22.5</v>
      </c>
      <c r="S385" s="31">
        <v>20</v>
      </c>
      <c r="T385" s="31">
        <v>0.37</v>
      </c>
      <c r="U385" s="31">
        <v>0</v>
      </c>
      <c r="V385" s="65">
        <f t="shared" si="123"/>
        <v>0</v>
      </c>
      <c r="W385" s="31">
        <v>10</v>
      </c>
      <c r="X385" s="31"/>
      <c r="Y385" s="31">
        <f t="shared" si="126"/>
        <v>10</v>
      </c>
      <c r="Z385" s="31">
        <f t="shared" si="127"/>
        <v>37</v>
      </c>
      <c r="AA385" s="18">
        <v>0</v>
      </c>
      <c r="AB385" s="18" t="s">
        <v>330</v>
      </c>
      <c r="AC385" s="18" t="s">
        <v>333</v>
      </c>
      <c r="AD385" s="18" t="s">
        <v>335</v>
      </c>
      <c r="AE385" s="18">
        <v>20</v>
      </c>
      <c r="AF385" s="18">
        <v>22.5</v>
      </c>
      <c r="AG385" s="18" t="s">
        <v>34</v>
      </c>
      <c r="AH385" s="18" t="s">
        <v>34</v>
      </c>
      <c r="AI385" s="18">
        <f>+VLOOKUP(AH385,Leyenda!$O$4:$U$10,6,FALSE)</f>
        <v>0</v>
      </c>
      <c r="AJ385" s="18" t="str">
        <f>+VLOOKUP(AG385,Leyenda!$O$4:$U$10,7,FALSE)</f>
        <v>No Blasting need</v>
      </c>
      <c r="AK385" s="18">
        <f>+VLOOKUP(AJ385,Leyenda!$U$4:$V$10,2,FALSE)</f>
        <v>2</v>
      </c>
      <c r="AL385" s="18"/>
      <c r="AM385" s="18" t="s">
        <v>34</v>
      </c>
      <c r="AN385" s="18" t="s">
        <v>69</v>
      </c>
      <c r="AO385" s="18" t="s">
        <v>81</v>
      </c>
      <c r="AP385" s="18" t="s">
        <v>100</v>
      </c>
      <c r="AQ385" s="18" t="s">
        <v>109</v>
      </c>
      <c r="AR385" s="18" t="s">
        <v>122</v>
      </c>
      <c r="AS385" s="18" t="s">
        <v>198</v>
      </c>
      <c r="AT385" s="18"/>
      <c r="AU385" s="18"/>
      <c r="AV385" s="18">
        <f>+VLOOKUP(AN385,Leyenda!$B$30:$E$34,3,FALSE)</f>
        <v>0</v>
      </c>
      <c r="AW385" s="18">
        <f>+VLOOKUP('2. Logging Brejo Seco'!AO385,Meteorizacion,3,FALSE)</f>
        <v>0</v>
      </c>
      <c r="AX385" s="18">
        <f>+VLOOKUP('2. Logging Brejo Seco'!AP385,Apertura,3,FALSE)</f>
        <v>0</v>
      </c>
      <c r="AY385" s="18">
        <f>+VLOOKUP('2. Logging Brejo Seco'!AQ385,Leyenda!$B$55:$D$59,3,FALSE)</f>
        <v>1</v>
      </c>
      <c r="AZ385" s="18">
        <f>+VLOOKUP('2. Logging Brejo Seco'!AR385,Relleno,3,FALSE)</f>
        <v>0</v>
      </c>
      <c r="BA385" s="18">
        <f t="shared" si="124"/>
        <v>1</v>
      </c>
      <c r="BB385" s="49">
        <f t="shared" si="129"/>
        <v>0</v>
      </c>
      <c r="BC385" s="49">
        <f>VLOOKUP(AH385,Leyenda!$B$4:$D$10,3,FALSE)</f>
        <v>0</v>
      </c>
      <c r="BD385" s="50">
        <f t="shared" si="116"/>
        <v>5</v>
      </c>
      <c r="BE385" s="49">
        <f t="shared" si="117"/>
        <v>1</v>
      </c>
      <c r="BF385" s="49">
        <f>VLOOKUP(AS385,Leyenda!$B$70:$D$75,3,FALSE)</f>
        <v>15</v>
      </c>
      <c r="BG385" s="67">
        <f t="shared" si="130"/>
        <v>1.5</v>
      </c>
      <c r="BH385" s="67">
        <f>VLOOKUP(AG385,Leyenda!$B$4:$E$10,4,FALSE)</f>
        <v>0</v>
      </c>
      <c r="BI385" s="67">
        <f t="shared" si="118"/>
        <v>5</v>
      </c>
      <c r="BJ385" s="67">
        <f t="shared" si="131"/>
        <v>0</v>
      </c>
      <c r="BK385" s="67">
        <f>+VLOOKUP('2. Logging Brejo Seco'!AP385,Leyenda!$B$47:$E$51,4,FALSE)</f>
        <v>0</v>
      </c>
      <c r="BL385" s="67">
        <f>+VLOOKUP('2. Logging Brejo Seco'!AQ385,Leyenda!$B$55:$E$59,4,FALSE)</f>
        <v>1</v>
      </c>
      <c r="BM385" s="67">
        <f>+VLOOKUP('2. Logging Brejo Seco'!AR385,Leyenda!$B$63:$E$67,3,FALSE)</f>
        <v>0</v>
      </c>
      <c r="BN385" s="67">
        <f>+VLOOKUP('2. Logging Brejo Seco'!AO385,Leyenda!$B$39:$E$43,4,FALSE)</f>
        <v>0</v>
      </c>
      <c r="BO385" s="67">
        <f>+VLOOKUP('2. Logging Brejo Seco'!AN385,Leyenda!$B$30:$E$34,4,FALSE)</f>
        <v>0</v>
      </c>
      <c r="BP385" s="67">
        <f>VLOOKUP(AS385,Leyenda!$B$71:$E$75,4,FALSE)</f>
        <v>10</v>
      </c>
      <c r="BQ385" s="67">
        <f t="shared" si="119"/>
        <v>16</v>
      </c>
      <c r="BR385" s="18">
        <f t="shared" si="120"/>
        <v>21</v>
      </c>
      <c r="BS385" s="240">
        <f t="shared" si="121"/>
        <v>9.9999999999999978E-2</v>
      </c>
      <c r="BT385" s="18"/>
    </row>
    <row r="386" spans="1:72" x14ac:dyDescent="0.25">
      <c r="A386" s="18" t="s">
        <v>6</v>
      </c>
      <c r="B386" s="18">
        <v>2024</v>
      </c>
      <c r="C386" s="18" t="s">
        <v>138</v>
      </c>
      <c r="D386" s="18" t="s">
        <v>132</v>
      </c>
      <c r="E386" s="18">
        <v>50</v>
      </c>
      <c r="F386" s="18">
        <v>50</v>
      </c>
      <c r="G386" s="18" t="s">
        <v>154</v>
      </c>
      <c r="H386" s="248">
        <f t="shared" si="122"/>
        <v>50</v>
      </c>
      <c r="I386" s="135"/>
      <c r="J386" s="18" t="s">
        <v>166</v>
      </c>
      <c r="K386" s="4">
        <f t="shared" si="128"/>
        <v>16</v>
      </c>
      <c r="L386" s="18">
        <v>16.5</v>
      </c>
      <c r="M386" s="4">
        <f t="shared" si="114"/>
        <v>0.5</v>
      </c>
      <c r="N386" s="5">
        <v>0.56000000000000005</v>
      </c>
      <c r="O386" s="5">
        <f t="shared" si="132"/>
        <v>0.43999999999999995</v>
      </c>
      <c r="P386" s="31">
        <f t="shared" si="115"/>
        <v>0.28000000000000003</v>
      </c>
      <c r="Q386" s="31">
        <f t="shared" si="125"/>
        <v>0.28000000000000003</v>
      </c>
      <c r="R386" s="31">
        <v>14</v>
      </c>
      <c r="S386" s="31">
        <v>20</v>
      </c>
      <c r="T386" s="31">
        <v>0.24</v>
      </c>
      <c r="U386" s="31">
        <v>0</v>
      </c>
      <c r="V386" s="65">
        <f t="shared" si="123"/>
        <v>0</v>
      </c>
      <c r="W386" s="31">
        <v>10</v>
      </c>
      <c r="X386" s="31"/>
      <c r="Y386" s="31">
        <f t="shared" si="126"/>
        <v>10</v>
      </c>
      <c r="Z386" s="31">
        <f t="shared" si="127"/>
        <v>24</v>
      </c>
      <c r="AA386" s="18">
        <v>0</v>
      </c>
      <c r="AB386" s="18" t="s">
        <v>100</v>
      </c>
      <c r="AC386" s="18" t="s">
        <v>333</v>
      </c>
      <c r="AD386" s="18" t="s">
        <v>336</v>
      </c>
      <c r="AE386" s="18">
        <v>20</v>
      </c>
      <c r="AF386" s="18">
        <v>14</v>
      </c>
      <c r="AG386" s="18" t="s">
        <v>34</v>
      </c>
      <c r="AH386" s="18" t="s">
        <v>34</v>
      </c>
      <c r="AI386" s="18">
        <f>+VLOOKUP(AH386,Leyenda!$O$4:$U$10,6,FALSE)</f>
        <v>0</v>
      </c>
      <c r="AJ386" s="18" t="str">
        <f>+VLOOKUP(AG386,Leyenda!$O$4:$U$10,7,FALSE)</f>
        <v>No Blasting need</v>
      </c>
      <c r="AK386" s="18">
        <f>+VLOOKUP(AJ386,Leyenda!$U$4:$V$10,2,FALSE)</f>
        <v>2</v>
      </c>
      <c r="AL386" s="18"/>
      <c r="AM386" s="18" t="s">
        <v>34</v>
      </c>
      <c r="AN386" s="18" t="s">
        <v>69</v>
      </c>
      <c r="AO386" s="18" t="s">
        <v>81</v>
      </c>
      <c r="AP386" s="18" t="s">
        <v>100</v>
      </c>
      <c r="AQ386" s="18" t="s">
        <v>109</v>
      </c>
      <c r="AR386" s="18" t="s">
        <v>122</v>
      </c>
      <c r="AS386" s="18" t="s">
        <v>198</v>
      </c>
      <c r="AT386" s="18"/>
      <c r="AU386" s="18"/>
      <c r="AV386" s="18">
        <f>+VLOOKUP(AN386,Leyenda!$B$30:$E$34,3,FALSE)</f>
        <v>0</v>
      </c>
      <c r="AW386" s="18">
        <f>+VLOOKUP('2. Logging Brejo Seco'!AO386,Meteorizacion,3,FALSE)</f>
        <v>0</v>
      </c>
      <c r="AX386" s="18">
        <f>+VLOOKUP('2. Logging Brejo Seco'!AP386,Apertura,3,FALSE)</f>
        <v>0</v>
      </c>
      <c r="AY386" s="18">
        <f>+VLOOKUP('2. Logging Brejo Seco'!AQ386,Leyenda!$B$55:$D$59,3,FALSE)</f>
        <v>1</v>
      </c>
      <c r="AZ386" s="18">
        <f>+VLOOKUP('2. Logging Brejo Seco'!AR386,Relleno,3,FALSE)</f>
        <v>0</v>
      </c>
      <c r="BA386" s="18">
        <f t="shared" si="124"/>
        <v>1</v>
      </c>
      <c r="BB386" s="49">
        <f t="shared" si="129"/>
        <v>0</v>
      </c>
      <c r="BC386" s="49">
        <f>VLOOKUP(AH386,Leyenda!$B$4:$D$10,3,FALSE)</f>
        <v>0</v>
      </c>
      <c r="BD386" s="50">
        <f t="shared" si="116"/>
        <v>4</v>
      </c>
      <c r="BE386" s="49">
        <f t="shared" si="117"/>
        <v>1</v>
      </c>
      <c r="BF386" s="49">
        <f>VLOOKUP(AS386,Leyenda!$B$70:$D$75,3,FALSE)</f>
        <v>15</v>
      </c>
      <c r="BG386" s="67">
        <f t="shared" si="130"/>
        <v>1.5</v>
      </c>
      <c r="BH386" s="67">
        <f>VLOOKUP(AG386,Leyenda!$B$4:$E$10,4,FALSE)</f>
        <v>0</v>
      </c>
      <c r="BI386" s="67">
        <f t="shared" si="118"/>
        <v>5</v>
      </c>
      <c r="BJ386" s="67">
        <f t="shared" si="131"/>
        <v>0</v>
      </c>
      <c r="BK386" s="67">
        <f>+VLOOKUP('2. Logging Brejo Seco'!AP386,Leyenda!$B$47:$E$51,4,FALSE)</f>
        <v>0</v>
      </c>
      <c r="BL386" s="67">
        <f>+VLOOKUP('2. Logging Brejo Seco'!AQ386,Leyenda!$B$55:$E$59,4,FALSE)</f>
        <v>1</v>
      </c>
      <c r="BM386" s="67">
        <f>+VLOOKUP('2. Logging Brejo Seco'!AR386,Leyenda!$B$63:$E$67,3,FALSE)</f>
        <v>0</v>
      </c>
      <c r="BN386" s="67">
        <f>+VLOOKUP('2. Logging Brejo Seco'!AO386,Leyenda!$B$39:$E$43,4,FALSE)</f>
        <v>0</v>
      </c>
      <c r="BO386" s="67">
        <f>+VLOOKUP('2. Logging Brejo Seco'!AN386,Leyenda!$B$30:$E$34,4,FALSE)</f>
        <v>0</v>
      </c>
      <c r="BP386" s="67">
        <f>VLOOKUP(AS386,Leyenda!$B$71:$E$75,4,FALSE)</f>
        <v>10</v>
      </c>
      <c r="BQ386" s="67">
        <f t="shared" si="119"/>
        <v>16</v>
      </c>
      <c r="BR386" s="18">
        <f t="shared" si="120"/>
        <v>20</v>
      </c>
      <c r="BS386" s="240">
        <f t="shared" si="121"/>
        <v>0.43999999999999995</v>
      </c>
      <c r="BT386" s="18"/>
    </row>
    <row r="387" spans="1:72" x14ac:dyDescent="0.25">
      <c r="A387" s="18" t="s">
        <v>6</v>
      </c>
      <c r="B387" s="18">
        <v>2024</v>
      </c>
      <c r="C387" s="18" t="s">
        <v>138</v>
      </c>
      <c r="D387" s="18" t="s">
        <v>132</v>
      </c>
      <c r="E387" s="18">
        <v>50</v>
      </c>
      <c r="F387" s="18">
        <v>50</v>
      </c>
      <c r="G387" s="18" t="s">
        <v>154</v>
      </c>
      <c r="H387" s="248">
        <f t="shared" si="122"/>
        <v>50</v>
      </c>
      <c r="I387" s="135"/>
      <c r="J387" s="18" t="s">
        <v>166</v>
      </c>
      <c r="K387" s="4">
        <f t="shared" si="128"/>
        <v>16.5</v>
      </c>
      <c r="L387" s="18">
        <v>17</v>
      </c>
      <c r="M387" s="4">
        <f t="shared" si="114"/>
        <v>0.5</v>
      </c>
      <c r="N387" s="5">
        <v>0.6</v>
      </c>
      <c r="O387" s="5">
        <f t="shared" si="132"/>
        <v>0.4</v>
      </c>
      <c r="P387" s="31">
        <f t="shared" si="115"/>
        <v>0.3</v>
      </c>
      <c r="Q387" s="31">
        <f t="shared" si="125"/>
        <v>0.3</v>
      </c>
      <c r="R387" s="31">
        <v>15</v>
      </c>
      <c r="S387" s="31">
        <v>20</v>
      </c>
      <c r="T387" s="31">
        <v>0.27</v>
      </c>
      <c r="U387" s="31">
        <v>0</v>
      </c>
      <c r="V387" s="65">
        <f t="shared" si="123"/>
        <v>0</v>
      </c>
      <c r="W387" s="31">
        <v>10</v>
      </c>
      <c r="X387" s="31"/>
      <c r="Y387" s="31">
        <f t="shared" si="126"/>
        <v>10</v>
      </c>
      <c r="Z387" s="31">
        <f t="shared" si="127"/>
        <v>27</v>
      </c>
      <c r="AA387" s="18">
        <v>0</v>
      </c>
      <c r="AB387" s="18" t="s">
        <v>330</v>
      </c>
      <c r="AC387" s="18" t="s">
        <v>333</v>
      </c>
      <c r="AD387" s="18" t="s">
        <v>335</v>
      </c>
      <c r="AE387" s="18">
        <v>20</v>
      </c>
      <c r="AF387" s="18">
        <v>15</v>
      </c>
      <c r="AG387" s="18" t="s">
        <v>34</v>
      </c>
      <c r="AH387" s="18" t="s">
        <v>34</v>
      </c>
      <c r="AI387" s="18">
        <f>+VLOOKUP(AH387,Leyenda!$O$4:$U$10,6,FALSE)</f>
        <v>0</v>
      </c>
      <c r="AJ387" s="18" t="str">
        <f>+VLOOKUP(AG387,Leyenda!$O$4:$U$10,7,FALSE)</f>
        <v>No Blasting need</v>
      </c>
      <c r="AK387" s="18">
        <f>+VLOOKUP(AJ387,Leyenda!$U$4:$V$10,2,FALSE)</f>
        <v>2</v>
      </c>
      <c r="AL387" s="18"/>
      <c r="AM387" s="18" t="s">
        <v>29</v>
      </c>
      <c r="AN387" s="18" t="s">
        <v>69</v>
      </c>
      <c r="AO387" s="18" t="s">
        <v>81</v>
      </c>
      <c r="AP387" s="18" t="s">
        <v>100</v>
      </c>
      <c r="AQ387" s="18" t="s">
        <v>109</v>
      </c>
      <c r="AR387" s="18" t="s">
        <v>122</v>
      </c>
      <c r="AS387" s="18" t="s">
        <v>198</v>
      </c>
      <c r="AT387" s="18"/>
      <c r="AU387" s="18"/>
      <c r="AV387" s="18">
        <f>+VLOOKUP(AN387,Leyenda!$B$30:$E$34,3,FALSE)</f>
        <v>0</v>
      </c>
      <c r="AW387" s="18">
        <f>+VLOOKUP('2. Logging Brejo Seco'!AO387,Meteorizacion,3,FALSE)</f>
        <v>0</v>
      </c>
      <c r="AX387" s="18">
        <f>+VLOOKUP('2. Logging Brejo Seco'!AP387,Apertura,3,FALSE)</f>
        <v>0</v>
      </c>
      <c r="AY387" s="18">
        <f>+VLOOKUP('2. Logging Brejo Seco'!AQ387,Leyenda!$B$55:$D$59,3,FALSE)</f>
        <v>1</v>
      </c>
      <c r="AZ387" s="18">
        <f>+VLOOKUP('2. Logging Brejo Seco'!AR387,Relleno,3,FALSE)</f>
        <v>0</v>
      </c>
      <c r="BA387" s="18">
        <f t="shared" si="124"/>
        <v>1</v>
      </c>
      <c r="BB387" s="49">
        <f t="shared" si="129"/>
        <v>0</v>
      </c>
      <c r="BC387" s="49">
        <f>VLOOKUP(AH387,Leyenda!$B$4:$D$10,3,FALSE)</f>
        <v>0</v>
      </c>
      <c r="BD387" s="50">
        <f t="shared" si="116"/>
        <v>5</v>
      </c>
      <c r="BE387" s="49">
        <f t="shared" si="117"/>
        <v>1</v>
      </c>
      <c r="BF387" s="49">
        <f>VLOOKUP(AS387,Leyenda!$B$70:$D$75,3,FALSE)</f>
        <v>15</v>
      </c>
      <c r="BG387" s="67">
        <f t="shared" si="130"/>
        <v>1.5</v>
      </c>
      <c r="BH387" s="67">
        <f>VLOOKUP(AG387,Leyenda!$B$4:$E$10,4,FALSE)</f>
        <v>0</v>
      </c>
      <c r="BI387" s="67">
        <f t="shared" si="118"/>
        <v>5</v>
      </c>
      <c r="BJ387" s="67">
        <f t="shared" si="131"/>
        <v>0</v>
      </c>
      <c r="BK387" s="67">
        <f>+VLOOKUP('2. Logging Brejo Seco'!AP387,Leyenda!$B$47:$E$51,4,FALSE)</f>
        <v>0</v>
      </c>
      <c r="BL387" s="67">
        <f>+VLOOKUP('2. Logging Brejo Seco'!AQ387,Leyenda!$B$55:$E$59,4,FALSE)</f>
        <v>1</v>
      </c>
      <c r="BM387" s="67">
        <f>+VLOOKUP('2. Logging Brejo Seco'!AR387,Leyenda!$B$63:$E$67,3,FALSE)</f>
        <v>0</v>
      </c>
      <c r="BN387" s="67">
        <f>+VLOOKUP('2. Logging Brejo Seco'!AO387,Leyenda!$B$39:$E$43,4,FALSE)</f>
        <v>0</v>
      </c>
      <c r="BO387" s="67">
        <f>+VLOOKUP('2. Logging Brejo Seco'!AN387,Leyenda!$B$30:$E$34,4,FALSE)</f>
        <v>0</v>
      </c>
      <c r="BP387" s="67">
        <f>VLOOKUP(AS387,Leyenda!$B$71:$E$75,4,FALSE)</f>
        <v>10</v>
      </c>
      <c r="BQ387" s="67">
        <f t="shared" si="119"/>
        <v>16</v>
      </c>
      <c r="BR387" s="18">
        <f t="shared" si="120"/>
        <v>21</v>
      </c>
      <c r="BS387" s="240">
        <f t="shared" si="121"/>
        <v>0.4</v>
      </c>
      <c r="BT387" s="18"/>
    </row>
    <row r="388" spans="1:72" x14ac:dyDescent="0.25">
      <c r="A388" s="18" t="s">
        <v>6</v>
      </c>
      <c r="B388" s="18">
        <v>2024</v>
      </c>
      <c r="C388" s="18" t="s">
        <v>138</v>
      </c>
      <c r="D388" s="18" t="s">
        <v>132</v>
      </c>
      <c r="E388" s="18">
        <v>50</v>
      </c>
      <c r="F388" s="18">
        <v>50</v>
      </c>
      <c r="G388" s="18" t="s">
        <v>154</v>
      </c>
      <c r="H388" s="248">
        <f t="shared" si="122"/>
        <v>50</v>
      </c>
      <c r="I388" s="135"/>
      <c r="J388" s="18" t="s">
        <v>166</v>
      </c>
      <c r="K388" s="4">
        <f t="shared" si="128"/>
        <v>17</v>
      </c>
      <c r="L388" s="18">
        <v>17.5</v>
      </c>
      <c r="M388" s="4">
        <f t="shared" si="114"/>
        <v>0.5</v>
      </c>
      <c r="N388" s="5">
        <v>0.5</v>
      </c>
      <c r="O388" s="5">
        <f t="shared" si="132"/>
        <v>0.5</v>
      </c>
      <c r="P388" s="31">
        <f t="shared" si="115"/>
        <v>0.25</v>
      </c>
      <c r="Q388" s="31">
        <f t="shared" si="125"/>
        <v>0.25</v>
      </c>
      <c r="R388" s="31">
        <v>12.5</v>
      </c>
      <c r="S388" s="31">
        <v>20</v>
      </c>
      <c r="T388" s="31">
        <v>0.22</v>
      </c>
      <c r="U388" s="31">
        <v>0</v>
      </c>
      <c r="V388" s="65">
        <f t="shared" si="123"/>
        <v>0</v>
      </c>
      <c r="W388" s="31">
        <v>10</v>
      </c>
      <c r="X388" s="31"/>
      <c r="Y388" s="31">
        <f t="shared" si="126"/>
        <v>10</v>
      </c>
      <c r="Z388" s="31">
        <f t="shared" si="127"/>
        <v>22</v>
      </c>
      <c r="AA388" s="18">
        <v>0</v>
      </c>
      <c r="AB388" s="18" t="s">
        <v>330</v>
      </c>
      <c r="AC388" s="18" t="s">
        <v>333</v>
      </c>
      <c r="AD388" s="18" t="s">
        <v>335</v>
      </c>
      <c r="AE388" s="18">
        <v>20</v>
      </c>
      <c r="AF388" s="18">
        <v>12.5</v>
      </c>
      <c r="AG388" s="18" t="s">
        <v>34</v>
      </c>
      <c r="AH388" s="18" t="s">
        <v>34</v>
      </c>
      <c r="AI388" s="18">
        <f>+VLOOKUP(AH388,Leyenda!$O$4:$U$10,6,FALSE)</f>
        <v>0</v>
      </c>
      <c r="AJ388" s="18" t="str">
        <f>+VLOOKUP(AG388,Leyenda!$O$4:$U$10,7,FALSE)</f>
        <v>No Blasting need</v>
      </c>
      <c r="AK388" s="18">
        <f>+VLOOKUP(AJ388,Leyenda!$U$4:$V$10,2,FALSE)</f>
        <v>2</v>
      </c>
      <c r="AL388" s="18"/>
      <c r="AM388" s="18" t="s">
        <v>29</v>
      </c>
      <c r="AN388" s="18" t="s">
        <v>69</v>
      </c>
      <c r="AO388" s="18" t="s">
        <v>81</v>
      </c>
      <c r="AP388" s="18" t="s">
        <v>100</v>
      </c>
      <c r="AQ388" s="18" t="s">
        <v>109</v>
      </c>
      <c r="AR388" s="18" t="s">
        <v>122</v>
      </c>
      <c r="AS388" s="18" t="s">
        <v>198</v>
      </c>
      <c r="AT388" s="18"/>
      <c r="AU388" s="18"/>
      <c r="AV388" s="18">
        <f>+VLOOKUP(AN388,Leyenda!$B$30:$E$34,3,FALSE)</f>
        <v>0</v>
      </c>
      <c r="AW388" s="18">
        <f>+VLOOKUP('2. Logging Brejo Seco'!AO388,Meteorizacion,3,FALSE)</f>
        <v>0</v>
      </c>
      <c r="AX388" s="18">
        <f>+VLOOKUP('2. Logging Brejo Seco'!AP388,Apertura,3,FALSE)</f>
        <v>0</v>
      </c>
      <c r="AY388" s="18">
        <f>+VLOOKUP('2. Logging Brejo Seco'!AQ388,Leyenda!$B$55:$D$59,3,FALSE)</f>
        <v>1</v>
      </c>
      <c r="AZ388" s="18">
        <f>+VLOOKUP('2. Logging Brejo Seco'!AR388,Relleno,3,FALSE)</f>
        <v>0</v>
      </c>
      <c r="BA388" s="18">
        <f t="shared" si="124"/>
        <v>1</v>
      </c>
      <c r="BB388" s="49">
        <f t="shared" si="129"/>
        <v>0</v>
      </c>
      <c r="BC388" s="49">
        <f>VLOOKUP(AH388,Leyenda!$B$4:$D$10,3,FALSE)</f>
        <v>0</v>
      </c>
      <c r="BD388" s="50">
        <f t="shared" ref="BD388:BD451" si="133">IF(Z388="",ROUND((IF(Z388&lt;=400,1.5478*POWER(Z388,0.3351),-2*POWER(10,-6)*POWER(Z388,2)+0.0091*Z388+8.1704)),0),ROUND((IF(Z388&lt;=400,1.5478*POWER(Z388,0.3351),-2*POWER(10,-6)*POWER(Z388,2)+0.0091*Z388+8.1704)),0))</f>
        <v>4</v>
      </c>
      <c r="BE388" s="49">
        <f t="shared" si="117"/>
        <v>1</v>
      </c>
      <c r="BF388" s="49">
        <f>VLOOKUP(AS388,Leyenda!$B$70:$D$75,3,FALSE)</f>
        <v>15</v>
      </c>
      <c r="BG388" s="67">
        <f t="shared" si="130"/>
        <v>1.5</v>
      </c>
      <c r="BH388" s="67">
        <f>VLOOKUP(AG388,Leyenda!$B$4:$E$10,4,FALSE)</f>
        <v>0</v>
      </c>
      <c r="BI388" s="67">
        <f t="shared" ref="BI388:BI451" si="134">IF(Z388="",ROUND(IF(Z388&lt;=50,5,IF(Z388&gt;=3000,30,6.038*LN(Z388)-19.63)),0),ROUND(IF(Z388&lt;=50,5,IF(Z388&gt;=3000,30,6.038*LN(Z388)-19.63)),0))</f>
        <v>5</v>
      </c>
      <c r="BJ388" s="67">
        <f t="shared" si="131"/>
        <v>0</v>
      </c>
      <c r="BK388" s="67">
        <f>+VLOOKUP('2. Logging Brejo Seco'!AP388,Leyenda!$B$47:$E$51,4,FALSE)</f>
        <v>0</v>
      </c>
      <c r="BL388" s="67">
        <f>+VLOOKUP('2. Logging Brejo Seco'!AQ388,Leyenda!$B$55:$E$59,4,FALSE)</f>
        <v>1</v>
      </c>
      <c r="BM388" s="67">
        <f>+VLOOKUP('2. Logging Brejo Seco'!AR388,Leyenda!$B$63:$E$67,3,FALSE)</f>
        <v>0</v>
      </c>
      <c r="BN388" s="67">
        <f>+VLOOKUP('2. Logging Brejo Seco'!AO388,Leyenda!$B$39:$E$43,4,FALSE)</f>
        <v>0</v>
      </c>
      <c r="BO388" s="67">
        <f>+VLOOKUP('2. Logging Brejo Seco'!AN388,Leyenda!$B$30:$E$34,4,FALSE)</f>
        <v>0</v>
      </c>
      <c r="BP388" s="67">
        <f>VLOOKUP(AS388,Leyenda!$B$71:$E$75,4,FALSE)</f>
        <v>10</v>
      </c>
      <c r="BQ388" s="67">
        <f t="shared" si="119"/>
        <v>16</v>
      </c>
      <c r="BR388" s="18">
        <f t="shared" si="120"/>
        <v>20</v>
      </c>
      <c r="BS388" s="240">
        <f t="shared" ref="BS388:BS451" si="135">1-N388</f>
        <v>0.5</v>
      </c>
      <c r="BT388" s="18"/>
    </row>
    <row r="389" spans="1:72" x14ac:dyDescent="0.25">
      <c r="A389" s="18" t="s">
        <v>6</v>
      </c>
      <c r="B389" s="18">
        <v>2024</v>
      </c>
      <c r="C389" s="18" t="s">
        <v>138</v>
      </c>
      <c r="D389" s="18" t="s">
        <v>132</v>
      </c>
      <c r="E389" s="18">
        <v>40</v>
      </c>
      <c r="F389" s="18">
        <v>50</v>
      </c>
      <c r="G389" s="18" t="s">
        <v>153</v>
      </c>
      <c r="H389" s="248">
        <f t="shared" si="122"/>
        <v>50</v>
      </c>
      <c r="I389" s="135"/>
      <c r="J389" s="18" t="s">
        <v>166</v>
      </c>
      <c r="K389" s="4">
        <f t="shared" si="128"/>
        <v>17.5</v>
      </c>
      <c r="L389" s="18">
        <v>18</v>
      </c>
      <c r="M389" s="4">
        <f t="shared" ref="M389:M453" si="136">+L389-K389</f>
        <v>0.5</v>
      </c>
      <c r="N389" s="5">
        <v>0.28000000000000003</v>
      </c>
      <c r="O389" s="5">
        <f t="shared" si="132"/>
        <v>0.72</v>
      </c>
      <c r="P389" s="31">
        <f t="shared" ref="P389:P452" si="137">+M389*N389</f>
        <v>0.14000000000000001</v>
      </c>
      <c r="Q389" s="31">
        <f t="shared" si="125"/>
        <v>0.14000000000000001</v>
      </c>
      <c r="R389" s="31">
        <v>7</v>
      </c>
      <c r="S389" s="31">
        <v>20</v>
      </c>
      <c r="T389" s="31">
        <v>0.13</v>
      </c>
      <c r="U389" s="31">
        <v>0</v>
      </c>
      <c r="V389" s="65">
        <f t="shared" si="123"/>
        <v>0</v>
      </c>
      <c r="W389" s="31">
        <v>5</v>
      </c>
      <c r="X389" s="31"/>
      <c r="Y389" s="31">
        <f t="shared" si="126"/>
        <v>5</v>
      </c>
      <c r="Z389" s="31">
        <f t="shared" si="127"/>
        <v>26</v>
      </c>
      <c r="AA389" s="18">
        <v>0</v>
      </c>
      <c r="AB389" s="18" t="s">
        <v>330</v>
      </c>
      <c r="AC389" s="18" t="s">
        <v>333</v>
      </c>
      <c r="AD389" s="18" t="s">
        <v>335</v>
      </c>
      <c r="AE389" s="18">
        <v>20</v>
      </c>
      <c r="AF389" s="18">
        <v>7</v>
      </c>
      <c r="AG389" s="18" t="s">
        <v>34</v>
      </c>
      <c r="AH389" s="18" t="s">
        <v>34</v>
      </c>
      <c r="AI389" s="18">
        <f>+VLOOKUP(AH389,Leyenda!$O$4:$U$10,6,FALSE)</f>
        <v>0</v>
      </c>
      <c r="AJ389" s="18" t="str">
        <f>+VLOOKUP(AG389,Leyenda!$O$4:$U$10,7,FALSE)</f>
        <v>No Blasting need</v>
      </c>
      <c r="AK389" s="18">
        <f>+VLOOKUP(AJ389,Leyenda!$U$4:$V$10,2,FALSE)</f>
        <v>2</v>
      </c>
      <c r="AL389" s="18"/>
      <c r="AM389" s="18" t="s">
        <v>29</v>
      </c>
      <c r="AN389" s="18" t="s">
        <v>69</v>
      </c>
      <c r="AO389" s="18" t="s">
        <v>81</v>
      </c>
      <c r="AP389" s="18" t="s">
        <v>100</v>
      </c>
      <c r="AQ389" s="18" t="s">
        <v>107</v>
      </c>
      <c r="AR389" s="18" t="s">
        <v>120</v>
      </c>
      <c r="AS389" s="18" t="s">
        <v>247</v>
      </c>
      <c r="AT389" s="18"/>
      <c r="AU389" s="18"/>
      <c r="AV389" s="18">
        <f>+VLOOKUP(AN389,Leyenda!$B$30:$E$34,3,FALSE)</f>
        <v>0</v>
      </c>
      <c r="AW389" s="18">
        <f>+VLOOKUP('2. Logging Brejo Seco'!AO389,Meteorizacion,3,FALSE)</f>
        <v>0</v>
      </c>
      <c r="AX389" s="18">
        <f>+VLOOKUP('2. Logging Brejo Seco'!AP389,Apertura,3,FALSE)</f>
        <v>0</v>
      </c>
      <c r="AY389" s="18">
        <f>+VLOOKUP('2. Logging Brejo Seco'!AQ389,Leyenda!$B$55:$D$59,3,FALSE)</f>
        <v>3</v>
      </c>
      <c r="AZ389" s="18">
        <f>+VLOOKUP('2. Logging Brejo Seco'!AR389,Relleno,3,FALSE)</f>
        <v>2</v>
      </c>
      <c r="BA389" s="18">
        <f t="shared" si="124"/>
        <v>5</v>
      </c>
      <c r="BB389" s="49">
        <f t="shared" si="129"/>
        <v>0</v>
      </c>
      <c r="BC389" s="49">
        <f>VLOOKUP(AH389,Leyenda!$B$4:$D$10,3,FALSE)</f>
        <v>0</v>
      </c>
      <c r="BD389" s="50">
        <f t="shared" si="133"/>
        <v>5</v>
      </c>
      <c r="BE389" s="49">
        <f t="shared" ref="BE389:BE452" si="138">+BA389</f>
        <v>5</v>
      </c>
      <c r="BF389" s="49">
        <f>VLOOKUP(AS389,Leyenda!$B$70:$D$75,3,FALSE)</f>
        <v>10</v>
      </c>
      <c r="BG389" s="67">
        <f t="shared" si="130"/>
        <v>7.5</v>
      </c>
      <c r="BH389" s="67">
        <f>VLOOKUP(AG389,Leyenda!$B$4:$E$10,4,FALSE)</f>
        <v>0</v>
      </c>
      <c r="BI389" s="67">
        <f t="shared" si="134"/>
        <v>5</v>
      </c>
      <c r="BJ389" s="67">
        <f t="shared" si="131"/>
        <v>0</v>
      </c>
      <c r="BK389" s="67">
        <f>+VLOOKUP('2. Logging Brejo Seco'!AP389,Leyenda!$B$47:$E$51,4,FALSE)</f>
        <v>0</v>
      </c>
      <c r="BL389" s="67">
        <f>+VLOOKUP('2. Logging Brejo Seco'!AQ389,Leyenda!$B$55:$E$59,4,FALSE)</f>
        <v>3</v>
      </c>
      <c r="BM389" s="67">
        <f>+VLOOKUP('2. Logging Brejo Seco'!AR389,Leyenda!$B$63:$E$67,3,FALSE)</f>
        <v>2</v>
      </c>
      <c r="BN389" s="67">
        <f>+VLOOKUP('2. Logging Brejo Seco'!AO389,Leyenda!$B$39:$E$43,4,FALSE)</f>
        <v>0</v>
      </c>
      <c r="BO389" s="67">
        <f>+VLOOKUP('2. Logging Brejo Seco'!AN389,Leyenda!$B$30:$E$34,4,FALSE)</f>
        <v>0</v>
      </c>
      <c r="BP389" s="67">
        <f>VLOOKUP(AS389,Leyenda!$B$71:$E$75,4,FALSE)</f>
        <v>7</v>
      </c>
      <c r="BQ389" s="67">
        <f t="shared" ref="BQ389:BQ452" si="139">+BH389+BI389+BJ389+BK389+BL389+BM389+BN389+BO389+BP389</f>
        <v>17</v>
      </c>
      <c r="BR389" s="18">
        <f t="shared" ref="BR389:BR452" si="140">+BC389+BD389+BB389+BE389+BF389</f>
        <v>20</v>
      </c>
      <c r="BS389" s="240">
        <f t="shared" si="135"/>
        <v>0.72</v>
      </c>
      <c r="BT389" s="18"/>
    </row>
    <row r="390" spans="1:72" x14ac:dyDescent="0.25">
      <c r="A390" s="18" t="s">
        <v>6</v>
      </c>
      <c r="B390" s="18">
        <v>2024</v>
      </c>
      <c r="C390" s="18" t="s">
        <v>138</v>
      </c>
      <c r="D390" s="18" t="s">
        <v>132</v>
      </c>
      <c r="E390" s="18">
        <v>40</v>
      </c>
      <c r="F390" s="18">
        <v>50</v>
      </c>
      <c r="G390" s="18" t="s">
        <v>153</v>
      </c>
      <c r="H390" s="248">
        <f t="shared" si="122"/>
        <v>50</v>
      </c>
      <c r="I390" s="135"/>
      <c r="J390" s="18" t="s">
        <v>166</v>
      </c>
      <c r="K390" s="4">
        <f t="shared" si="128"/>
        <v>18</v>
      </c>
      <c r="L390" s="18">
        <v>18.5</v>
      </c>
      <c r="M390" s="4">
        <f t="shared" si="136"/>
        <v>0.5</v>
      </c>
      <c r="N390" s="5">
        <v>0.62</v>
      </c>
      <c r="O390" s="5">
        <f t="shared" si="132"/>
        <v>0.38</v>
      </c>
      <c r="P390" s="31">
        <f t="shared" si="137"/>
        <v>0.31</v>
      </c>
      <c r="Q390" s="31">
        <f t="shared" si="125"/>
        <v>0.31</v>
      </c>
      <c r="R390" s="31">
        <v>15.5</v>
      </c>
      <c r="S390" s="31">
        <v>20</v>
      </c>
      <c r="T390" s="31">
        <v>0.28999999999999998</v>
      </c>
      <c r="U390" s="31">
        <v>0</v>
      </c>
      <c r="V390" s="65">
        <f t="shared" si="123"/>
        <v>0</v>
      </c>
      <c r="W390" s="31">
        <v>5</v>
      </c>
      <c r="X390" s="31"/>
      <c r="Y390" s="31">
        <f t="shared" si="126"/>
        <v>5</v>
      </c>
      <c r="Z390" s="31">
        <f t="shared" si="127"/>
        <v>58</v>
      </c>
      <c r="AA390" s="18">
        <v>0</v>
      </c>
      <c r="AB390" s="18" t="s">
        <v>330</v>
      </c>
      <c r="AC390" s="18" t="s">
        <v>333</v>
      </c>
      <c r="AD390" s="18" t="s">
        <v>335</v>
      </c>
      <c r="AE390" s="18">
        <v>20</v>
      </c>
      <c r="AF390" s="18">
        <v>15.5</v>
      </c>
      <c r="AG390" s="18" t="s">
        <v>34</v>
      </c>
      <c r="AH390" s="18" t="s">
        <v>34</v>
      </c>
      <c r="AI390" s="18">
        <f>+VLOOKUP(AH390,Leyenda!$O$4:$U$10,6,FALSE)</f>
        <v>0</v>
      </c>
      <c r="AJ390" s="18" t="str">
        <f>+VLOOKUP(AG390,Leyenda!$O$4:$U$10,7,FALSE)</f>
        <v>No Blasting need</v>
      </c>
      <c r="AK390" s="18">
        <f>+VLOOKUP(AJ390,Leyenda!$U$4:$V$10,2,FALSE)</f>
        <v>2</v>
      </c>
      <c r="AL390" s="18"/>
      <c r="AM390" s="18" t="s">
        <v>29</v>
      </c>
      <c r="AN390" s="18" t="s">
        <v>69</v>
      </c>
      <c r="AO390" s="18" t="s">
        <v>81</v>
      </c>
      <c r="AP390" s="18" t="s">
        <v>100</v>
      </c>
      <c r="AQ390" s="18" t="s">
        <v>107</v>
      </c>
      <c r="AR390" s="18" t="s">
        <v>120</v>
      </c>
      <c r="AS390" s="18" t="s">
        <v>247</v>
      </c>
      <c r="AT390" s="18"/>
      <c r="AU390" s="18"/>
      <c r="AV390" s="18">
        <f>+VLOOKUP(AN390,Leyenda!$B$30:$E$34,3,FALSE)</f>
        <v>0</v>
      </c>
      <c r="AW390" s="18">
        <f>+VLOOKUP('2. Logging Brejo Seco'!AO390,Meteorizacion,3,FALSE)</f>
        <v>0</v>
      </c>
      <c r="AX390" s="18">
        <f>+VLOOKUP('2. Logging Brejo Seco'!AP390,Apertura,3,FALSE)</f>
        <v>0</v>
      </c>
      <c r="AY390" s="18">
        <f>+VLOOKUP('2. Logging Brejo Seco'!AQ390,Leyenda!$B$55:$D$59,3,FALSE)</f>
        <v>3</v>
      </c>
      <c r="AZ390" s="18">
        <f>+VLOOKUP('2. Logging Brejo Seco'!AR390,Relleno,3,FALSE)</f>
        <v>2</v>
      </c>
      <c r="BA390" s="18">
        <f t="shared" si="124"/>
        <v>5</v>
      </c>
      <c r="BB390" s="49">
        <f t="shared" si="129"/>
        <v>0</v>
      </c>
      <c r="BC390" s="49">
        <f>VLOOKUP(AH390,Leyenda!$B$4:$D$10,3,FALSE)</f>
        <v>0</v>
      </c>
      <c r="BD390" s="50">
        <f t="shared" si="133"/>
        <v>6</v>
      </c>
      <c r="BE390" s="49">
        <f t="shared" si="138"/>
        <v>5</v>
      </c>
      <c r="BF390" s="49">
        <f>VLOOKUP(AS390,Leyenda!$B$70:$D$75,3,FALSE)</f>
        <v>10</v>
      </c>
      <c r="BG390" s="67">
        <f t="shared" si="130"/>
        <v>7.5</v>
      </c>
      <c r="BH390" s="67">
        <f>VLOOKUP(AG390,Leyenda!$B$4:$E$10,4,FALSE)</f>
        <v>0</v>
      </c>
      <c r="BI390" s="67">
        <f t="shared" si="134"/>
        <v>5</v>
      </c>
      <c r="BJ390" s="67">
        <f t="shared" si="131"/>
        <v>0</v>
      </c>
      <c r="BK390" s="67">
        <f>+VLOOKUP('2. Logging Brejo Seco'!AP390,Leyenda!$B$47:$E$51,4,FALSE)</f>
        <v>0</v>
      </c>
      <c r="BL390" s="67">
        <f>+VLOOKUP('2. Logging Brejo Seco'!AQ390,Leyenda!$B$55:$E$59,4,FALSE)</f>
        <v>3</v>
      </c>
      <c r="BM390" s="67">
        <f>+VLOOKUP('2. Logging Brejo Seco'!AR390,Leyenda!$B$63:$E$67,3,FALSE)</f>
        <v>2</v>
      </c>
      <c r="BN390" s="67">
        <f>+VLOOKUP('2. Logging Brejo Seco'!AO390,Leyenda!$B$39:$E$43,4,FALSE)</f>
        <v>0</v>
      </c>
      <c r="BO390" s="67">
        <f>+VLOOKUP('2. Logging Brejo Seco'!AN390,Leyenda!$B$30:$E$34,4,FALSE)</f>
        <v>0</v>
      </c>
      <c r="BP390" s="67">
        <f>VLOOKUP(AS390,Leyenda!$B$71:$E$75,4,FALSE)</f>
        <v>7</v>
      </c>
      <c r="BQ390" s="67">
        <f t="shared" si="139"/>
        <v>17</v>
      </c>
      <c r="BR390" s="18">
        <f t="shared" si="140"/>
        <v>21</v>
      </c>
      <c r="BS390" s="240">
        <f t="shared" si="135"/>
        <v>0.38</v>
      </c>
      <c r="BT390" s="18"/>
    </row>
    <row r="391" spans="1:72" x14ac:dyDescent="0.25">
      <c r="A391" s="18" t="s">
        <v>6</v>
      </c>
      <c r="B391" s="18">
        <v>2024</v>
      </c>
      <c r="C391" s="18" t="s">
        <v>138</v>
      </c>
      <c r="D391" s="18" t="s">
        <v>132</v>
      </c>
      <c r="E391" s="18">
        <v>40</v>
      </c>
      <c r="F391" s="18">
        <v>50</v>
      </c>
      <c r="G391" s="18" t="s">
        <v>153</v>
      </c>
      <c r="H391" s="248">
        <f t="shared" si="122"/>
        <v>50</v>
      </c>
      <c r="I391" s="135"/>
      <c r="J391" s="18" t="s">
        <v>166</v>
      </c>
      <c r="K391" s="4">
        <f t="shared" si="128"/>
        <v>18.5</v>
      </c>
      <c r="L391" s="18">
        <v>19</v>
      </c>
      <c r="M391" s="4">
        <f t="shared" si="136"/>
        <v>0.5</v>
      </c>
      <c r="N391" s="5">
        <v>0.22</v>
      </c>
      <c r="O391" s="5">
        <f t="shared" si="132"/>
        <v>0.78</v>
      </c>
      <c r="P391" s="31">
        <f t="shared" si="137"/>
        <v>0.11</v>
      </c>
      <c r="Q391" s="31">
        <f t="shared" si="125"/>
        <v>0.11</v>
      </c>
      <c r="R391" s="31">
        <v>5.5</v>
      </c>
      <c r="S391" s="31">
        <v>20</v>
      </c>
      <c r="T391" s="31">
        <v>0.1</v>
      </c>
      <c r="U391" s="31">
        <v>0</v>
      </c>
      <c r="V391" s="65">
        <f t="shared" si="123"/>
        <v>0</v>
      </c>
      <c r="W391" s="31">
        <v>5</v>
      </c>
      <c r="X391" s="31"/>
      <c r="Y391" s="31">
        <f t="shared" si="126"/>
        <v>5</v>
      </c>
      <c r="Z391" s="31">
        <f t="shared" si="127"/>
        <v>20</v>
      </c>
      <c r="AA391" s="18">
        <v>0</v>
      </c>
      <c r="AB391" s="18" t="s">
        <v>100</v>
      </c>
      <c r="AC391" s="18" t="s">
        <v>333</v>
      </c>
      <c r="AD391" s="18" t="s">
        <v>336</v>
      </c>
      <c r="AE391" s="18">
        <v>20</v>
      </c>
      <c r="AF391" s="18">
        <v>5.5</v>
      </c>
      <c r="AG391" s="18" t="s">
        <v>34</v>
      </c>
      <c r="AH391" s="18" t="s">
        <v>34</v>
      </c>
      <c r="AI391" s="18">
        <f>+VLOOKUP(AH391,Leyenda!$O$4:$U$10,6,FALSE)</f>
        <v>0</v>
      </c>
      <c r="AJ391" s="18" t="str">
        <f>+VLOOKUP(AG391,Leyenda!$O$4:$U$10,7,FALSE)</f>
        <v>No Blasting need</v>
      </c>
      <c r="AK391" s="18">
        <f>+VLOOKUP(AJ391,Leyenda!$U$4:$V$10,2,FALSE)</f>
        <v>2</v>
      </c>
      <c r="AL391" s="18"/>
      <c r="AM391" s="18" t="s">
        <v>29</v>
      </c>
      <c r="AN391" s="18" t="s">
        <v>69</v>
      </c>
      <c r="AO391" s="18" t="s">
        <v>81</v>
      </c>
      <c r="AP391" s="18" t="s">
        <v>100</v>
      </c>
      <c r="AQ391" s="18" t="s">
        <v>107</v>
      </c>
      <c r="AR391" s="18" t="s">
        <v>120</v>
      </c>
      <c r="AS391" s="18" t="s">
        <v>247</v>
      </c>
      <c r="AT391" s="18"/>
      <c r="AU391" s="18"/>
      <c r="AV391" s="18">
        <f>+VLOOKUP(AN391,Leyenda!$B$30:$E$34,3,FALSE)</f>
        <v>0</v>
      </c>
      <c r="AW391" s="18">
        <f>+VLOOKUP('2. Logging Brejo Seco'!AO391,Meteorizacion,3,FALSE)</f>
        <v>0</v>
      </c>
      <c r="AX391" s="18">
        <f>+VLOOKUP('2. Logging Brejo Seco'!AP391,Apertura,3,FALSE)</f>
        <v>0</v>
      </c>
      <c r="AY391" s="18">
        <f>+VLOOKUP('2. Logging Brejo Seco'!AQ391,Leyenda!$B$55:$D$59,3,FALSE)</f>
        <v>3</v>
      </c>
      <c r="AZ391" s="18">
        <f>+VLOOKUP('2. Logging Brejo Seco'!AR391,Relleno,3,FALSE)</f>
        <v>2</v>
      </c>
      <c r="BA391" s="18">
        <f t="shared" si="124"/>
        <v>5</v>
      </c>
      <c r="BB391" s="49">
        <f t="shared" ref="BB391:BB422" si="141">ROUND(-0.0002*POWER(V391,2)+0.2197*V391,0)</f>
        <v>0</v>
      </c>
      <c r="BC391" s="49">
        <f>VLOOKUP(AH391,Leyenda!$B$4:$D$10,3,FALSE)</f>
        <v>0</v>
      </c>
      <c r="BD391" s="50">
        <f t="shared" si="133"/>
        <v>4</v>
      </c>
      <c r="BE391" s="49">
        <f t="shared" si="138"/>
        <v>5</v>
      </c>
      <c r="BF391" s="49">
        <f>VLOOKUP(AS391,Leyenda!$B$70:$D$75,3,FALSE)</f>
        <v>10</v>
      </c>
      <c r="BG391" s="67">
        <f t="shared" ref="BG391:BG422" si="142">1.5*BA391+(V391*0.5)</f>
        <v>7.5</v>
      </c>
      <c r="BH391" s="67">
        <f>VLOOKUP(AG391,Leyenda!$B$4:$E$10,4,FALSE)</f>
        <v>0</v>
      </c>
      <c r="BI391" s="67">
        <f t="shared" si="134"/>
        <v>5</v>
      </c>
      <c r="BJ391" s="67">
        <f t="shared" ref="BJ391:BJ422" si="143">ROUND(-0.0002*POWER(V391,2)+0.2197*V391,0)</f>
        <v>0</v>
      </c>
      <c r="BK391" s="67">
        <f>+VLOOKUP('2. Logging Brejo Seco'!AP391,Leyenda!$B$47:$E$51,4,FALSE)</f>
        <v>0</v>
      </c>
      <c r="BL391" s="67">
        <f>+VLOOKUP('2. Logging Brejo Seco'!AQ391,Leyenda!$B$55:$E$59,4,FALSE)</f>
        <v>3</v>
      </c>
      <c r="BM391" s="67">
        <f>+VLOOKUP('2. Logging Brejo Seco'!AR391,Leyenda!$B$63:$E$67,3,FALSE)</f>
        <v>2</v>
      </c>
      <c r="BN391" s="67">
        <f>+VLOOKUP('2. Logging Brejo Seco'!AO391,Leyenda!$B$39:$E$43,4,FALSE)</f>
        <v>0</v>
      </c>
      <c r="BO391" s="67">
        <f>+VLOOKUP('2. Logging Brejo Seco'!AN391,Leyenda!$B$30:$E$34,4,FALSE)</f>
        <v>0</v>
      </c>
      <c r="BP391" s="67">
        <f>VLOOKUP(AS391,Leyenda!$B$71:$E$75,4,FALSE)</f>
        <v>7</v>
      </c>
      <c r="BQ391" s="67">
        <f t="shared" si="139"/>
        <v>17</v>
      </c>
      <c r="BR391" s="18">
        <f t="shared" si="140"/>
        <v>19</v>
      </c>
      <c r="BS391" s="240">
        <f t="shared" si="135"/>
        <v>0.78</v>
      </c>
      <c r="BT391" s="18"/>
    </row>
    <row r="392" spans="1:72" x14ac:dyDescent="0.25">
      <c r="A392" s="18" t="s">
        <v>6</v>
      </c>
      <c r="B392" s="18">
        <v>2024</v>
      </c>
      <c r="C392" s="18" t="s">
        <v>138</v>
      </c>
      <c r="D392" s="18" t="s">
        <v>132</v>
      </c>
      <c r="E392" s="18">
        <v>40</v>
      </c>
      <c r="F392" s="18">
        <v>50</v>
      </c>
      <c r="G392" s="18" t="s">
        <v>153</v>
      </c>
      <c r="H392" s="248">
        <f t="shared" si="122"/>
        <v>50</v>
      </c>
      <c r="I392" s="135"/>
      <c r="J392" s="18" t="s">
        <v>166</v>
      </c>
      <c r="K392" s="4">
        <f t="shared" si="128"/>
        <v>19</v>
      </c>
      <c r="L392" s="18">
        <v>19.5</v>
      </c>
      <c r="M392" s="4">
        <f t="shared" si="136"/>
        <v>0.5</v>
      </c>
      <c r="N392" s="5">
        <v>0.44</v>
      </c>
      <c r="O392" s="5">
        <f t="shared" si="132"/>
        <v>0.56000000000000005</v>
      </c>
      <c r="P392" s="31">
        <f t="shared" si="137"/>
        <v>0.22</v>
      </c>
      <c r="Q392" s="31">
        <f t="shared" si="125"/>
        <v>0.22</v>
      </c>
      <c r="R392" s="31">
        <v>11</v>
      </c>
      <c r="S392" s="31">
        <v>20</v>
      </c>
      <c r="T392" s="31">
        <v>0.16</v>
      </c>
      <c r="U392" s="31">
        <v>0</v>
      </c>
      <c r="V392" s="65">
        <f t="shared" si="123"/>
        <v>0</v>
      </c>
      <c r="W392" s="31">
        <v>10</v>
      </c>
      <c r="X392" s="31"/>
      <c r="Y392" s="31">
        <f t="shared" si="126"/>
        <v>10</v>
      </c>
      <c r="Z392" s="31">
        <f t="shared" si="127"/>
        <v>16</v>
      </c>
      <c r="AA392" s="18">
        <v>0</v>
      </c>
      <c r="AB392" s="18" t="s">
        <v>100</v>
      </c>
      <c r="AC392" s="18" t="s">
        <v>333</v>
      </c>
      <c r="AD392" s="18" t="s">
        <v>336</v>
      </c>
      <c r="AE392" s="18">
        <v>20</v>
      </c>
      <c r="AF392" s="18">
        <v>11</v>
      </c>
      <c r="AG392" s="18" t="s">
        <v>32</v>
      </c>
      <c r="AH392" s="18" t="s">
        <v>32</v>
      </c>
      <c r="AI392" s="18" t="str">
        <f>+VLOOKUP(AH392,Leyenda!$O$4:$U$10,6,FALSE)</f>
        <v>0,15-0,25</v>
      </c>
      <c r="AJ392" s="18" t="str">
        <f>+VLOOKUP(AG392,Leyenda!$O$4:$U$10,7,FALSE)</f>
        <v>No Blasting need</v>
      </c>
      <c r="AK392" s="18">
        <f>+VLOOKUP(AJ392,Leyenda!$U$4:$V$10,2,FALSE)</f>
        <v>2</v>
      </c>
      <c r="AL392" s="18"/>
      <c r="AM392" s="18" t="s">
        <v>29</v>
      </c>
      <c r="AN392" s="18" t="s">
        <v>69</v>
      </c>
      <c r="AO392" s="18" t="s">
        <v>81</v>
      </c>
      <c r="AP392" s="18" t="s">
        <v>100</v>
      </c>
      <c r="AQ392" s="18" t="s">
        <v>107</v>
      </c>
      <c r="AR392" s="18" t="s">
        <v>120</v>
      </c>
      <c r="AS392" s="18" t="s">
        <v>247</v>
      </c>
      <c r="AT392" s="18"/>
      <c r="AU392" s="18"/>
      <c r="AV392" s="18">
        <f>+VLOOKUP(AN392,Leyenda!$B$30:$E$34,3,FALSE)</f>
        <v>0</v>
      </c>
      <c r="AW392" s="18">
        <f>+VLOOKUP('2. Logging Brejo Seco'!AO392,Meteorizacion,3,FALSE)</f>
        <v>0</v>
      </c>
      <c r="AX392" s="18">
        <f>+VLOOKUP('2. Logging Brejo Seco'!AP392,Apertura,3,FALSE)</f>
        <v>0</v>
      </c>
      <c r="AY392" s="18">
        <f>+VLOOKUP('2. Logging Brejo Seco'!AQ392,Leyenda!$B$55:$D$59,3,FALSE)</f>
        <v>3</v>
      </c>
      <c r="AZ392" s="18">
        <f>+VLOOKUP('2. Logging Brejo Seco'!AR392,Relleno,3,FALSE)</f>
        <v>2</v>
      </c>
      <c r="BA392" s="18">
        <f t="shared" si="124"/>
        <v>5</v>
      </c>
      <c r="BB392" s="49">
        <f t="shared" si="141"/>
        <v>0</v>
      </c>
      <c r="BC392" s="49">
        <f>VLOOKUP(AH392,Leyenda!$B$4:$D$10,3,FALSE)</f>
        <v>1</v>
      </c>
      <c r="BD392" s="50">
        <f t="shared" si="133"/>
        <v>4</v>
      </c>
      <c r="BE392" s="49">
        <f t="shared" si="138"/>
        <v>5</v>
      </c>
      <c r="BF392" s="49">
        <f>VLOOKUP(AS392,Leyenda!$B$70:$D$75,3,FALSE)</f>
        <v>10</v>
      </c>
      <c r="BG392" s="67">
        <f t="shared" si="142"/>
        <v>7.5</v>
      </c>
      <c r="BH392" s="67">
        <f>VLOOKUP(AG392,Leyenda!$B$4:$E$10,4,FALSE)</f>
        <v>1</v>
      </c>
      <c r="BI392" s="67">
        <f t="shared" si="134"/>
        <v>5</v>
      </c>
      <c r="BJ392" s="67">
        <f t="shared" si="143"/>
        <v>0</v>
      </c>
      <c r="BK392" s="67">
        <f>+VLOOKUP('2. Logging Brejo Seco'!AP392,Leyenda!$B$47:$E$51,4,FALSE)</f>
        <v>0</v>
      </c>
      <c r="BL392" s="67">
        <f>+VLOOKUP('2. Logging Brejo Seco'!AQ392,Leyenda!$B$55:$E$59,4,FALSE)</f>
        <v>3</v>
      </c>
      <c r="BM392" s="67">
        <f>+VLOOKUP('2. Logging Brejo Seco'!AR392,Leyenda!$B$63:$E$67,3,FALSE)</f>
        <v>2</v>
      </c>
      <c r="BN392" s="67">
        <f>+VLOOKUP('2. Logging Brejo Seco'!AO392,Leyenda!$B$39:$E$43,4,FALSE)</f>
        <v>0</v>
      </c>
      <c r="BO392" s="67">
        <f>+VLOOKUP('2. Logging Brejo Seco'!AN392,Leyenda!$B$30:$E$34,4,FALSE)</f>
        <v>0</v>
      </c>
      <c r="BP392" s="67">
        <f>VLOOKUP(AS392,Leyenda!$B$71:$E$75,4,FALSE)</f>
        <v>7</v>
      </c>
      <c r="BQ392" s="67">
        <f t="shared" si="139"/>
        <v>18</v>
      </c>
      <c r="BR392" s="18">
        <f t="shared" si="140"/>
        <v>20</v>
      </c>
      <c r="BS392" s="240">
        <f t="shared" si="135"/>
        <v>0.56000000000000005</v>
      </c>
      <c r="BT392" s="18"/>
    </row>
    <row r="393" spans="1:72" x14ac:dyDescent="0.25">
      <c r="A393" s="18" t="s">
        <v>6</v>
      </c>
      <c r="B393" s="18">
        <v>2024</v>
      </c>
      <c r="C393" s="18" t="s">
        <v>138</v>
      </c>
      <c r="D393" s="18" t="s">
        <v>132</v>
      </c>
      <c r="E393" s="18">
        <v>40</v>
      </c>
      <c r="F393" s="18">
        <v>30</v>
      </c>
      <c r="G393" s="18" t="s">
        <v>153</v>
      </c>
      <c r="H393" s="248">
        <f t="shared" si="122"/>
        <v>30</v>
      </c>
      <c r="I393" s="135"/>
      <c r="J393" s="18" t="s">
        <v>166</v>
      </c>
      <c r="K393" s="4">
        <f t="shared" si="128"/>
        <v>19.5</v>
      </c>
      <c r="L393" s="18">
        <v>20</v>
      </c>
      <c r="M393" s="4">
        <f t="shared" si="136"/>
        <v>0.5</v>
      </c>
      <c r="N393" s="5">
        <v>0.3</v>
      </c>
      <c r="O393" s="5">
        <f t="shared" si="132"/>
        <v>0.7</v>
      </c>
      <c r="P393" s="31">
        <f t="shared" si="137"/>
        <v>0.15</v>
      </c>
      <c r="Q393" s="31">
        <f t="shared" si="125"/>
        <v>0.15</v>
      </c>
      <c r="R393" s="31">
        <v>7.5</v>
      </c>
      <c r="S393" s="31">
        <v>20</v>
      </c>
      <c r="T393" s="31">
        <v>0.14000000000000001</v>
      </c>
      <c r="U393" s="31">
        <v>0</v>
      </c>
      <c r="V393" s="65">
        <f t="shared" si="123"/>
        <v>0</v>
      </c>
      <c r="W393" s="31">
        <v>5</v>
      </c>
      <c r="X393" s="31"/>
      <c r="Y393" s="31">
        <f t="shared" si="126"/>
        <v>5</v>
      </c>
      <c r="Z393" s="31">
        <f t="shared" si="127"/>
        <v>28</v>
      </c>
      <c r="AA393" s="18">
        <v>0</v>
      </c>
      <c r="AB393" s="18" t="s">
        <v>96</v>
      </c>
      <c r="AC393" s="18" t="s">
        <v>333</v>
      </c>
      <c r="AD393" s="18" t="s">
        <v>337</v>
      </c>
      <c r="AE393" s="18">
        <v>20</v>
      </c>
      <c r="AF393" s="18">
        <v>7.5</v>
      </c>
      <c r="AG393" s="18" t="s">
        <v>29</v>
      </c>
      <c r="AH393" s="18" t="s">
        <v>29</v>
      </c>
      <c r="AI393" s="18" t="str">
        <f>+VLOOKUP(AH393,Leyenda!$O$4:$U$10,6,FALSE)</f>
        <v>0,25-0,35</v>
      </c>
      <c r="AJ393" s="18" t="str">
        <f>+VLOOKUP(AG393,Leyenda!$O$4:$U$10,7,FALSE)</f>
        <v>No Blasting need</v>
      </c>
      <c r="AK393" s="18">
        <f>+VLOOKUP(AJ393,Leyenda!$U$4:$V$10,2,FALSE)</f>
        <v>2</v>
      </c>
      <c r="AL393" s="18"/>
      <c r="AM393" s="18" t="s">
        <v>29</v>
      </c>
      <c r="AN393" s="18" t="s">
        <v>69</v>
      </c>
      <c r="AO393" s="18" t="s">
        <v>81</v>
      </c>
      <c r="AP393" s="18" t="s">
        <v>100</v>
      </c>
      <c r="AQ393" s="18" t="s">
        <v>107</v>
      </c>
      <c r="AR393" s="18" t="s">
        <v>120</v>
      </c>
      <c r="AS393" s="18" t="s">
        <v>247</v>
      </c>
      <c r="AT393" s="18"/>
      <c r="AU393" s="18"/>
      <c r="AV393" s="18">
        <f>+VLOOKUP(AN393,Leyenda!$B$30:$E$34,3,FALSE)</f>
        <v>0</v>
      </c>
      <c r="AW393" s="18">
        <f>+VLOOKUP('2. Logging Brejo Seco'!AO393,Meteorizacion,3,FALSE)</f>
        <v>0</v>
      </c>
      <c r="AX393" s="18">
        <f>+VLOOKUP('2. Logging Brejo Seco'!AP393,Apertura,3,FALSE)</f>
        <v>0</v>
      </c>
      <c r="AY393" s="18">
        <f>+VLOOKUP('2. Logging Brejo Seco'!AQ393,Leyenda!$B$55:$D$59,3,FALSE)</f>
        <v>3</v>
      </c>
      <c r="AZ393" s="18">
        <f>+VLOOKUP('2. Logging Brejo Seco'!AR393,Relleno,3,FALSE)</f>
        <v>2</v>
      </c>
      <c r="BA393" s="18">
        <f t="shared" si="124"/>
        <v>5</v>
      </c>
      <c r="BB393" s="49">
        <f t="shared" si="141"/>
        <v>0</v>
      </c>
      <c r="BC393" s="49">
        <f>VLOOKUP(AH393,Leyenda!$B$4:$D$10,3,FALSE)</f>
        <v>2</v>
      </c>
      <c r="BD393" s="50">
        <f t="shared" si="133"/>
        <v>5</v>
      </c>
      <c r="BE393" s="49">
        <f t="shared" si="138"/>
        <v>5</v>
      </c>
      <c r="BF393" s="49">
        <v>10</v>
      </c>
      <c r="BG393" s="67">
        <f t="shared" si="142"/>
        <v>7.5</v>
      </c>
      <c r="BH393" s="67">
        <f>VLOOKUP(AG393,Leyenda!$B$4:$E$10,4,FALSE)</f>
        <v>2</v>
      </c>
      <c r="BI393" s="67">
        <f t="shared" si="134"/>
        <v>5</v>
      </c>
      <c r="BJ393" s="67">
        <f t="shared" si="143"/>
        <v>0</v>
      </c>
      <c r="BK393" s="67">
        <f>+VLOOKUP('2. Logging Brejo Seco'!AP393,Leyenda!$B$47:$E$51,4,FALSE)</f>
        <v>0</v>
      </c>
      <c r="BL393" s="67">
        <f>+VLOOKUP('2. Logging Brejo Seco'!AQ393,Leyenda!$B$55:$E$59,4,FALSE)</f>
        <v>3</v>
      </c>
      <c r="BM393" s="67">
        <f>+VLOOKUP('2. Logging Brejo Seco'!AR393,Leyenda!$B$63:$E$67,3,FALSE)</f>
        <v>2</v>
      </c>
      <c r="BN393" s="67">
        <f>+VLOOKUP('2. Logging Brejo Seco'!AO393,Leyenda!$B$39:$E$43,4,FALSE)</f>
        <v>0</v>
      </c>
      <c r="BO393" s="67">
        <f>+VLOOKUP('2. Logging Brejo Seco'!AN393,Leyenda!$B$30:$E$34,4,FALSE)</f>
        <v>0</v>
      </c>
      <c r="BP393" s="67">
        <f>VLOOKUP(AS393,Leyenda!$B$71:$E$75,4,FALSE)</f>
        <v>7</v>
      </c>
      <c r="BQ393" s="67">
        <f t="shared" si="139"/>
        <v>19</v>
      </c>
      <c r="BR393" s="18">
        <f t="shared" si="140"/>
        <v>22</v>
      </c>
      <c r="BS393" s="240">
        <f t="shared" si="135"/>
        <v>0.7</v>
      </c>
      <c r="BT393" s="18"/>
    </row>
    <row r="394" spans="1:72" x14ac:dyDescent="0.25">
      <c r="A394" s="18" t="s">
        <v>6</v>
      </c>
      <c r="B394" s="18">
        <v>2024</v>
      </c>
      <c r="C394" s="18" t="s">
        <v>138</v>
      </c>
      <c r="D394" s="18" t="s">
        <v>132</v>
      </c>
      <c r="E394" s="18">
        <v>40</v>
      </c>
      <c r="F394" s="18">
        <v>30</v>
      </c>
      <c r="G394" s="18" t="s">
        <v>153</v>
      </c>
      <c r="H394" s="248">
        <f t="shared" ref="H394:H457" si="144">+F394</f>
        <v>30</v>
      </c>
      <c r="I394" s="135"/>
      <c r="J394" s="18" t="s">
        <v>167</v>
      </c>
      <c r="K394" s="4">
        <f t="shared" si="128"/>
        <v>20</v>
      </c>
      <c r="L394" s="18">
        <v>20.5</v>
      </c>
      <c r="M394" s="4">
        <f t="shared" si="136"/>
        <v>0.5</v>
      </c>
      <c r="N394" s="5">
        <v>0.68</v>
      </c>
      <c r="O394" s="5">
        <f t="shared" si="132"/>
        <v>0.31999999999999995</v>
      </c>
      <c r="P394" s="31">
        <f t="shared" si="137"/>
        <v>0.34</v>
      </c>
      <c r="Q394" s="31">
        <f t="shared" si="125"/>
        <v>0.34</v>
      </c>
      <c r="R394" s="31">
        <v>17</v>
      </c>
      <c r="S394" s="31">
        <v>20</v>
      </c>
      <c r="T394" s="31">
        <v>0.32</v>
      </c>
      <c r="U394" s="31">
        <v>0.11</v>
      </c>
      <c r="V394" s="65">
        <f t="shared" si="123"/>
        <v>22</v>
      </c>
      <c r="W394" s="31">
        <v>4</v>
      </c>
      <c r="X394" s="31"/>
      <c r="Y394" s="31">
        <f t="shared" si="126"/>
        <v>4</v>
      </c>
      <c r="Z394" s="31">
        <f t="shared" si="127"/>
        <v>80</v>
      </c>
      <c r="AA394" s="18">
        <v>0</v>
      </c>
      <c r="AB394" s="18" t="s">
        <v>330</v>
      </c>
      <c r="AC394" s="18" t="s">
        <v>333</v>
      </c>
      <c r="AD394" s="18" t="s">
        <v>335</v>
      </c>
      <c r="AE394" s="18">
        <v>20</v>
      </c>
      <c r="AF394" s="18">
        <v>17</v>
      </c>
      <c r="AG394" s="18" t="s">
        <v>32</v>
      </c>
      <c r="AH394" s="18" t="s">
        <v>32</v>
      </c>
      <c r="AI394" s="18" t="str">
        <f>+VLOOKUP(AH394,Leyenda!$O$4:$U$10,6,FALSE)</f>
        <v>0,15-0,25</v>
      </c>
      <c r="AJ394" s="18" t="str">
        <f>+VLOOKUP(AG394,Leyenda!$O$4:$U$10,7,FALSE)</f>
        <v>No Blasting need</v>
      </c>
      <c r="AK394" s="18">
        <f>+VLOOKUP(AJ394,Leyenda!$U$4:$V$10,2,FALSE)</f>
        <v>2</v>
      </c>
      <c r="AL394" s="18"/>
      <c r="AM394" s="18" t="s">
        <v>29</v>
      </c>
      <c r="AN394" s="18" t="s">
        <v>69</v>
      </c>
      <c r="AO394" s="18" t="s">
        <v>81</v>
      </c>
      <c r="AP394" s="18" t="s">
        <v>100</v>
      </c>
      <c r="AQ394" s="18" t="s">
        <v>107</v>
      </c>
      <c r="AR394" s="18" t="s">
        <v>120</v>
      </c>
      <c r="AS394" s="18" t="s">
        <v>247</v>
      </c>
      <c r="AT394" s="18"/>
      <c r="AU394" s="18"/>
      <c r="AV394" s="18">
        <f>+VLOOKUP(AN394,Leyenda!$B$30:$E$34,3,FALSE)</f>
        <v>0</v>
      </c>
      <c r="AW394" s="18">
        <f>+VLOOKUP('2. Logging Brejo Seco'!AO394,Meteorizacion,3,FALSE)</f>
        <v>0</v>
      </c>
      <c r="AX394" s="18">
        <f>+VLOOKUP('2. Logging Brejo Seco'!AP394,Apertura,3,FALSE)</f>
        <v>0</v>
      </c>
      <c r="AY394" s="18">
        <f>+VLOOKUP('2. Logging Brejo Seco'!AQ394,Leyenda!$B$55:$D$59,3,FALSE)</f>
        <v>3</v>
      </c>
      <c r="AZ394" s="18">
        <f>+VLOOKUP('2. Logging Brejo Seco'!AR394,Relleno,3,FALSE)</f>
        <v>2</v>
      </c>
      <c r="BA394" s="18">
        <f t="shared" si="124"/>
        <v>5</v>
      </c>
      <c r="BB394" s="49">
        <f t="shared" si="141"/>
        <v>5</v>
      </c>
      <c r="BC394" s="49">
        <f>VLOOKUP(AH394,Leyenda!$B$4:$D$10,3,FALSE)</f>
        <v>1</v>
      </c>
      <c r="BD394" s="50">
        <f t="shared" si="133"/>
        <v>7</v>
      </c>
      <c r="BE394" s="49">
        <f t="shared" si="138"/>
        <v>5</v>
      </c>
      <c r="BF394" s="49">
        <f>VLOOKUP(AS394,Leyenda!$B$70:$D$75,3,FALSE)</f>
        <v>10</v>
      </c>
      <c r="BG394" s="67">
        <f t="shared" si="142"/>
        <v>18.5</v>
      </c>
      <c r="BH394" s="67">
        <f>VLOOKUP(AG394,Leyenda!$B$4:$E$10,4,FALSE)</f>
        <v>1</v>
      </c>
      <c r="BI394" s="67">
        <f t="shared" si="134"/>
        <v>7</v>
      </c>
      <c r="BJ394" s="67">
        <f t="shared" si="143"/>
        <v>5</v>
      </c>
      <c r="BK394" s="67">
        <f>+VLOOKUP('2. Logging Brejo Seco'!AP394,Leyenda!$B$47:$E$51,4,FALSE)</f>
        <v>0</v>
      </c>
      <c r="BL394" s="67">
        <f>+VLOOKUP('2. Logging Brejo Seco'!AQ394,Leyenda!$B$55:$E$59,4,FALSE)</f>
        <v>3</v>
      </c>
      <c r="BM394" s="67">
        <f>+VLOOKUP('2. Logging Brejo Seco'!AR394,Leyenda!$B$63:$E$67,3,FALSE)</f>
        <v>2</v>
      </c>
      <c r="BN394" s="67">
        <f>+VLOOKUP('2. Logging Brejo Seco'!AO394,Leyenda!$B$39:$E$43,4,FALSE)</f>
        <v>0</v>
      </c>
      <c r="BO394" s="67">
        <f>+VLOOKUP('2. Logging Brejo Seco'!AN394,Leyenda!$B$30:$E$34,4,FALSE)</f>
        <v>0</v>
      </c>
      <c r="BP394" s="67">
        <f>VLOOKUP(AS394,Leyenda!$B$71:$E$75,4,FALSE)</f>
        <v>7</v>
      </c>
      <c r="BQ394" s="67">
        <f t="shared" si="139"/>
        <v>25</v>
      </c>
      <c r="BR394" s="18">
        <f t="shared" si="140"/>
        <v>28</v>
      </c>
      <c r="BS394" s="240">
        <f t="shared" si="135"/>
        <v>0.31999999999999995</v>
      </c>
      <c r="BT394" s="18"/>
    </row>
    <row r="395" spans="1:72" x14ac:dyDescent="0.25">
      <c r="A395" s="18" t="s">
        <v>6</v>
      </c>
      <c r="B395" s="18">
        <v>2024</v>
      </c>
      <c r="C395" s="18" t="s">
        <v>138</v>
      </c>
      <c r="D395" s="18" t="s">
        <v>132</v>
      </c>
      <c r="E395" s="18">
        <v>40</v>
      </c>
      <c r="F395" s="18">
        <v>30</v>
      </c>
      <c r="G395" s="18" t="s">
        <v>153</v>
      </c>
      <c r="H395" s="248">
        <f t="shared" si="144"/>
        <v>30</v>
      </c>
      <c r="I395" s="135"/>
      <c r="J395" s="18" t="s">
        <v>167</v>
      </c>
      <c r="K395" s="4">
        <f t="shared" si="128"/>
        <v>20.5</v>
      </c>
      <c r="L395" s="18">
        <v>21</v>
      </c>
      <c r="M395" s="4">
        <f t="shared" si="136"/>
        <v>0.5</v>
      </c>
      <c r="N395" s="5">
        <v>0.62</v>
      </c>
      <c r="O395" s="5">
        <f t="shared" si="132"/>
        <v>0.38</v>
      </c>
      <c r="P395" s="31">
        <f t="shared" si="137"/>
        <v>0.31</v>
      </c>
      <c r="Q395" s="31">
        <f t="shared" si="125"/>
        <v>0.31</v>
      </c>
      <c r="R395" s="31">
        <v>15.5</v>
      </c>
      <c r="S395" s="31">
        <v>20</v>
      </c>
      <c r="T395" s="31">
        <v>0.28999999999999998</v>
      </c>
      <c r="U395" s="31">
        <v>0</v>
      </c>
      <c r="V395" s="65">
        <f t="shared" ref="V395:V458" si="145">+U395/M395*100</f>
        <v>0</v>
      </c>
      <c r="W395" s="31">
        <v>10</v>
      </c>
      <c r="X395" s="31"/>
      <c r="Y395" s="31">
        <f t="shared" si="126"/>
        <v>10</v>
      </c>
      <c r="Z395" s="31">
        <f>+IF(M395=0,"",(M395*1000)/Y395)</f>
        <v>50</v>
      </c>
      <c r="AA395" s="18">
        <v>0</v>
      </c>
      <c r="AB395" s="18" t="s">
        <v>330</v>
      </c>
      <c r="AC395" s="18" t="s">
        <v>333</v>
      </c>
      <c r="AD395" s="18" t="s">
        <v>335</v>
      </c>
      <c r="AE395" s="18">
        <v>20</v>
      </c>
      <c r="AF395" s="18">
        <v>15.5</v>
      </c>
      <c r="AG395" s="18" t="s">
        <v>32</v>
      </c>
      <c r="AH395" s="18" t="s">
        <v>32</v>
      </c>
      <c r="AI395" s="18" t="str">
        <f>+VLOOKUP(AH395,Leyenda!$O$4:$U$10,6,FALSE)</f>
        <v>0,15-0,25</v>
      </c>
      <c r="AJ395" s="18" t="str">
        <f>+VLOOKUP(AG395,Leyenda!$O$4:$U$10,7,FALSE)</f>
        <v>No Blasting need</v>
      </c>
      <c r="AK395" s="18">
        <f>+VLOOKUP(AJ395,Leyenda!$U$4:$V$10,2,FALSE)</f>
        <v>2</v>
      </c>
      <c r="AL395" s="18"/>
      <c r="AM395" s="18" t="s">
        <v>29</v>
      </c>
      <c r="AN395" s="18" t="s">
        <v>69</v>
      </c>
      <c r="AO395" s="18" t="s">
        <v>81</v>
      </c>
      <c r="AP395" s="18" t="s">
        <v>100</v>
      </c>
      <c r="AQ395" s="18" t="s">
        <v>107</v>
      </c>
      <c r="AR395" s="18" t="s">
        <v>120</v>
      </c>
      <c r="AS395" s="18" t="s">
        <v>247</v>
      </c>
      <c r="AT395" s="18"/>
      <c r="AU395" s="18"/>
      <c r="AV395" s="18">
        <f>+VLOOKUP(AN395,Leyenda!$B$30:$E$34,3,FALSE)</f>
        <v>0</v>
      </c>
      <c r="AW395" s="18">
        <f>+VLOOKUP('2. Logging Brejo Seco'!AO395,Meteorizacion,3,FALSE)</f>
        <v>0</v>
      </c>
      <c r="AX395" s="18">
        <f>+VLOOKUP('2. Logging Brejo Seco'!AP395,Apertura,3,FALSE)</f>
        <v>0</v>
      </c>
      <c r="AY395" s="18">
        <f>+VLOOKUP('2. Logging Brejo Seco'!AQ395,Leyenda!$B$55:$D$59,3,FALSE)</f>
        <v>3</v>
      </c>
      <c r="AZ395" s="18">
        <f>+VLOOKUP('2. Logging Brejo Seco'!AR395,Relleno,3,FALSE)</f>
        <v>2</v>
      </c>
      <c r="BA395" s="18">
        <f t="shared" ref="BA395:BA458" si="146">+SUM(AV395:AZ395)</f>
        <v>5</v>
      </c>
      <c r="BB395" s="49">
        <f t="shared" si="141"/>
        <v>0</v>
      </c>
      <c r="BC395" s="49">
        <f>VLOOKUP(AH395,Leyenda!$B$4:$D$10,3,FALSE)</f>
        <v>1</v>
      </c>
      <c r="BD395" s="50">
        <f t="shared" si="133"/>
        <v>6</v>
      </c>
      <c r="BE395" s="49">
        <f t="shared" si="138"/>
        <v>5</v>
      </c>
      <c r="BF395" s="49">
        <f>VLOOKUP(AS395,Leyenda!$B$70:$D$75,3,FALSE)</f>
        <v>10</v>
      </c>
      <c r="BG395" s="67">
        <f t="shared" si="142"/>
        <v>7.5</v>
      </c>
      <c r="BH395" s="67">
        <f>VLOOKUP(AG395,Leyenda!$B$4:$E$10,4,FALSE)</f>
        <v>1</v>
      </c>
      <c r="BI395" s="67">
        <f t="shared" si="134"/>
        <v>5</v>
      </c>
      <c r="BJ395" s="67">
        <f t="shared" si="143"/>
        <v>0</v>
      </c>
      <c r="BK395" s="67">
        <f>+VLOOKUP('2. Logging Brejo Seco'!AP395,Leyenda!$B$47:$E$51,4,FALSE)</f>
        <v>0</v>
      </c>
      <c r="BL395" s="67">
        <f>+VLOOKUP('2. Logging Brejo Seco'!AQ395,Leyenda!$B$55:$E$59,4,FALSE)</f>
        <v>3</v>
      </c>
      <c r="BM395" s="67">
        <f>+VLOOKUP('2. Logging Brejo Seco'!AR395,Leyenda!$B$63:$E$67,3,FALSE)</f>
        <v>2</v>
      </c>
      <c r="BN395" s="67">
        <f>+VLOOKUP('2. Logging Brejo Seco'!AO395,Leyenda!$B$39:$E$43,4,FALSE)</f>
        <v>0</v>
      </c>
      <c r="BO395" s="67">
        <f>+VLOOKUP('2. Logging Brejo Seco'!AN395,Leyenda!$B$30:$E$34,4,FALSE)</f>
        <v>0</v>
      </c>
      <c r="BP395" s="67">
        <f>VLOOKUP(AS395,Leyenda!$B$71:$E$75,4,FALSE)</f>
        <v>7</v>
      </c>
      <c r="BQ395" s="67">
        <f t="shared" si="139"/>
        <v>18</v>
      </c>
      <c r="BR395" s="18">
        <f t="shared" si="140"/>
        <v>22</v>
      </c>
      <c r="BS395" s="240">
        <f t="shared" si="135"/>
        <v>0.38</v>
      </c>
      <c r="BT395" s="18"/>
    </row>
    <row r="396" spans="1:72" x14ac:dyDescent="0.25">
      <c r="A396" s="18" t="s">
        <v>6</v>
      </c>
      <c r="B396" s="18">
        <v>2024</v>
      </c>
      <c r="C396" s="18" t="s">
        <v>138</v>
      </c>
      <c r="D396" s="18" t="s">
        <v>132</v>
      </c>
      <c r="E396" s="18">
        <v>40</v>
      </c>
      <c r="F396" s="18">
        <v>30</v>
      </c>
      <c r="G396" s="18" t="s">
        <v>153</v>
      </c>
      <c r="H396" s="248">
        <f t="shared" si="144"/>
        <v>30</v>
      </c>
      <c r="I396" s="135"/>
      <c r="J396" s="18" t="s">
        <v>167</v>
      </c>
      <c r="K396" s="4">
        <f t="shared" si="128"/>
        <v>21</v>
      </c>
      <c r="L396" s="18">
        <v>21.5</v>
      </c>
      <c r="M396" s="4">
        <f t="shared" si="136"/>
        <v>0.5</v>
      </c>
      <c r="N396" s="5">
        <v>0.8</v>
      </c>
      <c r="O396" s="5">
        <f t="shared" si="132"/>
        <v>0.19999999999999996</v>
      </c>
      <c r="P396" s="31">
        <f t="shared" si="137"/>
        <v>0.4</v>
      </c>
      <c r="Q396" s="31">
        <f t="shared" si="125"/>
        <v>0.4</v>
      </c>
      <c r="R396" s="31">
        <v>20</v>
      </c>
      <c r="S396" s="31">
        <v>20</v>
      </c>
      <c r="T396" s="31">
        <v>0.37</v>
      </c>
      <c r="U396" s="31">
        <v>0.19</v>
      </c>
      <c r="V396" s="65">
        <f t="shared" si="145"/>
        <v>38</v>
      </c>
      <c r="W396" s="132">
        <v>5</v>
      </c>
      <c r="X396" s="31"/>
      <c r="Y396" s="31">
        <f t="shared" si="126"/>
        <v>5</v>
      </c>
      <c r="Z396" s="31">
        <f t="shared" ref="Z396:Z459" si="147">+IF(M396=0,"",(M396*1000)/Y396)</f>
        <v>100</v>
      </c>
      <c r="AA396" s="18">
        <v>0</v>
      </c>
      <c r="AB396" s="18" t="s">
        <v>330</v>
      </c>
      <c r="AC396" s="18" t="s">
        <v>333</v>
      </c>
      <c r="AD396" s="18" t="s">
        <v>335</v>
      </c>
      <c r="AE396" s="18">
        <v>20</v>
      </c>
      <c r="AF396" s="18">
        <v>20</v>
      </c>
      <c r="AG396" s="18" t="s">
        <v>32</v>
      </c>
      <c r="AH396" s="18" t="s">
        <v>32</v>
      </c>
      <c r="AI396" s="18" t="str">
        <f>+VLOOKUP(AH396,Leyenda!$O$4:$U$10,6,FALSE)</f>
        <v>0,15-0,25</v>
      </c>
      <c r="AJ396" s="18" t="str">
        <f>+VLOOKUP(AG396,Leyenda!$O$4:$U$10,7,FALSE)</f>
        <v>No Blasting need</v>
      </c>
      <c r="AK396" s="18">
        <f>+VLOOKUP(AJ396,Leyenda!$U$4:$V$10,2,FALSE)</f>
        <v>2</v>
      </c>
      <c r="AL396" s="18"/>
      <c r="AM396" s="18" t="s">
        <v>29</v>
      </c>
      <c r="AN396" s="18" t="s">
        <v>69</v>
      </c>
      <c r="AO396" s="18" t="s">
        <v>81</v>
      </c>
      <c r="AP396" s="18" t="s">
        <v>100</v>
      </c>
      <c r="AQ396" s="18" t="s">
        <v>107</v>
      </c>
      <c r="AR396" s="18" t="s">
        <v>120</v>
      </c>
      <c r="AS396" s="18" t="s">
        <v>247</v>
      </c>
      <c r="AT396" s="18"/>
      <c r="AU396" s="18"/>
      <c r="AV396" s="18">
        <f>+VLOOKUP(AN396,Leyenda!$B$30:$E$34,3,FALSE)</f>
        <v>0</v>
      </c>
      <c r="AW396" s="18">
        <f>+VLOOKUP('2. Logging Brejo Seco'!AO396,Meteorizacion,3,FALSE)</f>
        <v>0</v>
      </c>
      <c r="AX396" s="18">
        <f>+VLOOKUP('2. Logging Brejo Seco'!AP396,Apertura,3,FALSE)</f>
        <v>0</v>
      </c>
      <c r="AY396" s="18">
        <f>+VLOOKUP('2. Logging Brejo Seco'!AQ396,Leyenda!$B$55:$D$59,3,FALSE)</f>
        <v>3</v>
      </c>
      <c r="AZ396" s="18">
        <f>+VLOOKUP('2. Logging Brejo Seco'!AR396,Relleno,3,FALSE)</f>
        <v>2</v>
      </c>
      <c r="BA396" s="18">
        <f t="shared" si="146"/>
        <v>5</v>
      </c>
      <c r="BB396" s="49">
        <f t="shared" si="141"/>
        <v>8</v>
      </c>
      <c r="BC396" s="49">
        <f>VLOOKUP(AH396,Leyenda!$B$4:$D$10,3,FALSE)</f>
        <v>1</v>
      </c>
      <c r="BD396" s="50">
        <f t="shared" si="133"/>
        <v>7</v>
      </c>
      <c r="BE396" s="49">
        <f t="shared" si="138"/>
        <v>5</v>
      </c>
      <c r="BF396" s="49">
        <f>VLOOKUP(AS396,Leyenda!$B$70:$D$75,3,FALSE)</f>
        <v>10</v>
      </c>
      <c r="BG396" s="67">
        <f t="shared" si="142"/>
        <v>26.5</v>
      </c>
      <c r="BH396" s="67">
        <f>VLOOKUP(AG396,Leyenda!$B$4:$E$10,4,FALSE)</f>
        <v>1</v>
      </c>
      <c r="BI396" s="67">
        <f t="shared" si="134"/>
        <v>8</v>
      </c>
      <c r="BJ396" s="67">
        <f t="shared" si="143"/>
        <v>8</v>
      </c>
      <c r="BK396" s="67">
        <f>+VLOOKUP('2. Logging Brejo Seco'!AP396,Leyenda!$B$47:$E$51,4,FALSE)</f>
        <v>0</v>
      </c>
      <c r="BL396" s="67">
        <f>+VLOOKUP('2. Logging Brejo Seco'!AQ396,Leyenda!$B$55:$E$59,4,FALSE)</f>
        <v>3</v>
      </c>
      <c r="BM396" s="67">
        <f>+VLOOKUP('2. Logging Brejo Seco'!AR396,Leyenda!$B$63:$E$67,3,FALSE)</f>
        <v>2</v>
      </c>
      <c r="BN396" s="67">
        <f>+VLOOKUP('2. Logging Brejo Seco'!AO396,Leyenda!$B$39:$E$43,4,FALSE)</f>
        <v>0</v>
      </c>
      <c r="BO396" s="67">
        <f>+VLOOKUP('2. Logging Brejo Seco'!AN396,Leyenda!$B$30:$E$34,4,FALSE)</f>
        <v>0</v>
      </c>
      <c r="BP396" s="67">
        <f>VLOOKUP(AS396,Leyenda!$B$71:$E$75,4,FALSE)</f>
        <v>7</v>
      </c>
      <c r="BQ396" s="67">
        <f t="shared" si="139"/>
        <v>29</v>
      </c>
      <c r="BR396" s="18">
        <f t="shared" si="140"/>
        <v>31</v>
      </c>
      <c r="BS396" s="240">
        <f t="shared" si="135"/>
        <v>0.19999999999999996</v>
      </c>
      <c r="BT396" s="18"/>
    </row>
    <row r="397" spans="1:72" x14ac:dyDescent="0.25">
      <c r="A397" s="18" t="s">
        <v>6</v>
      </c>
      <c r="B397" s="18">
        <v>2024</v>
      </c>
      <c r="C397" s="18" t="s">
        <v>138</v>
      </c>
      <c r="D397" s="18" t="s">
        <v>132</v>
      </c>
      <c r="E397" s="18">
        <v>40</v>
      </c>
      <c r="F397" s="18">
        <v>30</v>
      </c>
      <c r="G397" s="18" t="s">
        <v>153</v>
      </c>
      <c r="H397" s="248">
        <f t="shared" si="144"/>
        <v>30</v>
      </c>
      <c r="I397" s="135"/>
      <c r="J397" s="18" t="s">
        <v>167</v>
      </c>
      <c r="K397" s="133">
        <f t="shared" si="128"/>
        <v>21.5</v>
      </c>
      <c r="L397" s="18">
        <v>22</v>
      </c>
      <c r="M397" s="4">
        <f t="shared" si="136"/>
        <v>0.5</v>
      </c>
      <c r="N397" s="5">
        <v>0.76</v>
      </c>
      <c r="O397" s="5">
        <f t="shared" si="132"/>
        <v>0.24</v>
      </c>
      <c r="P397" s="31">
        <f t="shared" si="137"/>
        <v>0.38</v>
      </c>
      <c r="Q397" s="31">
        <f t="shared" si="125"/>
        <v>0.38</v>
      </c>
      <c r="R397" s="31">
        <v>19</v>
      </c>
      <c r="S397" s="31">
        <v>20</v>
      </c>
      <c r="T397" s="31">
        <v>0.36</v>
      </c>
      <c r="U397" s="31">
        <v>0.14000000000000001</v>
      </c>
      <c r="V397" s="65">
        <f t="shared" si="145"/>
        <v>28.000000000000004</v>
      </c>
      <c r="W397" s="31">
        <v>10</v>
      </c>
      <c r="X397" s="31"/>
      <c r="Y397" s="31">
        <f t="shared" si="126"/>
        <v>10</v>
      </c>
      <c r="Z397" s="31">
        <f t="shared" si="147"/>
        <v>50</v>
      </c>
      <c r="AA397" s="18">
        <v>0</v>
      </c>
      <c r="AB397" s="18" t="s">
        <v>330</v>
      </c>
      <c r="AC397" s="18" t="s">
        <v>333</v>
      </c>
      <c r="AD397" s="18" t="s">
        <v>335</v>
      </c>
      <c r="AE397" s="18">
        <v>20</v>
      </c>
      <c r="AF397" s="18">
        <v>19</v>
      </c>
      <c r="AG397" s="18" t="s">
        <v>32</v>
      </c>
      <c r="AH397" s="18" t="s">
        <v>32</v>
      </c>
      <c r="AI397" s="18" t="str">
        <f>+VLOOKUP(AH397,Leyenda!$O$4:$U$10,6,FALSE)</f>
        <v>0,15-0,25</v>
      </c>
      <c r="AJ397" s="18" t="str">
        <f>+VLOOKUP(AG397,Leyenda!$O$4:$U$10,7,FALSE)</f>
        <v>No Blasting need</v>
      </c>
      <c r="AK397" s="18">
        <f>+VLOOKUP(AJ397,Leyenda!$U$4:$V$10,2,FALSE)</f>
        <v>2</v>
      </c>
      <c r="AL397" s="18"/>
      <c r="AM397" s="18" t="s">
        <v>29</v>
      </c>
      <c r="AN397" s="18" t="s">
        <v>69</v>
      </c>
      <c r="AO397" s="18" t="s">
        <v>81</v>
      </c>
      <c r="AP397" s="18" t="s">
        <v>100</v>
      </c>
      <c r="AQ397" s="18" t="s">
        <v>107</v>
      </c>
      <c r="AR397" s="18" t="s">
        <v>120</v>
      </c>
      <c r="AS397" s="18" t="s">
        <v>247</v>
      </c>
      <c r="AT397" s="18"/>
      <c r="AU397" s="18"/>
      <c r="AV397" s="18">
        <f>+VLOOKUP(AN397,Leyenda!$B$30:$E$34,3,FALSE)</f>
        <v>0</v>
      </c>
      <c r="AW397" s="18">
        <f>+VLOOKUP('2. Logging Brejo Seco'!AO397,Meteorizacion,3,FALSE)</f>
        <v>0</v>
      </c>
      <c r="AX397" s="18">
        <f>+VLOOKUP('2. Logging Brejo Seco'!AP397,Apertura,3,FALSE)</f>
        <v>0</v>
      </c>
      <c r="AY397" s="18">
        <f>+VLOOKUP('2. Logging Brejo Seco'!AQ397,Leyenda!$B$55:$D$59,3,FALSE)</f>
        <v>3</v>
      </c>
      <c r="AZ397" s="18">
        <f>+VLOOKUP('2. Logging Brejo Seco'!AR397,Relleno,3,FALSE)</f>
        <v>2</v>
      </c>
      <c r="BA397" s="18">
        <f t="shared" si="146"/>
        <v>5</v>
      </c>
      <c r="BB397" s="49">
        <f t="shared" si="141"/>
        <v>6</v>
      </c>
      <c r="BC397" s="49">
        <f>VLOOKUP(AH397,Leyenda!$B$4:$D$10,3,FALSE)</f>
        <v>1</v>
      </c>
      <c r="BD397" s="50">
        <f t="shared" si="133"/>
        <v>6</v>
      </c>
      <c r="BE397" s="49">
        <f t="shared" si="138"/>
        <v>5</v>
      </c>
      <c r="BF397" s="49">
        <f>VLOOKUP(AS397,Leyenda!$B$70:$D$75,3,FALSE)</f>
        <v>10</v>
      </c>
      <c r="BG397" s="67">
        <f t="shared" si="142"/>
        <v>21.5</v>
      </c>
      <c r="BH397" s="67">
        <f>VLOOKUP(AG397,Leyenda!$B$4:$E$10,4,FALSE)</f>
        <v>1</v>
      </c>
      <c r="BI397" s="67">
        <f t="shared" si="134"/>
        <v>5</v>
      </c>
      <c r="BJ397" s="67">
        <f t="shared" si="143"/>
        <v>6</v>
      </c>
      <c r="BK397" s="67">
        <f>+VLOOKUP('2. Logging Brejo Seco'!AP397,Leyenda!$B$47:$E$51,4,FALSE)</f>
        <v>0</v>
      </c>
      <c r="BL397" s="67">
        <f>+VLOOKUP('2. Logging Brejo Seco'!AQ397,Leyenda!$B$55:$E$59,4,FALSE)</f>
        <v>3</v>
      </c>
      <c r="BM397" s="67">
        <f>+VLOOKUP('2. Logging Brejo Seco'!AR397,Leyenda!$B$63:$E$67,3,FALSE)</f>
        <v>2</v>
      </c>
      <c r="BN397" s="67">
        <f>+VLOOKUP('2. Logging Brejo Seco'!AO397,Leyenda!$B$39:$E$43,4,FALSE)</f>
        <v>0</v>
      </c>
      <c r="BO397" s="67">
        <f>+VLOOKUP('2. Logging Brejo Seco'!AN397,Leyenda!$B$30:$E$34,4,FALSE)</f>
        <v>0</v>
      </c>
      <c r="BP397" s="67">
        <f>VLOOKUP(AS397,Leyenda!$B$71:$E$75,4,FALSE)</f>
        <v>7</v>
      </c>
      <c r="BQ397" s="67">
        <f t="shared" si="139"/>
        <v>24</v>
      </c>
      <c r="BR397" s="18">
        <f t="shared" si="140"/>
        <v>28</v>
      </c>
      <c r="BS397" s="240">
        <f t="shared" si="135"/>
        <v>0.24</v>
      </c>
      <c r="BT397" s="18"/>
    </row>
    <row r="398" spans="1:72" x14ac:dyDescent="0.25">
      <c r="A398" s="18" t="s">
        <v>6</v>
      </c>
      <c r="B398" s="18">
        <v>2024</v>
      </c>
      <c r="C398" s="18" t="s">
        <v>138</v>
      </c>
      <c r="D398" s="18" t="s">
        <v>132</v>
      </c>
      <c r="E398" s="18">
        <v>40</v>
      </c>
      <c r="F398" s="18">
        <v>30</v>
      </c>
      <c r="G398" s="18" t="s">
        <v>153</v>
      </c>
      <c r="H398" s="248">
        <f t="shared" si="144"/>
        <v>30</v>
      </c>
      <c r="I398" s="135"/>
      <c r="J398" s="18" t="s">
        <v>167</v>
      </c>
      <c r="K398" s="4">
        <f t="shared" si="128"/>
        <v>22</v>
      </c>
      <c r="L398" s="18">
        <v>22.5</v>
      </c>
      <c r="M398" s="4">
        <f t="shared" si="136"/>
        <v>0.5</v>
      </c>
      <c r="N398" s="5">
        <v>0.64</v>
      </c>
      <c r="O398" s="5">
        <f t="shared" si="132"/>
        <v>0.36</v>
      </c>
      <c r="P398" s="31">
        <f t="shared" si="137"/>
        <v>0.32</v>
      </c>
      <c r="Q398" s="31">
        <f t="shared" si="125"/>
        <v>0.32</v>
      </c>
      <c r="R398" s="31">
        <v>16</v>
      </c>
      <c r="S398" s="31">
        <v>20</v>
      </c>
      <c r="T398" s="31">
        <v>0.28000000000000003</v>
      </c>
      <c r="U398" s="31">
        <v>0</v>
      </c>
      <c r="V398" s="65">
        <f t="shared" si="145"/>
        <v>0</v>
      </c>
      <c r="W398" s="31">
        <v>5</v>
      </c>
      <c r="X398" s="31"/>
      <c r="Y398" s="31">
        <f t="shared" si="126"/>
        <v>5</v>
      </c>
      <c r="Z398" s="31">
        <f t="shared" si="147"/>
        <v>100</v>
      </c>
      <c r="AA398" s="18">
        <v>0</v>
      </c>
      <c r="AB398" s="18" t="s">
        <v>330</v>
      </c>
      <c r="AC398" s="18" t="s">
        <v>333</v>
      </c>
      <c r="AD398" s="18" t="s">
        <v>335</v>
      </c>
      <c r="AE398" s="18">
        <v>20</v>
      </c>
      <c r="AF398" s="18">
        <v>16</v>
      </c>
      <c r="AG398" s="18" t="s">
        <v>32</v>
      </c>
      <c r="AH398" s="18" t="s">
        <v>32</v>
      </c>
      <c r="AI398" s="18" t="str">
        <f>+VLOOKUP(AH398,Leyenda!$O$4:$U$10,6,FALSE)</f>
        <v>0,15-0,25</v>
      </c>
      <c r="AJ398" s="18" t="str">
        <f>+VLOOKUP(AG398,Leyenda!$O$4:$U$10,7,FALSE)</f>
        <v>No Blasting need</v>
      </c>
      <c r="AK398" s="18">
        <f>+VLOOKUP(AJ398,Leyenda!$U$4:$V$10,2,FALSE)</f>
        <v>2</v>
      </c>
      <c r="AL398" s="18"/>
      <c r="AM398" s="18" t="s">
        <v>29</v>
      </c>
      <c r="AN398" s="18" t="s">
        <v>69</v>
      </c>
      <c r="AO398" s="18" t="s">
        <v>81</v>
      </c>
      <c r="AP398" s="18" t="s">
        <v>100</v>
      </c>
      <c r="AQ398" s="18" t="s">
        <v>107</v>
      </c>
      <c r="AR398" s="18" t="s">
        <v>120</v>
      </c>
      <c r="AS398" s="18" t="s">
        <v>247</v>
      </c>
      <c r="AT398" s="18"/>
      <c r="AU398" s="18"/>
      <c r="AV398" s="18">
        <f>+VLOOKUP(AN398,Leyenda!$B$30:$E$34,3,FALSE)</f>
        <v>0</v>
      </c>
      <c r="AW398" s="18">
        <f>+VLOOKUP('2. Logging Brejo Seco'!AO398,Meteorizacion,3,FALSE)</f>
        <v>0</v>
      </c>
      <c r="AX398" s="18">
        <f>+VLOOKUP('2. Logging Brejo Seco'!AP398,Apertura,3,FALSE)</f>
        <v>0</v>
      </c>
      <c r="AY398" s="18">
        <f>+VLOOKUP('2. Logging Brejo Seco'!AQ398,Leyenda!$B$55:$D$59,3,FALSE)</f>
        <v>3</v>
      </c>
      <c r="AZ398" s="18">
        <f>+VLOOKUP('2. Logging Brejo Seco'!AR398,Relleno,3,FALSE)</f>
        <v>2</v>
      </c>
      <c r="BA398" s="18">
        <f t="shared" si="146"/>
        <v>5</v>
      </c>
      <c r="BB398" s="49">
        <f t="shared" si="141"/>
        <v>0</v>
      </c>
      <c r="BC398" s="49">
        <f>VLOOKUP(AH398,Leyenda!$B$4:$D$10,3,FALSE)</f>
        <v>1</v>
      </c>
      <c r="BD398" s="50">
        <f t="shared" si="133"/>
        <v>7</v>
      </c>
      <c r="BE398" s="49">
        <f t="shared" si="138"/>
        <v>5</v>
      </c>
      <c r="BF398" s="49">
        <f>VLOOKUP(AS398,Leyenda!$B$70:$D$75,3,FALSE)</f>
        <v>10</v>
      </c>
      <c r="BG398" s="67">
        <f t="shared" si="142"/>
        <v>7.5</v>
      </c>
      <c r="BH398" s="67">
        <f>VLOOKUP(AG398,Leyenda!$B$4:$E$10,4,FALSE)</f>
        <v>1</v>
      </c>
      <c r="BI398" s="67">
        <f t="shared" si="134"/>
        <v>8</v>
      </c>
      <c r="BJ398" s="67">
        <f t="shared" si="143"/>
        <v>0</v>
      </c>
      <c r="BK398" s="67">
        <f>+VLOOKUP('2. Logging Brejo Seco'!AP398,Leyenda!$B$47:$E$51,4,FALSE)</f>
        <v>0</v>
      </c>
      <c r="BL398" s="67">
        <f>+VLOOKUP('2. Logging Brejo Seco'!AQ398,Leyenda!$B$55:$E$59,4,FALSE)</f>
        <v>3</v>
      </c>
      <c r="BM398" s="67">
        <f>+VLOOKUP('2. Logging Brejo Seco'!AR398,Leyenda!$B$63:$E$67,3,FALSE)</f>
        <v>2</v>
      </c>
      <c r="BN398" s="67">
        <f>+VLOOKUP('2. Logging Brejo Seco'!AO398,Leyenda!$B$39:$E$43,4,FALSE)</f>
        <v>0</v>
      </c>
      <c r="BO398" s="67">
        <f>+VLOOKUP('2. Logging Brejo Seco'!AN398,Leyenda!$B$30:$E$34,4,FALSE)</f>
        <v>0</v>
      </c>
      <c r="BP398" s="67">
        <f>VLOOKUP(AS398,Leyenda!$B$71:$E$75,4,FALSE)</f>
        <v>7</v>
      </c>
      <c r="BQ398" s="67">
        <f t="shared" si="139"/>
        <v>21</v>
      </c>
      <c r="BR398" s="18">
        <f t="shared" si="140"/>
        <v>23</v>
      </c>
      <c r="BS398" s="240">
        <f t="shared" si="135"/>
        <v>0.36</v>
      </c>
      <c r="BT398" s="18"/>
    </row>
    <row r="399" spans="1:72" x14ac:dyDescent="0.25">
      <c r="A399" s="18" t="s">
        <v>6</v>
      </c>
      <c r="B399" s="18">
        <v>2024</v>
      </c>
      <c r="C399" s="18" t="s">
        <v>138</v>
      </c>
      <c r="D399" s="18" t="s">
        <v>132</v>
      </c>
      <c r="E399" s="18">
        <v>40</v>
      </c>
      <c r="F399" s="18">
        <v>30</v>
      </c>
      <c r="G399" s="18" t="s">
        <v>153</v>
      </c>
      <c r="H399" s="248">
        <f t="shared" si="144"/>
        <v>30</v>
      </c>
      <c r="I399" s="135"/>
      <c r="J399" s="18" t="s">
        <v>167</v>
      </c>
      <c r="K399" s="4">
        <f t="shared" si="128"/>
        <v>22.5</v>
      </c>
      <c r="L399" s="18">
        <v>23</v>
      </c>
      <c r="M399" s="4">
        <f t="shared" si="136"/>
        <v>0.5</v>
      </c>
      <c r="N399" s="5">
        <v>0.5</v>
      </c>
      <c r="O399" s="5">
        <f t="shared" si="132"/>
        <v>0.5</v>
      </c>
      <c r="P399" s="31">
        <f t="shared" si="137"/>
        <v>0.25</v>
      </c>
      <c r="Q399" s="31">
        <f t="shared" si="125"/>
        <v>0.25</v>
      </c>
      <c r="R399" s="31">
        <v>12.5</v>
      </c>
      <c r="S399" s="31">
        <v>20</v>
      </c>
      <c r="T399" s="31">
        <v>0.21</v>
      </c>
      <c r="U399" s="31">
        <v>0.11</v>
      </c>
      <c r="V399" s="65">
        <f t="shared" si="145"/>
        <v>22</v>
      </c>
      <c r="W399" s="31">
        <v>2</v>
      </c>
      <c r="X399" s="31"/>
      <c r="Y399" s="31">
        <f>2+10</f>
        <v>12</v>
      </c>
      <c r="Z399" s="31">
        <f t="shared" si="147"/>
        <v>41.666666666666664</v>
      </c>
      <c r="AA399" s="18">
        <v>0</v>
      </c>
      <c r="AB399" s="18" t="s">
        <v>330</v>
      </c>
      <c r="AC399" s="18" t="s">
        <v>333</v>
      </c>
      <c r="AD399" s="18" t="s">
        <v>335</v>
      </c>
      <c r="AE399" s="18">
        <v>20</v>
      </c>
      <c r="AF399" s="18">
        <v>12.5</v>
      </c>
      <c r="AG399" s="18" t="s">
        <v>32</v>
      </c>
      <c r="AH399" s="18" t="s">
        <v>32</v>
      </c>
      <c r="AI399" s="18" t="str">
        <f>+VLOOKUP(AH399,Leyenda!$O$4:$U$10,6,FALSE)</f>
        <v>0,15-0,25</v>
      </c>
      <c r="AJ399" s="18" t="str">
        <f>+VLOOKUP(AG399,Leyenda!$O$4:$U$10,7,FALSE)</f>
        <v>No Blasting need</v>
      </c>
      <c r="AK399" s="18">
        <f>+VLOOKUP(AJ399,Leyenda!$U$4:$V$10,2,FALSE)</f>
        <v>2</v>
      </c>
      <c r="AL399" s="18"/>
      <c r="AM399" s="18" t="s">
        <v>29</v>
      </c>
      <c r="AN399" s="18" t="s">
        <v>69</v>
      </c>
      <c r="AO399" s="18" t="s">
        <v>81</v>
      </c>
      <c r="AP399" s="18" t="s">
        <v>100</v>
      </c>
      <c r="AQ399" s="18" t="s">
        <v>107</v>
      </c>
      <c r="AR399" s="18" t="s">
        <v>120</v>
      </c>
      <c r="AS399" s="18" t="s">
        <v>247</v>
      </c>
      <c r="AT399" s="18"/>
      <c r="AU399" s="18"/>
      <c r="AV399" s="18">
        <f>+VLOOKUP(AN399,Leyenda!$B$30:$E$34,3,FALSE)</f>
        <v>0</v>
      </c>
      <c r="AW399" s="18">
        <f>+VLOOKUP('2. Logging Brejo Seco'!AO399,Meteorizacion,3,FALSE)</f>
        <v>0</v>
      </c>
      <c r="AX399" s="18">
        <f>+VLOOKUP('2. Logging Brejo Seco'!AP399,Apertura,3,FALSE)</f>
        <v>0</v>
      </c>
      <c r="AY399" s="18">
        <f>+VLOOKUP('2. Logging Brejo Seco'!AQ399,Leyenda!$B$55:$D$59,3,FALSE)</f>
        <v>3</v>
      </c>
      <c r="AZ399" s="18">
        <f>+VLOOKUP('2. Logging Brejo Seco'!AR399,Relleno,3,FALSE)</f>
        <v>2</v>
      </c>
      <c r="BA399" s="18">
        <f t="shared" si="146"/>
        <v>5</v>
      </c>
      <c r="BB399" s="49">
        <f t="shared" si="141"/>
        <v>5</v>
      </c>
      <c r="BC399" s="49">
        <f>VLOOKUP(AH399,Leyenda!$B$4:$D$10,3,FALSE)</f>
        <v>1</v>
      </c>
      <c r="BD399" s="50">
        <f t="shared" si="133"/>
        <v>5</v>
      </c>
      <c r="BE399" s="49">
        <f t="shared" si="138"/>
        <v>5</v>
      </c>
      <c r="BF399" s="49">
        <f>VLOOKUP(AS399,Leyenda!$B$70:$D$75,3,FALSE)</f>
        <v>10</v>
      </c>
      <c r="BG399" s="67">
        <f t="shared" si="142"/>
        <v>18.5</v>
      </c>
      <c r="BH399" s="67">
        <f>VLOOKUP(AG399,Leyenda!$B$4:$E$10,4,FALSE)</f>
        <v>1</v>
      </c>
      <c r="BI399" s="67">
        <f t="shared" si="134"/>
        <v>5</v>
      </c>
      <c r="BJ399" s="67">
        <f t="shared" si="143"/>
        <v>5</v>
      </c>
      <c r="BK399" s="67">
        <f>+VLOOKUP('2. Logging Brejo Seco'!AP399,Leyenda!$B$47:$E$51,4,FALSE)</f>
        <v>0</v>
      </c>
      <c r="BL399" s="67">
        <f>+VLOOKUP('2. Logging Brejo Seco'!AQ399,Leyenda!$B$55:$E$59,4,FALSE)</f>
        <v>3</v>
      </c>
      <c r="BM399" s="67">
        <f>+VLOOKUP('2. Logging Brejo Seco'!AR399,Leyenda!$B$63:$E$67,3,FALSE)</f>
        <v>2</v>
      </c>
      <c r="BN399" s="67">
        <f>+VLOOKUP('2. Logging Brejo Seco'!AO399,Leyenda!$B$39:$E$43,4,FALSE)</f>
        <v>0</v>
      </c>
      <c r="BO399" s="67">
        <f>+VLOOKUP('2. Logging Brejo Seco'!AN399,Leyenda!$B$30:$E$34,4,FALSE)</f>
        <v>0</v>
      </c>
      <c r="BP399" s="67">
        <f>VLOOKUP(AS399,Leyenda!$B$71:$E$75,4,FALSE)</f>
        <v>7</v>
      </c>
      <c r="BQ399" s="67">
        <f t="shared" si="139"/>
        <v>23</v>
      </c>
      <c r="BR399" s="18">
        <f t="shared" si="140"/>
        <v>26</v>
      </c>
      <c r="BS399" s="240">
        <f t="shared" si="135"/>
        <v>0.5</v>
      </c>
      <c r="BT399" s="18"/>
    </row>
    <row r="400" spans="1:72" x14ac:dyDescent="0.25">
      <c r="A400" s="18" t="s">
        <v>6</v>
      </c>
      <c r="B400" s="18">
        <v>2024</v>
      </c>
      <c r="C400" s="18" t="s">
        <v>138</v>
      </c>
      <c r="D400" s="18" t="s">
        <v>132</v>
      </c>
      <c r="E400" s="18">
        <v>40</v>
      </c>
      <c r="F400" s="18">
        <v>30</v>
      </c>
      <c r="G400" s="18" t="s">
        <v>153</v>
      </c>
      <c r="H400" s="248">
        <f t="shared" si="144"/>
        <v>30</v>
      </c>
      <c r="I400" s="135"/>
      <c r="J400" s="18" t="s">
        <v>167</v>
      </c>
      <c r="K400" s="4">
        <f t="shared" si="128"/>
        <v>23</v>
      </c>
      <c r="L400" s="18">
        <v>23.5</v>
      </c>
      <c r="M400" s="4">
        <f t="shared" si="136"/>
        <v>0.5</v>
      </c>
      <c r="N400" s="5">
        <v>0.48</v>
      </c>
      <c r="O400" s="5">
        <f t="shared" si="132"/>
        <v>0.52</v>
      </c>
      <c r="P400" s="31">
        <f t="shared" si="137"/>
        <v>0.24</v>
      </c>
      <c r="Q400" s="31">
        <f t="shared" si="125"/>
        <v>0.24</v>
      </c>
      <c r="R400" s="31">
        <v>12</v>
      </c>
      <c r="S400" s="31">
        <v>20</v>
      </c>
      <c r="T400" s="31">
        <v>0.22</v>
      </c>
      <c r="U400" s="31">
        <v>0.22</v>
      </c>
      <c r="V400" s="65">
        <f t="shared" si="145"/>
        <v>44</v>
      </c>
      <c r="W400" s="31">
        <v>5</v>
      </c>
      <c r="X400" s="31"/>
      <c r="Y400" s="31">
        <f t="shared" si="126"/>
        <v>5</v>
      </c>
      <c r="Z400" s="31">
        <f t="shared" si="147"/>
        <v>100</v>
      </c>
      <c r="AA400" s="18">
        <v>0</v>
      </c>
      <c r="AB400" s="18" t="s">
        <v>330</v>
      </c>
      <c r="AC400" s="18" t="s">
        <v>333</v>
      </c>
      <c r="AD400" s="18" t="s">
        <v>335</v>
      </c>
      <c r="AE400" s="18">
        <v>20</v>
      </c>
      <c r="AF400" s="18">
        <v>12</v>
      </c>
      <c r="AG400" s="18" t="s">
        <v>32</v>
      </c>
      <c r="AH400" s="18" t="s">
        <v>32</v>
      </c>
      <c r="AI400" s="18" t="str">
        <f>+VLOOKUP(AH400,Leyenda!$O$4:$U$10,6,FALSE)</f>
        <v>0,15-0,25</v>
      </c>
      <c r="AJ400" s="18" t="str">
        <f>+VLOOKUP(AG400,Leyenda!$O$4:$U$10,7,FALSE)</f>
        <v>No Blasting need</v>
      </c>
      <c r="AK400" s="18">
        <f>+VLOOKUP(AJ400,Leyenda!$U$4:$V$10,2,FALSE)</f>
        <v>2</v>
      </c>
      <c r="AL400" s="18"/>
      <c r="AM400" s="18" t="s">
        <v>29</v>
      </c>
      <c r="AN400" s="18" t="s">
        <v>69</v>
      </c>
      <c r="AO400" s="18" t="s">
        <v>81</v>
      </c>
      <c r="AP400" s="18" t="s">
        <v>100</v>
      </c>
      <c r="AQ400" s="18" t="s">
        <v>107</v>
      </c>
      <c r="AR400" s="18" t="s">
        <v>120</v>
      </c>
      <c r="AS400" s="18" t="s">
        <v>247</v>
      </c>
      <c r="AT400" s="18"/>
      <c r="AU400" s="18"/>
      <c r="AV400" s="18">
        <f>+VLOOKUP(AN400,Leyenda!$B$30:$E$34,3,FALSE)</f>
        <v>0</v>
      </c>
      <c r="AW400" s="18">
        <f>+VLOOKUP('2. Logging Brejo Seco'!AO400,Meteorizacion,3,FALSE)</f>
        <v>0</v>
      </c>
      <c r="AX400" s="18">
        <f>+VLOOKUP('2. Logging Brejo Seco'!AP400,Apertura,3,FALSE)</f>
        <v>0</v>
      </c>
      <c r="AY400" s="18">
        <f>+VLOOKUP('2. Logging Brejo Seco'!AQ400,Leyenda!$B$55:$D$59,3,FALSE)</f>
        <v>3</v>
      </c>
      <c r="AZ400" s="18">
        <f>+VLOOKUP('2. Logging Brejo Seco'!AR400,Relleno,3,FALSE)</f>
        <v>2</v>
      </c>
      <c r="BA400" s="18">
        <f t="shared" si="146"/>
        <v>5</v>
      </c>
      <c r="BB400" s="49">
        <f t="shared" si="141"/>
        <v>9</v>
      </c>
      <c r="BC400" s="49">
        <f>VLOOKUP(AH400,Leyenda!$B$4:$D$10,3,FALSE)</f>
        <v>1</v>
      </c>
      <c r="BD400" s="50">
        <f t="shared" si="133"/>
        <v>7</v>
      </c>
      <c r="BE400" s="49">
        <f t="shared" si="138"/>
        <v>5</v>
      </c>
      <c r="BF400" s="49">
        <f>VLOOKUP(AS400,Leyenda!$B$70:$D$75,3,FALSE)</f>
        <v>10</v>
      </c>
      <c r="BG400" s="67">
        <f t="shared" si="142"/>
        <v>29.5</v>
      </c>
      <c r="BH400" s="67">
        <f>VLOOKUP(AG400,Leyenda!$B$4:$E$10,4,FALSE)</f>
        <v>1</v>
      </c>
      <c r="BI400" s="67">
        <f t="shared" si="134"/>
        <v>8</v>
      </c>
      <c r="BJ400" s="67">
        <f t="shared" si="143"/>
        <v>9</v>
      </c>
      <c r="BK400" s="67">
        <f>+VLOOKUP('2. Logging Brejo Seco'!AP400,Leyenda!$B$47:$E$51,4,FALSE)</f>
        <v>0</v>
      </c>
      <c r="BL400" s="67">
        <f>+VLOOKUP('2. Logging Brejo Seco'!AQ400,Leyenda!$B$55:$E$59,4,FALSE)</f>
        <v>3</v>
      </c>
      <c r="BM400" s="67">
        <f>+VLOOKUP('2. Logging Brejo Seco'!AR400,Leyenda!$B$63:$E$67,3,FALSE)</f>
        <v>2</v>
      </c>
      <c r="BN400" s="67">
        <f>+VLOOKUP('2. Logging Brejo Seco'!AO400,Leyenda!$B$39:$E$43,4,FALSE)</f>
        <v>0</v>
      </c>
      <c r="BO400" s="67">
        <f>+VLOOKUP('2. Logging Brejo Seco'!AN400,Leyenda!$B$30:$E$34,4,FALSE)</f>
        <v>0</v>
      </c>
      <c r="BP400" s="67">
        <f>VLOOKUP(AS400,Leyenda!$B$71:$E$75,4,FALSE)</f>
        <v>7</v>
      </c>
      <c r="BQ400" s="67">
        <f t="shared" si="139"/>
        <v>30</v>
      </c>
      <c r="BR400" s="18">
        <f t="shared" si="140"/>
        <v>32</v>
      </c>
      <c r="BS400" s="240">
        <f t="shared" si="135"/>
        <v>0.52</v>
      </c>
      <c r="BT400" s="18"/>
    </row>
    <row r="401" spans="1:72" x14ac:dyDescent="0.25">
      <c r="A401" s="18" t="s">
        <v>6</v>
      </c>
      <c r="B401" s="18">
        <v>2024</v>
      </c>
      <c r="C401" s="18" t="s">
        <v>138</v>
      </c>
      <c r="D401" s="18" t="s">
        <v>132</v>
      </c>
      <c r="E401" s="18">
        <v>30</v>
      </c>
      <c r="F401" s="18">
        <v>30</v>
      </c>
      <c r="G401" s="18" t="s">
        <v>152</v>
      </c>
      <c r="H401" s="248">
        <f t="shared" si="144"/>
        <v>30</v>
      </c>
      <c r="I401" s="135"/>
      <c r="J401" s="18" t="s">
        <v>167</v>
      </c>
      <c r="K401" s="4">
        <f t="shared" si="128"/>
        <v>23.5</v>
      </c>
      <c r="L401" s="18">
        <v>24</v>
      </c>
      <c r="M401" s="4">
        <f t="shared" si="136"/>
        <v>0.5</v>
      </c>
      <c r="N401" s="5">
        <v>0.54</v>
      </c>
      <c r="O401" s="5">
        <f t="shared" si="132"/>
        <v>0.45999999999999996</v>
      </c>
      <c r="P401" s="31">
        <f t="shared" si="137"/>
        <v>0.27</v>
      </c>
      <c r="Q401" s="31">
        <f t="shared" si="125"/>
        <v>0.27</v>
      </c>
      <c r="R401" s="31">
        <v>13.5</v>
      </c>
      <c r="S401" s="31">
        <v>20</v>
      </c>
      <c r="T401" s="31">
        <v>0.26</v>
      </c>
      <c r="U401" s="31">
        <v>0</v>
      </c>
      <c r="V401" s="65">
        <f t="shared" si="145"/>
        <v>0</v>
      </c>
      <c r="W401" s="31">
        <v>5</v>
      </c>
      <c r="X401" s="31"/>
      <c r="Y401" s="31">
        <f t="shared" si="126"/>
        <v>5</v>
      </c>
      <c r="Z401" s="31">
        <f t="shared" si="147"/>
        <v>100</v>
      </c>
      <c r="AA401" s="18">
        <v>0</v>
      </c>
      <c r="AB401" s="18" t="s">
        <v>330</v>
      </c>
      <c r="AC401" s="18" t="s">
        <v>333</v>
      </c>
      <c r="AD401" s="18" t="s">
        <v>336</v>
      </c>
      <c r="AE401" s="18">
        <v>20</v>
      </c>
      <c r="AF401" s="18">
        <v>13.5</v>
      </c>
      <c r="AG401" s="18" t="s">
        <v>34</v>
      </c>
      <c r="AH401" s="18" t="s">
        <v>34</v>
      </c>
      <c r="AI401" s="18">
        <f>+VLOOKUP(AH401,Leyenda!$O$4:$U$10,6,FALSE)</f>
        <v>0</v>
      </c>
      <c r="AJ401" s="18" t="str">
        <f>+VLOOKUP(AG401,Leyenda!$O$4:$U$10,7,FALSE)</f>
        <v>No Blasting need</v>
      </c>
      <c r="AK401" s="18">
        <f>+VLOOKUP(AJ401,Leyenda!$U$4:$V$10,2,FALSE)</f>
        <v>2</v>
      </c>
      <c r="AL401" s="18"/>
      <c r="AM401" s="18" t="s">
        <v>32</v>
      </c>
      <c r="AN401" s="18" t="s">
        <v>64</v>
      </c>
      <c r="AO401" s="18" t="s">
        <v>79</v>
      </c>
      <c r="AP401" s="18" t="s">
        <v>92</v>
      </c>
      <c r="AQ401" s="18" t="s">
        <v>109</v>
      </c>
      <c r="AR401" s="18" t="s">
        <v>120</v>
      </c>
      <c r="AS401" s="18" t="s">
        <v>198</v>
      </c>
      <c r="AT401" s="18"/>
      <c r="AU401" s="18"/>
      <c r="AV401" s="18">
        <f>+VLOOKUP(AN401,Leyenda!$B$30:$E$34,3,FALSE)</f>
        <v>2</v>
      </c>
      <c r="AW401" s="18">
        <f>+VLOOKUP('2. Logging Brejo Seco'!AO401,Meteorizacion,3,FALSE)</f>
        <v>1</v>
      </c>
      <c r="AX401" s="18">
        <f>+VLOOKUP('2. Logging Brejo Seco'!AP401,Apertura,3,FALSE)</f>
        <v>3</v>
      </c>
      <c r="AY401" s="18">
        <f>+VLOOKUP('2. Logging Brejo Seco'!AQ401,Leyenda!$B$55:$D$59,3,FALSE)</f>
        <v>1</v>
      </c>
      <c r="AZ401" s="18">
        <f>+VLOOKUP('2. Logging Brejo Seco'!AR401,Relleno,3,FALSE)</f>
        <v>2</v>
      </c>
      <c r="BA401" s="18">
        <f t="shared" si="146"/>
        <v>9</v>
      </c>
      <c r="BB401" s="49">
        <f t="shared" si="141"/>
        <v>0</v>
      </c>
      <c r="BC401" s="49">
        <f>VLOOKUP(AH401,Leyenda!$B$4:$D$10,3,FALSE)</f>
        <v>0</v>
      </c>
      <c r="BD401" s="50">
        <f t="shared" si="133"/>
        <v>7</v>
      </c>
      <c r="BE401" s="49">
        <f t="shared" si="138"/>
        <v>9</v>
      </c>
      <c r="BF401" s="49">
        <v>10</v>
      </c>
      <c r="BG401" s="67">
        <f t="shared" si="142"/>
        <v>13.5</v>
      </c>
      <c r="BH401" s="67">
        <f>VLOOKUP(AG401,Leyenda!$B$4:$E$10,4,FALSE)</f>
        <v>0</v>
      </c>
      <c r="BI401" s="67">
        <f t="shared" si="134"/>
        <v>8</v>
      </c>
      <c r="BJ401" s="67">
        <f t="shared" si="143"/>
        <v>0</v>
      </c>
      <c r="BK401" s="67">
        <f>+VLOOKUP('2. Logging Brejo Seco'!AP401,Leyenda!$B$47:$E$51,4,FALSE)</f>
        <v>3</v>
      </c>
      <c r="BL401" s="67">
        <f>+VLOOKUP('2. Logging Brejo Seco'!AQ401,Leyenda!$B$55:$E$59,4,FALSE)</f>
        <v>1</v>
      </c>
      <c r="BM401" s="67">
        <f>+VLOOKUP('2. Logging Brejo Seco'!AR401,Leyenda!$B$63:$E$67,3,FALSE)</f>
        <v>2</v>
      </c>
      <c r="BN401" s="67">
        <f>+VLOOKUP('2. Logging Brejo Seco'!AO401,Leyenda!$B$39:$E$43,4,FALSE)</f>
        <v>1</v>
      </c>
      <c r="BO401" s="67">
        <f>+VLOOKUP('2. Logging Brejo Seco'!AN401,Leyenda!$B$30:$E$34,4,FALSE)</f>
        <v>3</v>
      </c>
      <c r="BP401" s="67">
        <f>VLOOKUP(AS401,Leyenda!$B$71:$E$75,4,FALSE)</f>
        <v>10</v>
      </c>
      <c r="BQ401" s="67">
        <f t="shared" si="139"/>
        <v>28</v>
      </c>
      <c r="BR401" s="18">
        <f t="shared" si="140"/>
        <v>26</v>
      </c>
      <c r="BS401" s="240">
        <f t="shared" si="135"/>
        <v>0.45999999999999996</v>
      </c>
      <c r="BT401" s="18"/>
    </row>
    <row r="402" spans="1:72" x14ac:dyDescent="0.25">
      <c r="A402" s="18" t="s">
        <v>6</v>
      </c>
      <c r="B402" s="18">
        <v>2024</v>
      </c>
      <c r="C402" s="18" t="s">
        <v>138</v>
      </c>
      <c r="D402" s="18" t="s">
        <v>132</v>
      </c>
      <c r="E402" s="18">
        <v>30</v>
      </c>
      <c r="F402" s="18">
        <v>30</v>
      </c>
      <c r="G402" s="18" t="s">
        <v>152</v>
      </c>
      <c r="H402" s="248">
        <f t="shared" si="144"/>
        <v>30</v>
      </c>
      <c r="I402" s="135"/>
      <c r="J402" s="18" t="s">
        <v>167</v>
      </c>
      <c r="K402" s="4">
        <f t="shared" si="128"/>
        <v>24</v>
      </c>
      <c r="L402" s="18">
        <v>24.5</v>
      </c>
      <c r="M402" s="4">
        <f t="shared" si="136"/>
        <v>0.5</v>
      </c>
      <c r="N402" s="5">
        <v>0.56000000000000005</v>
      </c>
      <c r="O402" s="5">
        <f t="shared" si="132"/>
        <v>0.43999999999999995</v>
      </c>
      <c r="P402" s="31">
        <f t="shared" si="137"/>
        <v>0.28000000000000003</v>
      </c>
      <c r="Q402" s="31">
        <f t="shared" si="125"/>
        <v>0.28000000000000003</v>
      </c>
      <c r="R402" s="31">
        <v>14</v>
      </c>
      <c r="S402" s="31">
        <v>20</v>
      </c>
      <c r="T402" s="31">
        <v>0.26</v>
      </c>
      <c r="U402" s="31">
        <v>0</v>
      </c>
      <c r="V402" s="65">
        <f t="shared" si="145"/>
        <v>0</v>
      </c>
      <c r="W402" s="31">
        <v>10</v>
      </c>
      <c r="X402" s="31"/>
      <c r="Y402" s="31">
        <f t="shared" si="126"/>
        <v>10</v>
      </c>
      <c r="Z402" s="31">
        <f t="shared" si="147"/>
        <v>50</v>
      </c>
      <c r="AA402" s="18">
        <v>0</v>
      </c>
      <c r="AB402" s="18" t="s">
        <v>100</v>
      </c>
      <c r="AC402" s="18" t="s">
        <v>333</v>
      </c>
      <c r="AD402" s="18" t="s">
        <v>336</v>
      </c>
      <c r="AE402" s="18">
        <v>20</v>
      </c>
      <c r="AF402" s="18">
        <v>14</v>
      </c>
      <c r="AG402" s="18" t="s">
        <v>34</v>
      </c>
      <c r="AH402" s="18" t="s">
        <v>34</v>
      </c>
      <c r="AI402" s="18">
        <f>+VLOOKUP(AH402,Leyenda!$O$4:$U$10,6,FALSE)</f>
        <v>0</v>
      </c>
      <c r="AJ402" s="18" t="str">
        <f>+VLOOKUP(AG402,Leyenda!$O$4:$U$10,7,FALSE)</f>
        <v>No Blasting need</v>
      </c>
      <c r="AK402" s="18">
        <f>+VLOOKUP(AJ402,Leyenda!$U$4:$V$10,2,FALSE)</f>
        <v>2</v>
      </c>
      <c r="AL402" s="18"/>
      <c r="AM402" s="18" t="s">
        <v>32</v>
      </c>
      <c r="AN402" s="18" t="s">
        <v>64</v>
      </c>
      <c r="AO402" s="18" t="s">
        <v>79</v>
      </c>
      <c r="AP402" s="18" t="s">
        <v>92</v>
      </c>
      <c r="AQ402" s="18" t="s">
        <v>109</v>
      </c>
      <c r="AR402" s="18" t="s">
        <v>120</v>
      </c>
      <c r="AS402" s="18" t="s">
        <v>198</v>
      </c>
      <c r="AT402" s="18"/>
      <c r="AU402" s="18"/>
      <c r="AV402" s="18">
        <f>+VLOOKUP(AN402,Leyenda!$B$30:$E$34,3,FALSE)</f>
        <v>2</v>
      </c>
      <c r="AW402" s="18">
        <f>+VLOOKUP('2. Logging Brejo Seco'!AO402,Meteorizacion,3,FALSE)</f>
        <v>1</v>
      </c>
      <c r="AX402" s="18">
        <f>+VLOOKUP('2. Logging Brejo Seco'!AP402,Apertura,3,FALSE)</f>
        <v>3</v>
      </c>
      <c r="AY402" s="18">
        <f>+VLOOKUP('2. Logging Brejo Seco'!AQ402,Leyenda!$B$55:$D$59,3,FALSE)</f>
        <v>1</v>
      </c>
      <c r="AZ402" s="18">
        <f>+VLOOKUP('2. Logging Brejo Seco'!AR402,Relleno,3,FALSE)</f>
        <v>2</v>
      </c>
      <c r="BA402" s="18">
        <f t="shared" si="146"/>
        <v>9</v>
      </c>
      <c r="BB402" s="49">
        <f t="shared" si="141"/>
        <v>0</v>
      </c>
      <c r="BC402" s="49">
        <f>VLOOKUP(AH402,Leyenda!$B$4:$D$10,3,FALSE)</f>
        <v>0</v>
      </c>
      <c r="BD402" s="50">
        <f t="shared" si="133"/>
        <v>6</v>
      </c>
      <c r="BE402" s="49">
        <f t="shared" si="138"/>
        <v>9</v>
      </c>
      <c r="BF402" s="49">
        <v>10</v>
      </c>
      <c r="BG402" s="67">
        <f t="shared" si="142"/>
        <v>13.5</v>
      </c>
      <c r="BH402" s="67">
        <f>VLOOKUP(AG402,Leyenda!$B$4:$E$10,4,FALSE)</f>
        <v>0</v>
      </c>
      <c r="BI402" s="67">
        <f t="shared" si="134"/>
        <v>5</v>
      </c>
      <c r="BJ402" s="67">
        <f t="shared" si="143"/>
        <v>0</v>
      </c>
      <c r="BK402" s="67">
        <f>+VLOOKUP('2. Logging Brejo Seco'!AP402,Leyenda!$B$47:$E$51,4,FALSE)</f>
        <v>3</v>
      </c>
      <c r="BL402" s="67">
        <f>+VLOOKUP('2. Logging Brejo Seco'!AQ402,Leyenda!$B$55:$E$59,4,FALSE)</f>
        <v>1</v>
      </c>
      <c r="BM402" s="67">
        <f>+VLOOKUP('2. Logging Brejo Seco'!AR402,Leyenda!$B$63:$E$67,3,FALSE)</f>
        <v>2</v>
      </c>
      <c r="BN402" s="67">
        <f>+VLOOKUP('2. Logging Brejo Seco'!AO402,Leyenda!$B$39:$E$43,4,FALSE)</f>
        <v>1</v>
      </c>
      <c r="BO402" s="67">
        <f>+VLOOKUP('2. Logging Brejo Seco'!AN402,Leyenda!$B$30:$E$34,4,FALSE)</f>
        <v>3</v>
      </c>
      <c r="BP402" s="67">
        <f>VLOOKUP(AS402,Leyenda!$B$71:$E$75,4,FALSE)</f>
        <v>10</v>
      </c>
      <c r="BQ402" s="67">
        <f t="shared" si="139"/>
        <v>25</v>
      </c>
      <c r="BR402" s="18">
        <f t="shared" si="140"/>
        <v>25</v>
      </c>
      <c r="BS402" s="240">
        <f t="shared" si="135"/>
        <v>0.43999999999999995</v>
      </c>
      <c r="BT402" s="18"/>
    </row>
    <row r="403" spans="1:72" x14ac:dyDescent="0.25">
      <c r="A403" s="18" t="s">
        <v>6</v>
      </c>
      <c r="B403" s="18">
        <v>2024</v>
      </c>
      <c r="C403" s="18" t="s">
        <v>138</v>
      </c>
      <c r="D403" s="18" t="s">
        <v>132</v>
      </c>
      <c r="E403" s="18">
        <v>30</v>
      </c>
      <c r="F403" s="18">
        <v>30</v>
      </c>
      <c r="G403" s="18" t="s">
        <v>152</v>
      </c>
      <c r="H403" s="248">
        <f t="shared" si="144"/>
        <v>30</v>
      </c>
      <c r="I403" s="135"/>
      <c r="J403" s="18" t="s">
        <v>167</v>
      </c>
      <c r="K403" s="4">
        <f t="shared" si="128"/>
        <v>24.5</v>
      </c>
      <c r="L403" s="18">
        <v>25</v>
      </c>
      <c r="M403" s="4">
        <f t="shared" si="136"/>
        <v>0.5</v>
      </c>
      <c r="N403" s="5">
        <v>0.62</v>
      </c>
      <c r="O403" s="5">
        <f t="shared" si="132"/>
        <v>0.38</v>
      </c>
      <c r="P403" s="31">
        <f t="shared" si="137"/>
        <v>0.31</v>
      </c>
      <c r="Q403" s="31">
        <f t="shared" si="125"/>
        <v>0.31</v>
      </c>
      <c r="R403" s="31">
        <v>15.5</v>
      </c>
      <c r="S403" s="31">
        <v>20</v>
      </c>
      <c r="T403" s="31">
        <v>0.3</v>
      </c>
      <c r="U403" s="31">
        <v>0</v>
      </c>
      <c r="V403" s="65">
        <f t="shared" si="145"/>
        <v>0</v>
      </c>
      <c r="W403" s="31">
        <v>5</v>
      </c>
      <c r="X403" s="31"/>
      <c r="Y403" s="31">
        <f t="shared" si="126"/>
        <v>5</v>
      </c>
      <c r="Z403" s="31">
        <f t="shared" si="147"/>
        <v>100</v>
      </c>
      <c r="AA403" s="18">
        <v>0</v>
      </c>
      <c r="AB403" s="18" t="s">
        <v>100</v>
      </c>
      <c r="AC403" s="18" t="s">
        <v>333</v>
      </c>
      <c r="AD403" s="18" t="s">
        <v>336</v>
      </c>
      <c r="AE403" s="18">
        <v>20</v>
      </c>
      <c r="AF403" s="18">
        <v>15.5</v>
      </c>
      <c r="AG403" s="18" t="s">
        <v>34</v>
      </c>
      <c r="AH403" s="18" t="s">
        <v>34</v>
      </c>
      <c r="AI403" s="18">
        <f>+VLOOKUP(AH403,Leyenda!$O$4:$U$10,6,FALSE)</f>
        <v>0</v>
      </c>
      <c r="AJ403" s="18" t="str">
        <f>+VLOOKUP(AG403,Leyenda!$O$4:$U$10,7,FALSE)</f>
        <v>No Blasting need</v>
      </c>
      <c r="AK403" s="18">
        <f>+VLOOKUP(AJ403,Leyenda!$U$4:$V$10,2,FALSE)</f>
        <v>2</v>
      </c>
      <c r="AL403" s="18"/>
      <c r="AM403" s="18" t="s">
        <v>32</v>
      </c>
      <c r="AN403" s="18" t="s">
        <v>64</v>
      </c>
      <c r="AO403" s="18" t="s">
        <v>79</v>
      </c>
      <c r="AP403" s="18" t="s">
        <v>92</v>
      </c>
      <c r="AQ403" s="18" t="s">
        <v>109</v>
      </c>
      <c r="AR403" s="18" t="s">
        <v>120</v>
      </c>
      <c r="AS403" s="18" t="s">
        <v>198</v>
      </c>
      <c r="AT403" s="18"/>
      <c r="AU403" s="18"/>
      <c r="AV403" s="18">
        <f>+VLOOKUP(AN403,Leyenda!$B$30:$E$34,3,FALSE)</f>
        <v>2</v>
      </c>
      <c r="AW403" s="18">
        <f>+VLOOKUP('2. Logging Brejo Seco'!AO403,Meteorizacion,3,FALSE)</f>
        <v>1</v>
      </c>
      <c r="AX403" s="18">
        <f>+VLOOKUP('2. Logging Brejo Seco'!AP403,Apertura,3,FALSE)</f>
        <v>3</v>
      </c>
      <c r="AY403" s="18">
        <f>+VLOOKUP('2. Logging Brejo Seco'!AQ403,Leyenda!$B$55:$D$59,3,FALSE)</f>
        <v>1</v>
      </c>
      <c r="AZ403" s="18">
        <f>+VLOOKUP('2. Logging Brejo Seco'!AR403,Relleno,3,FALSE)</f>
        <v>2</v>
      </c>
      <c r="BA403" s="18">
        <f t="shared" si="146"/>
        <v>9</v>
      </c>
      <c r="BB403" s="49">
        <f t="shared" si="141"/>
        <v>0</v>
      </c>
      <c r="BC403" s="49">
        <f>VLOOKUP(AH403,Leyenda!$B$4:$D$10,3,FALSE)</f>
        <v>0</v>
      </c>
      <c r="BD403" s="50">
        <f t="shared" si="133"/>
        <v>7</v>
      </c>
      <c r="BE403" s="49">
        <f t="shared" si="138"/>
        <v>9</v>
      </c>
      <c r="BF403" s="49">
        <v>10</v>
      </c>
      <c r="BG403" s="67">
        <f t="shared" si="142"/>
        <v>13.5</v>
      </c>
      <c r="BH403" s="67">
        <f>VLOOKUP(AG403,Leyenda!$B$4:$E$10,4,FALSE)</f>
        <v>0</v>
      </c>
      <c r="BI403" s="67">
        <f t="shared" si="134"/>
        <v>8</v>
      </c>
      <c r="BJ403" s="67">
        <f t="shared" si="143"/>
        <v>0</v>
      </c>
      <c r="BK403" s="67">
        <f>+VLOOKUP('2. Logging Brejo Seco'!AP403,Leyenda!$B$47:$E$51,4,FALSE)</f>
        <v>3</v>
      </c>
      <c r="BL403" s="67">
        <f>+VLOOKUP('2. Logging Brejo Seco'!AQ403,Leyenda!$B$55:$E$59,4,FALSE)</f>
        <v>1</v>
      </c>
      <c r="BM403" s="67">
        <f>+VLOOKUP('2. Logging Brejo Seco'!AR403,Leyenda!$B$63:$E$67,3,FALSE)</f>
        <v>2</v>
      </c>
      <c r="BN403" s="67">
        <f>+VLOOKUP('2. Logging Brejo Seco'!AO403,Leyenda!$B$39:$E$43,4,FALSE)</f>
        <v>1</v>
      </c>
      <c r="BO403" s="67">
        <f>+VLOOKUP('2. Logging Brejo Seco'!AN403,Leyenda!$B$30:$E$34,4,FALSE)</f>
        <v>3</v>
      </c>
      <c r="BP403" s="67">
        <f>VLOOKUP(AS403,Leyenda!$B$71:$E$75,4,FALSE)</f>
        <v>10</v>
      </c>
      <c r="BQ403" s="67">
        <f t="shared" si="139"/>
        <v>28</v>
      </c>
      <c r="BR403" s="18">
        <f t="shared" si="140"/>
        <v>26</v>
      </c>
      <c r="BS403" s="240">
        <f t="shared" si="135"/>
        <v>0.38</v>
      </c>
      <c r="BT403" s="18"/>
    </row>
    <row r="404" spans="1:72" x14ac:dyDescent="0.25">
      <c r="A404" s="18" t="s">
        <v>6</v>
      </c>
      <c r="B404" s="18">
        <v>2024</v>
      </c>
      <c r="C404" s="18" t="s">
        <v>138</v>
      </c>
      <c r="D404" s="18" t="s">
        <v>132</v>
      </c>
      <c r="E404" s="18">
        <v>30</v>
      </c>
      <c r="F404" s="18">
        <v>30</v>
      </c>
      <c r="G404" s="18" t="s">
        <v>152</v>
      </c>
      <c r="H404" s="248">
        <f t="shared" si="144"/>
        <v>30</v>
      </c>
      <c r="I404" s="135"/>
      <c r="J404" s="18" t="s">
        <v>168</v>
      </c>
      <c r="K404" s="4">
        <f t="shared" si="128"/>
        <v>25</v>
      </c>
      <c r="L404" s="18">
        <v>25.5</v>
      </c>
      <c r="M404" s="4">
        <f t="shared" si="136"/>
        <v>0.5</v>
      </c>
      <c r="N404" s="5">
        <v>0.54</v>
      </c>
      <c r="O404" s="5">
        <f t="shared" si="132"/>
        <v>0.45999999999999996</v>
      </c>
      <c r="P404" s="31">
        <f t="shared" si="137"/>
        <v>0.27</v>
      </c>
      <c r="Q404" s="31">
        <f t="shared" si="125"/>
        <v>0.27</v>
      </c>
      <c r="R404" s="31">
        <v>13.5</v>
      </c>
      <c r="S404" s="31">
        <v>20</v>
      </c>
      <c r="T404" s="31">
        <v>0.26</v>
      </c>
      <c r="U404" s="31">
        <v>0</v>
      </c>
      <c r="V404" s="65">
        <f t="shared" si="145"/>
        <v>0</v>
      </c>
      <c r="W404" s="31">
        <v>5</v>
      </c>
      <c r="X404" s="31"/>
      <c r="Y404" s="31">
        <f t="shared" si="126"/>
        <v>5</v>
      </c>
      <c r="Z404" s="31">
        <f t="shared" si="147"/>
        <v>100</v>
      </c>
      <c r="AA404" s="18">
        <v>0</v>
      </c>
      <c r="AB404" s="18" t="s">
        <v>100</v>
      </c>
      <c r="AC404" s="18" t="s">
        <v>333</v>
      </c>
      <c r="AD404" s="18" t="s">
        <v>336</v>
      </c>
      <c r="AE404" s="18">
        <v>20</v>
      </c>
      <c r="AF404" s="18">
        <v>13.5</v>
      </c>
      <c r="AG404" s="18" t="s">
        <v>34</v>
      </c>
      <c r="AH404" s="18" t="s">
        <v>34</v>
      </c>
      <c r="AI404" s="18">
        <f>+VLOOKUP(AH404,Leyenda!$O$4:$U$10,6,FALSE)</f>
        <v>0</v>
      </c>
      <c r="AJ404" s="18" t="str">
        <f>+VLOOKUP(AG404,Leyenda!$O$4:$U$10,7,FALSE)</f>
        <v>No Blasting need</v>
      </c>
      <c r="AK404" s="18">
        <f>+VLOOKUP(AJ404,Leyenda!$U$4:$V$10,2,FALSE)</f>
        <v>2</v>
      </c>
      <c r="AL404" s="18"/>
      <c r="AM404" s="18" t="s">
        <v>32</v>
      </c>
      <c r="AN404" s="18" t="s">
        <v>64</v>
      </c>
      <c r="AO404" s="18" t="s">
        <v>79</v>
      </c>
      <c r="AP404" s="18" t="s">
        <v>92</v>
      </c>
      <c r="AQ404" s="18" t="s">
        <v>109</v>
      </c>
      <c r="AR404" s="18" t="s">
        <v>120</v>
      </c>
      <c r="AS404" s="18" t="s">
        <v>198</v>
      </c>
      <c r="AT404" s="18"/>
      <c r="AU404" s="18"/>
      <c r="AV404" s="18">
        <f>+VLOOKUP(AN404,Leyenda!$B$30:$E$34,3,FALSE)</f>
        <v>2</v>
      </c>
      <c r="AW404" s="18">
        <f>+VLOOKUP('2. Logging Brejo Seco'!AO404,Meteorizacion,3,FALSE)</f>
        <v>1</v>
      </c>
      <c r="AX404" s="18">
        <f>+VLOOKUP('2. Logging Brejo Seco'!AP404,Apertura,3,FALSE)</f>
        <v>3</v>
      </c>
      <c r="AY404" s="18">
        <f>+VLOOKUP('2. Logging Brejo Seco'!AQ404,Leyenda!$B$55:$D$59,3,FALSE)</f>
        <v>1</v>
      </c>
      <c r="AZ404" s="18">
        <f>+VLOOKUP('2. Logging Brejo Seco'!AR404,Relleno,3,FALSE)</f>
        <v>2</v>
      </c>
      <c r="BA404" s="18">
        <f t="shared" si="146"/>
        <v>9</v>
      </c>
      <c r="BB404" s="49">
        <f t="shared" si="141"/>
        <v>0</v>
      </c>
      <c r="BC404" s="49">
        <f>VLOOKUP(AH404,Leyenda!$B$4:$D$10,3,FALSE)</f>
        <v>0</v>
      </c>
      <c r="BD404" s="50">
        <f t="shared" si="133"/>
        <v>7</v>
      </c>
      <c r="BE404" s="49">
        <f t="shared" si="138"/>
        <v>9</v>
      </c>
      <c r="BF404" s="49">
        <v>10</v>
      </c>
      <c r="BG404" s="67">
        <f t="shared" si="142"/>
        <v>13.5</v>
      </c>
      <c r="BH404" s="67">
        <f>VLOOKUP(AG404,Leyenda!$B$4:$E$10,4,FALSE)</f>
        <v>0</v>
      </c>
      <c r="BI404" s="67">
        <f t="shared" si="134"/>
        <v>8</v>
      </c>
      <c r="BJ404" s="67">
        <f t="shared" si="143"/>
        <v>0</v>
      </c>
      <c r="BK404" s="67">
        <f>+VLOOKUP('2. Logging Brejo Seco'!AP404,Leyenda!$B$47:$E$51,4,FALSE)</f>
        <v>3</v>
      </c>
      <c r="BL404" s="67">
        <f>+VLOOKUP('2. Logging Brejo Seco'!AQ404,Leyenda!$B$55:$E$59,4,FALSE)</f>
        <v>1</v>
      </c>
      <c r="BM404" s="67">
        <f>+VLOOKUP('2. Logging Brejo Seco'!AR404,Leyenda!$B$63:$E$67,3,FALSE)</f>
        <v>2</v>
      </c>
      <c r="BN404" s="67">
        <f>+VLOOKUP('2. Logging Brejo Seco'!AO404,Leyenda!$B$39:$E$43,4,FALSE)</f>
        <v>1</v>
      </c>
      <c r="BO404" s="67">
        <f>+VLOOKUP('2. Logging Brejo Seco'!AN404,Leyenda!$B$30:$E$34,4,FALSE)</f>
        <v>3</v>
      </c>
      <c r="BP404" s="67">
        <f>VLOOKUP(AS404,Leyenda!$B$71:$E$75,4,FALSE)</f>
        <v>10</v>
      </c>
      <c r="BQ404" s="67">
        <f t="shared" si="139"/>
        <v>28</v>
      </c>
      <c r="BR404" s="18">
        <f t="shared" si="140"/>
        <v>26</v>
      </c>
      <c r="BS404" s="240">
        <f t="shared" si="135"/>
        <v>0.45999999999999996</v>
      </c>
      <c r="BT404" s="18"/>
    </row>
    <row r="405" spans="1:72" x14ac:dyDescent="0.25">
      <c r="A405" s="18" t="s">
        <v>6</v>
      </c>
      <c r="B405" s="18">
        <v>2024</v>
      </c>
      <c r="C405" s="18" t="s">
        <v>138</v>
      </c>
      <c r="D405" s="18" t="s">
        <v>132</v>
      </c>
      <c r="E405" s="18">
        <v>30</v>
      </c>
      <c r="F405" s="18">
        <v>30</v>
      </c>
      <c r="G405" s="18" t="s">
        <v>152</v>
      </c>
      <c r="H405" s="248">
        <f t="shared" si="144"/>
        <v>30</v>
      </c>
      <c r="I405" s="135"/>
      <c r="J405" s="18" t="s">
        <v>168</v>
      </c>
      <c r="K405" s="4">
        <f t="shared" si="128"/>
        <v>25.5</v>
      </c>
      <c r="L405" s="18">
        <v>26</v>
      </c>
      <c r="M405" s="4">
        <f t="shared" si="136"/>
        <v>0.5</v>
      </c>
      <c r="N405" s="5">
        <v>0.38</v>
      </c>
      <c r="O405" s="5">
        <f t="shared" si="132"/>
        <v>0.62</v>
      </c>
      <c r="P405" s="31">
        <f t="shared" si="137"/>
        <v>0.19</v>
      </c>
      <c r="Q405" s="31">
        <f t="shared" si="125"/>
        <v>0.19</v>
      </c>
      <c r="R405" s="31">
        <v>9.5</v>
      </c>
      <c r="S405" s="31">
        <v>20</v>
      </c>
      <c r="T405" s="31">
        <v>0.17</v>
      </c>
      <c r="U405" s="31">
        <v>0</v>
      </c>
      <c r="V405" s="65">
        <f t="shared" si="145"/>
        <v>0</v>
      </c>
      <c r="W405" s="31">
        <v>10</v>
      </c>
      <c r="X405" s="31"/>
      <c r="Y405" s="31">
        <f t="shared" si="126"/>
        <v>10</v>
      </c>
      <c r="Z405" s="31">
        <f t="shared" si="147"/>
        <v>50</v>
      </c>
      <c r="AA405" s="18">
        <v>0</v>
      </c>
      <c r="AB405" s="18" t="s">
        <v>100</v>
      </c>
      <c r="AC405" s="18" t="s">
        <v>333</v>
      </c>
      <c r="AD405" s="18" t="s">
        <v>336</v>
      </c>
      <c r="AE405" s="18">
        <v>20</v>
      </c>
      <c r="AF405" s="18">
        <v>9.5</v>
      </c>
      <c r="AG405" s="18" t="s">
        <v>29</v>
      </c>
      <c r="AH405" s="18" t="s">
        <v>29</v>
      </c>
      <c r="AI405" s="18" t="str">
        <f>+VLOOKUP(AH405,Leyenda!$O$4:$U$10,6,FALSE)</f>
        <v>0,25-0,35</v>
      </c>
      <c r="AJ405" s="18" t="str">
        <f>+VLOOKUP(AG405,Leyenda!$O$4:$U$10,7,FALSE)</f>
        <v>No Blasting need</v>
      </c>
      <c r="AK405" s="18">
        <f>+VLOOKUP(AJ405,Leyenda!$U$4:$V$10,2,FALSE)</f>
        <v>2</v>
      </c>
      <c r="AL405" s="18"/>
      <c r="AM405" s="18" t="s">
        <v>32</v>
      </c>
      <c r="AN405" s="18" t="s">
        <v>64</v>
      </c>
      <c r="AO405" s="18" t="s">
        <v>79</v>
      </c>
      <c r="AP405" s="18" t="s">
        <v>92</v>
      </c>
      <c r="AQ405" s="18" t="s">
        <v>109</v>
      </c>
      <c r="AR405" s="18" t="s">
        <v>120</v>
      </c>
      <c r="AS405" s="18" t="s">
        <v>198</v>
      </c>
      <c r="AT405" s="18"/>
      <c r="AU405" s="18"/>
      <c r="AV405" s="18">
        <f>+VLOOKUP(AN405,Leyenda!$B$30:$E$34,3,FALSE)</f>
        <v>2</v>
      </c>
      <c r="AW405" s="18">
        <f>+VLOOKUP('2. Logging Brejo Seco'!AO405,Meteorizacion,3,FALSE)</f>
        <v>1</v>
      </c>
      <c r="AX405" s="18">
        <f>+VLOOKUP('2. Logging Brejo Seco'!AP405,Apertura,3,FALSE)</f>
        <v>3</v>
      </c>
      <c r="AY405" s="18">
        <f>+VLOOKUP('2. Logging Brejo Seco'!AQ405,Leyenda!$B$55:$D$59,3,FALSE)</f>
        <v>1</v>
      </c>
      <c r="AZ405" s="18">
        <f>+VLOOKUP('2. Logging Brejo Seco'!AR405,Relleno,3,FALSE)</f>
        <v>2</v>
      </c>
      <c r="BA405" s="18">
        <f t="shared" si="146"/>
        <v>9</v>
      </c>
      <c r="BB405" s="49">
        <f t="shared" si="141"/>
        <v>0</v>
      </c>
      <c r="BC405" s="49">
        <f>VLOOKUP(AH405,Leyenda!$B$4:$D$10,3,FALSE)</f>
        <v>2</v>
      </c>
      <c r="BD405" s="50">
        <f t="shared" si="133"/>
        <v>6</v>
      </c>
      <c r="BE405" s="49">
        <f t="shared" si="138"/>
        <v>9</v>
      </c>
      <c r="BF405" s="49">
        <v>10</v>
      </c>
      <c r="BG405" s="67">
        <f t="shared" si="142"/>
        <v>13.5</v>
      </c>
      <c r="BH405" s="67">
        <f>VLOOKUP(AG405,Leyenda!$B$4:$E$10,4,FALSE)</f>
        <v>2</v>
      </c>
      <c r="BI405" s="67">
        <f t="shared" si="134"/>
        <v>5</v>
      </c>
      <c r="BJ405" s="67">
        <f t="shared" si="143"/>
        <v>0</v>
      </c>
      <c r="BK405" s="67">
        <f>+VLOOKUP('2. Logging Brejo Seco'!AP405,Leyenda!$B$47:$E$51,4,FALSE)</f>
        <v>3</v>
      </c>
      <c r="BL405" s="67">
        <f>+VLOOKUP('2. Logging Brejo Seco'!AQ405,Leyenda!$B$55:$E$59,4,FALSE)</f>
        <v>1</v>
      </c>
      <c r="BM405" s="67">
        <f>+VLOOKUP('2. Logging Brejo Seco'!AR405,Leyenda!$B$63:$E$67,3,FALSE)</f>
        <v>2</v>
      </c>
      <c r="BN405" s="67">
        <f>+VLOOKUP('2. Logging Brejo Seco'!AO405,Leyenda!$B$39:$E$43,4,FALSE)</f>
        <v>1</v>
      </c>
      <c r="BO405" s="67">
        <f>+VLOOKUP('2. Logging Brejo Seco'!AN405,Leyenda!$B$30:$E$34,4,FALSE)</f>
        <v>3</v>
      </c>
      <c r="BP405" s="67">
        <f>VLOOKUP(AS405,Leyenda!$B$71:$E$75,4,FALSE)</f>
        <v>10</v>
      </c>
      <c r="BQ405" s="67">
        <f t="shared" si="139"/>
        <v>27</v>
      </c>
      <c r="BR405" s="18">
        <f t="shared" si="140"/>
        <v>27</v>
      </c>
      <c r="BS405" s="240">
        <f t="shared" si="135"/>
        <v>0.62</v>
      </c>
      <c r="BT405" s="18"/>
    </row>
    <row r="406" spans="1:72" x14ac:dyDescent="0.25">
      <c r="A406" s="18" t="s">
        <v>6</v>
      </c>
      <c r="B406" s="18">
        <v>2024</v>
      </c>
      <c r="C406" s="18" t="s">
        <v>138</v>
      </c>
      <c r="D406" s="18" t="s">
        <v>132</v>
      </c>
      <c r="E406" s="18">
        <v>30</v>
      </c>
      <c r="F406" s="18">
        <v>30</v>
      </c>
      <c r="G406" s="18" t="s">
        <v>152</v>
      </c>
      <c r="H406" s="248">
        <f t="shared" si="144"/>
        <v>30</v>
      </c>
      <c r="I406" s="135"/>
      <c r="J406" s="18" t="s">
        <v>168</v>
      </c>
      <c r="K406" s="4">
        <f t="shared" si="128"/>
        <v>26</v>
      </c>
      <c r="L406" s="18">
        <v>26.5</v>
      </c>
      <c r="M406" s="4">
        <f t="shared" si="136"/>
        <v>0.5</v>
      </c>
      <c r="N406" s="5">
        <v>0.4</v>
      </c>
      <c r="O406" s="5">
        <f t="shared" si="132"/>
        <v>0.6</v>
      </c>
      <c r="P406" s="31">
        <f t="shared" si="137"/>
        <v>0.2</v>
      </c>
      <c r="Q406" s="31">
        <f t="shared" si="125"/>
        <v>0.2</v>
      </c>
      <c r="R406" s="31">
        <v>10</v>
      </c>
      <c r="S406" s="31">
        <v>20</v>
      </c>
      <c r="T406" s="31">
        <v>0.18</v>
      </c>
      <c r="U406" s="31">
        <v>0</v>
      </c>
      <c r="V406" s="65">
        <f t="shared" si="145"/>
        <v>0</v>
      </c>
      <c r="W406" s="31">
        <v>5</v>
      </c>
      <c r="X406" s="31"/>
      <c r="Y406" s="31">
        <f t="shared" si="126"/>
        <v>5</v>
      </c>
      <c r="Z406" s="31">
        <f t="shared" si="147"/>
        <v>100</v>
      </c>
      <c r="AA406" s="18">
        <v>0</v>
      </c>
      <c r="AB406" s="18" t="s">
        <v>100</v>
      </c>
      <c r="AC406" s="18" t="s">
        <v>333</v>
      </c>
      <c r="AD406" s="18" t="s">
        <v>336</v>
      </c>
      <c r="AE406" s="18">
        <v>20</v>
      </c>
      <c r="AF406" s="18">
        <v>10</v>
      </c>
      <c r="AG406" s="18" t="s">
        <v>29</v>
      </c>
      <c r="AH406" s="18" t="s">
        <v>29</v>
      </c>
      <c r="AI406" s="18" t="str">
        <f>+VLOOKUP(AH406,Leyenda!$O$4:$U$10,6,FALSE)</f>
        <v>0,25-0,35</v>
      </c>
      <c r="AJ406" s="18" t="str">
        <f>+VLOOKUP(AG406,Leyenda!$O$4:$U$10,7,FALSE)</f>
        <v>No Blasting need</v>
      </c>
      <c r="AK406" s="18">
        <f>+VLOOKUP(AJ406,Leyenda!$U$4:$V$10,2,FALSE)</f>
        <v>2</v>
      </c>
      <c r="AL406" s="18"/>
      <c r="AM406" s="18" t="s">
        <v>29</v>
      </c>
      <c r="AN406" s="18" t="s">
        <v>64</v>
      </c>
      <c r="AO406" s="18" t="s">
        <v>79</v>
      </c>
      <c r="AP406" s="18" t="s">
        <v>92</v>
      </c>
      <c r="AQ406" s="18" t="s">
        <v>109</v>
      </c>
      <c r="AR406" s="18" t="s">
        <v>120</v>
      </c>
      <c r="AS406" s="18" t="s">
        <v>198</v>
      </c>
      <c r="AT406" s="18"/>
      <c r="AU406" s="18"/>
      <c r="AV406" s="18">
        <f>+VLOOKUP(AN406,Leyenda!$B$30:$E$34,3,FALSE)</f>
        <v>2</v>
      </c>
      <c r="AW406" s="18">
        <f>+VLOOKUP('2. Logging Brejo Seco'!AO406,Meteorizacion,3,FALSE)</f>
        <v>1</v>
      </c>
      <c r="AX406" s="18">
        <f>+VLOOKUP('2. Logging Brejo Seco'!AP406,Apertura,3,FALSE)</f>
        <v>3</v>
      </c>
      <c r="AY406" s="18">
        <f>+VLOOKUP('2. Logging Brejo Seco'!AQ406,Leyenda!$B$55:$D$59,3,FALSE)</f>
        <v>1</v>
      </c>
      <c r="AZ406" s="18">
        <f>+VLOOKUP('2. Logging Brejo Seco'!AR406,Relleno,3,FALSE)</f>
        <v>2</v>
      </c>
      <c r="BA406" s="18">
        <f t="shared" si="146"/>
        <v>9</v>
      </c>
      <c r="BB406" s="49">
        <f t="shared" si="141"/>
        <v>0</v>
      </c>
      <c r="BC406" s="49">
        <f>VLOOKUP(AH406,Leyenda!$B$4:$D$10,3,FALSE)</f>
        <v>2</v>
      </c>
      <c r="BD406" s="50">
        <f t="shared" si="133"/>
        <v>7</v>
      </c>
      <c r="BE406" s="49">
        <f t="shared" si="138"/>
        <v>9</v>
      </c>
      <c r="BF406" s="49">
        <v>10</v>
      </c>
      <c r="BG406" s="67">
        <f t="shared" si="142"/>
        <v>13.5</v>
      </c>
      <c r="BH406" s="67">
        <f>VLOOKUP(AG406,Leyenda!$B$4:$E$10,4,FALSE)</f>
        <v>2</v>
      </c>
      <c r="BI406" s="67">
        <f t="shared" si="134"/>
        <v>8</v>
      </c>
      <c r="BJ406" s="67">
        <f t="shared" si="143"/>
        <v>0</v>
      </c>
      <c r="BK406" s="67">
        <f>+VLOOKUP('2. Logging Brejo Seco'!AP406,Leyenda!$B$47:$E$51,4,FALSE)</f>
        <v>3</v>
      </c>
      <c r="BL406" s="67">
        <f>+VLOOKUP('2. Logging Brejo Seco'!AQ406,Leyenda!$B$55:$E$59,4,FALSE)</f>
        <v>1</v>
      </c>
      <c r="BM406" s="67">
        <f>+VLOOKUP('2. Logging Brejo Seco'!AR406,Leyenda!$B$63:$E$67,3,FALSE)</f>
        <v>2</v>
      </c>
      <c r="BN406" s="67">
        <f>+VLOOKUP('2. Logging Brejo Seco'!AO406,Leyenda!$B$39:$E$43,4,FALSE)</f>
        <v>1</v>
      </c>
      <c r="BO406" s="67">
        <f>+VLOOKUP('2. Logging Brejo Seco'!AN406,Leyenda!$B$30:$E$34,4,FALSE)</f>
        <v>3</v>
      </c>
      <c r="BP406" s="67">
        <f>VLOOKUP(AS406,Leyenda!$B$71:$E$75,4,FALSE)</f>
        <v>10</v>
      </c>
      <c r="BQ406" s="67">
        <f t="shared" si="139"/>
        <v>30</v>
      </c>
      <c r="BR406" s="18">
        <f t="shared" si="140"/>
        <v>28</v>
      </c>
      <c r="BS406" s="240">
        <f t="shared" si="135"/>
        <v>0.6</v>
      </c>
      <c r="BT406" s="18"/>
    </row>
    <row r="407" spans="1:72" x14ac:dyDescent="0.25">
      <c r="A407" s="18" t="s">
        <v>6</v>
      </c>
      <c r="B407" s="18">
        <v>2024</v>
      </c>
      <c r="C407" s="18" t="s">
        <v>138</v>
      </c>
      <c r="D407" s="18" t="s">
        <v>132</v>
      </c>
      <c r="E407" s="18">
        <v>30</v>
      </c>
      <c r="F407" s="18">
        <v>30</v>
      </c>
      <c r="G407" s="18" t="s">
        <v>152</v>
      </c>
      <c r="H407" s="248">
        <f t="shared" si="144"/>
        <v>30</v>
      </c>
      <c r="I407" s="135"/>
      <c r="J407" s="18" t="s">
        <v>168</v>
      </c>
      <c r="K407" s="4">
        <f t="shared" si="128"/>
        <v>26.5</v>
      </c>
      <c r="L407" s="31">
        <v>27</v>
      </c>
      <c r="M407" s="4">
        <f t="shared" si="136"/>
        <v>0.5</v>
      </c>
      <c r="N407" s="5">
        <v>0.52</v>
      </c>
      <c r="O407" s="5">
        <f t="shared" si="132"/>
        <v>0.48</v>
      </c>
      <c r="P407" s="31">
        <f t="shared" si="137"/>
        <v>0.26</v>
      </c>
      <c r="Q407" s="31">
        <f t="shared" si="125"/>
        <v>0.26</v>
      </c>
      <c r="R407" s="31">
        <v>13</v>
      </c>
      <c r="S407" s="31">
        <v>20</v>
      </c>
      <c r="T407" s="31">
        <v>0.24</v>
      </c>
      <c r="U407" s="31">
        <v>0</v>
      </c>
      <c r="V407" s="65">
        <f t="shared" si="145"/>
        <v>0</v>
      </c>
      <c r="W407" s="31">
        <v>10</v>
      </c>
      <c r="X407" s="31"/>
      <c r="Y407" s="31">
        <f t="shared" si="126"/>
        <v>10</v>
      </c>
      <c r="Z407" s="31">
        <f t="shared" si="147"/>
        <v>50</v>
      </c>
      <c r="AA407" s="18">
        <v>0</v>
      </c>
      <c r="AB407" s="18" t="s">
        <v>100</v>
      </c>
      <c r="AC407" s="18" t="s">
        <v>333</v>
      </c>
      <c r="AD407" s="18" t="s">
        <v>337</v>
      </c>
      <c r="AE407" s="18">
        <v>20</v>
      </c>
      <c r="AF407" s="18">
        <v>13</v>
      </c>
      <c r="AG407" s="18" t="s">
        <v>29</v>
      </c>
      <c r="AH407" s="18" t="s">
        <v>29</v>
      </c>
      <c r="AI407" s="18" t="str">
        <f>+VLOOKUP(AH407,Leyenda!$O$4:$U$10,6,FALSE)</f>
        <v>0,25-0,35</v>
      </c>
      <c r="AJ407" s="18" t="str">
        <f>+VLOOKUP(AG407,Leyenda!$O$4:$U$10,7,FALSE)</f>
        <v>No Blasting need</v>
      </c>
      <c r="AK407" s="18">
        <f>+VLOOKUP(AJ407,Leyenda!$U$4:$V$10,2,FALSE)</f>
        <v>2</v>
      </c>
      <c r="AL407" s="18"/>
      <c r="AM407" s="18" t="s">
        <v>29</v>
      </c>
      <c r="AN407" s="18" t="s">
        <v>64</v>
      </c>
      <c r="AO407" s="18" t="s">
        <v>79</v>
      </c>
      <c r="AP407" s="18" t="s">
        <v>92</v>
      </c>
      <c r="AQ407" s="18" t="s">
        <v>109</v>
      </c>
      <c r="AR407" s="18" t="s">
        <v>120</v>
      </c>
      <c r="AS407" s="18" t="s">
        <v>198</v>
      </c>
      <c r="AT407" s="18"/>
      <c r="AU407" s="18"/>
      <c r="AV407" s="18">
        <f>+VLOOKUP(AN407,Leyenda!$B$30:$E$34,3,FALSE)</f>
        <v>2</v>
      </c>
      <c r="AW407" s="18">
        <f>+VLOOKUP('2. Logging Brejo Seco'!AO407,Meteorizacion,3,FALSE)</f>
        <v>1</v>
      </c>
      <c r="AX407" s="18">
        <f>+VLOOKUP('2. Logging Brejo Seco'!AP407,Apertura,3,FALSE)</f>
        <v>3</v>
      </c>
      <c r="AY407" s="18">
        <f>+VLOOKUP('2. Logging Brejo Seco'!AQ407,Leyenda!$B$55:$D$59,3,FALSE)</f>
        <v>1</v>
      </c>
      <c r="AZ407" s="18">
        <f>+VLOOKUP('2. Logging Brejo Seco'!AR407,Relleno,3,FALSE)</f>
        <v>2</v>
      </c>
      <c r="BA407" s="18">
        <f t="shared" si="146"/>
        <v>9</v>
      </c>
      <c r="BB407" s="49">
        <f t="shared" si="141"/>
        <v>0</v>
      </c>
      <c r="BC407" s="49">
        <f>VLOOKUP(AH407,Leyenda!$B$4:$D$10,3,FALSE)</f>
        <v>2</v>
      </c>
      <c r="BD407" s="50">
        <f t="shared" si="133"/>
        <v>6</v>
      </c>
      <c r="BE407" s="49">
        <f t="shared" si="138"/>
        <v>9</v>
      </c>
      <c r="BF407" s="49">
        <v>10</v>
      </c>
      <c r="BG407" s="67">
        <f t="shared" si="142"/>
        <v>13.5</v>
      </c>
      <c r="BH407" s="67">
        <f>VLOOKUP(AG407,Leyenda!$B$4:$E$10,4,FALSE)</f>
        <v>2</v>
      </c>
      <c r="BI407" s="67">
        <f t="shared" si="134"/>
        <v>5</v>
      </c>
      <c r="BJ407" s="67">
        <f t="shared" si="143"/>
        <v>0</v>
      </c>
      <c r="BK407" s="67">
        <f>+VLOOKUP('2. Logging Brejo Seco'!AP407,Leyenda!$B$47:$E$51,4,FALSE)</f>
        <v>3</v>
      </c>
      <c r="BL407" s="67">
        <f>+VLOOKUP('2. Logging Brejo Seco'!AQ407,Leyenda!$B$55:$E$59,4,FALSE)</f>
        <v>1</v>
      </c>
      <c r="BM407" s="67">
        <f>+VLOOKUP('2. Logging Brejo Seco'!AR407,Leyenda!$B$63:$E$67,3,FALSE)</f>
        <v>2</v>
      </c>
      <c r="BN407" s="67">
        <f>+VLOOKUP('2. Logging Brejo Seco'!AO407,Leyenda!$B$39:$E$43,4,FALSE)</f>
        <v>1</v>
      </c>
      <c r="BO407" s="67">
        <f>+VLOOKUP('2. Logging Brejo Seco'!AN407,Leyenda!$B$30:$E$34,4,FALSE)</f>
        <v>3</v>
      </c>
      <c r="BP407" s="67">
        <f>VLOOKUP(AS407,Leyenda!$B$71:$E$75,4,FALSE)</f>
        <v>10</v>
      </c>
      <c r="BQ407" s="67">
        <f t="shared" si="139"/>
        <v>27</v>
      </c>
      <c r="BR407" s="18">
        <f t="shared" si="140"/>
        <v>27</v>
      </c>
      <c r="BS407" s="240">
        <f t="shared" si="135"/>
        <v>0.48</v>
      </c>
      <c r="BT407" s="18"/>
    </row>
    <row r="408" spans="1:72" x14ac:dyDescent="0.25">
      <c r="A408" s="18" t="s">
        <v>6</v>
      </c>
      <c r="B408" s="18">
        <v>2024</v>
      </c>
      <c r="C408" s="18" t="s">
        <v>138</v>
      </c>
      <c r="D408" s="18" t="s">
        <v>132</v>
      </c>
      <c r="E408" s="18">
        <v>30</v>
      </c>
      <c r="F408" s="18">
        <v>30</v>
      </c>
      <c r="G408" s="18" t="s">
        <v>152</v>
      </c>
      <c r="H408" s="248">
        <f t="shared" si="144"/>
        <v>30</v>
      </c>
      <c r="I408" s="135"/>
      <c r="J408" s="18" t="s">
        <v>168</v>
      </c>
      <c r="K408" s="4">
        <f t="shared" si="128"/>
        <v>27</v>
      </c>
      <c r="L408" s="31">
        <v>27.5</v>
      </c>
      <c r="M408" s="4">
        <f t="shared" si="136"/>
        <v>0.5</v>
      </c>
      <c r="N408" s="5">
        <v>0.42</v>
      </c>
      <c r="O408" s="5">
        <f t="shared" si="132"/>
        <v>0.58000000000000007</v>
      </c>
      <c r="P408" s="31">
        <f t="shared" si="137"/>
        <v>0.21</v>
      </c>
      <c r="Q408" s="31">
        <f t="shared" si="125"/>
        <v>0.21</v>
      </c>
      <c r="R408" s="31">
        <v>10.5</v>
      </c>
      <c r="S408" s="31">
        <v>20</v>
      </c>
      <c r="T408" s="31">
        <v>0.21</v>
      </c>
      <c r="U408" s="31">
        <v>0</v>
      </c>
      <c r="V408" s="65">
        <f t="shared" si="145"/>
        <v>0</v>
      </c>
      <c r="W408" s="31">
        <v>10</v>
      </c>
      <c r="X408" s="31"/>
      <c r="Y408" s="31">
        <f t="shared" si="126"/>
        <v>10</v>
      </c>
      <c r="Z408" s="31">
        <f t="shared" si="147"/>
        <v>50</v>
      </c>
      <c r="AA408" s="18">
        <v>0</v>
      </c>
      <c r="AB408" s="18" t="s">
        <v>100</v>
      </c>
      <c r="AC408" s="18" t="s">
        <v>333</v>
      </c>
      <c r="AD408" s="18" t="s">
        <v>337</v>
      </c>
      <c r="AE408" s="18">
        <v>20</v>
      </c>
      <c r="AF408" s="18">
        <v>10.5</v>
      </c>
      <c r="AG408" s="18" t="s">
        <v>29</v>
      </c>
      <c r="AH408" s="18" t="s">
        <v>29</v>
      </c>
      <c r="AI408" s="18" t="str">
        <f>+VLOOKUP(AH408,Leyenda!$O$4:$U$10,6,FALSE)</f>
        <v>0,25-0,35</v>
      </c>
      <c r="AJ408" s="18" t="str">
        <f>+VLOOKUP(AG408,Leyenda!$O$4:$U$10,7,FALSE)</f>
        <v>No Blasting need</v>
      </c>
      <c r="AK408" s="18">
        <f>+VLOOKUP(AJ408,Leyenda!$U$4:$V$10,2,FALSE)</f>
        <v>2</v>
      </c>
      <c r="AL408" s="18"/>
      <c r="AM408" s="18" t="s">
        <v>32</v>
      </c>
      <c r="AN408" s="18" t="s">
        <v>64</v>
      </c>
      <c r="AO408" s="18" t="s">
        <v>79</v>
      </c>
      <c r="AP408" s="18" t="s">
        <v>92</v>
      </c>
      <c r="AQ408" s="18" t="s">
        <v>109</v>
      </c>
      <c r="AR408" s="18" t="s">
        <v>120</v>
      </c>
      <c r="AS408" s="18" t="s">
        <v>198</v>
      </c>
      <c r="AT408" s="18"/>
      <c r="AU408" s="18"/>
      <c r="AV408" s="18">
        <f>+VLOOKUP(AN408,Leyenda!$B$30:$E$34,3,FALSE)</f>
        <v>2</v>
      </c>
      <c r="AW408" s="18">
        <f>+VLOOKUP('2. Logging Brejo Seco'!AO408,Meteorizacion,3,FALSE)</f>
        <v>1</v>
      </c>
      <c r="AX408" s="18">
        <f>+VLOOKUP('2. Logging Brejo Seco'!AP408,Apertura,3,FALSE)</f>
        <v>3</v>
      </c>
      <c r="AY408" s="18">
        <f>+VLOOKUP('2. Logging Brejo Seco'!AQ408,Leyenda!$B$55:$D$59,3,FALSE)</f>
        <v>1</v>
      </c>
      <c r="AZ408" s="18">
        <f>+VLOOKUP('2. Logging Brejo Seco'!AR408,Relleno,3,FALSE)</f>
        <v>2</v>
      </c>
      <c r="BA408" s="18">
        <f t="shared" si="146"/>
        <v>9</v>
      </c>
      <c r="BB408" s="49">
        <f t="shared" si="141"/>
        <v>0</v>
      </c>
      <c r="BC408" s="49">
        <f>VLOOKUP(AH408,Leyenda!$B$4:$D$10,3,FALSE)</f>
        <v>2</v>
      </c>
      <c r="BD408" s="50">
        <f t="shared" si="133"/>
        <v>6</v>
      </c>
      <c r="BE408" s="49">
        <f t="shared" si="138"/>
        <v>9</v>
      </c>
      <c r="BF408" s="49">
        <v>10</v>
      </c>
      <c r="BG408" s="67">
        <f t="shared" si="142"/>
        <v>13.5</v>
      </c>
      <c r="BH408" s="67">
        <f>VLOOKUP(AG408,Leyenda!$B$4:$E$10,4,FALSE)</f>
        <v>2</v>
      </c>
      <c r="BI408" s="67">
        <f t="shared" si="134"/>
        <v>5</v>
      </c>
      <c r="BJ408" s="67">
        <f t="shared" si="143"/>
        <v>0</v>
      </c>
      <c r="BK408" s="67">
        <f>+VLOOKUP('2. Logging Brejo Seco'!AP408,Leyenda!$B$47:$E$51,4,FALSE)</f>
        <v>3</v>
      </c>
      <c r="BL408" s="67">
        <f>+VLOOKUP('2. Logging Brejo Seco'!AQ408,Leyenda!$B$55:$E$59,4,FALSE)</f>
        <v>1</v>
      </c>
      <c r="BM408" s="67">
        <f>+VLOOKUP('2. Logging Brejo Seco'!AR408,Leyenda!$B$63:$E$67,3,FALSE)</f>
        <v>2</v>
      </c>
      <c r="BN408" s="67">
        <f>+VLOOKUP('2. Logging Brejo Seco'!AO408,Leyenda!$B$39:$E$43,4,FALSE)</f>
        <v>1</v>
      </c>
      <c r="BO408" s="67">
        <f>+VLOOKUP('2. Logging Brejo Seco'!AN408,Leyenda!$B$30:$E$34,4,FALSE)</f>
        <v>3</v>
      </c>
      <c r="BP408" s="67">
        <f>VLOOKUP(AS408,Leyenda!$B$71:$E$75,4,FALSE)</f>
        <v>10</v>
      </c>
      <c r="BQ408" s="67">
        <f t="shared" si="139"/>
        <v>27</v>
      </c>
      <c r="BR408" s="18">
        <f t="shared" si="140"/>
        <v>27</v>
      </c>
      <c r="BS408" s="240">
        <f t="shared" si="135"/>
        <v>0.58000000000000007</v>
      </c>
      <c r="BT408" s="18"/>
    </row>
    <row r="409" spans="1:72" x14ac:dyDescent="0.25">
      <c r="A409" s="18" t="s">
        <v>6</v>
      </c>
      <c r="B409" s="18">
        <v>2024</v>
      </c>
      <c r="C409" s="18" t="s">
        <v>138</v>
      </c>
      <c r="D409" s="18" t="s">
        <v>132</v>
      </c>
      <c r="E409" s="18">
        <v>30</v>
      </c>
      <c r="F409" s="18">
        <v>30</v>
      </c>
      <c r="G409" s="18" t="s">
        <v>152</v>
      </c>
      <c r="H409" s="248">
        <f t="shared" si="144"/>
        <v>30</v>
      </c>
      <c r="I409" s="135"/>
      <c r="J409" s="18" t="s">
        <v>168</v>
      </c>
      <c r="K409" s="4">
        <f t="shared" si="128"/>
        <v>27.5</v>
      </c>
      <c r="L409" s="31">
        <v>28</v>
      </c>
      <c r="M409" s="4">
        <f t="shared" si="136"/>
        <v>0.5</v>
      </c>
      <c r="N409" s="5">
        <v>0.64</v>
      </c>
      <c r="O409" s="5">
        <f t="shared" si="132"/>
        <v>0.36</v>
      </c>
      <c r="P409" s="31">
        <f t="shared" si="137"/>
        <v>0.32</v>
      </c>
      <c r="Q409" s="31">
        <f t="shared" si="125"/>
        <v>0.32</v>
      </c>
      <c r="R409" s="31">
        <v>16</v>
      </c>
      <c r="S409" s="31">
        <v>20</v>
      </c>
      <c r="T409" s="31">
        <v>0.28000000000000003</v>
      </c>
      <c r="U409" s="31">
        <v>0</v>
      </c>
      <c r="V409" s="65">
        <f t="shared" si="145"/>
        <v>0</v>
      </c>
      <c r="W409" s="31">
        <v>5</v>
      </c>
      <c r="X409" s="31"/>
      <c r="Y409" s="31">
        <f t="shared" si="126"/>
        <v>5</v>
      </c>
      <c r="Z409" s="31">
        <f t="shared" si="147"/>
        <v>100</v>
      </c>
      <c r="AA409" s="18">
        <v>0</v>
      </c>
      <c r="AB409" s="18" t="s">
        <v>100</v>
      </c>
      <c r="AC409" s="18" t="s">
        <v>333</v>
      </c>
      <c r="AD409" s="18" t="s">
        <v>336</v>
      </c>
      <c r="AE409" s="18">
        <v>20</v>
      </c>
      <c r="AF409" s="18">
        <v>16</v>
      </c>
      <c r="AG409" s="18" t="s">
        <v>32</v>
      </c>
      <c r="AH409" s="18" t="s">
        <v>32</v>
      </c>
      <c r="AI409" s="18" t="str">
        <f>+VLOOKUP(AH409,Leyenda!$O$4:$U$10,6,FALSE)</f>
        <v>0,15-0,25</v>
      </c>
      <c r="AJ409" s="18" t="str">
        <f>+VLOOKUP(AG409,Leyenda!$O$4:$U$10,7,FALSE)</f>
        <v>No Blasting need</v>
      </c>
      <c r="AK409" s="18">
        <f>+VLOOKUP(AJ409,Leyenda!$U$4:$V$10,2,FALSE)</f>
        <v>2</v>
      </c>
      <c r="AL409" s="18"/>
      <c r="AM409" s="18" t="s">
        <v>32</v>
      </c>
      <c r="AN409" s="18" t="s">
        <v>64</v>
      </c>
      <c r="AO409" s="18" t="s">
        <v>79</v>
      </c>
      <c r="AP409" s="18" t="s">
        <v>92</v>
      </c>
      <c r="AQ409" s="18" t="s">
        <v>109</v>
      </c>
      <c r="AR409" s="18" t="s">
        <v>120</v>
      </c>
      <c r="AS409" s="18" t="s">
        <v>198</v>
      </c>
      <c r="AT409" s="18"/>
      <c r="AU409" s="18"/>
      <c r="AV409" s="18">
        <f>+VLOOKUP(AN409,Leyenda!$B$30:$E$34,3,FALSE)</f>
        <v>2</v>
      </c>
      <c r="AW409" s="18">
        <f>+VLOOKUP('2. Logging Brejo Seco'!AO409,Meteorizacion,3,FALSE)</f>
        <v>1</v>
      </c>
      <c r="AX409" s="18">
        <f>+VLOOKUP('2. Logging Brejo Seco'!AP409,Apertura,3,FALSE)</f>
        <v>3</v>
      </c>
      <c r="AY409" s="18">
        <f>+VLOOKUP('2. Logging Brejo Seco'!AQ409,Leyenda!$B$55:$D$59,3,FALSE)</f>
        <v>1</v>
      </c>
      <c r="AZ409" s="18">
        <f>+VLOOKUP('2. Logging Brejo Seco'!AR409,Relleno,3,FALSE)</f>
        <v>2</v>
      </c>
      <c r="BA409" s="18">
        <f t="shared" si="146"/>
        <v>9</v>
      </c>
      <c r="BB409" s="49">
        <f t="shared" si="141"/>
        <v>0</v>
      </c>
      <c r="BC409" s="49">
        <f>VLOOKUP(AH409,Leyenda!$B$4:$D$10,3,FALSE)</f>
        <v>1</v>
      </c>
      <c r="BD409" s="50">
        <f t="shared" si="133"/>
        <v>7</v>
      </c>
      <c r="BE409" s="49">
        <f t="shared" si="138"/>
        <v>9</v>
      </c>
      <c r="BF409" s="49">
        <v>10</v>
      </c>
      <c r="BG409" s="67">
        <f t="shared" si="142"/>
        <v>13.5</v>
      </c>
      <c r="BH409" s="67">
        <f>VLOOKUP(AG409,Leyenda!$B$4:$E$10,4,FALSE)</f>
        <v>1</v>
      </c>
      <c r="BI409" s="67">
        <f t="shared" si="134"/>
        <v>8</v>
      </c>
      <c r="BJ409" s="67">
        <f t="shared" si="143"/>
        <v>0</v>
      </c>
      <c r="BK409" s="67">
        <f>+VLOOKUP('2. Logging Brejo Seco'!AP409,Leyenda!$B$47:$E$51,4,FALSE)</f>
        <v>3</v>
      </c>
      <c r="BL409" s="67">
        <f>+VLOOKUP('2. Logging Brejo Seco'!AQ409,Leyenda!$B$55:$E$59,4,FALSE)</f>
        <v>1</v>
      </c>
      <c r="BM409" s="67">
        <f>+VLOOKUP('2. Logging Brejo Seco'!AR409,Leyenda!$B$63:$E$67,3,FALSE)</f>
        <v>2</v>
      </c>
      <c r="BN409" s="67">
        <f>+VLOOKUP('2. Logging Brejo Seco'!AO409,Leyenda!$B$39:$E$43,4,FALSE)</f>
        <v>1</v>
      </c>
      <c r="BO409" s="67">
        <f>+VLOOKUP('2. Logging Brejo Seco'!AN409,Leyenda!$B$30:$E$34,4,FALSE)</f>
        <v>3</v>
      </c>
      <c r="BP409" s="67">
        <f>VLOOKUP(AS409,Leyenda!$B$71:$E$75,4,FALSE)</f>
        <v>10</v>
      </c>
      <c r="BQ409" s="67">
        <f t="shared" si="139"/>
        <v>29</v>
      </c>
      <c r="BR409" s="18">
        <f t="shared" si="140"/>
        <v>27</v>
      </c>
      <c r="BS409" s="240">
        <f t="shared" si="135"/>
        <v>0.36</v>
      </c>
      <c r="BT409" s="18"/>
    </row>
    <row r="410" spans="1:72" x14ac:dyDescent="0.25">
      <c r="A410" s="18" t="s">
        <v>6</v>
      </c>
      <c r="B410" s="18">
        <v>2024</v>
      </c>
      <c r="C410" s="18" t="s">
        <v>138</v>
      </c>
      <c r="D410" s="18" t="s">
        <v>132</v>
      </c>
      <c r="E410" s="18">
        <v>30</v>
      </c>
      <c r="F410" s="18">
        <v>30</v>
      </c>
      <c r="G410" s="18" t="s">
        <v>152</v>
      </c>
      <c r="H410" s="248">
        <f t="shared" si="144"/>
        <v>30</v>
      </c>
      <c r="I410" s="135"/>
      <c r="J410" s="18" t="s">
        <v>168</v>
      </c>
      <c r="K410" s="4">
        <f t="shared" si="128"/>
        <v>28</v>
      </c>
      <c r="L410" s="31">
        <v>28.5</v>
      </c>
      <c r="M410" s="4">
        <f t="shared" si="136"/>
        <v>0.5</v>
      </c>
      <c r="N410" s="5">
        <v>0.9</v>
      </c>
      <c r="O410" s="5">
        <f t="shared" si="132"/>
        <v>9.9999999999999978E-2</v>
      </c>
      <c r="P410" s="31">
        <f t="shared" si="137"/>
        <v>0.45</v>
      </c>
      <c r="Q410" s="31">
        <f t="shared" si="125"/>
        <v>0.45</v>
      </c>
      <c r="R410" s="31">
        <v>22.5</v>
      </c>
      <c r="S410" s="31">
        <v>20</v>
      </c>
      <c r="T410" s="31">
        <v>0.44</v>
      </c>
      <c r="U410" s="31">
        <v>0</v>
      </c>
      <c r="V410" s="65">
        <f t="shared" si="145"/>
        <v>0</v>
      </c>
      <c r="W410" s="31">
        <v>10</v>
      </c>
      <c r="X410" s="31"/>
      <c r="Y410" s="31">
        <f t="shared" si="126"/>
        <v>10</v>
      </c>
      <c r="Z410" s="31">
        <f t="shared" si="147"/>
        <v>50</v>
      </c>
      <c r="AA410" s="18">
        <v>0</v>
      </c>
      <c r="AB410" s="18" t="s">
        <v>100</v>
      </c>
      <c r="AC410" s="18" t="s">
        <v>333</v>
      </c>
      <c r="AD410" s="18" t="s">
        <v>336</v>
      </c>
      <c r="AE410" s="18">
        <v>20</v>
      </c>
      <c r="AF410" s="18">
        <v>22.5</v>
      </c>
      <c r="AG410" s="18" t="s">
        <v>32</v>
      </c>
      <c r="AH410" s="18" t="s">
        <v>32</v>
      </c>
      <c r="AI410" s="18" t="str">
        <f>+VLOOKUP(AH410,Leyenda!$O$4:$U$10,6,FALSE)</f>
        <v>0,15-0,25</v>
      </c>
      <c r="AJ410" s="18" t="str">
        <f>+VLOOKUP(AG410,Leyenda!$O$4:$U$10,7,FALSE)</f>
        <v>No Blasting need</v>
      </c>
      <c r="AK410" s="18">
        <f>+VLOOKUP(AJ410,Leyenda!$U$4:$V$10,2,FALSE)</f>
        <v>2</v>
      </c>
      <c r="AL410" s="18"/>
      <c r="AM410" s="18" t="s">
        <v>32</v>
      </c>
      <c r="AN410" s="18" t="s">
        <v>64</v>
      </c>
      <c r="AO410" s="18" t="s">
        <v>79</v>
      </c>
      <c r="AP410" s="18" t="s">
        <v>92</v>
      </c>
      <c r="AQ410" s="18" t="s">
        <v>109</v>
      </c>
      <c r="AR410" s="18" t="s">
        <v>120</v>
      </c>
      <c r="AS410" s="18" t="s">
        <v>198</v>
      </c>
      <c r="AT410" s="18"/>
      <c r="AU410" s="18"/>
      <c r="AV410" s="18">
        <f>+VLOOKUP(AN410,Leyenda!$B$30:$E$34,3,FALSE)</f>
        <v>2</v>
      </c>
      <c r="AW410" s="18">
        <f>+VLOOKUP('2. Logging Brejo Seco'!AO410,Meteorizacion,3,FALSE)</f>
        <v>1</v>
      </c>
      <c r="AX410" s="18">
        <f>+VLOOKUP('2. Logging Brejo Seco'!AP410,Apertura,3,FALSE)</f>
        <v>3</v>
      </c>
      <c r="AY410" s="18">
        <f>+VLOOKUP('2. Logging Brejo Seco'!AQ410,Leyenda!$B$55:$D$59,3,FALSE)</f>
        <v>1</v>
      </c>
      <c r="AZ410" s="18">
        <f>+VLOOKUP('2. Logging Brejo Seco'!AR410,Relleno,3,FALSE)</f>
        <v>2</v>
      </c>
      <c r="BA410" s="18">
        <f t="shared" si="146"/>
        <v>9</v>
      </c>
      <c r="BB410" s="49">
        <f t="shared" si="141"/>
        <v>0</v>
      </c>
      <c r="BC410" s="49">
        <f>VLOOKUP(AH410,Leyenda!$B$4:$D$10,3,FALSE)</f>
        <v>1</v>
      </c>
      <c r="BD410" s="50">
        <f t="shared" si="133"/>
        <v>6</v>
      </c>
      <c r="BE410" s="49">
        <f t="shared" si="138"/>
        <v>9</v>
      </c>
      <c r="BF410" s="49">
        <v>10</v>
      </c>
      <c r="BG410" s="67">
        <f t="shared" si="142"/>
        <v>13.5</v>
      </c>
      <c r="BH410" s="67">
        <f>VLOOKUP(AG410,Leyenda!$B$4:$E$10,4,FALSE)</f>
        <v>1</v>
      </c>
      <c r="BI410" s="67">
        <f t="shared" si="134"/>
        <v>5</v>
      </c>
      <c r="BJ410" s="67">
        <f t="shared" si="143"/>
        <v>0</v>
      </c>
      <c r="BK410" s="67">
        <f>+VLOOKUP('2. Logging Brejo Seco'!AP410,Leyenda!$B$47:$E$51,4,FALSE)</f>
        <v>3</v>
      </c>
      <c r="BL410" s="67">
        <f>+VLOOKUP('2. Logging Brejo Seco'!AQ410,Leyenda!$B$55:$E$59,4,FALSE)</f>
        <v>1</v>
      </c>
      <c r="BM410" s="67">
        <f>+VLOOKUP('2. Logging Brejo Seco'!AR410,Leyenda!$B$63:$E$67,3,FALSE)</f>
        <v>2</v>
      </c>
      <c r="BN410" s="67">
        <f>+VLOOKUP('2. Logging Brejo Seco'!AO410,Leyenda!$B$39:$E$43,4,FALSE)</f>
        <v>1</v>
      </c>
      <c r="BO410" s="67">
        <f>+VLOOKUP('2. Logging Brejo Seco'!AN410,Leyenda!$B$30:$E$34,4,FALSE)</f>
        <v>3</v>
      </c>
      <c r="BP410" s="67">
        <f>VLOOKUP(AS410,Leyenda!$B$71:$E$75,4,FALSE)</f>
        <v>10</v>
      </c>
      <c r="BQ410" s="67">
        <f t="shared" si="139"/>
        <v>26</v>
      </c>
      <c r="BR410" s="18">
        <f t="shared" si="140"/>
        <v>26</v>
      </c>
      <c r="BS410" s="240">
        <f t="shared" si="135"/>
        <v>9.9999999999999978E-2</v>
      </c>
      <c r="BT410" s="18"/>
    </row>
    <row r="411" spans="1:72" x14ac:dyDescent="0.25">
      <c r="A411" s="18" t="s">
        <v>6</v>
      </c>
      <c r="B411" s="18">
        <v>2024</v>
      </c>
      <c r="C411" s="18" t="s">
        <v>138</v>
      </c>
      <c r="D411" s="18" t="s">
        <v>132</v>
      </c>
      <c r="E411" s="18">
        <v>30</v>
      </c>
      <c r="F411" s="18">
        <v>30</v>
      </c>
      <c r="G411" s="18" t="s">
        <v>152</v>
      </c>
      <c r="H411" s="248">
        <f t="shared" si="144"/>
        <v>30</v>
      </c>
      <c r="I411" s="135"/>
      <c r="J411" s="18" t="s">
        <v>168</v>
      </c>
      <c r="K411" s="4">
        <f t="shared" si="128"/>
        <v>28.5</v>
      </c>
      <c r="L411" s="31">
        <v>29</v>
      </c>
      <c r="M411" s="4">
        <f t="shared" si="136"/>
        <v>0.5</v>
      </c>
      <c r="N411" s="5">
        <v>1</v>
      </c>
      <c r="O411" s="5">
        <f t="shared" si="132"/>
        <v>0</v>
      </c>
      <c r="P411" s="31">
        <f t="shared" si="137"/>
        <v>0.5</v>
      </c>
      <c r="Q411" s="31">
        <f t="shared" si="125"/>
        <v>0.5</v>
      </c>
      <c r="R411" s="31">
        <v>500</v>
      </c>
      <c r="S411" s="31">
        <v>1</v>
      </c>
      <c r="T411" s="31">
        <v>0.16</v>
      </c>
      <c r="U411" s="31">
        <v>0</v>
      </c>
      <c r="V411" s="65">
        <f t="shared" si="145"/>
        <v>0</v>
      </c>
      <c r="W411" s="31">
        <v>10</v>
      </c>
      <c r="X411" s="31"/>
      <c r="Y411" s="31">
        <f t="shared" si="126"/>
        <v>10</v>
      </c>
      <c r="Z411" s="31">
        <f t="shared" si="147"/>
        <v>50</v>
      </c>
      <c r="AA411" s="18">
        <v>30</v>
      </c>
      <c r="AB411" s="18" t="s">
        <v>96</v>
      </c>
      <c r="AC411" s="18" t="s">
        <v>116</v>
      </c>
      <c r="AD411" s="18" t="s">
        <v>337</v>
      </c>
      <c r="AE411" s="18">
        <v>1</v>
      </c>
      <c r="AF411" s="18">
        <v>500</v>
      </c>
      <c r="AG411" s="18" t="s">
        <v>32</v>
      </c>
      <c r="AH411" s="18" t="s">
        <v>32</v>
      </c>
      <c r="AI411" s="18" t="str">
        <f>+VLOOKUP(AH411,Leyenda!$O$4:$U$10,6,FALSE)</f>
        <v>0,15-0,25</v>
      </c>
      <c r="AJ411" s="18" t="str">
        <f>+VLOOKUP(AG411,Leyenda!$O$4:$U$10,7,FALSE)</f>
        <v>No Blasting need</v>
      </c>
      <c r="AK411" s="18">
        <f>+VLOOKUP(AJ411,Leyenda!$U$4:$V$10,2,FALSE)</f>
        <v>2</v>
      </c>
      <c r="AL411" s="18"/>
      <c r="AM411" s="18" t="s">
        <v>32</v>
      </c>
      <c r="AN411" s="18" t="s">
        <v>64</v>
      </c>
      <c r="AO411" s="18" t="s">
        <v>79</v>
      </c>
      <c r="AP411" s="18" t="s">
        <v>92</v>
      </c>
      <c r="AQ411" s="18" t="s">
        <v>109</v>
      </c>
      <c r="AR411" s="18" t="s">
        <v>120</v>
      </c>
      <c r="AS411" s="18" t="s">
        <v>198</v>
      </c>
      <c r="AT411" s="18"/>
      <c r="AU411" s="18"/>
      <c r="AV411" s="18">
        <f>+VLOOKUP(AN411,Leyenda!$B$30:$E$34,3,FALSE)</f>
        <v>2</v>
      </c>
      <c r="AW411" s="18">
        <f>+VLOOKUP('2. Logging Brejo Seco'!AO411,Meteorizacion,3,FALSE)</f>
        <v>1</v>
      </c>
      <c r="AX411" s="18">
        <f>+VLOOKUP('2. Logging Brejo Seco'!AP411,Apertura,3,FALSE)</f>
        <v>3</v>
      </c>
      <c r="AY411" s="18">
        <f>+VLOOKUP('2. Logging Brejo Seco'!AQ411,Leyenda!$B$55:$D$59,3,FALSE)</f>
        <v>1</v>
      </c>
      <c r="AZ411" s="18">
        <f>+VLOOKUP('2. Logging Brejo Seco'!AR411,Relleno,3,FALSE)</f>
        <v>2</v>
      </c>
      <c r="BA411" s="18">
        <f t="shared" si="146"/>
        <v>9</v>
      </c>
      <c r="BB411" s="49">
        <f t="shared" si="141"/>
        <v>0</v>
      </c>
      <c r="BC411" s="49">
        <f>VLOOKUP(AH411,Leyenda!$B$4:$D$10,3,FALSE)</f>
        <v>1</v>
      </c>
      <c r="BD411" s="50">
        <f t="shared" si="133"/>
        <v>6</v>
      </c>
      <c r="BE411" s="49">
        <f t="shared" si="138"/>
        <v>9</v>
      </c>
      <c r="BF411" s="49">
        <v>10</v>
      </c>
      <c r="BG411" s="67">
        <f t="shared" si="142"/>
        <v>13.5</v>
      </c>
      <c r="BH411" s="67">
        <f>VLOOKUP(AG411,Leyenda!$B$4:$E$10,4,FALSE)</f>
        <v>1</v>
      </c>
      <c r="BI411" s="67">
        <f t="shared" si="134"/>
        <v>5</v>
      </c>
      <c r="BJ411" s="67">
        <f t="shared" si="143"/>
        <v>0</v>
      </c>
      <c r="BK411" s="67">
        <f>+VLOOKUP('2. Logging Brejo Seco'!AP411,Leyenda!$B$47:$E$51,4,FALSE)</f>
        <v>3</v>
      </c>
      <c r="BL411" s="67">
        <f>+VLOOKUP('2. Logging Brejo Seco'!AQ411,Leyenda!$B$55:$E$59,4,FALSE)</f>
        <v>1</v>
      </c>
      <c r="BM411" s="67">
        <f>+VLOOKUP('2. Logging Brejo Seco'!AR411,Leyenda!$B$63:$E$67,3,FALSE)</f>
        <v>2</v>
      </c>
      <c r="BN411" s="67">
        <f>+VLOOKUP('2. Logging Brejo Seco'!AO411,Leyenda!$B$39:$E$43,4,FALSE)</f>
        <v>1</v>
      </c>
      <c r="BO411" s="67">
        <f>+VLOOKUP('2. Logging Brejo Seco'!AN411,Leyenda!$B$30:$E$34,4,FALSE)</f>
        <v>3</v>
      </c>
      <c r="BP411" s="67">
        <f>VLOOKUP(AS411,Leyenda!$B$71:$E$75,4,FALSE)</f>
        <v>10</v>
      </c>
      <c r="BQ411" s="67">
        <f t="shared" si="139"/>
        <v>26</v>
      </c>
      <c r="BR411" s="18">
        <f t="shared" si="140"/>
        <v>26</v>
      </c>
      <c r="BS411" s="240">
        <f t="shared" si="135"/>
        <v>0</v>
      </c>
      <c r="BT411" s="18"/>
    </row>
    <row r="412" spans="1:72" x14ac:dyDescent="0.25">
      <c r="A412" s="18" t="s">
        <v>6</v>
      </c>
      <c r="B412" s="18">
        <v>2024</v>
      </c>
      <c r="C412" s="18" t="s">
        <v>138</v>
      </c>
      <c r="D412" s="18" t="s">
        <v>132</v>
      </c>
      <c r="E412" s="18">
        <v>30</v>
      </c>
      <c r="F412" s="18">
        <v>30</v>
      </c>
      <c r="G412" s="18" t="s">
        <v>152</v>
      </c>
      <c r="H412" s="248">
        <f t="shared" si="144"/>
        <v>30</v>
      </c>
      <c r="I412" s="135"/>
      <c r="J412" s="18" t="s">
        <v>168</v>
      </c>
      <c r="K412" s="4">
        <f t="shared" si="128"/>
        <v>29</v>
      </c>
      <c r="L412" s="31">
        <v>29.5</v>
      </c>
      <c r="M412" s="4">
        <f t="shared" si="136"/>
        <v>0.5</v>
      </c>
      <c r="N412" s="5">
        <v>1</v>
      </c>
      <c r="O412" s="5">
        <f t="shared" si="132"/>
        <v>0</v>
      </c>
      <c r="P412" s="31">
        <f t="shared" si="137"/>
        <v>0.5</v>
      </c>
      <c r="Q412" s="31">
        <f t="shared" si="125"/>
        <v>0.5</v>
      </c>
      <c r="R412" s="31">
        <v>100</v>
      </c>
      <c r="S412" s="31">
        <v>5</v>
      </c>
      <c r="T412" s="31"/>
      <c r="U412" s="31"/>
      <c r="V412" s="65">
        <f t="shared" si="145"/>
        <v>0</v>
      </c>
      <c r="W412" s="31"/>
      <c r="X412" s="31"/>
      <c r="Y412" s="31"/>
      <c r="Z412" s="31"/>
      <c r="AA412" s="18">
        <v>68</v>
      </c>
      <c r="AB412" s="18" t="s">
        <v>92</v>
      </c>
      <c r="AC412" s="18" t="s">
        <v>118</v>
      </c>
      <c r="AD412" s="18" t="s">
        <v>337</v>
      </c>
      <c r="AE412" s="18">
        <v>5</v>
      </c>
      <c r="AF412" s="18">
        <v>100</v>
      </c>
      <c r="AG412" s="18" t="s">
        <v>32</v>
      </c>
      <c r="AH412" s="18" t="s">
        <v>32</v>
      </c>
      <c r="AI412" s="18" t="str">
        <f>+VLOOKUP(AH412,Leyenda!$O$4:$U$10,6,FALSE)</f>
        <v>0,15-0,25</v>
      </c>
      <c r="AJ412" s="18" t="str">
        <f>+VLOOKUP(AG412,Leyenda!$O$4:$U$10,7,FALSE)</f>
        <v>No Blasting need</v>
      </c>
      <c r="AK412" s="18">
        <f>+VLOOKUP(AJ412,Leyenda!$U$4:$V$10,2,FALSE)</f>
        <v>2</v>
      </c>
      <c r="AL412" s="18"/>
      <c r="AM412" s="18" t="s">
        <v>32</v>
      </c>
      <c r="AN412" s="18" t="s">
        <v>64</v>
      </c>
      <c r="AO412" s="18" t="s">
        <v>79</v>
      </c>
      <c r="AP412" s="18" t="s">
        <v>92</v>
      </c>
      <c r="AQ412" s="18" t="s">
        <v>109</v>
      </c>
      <c r="AR412" s="18" t="s">
        <v>120</v>
      </c>
      <c r="AS412" s="18" t="s">
        <v>198</v>
      </c>
      <c r="AT412" s="18"/>
      <c r="AU412" s="18"/>
      <c r="AV412" s="18">
        <f>+VLOOKUP(AN412,Leyenda!$B$30:$E$34,3,FALSE)</f>
        <v>2</v>
      </c>
      <c r="AW412" s="18">
        <f>+VLOOKUP('2. Logging Brejo Seco'!AO412,Meteorizacion,3,FALSE)</f>
        <v>1</v>
      </c>
      <c r="AX412" s="18">
        <f>+VLOOKUP('2. Logging Brejo Seco'!AP412,Apertura,3,FALSE)</f>
        <v>3</v>
      </c>
      <c r="AY412" s="18">
        <f>+VLOOKUP('2. Logging Brejo Seco'!AQ412,Leyenda!$B$55:$D$59,3,FALSE)</f>
        <v>1</v>
      </c>
      <c r="AZ412" s="18">
        <f>+VLOOKUP('2. Logging Brejo Seco'!AR412,Relleno,3,FALSE)</f>
        <v>2</v>
      </c>
      <c r="BA412" s="18">
        <f t="shared" si="146"/>
        <v>9</v>
      </c>
      <c r="BB412" s="49">
        <f t="shared" si="141"/>
        <v>0</v>
      </c>
      <c r="BC412" s="49">
        <f>VLOOKUP(AH412,Leyenda!$B$4:$D$10,3,FALSE)</f>
        <v>1</v>
      </c>
      <c r="BD412" s="50">
        <f t="shared" si="133"/>
        <v>0</v>
      </c>
      <c r="BE412" s="49">
        <f t="shared" si="138"/>
        <v>9</v>
      </c>
      <c r="BF412" s="49">
        <v>10</v>
      </c>
      <c r="BG412" s="67">
        <f t="shared" si="142"/>
        <v>13.5</v>
      </c>
      <c r="BH412" s="67">
        <f>VLOOKUP(AG412,Leyenda!$B$4:$E$10,4,FALSE)</f>
        <v>1</v>
      </c>
      <c r="BI412" s="67">
        <f t="shared" si="134"/>
        <v>5</v>
      </c>
      <c r="BJ412" s="67">
        <f t="shared" si="143"/>
        <v>0</v>
      </c>
      <c r="BK412" s="67">
        <f>+VLOOKUP('2. Logging Brejo Seco'!AP412,Leyenda!$B$47:$E$51,4,FALSE)</f>
        <v>3</v>
      </c>
      <c r="BL412" s="67">
        <f>+VLOOKUP('2. Logging Brejo Seco'!AQ412,Leyenda!$B$55:$E$59,4,FALSE)</f>
        <v>1</v>
      </c>
      <c r="BM412" s="67">
        <f>+VLOOKUP('2. Logging Brejo Seco'!AR412,Leyenda!$B$63:$E$67,3,FALSE)</f>
        <v>2</v>
      </c>
      <c r="BN412" s="67">
        <f>+VLOOKUP('2. Logging Brejo Seco'!AO412,Leyenda!$B$39:$E$43,4,FALSE)</f>
        <v>1</v>
      </c>
      <c r="BO412" s="67">
        <f>+VLOOKUP('2. Logging Brejo Seco'!AN412,Leyenda!$B$30:$E$34,4,FALSE)</f>
        <v>3</v>
      </c>
      <c r="BP412" s="67">
        <f>VLOOKUP(AS412,Leyenda!$B$71:$E$75,4,FALSE)</f>
        <v>10</v>
      </c>
      <c r="BQ412" s="67">
        <f t="shared" si="139"/>
        <v>26</v>
      </c>
      <c r="BR412" s="18">
        <f t="shared" si="140"/>
        <v>20</v>
      </c>
      <c r="BS412" s="240">
        <f t="shared" si="135"/>
        <v>0</v>
      </c>
      <c r="BT412" s="18"/>
    </row>
    <row r="413" spans="1:72" x14ac:dyDescent="0.25">
      <c r="A413" s="18" t="s">
        <v>6</v>
      </c>
      <c r="B413" s="18">
        <v>2024</v>
      </c>
      <c r="C413" s="18" t="s">
        <v>138</v>
      </c>
      <c r="D413" s="18" t="s">
        <v>132</v>
      </c>
      <c r="E413" s="18">
        <v>30</v>
      </c>
      <c r="F413" s="18">
        <v>30</v>
      </c>
      <c r="G413" s="18" t="s">
        <v>152</v>
      </c>
      <c r="H413" s="248">
        <f t="shared" si="144"/>
        <v>30</v>
      </c>
      <c r="I413" s="135"/>
      <c r="J413" s="18" t="s">
        <v>168</v>
      </c>
      <c r="K413" s="4">
        <f t="shared" si="128"/>
        <v>29.5</v>
      </c>
      <c r="L413" s="31">
        <v>30</v>
      </c>
      <c r="M413" s="4">
        <f t="shared" si="136"/>
        <v>0.5</v>
      </c>
      <c r="N413" s="5">
        <v>1</v>
      </c>
      <c r="O413" s="5">
        <f t="shared" si="132"/>
        <v>0</v>
      </c>
      <c r="P413" s="31">
        <f t="shared" si="137"/>
        <v>0.5</v>
      </c>
      <c r="Q413" s="31">
        <f t="shared" si="125"/>
        <v>0.5</v>
      </c>
      <c r="R413" s="31">
        <v>500</v>
      </c>
      <c r="S413" s="31">
        <v>1</v>
      </c>
      <c r="T413" s="31"/>
      <c r="U413" s="31"/>
      <c r="V413" s="65">
        <f t="shared" si="145"/>
        <v>0</v>
      </c>
      <c r="W413" s="31"/>
      <c r="X413" s="31"/>
      <c r="Y413" s="31"/>
      <c r="Z413" s="31"/>
      <c r="AA413" s="18">
        <v>38</v>
      </c>
      <c r="AB413" s="18" t="s">
        <v>92</v>
      </c>
      <c r="AC413" s="18" t="s">
        <v>116</v>
      </c>
      <c r="AD413" s="18" t="s">
        <v>337</v>
      </c>
      <c r="AE413" s="18">
        <v>1</v>
      </c>
      <c r="AF413" s="18">
        <v>500</v>
      </c>
      <c r="AG413" s="18" t="s">
        <v>32</v>
      </c>
      <c r="AH413" s="18" t="s">
        <v>32</v>
      </c>
      <c r="AI413" s="18" t="str">
        <f>+VLOOKUP(AH413,Leyenda!$O$4:$U$10,6,FALSE)</f>
        <v>0,15-0,25</v>
      </c>
      <c r="AJ413" s="18" t="str">
        <f>+VLOOKUP(AG413,Leyenda!$O$4:$U$10,7,FALSE)</f>
        <v>No Blasting need</v>
      </c>
      <c r="AK413" s="18">
        <f>+VLOOKUP(AJ413,Leyenda!$U$4:$V$10,2,FALSE)</f>
        <v>2</v>
      </c>
      <c r="AL413" s="18"/>
      <c r="AM413" s="18" t="s">
        <v>32</v>
      </c>
      <c r="AN413" s="18" t="s">
        <v>64</v>
      </c>
      <c r="AO413" s="18" t="s">
        <v>79</v>
      </c>
      <c r="AP413" s="18" t="s">
        <v>92</v>
      </c>
      <c r="AQ413" s="18" t="s">
        <v>109</v>
      </c>
      <c r="AR413" s="18" t="s">
        <v>120</v>
      </c>
      <c r="AS413" s="18" t="s">
        <v>198</v>
      </c>
      <c r="AT413" s="18"/>
      <c r="AU413" s="18"/>
      <c r="AV413" s="18">
        <f>+VLOOKUP(AN413,Leyenda!$B$30:$E$34,3,FALSE)</f>
        <v>2</v>
      </c>
      <c r="AW413" s="18">
        <f>+VLOOKUP('2. Logging Brejo Seco'!AO413,Meteorizacion,3,FALSE)</f>
        <v>1</v>
      </c>
      <c r="AX413" s="18">
        <f>+VLOOKUP('2. Logging Brejo Seco'!AP413,Apertura,3,FALSE)</f>
        <v>3</v>
      </c>
      <c r="AY413" s="18">
        <f>+VLOOKUP('2. Logging Brejo Seco'!AQ413,Leyenda!$B$55:$D$59,3,FALSE)</f>
        <v>1</v>
      </c>
      <c r="AZ413" s="18">
        <f>+VLOOKUP('2. Logging Brejo Seco'!AR413,Relleno,3,FALSE)</f>
        <v>2</v>
      </c>
      <c r="BA413" s="18">
        <f t="shared" si="146"/>
        <v>9</v>
      </c>
      <c r="BB413" s="49">
        <f t="shared" si="141"/>
        <v>0</v>
      </c>
      <c r="BC413" s="49">
        <f>VLOOKUP(AH413,Leyenda!$B$4:$D$10,3,FALSE)</f>
        <v>1</v>
      </c>
      <c r="BD413" s="50">
        <f t="shared" si="133"/>
        <v>0</v>
      </c>
      <c r="BE413" s="49">
        <f t="shared" si="138"/>
        <v>9</v>
      </c>
      <c r="BF413" s="49">
        <v>10</v>
      </c>
      <c r="BG413" s="67">
        <f t="shared" si="142"/>
        <v>13.5</v>
      </c>
      <c r="BH413" s="67">
        <f>VLOOKUP(AG413,Leyenda!$B$4:$E$10,4,FALSE)</f>
        <v>1</v>
      </c>
      <c r="BI413" s="67">
        <f t="shared" si="134"/>
        <v>5</v>
      </c>
      <c r="BJ413" s="67">
        <f t="shared" si="143"/>
        <v>0</v>
      </c>
      <c r="BK413" s="67">
        <f>+VLOOKUP('2. Logging Brejo Seco'!AP413,Leyenda!$B$47:$E$51,4,FALSE)</f>
        <v>3</v>
      </c>
      <c r="BL413" s="67">
        <f>+VLOOKUP('2. Logging Brejo Seco'!AQ413,Leyenda!$B$55:$E$59,4,FALSE)</f>
        <v>1</v>
      </c>
      <c r="BM413" s="67">
        <f>+VLOOKUP('2. Logging Brejo Seco'!AR413,Leyenda!$B$63:$E$67,3,FALSE)</f>
        <v>2</v>
      </c>
      <c r="BN413" s="67">
        <f>+VLOOKUP('2. Logging Brejo Seco'!AO413,Leyenda!$B$39:$E$43,4,FALSE)</f>
        <v>1</v>
      </c>
      <c r="BO413" s="67">
        <f>+VLOOKUP('2. Logging Brejo Seco'!AN413,Leyenda!$B$30:$E$34,4,FALSE)</f>
        <v>3</v>
      </c>
      <c r="BP413" s="67">
        <f>VLOOKUP(AS413,Leyenda!$B$71:$E$75,4,FALSE)</f>
        <v>10</v>
      </c>
      <c r="BQ413" s="67">
        <f t="shared" si="139"/>
        <v>26</v>
      </c>
      <c r="BR413" s="18">
        <f t="shared" si="140"/>
        <v>20</v>
      </c>
      <c r="BS413" s="240">
        <f t="shared" si="135"/>
        <v>0</v>
      </c>
      <c r="BT413" s="18"/>
    </row>
    <row r="414" spans="1:72" x14ac:dyDescent="0.25">
      <c r="A414" s="18" t="s">
        <v>6</v>
      </c>
      <c r="B414" s="18">
        <v>2024</v>
      </c>
      <c r="C414" s="18" t="s">
        <v>138</v>
      </c>
      <c r="D414" s="18" t="s">
        <v>134</v>
      </c>
      <c r="E414" s="18">
        <v>60</v>
      </c>
      <c r="F414" s="18">
        <v>60</v>
      </c>
      <c r="G414" s="18" t="s">
        <v>136</v>
      </c>
      <c r="H414" s="248">
        <f t="shared" si="144"/>
        <v>60</v>
      </c>
      <c r="I414" s="135"/>
      <c r="J414" s="18" t="s">
        <v>169</v>
      </c>
      <c r="K414" s="4">
        <v>0</v>
      </c>
      <c r="L414" s="31">
        <v>0.5</v>
      </c>
      <c r="M414" s="4">
        <f t="shared" si="136"/>
        <v>0.5</v>
      </c>
      <c r="N414" s="5">
        <v>0.62</v>
      </c>
      <c r="O414" s="5">
        <f t="shared" si="132"/>
        <v>0.38</v>
      </c>
      <c r="P414" s="31">
        <f t="shared" si="137"/>
        <v>0.31</v>
      </c>
      <c r="Q414" s="18">
        <f t="shared" si="125"/>
        <v>0.31</v>
      </c>
      <c r="R414" s="18">
        <v>15.5</v>
      </c>
      <c r="S414" s="18">
        <v>20</v>
      </c>
      <c r="T414" s="18">
        <v>0.27</v>
      </c>
      <c r="U414" s="18">
        <v>0</v>
      </c>
      <c r="V414" s="65">
        <f t="shared" si="145"/>
        <v>0</v>
      </c>
      <c r="W414" s="18">
        <v>4</v>
      </c>
      <c r="X414" s="18"/>
      <c r="Y414" s="18">
        <f>+W414+X414</f>
        <v>4</v>
      </c>
      <c r="Z414" s="31">
        <f t="shared" si="147"/>
        <v>125</v>
      </c>
      <c r="AA414" s="18">
        <v>0</v>
      </c>
      <c r="AB414" s="18" t="s">
        <v>330</v>
      </c>
      <c r="AC414" s="18" t="s">
        <v>333</v>
      </c>
      <c r="AD414" s="18" t="s">
        <v>336</v>
      </c>
      <c r="AE414" s="18">
        <v>20</v>
      </c>
      <c r="AF414" s="18">
        <v>15.5</v>
      </c>
      <c r="AG414" s="18" t="s">
        <v>32</v>
      </c>
      <c r="AH414" s="18" t="s">
        <v>32</v>
      </c>
      <c r="AI414" s="18" t="str">
        <f>+VLOOKUP(AH414,Leyenda!$O$4:$U$10,6,FALSE)</f>
        <v>0,15-0,25</v>
      </c>
      <c r="AJ414" s="18" t="str">
        <f>+VLOOKUP(AG414,Leyenda!$O$4:$U$10,7,FALSE)</f>
        <v>No Blasting need</v>
      </c>
      <c r="AK414" s="18">
        <f>+VLOOKUP(AJ414,Leyenda!$U$4:$V$10,2,FALSE)</f>
        <v>2</v>
      </c>
      <c r="AL414" s="18" t="s">
        <v>239</v>
      </c>
      <c r="AM414" s="18" t="s">
        <v>32</v>
      </c>
      <c r="AN414" s="18" t="s">
        <v>69</v>
      </c>
      <c r="AO414" s="18" t="s">
        <v>81</v>
      </c>
      <c r="AP414" s="18" t="s">
        <v>100</v>
      </c>
      <c r="AQ414" s="18" t="s">
        <v>109</v>
      </c>
      <c r="AR414" s="18" t="s">
        <v>122</v>
      </c>
      <c r="AS414" s="18" t="s">
        <v>247</v>
      </c>
      <c r="AT414" s="18"/>
      <c r="AU414" s="18"/>
      <c r="AV414" s="18">
        <f>+VLOOKUP(AN414,Leyenda!$B$30:$E$34,3,FALSE)</f>
        <v>0</v>
      </c>
      <c r="AW414" s="18">
        <f>+VLOOKUP('2. Logging Brejo Seco'!AO414,Meteorizacion,3,FALSE)</f>
        <v>0</v>
      </c>
      <c r="AX414" s="18">
        <f>+VLOOKUP('2. Logging Brejo Seco'!AP414,Apertura,3,FALSE)</f>
        <v>0</v>
      </c>
      <c r="AY414" s="18">
        <f>+VLOOKUP('2. Logging Brejo Seco'!AQ414,Leyenda!$B$55:$D$59,3,FALSE)</f>
        <v>1</v>
      </c>
      <c r="AZ414" s="18">
        <f>+VLOOKUP('2. Logging Brejo Seco'!AR414,Relleno,3,FALSE)</f>
        <v>0</v>
      </c>
      <c r="BA414" s="18">
        <f t="shared" si="146"/>
        <v>1</v>
      </c>
      <c r="BB414" s="49">
        <f t="shared" si="141"/>
        <v>0</v>
      </c>
      <c r="BC414" s="49">
        <f>VLOOKUP(AH414,Leyenda!$B$4:$D$10,3,FALSE)</f>
        <v>1</v>
      </c>
      <c r="BD414" s="50">
        <f t="shared" si="133"/>
        <v>8</v>
      </c>
      <c r="BE414" s="49">
        <f t="shared" si="138"/>
        <v>1</v>
      </c>
      <c r="BF414" s="49">
        <f>VLOOKUP(AS414,Leyenda!$B$70:$D$75,3,FALSE)</f>
        <v>10</v>
      </c>
      <c r="BG414" s="67">
        <f t="shared" si="142"/>
        <v>1.5</v>
      </c>
      <c r="BH414" s="67">
        <f>VLOOKUP(AG414,Leyenda!$B$4:$E$10,4,FALSE)</f>
        <v>1</v>
      </c>
      <c r="BI414" s="67">
        <f t="shared" si="134"/>
        <v>10</v>
      </c>
      <c r="BJ414" s="67">
        <f t="shared" si="143"/>
        <v>0</v>
      </c>
      <c r="BK414" s="67">
        <f>+VLOOKUP('2. Logging Brejo Seco'!AP414,Leyenda!$B$47:$E$51,4,FALSE)</f>
        <v>0</v>
      </c>
      <c r="BL414" s="67">
        <f>+VLOOKUP('2. Logging Brejo Seco'!AQ414,Leyenda!$B$55:$E$59,4,FALSE)</f>
        <v>1</v>
      </c>
      <c r="BM414" s="67">
        <f>+VLOOKUP('2. Logging Brejo Seco'!AR414,Leyenda!$B$63:$E$67,3,FALSE)</f>
        <v>0</v>
      </c>
      <c r="BN414" s="67">
        <f>+VLOOKUP('2. Logging Brejo Seco'!AO414,Leyenda!$B$39:$E$43,4,FALSE)</f>
        <v>0</v>
      </c>
      <c r="BO414" s="67">
        <f>+VLOOKUP('2. Logging Brejo Seco'!AN414,Leyenda!$B$30:$E$34,4,FALSE)</f>
        <v>0</v>
      </c>
      <c r="BP414" s="67">
        <f>VLOOKUP(AS414,Leyenda!$B$71:$E$75,4,FALSE)</f>
        <v>7</v>
      </c>
      <c r="BQ414" s="67">
        <f t="shared" si="139"/>
        <v>19</v>
      </c>
      <c r="BR414" s="18">
        <f t="shared" si="140"/>
        <v>20</v>
      </c>
      <c r="BS414" s="240">
        <f t="shared" si="135"/>
        <v>0.38</v>
      </c>
      <c r="BT414" s="18"/>
    </row>
    <row r="415" spans="1:72" x14ac:dyDescent="0.25">
      <c r="A415" s="18" t="s">
        <v>6</v>
      </c>
      <c r="B415" s="18">
        <v>2024</v>
      </c>
      <c r="C415" s="18" t="s">
        <v>138</v>
      </c>
      <c r="D415" s="18" t="s">
        <v>134</v>
      </c>
      <c r="E415" s="18">
        <v>60</v>
      </c>
      <c r="F415" s="18">
        <v>60</v>
      </c>
      <c r="G415" s="18" t="s">
        <v>136</v>
      </c>
      <c r="H415" s="248">
        <f t="shared" si="144"/>
        <v>60</v>
      </c>
      <c r="I415" s="135"/>
      <c r="J415" s="18" t="s">
        <v>169</v>
      </c>
      <c r="K415" s="31">
        <f>+L414</f>
        <v>0.5</v>
      </c>
      <c r="L415" s="31">
        <v>1</v>
      </c>
      <c r="M415" s="4">
        <f t="shared" si="136"/>
        <v>0.5</v>
      </c>
      <c r="N415" s="5">
        <v>0.5</v>
      </c>
      <c r="O415" s="5">
        <f t="shared" si="132"/>
        <v>0.5</v>
      </c>
      <c r="P415" s="31">
        <f t="shared" si="137"/>
        <v>0.25</v>
      </c>
      <c r="Q415" s="18">
        <f t="shared" si="125"/>
        <v>0.25</v>
      </c>
      <c r="R415" s="18">
        <v>12.5</v>
      </c>
      <c r="S415" s="18">
        <v>20</v>
      </c>
      <c r="T415" s="18">
        <v>0.25</v>
      </c>
      <c r="U415" s="18">
        <v>0</v>
      </c>
      <c r="V415" s="65">
        <f t="shared" si="145"/>
        <v>0</v>
      </c>
      <c r="W415" s="18">
        <v>4</v>
      </c>
      <c r="X415" s="18"/>
      <c r="Y415" s="18">
        <f t="shared" ref="Y415:Y473" si="148">+W415+X415</f>
        <v>4</v>
      </c>
      <c r="Z415" s="31">
        <f t="shared" si="147"/>
        <v>125</v>
      </c>
      <c r="AA415" s="18">
        <v>0</v>
      </c>
      <c r="AB415" s="18" t="s">
        <v>100</v>
      </c>
      <c r="AC415" s="18" t="s">
        <v>333</v>
      </c>
      <c r="AD415" s="18" t="s">
        <v>337</v>
      </c>
      <c r="AE415" s="18">
        <v>20</v>
      </c>
      <c r="AF415" s="18">
        <v>12.5</v>
      </c>
      <c r="AG415" s="18" t="s">
        <v>29</v>
      </c>
      <c r="AH415" s="18" t="s">
        <v>29</v>
      </c>
      <c r="AI415" s="18" t="str">
        <f>+VLOOKUP(AH415,Leyenda!$O$4:$U$10,6,FALSE)</f>
        <v>0,25-0,35</v>
      </c>
      <c r="AJ415" s="18" t="str">
        <f>+VLOOKUP(AG415,Leyenda!$O$4:$U$10,7,FALSE)</f>
        <v>No Blasting need</v>
      </c>
      <c r="AK415" s="18">
        <f>+VLOOKUP(AJ415,Leyenda!$U$4:$V$10,2,FALSE)</f>
        <v>2</v>
      </c>
      <c r="AL415" s="18" t="s">
        <v>239</v>
      </c>
      <c r="AM415" s="18" t="s">
        <v>29</v>
      </c>
      <c r="AN415" s="18" t="s">
        <v>69</v>
      </c>
      <c r="AO415" s="18" t="s">
        <v>81</v>
      </c>
      <c r="AP415" s="18" t="s">
        <v>100</v>
      </c>
      <c r="AQ415" s="18" t="s">
        <v>109</v>
      </c>
      <c r="AR415" s="18" t="s">
        <v>122</v>
      </c>
      <c r="AS415" s="18" t="s">
        <v>247</v>
      </c>
      <c r="AT415" s="18"/>
      <c r="AU415" s="18"/>
      <c r="AV415" s="18">
        <f>+VLOOKUP(AN415,Leyenda!$B$30:$E$34,3,FALSE)</f>
        <v>0</v>
      </c>
      <c r="AW415" s="18">
        <f>+VLOOKUP('2. Logging Brejo Seco'!AO415,Meteorizacion,3,FALSE)</f>
        <v>0</v>
      </c>
      <c r="AX415" s="18">
        <f>+VLOOKUP('2. Logging Brejo Seco'!AP415,Apertura,3,FALSE)</f>
        <v>0</v>
      </c>
      <c r="AY415" s="18">
        <f>+VLOOKUP('2. Logging Brejo Seco'!AQ415,Leyenda!$B$55:$D$59,3,FALSE)</f>
        <v>1</v>
      </c>
      <c r="AZ415" s="18">
        <f>+VLOOKUP('2. Logging Brejo Seco'!AR415,Relleno,3,FALSE)</f>
        <v>0</v>
      </c>
      <c r="BA415" s="18">
        <f t="shared" si="146"/>
        <v>1</v>
      </c>
      <c r="BB415" s="49">
        <f t="shared" si="141"/>
        <v>0</v>
      </c>
      <c r="BC415" s="49">
        <f>VLOOKUP(AH415,Leyenda!$B$4:$D$10,3,FALSE)</f>
        <v>2</v>
      </c>
      <c r="BD415" s="50">
        <f t="shared" si="133"/>
        <v>8</v>
      </c>
      <c r="BE415" s="49">
        <f t="shared" si="138"/>
        <v>1</v>
      </c>
      <c r="BF415" s="49">
        <f>VLOOKUP(AS415,Leyenda!$B$70:$D$75,3,FALSE)</f>
        <v>10</v>
      </c>
      <c r="BG415" s="67">
        <f t="shared" si="142"/>
        <v>1.5</v>
      </c>
      <c r="BH415" s="67">
        <f>VLOOKUP(AG415,Leyenda!$B$4:$E$10,4,FALSE)</f>
        <v>2</v>
      </c>
      <c r="BI415" s="67">
        <f t="shared" si="134"/>
        <v>10</v>
      </c>
      <c r="BJ415" s="67">
        <f t="shared" si="143"/>
        <v>0</v>
      </c>
      <c r="BK415" s="67">
        <f>+VLOOKUP('2. Logging Brejo Seco'!AP415,Leyenda!$B$47:$E$51,4,FALSE)</f>
        <v>0</v>
      </c>
      <c r="BL415" s="67">
        <f>+VLOOKUP('2. Logging Brejo Seco'!AQ415,Leyenda!$B$55:$E$59,4,FALSE)</f>
        <v>1</v>
      </c>
      <c r="BM415" s="67">
        <f>+VLOOKUP('2. Logging Brejo Seco'!AR415,Leyenda!$B$63:$E$67,3,FALSE)</f>
        <v>0</v>
      </c>
      <c r="BN415" s="67">
        <f>+VLOOKUP('2. Logging Brejo Seco'!AO415,Leyenda!$B$39:$E$43,4,FALSE)</f>
        <v>0</v>
      </c>
      <c r="BO415" s="67">
        <f>+VLOOKUP('2. Logging Brejo Seco'!AN415,Leyenda!$B$30:$E$34,4,FALSE)</f>
        <v>0</v>
      </c>
      <c r="BP415" s="67">
        <f>VLOOKUP(AS415,Leyenda!$B$71:$E$75,4,FALSE)</f>
        <v>7</v>
      </c>
      <c r="BQ415" s="67">
        <f t="shared" si="139"/>
        <v>20</v>
      </c>
      <c r="BR415" s="18">
        <f t="shared" si="140"/>
        <v>21</v>
      </c>
      <c r="BS415" s="240">
        <f t="shared" si="135"/>
        <v>0.5</v>
      </c>
      <c r="BT415" s="18"/>
    </row>
    <row r="416" spans="1:72" x14ac:dyDescent="0.25">
      <c r="A416" s="18" t="s">
        <v>6</v>
      </c>
      <c r="B416" s="18">
        <v>2024</v>
      </c>
      <c r="C416" s="18" t="s">
        <v>138</v>
      </c>
      <c r="D416" s="18" t="s">
        <v>134</v>
      </c>
      <c r="E416" s="18">
        <v>60</v>
      </c>
      <c r="F416" s="18">
        <v>60</v>
      </c>
      <c r="G416" s="18" t="s">
        <v>136</v>
      </c>
      <c r="H416" s="248">
        <f t="shared" si="144"/>
        <v>60</v>
      </c>
      <c r="I416" s="135"/>
      <c r="J416" s="18" t="s">
        <v>169</v>
      </c>
      <c r="K416" s="31">
        <f t="shared" ref="K416:K462" si="149">+L415</f>
        <v>1</v>
      </c>
      <c r="L416" s="31">
        <v>1.5</v>
      </c>
      <c r="M416" s="4">
        <f t="shared" si="136"/>
        <v>0.5</v>
      </c>
      <c r="N416" s="5">
        <v>0.34</v>
      </c>
      <c r="O416" s="5">
        <f t="shared" si="132"/>
        <v>0.65999999999999992</v>
      </c>
      <c r="P416" s="31">
        <f t="shared" si="137"/>
        <v>0.17</v>
      </c>
      <c r="Q416" s="18">
        <f t="shared" si="125"/>
        <v>0.17</v>
      </c>
      <c r="R416" s="18">
        <v>8.5</v>
      </c>
      <c r="S416" s="18">
        <v>20</v>
      </c>
      <c r="T416" s="18">
        <v>0.16</v>
      </c>
      <c r="U416" s="18">
        <v>0</v>
      </c>
      <c r="V416" s="65">
        <f t="shared" si="145"/>
        <v>0</v>
      </c>
      <c r="W416" s="18">
        <v>5</v>
      </c>
      <c r="X416" s="18"/>
      <c r="Y416" s="18">
        <f t="shared" si="148"/>
        <v>5</v>
      </c>
      <c r="Z416" s="31">
        <f t="shared" si="147"/>
        <v>100</v>
      </c>
      <c r="AA416" s="18">
        <v>0</v>
      </c>
      <c r="AB416" s="18" t="s">
        <v>100</v>
      </c>
      <c r="AC416" s="18" t="s">
        <v>333</v>
      </c>
      <c r="AD416" s="18" t="s">
        <v>336</v>
      </c>
      <c r="AE416" s="18">
        <v>20</v>
      </c>
      <c r="AF416" s="18">
        <v>8.5</v>
      </c>
      <c r="AG416" s="18" t="s">
        <v>32</v>
      </c>
      <c r="AH416" s="18" t="s">
        <v>32</v>
      </c>
      <c r="AI416" s="18" t="str">
        <f>+VLOOKUP(AH416,Leyenda!$O$4:$U$10,6,FALSE)</f>
        <v>0,15-0,25</v>
      </c>
      <c r="AJ416" s="18" t="str">
        <f>+VLOOKUP(AG416,Leyenda!$O$4:$U$10,7,FALSE)</f>
        <v>No Blasting need</v>
      </c>
      <c r="AK416" s="18">
        <f>+VLOOKUP(AJ416,Leyenda!$U$4:$V$10,2,FALSE)</f>
        <v>2</v>
      </c>
      <c r="AL416" s="18" t="s">
        <v>239</v>
      </c>
      <c r="AM416" s="18" t="s">
        <v>29</v>
      </c>
      <c r="AN416" s="18" t="s">
        <v>69</v>
      </c>
      <c r="AO416" s="18" t="s">
        <v>81</v>
      </c>
      <c r="AP416" s="18" t="s">
        <v>100</v>
      </c>
      <c r="AQ416" s="18" t="s">
        <v>109</v>
      </c>
      <c r="AR416" s="18" t="s">
        <v>122</v>
      </c>
      <c r="AS416" s="18" t="s">
        <v>247</v>
      </c>
      <c r="AT416" s="18"/>
      <c r="AU416" s="18"/>
      <c r="AV416" s="18">
        <f>+VLOOKUP(AN416,Leyenda!$B$30:$E$34,3,FALSE)</f>
        <v>0</v>
      </c>
      <c r="AW416" s="18">
        <f>+VLOOKUP('2. Logging Brejo Seco'!AO416,Meteorizacion,3,FALSE)</f>
        <v>0</v>
      </c>
      <c r="AX416" s="18">
        <f>+VLOOKUP('2. Logging Brejo Seco'!AP416,Apertura,3,FALSE)</f>
        <v>0</v>
      </c>
      <c r="AY416" s="18">
        <f>+VLOOKUP('2. Logging Brejo Seco'!AQ416,Leyenda!$B$55:$D$59,3,FALSE)</f>
        <v>1</v>
      </c>
      <c r="AZ416" s="18">
        <f>+VLOOKUP('2. Logging Brejo Seco'!AR416,Relleno,3,FALSE)</f>
        <v>0</v>
      </c>
      <c r="BA416" s="18">
        <f t="shared" si="146"/>
        <v>1</v>
      </c>
      <c r="BB416" s="49">
        <f t="shared" si="141"/>
        <v>0</v>
      </c>
      <c r="BC416" s="49">
        <f>VLOOKUP(AH416,Leyenda!$B$4:$D$10,3,FALSE)</f>
        <v>1</v>
      </c>
      <c r="BD416" s="50">
        <f t="shared" si="133"/>
        <v>7</v>
      </c>
      <c r="BE416" s="49">
        <f t="shared" si="138"/>
        <v>1</v>
      </c>
      <c r="BF416" s="49">
        <f>VLOOKUP(AS416,Leyenda!$B$70:$D$75,3,FALSE)</f>
        <v>10</v>
      </c>
      <c r="BG416" s="67">
        <f t="shared" si="142"/>
        <v>1.5</v>
      </c>
      <c r="BH416" s="67">
        <f>VLOOKUP(AG416,Leyenda!$B$4:$E$10,4,FALSE)</f>
        <v>1</v>
      </c>
      <c r="BI416" s="67">
        <f t="shared" si="134"/>
        <v>8</v>
      </c>
      <c r="BJ416" s="67">
        <f t="shared" si="143"/>
        <v>0</v>
      </c>
      <c r="BK416" s="67">
        <f>+VLOOKUP('2. Logging Brejo Seco'!AP416,Leyenda!$B$47:$E$51,4,FALSE)</f>
        <v>0</v>
      </c>
      <c r="BL416" s="67">
        <f>+VLOOKUP('2. Logging Brejo Seco'!AQ416,Leyenda!$B$55:$E$59,4,FALSE)</f>
        <v>1</v>
      </c>
      <c r="BM416" s="67">
        <f>+VLOOKUP('2. Logging Brejo Seco'!AR416,Leyenda!$B$63:$E$67,3,FALSE)</f>
        <v>0</v>
      </c>
      <c r="BN416" s="67">
        <f>+VLOOKUP('2. Logging Brejo Seco'!AO416,Leyenda!$B$39:$E$43,4,FALSE)</f>
        <v>0</v>
      </c>
      <c r="BO416" s="67">
        <f>+VLOOKUP('2. Logging Brejo Seco'!AN416,Leyenda!$B$30:$E$34,4,FALSE)</f>
        <v>0</v>
      </c>
      <c r="BP416" s="67">
        <f>VLOOKUP(AS416,Leyenda!$B$71:$E$75,4,FALSE)</f>
        <v>7</v>
      </c>
      <c r="BQ416" s="67">
        <f t="shared" si="139"/>
        <v>17</v>
      </c>
      <c r="BR416" s="18">
        <f t="shared" si="140"/>
        <v>19</v>
      </c>
      <c r="BS416" s="240">
        <f t="shared" si="135"/>
        <v>0.65999999999999992</v>
      </c>
      <c r="BT416" s="18"/>
    </row>
    <row r="417" spans="1:72" x14ac:dyDescent="0.25">
      <c r="A417" s="18" t="s">
        <v>6</v>
      </c>
      <c r="B417" s="18">
        <v>2024</v>
      </c>
      <c r="C417" s="18" t="s">
        <v>138</v>
      </c>
      <c r="D417" s="18" t="s">
        <v>134</v>
      </c>
      <c r="E417" s="18">
        <v>60</v>
      </c>
      <c r="F417" s="18">
        <v>40</v>
      </c>
      <c r="G417" s="18" t="s">
        <v>136</v>
      </c>
      <c r="H417" s="248">
        <f t="shared" si="144"/>
        <v>40</v>
      </c>
      <c r="I417" s="135"/>
      <c r="J417" s="18" t="s">
        <v>170</v>
      </c>
      <c r="K417" s="31">
        <f t="shared" si="149"/>
        <v>1.5</v>
      </c>
      <c r="L417" s="31">
        <v>2</v>
      </c>
      <c r="M417" s="4">
        <f t="shared" si="136"/>
        <v>0.5</v>
      </c>
      <c r="N417" s="5">
        <v>0.44</v>
      </c>
      <c r="O417" s="5">
        <f t="shared" si="132"/>
        <v>0.56000000000000005</v>
      </c>
      <c r="P417" s="31">
        <f t="shared" si="137"/>
        <v>0.22</v>
      </c>
      <c r="Q417" s="18">
        <f t="shared" si="125"/>
        <v>0.22</v>
      </c>
      <c r="R417" s="18">
        <v>11</v>
      </c>
      <c r="S417" s="18">
        <v>20</v>
      </c>
      <c r="T417" s="18">
        <v>0.2</v>
      </c>
      <c r="U417" s="18">
        <v>0.16</v>
      </c>
      <c r="V417" s="65">
        <f t="shared" si="145"/>
        <v>32</v>
      </c>
      <c r="W417" s="18">
        <v>6</v>
      </c>
      <c r="X417" s="18"/>
      <c r="Y417" s="18">
        <f t="shared" si="148"/>
        <v>6</v>
      </c>
      <c r="Z417" s="31">
        <f t="shared" si="147"/>
        <v>83.333333333333329</v>
      </c>
      <c r="AA417" s="18">
        <v>0</v>
      </c>
      <c r="AB417" s="18" t="s">
        <v>330</v>
      </c>
      <c r="AC417" s="18" t="s">
        <v>333</v>
      </c>
      <c r="AD417" s="18" t="s">
        <v>337</v>
      </c>
      <c r="AE417" s="18">
        <v>20</v>
      </c>
      <c r="AF417" s="18">
        <v>11</v>
      </c>
      <c r="AG417" s="18" t="s">
        <v>29</v>
      </c>
      <c r="AH417" s="18" t="s">
        <v>29</v>
      </c>
      <c r="AI417" s="18" t="str">
        <f>+VLOOKUP(AH417,Leyenda!$O$4:$U$10,6,FALSE)</f>
        <v>0,25-0,35</v>
      </c>
      <c r="AJ417" s="18" t="str">
        <f>+VLOOKUP(AG417,Leyenda!$O$4:$U$10,7,FALSE)</f>
        <v>No Blasting need</v>
      </c>
      <c r="AK417" s="18">
        <f>+VLOOKUP(AJ417,Leyenda!$U$4:$V$10,2,FALSE)</f>
        <v>2</v>
      </c>
      <c r="AL417" s="18" t="s">
        <v>239</v>
      </c>
      <c r="AM417" s="18" t="s">
        <v>29</v>
      </c>
      <c r="AN417" s="18" t="s">
        <v>69</v>
      </c>
      <c r="AO417" s="18" t="s">
        <v>81</v>
      </c>
      <c r="AP417" s="18" t="s">
        <v>100</v>
      </c>
      <c r="AQ417" s="18" t="s">
        <v>109</v>
      </c>
      <c r="AR417" s="18" t="s">
        <v>122</v>
      </c>
      <c r="AS417" s="18" t="s">
        <v>247</v>
      </c>
      <c r="AT417" s="18"/>
      <c r="AU417" s="18"/>
      <c r="AV417" s="18">
        <f>+VLOOKUP(AN417,Leyenda!$B$30:$E$34,3,FALSE)</f>
        <v>0</v>
      </c>
      <c r="AW417" s="18">
        <f>+VLOOKUP('2. Logging Brejo Seco'!AO417,Meteorizacion,3,FALSE)</f>
        <v>0</v>
      </c>
      <c r="AX417" s="18">
        <f>+VLOOKUP('2. Logging Brejo Seco'!AP417,Apertura,3,FALSE)</f>
        <v>0</v>
      </c>
      <c r="AY417" s="18">
        <f>+VLOOKUP('2. Logging Brejo Seco'!AQ417,Leyenda!$B$55:$D$59,3,FALSE)</f>
        <v>1</v>
      </c>
      <c r="AZ417" s="18">
        <f>+VLOOKUP('2. Logging Brejo Seco'!AR417,Relleno,3,FALSE)</f>
        <v>0</v>
      </c>
      <c r="BA417" s="18">
        <f t="shared" si="146"/>
        <v>1</v>
      </c>
      <c r="BB417" s="49">
        <f t="shared" si="141"/>
        <v>7</v>
      </c>
      <c r="BC417" s="49">
        <f>VLOOKUP(AH417,Leyenda!$B$4:$D$10,3,FALSE)</f>
        <v>2</v>
      </c>
      <c r="BD417" s="50">
        <f t="shared" si="133"/>
        <v>7</v>
      </c>
      <c r="BE417" s="49">
        <f t="shared" si="138"/>
        <v>1</v>
      </c>
      <c r="BF417" s="49">
        <f>VLOOKUP(AS417,Leyenda!$B$70:$D$75,3,FALSE)</f>
        <v>10</v>
      </c>
      <c r="BG417" s="67">
        <f t="shared" si="142"/>
        <v>17.5</v>
      </c>
      <c r="BH417" s="67">
        <f>VLOOKUP(AG417,Leyenda!$B$4:$E$10,4,FALSE)</f>
        <v>2</v>
      </c>
      <c r="BI417" s="67">
        <f t="shared" si="134"/>
        <v>7</v>
      </c>
      <c r="BJ417" s="67">
        <f t="shared" si="143"/>
        <v>7</v>
      </c>
      <c r="BK417" s="67">
        <f>+VLOOKUP('2. Logging Brejo Seco'!AP417,Leyenda!$B$47:$E$51,4,FALSE)</f>
        <v>0</v>
      </c>
      <c r="BL417" s="67">
        <f>+VLOOKUP('2. Logging Brejo Seco'!AQ417,Leyenda!$B$55:$E$59,4,FALSE)</f>
        <v>1</v>
      </c>
      <c r="BM417" s="67">
        <f>+VLOOKUP('2. Logging Brejo Seco'!AR417,Leyenda!$B$63:$E$67,3,FALSE)</f>
        <v>0</v>
      </c>
      <c r="BN417" s="67">
        <f>+VLOOKUP('2. Logging Brejo Seco'!AO417,Leyenda!$B$39:$E$43,4,FALSE)</f>
        <v>0</v>
      </c>
      <c r="BO417" s="67">
        <f>+VLOOKUP('2. Logging Brejo Seco'!AN417,Leyenda!$B$30:$E$34,4,FALSE)</f>
        <v>0</v>
      </c>
      <c r="BP417" s="67">
        <f>VLOOKUP(AS417,Leyenda!$B$71:$E$75,4,FALSE)</f>
        <v>7</v>
      </c>
      <c r="BQ417" s="67">
        <f t="shared" si="139"/>
        <v>24</v>
      </c>
      <c r="BR417" s="18">
        <f t="shared" si="140"/>
        <v>27</v>
      </c>
      <c r="BS417" s="240">
        <f t="shared" si="135"/>
        <v>0.56000000000000005</v>
      </c>
      <c r="BT417" s="18"/>
    </row>
    <row r="418" spans="1:72" x14ac:dyDescent="0.25">
      <c r="A418" s="18" t="s">
        <v>6</v>
      </c>
      <c r="B418" s="18">
        <v>2024</v>
      </c>
      <c r="C418" s="18" t="s">
        <v>138</v>
      </c>
      <c r="D418" s="18" t="s">
        <v>134</v>
      </c>
      <c r="E418" s="18">
        <v>60</v>
      </c>
      <c r="F418" s="18">
        <v>60</v>
      </c>
      <c r="G418" s="18" t="s">
        <v>136</v>
      </c>
      <c r="H418" s="248">
        <f t="shared" si="144"/>
        <v>60</v>
      </c>
      <c r="I418" s="135"/>
      <c r="J418" s="18" t="s">
        <v>170</v>
      </c>
      <c r="K418" s="31">
        <f t="shared" si="149"/>
        <v>2</v>
      </c>
      <c r="L418" s="31">
        <v>2.5</v>
      </c>
      <c r="M418" s="4">
        <f t="shared" si="136"/>
        <v>0.5</v>
      </c>
      <c r="N418" s="5">
        <v>0.6</v>
      </c>
      <c r="O418" s="5">
        <f t="shared" si="132"/>
        <v>0.4</v>
      </c>
      <c r="P418" s="31">
        <f t="shared" si="137"/>
        <v>0.3</v>
      </c>
      <c r="Q418" s="18">
        <f t="shared" si="125"/>
        <v>0.3</v>
      </c>
      <c r="R418" s="18">
        <v>15</v>
      </c>
      <c r="S418" s="18">
        <v>20</v>
      </c>
      <c r="T418" s="18">
        <v>0.24</v>
      </c>
      <c r="U418" s="18">
        <v>0</v>
      </c>
      <c r="V418" s="65">
        <f t="shared" si="145"/>
        <v>0</v>
      </c>
      <c r="W418" s="18">
        <v>10</v>
      </c>
      <c r="X418" s="18"/>
      <c r="Y418" s="18">
        <f t="shared" si="148"/>
        <v>10</v>
      </c>
      <c r="Z418" s="31">
        <f t="shared" si="147"/>
        <v>50</v>
      </c>
      <c r="AA418" s="18">
        <v>0</v>
      </c>
      <c r="AB418" s="18" t="s">
        <v>330</v>
      </c>
      <c r="AC418" s="18" t="s">
        <v>333</v>
      </c>
      <c r="AD418" s="18" t="s">
        <v>336</v>
      </c>
      <c r="AE418" s="18">
        <v>20</v>
      </c>
      <c r="AF418" s="18">
        <v>15</v>
      </c>
      <c r="AG418" s="18" t="s">
        <v>32</v>
      </c>
      <c r="AH418" s="18" t="s">
        <v>32</v>
      </c>
      <c r="AI418" s="18" t="str">
        <f>+VLOOKUP(AH418,Leyenda!$O$4:$U$10,6,FALSE)</f>
        <v>0,15-0,25</v>
      </c>
      <c r="AJ418" s="18" t="str">
        <f>+VLOOKUP(AG418,Leyenda!$O$4:$U$10,7,FALSE)</f>
        <v>No Blasting need</v>
      </c>
      <c r="AK418" s="18">
        <f>+VLOOKUP(AJ418,Leyenda!$U$4:$V$10,2,FALSE)</f>
        <v>2</v>
      </c>
      <c r="AL418" s="18" t="s">
        <v>239</v>
      </c>
      <c r="AM418" s="18" t="s">
        <v>29</v>
      </c>
      <c r="AN418" s="18" t="s">
        <v>69</v>
      </c>
      <c r="AO418" s="18" t="s">
        <v>81</v>
      </c>
      <c r="AP418" s="18" t="s">
        <v>100</v>
      </c>
      <c r="AQ418" s="18" t="s">
        <v>109</v>
      </c>
      <c r="AR418" s="18" t="s">
        <v>122</v>
      </c>
      <c r="AS418" s="18" t="s">
        <v>247</v>
      </c>
      <c r="AT418" s="18"/>
      <c r="AU418" s="18"/>
      <c r="AV418" s="18">
        <f>+VLOOKUP(AN418,Leyenda!$B$30:$E$34,3,FALSE)</f>
        <v>0</v>
      </c>
      <c r="AW418" s="18">
        <f>+VLOOKUP('2. Logging Brejo Seco'!AO418,Meteorizacion,3,FALSE)</f>
        <v>0</v>
      </c>
      <c r="AX418" s="18">
        <f>+VLOOKUP('2. Logging Brejo Seco'!AP418,Apertura,3,FALSE)</f>
        <v>0</v>
      </c>
      <c r="AY418" s="18">
        <f>+VLOOKUP('2. Logging Brejo Seco'!AQ418,Leyenda!$B$55:$D$59,3,FALSE)</f>
        <v>1</v>
      </c>
      <c r="AZ418" s="18">
        <f>+VLOOKUP('2. Logging Brejo Seco'!AR418,Relleno,3,FALSE)</f>
        <v>0</v>
      </c>
      <c r="BA418" s="18">
        <f t="shared" si="146"/>
        <v>1</v>
      </c>
      <c r="BB418" s="49">
        <f t="shared" si="141"/>
        <v>0</v>
      </c>
      <c r="BC418" s="49">
        <f>VLOOKUP(AH418,Leyenda!$B$4:$D$10,3,FALSE)</f>
        <v>1</v>
      </c>
      <c r="BD418" s="50">
        <f t="shared" si="133"/>
        <v>6</v>
      </c>
      <c r="BE418" s="49">
        <f t="shared" si="138"/>
        <v>1</v>
      </c>
      <c r="BF418" s="49">
        <f>VLOOKUP(AS418,Leyenda!$B$70:$D$75,3,FALSE)</f>
        <v>10</v>
      </c>
      <c r="BG418" s="67">
        <f t="shared" si="142"/>
        <v>1.5</v>
      </c>
      <c r="BH418" s="67">
        <f>VLOOKUP(AG418,Leyenda!$B$4:$E$10,4,FALSE)</f>
        <v>1</v>
      </c>
      <c r="BI418" s="67">
        <f t="shared" si="134"/>
        <v>5</v>
      </c>
      <c r="BJ418" s="67">
        <f t="shared" si="143"/>
        <v>0</v>
      </c>
      <c r="BK418" s="67">
        <f>+VLOOKUP('2. Logging Brejo Seco'!AP418,Leyenda!$B$47:$E$51,4,FALSE)</f>
        <v>0</v>
      </c>
      <c r="BL418" s="67">
        <f>+VLOOKUP('2. Logging Brejo Seco'!AQ418,Leyenda!$B$55:$E$59,4,FALSE)</f>
        <v>1</v>
      </c>
      <c r="BM418" s="67">
        <f>+VLOOKUP('2. Logging Brejo Seco'!AR418,Leyenda!$B$63:$E$67,3,FALSE)</f>
        <v>0</v>
      </c>
      <c r="BN418" s="67">
        <f>+VLOOKUP('2. Logging Brejo Seco'!AO418,Leyenda!$B$39:$E$43,4,FALSE)</f>
        <v>0</v>
      </c>
      <c r="BO418" s="67">
        <f>+VLOOKUP('2. Logging Brejo Seco'!AN418,Leyenda!$B$30:$E$34,4,FALSE)</f>
        <v>0</v>
      </c>
      <c r="BP418" s="67">
        <f>VLOOKUP(AS418,Leyenda!$B$71:$E$75,4,FALSE)</f>
        <v>7</v>
      </c>
      <c r="BQ418" s="67">
        <f t="shared" si="139"/>
        <v>14</v>
      </c>
      <c r="BR418" s="18">
        <f t="shared" si="140"/>
        <v>18</v>
      </c>
      <c r="BS418" s="240">
        <f t="shared" si="135"/>
        <v>0.4</v>
      </c>
      <c r="BT418" s="18"/>
    </row>
    <row r="419" spans="1:72" x14ac:dyDescent="0.25">
      <c r="A419" s="18" t="s">
        <v>6</v>
      </c>
      <c r="B419" s="18">
        <v>2024</v>
      </c>
      <c r="C419" s="18" t="s">
        <v>138</v>
      </c>
      <c r="D419" s="18" t="s">
        <v>134</v>
      </c>
      <c r="E419" s="18">
        <v>40</v>
      </c>
      <c r="F419" s="18">
        <v>40</v>
      </c>
      <c r="G419" s="18" t="s">
        <v>153</v>
      </c>
      <c r="H419" s="248">
        <f t="shared" si="144"/>
        <v>40</v>
      </c>
      <c r="I419" s="135"/>
      <c r="J419" s="18" t="s">
        <v>170</v>
      </c>
      <c r="K419" s="31">
        <f t="shared" si="149"/>
        <v>2.5</v>
      </c>
      <c r="L419" s="31">
        <v>3</v>
      </c>
      <c r="M419" s="4">
        <f t="shared" si="136"/>
        <v>0.5</v>
      </c>
      <c r="N419" s="5">
        <v>0.72</v>
      </c>
      <c r="O419" s="5">
        <f t="shared" si="132"/>
        <v>0.28000000000000003</v>
      </c>
      <c r="P419" s="31">
        <f t="shared" si="137"/>
        <v>0.36</v>
      </c>
      <c r="Q419" s="18">
        <f t="shared" ref="Q419:Q517" si="150">+N419*M419</f>
        <v>0.36</v>
      </c>
      <c r="R419" s="18">
        <v>18</v>
      </c>
      <c r="S419" s="18">
        <v>20</v>
      </c>
      <c r="T419" s="18">
        <v>0.33</v>
      </c>
      <c r="U419" s="18">
        <v>0</v>
      </c>
      <c r="V419" s="65">
        <f t="shared" si="145"/>
        <v>0</v>
      </c>
      <c r="W419" s="18">
        <v>5</v>
      </c>
      <c r="X419" s="18"/>
      <c r="Y419" s="18">
        <f t="shared" si="148"/>
        <v>5</v>
      </c>
      <c r="Z419" s="31">
        <f t="shared" si="147"/>
        <v>100</v>
      </c>
      <c r="AA419" s="18">
        <v>0</v>
      </c>
      <c r="AB419" s="18" t="s">
        <v>330</v>
      </c>
      <c r="AC419" s="18" t="s">
        <v>333</v>
      </c>
      <c r="AD419" s="18" t="s">
        <v>335</v>
      </c>
      <c r="AE419" s="18">
        <v>20</v>
      </c>
      <c r="AF419" s="18">
        <v>18</v>
      </c>
      <c r="AG419" s="18" t="s">
        <v>34</v>
      </c>
      <c r="AH419" s="18" t="s">
        <v>34</v>
      </c>
      <c r="AI419" s="18">
        <f>+VLOOKUP(AH419,Leyenda!$O$4:$U$10,6,FALSE)</f>
        <v>0</v>
      </c>
      <c r="AJ419" s="18" t="str">
        <f>+VLOOKUP(AG419,Leyenda!$O$4:$U$10,7,FALSE)</f>
        <v>No Blasting need</v>
      </c>
      <c r="AK419" s="18">
        <f>+VLOOKUP(AJ419,Leyenda!$U$4:$V$10,2,FALSE)</f>
        <v>2</v>
      </c>
      <c r="AL419" s="18"/>
      <c r="AM419" s="18" t="s">
        <v>29</v>
      </c>
      <c r="AN419" s="18" t="s">
        <v>69</v>
      </c>
      <c r="AO419" s="18" t="s">
        <v>81</v>
      </c>
      <c r="AP419" s="18" t="s">
        <v>100</v>
      </c>
      <c r="AQ419" s="18" t="s">
        <v>107</v>
      </c>
      <c r="AR419" s="18" t="s">
        <v>120</v>
      </c>
      <c r="AS419" s="18" t="s">
        <v>247</v>
      </c>
      <c r="AT419" s="18"/>
      <c r="AU419" s="18"/>
      <c r="AV419" s="18">
        <f>+VLOOKUP(AN419,Leyenda!$B$30:$E$34,3,FALSE)</f>
        <v>0</v>
      </c>
      <c r="AW419" s="18">
        <f>+VLOOKUP('2. Logging Brejo Seco'!AO419,Meteorizacion,3,FALSE)</f>
        <v>0</v>
      </c>
      <c r="AX419" s="18">
        <f>+VLOOKUP('2. Logging Brejo Seco'!AP419,Apertura,3,FALSE)</f>
        <v>0</v>
      </c>
      <c r="AY419" s="18">
        <f>+VLOOKUP('2. Logging Brejo Seco'!AQ419,Leyenda!$B$55:$D$59,3,FALSE)</f>
        <v>3</v>
      </c>
      <c r="AZ419" s="18">
        <f>+VLOOKUP('2. Logging Brejo Seco'!AR419,Relleno,3,FALSE)</f>
        <v>2</v>
      </c>
      <c r="BA419" s="18">
        <f t="shared" si="146"/>
        <v>5</v>
      </c>
      <c r="BB419" s="49">
        <f t="shared" si="141"/>
        <v>0</v>
      </c>
      <c r="BC419" s="49">
        <f>VLOOKUP(AH419,Leyenda!$B$4:$D$10,3,FALSE)</f>
        <v>0</v>
      </c>
      <c r="BD419" s="50">
        <f t="shared" si="133"/>
        <v>7</v>
      </c>
      <c r="BE419" s="49">
        <f t="shared" si="138"/>
        <v>5</v>
      </c>
      <c r="BF419" s="49">
        <f>VLOOKUP(AS419,Leyenda!$B$70:$D$75,3,FALSE)</f>
        <v>10</v>
      </c>
      <c r="BG419" s="67">
        <f t="shared" si="142"/>
        <v>7.5</v>
      </c>
      <c r="BH419" s="67">
        <f>VLOOKUP(AG419,Leyenda!$B$4:$E$10,4,FALSE)</f>
        <v>0</v>
      </c>
      <c r="BI419" s="67">
        <f t="shared" si="134"/>
        <v>8</v>
      </c>
      <c r="BJ419" s="67">
        <f t="shared" si="143"/>
        <v>0</v>
      </c>
      <c r="BK419" s="67">
        <f>+VLOOKUP('2. Logging Brejo Seco'!AP419,Leyenda!$B$47:$E$51,4,FALSE)</f>
        <v>0</v>
      </c>
      <c r="BL419" s="67">
        <f>+VLOOKUP('2. Logging Brejo Seco'!AQ419,Leyenda!$B$55:$E$59,4,FALSE)</f>
        <v>3</v>
      </c>
      <c r="BM419" s="67">
        <f>+VLOOKUP('2. Logging Brejo Seco'!AR419,Leyenda!$B$63:$E$67,3,FALSE)</f>
        <v>2</v>
      </c>
      <c r="BN419" s="67">
        <f>+VLOOKUP('2. Logging Brejo Seco'!AO419,Leyenda!$B$39:$E$43,4,FALSE)</f>
        <v>0</v>
      </c>
      <c r="BO419" s="67">
        <f>+VLOOKUP('2. Logging Brejo Seco'!AN419,Leyenda!$B$30:$E$34,4,FALSE)</f>
        <v>0</v>
      </c>
      <c r="BP419" s="67">
        <f>VLOOKUP(AS419,Leyenda!$B$71:$E$75,4,FALSE)</f>
        <v>7</v>
      </c>
      <c r="BQ419" s="67">
        <f t="shared" si="139"/>
        <v>20</v>
      </c>
      <c r="BR419" s="18">
        <f t="shared" si="140"/>
        <v>22</v>
      </c>
      <c r="BS419" s="240">
        <f t="shared" si="135"/>
        <v>0.28000000000000003</v>
      </c>
      <c r="BT419" s="18"/>
    </row>
    <row r="420" spans="1:72" x14ac:dyDescent="0.25">
      <c r="A420" s="18" t="s">
        <v>6</v>
      </c>
      <c r="B420" s="18">
        <v>2024</v>
      </c>
      <c r="C420" s="18" t="s">
        <v>138</v>
      </c>
      <c r="D420" s="18" t="s">
        <v>134</v>
      </c>
      <c r="E420" s="18">
        <v>40</v>
      </c>
      <c r="F420" s="18">
        <v>40</v>
      </c>
      <c r="G420" s="18" t="s">
        <v>153</v>
      </c>
      <c r="H420" s="248">
        <f t="shared" si="144"/>
        <v>40</v>
      </c>
      <c r="I420" s="135"/>
      <c r="J420" s="18" t="s">
        <v>170</v>
      </c>
      <c r="K420" s="31">
        <f t="shared" si="149"/>
        <v>3</v>
      </c>
      <c r="L420" s="31">
        <v>3.5</v>
      </c>
      <c r="M420" s="4">
        <f t="shared" si="136"/>
        <v>0.5</v>
      </c>
      <c r="N420" s="5">
        <v>0.34</v>
      </c>
      <c r="O420" s="5">
        <f t="shared" si="132"/>
        <v>0.65999999999999992</v>
      </c>
      <c r="P420" s="31">
        <f t="shared" si="137"/>
        <v>0.17</v>
      </c>
      <c r="Q420" s="18">
        <f t="shared" si="150"/>
        <v>0.17</v>
      </c>
      <c r="R420" s="18">
        <v>8.5</v>
      </c>
      <c r="S420" s="18">
        <v>20</v>
      </c>
      <c r="T420" s="18">
        <v>0.15</v>
      </c>
      <c r="U420" s="18">
        <v>0</v>
      </c>
      <c r="V420" s="65">
        <f t="shared" si="145"/>
        <v>0</v>
      </c>
      <c r="W420" s="18">
        <v>5</v>
      </c>
      <c r="X420" s="18"/>
      <c r="Y420" s="18">
        <f t="shared" si="148"/>
        <v>5</v>
      </c>
      <c r="Z420" s="31">
        <f t="shared" si="147"/>
        <v>100</v>
      </c>
      <c r="AA420" s="18">
        <v>0</v>
      </c>
      <c r="AB420" s="18" t="s">
        <v>100</v>
      </c>
      <c r="AC420" s="18" t="s">
        <v>333</v>
      </c>
      <c r="AD420" s="18" t="s">
        <v>337</v>
      </c>
      <c r="AE420" s="18">
        <v>20</v>
      </c>
      <c r="AF420" s="18">
        <v>8.5</v>
      </c>
      <c r="AG420" s="18" t="s">
        <v>24</v>
      </c>
      <c r="AH420" s="18" t="s">
        <v>24</v>
      </c>
      <c r="AI420" s="18" t="str">
        <f>+VLOOKUP(AH420,Leyenda!$O$4:$U$10,6,FALSE)</f>
        <v>0,50-0,80</v>
      </c>
      <c r="AJ420" s="18" t="str">
        <f>+VLOOKUP(AG420,Leyenda!$O$4:$U$10,7,FALSE)</f>
        <v>Fairly easy to blast</v>
      </c>
      <c r="AK420" s="18">
        <f>+VLOOKUP(AJ420,Leyenda!$U$4:$V$10,2,FALSE)</f>
        <v>4</v>
      </c>
      <c r="AL420" s="18"/>
      <c r="AM420" s="18" t="s">
        <v>29</v>
      </c>
      <c r="AN420" s="18" t="s">
        <v>69</v>
      </c>
      <c r="AO420" s="18" t="s">
        <v>81</v>
      </c>
      <c r="AP420" s="18" t="s">
        <v>100</v>
      </c>
      <c r="AQ420" s="18" t="s">
        <v>107</v>
      </c>
      <c r="AR420" s="18" t="s">
        <v>120</v>
      </c>
      <c r="AS420" s="18" t="s">
        <v>247</v>
      </c>
      <c r="AT420" s="18"/>
      <c r="AU420" s="18"/>
      <c r="AV420" s="18">
        <f>+VLOOKUP(AN420,Leyenda!$B$30:$E$34,3,FALSE)</f>
        <v>0</v>
      </c>
      <c r="AW420" s="18">
        <f>+VLOOKUP('2. Logging Brejo Seco'!AO420,Meteorizacion,3,FALSE)</f>
        <v>0</v>
      </c>
      <c r="AX420" s="18">
        <f>+VLOOKUP('2. Logging Brejo Seco'!AP420,Apertura,3,FALSE)</f>
        <v>0</v>
      </c>
      <c r="AY420" s="18">
        <f>+VLOOKUP('2. Logging Brejo Seco'!AQ420,Leyenda!$B$55:$D$59,3,FALSE)</f>
        <v>3</v>
      </c>
      <c r="AZ420" s="18">
        <f>+VLOOKUP('2. Logging Brejo Seco'!AR420,Relleno,3,FALSE)</f>
        <v>2</v>
      </c>
      <c r="BA420" s="18">
        <f t="shared" si="146"/>
        <v>5</v>
      </c>
      <c r="BB420" s="49">
        <f t="shared" si="141"/>
        <v>0</v>
      </c>
      <c r="BC420" s="49">
        <f>VLOOKUP(AH420,Leyenda!$B$4:$D$10,3,FALSE)</f>
        <v>7</v>
      </c>
      <c r="BD420" s="50">
        <f t="shared" si="133"/>
        <v>7</v>
      </c>
      <c r="BE420" s="49">
        <f t="shared" si="138"/>
        <v>5</v>
      </c>
      <c r="BF420" s="49">
        <f>VLOOKUP(AS420,Leyenda!$B$70:$D$75,3,FALSE)</f>
        <v>10</v>
      </c>
      <c r="BG420" s="67">
        <f t="shared" si="142"/>
        <v>7.5</v>
      </c>
      <c r="BH420" s="67">
        <f>VLOOKUP(AG420,Leyenda!$B$4:$E$10,4,FALSE)</f>
        <v>7</v>
      </c>
      <c r="BI420" s="67">
        <f t="shared" si="134"/>
        <v>8</v>
      </c>
      <c r="BJ420" s="67">
        <f t="shared" si="143"/>
        <v>0</v>
      </c>
      <c r="BK420" s="67">
        <f>+VLOOKUP('2. Logging Brejo Seco'!AP420,Leyenda!$B$47:$E$51,4,FALSE)</f>
        <v>0</v>
      </c>
      <c r="BL420" s="67">
        <f>+VLOOKUP('2. Logging Brejo Seco'!AQ420,Leyenda!$B$55:$E$59,4,FALSE)</f>
        <v>3</v>
      </c>
      <c r="BM420" s="67">
        <f>+VLOOKUP('2. Logging Brejo Seco'!AR420,Leyenda!$B$63:$E$67,3,FALSE)</f>
        <v>2</v>
      </c>
      <c r="BN420" s="67">
        <f>+VLOOKUP('2. Logging Brejo Seco'!AO420,Leyenda!$B$39:$E$43,4,FALSE)</f>
        <v>0</v>
      </c>
      <c r="BO420" s="67">
        <f>+VLOOKUP('2. Logging Brejo Seco'!AN420,Leyenda!$B$30:$E$34,4,FALSE)</f>
        <v>0</v>
      </c>
      <c r="BP420" s="67">
        <f>VLOOKUP(AS420,Leyenda!$B$71:$E$75,4,FALSE)</f>
        <v>7</v>
      </c>
      <c r="BQ420" s="67">
        <f t="shared" si="139"/>
        <v>27</v>
      </c>
      <c r="BR420" s="18">
        <f t="shared" si="140"/>
        <v>29</v>
      </c>
      <c r="BS420" s="240">
        <f t="shared" si="135"/>
        <v>0.65999999999999992</v>
      </c>
      <c r="BT420" s="18"/>
    </row>
    <row r="421" spans="1:72" x14ac:dyDescent="0.25">
      <c r="A421" s="18" t="s">
        <v>6</v>
      </c>
      <c r="B421" s="18">
        <v>2024</v>
      </c>
      <c r="C421" s="18" t="s">
        <v>138</v>
      </c>
      <c r="D421" s="18" t="s">
        <v>134</v>
      </c>
      <c r="E421" s="18">
        <v>40</v>
      </c>
      <c r="F421" s="18">
        <v>40</v>
      </c>
      <c r="G421" s="18" t="s">
        <v>153</v>
      </c>
      <c r="H421" s="248">
        <f t="shared" si="144"/>
        <v>40</v>
      </c>
      <c r="I421" s="135"/>
      <c r="J421" s="18" t="s">
        <v>170</v>
      </c>
      <c r="K421" s="31">
        <f t="shared" si="149"/>
        <v>3.5</v>
      </c>
      <c r="L421" s="31">
        <v>4</v>
      </c>
      <c r="M421" s="4">
        <f t="shared" si="136"/>
        <v>0.5</v>
      </c>
      <c r="N421" s="5">
        <v>0.34</v>
      </c>
      <c r="O421" s="5">
        <f t="shared" si="132"/>
        <v>0.65999999999999992</v>
      </c>
      <c r="P421" s="31">
        <f t="shared" si="137"/>
        <v>0.17</v>
      </c>
      <c r="Q421" s="18">
        <f t="shared" si="150"/>
        <v>0.17</v>
      </c>
      <c r="R421" s="18">
        <v>8.5</v>
      </c>
      <c r="S421" s="18">
        <v>20</v>
      </c>
      <c r="T421" s="18">
        <v>0.16</v>
      </c>
      <c r="U421" s="18">
        <v>0</v>
      </c>
      <c r="V421" s="65">
        <f t="shared" si="145"/>
        <v>0</v>
      </c>
      <c r="W421" s="18">
        <v>10</v>
      </c>
      <c r="X421" s="18"/>
      <c r="Y421" s="18">
        <f t="shared" si="148"/>
        <v>10</v>
      </c>
      <c r="Z421" s="31">
        <f t="shared" si="147"/>
        <v>50</v>
      </c>
      <c r="AA421" s="18">
        <v>0</v>
      </c>
      <c r="AB421" s="18" t="s">
        <v>96</v>
      </c>
      <c r="AC421" s="18" t="s">
        <v>333</v>
      </c>
      <c r="AD421" s="18" t="s">
        <v>337</v>
      </c>
      <c r="AE421" s="18">
        <v>20</v>
      </c>
      <c r="AF421" s="18">
        <v>8.5</v>
      </c>
      <c r="AG421" s="18" t="s">
        <v>24</v>
      </c>
      <c r="AH421" s="18" t="s">
        <v>24</v>
      </c>
      <c r="AI421" s="18" t="str">
        <f>+VLOOKUP(AH421,Leyenda!$O$4:$U$10,6,FALSE)</f>
        <v>0,50-0,80</v>
      </c>
      <c r="AJ421" s="18" t="str">
        <f>+VLOOKUP(AG421,Leyenda!$O$4:$U$10,7,FALSE)</f>
        <v>Fairly easy to blast</v>
      </c>
      <c r="AK421" s="18">
        <f>+VLOOKUP(AJ421,Leyenda!$U$4:$V$10,2,FALSE)</f>
        <v>4</v>
      </c>
      <c r="AL421" s="18"/>
      <c r="AM421" s="18" t="s">
        <v>29</v>
      </c>
      <c r="AN421" s="18" t="s">
        <v>69</v>
      </c>
      <c r="AO421" s="18" t="s">
        <v>81</v>
      </c>
      <c r="AP421" s="18" t="s">
        <v>100</v>
      </c>
      <c r="AQ421" s="18" t="s">
        <v>107</v>
      </c>
      <c r="AR421" s="18" t="s">
        <v>120</v>
      </c>
      <c r="AS421" s="18" t="s">
        <v>247</v>
      </c>
      <c r="AT421" s="18"/>
      <c r="AU421" s="18"/>
      <c r="AV421" s="18">
        <f>+VLOOKUP(AN421,Leyenda!$B$30:$E$34,3,FALSE)</f>
        <v>0</v>
      </c>
      <c r="AW421" s="18">
        <f>+VLOOKUP('2. Logging Brejo Seco'!AO421,Meteorizacion,3,FALSE)</f>
        <v>0</v>
      </c>
      <c r="AX421" s="18">
        <f>+VLOOKUP('2. Logging Brejo Seco'!AP421,Apertura,3,FALSE)</f>
        <v>0</v>
      </c>
      <c r="AY421" s="18">
        <f>+VLOOKUP('2. Logging Brejo Seco'!AQ421,Leyenda!$B$55:$D$59,3,FALSE)</f>
        <v>3</v>
      </c>
      <c r="AZ421" s="18">
        <f>+VLOOKUP('2. Logging Brejo Seco'!AR421,Relleno,3,FALSE)</f>
        <v>2</v>
      </c>
      <c r="BA421" s="18">
        <f t="shared" si="146"/>
        <v>5</v>
      </c>
      <c r="BB421" s="49">
        <f t="shared" si="141"/>
        <v>0</v>
      </c>
      <c r="BC421" s="49">
        <f>VLOOKUP(AH421,Leyenda!$B$4:$D$10,3,FALSE)</f>
        <v>7</v>
      </c>
      <c r="BD421" s="50">
        <f t="shared" si="133"/>
        <v>6</v>
      </c>
      <c r="BE421" s="49">
        <f t="shared" si="138"/>
        <v>5</v>
      </c>
      <c r="BF421" s="49">
        <f>VLOOKUP(AS421,Leyenda!$B$70:$D$75,3,FALSE)</f>
        <v>10</v>
      </c>
      <c r="BG421" s="67">
        <f t="shared" si="142"/>
        <v>7.5</v>
      </c>
      <c r="BH421" s="67">
        <f>VLOOKUP(AG421,Leyenda!$B$4:$E$10,4,FALSE)</f>
        <v>7</v>
      </c>
      <c r="BI421" s="67">
        <f t="shared" si="134"/>
        <v>5</v>
      </c>
      <c r="BJ421" s="67">
        <f t="shared" si="143"/>
        <v>0</v>
      </c>
      <c r="BK421" s="67">
        <f>+VLOOKUP('2. Logging Brejo Seco'!AP421,Leyenda!$B$47:$E$51,4,FALSE)</f>
        <v>0</v>
      </c>
      <c r="BL421" s="67">
        <f>+VLOOKUP('2. Logging Brejo Seco'!AQ421,Leyenda!$B$55:$E$59,4,FALSE)</f>
        <v>3</v>
      </c>
      <c r="BM421" s="67">
        <f>+VLOOKUP('2. Logging Brejo Seco'!AR421,Leyenda!$B$63:$E$67,3,FALSE)</f>
        <v>2</v>
      </c>
      <c r="BN421" s="67">
        <f>+VLOOKUP('2. Logging Brejo Seco'!AO421,Leyenda!$B$39:$E$43,4,FALSE)</f>
        <v>0</v>
      </c>
      <c r="BO421" s="67">
        <f>+VLOOKUP('2. Logging Brejo Seco'!AN421,Leyenda!$B$30:$E$34,4,FALSE)</f>
        <v>0</v>
      </c>
      <c r="BP421" s="67">
        <f>VLOOKUP(AS421,Leyenda!$B$71:$E$75,4,FALSE)</f>
        <v>7</v>
      </c>
      <c r="BQ421" s="67">
        <f t="shared" si="139"/>
        <v>24</v>
      </c>
      <c r="BR421" s="18">
        <f t="shared" si="140"/>
        <v>28</v>
      </c>
      <c r="BS421" s="240">
        <f t="shared" si="135"/>
        <v>0.65999999999999992</v>
      </c>
      <c r="BT421" s="18"/>
    </row>
    <row r="422" spans="1:72" x14ac:dyDescent="0.25">
      <c r="A422" s="18" t="s">
        <v>6</v>
      </c>
      <c r="B422" s="18">
        <v>2024</v>
      </c>
      <c r="C422" s="18" t="s">
        <v>138</v>
      </c>
      <c r="D422" s="18" t="s">
        <v>134</v>
      </c>
      <c r="E422" s="18">
        <v>40</v>
      </c>
      <c r="F422" s="18">
        <v>40</v>
      </c>
      <c r="G422" s="18" t="s">
        <v>153</v>
      </c>
      <c r="H422" s="248">
        <f t="shared" si="144"/>
        <v>40</v>
      </c>
      <c r="I422" s="135"/>
      <c r="J422" s="18" t="s">
        <v>170</v>
      </c>
      <c r="K422" s="31">
        <f t="shared" si="149"/>
        <v>4</v>
      </c>
      <c r="L422" s="31">
        <v>4.5</v>
      </c>
      <c r="M422" s="4">
        <f t="shared" si="136"/>
        <v>0.5</v>
      </c>
      <c r="N422" s="5">
        <v>0.48</v>
      </c>
      <c r="O422" s="5">
        <f t="shared" si="132"/>
        <v>0.52</v>
      </c>
      <c r="P422" s="31">
        <f t="shared" si="137"/>
        <v>0.24</v>
      </c>
      <c r="Q422" s="18">
        <f t="shared" si="150"/>
        <v>0.24</v>
      </c>
      <c r="R422" s="18">
        <v>24</v>
      </c>
      <c r="S422" s="18">
        <v>10</v>
      </c>
      <c r="T422" s="18">
        <v>0.18</v>
      </c>
      <c r="U422" s="18">
        <v>0</v>
      </c>
      <c r="V422" s="65">
        <f t="shared" si="145"/>
        <v>0</v>
      </c>
      <c r="W422" s="18">
        <v>3</v>
      </c>
      <c r="X422" s="18"/>
      <c r="Y422" s="18">
        <f t="shared" si="148"/>
        <v>3</v>
      </c>
      <c r="Z422" s="31">
        <f t="shared" si="147"/>
        <v>166.66666666666666</v>
      </c>
      <c r="AA422" s="18">
        <v>0</v>
      </c>
      <c r="AB422" s="18" t="s">
        <v>96</v>
      </c>
      <c r="AC422" s="18" t="s">
        <v>120</v>
      </c>
      <c r="AD422" s="18" t="s">
        <v>334</v>
      </c>
      <c r="AE422" s="18">
        <v>10</v>
      </c>
      <c r="AF422" s="18">
        <v>24</v>
      </c>
      <c r="AG422" s="18" t="s">
        <v>24</v>
      </c>
      <c r="AH422" s="18" t="s">
        <v>24</v>
      </c>
      <c r="AI422" s="18" t="str">
        <f>+VLOOKUP(AH422,Leyenda!$O$4:$U$10,6,FALSE)</f>
        <v>0,50-0,80</v>
      </c>
      <c r="AJ422" s="18" t="str">
        <f>+VLOOKUP(AG422,Leyenda!$O$4:$U$10,7,FALSE)</f>
        <v>Fairly easy to blast</v>
      </c>
      <c r="AK422" s="18">
        <f>+VLOOKUP(AJ422,Leyenda!$U$4:$V$10,2,FALSE)</f>
        <v>4</v>
      </c>
      <c r="AL422" s="18"/>
      <c r="AM422" s="18" t="s">
        <v>29</v>
      </c>
      <c r="AN422" s="18" t="s">
        <v>69</v>
      </c>
      <c r="AO422" s="18" t="s">
        <v>81</v>
      </c>
      <c r="AP422" s="18" t="s">
        <v>100</v>
      </c>
      <c r="AQ422" s="18" t="s">
        <v>107</v>
      </c>
      <c r="AR422" s="18" t="s">
        <v>120</v>
      </c>
      <c r="AS422" s="18" t="s">
        <v>247</v>
      </c>
      <c r="AT422" s="18"/>
      <c r="AU422" s="18"/>
      <c r="AV422" s="18">
        <f>+VLOOKUP(AN422,Leyenda!$B$30:$E$34,3,FALSE)</f>
        <v>0</v>
      </c>
      <c r="AW422" s="18">
        <f>+VLOOKUP('2. Logging Brejo Seco'!AO422,Meteorizacion,3,FALSE)</f>
        <v>0</v>
      </c>
      <c r="AX422" s="18">
        <f>+VLOOKUP('2. Logging Brejo Seco'!AP422,Apertura,3,FALSE)</f>
        <v>0</v>
      </c>
      <c r="AY422" s="18">
        <f>+VLOOKUP('2. Logging Brejo Seco'!AQ422,Leyenda!$B$55:$D$59,3,FALSE)</f>
        <v>3</v>
      </c>
      <c r="AZ422" s="18">
        <f>+VLOOKUP('2. Logging Brejo Seco'!AR422,Relleno,3,FALSE)</f>
        <v>2</v>
      </c>
      <c r="BA422" s="18">
        <f t="shared" si="146"/>
        <v>5</v>
      </c>
      <c r="BB422" s="49">
        <f t="shared" si="141"/>
        <v>0</v>
      </c>
      <c r="BC422" s="49">
        <f>VLOOKUP(AH422,Leyenda!$B$4:$D$10,3,FALSE)</f>
        <v>7</v>
      </c>
      <c r="BD422" s="50">
        <f t="shared" si="133"/>
        <v>9</v>
      </c>
      <c r="BE422" s="49">
        <f t="shared" si="138"/>
        <v>5</v>
      </c>
      <c r="BF422" s="49">
        <f>VLOOKUP(AS422,Leyenda!$B$70:$D$75,3,FALSE)</f>
        <v>10</v>
      </c>
      <c r="BG422" s="67">
        <f t="shared" si="142"/>
        <v>7.5</v>
      </c>
      <c r="BH422" s="67">
        <f>VLOOKUP(AG422,Leyenda!$B$4:$E$10,4,FALSE)</f>
        <v>7</v>
      </c>
      <c r="BI422" s="67">
        <f t="shared" si="134"/>
        <v>11</v>
      </c>
      <c r="BJ422" s="67">
        <f t="shared" si="143"/>
        <v>0</v>
      </c>
      <c r="BK422" s="67">
        <f>+VLOOKUP('2. Logging Brejo Seco'!AP422,Leyenda!$B$47:$E$51,4,FALSE)</f>
        <v>0</v>
      </c>
      <c r="BL422" s="67">
        <f>+VLOOKUP('2. Logging Brejo Seco'!AQ422,Leyenda!$B$55:$E$59,4,FALSE)</f>
        <v>3</v>
      </c>
      <c r="BM422" s="67">
        <f>+VLOOKUP('2. Logging Brejo Seco'!AR422,Leyenda!$B$63:$E$67,3,FALSE)</f>
        <v>2</v>
      </c>
      <c r="BN422" s="67">
        <f>+VLOOKUP('2. Logging Brejo Seco'!AO422,Leyenda!$B$39:$E$43,4,FALSE)</f>
        <v>0</v>
      </c>
      <c r="BO422" s="67">
        <f>+VLOOKUP('2. Logging Brejo Seco'!AN422,Leyenda!$B$30:$E$34,4,FALSE)</f>
        <v>0</v>
      </c>
      <c r="BP422" s="67">
        <f>VLOOKUP(AS422,Leyenda!$B$71:$E$75,4,FALSE)</f>
        <v>7</v>
      </c>
      <c r="BQ422" s="67">
        <f t="shared" si="139"/>
        <v>30</v>
      </c>
      <c r="BR422" s="18">
        <f t="shared" si="140"/>
        <v>31</v>
      </c>
      <c r="BS422" s="240">
        <f t="shared" si="135"/>
        <v>0.52</v>
      </c>
      <c r="BT422" s="18"/>
    </row>
    <row r="423" spans="1:72" x14ac:dyDescent="0.25">
      <c r="A423" s="18" t="s">
        <v>6</v>
      </c>
      <c r="B423" s="18">
        <v>2024</v>
      </c>
      <c r="C423" s="18" t="s">
        <v>138</v>
      </c>
      <c r="D423" s="18" t="s">
        <v>134</v>
      </c>
      <c r="E423" s="18">
        <v>50</v>
      </c>
      <c r="F423" s="18">
        <v>40</v>
      </c>
      <c r="G423" s="18" t="s">
        <v>154</v>
      </c>
      <c r="H423" s="248">
        <f t="shared" si="144"/>
        <v>40</v>
      </c>
      <c r="I423" s="135"/>
      <c r="J423" s="18" t="s">
        <v>170</v>
      </c>
      <c r="K423" s="31">
        <f t="shared" si="149"/>
        <v>4.5</v>
      </c>
      <c r="L423" s="31">
        <v>5</v>
      </c>
      <c r="M423" s="4">
        <f t="shared" si="136"/>
        <v>0.5</v>
      </c>
      <c r="N423" s="5">
        <v>0.78</v>
      </c>
      <c r="O423" s="5">
        <f t="shared" si="132"/>
        <v>0.21999999999999997</v>
      </c>
      <c r="P423" s="31">
        <f t="shared" si="137"/>
        <v>0.39</v>
      </c>
      <c r="Q423" s="18">
        <f t="shared" si="150"/>
        <v>0.39</v>
      </c>
      <c r="R423" s="18">
        <v>390</v>
      </c>
      <c r="S423" s="18">
        <v>1</v>
      </c>
      <c r="T423" s="18">
        <v>0.32</v>
      </c>
      <c r="U423" s="18">
        <v>0.32</v>
      </c>
      <c r="V423" s="65">
        <f t="shared" si="145"/>
        <v>64</v>
      </c>
      <c r="W423" s="18">
        <v>4</v>
      </c>
      <c r="X423" s="18"/>
      <c r="Y423" s="18">
        <f t="shared" si="148"/>
        <v>4</v>
      </c>
      <c r="Z423" s="31">
        <f t="shared" si="147"/>
        <v>125</v>
      </c>
      <c r="AA423" s="18">
        <v>0</v>
      </c>
      <c r="AB423" s="18" t="s">
        <v>96</v>
      </c>
      <c r="AC423" s="18" t="s">
        <v>116</v>
      </c>
      <c r="AD423" s="18" t="s">
        <v>337</v>
      </c>
      <c r="AE423" s="18">
        <v>1</v>
      </c>
      <c r="AF423" s="18">
        <v>390</v>
      </c>
      <c r="AG423" s="18" t="s">
        <v>29</v>
      </c>
      <c r="AH423" s="18" t="s">
        <v>29</v>
      </c>
      <c r="AI423" s="18" t="str">
        <f>+VLOOKUP(AH423,Leyenda!$O$4:$U$10,6,FALSE)</f>
        <v>0,25-0,35</v>
      </c>
      <c r="AJ423" s="18" t="str">
        <f>+VLOOKUP(AG423,Leyenda!$O$4:$U$10,7,FALSE)</f>
        <v>No Blasting need</v>
      </c>
      <c r="AK423" s="18">
        <f>+VLOOKUP(AJ423,Leyenda!$U$4:$V$10,2,FALSE)</f>
        <v>2</v>
      </c>
      <c r="AL423" s="18"/>
      <c r="AM423" s="18" t="s">
        <v>29</v>
      </c>
      <c r="AN423" s="18" t="s">
        <v>69</v>
      </c>
      <c r="AO423" s="18" t="s">
        <v>81</v>
      </c>
      <c r="AP423" s="18" t="s">
        <v>100</v>
      </c>
      <c r="AQ423" s="18" t="s">
        <v>109</v>
      </c>
      <c r="AR423" s="18" t="s">
        <v>122</v>
      </c>
      <c r="AS423" s="18" t="s">
        <v>198</v>
      </c>
      <c r="AT423" s="18"/>
      <c r="AU423" s="18"/>
      <c r="AV423" s="18">
        <f>+VLOOKUP(AN423,Leyenda!$B$30:$E$34,3,FALSE)</f>
        <v>0</v>
      </c>
      <c r="AW423" s="18">
        <f>+VLOOKUP('2. Logging Brejo Seco'!AO423,Meteorizacion,3,FALSE)</f>
        <v>0</v>
      </c>
      <c r="AX423" s="18">
        <f>+VLOOKUP('2. Logging Brejo Seco'!AP423,Apertura,3,FALSE)</f>
        <v>0</v>
      </c>
      <c r="AY423" s="18">
        <f>+VLOOKUP('2. Logging Brejo Seco'!AQ423,Leyenda!$B$55:$D$59,3,FALSE)</f>
        <v>1</v>
      </c>
      <c r="AZ423" s="18">
        <f>+VLOOKUP('2. Logging Brejo Seco'!AR423,Relleno,3,FALSE)</f>
        <v>0</v>
      </c>
      <c r="BA423" s="18">
        <f t="shared" si="146"/>
        <v>1</v>
      </c>
      <c r="BB423" s="49">
        <f t="shared" ref="BB423:BB459" si="151">ROUND(-0.0002*POWER(V423,2)+0.2197*V423,0)</f>
        <v>13</v>
      </c>
      <c r="BC423" s="49">
        <f>VLOOKUP(AH423,Leyenda!$B$4:$D$10,3,FALSE)</f>
        <v>2</v>
      </c>
      <c r="BD423" s="50">
        <f t="shared" si="133"/>
        <v>8</v>
      </c>
      <c r="BE423" s="49">
        <f t="shared" si="138"/>
        <v>1</v>
      </c>
      <c r="BF423" s="49">
        <f>VLOOKUP(AS423,Leyenda!$B$70:$D$75,3,FALSE)</f>
        <v>15</v>
      </c>
      <c r="BG423" s="67">
        <f t="shared" ref="BG423:BG459" si="152">1.5*BA423+(V423*0.5)</f>
        <v>33.5</v>
      </c>
      <c r="BH423" s="67">
        <f>VLOOKUP(AG423,Leyenda!$B$4:$E$10,4,FALSE)</f>
        <v>2</v>
      </c>
      <c r="BI423" s="67">
        <f t="shared" si="134"/>
        <v>10</v>
      </c>
      <c r="BJ423" s="67">
        <f t="shared" ref="BJ423:BJ459" si="153">ROUND(-0.0002*POWER(V423,2)+0.2197*V423,0)</f>
        <v>13</v>
      </c>
      <c r="BK423" s="67">
        <f>+VLOOKUP('2. Logging Brejo Seco'!AP423,Leyenda!$B$47:$E$51,4,FALSE)</f>
        <v>0</v>
      </c>
      <c r="BL423" s="67">
        <f>+VLOOKUP('2. Logging Brejo Seco'!AQ423,Leyenda!$B$55:$E$59,4,FALSE)</f>
        <v>1</v>
      </c>
      <c r="BM423" s="67">
        <f>+VLOOKUP('2. Logging Brejo Seco'!AR423,Leyenda!$B$63:$E$67,3,FALSE)</f>
        <v>0</v>
      </c>
      <c r="BN423" s="67">
        <f>+VLOOKUP('2. Logging Brejo Seco'!AO423,Leyenda!$B$39:$E$43,4,FALSE)</f>
        <v>0</v>
      </c>
      <c r="BO423" s="67">
        <f>+VLOOKUP('2. Logging Brejo Seco'!AN423,Leyenda!$B$30:$E$34,4,FALSE)</f>
        <v>0</v>
      </c>
      <c r="BP423" s="67">
        <f>VLOOKUP(AS423,Leyenda!$B$71:$E$75,4,FALSE)</f>
        <v>10</v>
      </c>
      <c r="BQ423" s="67">
        <f t="shared" si="139"/>
        <v>36</v>
      </c>
      <c r="BR423" s="18">
        <f t="shared" si="140"/>
        <v>39</v>
      </c>
      <c r="BS423" s="240">
        <f t="shared" si="135"/>
        <v>0.21999999999999997</v>
      </c>
      <c r="BT423" s="18"/>
    </row>
    <row r="424" spans="1:72" x14ac:dyDescent="0.25">
      <c r="A424" s="18" t="s">
        <v>6</v>
      </c>
      <c r="B424" s="18">
        <v>2024</v>
      </c>
      <c r="C424" s="18" t="s">
        <v>138</v>
      </c>
      <c r="D424" s="18" t="s">
        <v>134</v>
      </c>
      <c r="E424" s="18">
        <v>50</v>
      </c>
      <c r="F424" s="18">
        <v>40</v>
      </c>
      <c r="G424" s="18" t="s">
        <v>154</v>
      </c>
      <c r="H424" s="248">
        <f t="shared" si="144"/>
        <v>40</v>
      </c>
      <c r="I424" s="135"/>
      <c r="J424" s="18" t="s">
        <v>170</v>
      </c>
      <c r="K424" s="31">
        <f t="shared" si="149"/>
        <v>5</v>
      </c>
      <c r="L424" s="31">
        <v>5.5</v>
      </c>
      <c r="M424" s="4">
        <f t="shared" si="136"/>
        <v>0.5</v>
      </c>
      <c r="N424" s="5">
        <v>0.5</v>
      </c>
      <c r="O424" s="5">
        <f t="shared" si="132"/>
        <v>0.5</v>
      </c>
      <c r="P424" s="31">
        <f t="shared" si="137"/>
        <v>0.25</v>
      </c>
      <c r="Q424" s="18">
        <f t="shared" si="150"/>
        <v>0.25</v>
      </c>
      <c r="R424" s="18">
        <v>250</v>
      </c>
      <c r="S424" s="18">
        <v>1</v>
      </c>
      <c r="T424" s="18">
        <v>0.17</v>
      </c>
      <c r="U424" s="18">
        <v>0.17</v>
      </c>
      <c r="V424" s="65">
        <f t="shared" si="145"/>
        <v>34</v>
      </c>
      <c r="W424" s="18">
        <v>2</v>
      </c>
      <c r="X424" s="18"/>
      <c r="Y424" s="18">
        <v>4</v>
      </c>
      <c r="Z424" s="31">
        <f t="shared" si="147"/>
        <v>125</v>
      </c>
      <c r="AA424" s="18">
        <v>0</v>
      </c>
      <c r="AB424" s="18" t="s">
        <v>96</v>
      </c>
      <c r="AC424" s="18" t="s">
        <v>116</v>
      </c>
      <c r="AD424" s="18" t="s">
        <v>334</v>
      </c>
      <c r="AE424" s="18">
        <v>1</v>
      </c>
      <c r="AF424" s="18">
        <v>250</v>
      </c>
      <c r="AG424" s="18" t="s">
        <v>29</v>
      </c>
      <c r="AH424" s="18" t="s">
        <v>29</v>
      </c>
      <c r="AI424" s="18" t="str">
        <f>+VLOOKUP(AH424,Leyenda!$O$4:$U$10,6,FALSE)</f>
        <v>0,25-0,35</v>
      </c>
      <c r="AJ424" s="18" t="str">
        <f>+VLOOKUP(AG424,Leyenda!$O$4:$U$10,7,FALSE)</f>
        <v>No Blasting need</v>
      </c>
      <c r="AK424" s="18">
        <f>+VLOOKUP(AJ424,Leyenda!$U$4:$V$10,2,FALSE)</f>
        <v>2</v>
      </c>
      <c r="AL424" s="18"/>
      <c r="AM424" s="18" t="s">
        <v>29</v>
      </c>
      <c r="AN424" s="18" t="s">
        <v>69</v>
      </c>
      <c r="AO424" s="18" t="s">
        <v>81</v>
      </c>
      <c r="AP424" s="18" t="s">
        <v>100</v>
      </c>
      <c r="AQ424" s="18" t="s">
        <v>109</v>
      </c>
      <c r="AR424" s="18" t="s">
        <v>122</v>
      </c>
      <c r="AS424" s="18" t="s">
        <v>198</v>
      </c>
      <c r="AT424" s="18"/>
      <c r="AU424" s="18"/>
      <c r="AV424" s="18">
        <f>+VLOOKUP(AN424,Leyenda!$B$30:$E$34,3,FALSE)</f>
        <v>0</v>
      </c>
      <c r="AW424" s="18">
        <f>+VLOOKUP('2. Logging Brejo Seco'!AO424,Meteorizacion,3,FALSE)</f>
        <v>0</v>
      </c>
      <c r="AX424" s="18">
        <f>+VLOOKUP('2. Logging Brejo Seco'!AP424,Apertura,3,FALSE)</f>
        <v>0</v>
      </c>
      <c r="AY424" s="18">
        <f>+VLOOKUP('2. Logging Brejo Seco'!AQ424,Leyenda!$B$55:$D$59,3,FALSE)</f>
        <v>1</v>
      </c>
      <c r="AZ424" s="18">
        <f>+VLOOKUP('2. Logging Brejo Seco'!AR424,Relleno,3,FALSE)</f>
        <v>0</v>
      </c>
      <c r="BA424" s="18">
        <f t="shared" si="146"/>
        <v>1</v>
      </c>
      <c r="BB424" s="49">
        <f t="shared" si="151"/>
        <v>7</v>
      </c>
      <c r="BC424" s="49">
        <f>VLOOKUP(AH424,Leyenda!$B$4:$D$10,3,FALSE)</f>
        <v>2</v>
      </c>
      <c r="BD424" s="50">
        <f t="shared" si="133"/>
        <v>8</v>
      </c>
      <c r="BE424" s="49">
        <f t="shared" si="138"/>
        <v>1</v>
      </c>
      <c r="BF424" s="49">
        <f>VLOOKUP(AS424,Leyenda!$B$70:$D$75,3,FALSE)</f>
        <v>15</v>
      </c>
      <c r="BG424" s="67">
        <f t="shared" si="152"/>
        <v>18.5</v>
      </c>
      <c r="BH424" s="67">
        <f>VLOOKUP(AG424,Leyenda!$B$4:$E$10,4,FALSE)</f>
        <v>2</v>
      </c>
      <c r="BI424" s="67">
        <f t="shared" si="134"/>
        <v>10</v>
      </c>
      <c r="BJ424" s="67">
        <f t="shared" si="153"/>
        <v>7</v>
      </c>
      <c r="BK424" s="67">
        <f>+VLOOKUP('2. Logging Brejo Seco'!AP424,Leyenda!$B$47:$E$51,4,FALSE)</f>
        <v>0</v>
      </c>
      <c r="BL424" s="67">
        <f>+VLOOKUP('2. Logging Brejo Seco'!AQ424,Leyenda!$B$55:$E$59,4,FALSE)</f>
        <v>1</v>
      </c>
      <c r="BM424" s="67">
        <f>+VLOOKUP('2. Logging Brejo Seco'!AR424,Leyenda!$B$63:$E$67,3,FALSE)</f>
        <v>0</v>
      </c>
      <c r="BN424" s="67">
        <f>+VLOOKUP('2. Logging Brejo Seco'!AO424,Leyenda!$B$39:$E$43,4,FALSE)</f>
        <v>0</v>
      </c>
      <c r="BO424" s="67">
        <f>+VLOOKUP('2. Logging Brejo Seco'!AN424,Leyenda!$B$30:$E$34,4,FALSE)</f>
        <v>0</v>
      </c>
      <c r="BP424" s="67">
        <f>VLOOKUP(AS424,Leyenda!$B$71:$E$75,4,FALSE)</f>
        <v>10</v>
      </c>
      <c r="BQ424" s="67">
        <f t="shared" si="139"/>
        <v>30</v>
      </c>
      <c r="BR424" s="18">
        <f t="shared" si="140"/>
        <v>33</v>
      </c>
      <c r="BS424" s="240">
        <f t="shared" si="135"/>
        <v>0.5</v>
      </c>
      <c r="BT424" s="18"/>
    </row>
    <row r="425" spans="1:72" x14ac:dyDescent="0.25">
      <c r="A425" s="18" t="s">
        <v>6</v>
      </c>
      <c r="B425" s="18">
        <v>2024</v>
      </c>
      <c r="C425" s="18" t="s">
        <v>138</v>
      </c>
      <c r="D425" s="18" t="s">
        <v>134</v>
      </c>
      <c r="E425" s="18">
        <v>50</v>
      </c>
      <c r="F425" s="18">
        <v>40</v>
      </c>
      <c r="G425" s="18" t="s">
        <v>154</v>
      </c>
      <c r="H425" s="248">
        <f t="shared" si="144"/>
        <v>40</v>
      </c>
      <c r="I425" s="135"/>
      <c r="J425" s="18" t="s">
        <v>170</v>
      </c>
      <c r="K425" s="31">
        <f t="shared" si="149"/>
        <v>5.5</v>
      </c>
      <c r="L425" s="31">
        <v>6</v>
      </c>
      <c r="M425" s="4">
        <f t="shared" si="136"/>
        <v>0.5</v>
      </c>
      <c r="N425" s="5">
        <v>0.56000000000000005</v>
      </c>
      <c r="O425" s="5">
        <f t="shared" si="132"/>
        <v>0.43999999999999995</v>
      </c>
      <c r="P425" s="31">
        <f t="shared" si="137"/>
        <v>0.28000000000000003</v>
      </c>
      <c r="Q425" s="18">
        <f t="shared" si="150"/>
        <v>0.28000000000000003</v>
      </c>
      <c r="R425" s="18">
        <v>14</v>
      </c>
      <c r="S425" s="18">
        <v>20</v>
      </c>
      <c r="T425" s="18">
        <v>0.21</v>
      </c>
      <c r="U425" s="18">
        <v>0</v>
      </c>
      <c r="V425" s="65">
        <f t="shared" si="145"/>
        <v>0</v>
      </c>
      <c r="W425" s="18">
        <v>5</v>
      </c>
      <c r="X425" s="18"/>
      <c r="Y425" s="18">
        <f t="shared" si="148"/>
        <v>5</v>
      </c>
      <c r="Z425" s="31">
        <f t="shared" si="147"/>
        <v>100</v>
      </c>
      <c r="AA425" s="18">
        <v>0</v>
      </c>
      <c r="AB425" s="18" t="s">
        <v>96</v>
      </c>
      <c r="AC425" s="18" t="s">
        <v>333</v>
      </c>
      <c r="AD425" s="18" t="s">
        <v>337</v>
      </c>
      <c r="AE425" s="18">
        <v>20</v>
      </c>
      <c r="AF425" s="18">
        <v>14</v>
      </c>
      <c r="AG425" s="18" t="s">
        <v>29</v>
      </c>
      <c r="AH425" s="18" t="s">
        <v>29</v>
      </c>
      <c r="AI425" s="18" t="str">
        <f>+VLOOKUP(AH425,Leyenda!$O$4:$U$10,6,FALSE)</f>
        <v>0,25-0,35</v>
      </c>
      <c r="AJ425" s="18" t="str">
        <f>+VLOOKUP(AG425,Leyenda!$O$4:$U$10,7,FALSE)</f>
        <v>No Blasting need</v>
      </c>
      <c r="AK425" s="18">
        <f>+VLOOKUP(AJ425,Leyenda!$U$4:$V$10,2,FALSE)</f>
        <v>2</v>
      </c>
      <c r="AL425" s="18"/>
      <c r="AM425" s="18" t="s">
        <v>29</v>
      </c>
      <c r="AN425" s="18" t="s">
        <v>69</v>
      </c>
      <c r="AO425" s="18" t="s">
        <v>81</v>
      </c>
      <c r="AP425" s="18" t="s">
        <v>100</v>
      </c>
      <c r="AQ425" s="18" t="s">
        <v>109</v>
      </c>
      <c r="AR425" s="18" t="s">
        <v>122</v>
      </c>
      <c r="AS425" s="18" t="s">
        <v>198</v>
      </c>
      <c r="AT425" s="18"/>
      <c r="AU425" s="18"/>
      <c r="AV425" s="18">
        <f>+VLOOKUP(AN425,Leyenda!$B$30:$E$34,3,FALSE)</f>
        <v>0</v>
      </c>
      <c r="AW425" s="18">
        <f>+VLOOKUP('2. Logging Brejo Seco'!AO425,Meteorizacion,3,FALSE)</f>
        <v>0</v>
      </c>
      <c r="AX425" s="18">
        <f>+VLOOKUP('2. Logging Brejo Seco'!AP425,Apertura,3,FALSE)</f>
        <v>0</v>
      </c>
      <c r="AY425" s="18">
        <f>+VLOOKUP('2. Logging Brejo Seco'!AQ425,Leyenda!$B$55:$D$59,3,FALSE)</f>
        <v>1</v>
      </c>
      <c r="AZ425" s="18">
        <f>+VLOOKUP('2. Logging Brejo Seco'!AR425,Relleno,3,FALSE)</f>
        <v>0</v>
      </c>
      <c r="BA425" s="18">
        <f t="shared" si="146"/>
        <v>1</v>
      </c>
      <c r="BB425" s="49">
        <f t="shared" si="151"/>
        <v>0</v>
      </c>
      <c r="BC425" s="49">
        <f>VLOOKUP(AH425,Leyenda!$B$4:$D$10,3,FALSE)</f>
        <v>2</v>
      </c>
      <c r="BD425" s="50">
        <f t="shared" si="133"/>
        <v>7</v>
      </c>
      <c r="BE425" s="49">
        <f t="shared" si="138"/>
        <v>1</v>
      </c>
      <c r="BF425" s="49">
        <f>VLOOKUP(AS425,Leyenda!$B$70:$D$75,3,FALSE)</f>
        <v>15</v>
      </c>
      <c r="BG425" s="67">
        <f t="shared" si="152"/>
        <v>1.5</v>
      </c>
      <c r="BH425" s="67">
        <f>VLOOKUP(AG425,Leyenda!$B$4:$E$10,4,FALSE)</f>
        <v>2</v>
      </c>
      <c r="BI425" s="67">
        <f t="shared" si="134"/>
        <v>8</v>
      </c>
      <c r="BJ425" s="67">
        <f t="shared" si="153"/>
        <v>0</v>
      </c>
      <c r="BK425" s="67">
        <f>+VLOOKUP('2. Logging Brejo Seco'!AP425,Leyenda!$B$47:$E$51,4,FALSE)</f>
        <v>0</v>
      </c>
      <c r="BL425" s="67">
        <f>+VLOOKUP('2. Logging Brejo Seco'!AQ425,Leyenda!$B$55:$E$59,4,FALSE)</f>
        <v>1</v>
      </c>
      <c r="BM425" s="67">
        <f>+VLOOKUP('2. Logging Brejo Seco'!AR425,Leyenda!$B$63:$E$67,3,FALSE)</f>
        <v>0</v>
      </c>
      <c r="BN425" s="67">
        <f>+VLOOKUP('2. Logging Brejo Seco'!AO425,Leyenda!$B$39:$E$43,4,FALSE)</f>
        <v>0</v>
      </c>
      <c r="BO425" s="67">
        <f>+VLOOKUP('2. Logging Brejo Seco'!AN425,Leyenda!$B$30:$E$34,4,FALSE)</f>
        <v>0</v>
      </c>
      <c r="BP425" s="67">
        <f>VLOOKUP(AS425,Leyenda!$B$71:$E$75,4,FALSE)</f>
        <v>10</v>
      </c>
      <c r="BQ425" s="67">
        <f t="shared" si="139"/>
        <v>21</v>
      </c>
      <c r="BR425" s="18">
        <f t="shared" si="140"/>
        <v>25</v>
      </c>
      <c r="BS425" s="240">
        <f t="shared" si="135"/>
        <v>0.43999999999999995</v>
      </c>
      <c r="BT425" s="18"/>
    </row>
    <row r="426" spans="1:72" x14ac:dyDescent="0.25">
      <c r="A426" s="18" t="s">
        <v>6</v>
      </c>
      <c r="B426" s="18">
        <v>2024</v>
      </c>
      <c r="C426" s="18" t="s">
        <v>138</v>
      </c>
      <c r="D426" s="18" t="s">
        <v>134</v>
      </c>
      <c r="E426" s="18">
        <v>50</v>
      </c>
      <c r="F426" s="18">
        <v>40</v>
      </c>
      <c r="G426" s="18" t="s">
        <v>154</v>
      </c>
      <c r="H426" s="248">
        <f t="shared" si="144"/>
        <v>40</v>
      </c>
      <c r="I426" s="135"/>
      <c r="J426" s="18" t="s">
        <v>170</v>
      </c>
      <c r="K426" s="31">
        <f t="shared" si="149"/>
        <v>6</v>
      </c>
      <c r="L426" s="31">
        <v>6.5</v>
      </c>
      <c r="M426" s="4">
        <f t="shared" si="136"/>
        <v>0.5</v>
      </c>
      <c r="N426" s="5">
        <v>0.66</v>
      </c>
      <c r="O426" s="5">
        <f t="shared" si="132"/>
        <v>0.33999999999999997</v>
      </c>
      <c r="P426" s="31">
        <f t="shared" si="137"/>
        <v>0.33</v>
      </c>
      <c r="Q426" s="18">
        <f t="shared" si="150"/>
        <v>0.33</v>
      </c>
      <c r="R426" s="18">
        <v>16.5</v>
      </c>
      <c r="S426" s="18">
        <v>20</v>
      </c>
      <c r="T426" s="18">
        <v>0.31</v>
      </c>
      <c r="U426" s="18">
        <v>0</v>
      </c>
      <c r="V426" s="65">
        <f t="shared" si="145"/>
        <v>0</v>
      </c>
      <c r="W426" s="18">
        <v>4</v>
      </c>
      <c r="X426" s="18"/>
      <c r="Y426" s="18">
        <f t="shared" si="148"/>
        <v>4</v>
      </c>
      <c r="Z426" s="31">
        <f t="shared" si="147"/>
        <v>125</v>
      </c>
      <c r="AA426" s="18">
        <v>0</v>
      </c>
      <c r="AB426" s="18" t="s">
        <v>96</v>
      </c>
      <c r="AC426" s="18" t="s">
        <v>333</v>
      </c>
      <c r="AD426" s="18" t="s">
        <v>337</v>
      </c>
      <c r="AE426" s="18">
        <v>20</v>
      </c>
      <c r="AF426" s="18">
        <v>16.5</v>
      </c>
      <c r="AG426" s="18" t="s">
        <v>29</v>
      </c>
      <c r="AH426" s="18" t="s">
        <v>29</v>
      </c>
      <c r="AI426" s="18" t="str">
        <f>+VLOOKUP(AH426,Leyenda!$O$4:$U$10,6,FALSE)</f>
        <v>0,25-0,35</v>
      </c>
      <c r="AJ426" s="18" t="str">
        <f>+VLOOKUP(AG426,Leyenda!$O$4:$U$10,7,FALSE)</f>
        <v>No Blasting need</v>
      </c>
      <c r="AK426" s="18">
        <f>+VLOOKUP(AJ426,Leyenda!$U$4:$V$10,2,FALSE)</f>
        <v>2</v>
      </c>
      <c r="AL426" s="18"/>
      <c r="AM426" s="18" t="s">
        <v>29</v>
      </c>
      <c r="AN426" s="18" t="s">
        <v>69</v>
      </c>
      <c r="AO426" s="18" t="s">
        <v>81</v>
      </c>
      <c r="AP426" s="18" t="s">
        <v>100</v>
      </c>
      <c r="AQ426" s="18" t="s">
        <v>109</v>
      </c>
      <c r="AR426" s="18" t="s">
        <v>122</v>
      </c>
      <c r="AS426" s="18" t="s">
        <v>198</v>
      </c>
      <c r="AT426" s="18"/>
      <c r="AU426" s="18"/>
      <c r="AV426" s="18">
        <f>+VLOOKUP(AN426,Leyenda!$B$30:$E$34,3,FALSE)</f>
        <v>0</v>
      </c>
      <c r="AW426" s="18">
        <f>+VLOOKUP('2. Logging Brejo Seco'!AO426,Meteorizacion,3,FALSE)</f>
        <v>0</v>
      </c>
      <c r="AX426" s="18">
        <f>+VLOOKUP('2. Logging Brejo Seco'!AP426,Apertura,3,FALSE)</f>
        <v>0</v>
      </c>
      <c r="AY426" s="18">
        <f>+VLOOKUP('2. Logging Brejo Seco'!AQ426,Leyenda!$B$55:$D$59,3,FALSE)</f>
        <v>1</v>
      </c>
      <c r="AZ426" s="18">
        <f>+VLOOKUP('2. Logging Brejo Seco'!AR426,Relleno,3,FALSE)</f>
        <v>0</v>
      </c>
      <c r="BA426" s="18">
        <f t="shared" si="146"/>
        <v>1</v>
      </c>
      <c r="BB426" s="49">
        <f t="shared" si="151"/>
        <v>0</v>
      </c>
      <c r="BC426" s="49">
        <f>VLOOKUP(AH426,Leyenda!$B$4:$D$10,3,FALSE)</f>
        <v>2</v>
      </c>
      <c r="BD426" s="50">
        <f t="shared" si="133"/>
        <v>8</v>
      </c>
      <c r="BE426" s="49">
        <f t="shared" si="138"/>
        <v>1</v>
      </c>
      <c r="BF426" s="49">
        <f>VLOOKUP(AS426,Leyenda!$B$70:$D$75,3,FALSE)</f>
        <v>15</v>
      </c>
      <c r="BG426" s="67">
        <f t="shared" si="152"/>
        <v>1.5</v>
      </c>
      <c r="BH426" s="67">
        <f>VLOOKUP(AG426,Leyenda!$B$4:$E$10,4,FALSE)</f>
        <v>2</v>
      </c>
      <c r="BI426" s="67">
        <f t="shared" si="134"/>
        <v>10</v>
      </c>
      <c r="BJ426" s="67">
        <f t="shared" si="153"/>
        <v>0</v>
      </c>
      <c r="BK426" s="67">
        <f>+VLOOKUP('2. Logging Brejo Seco'!AP426,Leyenda!$B$47:$E$51,4,FALSE)</f>
        <v>0</v>
      </c>
      <c r="BL426" s="67">
        <f>+VLOOKUP('2. Logging Brejo Seco'!AQ426,Leyenda!$B$55:$E$59,4,FALSE)</f>
        <v>1</v>
      </c>
      <c r="BM426" s="67">
        <f>+VLOOKUP('2. Logging Brejo Seco'!AR426,Leyenda!$B$63:$E$67,3,FALSE)</f>
        <v>0</v>
      </c>
      <c r="BN426" s="67">
        <f>+VLOOKUP('2. Logging Brejo Seco'!AO426,Leyenda!$B$39:$E$43,4,FALSE)</f>
        <v>0</v>
      </c>
      <c r="BO426" s="67">
        <f>+VLOOKUP('2. Logging Brejo Seco'!AN426,Leyenda!$B$30:$E$34,4,FALSE)</f>
        <v>0</v>
      </c>
      <c r="BP426" s="67">
        <f>VLOOKUP(AS426,Leyenda!$B$71:$E$75,4,FALSE)</f>
        <v>10</v>
      </c>
      <c r="BQ426" s="67">
        <f t="shared" si="139"/>
        <v>23</v>
      </c>
      <c r="BR426" s="18">
        <f t="shared" si="140"/>
        <v>26</v>
      </c>
      <c r="BS426" s="240">
        <f t="shared" si="135"/>
        <v>0.33999999999999997</v>
      </c>
      <c r="BT426" s="18"/>
    </row>
    <row r="427" spans="1:72" x14ac:dyDescent="0.25">
      <c r="A427" s="18" t="s">
        <v>6</v>
      </c>
      <c r="B427" s="18">
        <v>2024</v>
      </c>
      <c r="C427" s="18" t="s">
        <v>138</v>
      </c>
      <c r="D427" s="18" t="s">
        <v>134</v>
      </c>
      <c r="E427" s="18">
        <v>50</v>
      </c>
      <c r="F427" s="18">
        <v>40</v>
      </c>
      <c r="G427" s="18" t="s">
        <v>154</v>
      </c>
      <c r="H427" s="248">
        <f t="shared" si="144"/>
        <v>40</v>
      </c>
      <c r="I427" s="135"/>
      <c r="J427" s="18" t="s">
        <v>170</v>
      </c>
      <c r="K427" s="31">
        <f t="shared" si="149"/>
        <v>6.5</v>
      </c>
      <c r="L427" s="31">
        <v>7</v>
      </c>
      <c r="M427" s="4">
        <f t="shared" si="136"/>
        <v>0.5</v>
      </c>
      <c r="N427" s="5">
        <v>0.6</v>
      </c>
      <c r="O427" s="5">
        <f t="shared" si="132"/>
        <v>0.4</v>
      </c>
      <c r="P427" s="31">
        <f t="shared" si="137"/>
        <v>0.3</v>
      </c>
      <c r="Q427" s="18">
        <f t="shared" si="150"/>
        <v>0.3</v>
      </c>
      <c r="R427" s="18">
        <v>300</v>
      </c>
      <c r="S427" s="18">
        <v>1</v>
      </c>
      <c r="T427" s="18">
        <v>0.24</v>
      </c>
      <c r="U427" s="18">
        <v>0.12</v>
      </c>
      <c r="V427" s="65">
        <f t="shared" si="145"/>
        <v>24</v>
      </c>
      <c r="W427" s="18">
        <v>2</v>
      </c>
      <c r="X427" s="18"/>
      <c r="Y427" s="18">
        <v>4</v>
      </c>
      <c r="Z427" s="31">
        <f t="shared" si="147"/>
        <v>125</v>
      </c>
      <c r="AA427" s="18">
        <v>0</v>
      </c>
      <c r="AB427" s="18" t="s">
        <v>96</v>
      </c>
      <c r="AC427" s="18" t="s">
        <v>116</v>
      </c>
      <c r="AD427" s="18" t="s">
        <v>337</v>
      </c>
      <c r="AE427" s="18">
        <v>1</v>
      </c>
      <c r="AF427" s="18">
        <v>300</v>
      </c>
      <c r="AG427" s="18" t="s">
        <v>29</v>
      </c>
      <c r="AH427" s="18" t="s">
        <v>29</v>
      </c>
      <c r="AI427" s="18" t="str">
        <f>+VLOOKUP(AH427,Leyenda!$O$4:$U$10,6,FALSE)</f>
        <v>0,25-0,35</v>
      </c>
      <c r="AJ427" s="18" t="str">
        <f>+VLOOKUP(AG427,Leyenda!$O$4:$U$10,7,FALSE)</f>
        <v>No Blasting need</v>
      </c>
      <c r="AK427" s="18">
        <f>+VLOOKUP(AJ427,Leyenda!$U$4:$V$10,2,FALSE)</f>
        <v>2</v>
      </c>
      <c r="AL427" s="18"/>
      <c r="AM427" s="18" t="s">
        <v>29</v>
      </c>
      <c r="AN427" s="18" t="s">
        <v>69</v>
      </c>
      <c r="AO427" s="18" t="s">
        <v>81</v>
      </c>
      <c r="AP427" s="18" t="s">
        <v>100</v>
      </c>
      <c r="AQ427" s="18" t="s">
        <v>109</v>
      </c>
      <c r="AR427" s="18" t="s">
        <v>122</v>
      </c>
      <c r="AS427" s="18" t="s">
        <v>198</v>
      </c>
      <c r="AT427" s="18"/>
      <c r="AU427" s="18"/>
      <c r="AV427" s="18">
        <f>+VLOOKUP(AN427,Leyenda!$B$30:$E$34,3,FALSE)</f>
        <v>0</v>
      </c>
      <c r="AW427" s="18">
        <f>+VLOOKUP('2. Logging Brejo Seco'!AO427,Meteorizacion,3,FALSE)</f>
        <v>0</v>
      </c>
      <c r="AX427" s="18">
        <f>+VLOOKUP('2. Logging Brejo Seco'!AP427,Apertura,3,FALSE)</f>
        <v>0</v>
      </c>
      <c r="AY427" s="18">
        <f>+VLOOKUP('2. Logging Brejo Seco'!AQ427,Leyenda!$B$55:$D$59,3,FALSE)</f>
        <v>1</v>
      </c>
      <c r="AZ427" s="18">
        <f>+VLOOKUP('2. Logging Brejo Seco'!AR427,Relleno,3,FALSE)</f>
        <v>0</v>
      </c>
      <c r="BA427" s="18">
        <f t="shared" si="146"/>
        <v>1</v>
      </c>
      <c r="BB427" s="49">
        <f t="shared" si="151"/>
        <v>5</v>
      </c>
      <c r="BC427" s="49">
        <f>VLOOKUP(AH427,Leyenda!$B$4:$D$10,3,FALSE)</f>
        <v>2</v>
      </c>
      <c r="BD427" s="50">
        <f t="shared" si="133"/>
        <v>8</v>
      </c>
      <c r="BE427" s="49">
        <f t="shared" si="138"/>
        <v>1</v>
      </c>
      <c r="BF427" s="49">
        <f>VLOOKUP(AS427,Leyenda!$B$70:$D$75,3,FALSE)</f>
        <v>15</v>
      </c>
      <c r="BG427" s="67">
        <f t="shared" si="152"/>
        <v>13.5</v>
      </c>
      <c r="BH427" s="67">
        <f>VLOOKUP(AG427,Leyenda!$B$4:$E$10,4,FALSE)</f>
        <v>2</v>
      </c>
      <c r="BI427" s="67">
        <f t="shared" si="134"/>
        <v>10</v>
      </c>
      <c r="BJ427" s="67">
        <f t="shared" si="153"/>
        <v>5</v>
      </c>
      <c r="BK427" s="67">
        <f>+VLOOKUP('2. Logging Brejo Seco'!AP427,Leyenda!$B$47:$E$51,4,FALSE)</f>
        <v>0</v>
      </c>
      <c r="BL427" s="67">
        <f>+VLOOKUP('2. Logging Brejo Seco'!AQ427,Leyenda!$B$55:$E$59,4,FALSE)</f>
        <v>1</v>
      </c>
      <c r="BM427" s="67">
        <f>+VLOOKUP('2. Logging Brejo Seco'!AR427,Leyenda!$B$63:$E$67,3,FALSE)</f>
        <v>0</v>
      </c>
      <c r="BN427" s="67">
        <f>+VLOOKUP('2. Logging Brejo Seco'!AO427,Leyenda!$B$39:$E$43,4,FALSE)</f>
        <v>0</v>
      </c>
      <c r="BO427" s="67">
        <f>+VLOOKUP('2. Logging Brejo Seco'!AN427,Leyenda!$B$30:$E$34,4,FALSE)</f>
        <v>0</v>
      </c>
      <c r="BP427" s="67">
        <f>VLOOKUP(AS427,Leyenda!$B$71:$E$75,4,FALSE)</f>
        <v>10</v>
      </c>
      <c r="BQ427" s="67">
        <f t="shared" si="139"/>
        <v>28</v>
      </c>
      <c r="BR427" s="18">
        <f t="shared" si="140"/>
        <v>31</v>
      </c>
      <c r="BS427" s="240">
        <f t="shared" si="135"/>
        <v>0.4</v>
      </c>
      <c r="BT427" s="18"/>
    </row>
    <row r="428" spans="1:72" x14ac:dyDescent="0.25">
      <c r="A428" s="18" t="s">
        <v>6</v>
      </c>
      <c r="B428" s="18">
        <v>2024</v>
      </c>
      <c r="C428" s="18" t="s">
        <v>138</v>
      </c>
      <c r="D428" s="18" t="s">
        <v>134</v>
      </c>
      <c r="E428" s="18">
        <v>50</v>
      </c>
      <c r="F428" s="18">
        <v>40</v>
      </c>
      <c r="G428" s="18" t="s">
        <v>154</v>
      </c>
      <c r="H428" s="248">
        <f t="shared" si="144"/>
        <v>40</v>
      </c>
      <c r="I428" s="135"/>
      <c r="J428" s="18" t="s">
        <v>170</v>
      </c>
      <c r="K428" s="31">
        <f t="shared" si="149"/>
        <v>7</v>
      </c>
      <c r="L428" s="31">
        <v>7.5</v>
      </c>
      <c r="M428" s="4">
        <f t="shared" si="136"/>
        <v>0.5</v>
      </c>
      <c r="N428" s="5">
        <v>0.64</v>
      </c>
      <c r="O428" s="5">
        <f t="shared" si="132"/>
        <v>0.36</v>
      </c>
      <c r="P428" s="31">
        <f t="shared" si="137"/>
        <v>0.32</v>
      </c>
      <c r="Q428" s="18">
        <f t="shared" si="150"/>
        <v>0.32</v>
      </c>
      <c r="R428" s="18">
        <v>64</v>
      </c>
      <c r="S428" s="18">
        <v>5</v>
      </c>
      <c r="T428" s="18">
        <v>0.2</v>
      </c>
      <c r="U428" s="18">
        <v>0.11</v>
      </c>
      <c r="V428" s="65">
        <f t="shared" si="145"/>
        <v>22</v>
      </c>
      <c r="W428" s="18">
        <v>5</v>
      </c>
      <c r="X428" s="18"/>
      <c r="Y428" s="18">
        <f t="shared" si="148"/>
        <v>5</v>
      </c>
      <c r="Z428" s="31">
        <f t="shared" si="147"/>
        <v>100</v>
      </c>
      <c r="AA428" s="18">
        <v>0</v>
      </c>
      <c r="AB428" s="18" t="s">
        <v>96</v>
      </c>
      <c r="AC428" s="18" t="s">
        <v>118</v>
      </c>
      <c r="AD428" s="18" t="s">
        <v>334</v>
      </c>
      <c r="AE428" s="18">
        <v>5</v>
      </c>
      <c r="AF428" s="18">
        <v>64</v>
      </c>
      <c r="AG428" s="18" t="s">
        <v>29</v>
      </c>
      <c r="AH428" s="18" t="s">
        <v>29</v>
      </c>
      <c r="AI428" s="18" t="str">
        <f>+VLOOKUP(AH428,Leyenda!$O$4:$U$10,6,FALSE)</f>
        <v>0,25-0,35</v>
      </c>
      <c r="AJ428" s="18" t="str">
        <f>+VLOOKUP(AG428,Leyenda!$O$4:$U$10,7,FALSE)</f>
        <v>No Blasting need</v>
      </c>
      <c r="AK428" s="18">
        <f>+VLOOKUP(AJ428,Leyenda!$U$4:$V$10,2,FALSE)</f>
        <v>2</v>
      </c>
      <c r="AL428" s="18"/>
      <c r="AM428" s="18" t="s">
        <v>24</v>
      </c>
      <c r="AN428" s="18" t="s">
        <v>69</v>
      </c>
      <c r="AO428" s="18" t="s">
        <v>81</v>
      </c>
      <c r="AP428" s="18" t="s">
        <v>100</v>
      </c>
      <c r="AQ428" s="18" t="s">
        <v>109</v>
      </c>
      <c r="AR428" s="18" t="s">
        <v>122</v>
      </c>
      <c r="AS428" s="18" t="s">
        <v>198</v>
      </c>
      <c r="AT428" s="18"/>
      <c r="AU428" s="18"/>
      <c r="AV428" s="18">
        <f>+VLOOKUP(AN428,Leyenda!$B$30:$E$34,3,FALSE)</f>
        <v>0</v>
      </c>
      <c r="AW428" s="18">
        <f>+VLOOKUP('2. Logging Brejo Seco'!AO428,Meteorizacion,3,FALSE)</f>
        <v>0</v>
      </c>
      <c r="AX428" s="18">
        <f>+VLOOKUP('2. Logging Brejo Seco'!AP428,Apertura,3,FALSE)</f>
        <v>0</v>
      </c>
      <c r="AY428" s="18">
        <f>+VLOOKUP('2. Logging Brejo Seco'!AQ428,Leyenda!$B$55:$D$59,3,FALSE)</f>
        <v>1</v>
      </c>
      <c r="AZ428" s="18">
        <f>+VLOOKUP('2. Logging Brejo Seco'!AR428,Relleno,3,FALSE)</f>
        <v>0</v>
      </c>
      <c r="BA428" s="18">
        <f t="shared" si="146"/>
        <v>1</v>
      </c>
      <c r="BB428" s="49">
        <f t="shared" si="151"/>
        <v>5</v>
      </c>
      <c r="BC428" s="49">
        <f>VLOOKUP(AH428,Leyenda!$B$4:$D$10,3,FALSE)</f>
        <v>2</v>
      </c>
      <c r="BD428" s="50">
        <f t="shared" si="133"/>
        <v>7</v>
      </c>
      <c r="BE428" s="49">
        <f t="shared" si="138"/>
        <v>1</v>
      </c>
      <c r="BF428" s="49">
        <f>VLOOKUP(AS428,Leyenda!$B$70:$D$75,3,FALSE)</f>
        <v>15</v>
      </c>
      <c r="BG428" s="67">
        <f t="shared" si="152"/>
        <v>12.5</v>
      </c>
      <c r="BH428" s="67">
        <f>VLOOKUP(AG428,Leyenda!$B$4:$E$10,4,FALSE)</f>
        <v>2</v>
      </c>
      <c r="BI428" s="67">
        <f t="shared" si="134"/>
        <v>8</v>
      </c>
      <c r="BJ428" s="67">
        <f t="shared" si="153"/>
        <v>5</v>
      </c>
      <c r="BK428" s="67">
        <f>+VLOOKUP('2. Logging Brejo Seco'!AP428,Leyenda!$B$47:$E$51,4,FALSE)</f>
        <v>0</v>
      </c>
      <c r="BL428" s="67">
        <f>+VLOOKUP('2. Logging Brejo Seco'!AQ428,Leyenda!$B$55:$E$59,4,FALSE)</f>
        <v>1</v>
      </c>
      <c r="BM428" s="67">
        <f>+VLOOKUP('2. Logging Brejo Seco'!AR428,Leyenda!$B$63:$E$67,3,FALSE)</f>
        <v>0</v>
      </c>
      <c r="BN428" s="67">
        <f>+VLOOKUP('2. Logging Brejo Seco'!AO428,Leyenda!$B$39:$E$43,4,FALSE)</f>
        <v>0</v>
      </c>
      <c r="BO428" s="67">
        <f>+VLOOKUP('2. Logging Brejo Seco'!AN428,Leyenda!$B$30:$E$34,4,FALSE)</f>
        <v>0</v>
      </c>
      <c r="BP428" s="67">
        <f>VLOOKUP(AS428,Leyenda!$B$71:$E$75,4,FALSE)</f>
        <v>10</v>
      </c>
      <c r="BQ428" s="67">
        <f t="shared" si="139"/>
        <v>26</v>
      </c>
      <c r="BR428" s="18">
        <f t="shared" si="140"/>
        <v>30</v>
      </c>
      <c r="BS428" s="240">
        <f t="shared" si="135"/>
        <v>0.36</v>
      </c>
      <c r="BT428" s="18"/>
    </row>
    <row r="429" spans="1:72" x14ac:dyDescent="0.25">
      <c r="A429" s="18" t="s">
        <v>6</v>
      </c>
      <c r="B429" s="18">
        <v>2024</v>
      </c>
      <c r="C429" s="18" t="s">
        <v>138</v>
      </c>
      <c r="D429" s="18" t="s">
        <v>134</v>
      </c>
      <c r="E429" s="18">
        <v>50</v>
      </c>
      <c r="F429" s="18">
        <v>40</v>
      </c>
      <c r="G429" s="18" t="s">
        <v>154</v>
      </c>
      <c r="H429" s="248">
        <f t="shared" si="144"/>
        <v>40</v>
      </c>
      <c r="I429" s="135"/>
      <c r="J429" s="18" t="s">
        <v>170</v>
      </c>
      <c r="K429" s="31">
        <f t="shared" si="149"/>
        <v>7.5</v>
      </c>
      <c r="L429" s="31">
        <v>8</v>
      </c>
      <c r="M429" s="4">
        <f t="shared" si="136"/>
        <v>0.5</v>
      </c>
      <c r="N429" s="5">
        <v>0.44</v>
      </c>
      <c r="O429" s="5">
        <f t="shared" si="132"/>
        <v>0.56000000000000005</v>
      </c>
      <c r="P429" s="31">
        <f t="shared" si="137"/>
        <v>0.22</v>
      </c>
      <c r="Q429" s="18">
        <f t="shared" si="150"/>
        <v>0.22</v>
      </c>
      <c r="R429" s="18">
        <v>11</v>
      </c>
      <c r="S429" s="18">
        <v>20</v>
      </c>
      <c r="T429" s="18">
        <v>0.13</v>
      </c>
      <c r="U429" s="18">
        <v>0</v>
      </c>
      <c r="V429" s="65">
        <f t="shared" si="145"/>
        <v>0</v>
      </c>
      <c r="W429" s="18">
        <v>3</v>
      </c>
      <c r="X429" s="18"/>
      <c r="Y429" s="18">
        <f t="shared" si="148"/>
        <v>3</v>
      </c>
      <c r="Z429" s="31">
        <f t="shared" si="147"/>
        <v>166.66666666666666</v>
      </c>
      <c r="AA429" s="18">
        <v>0</v>
      </c>
      <c r="AB429" s="18" t="s">
        <v>96</v>
      </c>
      <c r="AC429" s="18" t="s">
        <v>333</v>
      </c>
      <c r="AD429" s="18" t="s">
        <v>334</v>
      </c>
      <c r="AE429" s="18">
        <v>20</v>
      </c>
      <c r="AF429" s="18">
        <v>11</v>
      </c>
      <c r="AG429" s="18" t="s">
        <v>29</v>
      </c>
      <c r="AH429" s="18" t="s">
        <v>29</v>
      </c>
      <c r="AI429" s="18" t="str">
        <f>+VLOOKUP(AH429,Leyenda!$O$4:$U$10,6,FALSE)</f>
        <v>0,25-0,35</v>
      </c>
      <c r="AJ429" s="18" t="str">
        <f>+VLOOKUP(AG429,Leyenda!$O$4:$U$10,7,FALSE)</f>
        <v>No Blasting need</v>
      </c>
      <c r="AK429" s="18">
        <f>+VLOOKUP(AJ429,Leyenda!$U$4:$V$10,2,FALSE)</f>
        <v>2</v>
      </c>
      <c r="AL429" s="18"/>
      <c r="AM429" s="18" t="s">
        <v>29</v>
      </c>
      <c r="AN429" s="18" t="s">
        <v>69</v>
      </c>
      <c r="AO429" s="18" t="s">
        <v>81</v>
      </c>
      <c r="AP429" s="18" t="s">
        <v>100</v>
      </c>
      <c r="AQ429" s="18" t="s">
        <v>109</v>
      </c>
      <c r="AR429" s="18" t="s">
        <v>122</v>
      </c>
      <c r="AS429" s="18" t="s">
        <v>198</v>
      </c>
      <c r="AT429" s="18"/>
      <c r="AU429" s="18"/>
      <c r="AV429" s="18">
        <f>+VLOOKUP(AN429,Leyenda!$B$30:$E$34,3,FALSE)</f>
        <v>0</v>
      </c>
      <c r="AW429" s="18">
        <f>+VLOOKUP('2. Logging Brejo Seco'!AO429,Meteorizacion,3,FALSE)</f>
        <v>0</v>
      </c>
      <c r="AX429" s="18">
        <f>+VLOOKUP('2. Logging Brejo Seco'!AP429,Apertura,3,FALSE)</f>
        <v>0</v>
      </c>
      <c r="AY429" s="18">
        <f>+VLOOKUP('2. Logging Brejo Seco'!AQ429,Leyenda!$B$55:$D$59,3,FALSE)</f>
        <v>1</v>
      </c>
      <c r="AZ429" s="18">
        <f>+VLOOKUP('2. Logging Brejo Seco'!AR429,Relleno,3,FALSE)</f>
        <v>0</v>
      </c>
      <c r="BA429" s="18">
        <f t="shared" si="146"/>
        <v>1</v>
      </c>
      <c r="BB429" s="49">
        <f t="shared" si="151"/>
        <v>0</v>
      </c>
      <c r="BC429" s="49">
        <f>VLOOKUP(AH429,Leyenda!$B$4:$D$10,3,FALSE)</f>
        <v>2</v>
      </c>
      <c r="BD429" s="50">
        <f t="shared" si="133"/>
        <v>9</v>
      </c>
      <c r="BE429" s="49">
        <f t="shared" si="138"/>
        <v>1</v>
      </c>
      <c r="BF429" s="49">
        <f>VLOOKUP(AS429,Leyenda!$B$70:$D$75,3,FALSE)</f>
        <v>15</v>
      </c>
      <c r="BG429" s="67">
        <f t="shared" si="152"/>
        <v>1.5</v>
      </c>
      <c r="BH429" s="67">
        <f>VLOOKUP(AG429,Leyenda!$B$4:$E$10,4,FALSE)</f>
        <v>2</v>
      </c>
      <c r="BI429" s="67">
        <f t="shared" si="134"/>
        <v>11</v>
      </c>
      <c r="BJ429" s="67">
        <f t="shared" si="153"/>
        <v>0</v>
      </c>
      <c r="BK429" s="67">
        <f>+VLOOKUP('2. Logging Brejo Seco'!AP429,Leyenda!$B$47:$E$51,4,FALSE)</f>
        <v>0</v>
      </c>
      <c r="BL429" s="67">
        <f>+VLOOKUP('2. Logging Brejo Seco'!AQ429,Leyenda!$B$55:$E$59,4,FALSE)</f>
        <v>1</v>
      </c>
      <c r="BM429" s="67">
        <f>+VLOOKUP('2. Logging Brejo Seco'!AR429,Leyenda!$B$63:$E$67,3,FALSE)</f>
        <v>0</v>
      </c>
      <c r="BN429" s="67">
        <f>+VLOOKUP('2. Logging Brejo Seco'!AO429,Leyenda!$B$39:$E$43,4,FALSE)</f>
        <v>0</v>
      </c>
      <c r="BO429" s="67">
        <f>+VLOOKUP('2. Logging Brejo Seco'!AN429,Leyenda!$B$30:$E$34,4,FALSE)</f>
        <v>0</v>
      </c>
      <c r="BP429" s="67">
        <f>VLOOKUP(AS429,Leyenda!$B$71:$E$75,4,FALSE)</f>
        <v>10</v>
      </c>
      <c r="BQ429" s="67">
        <f t="shared" si="139"/>
        <v>24</v>
      </c>
      <c r="BR429" s="18">
        <f t="shared" si="140"/>
        <v>27</v>
      </c>
      <c r="BS429" s="240">
        <f t="shared" si="135"/>
        <v>0.56000000000000005</v>
      </c>
      <c r="BT429" s="18"/>
    </row>
    <row r="430" spans="1:72" x14ac:dyDescent="0.25">
      <c r="A430" s="18" t="s">
        <v>6</v>
      </c>
      <c r="B430" s="18">
        <v>2024</v>
      </c>
      <c r="C430" s="18" t="s">
        <v>138</v>
      </c>
      <c r="D430" s="18" t="s">
        <v>134</v>
      </c>
      <c r="E430" s="18">
        <v>50</v>
      </c>
      <c r="F430" s="18">
        <v>40</v>
      </c>
      <c r="G430" s="18" t="s">
        <v>154</v>
      </c>
      <c r="H430" s="248">
        <f t="shared" si="144"/>
        <v>40</v>
      </c>
      <c r="I430" s="135"/>
      <c r="J430" s="18" t="s">
        <v>170</v>
      </c>
      <c r="K430" s="31">
        <f t="shared" si="149"/>
        <v>8</v>
      </c>
      <c r="L430" s="31">
        <v>8.5</v>
      </c>
      <c r="M430" s="4">
        <f t="shared" si="136"/>
        <v>0.5</v>
      </c>
      <c r="N430" s="5">
        <v>0.82</v>
      </c>
      <c r="O430" s="5">
        <f t="shared" si="132"/>
        <v>0.18000000000000005</v>
      </c>
      <c r="P430" s="31">
        <f t="shared" si="137"/>
        <v>0.41</v>
      </c>
      <c r="Q430" s="18">
        <f t="shared" si="150"/>
        <v>0.41</v>
      </c>
      <c r="R430" s="18">
        <v>410</v>
      </c>
      <c r="S430" s="18">
        <v>1</v>
      </c>
      <c r="T430" s="18">
        <v>0.28000000000000003</v>
      </c>
      <c r="U430" s="18">
        <v>0.2</v>
      </c>
      <c r="V430" s="65">
        <f t="shared" si="145"/>
        <v>40</v>
      </c>
      <c r="W430" s="18">
        <v>4</v>
      </c>
      <c r="X430" s="18"/>
      <c r="Y430" s="18">
        <f t="shared" si="148"/>
        <v>4</v>
      </c>
      <c r="Z430" s="31">
        <f t="shared" si="147"/>
        <v>125</v>
      </c>
      <c r="AA430" s="18">
        <v>0</v>
      </c>
      <c r="AB430" s="18" t="s">
        <v>92</v>
      </c>
      <c r="AC430" s="18" t="s">
        <v>116</v>
      </c>
      <c r="AD430" s="18" t="s">
        <v>334</v>
      </c>
      <c r="AE430" s="18">
        <v>1</v>
      </c>
      <c r="AF430" s="18">
        <v>410</v>
      </c>
      <c r="AG430" s="18" t="s">
        <v>27</v>
      </c>
      <c r="AH430" s="18" t="s">
        <v>27</v>
      </c>
      <c r="AI430" s="18" t="str">
        <f>+VLOOKUP(AH430,Leyenda!$O$4:$U$10,6,FALSE)</f>
        <v>0,35-0,50</v>
      </c>
      <c r="AJ430" s="18" t="str">
        <f>+VLOOKUP(AG430,Leyenda!$O$4:$U$10,7,FALSE)</f>
        <v>Easy to blast</v>
      </c>
      <c r="AK430" s="18">
        <f>+VLOOKUP(AJ430,Leyenda!$U$4:$V$10,2,FALSE)</f>
        <v>3</v>
      </c>
      <c r="AL430" s="18"/>
      <c r="AM430" s="18" t="s">
        <v>29</v>
      </c>
      <c r="AN430" s="18" t="s">
        <v>69</v>
      </c>
      <c r="AO430" s="18" t="s">
        <v>81</v>
      </c>
      <c r="AP430" s="18" t="s">
        <v>100</v>
      </c>
      <c r="AQ430" s="18" t="s">
        <v>109</v>
      </c>
      <c r="AR430" s="18" t="s">
        <v>122</v>
      </c>
      <c r="AS430" s="18" t="s">
        <v>198</v>
      </c>
      <c r="AT430" s="18"/>
      <c r="AU430" s="18"/>
      <c r="AV430" s="18">
        <f>+VLOOKUP(AN430,Leyenda!$B$30:$E$34,3,FALSE)</f>
        <v>0</v>
      </c>
      <c r="AW430" s="18">
        <f>+VLOOKUP('2. Logging Brejo Seco'!AO430,Meteorizacion,3,FALSE)</f>
        <v>0</v>
      </c>
      <c r="AX430" s="18">
        <f>+VLOOKUP('2. Logging Brejo Seco'!AP430,Apertura,3,FALSE)</f>
        <v>0</v>
      </c>
      <c r="AY430" s="18">
        <f>+VLOOKUP('2. Logging Brejo Seco'!AQ430,Leyenda!$B$55:$D$59,3,FALSE)</f>
        <v>1</v>
      </c>
      <c r="AZ430" s="18">
        <f>+VLOOKUP('2. Logging Brejo Seco'!AR430,Relleno,3,FALSE)</f>
        <v>0</v>
      </c>
      <c r="BA430" s="18">
        <f t="shared" si="146"/>
        <v>1</v>
      </c>
      <c r="BB430" s="49">
        <f t="shared" si="151"/>
        <v>8</v>
      </c>
      <c r="BC430" s="49">
        <f>VLOOKUP(AH430,Leyenda!$B$4:$D$10,3,FALSE)</f>
        <v>4</v>
      </c>
      <c r="BD430" s="50">
        <f t="shared" si="133"/>
        <v>8</v>
      </c>
      <c r="BE430" s="49">
        <f t="shared" si="138"/>
        <v>1</v>
      </c>
      <c r="BF430" s="49">
        <f>VLOOKUP(AS430,Leyenda!$B$70:$D$75,3,FALSE)</f>
        <v>15</v>
      </c>
      <c r="BG430" s="67">
        <f t="shared" si="152"/>
        <v>21.5</v>
      </c>
      <c r="BH430" s="67">
        <f>VLOOKUP(AG430,Leyenda!$B$4:$E$10,4,FALSE)</f>
        <v>4</v>
      </c>
      <c r="BI430" s="67">
        <f t="shared" si="134"/>
        <v>10</v>
      </c>
      <c r="BJ430" s="67">
        <f t="shared" si="153"/>
        <v>8</v>
      </c>
      <c r="BK430" s="67">
        <f>+VLOOKUP('2. Logging Brejo Seco'!AP430,Leyenda!$B$47:$E$51,4,FALSE)</f>
        <v>0</v>
      </c>
      <c r="BL430" s="67">
        <f>+VLOOKUP('2. Logging Brejo Seco'!AQ430,Leyenda!$B$55:$E$59,4,FALSE)</f>
        <v>1</v>
      </c>
      <c r="BM430" s="67">
        <f>+VLOOKUP('2. Logging Brejo Seco'!AR430,Leyenda!$B$63:$E$67,3,FALSE)</f>
        <v>0</v>
      </c>
      <c r="BN430" s="67">
        <f>+VLOOKUP('2. Logging Brejo Seco'!AO430,Leyenda!$B$39:$E$43,4,FALSE)</f>
        <v>0</v>
      </c>
      <c r="BO430" s="67">
        <f>+VLOOKUP('2. Logging Brejo Seco'!AN430,Leyenda!$B$30:$E$34,4,FALSE)</f>
        <v>0</v>
      </c>
      <c r="BP430" s="67">
        <f>VLOOKUP(AS430,Leyenda!$B$71:$E$75,4,FALSE)</f>
        <v>10</v>
      </c>
      <c r="BQ430" s="67">
        <f t="shared" si="139"/>
        <v>33</v>
      </c>
      <c r="BR430" s="18">
        <f t="shared" si="140"/>
        <v>36</v>
      </c>
      <c r="BS430" s="240">
        <f t="shared" si="135"/>
        <v>0.18000000000000005</v>
      </c>
      <c r="BT430" s="18"/>
    </row>
    <row r="431" spans="1:72" x14ac:dyDescent="0.25">
      <c r="A431" s="18" t="s">
        <v>6</v>
      </c>
      <c r="B431" s="18">
        <v>2024</v>
      </c>
      <c r="C431" s="18" t="s">
        <v>138</v>
      </c>
      <c r="D431" s="18" t="s">
        <v>134</v>
      </c>
      <c r="E431" s="18">
        <v>50</v>
      </c>
      <c r="F431" s="18">
        <v>50</v>
      </c>
      <c r="G431" s="18" t="s">
        <v>154</v>
      </c>
      <c r="H431" s="248">
        <f t="shared" si="144"/>
        <v>50</v>
      </c>
      <c r="I431" s="135"/>
      <c r="J431" s="18" t="s">
        <v>170</v>
      </c>
      <c r="K431" s="31">
        <f t="shared" si="149"/>
        <v>8.5</v>
      </c>
      <c r="L431" s="31">
        <v>9</v>
      </c>
      <c r="M431" s="4">
        <f t="shared" si="136"/>
        <v>0.5</v>
      </c>
      <c r="N431" s="5">
        <v>0.66</v>
      </c>
      <c r="O431" s="5">
        <f t="shared" si="132"/>
        <v>0.33999999999999997</v>
      </c>
      <c r="P431" s="31">
        <f t="shared" si="137"/>
        <v>0.33</v>
      </c>
      <c r="Q431" s="18">
        <f t="shared" si="150"/>
        <v>0.33</v>
      </c>
      <c r="R431" s="18">
        <v>16.5</v>
      </c>
      <c r="S431" s="18">
        <v>20</v>
      </c>
      <c r="T431" s="18">
        <v>0.2</v>
      </c>
      <c r="U431" s="18">
        <v>0.1</v>
      </c>
      <c r="V431" s="65">
        <f t="shared" si="145"/>
        <v>20</v>
      </c>
      <c r="W431" s="18">
        <v>4</v>
      </c>
      <c r="X431" s="18"/>
      <c r="Y431" s="18">
        <f t="shared" si="148"/>
        <v>4</v>
      </c>
      <c r="Z431" s="31">
        <f t="shared" si="147"/>
        <v>125</v>
      </c>
      <c r="AA431" s="18">
        <v>0</v>
      </c>
      <c r="AB431" s="18" t="s">
        <v>92</v>
      </c>
      <c r="AC431" s="18" t="s">
        <v>333</v>
      </c>
      <c r="AD431" s="18" t="s">
        <v>337</v>
      </c>
      <c r="AE431" s="18">
        <v>20</v>
      </c>
      <c r="AF431" s="18">
        <v>16.5</v>
      </c>
      <c r="AG431" s="18" t="s">
        <v>29</v>
      </c>
      <c r="AH431" s="18" t="s">
        <v>29</v>
      </c>
      <c r="AI431" s="18" t="str">
        <f>+VLOOKUP(AH431,Leyenda!$O$4:$U$10,6,FALSE)</f>
        <v>0,25-0,35</v>
      </c>
      <c r="AJ431" s="18" t="str">
        <f>+VLOOKUP(AG431,Leyenda!$O$4:$U$10,7,FALSE)</f>
        <v>No Blasting need</v>
      </c>
      <c r="AK431" s="18">
        <f>+VLOOKUP(AJ431,Leyenda!$U$4:$V$10,2,FALSE)</f>
        <v>2</v>
      </c>
      <c r="AL431" s="18"/>
      <c r="AM431" s="18" t="s">
        <v>29</v>
      </c>
      <c r="AN431" s="18" t="s">
        <v>69</v>
      </c>
      <c r="AO431" s="18" t="s">
        <v>81</v>
      </c>
      <c r="AP431" s="18" t="s">
        <v>100</v>
      </c>
      <c r="AQ431" s="18" t="s">
        <v>109</v>
      </c>
      <c r="AR431" s="18" t="s">
        <v>122</v>
      </c>
      <c r="AS431" s="18" t="s">
        <v>198</v>
      </c>
      <c r="AT431" s="18"/>
      <c r="AU431" s="18"/>
      <c r="AV431" s="18">
        <f>+VLOOKUP(AN431,Leyenda!$B$30:$E$34,3,FALSE)</f>
        <v>0</v>
      </c>
      <c r="AW431" s="18">
        <f>+VLOOKUP('2. Logging Brejo Seco'!AO431,Meteorizacion,3,FALSE)</f>
        <v>0</v>
      </c>
      <c r="AX431" s="18">
        <f>+VLOOKUP('2. Logging Brejo Seco'!AP431,Apertura,3,FALSE)</f>
        <v>0</v>
      </c>
      <c r="AY431" s="18">
        <f>+VLOOKUP('2. Logging Brejo Seco'!AQ431,Leyenda!$B$55:$D$59,3,FALSE)</f>
        <v>1</v>
      </c>
      <c r="AZ431" s="18">
        <f>+VLOOKUP('2. Logging Brejo Seco'!AR431,Relleno,3,FALSE)</f>
        <v>0</v>
      </c>
      <c r="BA431" s="18">
        <f t="shared" si="146"/>
        <v>1</v>
      </c>
      <c r="BB431" s="49">
        <f t="shared" si="151"/>
        <v>4</v>
      </c>
      <c r="BC431" s="49">
        <f>VLOOKUP(AH431,Leyenda!$B$4:$D$10,3,FALSE)</f>
        <v>2</v>
      </c>
      <c r="BD431" s="50">
        <f t="shared" si="133"/>
        <v>8</v>
      </c>
      <c r="BE431" s="49">
        <f t="shared" si="138"/>
        <v>1</v>
      </c>
      <c r="BF431" s="49">
        <f>VLOOKUP(AS431,Leyenda!$B$70:$D$75,3,FALSE)</f>
        <v>15</v>
      </c>
      <c r="BG431" s="67">
        <f t="shared" si="152"/>
        <v>11.5</v>
      </c>
      <c r="BH431" s="67">
        <f>VLOOKUP(AG431,Leyenda!$B$4:$E$10,4,FALSE)</f>
        <v>2</v>
      </c>
      <c r="BI431" s="67">
        <f t="shared" si="134"/>
        <v>10</v>
      </c>
      <c r="BJ431" s="67">
        <f t="shared" si="153"/>
        <v>4</v>
      </c>
      <c r="BK431" s="67">
        <f>+VLOOKUP('2. Logging Brejo Seco'!AP431,Leyenda!$B$47:$E$51,4,FALSE)</f>
        <v>0</v>
      </c>
      <c r="BL431" s="67">
        <f>+VLOOKUP('2. Logging Brejo Seco'!AQ431,Leyenda!$B$55:$E$59,4,FALSE)</f>
        <v>1</v>
      </c>
      <c r="BM431" s="67">
        <f>+VLOOKUP('2. Logging Brejo Seco'!AR431,Leyenda!$B$63:$E$67,3,FALSE)</f>
        <v>0</v>
      </c>
      <c r="BN431" s="67">
        <f>+VLOOKUP('2. Logging Brejo Seco'!AO431,Leyenda!$B$39:$E$43,4,FALSE)</f>
        <v>0</v>
      </c>
      <c r="BO431" s="67">
        <f>+VLOOKUP('2. Logging Brejo Seco'!AN431,Leyenda!$B$30:$E$34,4,FALSE)</f>
        <v>0</v>
      </c>
      <c r="BP431" s="67">
        <f>VLOOKUP(AS431,Leyenda!$B$71:$E$75,4,FALSE)</f>
        <v>10</v>
      </c>
      <c r="BQ431" s="67">
        <f t="shared" si="139"/>
        <v>27</v>
      </c>
      <c r="BR431" s="18">
        <f t="shared" si="140"/>
        <v>30</v>
      </c>
      <c r="BS431" s="240">
        <f t="shared" si="135"/>
        <v>0.33999999999999997</v>
      </c>
      <c r="BT431" s="18"/>
    </row>
    <row r="432" spans="1:72" x14ac:dyDescent="0.25">
      <c r="A432" s="18" t="s">
        <v>6</v>
      </c>
      <c r="B432" s="18">
        <v>2024</v>
      </c>
      <c r="C432" s="18" t="s">
        <v>138</v>
      </c>
      <c r="D432" s="18" t="s">
        <v>134</v>
      </c>
      <c r="E432" s="18">
        <v>50</v>
      </c>
      <c r="F432" s="18">
        <v>50</v>
      </c>
      <c r="G432" s="18" t="s">
        <v>154</v>
      </c>
      <c r="H432" s="248">
        <f t="shared" si="144"/>
        <v>50</v>
      </c>
      <c r="I432" s="135"/>
      <c r="J432" s="18" t="s">
        <v>170</v>
      </c>
      <c r="K432" s="31">
        <f t="shared" si="149"/>
        <v>9</v>
      </c>
      <c r="L432" s="31">
        <v>9.5</v>
      </c>
      <c r="M432" s="4">
        <f t="shared" si="136"/>
        <v>0.5</v>
      </c>
      <c r="N432" s="5">
        <v>0.9</v>
      </c>
      <c r="O432" s="5">
        <f t="shared" si="132"/>
        <v>9.9999999999999978E-2</v>
      </c>
      <c r="P432" s="31">
        <f t="shared" si="137"/>
        <v>0.45</v>
      </c>
      <c r="Q432" s="18">
        <f t="shared" si="150"/>
        <v>0.45</v>
      </c>
      <c r="R432" s="18">
        <v>22.5</v>
      </c>
      <c r="S432" s="18">
        <v>20</v>
      </c>
      <c r="T432" s="18">
        <f>0.1+0.19</f>
        <v>0.29000000000000004</v>
      </c>
      <c r="U432" s="18">
        <v>0</v>
      </c>
      <c r="V432" s="65">
        <f t="shared" si="145"/>
        <v>0</v>
      </c>
      <c r="W432" s="18">
        <v>5</v>
      </c>
      <c r="X432" s="18"/>
      <c r="Y432" s="18">
        <f t="shared" si="148"/>
        <v>5</v>
      </c>
      <c r="Z432" s="31">
        <f t="shared" si="147"/>
        <v>100</v>
      </c>
      <c r="AA432" s="18">
        <v>0</v>
      </c>
      <c r="AB432" s="18" t="s">
        <v>330</v>
      </c>
      <c r="AC432" s="18" t="s">
        <v>333</v>
      </c>
      <c r="AD432" s="18" t="s">
        <v>334</v>
      </c>
      <c r="AE432" s="18">
        <v>20</v>
      </c>
      <c r="AF432" s="18">
        <v>22.5</v>
      </c>
      <c r="AG432" s="18" t="s">
        <v>27</v>
      </c>
      <c r="AH432" s="18" t="s">
        <v>27</v>
      </c>
      <c r="AI432" s="18" t="str">
        <f>+VLOOKUP(AH432,Leyenda!$O$4:$U$10,6,FALSE)</f>
        <v>0,35-0,50</v>
      </c>
      <c r="AJ432" s="18" t="str">
        <f>+VLOOKUP(AG432,Leyenda!$O$4:$U$10,7,FALSE)</f>
        <v>Easy to blast</v>
      </c>
      <c r="AK432" s="18">
        <f>+VLOOKUP(AJ432,Leyenda!$U$4:$V$10,2,FALSE)</f>
        <v>3</v>
      </c>
      <c r="AL432" s="18"/>
      <c r="AM432" s="18" t="s">
        <v>29</v>
      </c>
      <c r="AN432" s="18" t="s">
        <v>69</v>
      </c>
      <c r="AO432" s="18" t="s">
        <v>81</v>
      </c>
      <c r="AP432" s="18" t="s">
        <v>100</v>
      </c>
      <c r="AQ432" s="18" t="s">
        <v>109</v>
      </c>
      <c r="AR432" s="18" t="s">
        <v>122</v>
      </c>
      <c r="AS432" s="18" t="s">
        <v>198</v>
      </c>
      <c r="AT432" s="18"/>
      <c r="AU432" s="18"/>
      <c r="AV432" s="18">
        <f>+VLOOKUP(AN432,Leyenda!$B$30:$E$34,3,FALSE)</f>
        <v>0</v>
      </c>
      <c r="AW432" s="18">
        <f>+VLOOKUP('2. Logging Brejo Seco'!AO432,Meteorizacion,3,FALSE)</f>
        <v>0</v>
      </c>
      <c r="AX432" s="18">
        <f>+VLOOKUP('2. Logging Brejo Seco'!AP432,Apertura,3,FALSE)</f>
        <v>0</v>
      </c>
      <c r="AY432" s="18">
        <f>+VLOOKUP('2. Logging Brejo Seco'!AQ432,Leyenda!$B$55:$D$59,3,FALSE)</f>
        <v>1</v>
      </c>
      <c r="AZ432" s="18">
        <f>+VLOOKUP('2. Logging Brejo Seco'!AR432,Relleno,3,FALSE)</f>
        <v>0</v>
      </c>
      <c r="BA432" s="18">
        <f t="shared" si="146"/>
        <v>1</v>
      </c>
      <c r="BB432" s="49">
        <f t="shared" si="151"/>
        <v>0</v>
      </c>
      <c r="BC432" s="49">
        <f>VLOOKUP(AH432,Leyenda!$B$4:$D$10,3,FALSE)</f>
        <v>4</v>
      </c>
      <c r="BD432" s="50">
        <f t="shared" si="133"/>
        <v>7</v>
      </c>
      <c r="BE432" s="49">
        <f t="shared" si="138"/>
        <v>1</v>
      </c>
      <c r="BF432" s="49">
        <f>VLOOKUP(AS432,Leyenda!$B$70:$D$75,3,FALSE)</f>
        <v>15</v>
      </c>
      <c r="BG432" s="67">
        <f t="shared" si="152"/>
        <v>1.5</v>
      </c>
      <c r="BH432" s="67">
        <f>VLOOKUP(AG432,Leyenda!$B$4:$E$10,4,FALSE)</f>
        <v>4</v>
      </c>
      <c r="BI432" s="67">
        <f t="shared" si="134"/>
        <v>8</v>
      </c>
      <c r="BJ432" s="67">
        <f t="shared" si="153"/>
        <v>0</v>
      </c>
      <c r="BK432" s="67">
        <f>+VLOOKUP('2. Logging Brejo Seco'!AP432,Leyenda!$B$47:$E$51,4,FALSE)</f>
        <v>0</v>
      </c>
      <c r="BL432" s="67">
        <f>+VLOOKUP('2. Logging Brejo Seco'!AQ432,Leyenda!$B$55:$E$59,4,FALSE)</f>
        <v>1</v>
      </c>
      <c r="BM432" s="67">
        <f>+VLOOKUP('2. Logging Brejo Seco'!AR432,Leyenda!$B$63:$E$67,3,FALSE)</f>
        <v>0</v>
      </c>
      <c r="BN432" s="67">
        <f>+VLOOKUP('2. Logging Brejo Seco'!AO432,Leyenda!$B$39:$E$43,4,FALSE)</f>
        <v>0</v>
      </c>
      <c r="BO432" s="67">
        <f>+VLOOKUP('2. Logging Brejo Seco'!AN432,Leyenda!$B$30:$E$34,4,FALSE)</f>
        <v>0</v>
      </c>
      <c r="BP432" s="67">
        <f>VLOOKUP(AS432,Leyenda!$B$71:$E$75,4,FALSE)</f>
        <v>10</v>
      </c>
      <c r="BQ432" s="67">
        <f t="shared" si="139"/>
        <v>23</v>
      </c>
      <c r="BR432" s="18">
        <f t="shared" si="140"/>
        <v>27</v>
      </c>
      <c r="BS432" s="240">
        <f t="shared" si="135"/>
        <v>9.9999999999999978E-2</v>
      </c>
      <c r="BT432" s="18"/>
    </row>
    <row r="433" spans="1:72" x14ac:dyDescent="0.25">
      <c r="A433" s="18" t="s">
        <v>6</v>
      </c>
      <c r="B433" s="18">
        <v>2024</v>
      </c>
      <c r="C433" s="18" t="s">
        <v>138</v>
      </c>
      <c r="D433" s="18" t="s">
        <v>134</v>
      </c>
      <c r="E433" s="18">
        <v>50</v>
      </c>
      <c r="F433" s="18">
        <v>50</v>
      </c>
      <c r="G433" s="18" t="s">
        <v>154</v>
      </c>
      <c r="H433" s="248">
        <f t="shared" si="144"/>
        <v>50</v>
      </c>
      <c r="I433" s="135"/>
      <c r="J433" s="18" t="s">
        <v>170</v>
      </c>
      <c r="K433" s="31">
        <f t="shared" si="149"/>
        <v>9.5</v>
      </c>
      <c r="L433" s="31">
        <v>10</v>
      </c>
      <c r="M433" s="4">
        <f t="shared" si="136"/>
        <v>0.5</v>
      </c>
      <c r="N433" s="5">
        <v>1</v>
      </c>
      <c r="O433" s="5">
        <f t="shared" si="132"/>
        <v>0</v>
      </c>
      <c r="P433" s="31">
        <f t="shared" si="137"/>
        <v>0.5</v>
      </c>
      <c r="Q433" s="18">
        <f t="shared" si="150"/>
        <v>0.5</v>
      </c>
      <c r="R433" s="18">
        <v>25</v>
      </c>
      <c r="S433" s="18">
        <v>20</v>
      </c>
      <c r="T433" s="18">
        <v>0.32</v>
      </c>
      <c r="U433" s="18">
        <v>0.11</v>
      </c>
      <c r="V433" s="65">
        <f t="shared" si="145"/>
        <v>22</v>
      </c>
      <c r="W433" s="18">
        <v>4</v>
      </c>
      <c r="X433" s="18"/>
      <c r="Y433" s="18">
        <f t="shared" si="148"/>
        <v>4</v>
      </c>
      <c r="Z433" s="31">
        <f t="shared" si="147"/>
        <v>125</v>
      </c>
      <c r="AA433" s="18">
        <v>0</v>
      </c>
      <c r="AB433" s="18" t="s">
        <v>330</v>
      </c>
      <c r="AC433" s="18" t="s">
        <v>333</v>
      </c>
      <c r="AD433" s="18" t="s">
        <v>334</v>
      </c>
      <c r="AE433" s="18">
        <v>20</v>
      </c>
      <c r="AF433" s="18">
        <v>25</v>
      </c>
      <c r="AG433" s="18" t="s">
        <v>27</v>
      </c>
      <c r="AH433" s="18" t="s">
        <v>27</v>
      </c>
      <c r="AI433" s="18" t="str">
        <f>+VLOOKUP(AH433,Leyenda!$O$4:$U$10,6,FALSE)</f>
        <v>0,35-0,50</v>
      </c>
      <c r="AJ433" s="18" t="str">
        <f>+VLOOKUP(AG433,Leyenda!$O$4:$U$10,7,FALSE)</f>
        <v>Easy to blast</v>
      </c>
      <c r="AK433" s="18">
        <f>+VLOOKUP(AJ433,Leyenda!$U$4:$V$10,2,FALSE)</f>
        <v>3</v>
      </c>
      <c r="AL433" s="18"/>
      <c r="AM433" s="18" t="s">
        <v>27</v>
      </c>
      <c r="AN433" s="18" t="s">
        <v>69</v>
      </c>
      <c r="AO433" s="18" t="s">
        <v>81</v>
      </c>
      <c r="AP433" s="18" t="s">
        <v>100</v>
      </c>
      <c r="AQ433" s="18" t="s">
        <v>109</v>
      </c>
      <c r="AR433" s="18" t="s">
        <v>122</v>
      </c>
      <c r="AS433" s="18" t="s">
        <v>198</v>
      </c>
      <c r="AT433" s="18"/>
      <c r="AU433" s="18"/>
      <c r="AV433" s="18">
        <f>+VLOOKUP(AN433,Leyenda!$B$30:$E$34,3,FALSE)</f>
        <v>0</v>
      </c>
      <c r="AW433" s="18">
        <f>+VLOOKUP('2. Logging Brejo Seco'!AO433,Meteorizacion,3,FALSE)</f>
        <v>0</v>
      </c>
      <c r="AX433" s="18">
        <f>+VLOOKUP('2. Logging Brejo Seco'!AP433,Apertura,3,FALSE)</f>
        <v>0</v>
      </c>
      <c r="AY433" s="18">
        <f>+VLOOKUP('2. Logging Brejo Seco'!AQ433,Leyenda!$B$55:$D$59,3,FALSE)</f>
        <v>1</v>
      </c>
      <c r="AZ433" s="18">
        <f>+VLOOKUP('2. Logging Brejo Seco'!AR433,Relleno,3,FALSE)</f>
        <v>0</v>
      </c>
      <c r="BA433" s="18">
        <f t="shared" si="146"/>
        <v>1</v>
      </c>
      <c r="BB433" s="49">
        <f t="shared" si="151"/>
        <v>5</v>
      </c>
      <c r="BC433" s="49">
        <f>VLOOKUP(AH433,Leyenda!$B$4:$D$10,3,FALSE)</f>
        <v>4</v>
      </c>
      <c r="BD433" s="50">
        <f t="shared" si="133"/>
        <v>8</v>
      </c>
      <c r="BE433" s="49">
        <f t="shared" si="138"/>
        <v>1</v>
      </c>
      <c r="BF433" s="49">
        <f>VLOOKUP(AS433,Leyenda!$B$70:$D$75,3,FALSE)</f>
        <v>15</v>
      </c>
      <c r="BG433" s="67">
        <f t="shared" si="152"/>
        <v>12.5</v>
      </c>
      <c r="BH433" s="67">
        <f>VLOOKUP(AG433,Leyenda!$B$4:$E$10,4,FALSE)</f>
        <v>4</v>
      </c>
      <c r="BI433" s="67">
        <f t="shared" si="134"/>
        <v>10</v>
      </c>
      <c r="BJ433" s="67">
        <f t="shared" si="153"/>
        <v>5</v>
      </c>
      <c r="BK433" s="67">
        <f>+VLOOKUP('2. Logging Brejo Seco'!AP433,Leyenda!$B$47:$E$51,4,FALSE)</f>
        <v>0</v>
      </c>
      <c r="BL433" s="67">
        <f>+VLOOKUP('2. Logging Brejo Seco'!AQ433,Leyenda!$B$55:$E$59,4,FALSE)</f>
        <v>1</v>
      </c>
      <c r="BM433" s="67">
        <f>+VLOOKUP('2. Logging Brejo Seco'!AR433,Leyenda!$B$63:$E$67,3,FALSE)</f>
        <v>0</v>
      </c>
      <c r="BN433" s="67">
        <f>+VLOOKUP('2. Logging Brejo Seco'!AO433,Leyenda!$B$39:$E$43,4,FALSE)</f>
        <v>0</v>
      </c>
      <c r="BO433" s="67">
        <f>+VLOOKUP('2. Logging Brejo Seco'!AN433,Leyenda!$B$30:$E$34,4,FALSE)</f>
        <v>0</v>
      </c>
      <c r="BP433" s="67">
        <f>VLOOKUP(AS433,Leyenda!$B$71:$E$75,4,FALSE)</f>
        <v>10</v>
      </c>
      <c r="BQ433" s="67">
        <f t="shared" si="139"/>
        <v>30</v>
      </c>
      <c r="BR433" s="18">
        <f t="shared" si="140"/>
        <v>33</v>
      </c>
      <c r="BS433" s="240">
        <f t="shared" si="135"/>
        <v>0</v>
      </c>
      <c r="BT433" s="18"/>
    </row>
    <row r="434" spans="1:72" x14ac:dyDescent="0.25">
      <c r="A434" s="18" t="s">
        <v>6</v>
      </c>
      <c r="B434" s="18">
        <v>2024</v>
      </c>
      <c r="C434" s="18" t="s">
        <v>138</v>
      </c>
      <c r="D434" s="18" t="s">
        <v>134</v>
      </c>
      <c r="E434" s="18">
        <v>40</v>
      </c>
      <c r="F434" s="18">
        <v>50</v>
      </c>
      <c r="G434" s="18" t="s">
        <v>153</v>
      </c>
      <c r="H434" s="248">
        <f t="shared" si="144"/>
        <v>50</v>
      </c>
      <c r="I434" s="135"/>
      <c r="J434" s="18" t="s">
        <v>170</v>
      </c>
      <c r="K434" s="31">
        <f t="shared" si="149"/>
        <v>10</v>
      </c>
      <c r="L434" s="31">
        <v>10.5</v>
      </c>
      <c r="M434" s="4">
        <f t="shared" si="136"/>
        <v>0.5</v>
      </c>
      <c r="N434" s="5">
        <v>0.96</v>
      </c>
      <c r="O434" s="5">
        <f t="shared" ref="O434:O497" si="154">1-N434</f>
        <v>4.0000000000000036E-2</v>
      </c>
      <c r="P434" s="31">
        <f t="shared" si="137"/>
        <v>0.48</v>
      </c>
      <c r="Q434" s="18">
        <f t="shared" si="150"/>
        <v>0.48</v>
      </c>
      <c r="R434" s="18">
        <v>96</v>
      </c>
      <c r="S434" s="18">
        <v>5</v>
      </c>
      <c r="T434" s="18">
        <v>0.37</v>
      </c>
      <c r="U434" s="18">
        <v>0.15</v>
      </c>
      <c r="V434" s="65">
        <f t="shared" si="145"/>
        <v>30</v>
      </c>
      <c r="W434" s="18">
        <v>4</v>
      </c>
      <c r="X434" s="18"/>
      <c r="Y434" s="18">
        <f t="shared" si="148"/>
        <v>4</v>
      </c>
      <c r="Z434" s="31">
        <f t="shared" si="147"/>
        <v>125</v>
      </c>
      <c r="AA434" s="18">
        <v>0</v>
      </c>
      <c r="AB434" s="18" t="s">
        <v>96</v>
      </c>
      <c r="AC434" s="18" t="s">
        <v>118</v>
      </c>
      <c r="AD434" s="18" t="s">
        <v>334</v>
      </c>
      <c r="AE434" s="18">
        <v>5</v>
      </c>
      <c r="AF434" s="18">
        <v>96</v>
      </c>
      <c r="AG434" s="18" t="s">
        <v>27</v>
      </c>
      <c r="AH434" s="18" t="s">
        <v>27</v>
      </c>
      <c r="AI434" s="18" t="str">
        <f>+VLOOKUP(AH434,Leyenda!$O$4:$U$10,6,FALSE)</f>
        <v>0,35-0,50</v>
      </c>
      <c r="AJ434" s="18" t="str">
        <f>+VLOOKUP(AG434,Leyenda!$O$4:$U$10,7,FALSE)</f>
        <v>Easy to blast</v>
      </c>
      <c r="AK434" s="18">
        <f>+VLOOKUP(AJ434,Leyenda!$U$4:$V$10,2,FALSE)</f>
        <v>3</v>
      </c>
      <c r="AL434" s="18"/>
      <c r="AM434" s="18" t="s">
        <v>27</v>
      </c>
      <c r="AN434" s="18" t="s">
        <v>69</v>
      </c>
      <c r="AO434" s="18" t="s">
        <v>81</v>
      </c>
      <c r="AP434" s="18" t="s">
        <v>100</v>
      </c>
      <c r="AQ434" s="18" t="s">
        <v>107</v>
      </c>
      <c r="AR434" s="18" t="s">
        <v>120</v>
      </c>
      <c r="AS434" s="18" t="s">
        <v>247</v>
      </c>
      <c r="AT434" s="18"/>
      <c r="AU434" s="18"/>
      <c r="AV434" s="18">
        <f>+VLOOKUP(AN434,Leyenda!$B$30:$E$34,3,FALSE)</f>
        <v>0</v>
      </c>
      <c r="AW434" s="18">
        <f>+VLOOKUP('2. Logging Brejo Seco'!AO434,Meteorizacion,3,FALSE)</f>
        <v>0</v>
      </c>
      <c r="AX434" s="18">
        <f>+VLOOKUP('2. Logging Brejo Seco'!AP434,Apertura,3,FALSE)</f>
        <v>0</v>
      </c>
      <c r="AY434" s="18">
        <f>+VLOOKUP('2. Logging Brejo Seco'!AQ434,Leyenda!$B$55:$D$59,3,FALSE)</f>
        <v>3</v>
      </c>
      <c r="AZ434" s="18">
        <f>+VLOOKUP('2. Logging Brejo Seco'!AR434,Relleno,3,FALSE)</f>
        <v>2</v>
      </c>
      <c r="BA434" s="18">
        <f t="shared" si="146"/>
        <v>5</v>
      </c>
      <c r="BB434" s="49">
        <f t="shared" si="151"/>
        <v>6</v>
      </c>
      <c r="BC434" s="49">
        <f>VLOOKUP(AH434,Leyenda!$B$4:$D$10,3,FALSE)</f>
        <v>4</v>
      </c>
      <c r="BD434" s="50">
        <f t="shared" si="133"/>
        <v>8</v>
      </c>
      <c r="BE434" s="49">
        <f t="shared" si="138"/>
        <v>5</v>
      </c>
      <c r="BF434" s="49">
        <f>VLOOKUP(AS434,Leyenda!$B$70:$D$75,3,FALSE)</f>
        <v>10</v>
      </c>
      <c r="BG434" s="67">
        <f t="shared" si="152"/>
        <v>22.5</v>
      </c>
      <c r="BH434" s="67">
        <f>VLOOKUP(AG434,Leyenda!$B$4:$E$10,4,FALSE)</f>
        <v>4</v>
      </c>
      <c r="BI434" s="67">
        <f t="shared" si="134"/>
        <v>10</v>
      </c>
      <c r="BJ434" s="67">
        <f t="shared" si="153"/>
        <v>6</v>
      </c>
      <c r="BK434" s="67">
        <f>+VLOOKUP('2. Logging Brejo Seco'!AP434,Leyenda!$B$47:$E$51,4,FALSE)</f>
        <v>0</v>
      </c>
      <c r="BL434" s="67">
        <f>+VLOOKUP('2. Logging Brejo Seco'!AQ434,Leyenda!$B$55:$E$59,4,FALSE)</f>
        <v>3</v>
      </c>
      <c r="BM434" s="67">
        <f>+VLOOKUP('2. Logging Brejo Seco'!AR434,Leyenda!$B$63:$E$67,3,FALSE)</f>
        <v>2</v>
      </c>
      <c r="BN434" s="67">
        <f>+VLOOKUP('2. Logging Brejo Seco'!AO434,Leyenda!$B$39:$E$43,4,FALSE)</f>
        <v>0</v>
      </c>
      <c r="BO434" s="67">
        <f>+VLOOKUP('2. Logging Brejo Seco'!AN434,Leyenda!$B$30:$E$34,4,FALSE)</f>
        <v>0</v>
      </c>
      <c r="BP434" s="67">
        <f>VLOOKUP(AS434,Leyenda!$B$71:$E$75,4,FALSE)</f>
        <v>7</v>
      </c>
      <c r="BQ434" s="67">
        <f t="shared" si="139"/>
        <v>32</v>
      </c>
      <c r="BR434" s="18">
        <f t="shared" si="140"/>
        <v>33</v>
      </c>
      <c r="BS434" s="240">
        <f t="shared" si="135"/>
        <v>4.0000000000000036E-2</v>
      </c>
      <c r="BT434" s="18"/>
    </row>
    <row r="435" spans="1:72" x14ac:dyDescent="0.25">
      <c r="A435" s="18" t="s">
        <v>6</v>
      </c>
      <c r="B435" s="18">
        <v>2024</v>
      </c>
      <c r="C435" s="18" t="s">
        <v>138</v>
      </c>
      <c r="D435" s="18" t="s">
        <v>134</v>
      </c>
      <c r="E435" s="18">
        <v>40</v>
      </c>
      <c r="F435" s="18">
        <v>50</v>
      </c>
      <c r="G435" s="18" t="s">
        <v>153</v>
      </c>
      <c r="H435" s="248">
        <f t="shared" si="144"/>
        <v>50</v>
      </c>
      <c r="I435" s="135"/>
      <c r="J435" s="18" t="s">
        <v>170</v>
      </c>
      <c r="K435" s="31">
        <f t="shared" si="149"/>
        <v>10.5</v>
      </c>
      <c r="L435" s="31">
        <v>11</v>
      </c>
      <c r="M435" s="4">
        <f t="shared" si="136"/>
        <v>0.5</v>
      </c>
      <c r="N435" s="5">
        <v>0.96</v>
      </c>
      <c r="O435" s="5">
        <f t="shared" si="154"/>
        <v>4.0000000000000036E-2</v>
      </c>
      <c r="P435" s="31">
        <f t="shared" si="137"/>
        <v>0.48</v>
      </c>
      <c r="Q435" s="18">
        <f t="shared" si="150"/>
        <v>0.48</v>
      </c>
      <c r="R435" s="18">
        <v>480</v>
      </c>
      <c r="S435" s="18">
        <v>1</v>
      </c>
      <c r="T435" s="18">
        <v>0.45</v>
      </c>
      <c r="U435" s="18">
        <v>0.15</v>
      </c>
      <c r="V435" s="65">
        <f t="shared" si="145"/>
        <v>30</v>
      </c>
      <c r="W435" s="18">
        <v>4</v>
      </c>
      <c r="X435" s="18"/>
      <c r="Y435" s="18">
        <f t="shared" si="148"/>
        <v>4</v>
      </c>
      <c r="Z435" s="31">
        <f t="shared" si="147"/>
        <v>125</v>
      </c>
      <c r="AA435" s="18">
        <v>0</v>
      </c>
      <c r="AB435" s="18" t="s">
        <v>92</v>
      </c>
      <c r="AC435" s="18" t="s">
        <v>116</v>
      </c>
      <c r="AD435" s="18" t="s">
        <v>334</v>
      </c>
      <c r="AE435" s="18">
        <v>1</v>
      </c>
      <c r="AF435" s="18">
        <v>480</v>
      </c>
      <c r="AG435" s="18" t="s">
        <v>27</v>
      </c>
      <c r="AH435" s="18" t="s">
        <v>27</v>
      </c>
      <c r="AI435" s="18" t="str">
        <f>+VLOOKUP(AH435,Leyenda!$O$4:$U$10,6,FALSE)</f>
        <v>0,35-0,50</v>
      </c>
      <c r="AJ435" s="18" t="str">
        <f>+VLOOKUP(AG435,Leyenda!$O$4:$U$10,7,FALSE)</f>
        <v>Easy to blast</v>
      </c>
      <c r="AK435" s="18">
        <f>+VLOOKUP(AJ435,Leyenda!$U$4:$V$10,2,FALSE)</f>
        <v>3</v>
      </c>
      <c r="AL435" s="18"/>
      <c r="AM435" s="18" t="s">
        <v>27</v>
      </c>
      <c r="AN435" s="18" t="s">
        <v>69</v>
      </c>
      <c r="AO435" s="18" t="s">
        <v>81</v>
      </c>
      <c r="AP435" s="18" t="s">
        <v>100</v>
      </c>
      <c r="AQ435" s="18" t="s">
        <v>107</v>
      </c>
      <c r="AR435" s="18" t="s">
        <v>120</v>
      </c>
      <c r="AS435" s="18" t="s">
        <v>247</v>
      </c>
      <c r="AT435" s="18"/>
      <c r="AU435" s="18"/>
      <c r="AV435" s="18">
        <f>+VLOOKUP(AN435,Leyenda!$B$30:$E$34,3,FALSE)</f>
        <v>0</v>
      </c>
      <c r="AW435" s="18">
        <f>+VLOOKUP('2. Logging Brejo Seco'!AO435,Meteorizacion,3,FALSE)</f>
        <v>0</v>
      </c>
      <c r="AX435" s="18">
        <f>+VLOOKUP('2. Logging Brejo Seco'!AP435,Apertura,3,FALSE)</f>
        <v>0</v>
      </c>
      <c r="AY435" s="18">
        <f>+VLOOKUP('2. Logging Brejo Seco'!AQ435,Leyenda!$B$55:$D$59,3,FALSE)</f>
        <v>3</v>
      </c>
      <c r="AZ435" s="18">
        <f>+VLOOKUP('2. Logging Brejo Seco'!AR435,Relleno,3,FALSE)</f>
        <v>2</v>
      </c>
      <c r="BA435" s="18">
        <f t="shared" si="146"/>
        <v>5</v>
      </c>
      <c r="BB435" s="49">
        <f t="shared" si="151"/>
        <v>6</v>
      </c>
      <c r="BC435" s="49">
        <f>VLOOKUP(AH435,Leyenda!$B$4:$D$10,3,FALSE)</f>
        <v>4</v>
      </c>
      <c r="BD435" s="50">
        <f t="shared" si="133"/>
        <v>8</v>
      </c>
      <c r="BE435" s="49">
        <f t="shared" si="138"/>
        <v>5</v>
      </c>
      <c r="BF435" s="49">
        <f>VLOOKUP(AS435,Leyenda!$B$70:$D$75,3,FALSE)</f>
        <v>10</v>
      </c>
      <c r="BG435" s="67">
        <f t="shared" si="152"/>
        <v>22.5</v>
      </c>
      <c r="BH435" s="67">
        <f>VLOOKUP(AG435,Leyenda!$B$4:$E$10,4,FALSE)</f>
        <v>4</v>
      </c>
      <c r="BI435" s="67">
        <f t="shared" si="134"/>
        <v>10</v>
      </c>
      <c r="BJ435" s="67">
        <f t="shared" si="153"/>
        <v>6</v>
      </c>
      <c r="BK435" s="67">
        <f>+VLOOKUP('2. Logging Brejo Seco'!AP435,Leyenda!$B$47:$E$51,4,FALSE)</f>
        <v>0</v>
      </c>
      <c r="BL435" s="67">
        <f>+VLOOKUP('2. Logging Brejo Seco'!AQ435,Leyenda!$B$55:$E$59,4,FALSE)</f>
        <v>3</v>
      </c>
      <c r="BM435" s="67">
        <f>+VLOOKUP('2. Logging Brejo Seco'!AR435,Leyenda!$B$63:$E$67,3,FALSE)</f>
        <v>2</v>
      </c>
      <c r="BN435" s="67">
        <f>+VLOOKUP('2. Logging Brejo Seco'!AO435,Leyenda!$B$39:$E$43,4,FALSE)</f>
        <v>0</v>
      </c>
      <c r="BO435" s="67">
        <f>+VLOOKUP('2. Logging Brejo Seco'!AN435,Leyenda!$B$30:$E$34,4,FALSE)</f>
        <v>0</v>
      </c>
      <c r="BP435" s="67">
        <f>VLOOKUP(AS435,Leyenda!$B$71:$E$75,4,FALSE)</f>
        <v>7</v>
      </c>
      <c r="BQ435" s="67">
        <f t="shared" si="139"/>
        <v>32</v>
      </c>
      <c r="BR435" s="18">
        <f t="shared" si="140"/>
        <v>33</v>
      </c>
      <c r="BS435" s="240">
        <f t="shared" si="135"/>
        <v>4.0000000000000036E-2</v>
      </c>
      <c r="BT435" s="18"/>
    </row>
    <row r="436" spans="1:72" x14ac:dyDescent="0.25">
      <c r="A436" s="18" t="s">
        <v>6</v>
      </c>
      <c r="B436" s="18">
        <v>2024</v>
      </c>
      <c r="C436" s="18" t="s">
        <v>138</v>
      </c>
      <c r="D436" s="18" t="s">
        <v>134</v>
      </c>
      <c r="E436" s="18">
        <v>40</v>
      </c>
      <c r="F436" s="18">
        <v>50</v>
      </c>
      <c r="G436" s="18" t="s">
        <v>153</v>
      </c>
      <c r="H436" s="248">
        <f t="shared" si="144"/>
        <v>50</v>
      </c>
      <c r="I436" s="135"/>
      <c r="J436" s="18" t="s">
        <v>170</v>
      </c>
      <c r="K436" s="31">
        <f t="shared" si="149"/>
        <v>11</v>
      </c>
      <c r="L436" s="31">
        <v>11.5</v>
      </c>
      <c r="M436" s="4">
        <f t="shared" si="136"/>
        <v>0.5</v>
      </c>
      <c r="N436" s="5">
        <v>0.52</v>
      </c>
      <c r="O436" s="5">
        <f t="shared" si="154"/>
        <v>0.48</v>
      </c>
      <c r="P436" s="31">
        <f t="shared" si="137"/>
        <v>0.26</v>
      </c>
      <c r="Q436" s="18">
        <f t="shared" si="150"/>
        <v>0.26</v>
      </c>
      <c r="R436" s="18">
        <v>260</v>
      </c>
      <c r="S436" s="18">
        <v>1</v>
      </c>
      <c r="T436" s="18">
        <v>0.19</v>
      </c>
      <c r="U436" s="18">
        <v>0</v>
      </c>
      <c r="V436" s="65">
        <f t="shared" si="145"/>
        <v>0</v>
      </c>
      <c r="W436" s="18">
        <v>5</v>
      </c>
      <c r="X436" s="18"/>
      <c r="Y436" s="18">
        <f t="shared" si="148"/>
        <v>5</v>
      </c>
      <c r="Z436" s="31">
        <f t="shared" si="147"/>
        <v>100</v>
      </c>
      <c r="AA436" s="18">
        <v>0</v>
      </c>
      <c r="AB436" s="18" t="s">
        <v>92</v>
      </c>
      <c r="AC436" s="18" t="s">
        <v>116</v>
      </c>
      <c r="AD436" s="18" t="s">
        <v>334</v>
      </c>
      <c r="AE436" s="18">
        <v>1</v>
      </c>
      <c r="AF436" s="18">
        <v>260</v>
      </c>
      <c r="AG436" s="18" t="s">
        <v>27</v>
      </c>
      <c r="AH436" s="18" t="s">
        <v>27</v>
      </c>
      <c r="AI436" s="18" t="str">
        <f>+VLOOKUP(AH436,Leyenda!$O$4:$U$10,6,FALSE)</f>
        <v>0,35-0,50</v>
      </c>
      <c r="AJ436" s="18" t="str">
        <f>+VLOOKUP(AG436,Leyenda!$O$4:$U$10,7,FALSE)</f>
        <v>Easy to blast</v>
      </c>
      <c r="AK436" s="18">
        <f>+VLOOKUP(AJ436,Leyenda!$U$4:$V$10,2,FALSE)</f>
        <v>3</v>
      </c>
      <c r="AL436" s="18"/>
      <c r="AM436" s="18" t="s">
        <v>27</v>
      </c>
      <c r="AN436" s="18" t="s">
        <v>69</v>
      </c>
      <c r="AO436" s="18" t="s">
        <v>81</v>
      </c>
      <c r="AP436" s="18" t="s">
        <v>100</v>
      </c>
      <c r="AQ436" s="18" t="s">
        <v>107</v>
      </c>
      <c r="AR436" s="18" t="s">
        <v>120</v>
      </c>
      <c r="AS436" s="18" t="s">
        <v>247</v>
      </c>
      <c r="AT436" s="18"/>
      <c r="AU436" s="18"/>
      <c r="AV436" s="18">
        <f>+VLOOKUP(AN436,Leyenda!$B$30:$E$34,3,FALSE)</f>
        <v>0</v>
      </c>
      <c r="AW436" s="18">
        <f>+VLOOKUP('2. Logging Brejo Seco'!AO436,Meteorizacion,3,FALSE)</f>
        <v>0</v>
      </c>
      <c r="AX436" s="18">
        <f>+VLOOKUP('2. Logging Brejo Seco'!AP436,Apertura,3,FALSE)</f>
        <v>0</v>
      </c>
      <c r="AY436" s="18">
        <f>+VLOOKUP('2. Logging Brejo Seco'!AQ436,Leyenda!$B$55:$D$59,3,FALSE)</f>
        <v>3</v>
      </c>
      <c r="AZ436" s="18">
        <f>+VLOOKUP('2. Logging Brejo Seco'!AR436,Relleno,3,FALSE)</f>
        <v>2</v>
      </c>
      <c r="BA436" s="18">
        <f t="shared" si="146"/>
        <v>5</v>
      </c>
      <c r="BB436" s="49">
        <f t="shared" si="151"/>
        <v>0</v>
      </c>
      <c r="BC436" s="49">
        <f>VLOOKUP(AH436,Leyenda!$B$4:$D$10,3,FALSE)</f>
        <v>4</v>
      </c>
      <c r="BD436" s="50">
        <f t="shared" si="133"/>
        <v>7</v>
      </c>
      <c r="BE436" s="49">
        <f t="shared" si="138"/>
        <v>5</v>
      </c>
      <c r="BF436" s="49">
        <f>VLOOKUP(AS436,Leyenda!$B$70:$D$75,3,FALSE)</f>
        <v>10</v>
      </c>
      <c r="BG436" s="67">
        <f t="shared" si="152"/>
        <v>7.5</v>
      </c>
      <c r="BH436" s="67">
        <f>VLOOKUP(AG436,Leyenda!$B$4:$E$10,4,FALSE)</f>
        <v>4</v>
      </c>
      <c r="BI436" s="67">
        <f t="shared" si="134"/>
        <v>8</v>
      </c>
      <c r="BJ436" s="67">
        <f t="shared" si="153"/>
        <v>0</v>
      </c>
      <c r="BK436" s="67">
        <f>+VLOOKUP('2. Logging Brejo Seco'!AP436,Leyenda!$B$47:$E$51,4,FALSE)</f>
        <v>0</v>
      </c>
      <c r="BL436" s="67">
        <f>+VLOOKUP('2. Logging Brejo Seco'!AQ436,Leyenda!$B$55:$E$59,4,FALSE)</f>
        <v>3</v>
      </c>
      <c r="BM436" s="67">
        <f>+VLOOKUP('2. Logging Brejo Seco'!AR436,Leyenda!$B$63:$E$67,3,FALSE)</f>
        <v>2</v>
      </c>
      <c r="BN436" s="67">
        <f>+VLOOKUP('2. Logging Brejo Seco'!AO436,Leyenda!$B$39:$E$43,4,FALSE)</f>
        <v>0</v>
      </c>
      <c r="BO436" s="67">
        <f>+VLOOKUP('2. Logging Brejo Seco'!AN436,Leyenda!$B$30:$E$34,4,FALSE)</f>
        <v>0</v>
      </c>
      <c r="BP436" s="67">
        <f>VLOOKUP(AS436,Leyenda!$B$71:$E$75,4,FALSE)</f>
        <v>7</v>
      </c>
      <c r="BQ436" s="67">
        <f t="shared" si="139"/>
        <v>24</v>
      </c>
      <c r="BR436" s="18">
        <f t="shared" si="140"/>
        <v>26</v>
      </c>
      <c r="BS436" s="240">
        <f t="shared" si="135"/>
        <v>0.48</v>
      </c>
      <c r="BT436" s="18"/>
    </row>
    <row r="437" spans="1:72" x14ac:dyDescent="0.25">
      <c r="A437" s="18" t="s">
        <v>6</v>
      </c>
      <c r="B437" s="18">
        <v>2024</v>
      </c>
      <c r="C437" s="18" t="s">
        <v>138</v>
      </c>
      <c r="D437" s="18" t="s">
        <v>134</v>
      </c>
      <c r="E437" s="18">
        <v>40</v>
      </c>
      <c r="F437" s="18">
        <v>50</v>
      </c>
      <c r="G437" s="18" t="s">
        <v>153</v>
      </c>
      <c r="H437" s="248">
        <f t="shared" si="144"/>
        <v>50</v>
      </c>
      <c r="I437" s="135"/>
      <c r="J437" s="18" t="s">
        <v>171</v>
      </c>
      <c r="K437" s="31">
        <f t="shared" si="149"/>
        <v>11.5</v>
      </c>
      <c r="L437" s="31">
        <v>12</v>
      </c>
      <c r="M437" s="4">
        <f t="shared" si="136"/>
        <v>0.5</v>
      </c>
      <c r="N437" s="5">
        <v>0.62</v>
      </c>
      <c r="O437" s="5">
        <f t="shared" si="154"/>
        <v>0.38</v>
      </c>
      <c r="P437" s="31">
        <f t="shared" si="137"/>
        <v>0.31</v>
      </c>
      <c r="Q437" s="18">
        <f t="shared" si="150"/>
        <v>0.31</v>
      </c>
      <c r="R437" s="18">
        <v>20.666666666666668</v>
      </c>
      <c r="S437" s="18">
        <v>15</v>
      </c>
      <c r="T437" s="18">
        <v>0.24</v>
      </c>
      <c r="U437" s="18">
        <v>0.11</v>
      </c>
      <c r="V437" s="65">
        <f t="shared" si="145"/>
        <v>22</v>
      </c>
      <c r="W437" s="18">
        <v>4</v>
      </c>
      <c r="X437" s="18"/>
      <c r="Y437" s="18">
        <f t="shared" si="148"/>
        <v>4</v>
      </c>
      <c r="Z437" s="31">
        <f t="shared" si="147"/>
        <v>125</v>
      </c>
      <c r="AA437" s="18">
        <v>0</v>
      </c>
      <c r="AB437" s="18" t="s">
        <v>96</v>
      </c>
      <c r="AC437" s="18" t="s">
        <v>122</v>
      </c>
      <c r="AD437" s="18" t="s">
        <v>337</v>
      </c>
      <c r="AE437" s="18">
        <v>15</v>
      </c>
      <c r="AF437" s="18">
        <v>20.666666666666668</v>
      </c>
      <c r="AG437" s="18" t="s">
        <v>29</v>
      </c>
      <c r="AH437" s="18" t="s">
        <v>29</v>
      </c>
      <c r="AI437" s="18" t="str">
        <f>+VLOOKUP(AH437,Leyenda!$O$4:$U$10,6,FALSE)</f>
        <v>0,25-0,35</v>
      </c>
      <c r="AJ437" s="18" t="str">
        <f>+VLOOKUP(AG437,Leyenda!$O$4:$U$10,7,FALSE)</f>
        <v>No Blasting need</v>
      </c>
      <c r="AK437" s="18">
        <f>+VLOOKUP(AJ437,Leyenda!$U$4:$V$10,2,FALSE)</f>
        <v>2</v>
      </c>
      <c r="AL437" s="18"/>
      <c r="AM437" s="18" t="s">
        <v>29</v>
      </c>
      <c r="AN437" s="18" t="s">
        <v>69</v>
      </c>
      <c r="AO437" s="18" t="s">
        <v>81</v>
      </c>
      <c r="AP437" s="18" t="s">
        <v>100</v>
      </c>
      <c r="AQ437" s="18" t="s">
        <v>107</v>
      </c>
      <c r="AR437" s="18" t="s">
        <v>120</v>
      </c>
      <c r="AS437" s="18" t="s">
        <v>247</v>
      </c>
      <c r="AT437" s="18"/>
      <c r="AU437" s="18"/>
      <c r="AV437" s="18">
        <f>+VLOOKUP(AN437,Leyenda!$B$30:$E$34,3,FALSE)</f>
        <v>0</v>
      </c>
      <c r="AW437" s="18">
        <f>+VLOOKUP('2. Logging Brejo Seco'!AO437,Meteorizacion,3,FALSE)</f>
        <v>0</v>
      </c>
      <c r="AX437" s="18">
        <f>+VLOOKUP('2. Logging Brejo Seco'!AP437,Apertura,3,FALSE)</f>
        <v>0</v>
      </c>
      <c r="AY437" s="18">
        <f>+VLOOKUP('2. Logging Brejo Seco'!AQ437,Leyenda!$B$55:$D$59,3,FALSE)</f>
        <v>3</v>
      </c>
      <c r="AZ437" s="18">
        <f>+VLOOKUP('2. Logging Brejo Seco'!AR437,Relleno,3,FALSE)</f>
        <v>2</v>
      </c>
      <c r="BA437" s="18">
        <f t="shared" si="146"/>
        <v>5</v>
      </c>
      <c r="BB437" s="49">
        <f t="shared" si="151"/>
        <v>5</v>
      </c>
      <c r="BC437" s="49">
        <f>VLOOKUP(AH437,Leyenda!$B$4:$D$10,3,FALSE)</f>
        <v>2</v>
      </c>
      <c r="BD437" s="50">
        <f t="shared" si="133"/>
        <v>8</v>
      </c>
      <c r="BE437" s="49">
        <f t="shared" si="138"/>
        <v>5</v>
      </c>
      <c r="BF437" s="49">
        <f>VLOOKUP(AS437,Leyenda!$B$70:$D$75,3,FALSE)</f>
        <v>10</v>
      </c>
      <c r="BG437" s="67">
        <f t="shared" si="152"/>
        <v>18.5</v>
      </c>
      <c r="BH437" s="67">
        <f>VLOOKUP(AG437,Leyenda!$B$4:$E$10,4,FALSE)</f>
        <v>2</v>
      </c>
      <c r="BI437" s="67">
        <f t="shared" si="134"/>
        <v>10</v>
      </c>
      <c r="BJ437" s="67">
        <f t="shared" si="153"/>
        <v>5</v>
      </c>
      <c r="BK437" s="67">
        <f>+VLOOKUP('2. Logging Brejo Seco'!AP437,Leyenda!$B$47:$E$51,4,FALSE)</f>
        <v>0</v>
      </c>
      <c r="BL437" s="67">
        <f>+VLOOKUP('2. Logging Brejo Seco'!AQ437,Leyenda!$B$55:$E$59,4,FALSE)</f>
        <v>3</v>
      </c>
      <c r="BM437" s="67">
        <f>+VLOOKUP('2. Logging Brejo Seco'!AR437,Leyenda!$B$63:$E$67,3,FALSE)</f>
        <v>2</v>
      </c>
      <c r="BN437" s="67">
        <f>+VLOOKUP('2. Logging Brejo Seco'!AO437,Leyenda!$B$39:$E$43,4,FALSE)</f>
        <v>0</v>
      </c>
      <c r="BO437" s="67">
        <f>+VLOOKUP('2. Logging Brejo Seco'!AN437,Leyenda!$B$30:$E$34,4,FALSE)</f>
        <v>0</v>
      </c>
      <c r="BP437" s="67">
        <f>VLOOKUP(AS437,Leyenda!$B$71:$E$75,4,FALSE)</f>
        <v>7</v>
      </c>
      <c r="BQ437" s="67">
        <f t="shared" si="139"/>
        <v>29</v>
      </c>
      <c r="BR437" s="18">
        <f t="shared" si="140"/>
        <v>30</v>
      </c>
      <c r="BS437" s="240">
        <f t="shared" si="135"/>
        <v>0.38</v>
      </c>
      <c r="BT437" s="18"/>
    </row>
    <row r="438" spans="1:72" x14ac:dyDescent="0.25">
      <c r="A438" s="18" t="s">
        <v>6</v>
      </c>
      <c r="B438" s="18">
        <v>2024</v>
      </c>
      <c r="C438" s="18" t="s">
        <v>138</v>
      </c>
      <c r="D438" s="18" t="s">
        <v>134</v>
      </c>
      <c r="E438" s="18">
        <v>40</v>
      </c>
      <c r="F438" s="18">
        <v>50</v>
      </c>
      <c r="G438" s="18" t="s">
        <v>153</v>
      </c>
      <c r="H438" s="248">
        <f t="shared" si="144"/>
        <v>50</v>
      </c>
      <c r="I438" s="135"/>
      <c r="J438" s="18" t="s">
        <v>171</v>
      </c>
      <c r="K438" s="31">
        <f t="shared" si="149"/>
        <v>12</v>
      </c>
      <c r="L438" s="31">
        <v>12.5</v>
      </c>
      <c r="M438" s="4">
        <f t="shared" si="136"/>
        <v>0.5</v>
      </c>
      <c r="N438" s="5">
        <v>0.76</v>
      </c>
      <c r="O438" s="5">
        <f t="shared" si="154"/>
        <v>0.24</v>
      </c>
      <c r="P438" s="31">
        <f t="shared" si="137"/>
        <v>0.38</v>
      </c>
      <c r="Q438" s="18">
        <f t="shared" si="150"/>
        <v>0.38</v>
      </c>
      <c r="R438" s="18">
        <v>19</v>
      </c>
      <c r="S438" s="18">
        <v>20</v>
      </c>
      <c r="T438" s="18">
        <v>0.3</v>
      </c>
      <c r="U438" s="18">
        <v>0.1</v>
      </c>
      <c r="V438" s="65">
        <f t="shared" si="145"/>
        <v>20</v>
      </c>
      <c r="W438" s="18">
        <v>6</v>
      </c>
      <c r="X438" s="18"/>
      <c r="Y438" s="18">
        <f t="shared" si="148"/>
        <v>6</v>
      </c>
      <c r="Z438" s="31">
        <f t="shared" si="147"/>
        <v>83.333333333333329</v>
      </c>
      <c r="AA438" s="18">
        <v>0</v>
      </c>
      <c r="AB438" s="18" t="s">
        <v>100</v>
      </c>
      <c r="AC438" s="18" t="s">
        <v>333</v>
      </c>
      <c r="AD438" s="18" t="s">
        <v>336</v>
      </c>
      <c r="AE438" s="18">
        <v>20</v>
      </c>
      <c r="AF438" s="18">
        <v>19</v>
      </c>
      <c r="AG438" s="18" t="s">
        <v>32</v>
      </c>
      <c r="AH438" s="18" t="s">
        <v>32</v>
      </c>
      <c r="AI438" s="18" t="str">
        <f>+VLOOKUP(AH438,Leyenda!$O$4:$U$10,6,FALSE)</f>
        <v>0,15-0,25</v>
      </c>
      <c r="AJ438" s="18" t="str">
        <f>+VLOOKUP(AG438,Leyenda!$O$4:$U$10,7,FALSE)</f>
        <v>No Blasting need</v>
      </c>
      <c r="AK438" s="18">
        <f>+VLOOKUP(AJ438,Leyenda!$U$4:$V$10,2,FALSE)</f>
        <v>2</v>
      </c>
      <c r="AL438" s="18"/>
      <c r="AM438" s="18" t="s">
        <v>32</v>
      </c>
      <c r="AN438" s="18" t="s">
        <v>69</v>
      </c>
      <c r="AO438" s="18" t="s">
        <v>81</v>
      </c>
      <c r="AP438" s="18" t="s">
        <v>100</v>
      </c>
      <c r="AQ438" s="18" t="s">
        <v>107</v>
      </c>
      <c r="AR438" s="18" t="s">
        <v>120</v>
      </c>
      <c r="AS438" s="18" t="s">
        <v>247</v>
      </c>
      <c r="AT438" s="18"/>
      <c r="AU438" s="18"/>
      <c r="AV438" s="18">
        <f>+VLOOKUP(AN438,Leyenda!$B$30:$E$34,3,FALSE)</f>
        <v>0</v>
      </c>
      <c r="AW438" s="18">
        <f>+VLOOKUP('2. Logging Brejo Seco'!AO438,Meteorizacion,3,FALSE)</f>
        <v>0</v>
      </c>
      <c r="AX438" s="18">
        <f>+VLOOKUP('2. Logging Brejo Seco'!AP438,Apertura,3,FALSE)</f>
        <v>0</v>
      </c>
      <c r="AY438" s="18">
        <f>+VLOOKUP('2. Logging Brejo Seco'!AQ438,Leyenda!$B$55:$D$59,3,FALSE)</f>
        <v>3</v>
      </c>
      <c r="AZ438" s="18">
        <f>+VLOOKUP('2. Logging Brejo Seco'!AR438,Relleno,3,FALSE)</f>
        <v>2</v>
      </c>
      <c r="BA438" s="18">
        <f t="shared" si="146"/>
        <v>5</v>
      </c>
      <c r="BB438" s="49">
        <f t="shared" si="151"/>
        <v>4</v>
      </c>
      <c r="BC438" s="49">
        <f>VLOOKUP(AH438,Leyenda!$B$4:$D$10,3,FALSE)</f>
        <v>1</v>
      </c>
      <c r="BD438" s="50">
        <f t="shared" si="133"/>
        <v>7</v>
      </c>
      <c r="BE438" s="49">
        <f t="shared" si="138"/>
        <v>5</v>
      </c>
      <c r="BF438" s="49">
        <f>VLOOKUP(AS438,Leyenda!$B$70:$D$75,3,FALSE)</f>
        <v>10</v>
      </c>
      <c r="BG438" s="67">
        <f t="shared" si="152"/>
        <v>17.5</v>
      </c>
      <c r="BH438" s="67">
        <f>VLOOKUP(AG438,Leyenda!$B$4:$E$10,4,FALSE)</f>
        <v>1</v>
      </c>
      <c r="BI438" s="67">
        <f t="shared" si="134"/>
        <v>7</v>
      </c>
      <c r="BJ438" s="67">
        <f t="shared" si="153"/>
        <v>4</v>
      </c>
      <c r="BK438" s="67">
        <f>+VLOOKUP('2. Logging Brejo Seco'!AP438,Leyenda!$B$47:$E$51,4,FALSE)</f>
        <v>0</v>
      </c>
      <c r="BL438" s="67">
        <f>+VLOOKUP('2. Logging Brejo Seco'!AQ438,Leyenda!$B$55:$E$59,4,FALSE)</f>
        <v>3</v>
      </c>
      <c r="BM438" s="67">
        <f>+VLOOKUP('2. Logging Brejo Seco'!AR438,Leyenda!$B$63:$E$67,3,FALSE)</f>
        <v>2</v>
      </c>
      <c r="BN438" s="67">
        <f>+VLOOKUP('2. Logging Brejo Seco'!AO438,Leyenda!$B$39:$E$43,4,FALSE)</f>
        <v>0</v>
      </c>
      <c r="BO438" s="67">
        <f>+VLOOKUP('2. Logging Brejo Seco'!AN438,Leyenda!$B$30:$E$34,4,FALSE)</f>
        <v>0</v>
      </c>
      <c r="BP438" s="67">
        <f>VLOOKUP(AS438,Leyenda!$B$71:$E$75,4,FALSE)</f>
        <v>7</v>
      </c>
      <c r="BQ438" s="67">
        <f t="shared" si="139"/>
        <v>24</v>
      </c>
      <c r="BR438" s="18">
        <f t="shared" si="140"/>
        <v>27</v>
      </c>
      <c r="BS438" s="240">
        <f t="shared" si="135"/>
        <v>0.24</v>
      </c>
      <c r="BT438" s="18"/>
    </row>
    <row r="439" spans="1:72" x14ac:dyDescent="0.25">
      <c r="A439" s="18" t="s">
        <v>6</v>
      </c>
      <c r="B439" s="18">
        <v>2024</v>
      </c>
      <c r="C439" s="18" t="s">
        <v>138</v>
      </c>
      <c r="D439" s="18" t="s">
        <v>134</v>
      </c>
      <c r="E439" s="18">
        <v>40</v>
      </c>
      <c r="F439" s="18">
        <v>50</v>
      </c>
      <c r="G439" s="18" t="s">
        <v>153</v>
      </c>
      <c r="H439" s="248">
        <f t="shared" si="144"/>
        <v>50</v>
      </c>
      <c r="I439" s="135"/>
      <c r="J439" s="18" t="s">
        <v>172</v>
      </c>
      <c r="K439" s="31">
        <f t="shared" si="149"/>
        <v>12.5</v>
      </c>
      <c r="L439" s="31">
        <v>13</v>
      </c>
      <c r="M439" s="4">
        <f t="shared" si="136"/>
        <v>0.5</v>
      </c>
      <c r="N439" s="5">
        <v>0.86</v>
      </c>
      <c r="O439" s="5">
        <f t="shared" si="154"/>
        <v>0.14000000000000001</v>
      </c>
      <c r="P439" s="31">
        <f t="shared" si="137"/>
        <v>0.43</v>
      </c>
      <c r="Q439" s="18">
        <f t="shared" si="150"/>
        <v>0.43</v>
      </c>
      <c r="R439" s="18">
        <v>21.5</v>
      </c>
      <c r="S439" s="18">
        <v>20</v>
      </c>
      <c r="T439" s="18">
        <v>0.36</v>
      </c>
      <c r="U439" s="18">
        <v>0.12</v>
      </c>
      <c r="V439" s="65">
        <f t="shared" si="145"/>
        <v>24</v>
      </c>
      <c r="W439" s="18">
        <v>4</v>
      </c>
      <c r="X439" s="18"/>
      <c r="Y439" s="18">
        <f t="shared" si="148"/>
        <v>4</v>
      </c>
      <c r="Z439" s="31">
        <f t="shared" si="147"/>
        <v>125</v>
      </c>
      <c r="AA439" s="18">
        <v>0</v>
      </c>
      <c r="AB439" s="18" t="s">
        <v>96</v>
      </c>
      <c r="AC439" s="18" t="s">
        <v>333</v>
      </c>
      <c r="AD439" s="18" t="s">
        <v>337</v>
      </c>
      <c r="AE439" s="18">
        <v>20</v>
      </c>
      <c r="AF439" s="18">
        <v>21.5</v>
      </c>
      <c r="AG439" s="18" t="s">
        <v>29</v>
      </c>
      <c r="AH439" s="18" t="s">
        <v>29</v>
      </c>
      <c r="AI439" s="18" t="str">
        <f>+VLOOKUP(AH439,Leyenda!$O$4:$U$10,6,FALSE)</f>
        <v>0,25-0,35</v>
      </c>
      <c r="AJ439" s="18" t="str">
        <f>+VLOOKUP(AG439,Leyenda!$O$4:$U$10,7,FALSE)</f>
        <v>No Blasting need</v>
      </c>
      <c r="AK439" s="18">
        <f>+VLOOKUP(AJ439,Leyenda!$U$4:$V$10,2,FALSE)</f>
        <v>2</v>
      </c>
      <c r="AL439" s="18"/>
      <c r="AM439" s="18" t="s">
        <v>29</v>
      </c>
      <c r="AN439" s="18" t="s">
        <v>69</v>
      </c>
      <c r="AO439" s="18" t="s">
        <v>81</v>
      </c>
      <c r="AP439" s="18" t="s">
        <v>100</v>
      </c>
      <c r="AQ439" s="18" t="s">
        <v>107</v>
      </c>
      <c r="AR439" s="18" t="s">
        <v>120</v>
      </c>
      <c r="AS439" s="18" t="s">
        <v>247</v>
      </c>
      <c r="AT439" s="18"/>
      <c r="AU439" s="18"/>
      <c r="AV439" s="18">
        <f>+VLOOKUP(AN439,Leyenda!$B$30:$E$34,3,FALSE)</f>
        <v>0</v>
      </c>
      <c r="AW439" s="18">
        <f>+VLOOKUP('2. Logging Brejo Seco'!AO439,Meteorizacion,3,FALSE)</f>
        <v>0</v>
      </c>
      <c r="AX439" s="18">
        <f>+VLOOKUP('2. Logging Brejo Seco'!AP439,Apertura,3,FALSE)</f>
        <v>0</v>
      </c>
      <c r="AY439" s="18">
        <f>+VLOOKUP('2. Logging Brejo Seco'!AQ439,Leyenda!$B$55:$D$59,3,FALSE)</f>
        <v>3</v>
      </c>
      <c r="AZ439" s="18">
        <f>+VLOOKUP('2. Logging Brejo Seco'!AR439,Relleno,3,FALSE)</f>
        <v>2</v>
      </c>
      <c r="BA439" s="18">
        <f t="shared" si="146"/>
        <v>5</v>
      </c>
      <c r="BB439" s="49">
        <f t="shared" si="151"/>
        <v>5</v>
      </c>
      <c r="BC439" s="49">
        <f>VLOOKUP(AH439,Leyenda!$B$4:$D$10,3,FALSE)</f>
        <v>2</v>
      </c>
      <c r="BD439" s="50">
        <f t="shared" si="133"/>
        <v>8</v>
      </c>
      <c r="BE439" s="49">
        <f t="shared" si="138"/>
        <v>5</v>
      </c>
      <c r="BF439" s="49">
        <f>VLOOKUP(AS439,Leyenda!$B$70:$D$75,3,FALSE)</f>
        <v>10</v>
      </c>
      <c r="BG439" s="67">
        <f t="shared" si="152"/>
        <v>19.5</v>
      </c>
      <c r="BH439" s="67">
        <f>VLOOKUP(AG439,Leyenda!$B$4:$E$10,4,FALSE)</f>
        <v>2</v>
      </c>
      <c r="BI439" s="67">
        <f t="shared" si="134"/>
        <v>10</v>
      </c>
      <c r="BJ439" s="67">
        <f t="shared" si="153"/>
        <v>5</v>
      </c>
      <c r="BK439" s="67">
        <f>+VLOOKUP('2. Logging Brejo Seco'!AP439,Leyenda!$B$47:$E$51,4,FALSE)</f>
        <v>0</v>
      </c>
      <c r="BL439" s="67">
        <f>+VLOOKUP('2. Logging Brejo Seco'!AQ439,Leyenda!$B$55:$E$59,4,FALSE)</f>
        <v>3</v>
      </c>
      <c r="BM439" s="67">
        <f>+VLOOKUP('2. Logging Brejo Seco'!AR439,Leyenda!$B$63:$E$67,3,FALSE)</f>
        <v>2</v>
      </c>
      <c r="BN439" s="67">
        <f>+VLOOKUP('2. Logging Brejo Seco'!AO439,Leyenda!$B$39:$E$43,4,FALSE)</f>
        <v>0</v>
      </c>
      <c r="BO439" s="67">
        <f>+VLOOKUP('2. Logging Brejo Seco'!AN439,Leyenda!$B$30:$E$34,4,FALSE)</f>
        <v>0</v>
      </c>
      <c r="BP439" s="67">
        <f>VLOOKUP(AS439,Leyenda!$B$71:$E$75,4,FALSE)</f>
        <v>7</v>
      </c>
      <c r="BQ439" s="67">
        <f t="shared" si="139"/>
        <v>29</v>
      </c>
      <c r="BR439" s="18">
        <f t="shared" si="140"/>
        <v>30</v>
      </c>
      <c r="BS439" s="240">
        <f t="shared" si="135"/>
        <v>0.14000000000000001</v>
      </c>
      <c r="BT439" s="18"/>
    </row>
    <row r="440" spans="1:72" x14ac:dyDescent="0.25">
      <c r="A440" s="18" t="s">
        <v>6</v>
      </c>
      <c r="B440" s="18">
        <v>2024</v>
      </c>
      <c r="C440" s="18" t="s">
        <v>138</v>
      </c>
      <c r="D440" s="18" t="s">
        <v>134</v>
      </c>
      <c r="E440" s="18">
        <v>50</v>
      </c>
      <c r="F440" s="18">
        <v>50</v>
      </c>
      <c r="G440" s="18" t="s">
        <v>154</v>
      </c>
      <c r="H440" s="248">
        <f t="shared" si="144"/>
        <v>50</v>
      </c>
      <c r="I440" s="135"/>
      <c r="J440" s="18" t="s">
        <v>172</v>
      </c>
      <c r="K440" s="31">
        <f t="shared" si="149"/>
        <v>13</v>
      </c>
      <c r="L440" s="31">
        <v>13.5</v>
      </c>
      <c r="M440" s="4">
        <f t="shared" si="136"/>
        <v>0.5</v>
      </c>
      <c r="N440" s="5">
        <v>0.48</v>
      </c>
      <c r="O440" s="5">
        <f t="shared" si="154"/>
        <v>0.52</v>
      </c>
      <c r="P440" s="31">
        <f t="shared" si="137"/>
        <v>0.24</v>
      </c>
      <c r="Q440" s="18">
        <f t="shared" si="150"/>
        <v>0.24</v>
      </c>
      <c r="R440" s="18">
        <v>12</v>
      </c>
      <c r="S440" s="18">
        <v>20</v>
      </c>
      <c r="T440" s="18">
        <v>0.21</v>
      </c>
      <c r="U440" s="18">
        <v>0</v>
      </c>
      <c r="V440" s="65">
        <f t="shared" si="145"/>
        <v>0</v>
      </c>
      <c r="W440" s="18">
        <v>4</v>
      </c>
      <c r="X440" s="18"/>
      <c r="Y440" s="18">
        <f t="shared" si="148"/>
        <v>4</v>
      </c>
      <c r="Z440" s="31">
        <f t="shared" si="147"/>
        <v>125</v>
      </c>
      <c r="AA440" s="18">
        <v>0</v>
      </c>
      <c r="AB440" s="18" t="s">
        <v>96</v>
      </c>
      <c r="AC440" s="18" t="s">
        <v>333</v>
      </c>
      <c r="AD440" s="18" t="s">
        <v>337</v>
      </c>
      <c r="AE440" s="18">
        <v>20</v>
      </c>
      <c r="AF440" s="18">
        <v>12</v>
      </c>
      <c r="AG440" s="18" t="s">
        <v>29</v>
      </c>
      <c r="AH440" s="18" t="s">
        <v>29</v>
      </c>
      <c r="AI440" s="18" t="str">
        <f>+VLOOKUP(AH440,Leyenda!$O$4:$U$10,6,FALSE)</f>
        <v>0,25-0,35</v>
      </c>
      <c r="AJ440" s="18" t="str">
        <f>+VLOOKUP(AG440,Leyenda!$O$4:$U$10,7,FALSE)</f>
        <v>No Blasting need</v>
      </c>
      <c r="AK440" s="18">
        <f>+VLOOKUP(AJ440,Leyenda!$U$4:$V$10,2,FALSE)</f>
        <v>2</v>
      </c>
      <c r="AL440" s="18"/>
      <c r="AM440" s="18" t="s">
        <v>29</v>
      </c>
      <c r="AN440" s="18" t="s">
        <v>69</v>
      </c>
      <c r="AO440" s="18" t="s">
        <v>81</v>
      </c>
      <c r="AP440" s="18" t="s">
        <v>100</v>
      </c>
      <c r="AQ440" s="18" t="s">
        <v>109</v>
      </c>
      <c r="AR440" s="18" t="s">
        <v>122</v>
      </c>
      <c r="AS440" s="18" t="s">
        <v>198</v>
      </c>
      <c r="AT440" s="18"/>
      <c r="AU440" s="18"/>
      <c r="AV440" s="18">
        <f>+VLOOKUP(AN440,Leyenda!$B$30:$E$34,3,FALSE)</f>
        <v>0</v>
      </c>
      <c r="AW440" s="18">
        <f>+VLOOKUP('2. Logging Brejo Seco'!AO440,Meteorizacion,3,FALSE)</f>
        <v>0</v>
      </c>
      <c r="AX440" s="18">
        <f>+VLOOKUP('2. Logging Brejo Seco'!AP440,Apertura,3,FALSE)</f>
        <v>0</v>
      </c>
      <c r="AY440" s="18">
        <f>+VLOOKUP('2. Logging Brejo Seco'!AQ440,Leyenda!$B$55:$D$59,3,FALSE)</f>
        <v>1</v>
      </c>
      <c r="AZ440" s="18">
        <f>+VLOOKUP('2. Logging Brejo Seco'!AR440,Relleno,3,FALSE)</f>
        <v>0</v>
      </c>
      <c r="BA440" s="18">
        <f t="shared" si="146"/>
        <v>1</v>
      </c>
      <c r="BB440" s="49">
        <f t="shared" si="151"/>
        <v>0</v>
      </c>
      <c r="BC440" s="49">
        <f>VLOOKUP(AH440,Leyenda!$B$4:$D$10,3,FALSE)</f>
        <v>2</v>
      </c>
      <c r="BD440" s="50">
        <f t="shared" si="133"/>
        <v>8</v>
      </c>
      <c r="BE440" s="49">
        <f t="shared" si="138"/>
        <v>1</v>
      </c>
      <c r="BF440" s="49">
        <f>VLOOKUP(AS440,Leyenda!$B$70:$D$75,3,FALSE)</f>
        <v>15</v>
      </c>
      <c r="BG440" s="67">
        <f t="shared" si="152"/>
        <v>1.5</v>
      </c>
      <c r="BH440" s="67">
        <f>VLOOKUP(AG440,Leyenda!$B$4:$E$10,4,FALSE)</f>
        <v>2</v>
      </c>
      <c r="BI440" s="67">
        <f t="shared" si="134"/>
        <v>10</v>
      </c>
      <c r="BJ440" s="67">
        <f t="shared" si="153"/>
        <v>0</v>
      </c>
      <c r="BK440" s="67">
        <f>+VLOOKUP('2. Logging Brejo Seco'!AP440,Leyenda!$B$47:$E$51,4,FALSE)</f>
        <v>0</v>
      </c>
      <c r="BL440" s="67">
        <f>+VLOOKUP('2. Logging Brejo Seco'!AQ440,Leyenda!$B$55:$E$59,4,FALSE)</f>
        <v>1</v>
      </c>
      <c r="BM440" s="67">
        <f>+VLOOKUP('2. Logging Brejo Seco'!AR440,Leyenda!$B$63:$E$67,3,FALSE)</f>
        <v>0</v>
      </c>
      <c r="BN440" s="67">
        <f>+VLOOKUP('2. Logging Brejo Seco'!AO440,Leyenda!$B$39:$E$43,4,FALSE)</f>
        <v>0</v>
      </c>
      <c r="BO440" s="67">
        <f>+VLOOKUP('2. Logging Brejo Seco'!AN440,Leyenda!$B$30:$E$34,4,FALSE)</f>
        <v>0</v>
      </c>
      <c r="BP440" s="67">
        <f>VLOOKUP(AS440,Leyenda!$B$71:$E$75,4,FALSE)</f>
        <v>10</v>
      </c>
      <c r="BQ440" s="67">
        <f t="shared" si="139"/>
        <v>23</v>
      </c>
      <c r="BR440" s="18">
        <f t="shared" si="140"/>
        <v>26</v>
      </c>
      <c r="BS440" s="240">
        <f t="shared" si="135"/>
        <v>0.52</v>
      </c>
      <c r="BT440" s="18"/>
    </row>
    <row r="441" spans="1:72" x14ac:dyDescent="0.25">
      <c r="A441" s="18" t="s">
        <v>6</v>
      </c>
      <c r="B441" s="18">
        <v>2024</v>
      </c>
      <c r="C441" s="18" t="s">
        <v>138</v>
      </c>
      <c r="D441" s="18" t="s">
        <v>134</v>
      </c>
      <c r="E441" s="18">
        <v>50</v>
      </c>
      <c r="F441" s="18">
        <v>50</v>
      </c>
      <c r="G441" s="18" t="s">
        <v>154</v>
      </c>
      <c r="H441" s="248">
        <f t="shared" si="144"/>
        <v>50</v>
      </c>
      <c r="I441" s="135"/>
      <c r="J441" s="18" t="s">
        <v>172</v>
      </c>
      <c r="K441" s="31">
        <f t="shared" si="149"/>
        <v>13.5</v>
      </c>
      <c r="L441" s="31">
        <v>14</v>
      </c>
      <c r="M441" s="4">
        <f t="shared" si="136"/>
        <v>0.5</v>
      </c>
      <c r="N441" s="5">
        <v>0.52</v>
      </c>
      <c r="O441" s="5">
        <f t="shared" si="154"/>
        <v>0.48</v>
      </c>
      <c r="P441" s="31">
        <f t="shared" si="137"/>
        <v>0.26</v>
      </c>
      <c r="Q441" s="18">
        <f t="shared" si="150"/>
        <v>0.26</v>
      </c>
      <c r="R441" s="18">
        <v>13</v>
      </c>
      <c r="S441" s="18">
        <v>20</v>
      </c>
      <c r="T441" s="18">
        <v>0.22</v>
      </c>
      <c r="U441" s="18">
        <v>0.1</v>
      </c>
      <c r="V441" s="65">
        <f t="shared" si="145"/>
        <v>20</v>
      </c>
      <c r="W441" s="18">
        <v>4</v>
      </c>
      <c r="X441" s="18"/>
      <c r="Y441" s="18">
        <f t="shared" si="148"/>
        <v>4</v>
      </c>
      <c r="Z441" s="31">
        <f t="shared" si="147"/>
        <v>125</v>
      </c>
      <c r="AA441" s="18">
        <v>0</v>
      </c>
      <c r="AB441" s="18" t="s">
        <v>100</v>
      </c>
      <c r="AC441" s="18" t="s">
        <v>333</v>
      </c>
      <c r="AD441" s="18" t="s">
        <v>336</v>
      </c>
      <c r="AE441" s="18">
        <v>20</v>
      </c>
      <c r="AF441" s="18">
        <v>13</v>
      </c>
      <c r="AG441" s="18" t="s">
        <v>32</v>
      </c>
      <c r="AH441" s="18" t="s">
        <v>32</v>
      </c>
      <c r="AI441" s="18" t="str">
        <f>+VLOOKUP(AH441,Leyenda!$O$4:$U$10,6,FALSE)</f>
        <v>0,15-0,25</v>
      </c>
      <c r="AJ441" s="18" t="str">
        <f>+VLOOKUP(AG441,Leyenda!$O$4:$U$10,7,FALSE)</f>
        <v>No Blasting need</v>
      </c>
      <c r="AK441" s="18">
        <f>+VLOOKUP(AJ441,Leyenda!$U$4:$V$10,2,FALSE)</f>
        <v>2</v>
      </c>
      <c r="AL441" s="18"/>
      <c r="AM441" s="18" t="s">
        <v>32</v>
      </c>
      <c r="AN441" s="18" t="s">
        <v>69</v>
      </c>
      <c r="AO441" s="18" t="s">
        <v>81</v>
      </c>
      <c r="AP441" s="18" t="s">
        <v>100</v>
      </c>
      <c r="AQ441" s="18" t="s">
        <v>109</v>
      </c>
      <c r="AR441" s="18" t="s">
        <v>122</v>
      </c>
      <c r="AS441" s="18" t="s">
        <v>198</v>
      </c>
      <c r="AT441" s="18"/>
      <c r="AU441" s="18"/>
      <c r="AV441" s="18">
        <f>+VLOOKUP(AN441,Leyenda!$B$30:$E$34,3,FALSE)</f>
        <v>0</v>
      </c>
      <c r="AW441" s="18">
        <f>+VLOOKUP('2. Logging Brejo Seco'!AO441,Meteorizacion,3,FALSE)</f>
        <v>0</v>
      </c>
      <c r="AX441" s="18">
        <f>+VLOOKUP('2. Logging Brejo Seco'!AP441,Apertura,3,FALSE)</f>
        <v>0</v>
      </c>
      <c r="AY441" s="18">
        <f>+VLOOKUP('2. Logging Brejo Seco'!AQ441,Leyenda!$B$55:$D$59,3,FALSE)</f>
        <v>1</v>
      </c>
      <c r="AZ441" s="18">
        <f>+VLOOKUP('2. Logging Brejo Seco'!AR441,Relleno,3,FALSE)</f>
        <v>0</v>
      </c>
      <c r="BA441" s="18">
        <f t="shared" si="146"/>
        <v>1</v>
      </c>
      <c r="BB441" s="49">
        <f t="shared" si="151"/>
        <v>4</v>
      </c>
      <c r="BC441" s="49">
        <f>VLOOKUP(AH441,Leyenda!$B$4:$D$10,3,FALSE)</f>
        <v>1</v>
      </c>
      <c r="BD441" s="50">
        <f t="shared" si="133"/>
        <v>8</v>
      </c>
      <c r="BE441" s="49">
        <f t="shared" si="138"/>
        <v>1</v>
      </c>
      <c r="BF441" s="49">
        <f>VLOOKUP(AS441,Leyenda!$B$70:$D$75,3,FALSE)</f>
        <v>15</v>
      </c>
      <c r="BG441" s="67">
        <f t="shared" si="152"/>
        <v>11.5</v>
      </c>
      <c r="BH441" s="67">
        <f>VLOOKUP(AG441,Leyenda!$B$4:$E$10,4,FALSE)</f>
        <v>1</v>
      </c>
      <c r="BI441" s="67">
        <f t="shared" si="134"/>
        <v>10</v>
      </c>
      <c r="BJ441" s="67">
        <f t="shared" si="153"/>
        <v>4</v>
      </c>
      <c r="BK441" s="67">
        <f>+VLOOKUP('2. Logging Brejo Seco'!AP441,Leyenda!$B$47:$E$51,4,FALSE)</f>
        <v>0</v>
      </c>
      <c r="BL441" s="67">
        <f>+VLOOKUP('2. Logging Brejo Seco'!AQ441,Leyenda!$B$55:$E$59,4,FALSE)</f>
        <v>1</v>
      </c>
      <c r="BM441" s="67">
        <f>+VLOOKUP('2. Logging Brejo Seco'!AR441,Leyenda!$B$63:$E$67,3,FALSE)</f>
        <v>0</v>
      </c>
      <c r="BN441" s="67">
        <f>+VLOOKUP('2. Logging Brejo Seco'!AO441,Leyenda!$B$39:$E$43,4,FALSE)</f>
        <v>0</v>
      </c>
      <c r="BO441" s="67">
        <f>+VLOOKUP('2. Logging Brejo Seco'!AN441,Leyenda!$B$30:$E$34,4,FALSE)</f>
        <v>0</v>
      </c>
      <c r="BP441" s="67">
        <f>VLOOKUP(AS441,Leyenda!$B$71:$E$75,4,FALSE)</f>
        <v>10</v>
      </c>
      <c r="BQ441" s="67">
        <f t="shared" si="139"/>
        <v>26</v>
      </c>
      <c r="BR441" s="18">
        <f t="shared" si="140"/>
        <v>29</v>
      </c>
      <c r="BS441" s="240">
        <f t="shared" si="135"/>
        <v>0.48</v>
      </c>
      <c r="BT441" s="18"/>
    </row>
    <row r="442" spans="1:72" x14ac:dyDescent="0.25">
      <c r="A442" s="18" t="s">
        <v>6</v>
      </c>
      <c r="B442" s="18">
        <v>2024</v>
      </c>
      <c r="C442" s="18" t="s">
        <v>138</v>
      </c>
      <c r="D442" s="18" t="s">
        <v>134</v>
      </c>
      <c r="E442" s="18">
        <v>50</v>
      </c>
      <c r="F442" s="18">
        <v>50</v>
      </c>
      <c r="G442" s="18" t="s">
        <v>154</v>
      </c>
      <c r="H442" s="248">
        <f t="shared" si="144"/>
        <v>50</v>
      </c>
      <c r="I442" s="135"/>
      <c r="J442" s="18" t="s">
        <v>172</v>
      </c>
      <c r="K442" s="31">
        <f t="shared" si="149"/>
        <v>14</v>
      </c>
      <c r="L442" s="31">
        <v>14.5</v>
      </c>
      <c r="M442" s="4">
        <f t="shared" si="136"/>
        <v>0.5</v>
      </c>
      <c r="N442" s="5">
        <v>0.7</v>
      </c>
      <c r="O442" s="5">
        <f t="shared" si="154"/>
        <v>0.30000000000000004</v>
      </c>
      <c r="P442" s="31">
        <f t="shared" si="137"/>
        <v>0.35</v>
      </c>
      <c r="Q442" s="18">
        <f t="shared" si="150"/>
        <v>0.35</v>
      </c>
      <c r="R442" s="18">
        <v>350</v>
      </c>
      <c r="S442" s="18">
        <v>1</v>
      </c>
      <c r="T442" s="18">
        <v>0.31</v>
      </c>
      <c r="U442" s="18">
        <v>0.14000000000000001</v>
      </c>
      <c r="V442" s="65">
        <f t="shared" si="145"/>
        <v>28.000000000000004</v>
      </c>
      <c r="W442" s="18">
        <v>4</v>
      </c>
      <c r="X442" s="18"/>
      <c r="Y442" s="18">
        <f t="shared" si="148"/>
        <v>4</v>
      </c>
      <c r="Z442" s="31">
        <f t="shared" si="147"/>
        <v>125</v>
      </c>
      <c r="AA442" s="18">
        <v>0</v>
      </c>
      <c r="AB442" s="18" t="s">
        <v>96</v>
      </c>
      <c r="AC442" s="18" t="s">
        <v>116</v>
      </c>
      <c r="AD442" s="18" t="s">
        <v>337</v>
      </c>
      <c r="AE442" s="18">
        <v>1</v>
      </c>
      <c r="AF442" s="18">
        <v>350</v>
      </c>
      <c r="AG442" s="18" t="s">
        <v>29</v>
      </c>
      <c r="AH442" s="18" t="s">
        <v>29</v>
      </c>
      <c r="AI442" s="18" t="str">
        <f>+VLOOKUP(AH442,Leyenda!$O$4:$U$10,6,FALSE)</f>
        <v>0,25-0,35</v>
      </c>
      <c r="AJ442" s="18" t="str">
        <f>+VLOOKUP(AG442,Leyenda!$O$4:$U$10,7,FALSE)</f>
        <v>No Blasting need</v>
      </c>
      <c r="AK442" s="18">
        <f>+VLOOKUP(AJ442,Leyenda!$U$4:$V$10,2,FALSE)</f>
        <v>2</v>
      </c>
      <c r="AL442" s="18"/>
      <c r="AM442" s="18" t="s">
        <v>29</v>
      </c>
      <c r="AN442" s="18" t="s">
        <v>69</v>
      </c>
      <c r="AO442" s="18" t="s">
        <v>81</v>
      </c>
      <c r="AP442" s="18" t="s">
        <v>100</v>
      </c>
      <c r="AQ442" s="18" t="s">
        <v>109</v>
      </c>
      <c r="AR442" s="18" t="s">
        <v>122</v>
      </c>
      <c r="AS442" s="18" t="s">
        <v>198</v>
      </c>
      <c r="AT442" s="18"/>
      <c r="AU442" s="18"/>
      <c r="AV442" s="18">
        <f>+VLOOKUP(AN442,Leyenda!$B$30:$E$34,3,FALSE)</f>
        <v>0</v>
      </c>
      <c r="AW442" s="18">
        <f>+VLOOKUP('2. Logging Brejo Seco'!AO442,Meteorizacion,3,FALSE)</f>
        <v>0</v>
      </c>
      <c r="AX442" s="18">
        <f>+VLOOKUP('2. Logging Brejo Seco'!AP442,Apertura,3,FALSE)</f>
        <v>0</v>
      </c>
      <c r="AY442" s="18">
        <f>+VLOOKUP('2. Logging Brejo Seco'!AQ442,Leyenda!$B$55:$D$59,3,FALSE)</f>
        <v>1</v>
      </c>
      <c r="AZ442" s="18">
        <f>+VLOOKUP('2. Logging Brejo Seco'!AR442,Relleno,3,FALSE)</f>
        <v>0</v>
      </c>
      <c r="BA442" s="18">
        <f t="shared" si="146"/>
        <v>1</v>
      </c>
      <c r="BB442" s="49">
        <f t="shared" si="151"/>
        <v>6</v>
      </c>
      <c r="BC442" s="49">
        <f>VLOOKUP(AH442,Leyenda!$B$4:$D$10,3,FALSE)</f>
        <v>2</v>
      </c>
      <c r="BD442" s="50">
        <f t="shared" si="133"/>
        <v>8</v>
      </c>
      <c r="BE442" s="49">
        <f t="shared" si="138"/>
        <v>1</v>
      </c>
      <c r="BF442" s="49">
        <f>VLOOKUP(AS442,Leyenda!$B$70:$D$75,3,FALSE)</f>
        <v>15</v>
      </c>
      <c r="BG442" s="67">
        <f t="shared" si="152"/>
        <v>15.500000000000002</v>
      </c>
      <c r="BH442" s="67">
        <f>VLOOKUP(AG442,Leyenda!$B$4:$E$10,4,FALSE)</f>
        <v>2</v>
      </c>
      <c r="BI442" s="67">
        <f t="shared" si="134"/>
        <v>10</v>
      </c>
      <c r="BJ442" s="67">
        <f t="shared" si="153"/>
        <v>6</v>
      </c>
      <c r="BK442" s="67">
        <f>+VLOOKUP('2. Logging Brejo Seco'!AP442,Leyenda!$B$47:$E$51,4,FALSE)</f>
        <v>0</v>
      </c>
      <c r="BL442" s="67">
        <f>+VLOOKUP('2. Logging Brejo Seco'!AQ442,Leyenda!$B$55:$E$59,4,FALSE)</f>
        <v>1</v>
      </c>
      <c r="BM442" s="67">
        <f>+VLOOKUP('2. Logging Brejo Seco'!AR442,Leyenda!$B$63:$E$67,3,FALSE)</f>
        <v>0</v>
      </c>
      <c r="BN442" s="67">
        <f>+VLOOKUP('2. Logging Brejo Seco'!AO442,Leyenda!$B$39:$E$43,4,FALSE)</f>
        <v>0</v>
      </c>
      <c r="BO442" s="67">
        <f>+VLOOKUP('2. Logging Brejo Seco'!AN442,Leyenda!$B$30:$E$34,4,FALSE)</f>
        <v>0</v>
      </c>
      <c r="BP442" s="67">
        <f>VLOOKUP(AS442,Leyenda!$B$71:$E$75,4,FALSE)</f>
        <v>10</v>
      </c>
      <c r="BQ442" s="67">
        <f t="shared" si="139"/>
        <v>29</v>
      </c>
      <c r="BR442" s="18">
        <f t="shared" si="140"/>
        <v>32</v>
      </c>
      <c r="BS442" s="240">
        <f t="shared" si="135"/>
        <v>0.30000000000000004</v>
      </c>
      <c r="BT442" s="18"/>
    </row>
    <row r="443" spans="1:72" x14ac:dyDescent="0.25">
      <c r="A443" s="18" t="s">
        <v>6</v>
      </c>
      <c r="B443" s="18">
        <v>2024</v>
      </c>
      <c r="C443" s="18" t="s">
        <v>138</v>
      </c>
      <c r="D443" s="18" t="s">
        <v>134</v>
      </c>
      <c r="E443" s="18">
        <v>50</v>
      </c>
      <c r="F443" s="18">
        <v>50</v>
      </c>
      <c r="G443" s="18" t="s">
        <v>154</v>
      </c>
      <c r="H443" s="248">
        <f t="shared" si="144"/>
        <v>50</v>
      </c>
      <c r="I443" s="135"/>
      <c r="J443" s="18" t="s">
        <v>172</v>
      </c>
      <c r="K443" s="31">
        <f t="shared" si="149"/>
        <v>14.5</v>
      </c>
      <c r="L443" s="31">
        <v>15</v>
      </c>
      <c r="M443" s="4">
        <f t="shared" si="136"/>
        <v>0.5</v>
      </c>
      <c r="N443" s="5">
        <v>0.6</v>
      </c>
      <c r="O443" s="5">
        <f t="shared" si="154"/>
        <v>0.4</v>
      </c>
      <c r="P443" s="31">
        <f t="shared" si="137"/>
        <v>0.3</v>
      </c>
      <c r="Q443" s="18">
        <f t="shared" si="150"/>
        <v>0.3</v>
      </c>
      <c r="R443" s="18">
        <v>300</v>
      </c>
      <c r="S443" s="18">
        <v>1</v>
      </c>
      <c r="T443" s="18">
        <v>0.26</v>
      </c>
      <c r="U443" s="18">
        <v>0.12</v>
      </c>
      <c r="V443" s="65">
        <f t="shared" si="145"/>
        <v>24</v>
      </c>
      <c r="W443" s="18">
        <v>4</v>
      </c>
      <c r="X443" s="18"/>
      <c r="Y443" s="18">
        <f t="shared" si="148"/>
        <v>4</v>
      </c>
      <c r="Z443" s="31">
        <f t="shared" si="147"/>
        <v>125</v>
      </c>
      <c r="AA443" s="18">
        <v>0</v>
      </c>
      <c r="AB443" s="18" t="s">
        <v>96</v>
      </c>
      <c r="AC443" s="18" t="s">
        <v>116</v>
      </c>
      <c r="AD443" s="18" t="s">
        <v>337</v>
      </c>
      <c r="AE443" s="18">
        <v>1</v>
      </c>
      <c r="AF443" s="18">
        <v>300</v>
      </c>
      <c r="AG443" s="18" t="s">
        <v>27</v>
      </c>
      <c r="AH443" s="18" t="s">
        <v>27</v>
      </c>
      <c r="AI443" s="18" t="str">
        <f>+VLOOKUP(AH443,Leyenda!$O$4:$U$10,6,FALSE)</f>
        <v>0,35-0,50</v>
      </c>
      <c r="AJ443" s="18" t="str">
        <f>+VLOOKUP(AG443,Leyenda!$O$4:$U$10,7,FALSE)</f>
        <v>Easy to blast</v>
      </c>
      <c r="AK443" s="18">
        <f>+VLOOKUP(AJ443,Leyenda!$U$4:$V$10,2,FALSE)</f>
        <v>3</v>
      </c>
      <c r="AL443" s="18"/>
      <c r="AM443" s="18" t="s">
        <v>29</v>
      </c>
      <c r="AN443" s="18" t="s">
        <v>69</v>
      </c>
      <c r="AO443" s="18" t="s">
        <v>81</v>
      </c>
      <c r="AP443" s="18" t="s">
        <v>100</v>
      </c>
      <c r="AQ443" s="18" t="s">
        <v>109</v>
      </c>
      <c r="AR443" s="18" t="s">
        <v>122</v>
      </c>
      <c r="AS443" s="18" t="s">
        <v>198</v>
      </c>
      <c r="AT443" s="18"/>
      <c r="AU443" s="18"/>
      <c r="AV443" s="18">
        <f>+VLOOKUP(AN443,Leyenda!$B$30:$E$34,3,FALSE)</f>
        <v>0</v>
      </c>
      <c r="AW443" s="18">
        <f>+VLOOKUP('2. Logging Brejo Seco'!AO443,Meteorizacion,3,FALSE)</f>
        <v>0</v>
      </c>
      <c r="AX443" s="18">
        <f>+VLOOKUP('2. Logging Brejo Seco'!AP443,Apertura,3,FALSE)</f>
        <v>0</v>
      </c>
      <c r="AY443" s="18">
        <f>+VLOOKUP('2. Logging Brejo Seco'!AQ443,Leyenda!$B$55:$D$59,3,FALSE)</f>
        <v>1</v>
      </c>
      <c r="AZ443" s="18">
        <f>+VLOOKUP('2. Logging Brejo Seco'!AR443,Relleno,3,FALSE)</f>
        <v>0</v>
      </c>
      <c r="BA443" s="18">
        <f t="shared" si="146"/>
        <v>1</v>
      </c>
      <c r="BB443" s="49">
        <f t="shared" si="151"/>
        <v>5</v>
      </c>
      <c r="BC443" s="49">
        <f>VLOOKUP(AH443,Leyenda!$B$4:$D$10,3,FALSE)</f>
        <v>4</v>
      </c>
      <c r="BD443" s="50">
        <f t="shared" si="133"/>
        <v>8</v>
      </c>
      <c r="BE443" s="49">
        <f t="shared" si="138"/>
        <v>1</v>
      </c>
      <c r="BF443" s="49">
        <f>VLOOKUP(AS443,Leyenda!$B$70:$D$75,3,FALSE)</f>
        <v>15</v>
      </c>
      <c r="BG443" s="67">
        <f t="shared" si="152"/>
        <v>13.5</v>
      </c>
      <c r="BH443" s="67">
        <f>VLOOKUP(AG443,Leyenda!$B$4:$E$10,4,FALSE)</f>
        <v>4</v>
      </c>
      <c r="BI443" s="67">
        <f t="shared" si="134"/>
        <v>10</v>
      </c>
      <c r="BJ443" s="67">
        <f t="shared" si="153"/>
        <v>5</v>
      </c>
      <c r="BK443" s="67">
        <f>+VLOOKUP('2. Logging Brejo Seco'!AP443,Leyenda!$B$47:$E$51,4,FALSE)</f>
        <v>0</v>
      </c>
      <c r="BL443" s="67">
        <f>+VLOOKUP('2. Logging Brejo Seco'!AQ443,Leyenda!$B$55:$E$59,4,FALSE)</f>
        <v>1</v>
      </c>
      <c r="BM443" s="67">
        <f>+VLOOKUP('2. Logging Brejo Seco'!AR443,Leyenda!$B$63:$E$67,3,FALSE)</f>
        <v>0</v>
      </c>
      <c r="BN443" s="67">
        <f>+VLOOKUP('2. Logging Brejo Seco'!AO443,Leyenda!$B$39:$E$43,4,FALSE)</f>
        <v>0</v>
      </c>
      <c r="BO443" s="67">
        <f>+VLOOKUP('2. Logging Brejo Seco'!AN443,Leyenda!$B$30:$E$34,4,FALSE)</f>
        <v>0</v>
      </c>
      <c r="BP443" s="67">
        <f>VLOOKUP(AS443,Leyenda!$B$71:$E$75,4,FALSE)</f>
        <v>10</v>
      </c>
      <c r="BQ443" s="67">
        <f t="shared" si="139"/>
        <v>30</v>
      </c>
      <c r="BR443" s="18">
        <f t="shared" si="140"/>
        <v>33</v>
      </c>
      <c r="BS443" s="240">
        <f t="shared" si="135"/>
        <v>0.4</v>
      </c>
      <c r="BT443" s="18"/>
    </row>
    <row r="444" spans="1:72" x14ac:dyDescent="0.25">
      <c r="A444" s="18" t="s">
        <v>6</v>
      </c>
      <c r="B444" s="18">
        <v>2024</v>
      </c>
      <c r="C444" s="18" t="s">
        <v>138</v>
      </c>
      <c r="D444" s="18" t="s">
        <v>134</v>
      </c>
      <c r="E444" s="18">
        <v>50</v>
      </c>
      <c r="F444" s="18">
        <v>50</v>
      </c>
      <c r="G444" s="18" t="s">
        <v>154</v>
      </c>
      <c r="H444" s="248">
        <f t="shared" si="144"/>
        <v>50</v>
      </c>
      <c r="I444" s="135"/>
      <c r="J444" s="18" t="s">
        <v>172</v>
      </c>
      <c r="K444" s="31">
        <f t="shared" si="149"/>
        <v>15</v>
      </c>
      <c r="L444" s="31">
        <v>15.5</v>
      </c>
      <c r="M444" s="4">
        <f t="shared" si="136"/>
        <v>0.5</v>
      </c>
      <c r="N444" s="5">
        <v>0.68</v>
      </c>
      <c r="O444" s="5">
        <f t="shared" si="154"/>
        <v>0.31999999999999995</v>
      </c>
      <c r="P444" s="31">
        <f t="shared" si="137"/>
        <v>0.34</v>
      </c>
      <c r="Q444" s="18">
        <f t="shared" si="150"/>
        <v>0.34</v>
      </c>
      <c r="R444" s="18">
        <v>17</v>
      </c>
      <c r="S444" s="18">
        <v>20</v>
      </c>
      <c r="T444" s="18">
        <v>0.27</v>
      </c>
      <c r="U444" s="18">
        <v>0</v>
      </c>
      <c r="V444" s="65">
        <f t="shared" si="145"/>
        <v>0</v>
      </c>
      <c r="W444" s="18">
        <v>5</v>
      </c>
      <c r="X444" s="18"/>
      <c r="Y444" s="18">
        <f t="shared" si="148"/>
        <v>5</v>
      </c>
      <c r="Z444" s="31">
        <f t="shared" si="147"/>
        <v>100</v>
      </c>
      <c r="AA444" s="18">
        <v>0</v>
      </c>
      <c r="AB444" s="18" t="s">
        <v>100</v>
      </c>
      <c r="AC444" s="18" t="s">
        <v>333</v>
      </c>
      <c r="AD444" s="18" t="s">
        <v>336</v>
      </c>
      <c r="AE444" s="18">
        <v>20</v>
      </c>
      <c r="AF444" s="18">
        <v>17</v>
      </c>
      <c r="AG444" s="18" t="s">
        <v>32</v>
      </c>
      <c r="AH444" s="18" t="s">
        <v>32</v>
      </c>
      <c r="AI444" s="18" t="str">
        <f>+VLOOKUP(AH444,Leyenda!$O$4:$U$10,6,FALSE)</f>
        <v>0,15-0,25</v>
      </c>
      <c r="AJ444" s="18" t="str">
        <f>+VLOOKUP(AG444,Leyenda!$O$4:$U$10,7,FALSE)</f>
        <v>No Blasting need</v>
      </c>
      <c r="AK444" s="18">
        <f>+VLOOKUP(AJ444,Leyenda!$U$4:$V$10,2,FALSE)</f>
        <v>2</v>
      </c>
      <c r="AL444" s="18"/>
      <c r="AM444" s="18" t="s">
        <v>32</v>
      </c>
      <c r="AN444" s="18" t="s">
        <v>69</v>
      </c>
      <c r="AO444" s="18" t="s">
        <v>81</v>
      </c>
      <c r="AP444" s="18" t="s">
        <v>100</v>
      </c>
      <c r="AQ444" s="18" t="s">
        <v>109</v>
      </c>
      <c r="AR444" s="18" t="s">
        <v>122</v>
      </c>
      <c r="AS444" s="18" t="s">
        <v>198</v>
      </c>
      <c r="AT444" s="18"/>
      <c r="AU444" s="18"/>
      <c r="AV444" s="18">
        <f>+VLOOKUP(AN444,Leyenda!$B$30:$E$34,3,FALSE)</f>
        <v>0</v>
      </c>
      <c r="AW444" s="18">
        <f>+VLOOKUP('2. Logging Brejo Seco'!AO444,Meteorizacion,3,FALSE)</f>
        <v>0</v>
      </c>
      <c r="AX444" s="18">
        <f>+VLOOKUP('2. Logging Brejo Seco'!AP444,Apertura,3,FALSE)</f>
        <v>0</v>
      </c>
      <c r="AY444" s="18">
        <f>+VLOOKUP('2. Logging Brejo Seco'!AQ444,Leyenda!$B$55:$D$59,3,FALSE)</f>
        <v>1</v>
      </c>
      <c r="AZ444" s="18">
        <f>+VLOOKUP('2. Logging Brejo Seco'!AR444,Relleno,3,FALSE)</f>
        <v>0</v>
      </c>
      <c r="BA444" s="18">
        <f t="shared" si="146"/>
        <v>1</v>
      </c>
      <c r="BB444" s="49">
        <f t="shared" si="151"/>
        <v>0</v>
      </c>
      <c r="BC444" s="49">
        <f>VLOOKUP(AH444,Leyenda!$B$4:$D$10,3,FALSE)</f>
        <v>1</v>
      </c>
      <c r="BD444" s="50">
        <f t="shared" si="133"/>
        <v>7</v>
      </c>
      <c r="BE444" s="49">
        <f t="shared" si="138"/>
        <v>1</v>
      </c>
      <c r="BF444" s="49">
        <f>VLOOKUP(AS444,Leyenda!$B$70:$D$75,3,FALSE)</f>
        <v>15</v>
      </c>
      <c r="BG444" s="67">
        <f t="shared" si="152"/>
        <v>1.5</v>
      </c>
      <c r="BH444" s="67">
        <f>VLOOKUP(AG444,Leyenda!$B$4:$E$10,4,FALSE)</f>
        <v>1</v>
      </c>
      <c r="BI444" s="67">
        <f t="shared" si="134"/>
        <v>8</v>
      </c>
      <c r="BJ444" s="67">
        <f t="shared" si="153"/>
        <v>0</v>
      </c>
      <c r="BK444" s="67">
        <f>+VLOOKUP('2. Logging Brejo Seco'!AP444,Leyenda!$B$47:$E$51,4,FALSE)</f>
        <v>0</v>
      </c>
      <c r="BL444" s="67">
        <f>+VLOOKUP('2. Logging Brejo Seco'!AQ444,Leyenda!$B$55:$E$59,4,FALSE)</f>
        <v>1</v>
      </c>
      <c r="BM444" s="67">
        <f>+VLOOKUP('2. Logging Brejo Seco'!AR444,Leyenda!$B$63:$E$67,3,FALSE)</f>
        <v>0</v>
      </c>
      <c r="BN444" s="67">
        <f>+VLOOKUP('2. Logging Brejo Seco'!AO444,Leyenda!$B$39:$E$43,4,FALSE)</f>
        <v>0</v>
      </c>
      <c r="BO444" s="67">
        <f>+VLOOKUP('2. Logging Brejo Seco'!AN444,Leyenda!$B$30:$E$34,4,FALSE)</f>
        <v>0</v>
      </c>
      <c r="BP444" s="67">
        <f>VLOOKUP(AS444,Leyenda!$B$71:$E$75,4,FALSE)</f>
        <v>10</v>
      </c>
      <c r="BQ444" s="67">
        <f t="shared" si="139"/>
        <v>20</v>
      </c>
      <c r="BR444" s="18">
        <f t="shared" si="140"/>
        <v>24</v>
      </c>
      <c r="BS444" s="240">
        <f t="shared" si="135"/>
        <v>0.31999999999999995</v>
      </c>
      <c r="BT444" s="18"/>
    </row>
    <row r="445" spans="1:72" x14ac:dyDescent="0.25">
      <c r="A445" s="18" t="s">
        <v>6</v>
      </c>
      <c r="B445" s="18">
        <v>2024</v>
      </c>
      <c r="C445" s="18" t="s">
        <v>138</v>
      </c>
      <c r="D445" s="18" t="s">
        <v>134</v>
      </c>
      <c r="E445" s="18">
        <v>50</v>
      </c>
      <c r="F445" s="18">
        <v>50</v>
      </c>
      <c r="G445" s="18" t="s">
        <v>154</v>
      </c>
      <c r="H445" s="248">
        <f t="shared" si="144"/>
        <v>50</v>
      </c>
      <c r="I445" s="135"/>
      <c r="J445" s="18" t="s">
        <v>172</v>
      </c>
      <c r="K445" s="31">
        <f t="shared" si="149"/>
        <v>15.5</v>
      </c>
      <c r="L445" s="31">
        <v>16</v>
      </c>
      <c r="M445" s="4">
        <f t="shared" si="136"/>
        <v>0.5</v>
      </c>
      <c r="N445" s="5">
        <v>0.7</v>
      </c>
      <c r="O445" s="5">
        <f t="shared" si="154"/>
        <v>0.30000000000000004</v>
      </c>
      <c r="P445" s="31">
        <f t="shared" si="137"/>
        <v>0.35</v>
      </c>
      <c r="Q445" s="18">
        <f t="shared" si="150"/>
        <v>0.35</v>
      </c>
      <c r="R445" s="18">
        <v>17.5</v>
      </c>
      <c r="S445" s="18">
        <v>20</v>
      </c>
      <c r="T445" s="18">
        <v>0.33</v>
      </c>
      <c r="U445" s="18">
        <v>0</v>
      </c>
      <c r="V445" s="65">
        <f t="shared" si="145"/>
        <v>0</v>
      </c>
      <c r="W445" s="18">
        <v>4</v>
      </c>
      <c r="X445" s="18"/>
      <c r="Y445" s="18">
        <f t="shared" si="148"/>
        <v>4</v>
      </c>
      <c r="Z445" s="31">
        <f t="shared" si="147"/>
        <v>125</v>
      </c>
      <c r="AA445" s="18">
        <v>0</v>
      </c>
      <c r="AB445" s="18" t="s">
        <v>100</v>
      </c>
      <c r="AC445" s="18" t="s">
        <v>333</v>
      </c>
      <c r="AD445" s="18" t="s">
        <v>336</v>
      </c>
      <c r="AE445" s="18">
        <v>20</v>
      </c>
      <c r="AF445" s="18">
        <v>17.5</v>
      </c>
      <c r="AG445" s="18" t="s">
        <v>32</v>
      </c>
      <c r="AH445" s="18" t="s">
        <v>32</v>
      </c>
      <c r="AI445" s="18" t="str">
        <f>+VLOOKUP(AH445,Leyenda!$O$4:$U$10,6,FALSE)</f>
        <v>0,15-0,25</v>
      </c>
      <c r="AJ445" s="18" t="str">
        <f>+VLOOKUP(AG445,Leyenda!$O$4:$U$10,7,FALSE)</f>
        <v>No Blasting need</v>
      </c>
      <c r="AK445" s="18">
        <f>+VLOOKUP(AJ445,Leyenda!$U$4:$V$10,2,FALSE)</f>
        <v>2</v>
      </c>
      <c r="AL445" s="18"/>
      <c r="AM445" s="18" t="s">
        <v>32</v>
      </c>
      <c r="AN445" s="18" t="s">
        <v>69</v>
      </c>
      <c r="AO445" s="18" t="s">
        <v>81</v>
      </c>
      <c r="AP445" s="18" t="s">
        <v>100</v>
      </c>
      <c r="AQ445" s="18" t="s">
        <v>109</v>
      </c>
      <c r="AR445" s="18" t="s">
        <v>122</v>
      </c>
      <c r="AS445" s="18" t="s">
        <v>198</v>
      </c>
      <c r="AT445" s="18"/>
      <c r="AU445" s="18"/>
      <c r="AV445" s="18">
        <f>+VLOOKUP(AN445,Leyenda!$B$30:$E$34,3,FALSE)</f>
        <v>0</v>
      </c>
      <c r="AW445" s="18">
        <f>+VLOOKUP('2. Logging Brejo Seco'!AO445,Meteorizacion,3,FALSE)</f>
        <v>0</v>
      </c>
      <c r="AX445" s="18">
        <f>+VLOOKUP('2. Logging Brejo Seco'!AP445,Apertura,3,FALSE)</f>
        <v>0</v>
      </c>
      <c r="AY445" s="18">
        <f>+VLOOKUP('2. Logging Brejo Seco'!AQ445,Leyenda!$B$55:$D$59,3,FALSE)</f>
        <v>1</v>
      </c>
      <c r="AZ445" s="18">
        <f>+VLOOKUP('2. Logging Brejo Seco'!AR445,Relleno,3,FALSE)</f>
        <v>0</v>
      </c>
      <c r="BA445" s="18">
        <f t="shared" si="146"/>
        <v>1</v>
      </c>
      <c r="BB445" s="49">
        <f t="shared" si="151"/>
        <v>0</v>
      </c>
      <c r="BC445" s="49">
        <f>VLOOKUP(AH445,Leyenda!$B$4:$D$10,3,FALSE)</f>
        <v>1</v>
      </c>
      <c r="BD445" s="50">
        <f t="shared" si="133"/>
        <v>8</v>
      </c>
      <c r="BE445" s="49">
        <f t="shared" si="138"/>
        <v>1</v>
      </c>
      <c r="BF445" s="49">
        <f>VLOOKUP(AS445,Leyenda!$B$70:$D$75,3,FALSE)</f>
        <v>15</v>
      </c>
      <c r="BG445" s="67">
        <f t="shared" si="152"/>
        <v>1.5</v>
      </c>
      <c r="BH445" s="67">
        <f>VLOOKUP(AG445,Leyenda!$B$4:$E$10,4,FALSE)</f>
        <v>1</v>
      </c>
      <c r="BI445" s="67">
        <f t="shared" si="134"/>
        <v>10</v>
      </c>
      <c r="BJ445" s="67">
        <f t="shared" si="153"/>
        <v>0</v>
      </c>
      <c r="BK445" s="67">
        <f>+VLOOKUP('2. Logging Brejo Seco'!AP445,Leyenda!$B$47:$E$51,4,FALSE)</f>
        <v>0</v>
      </c>
      <c r="BL445" s="67">
        <f>+VLOOKUP('2. Logging Brejo Seco'!AQ445,Leyenda!$B$55:$E$59,4,FALSE)</f>
        <v>1</v>
      </c>
      <c r="BM445" s="67">
        <f>+VLOOKUP('2. Logging Brejo Seco'!AR445,Leyenda!$B$63:$E$67,3,FALSE)</f>
        <v>0</v>
      </c>
      <c r="BN445" s="67">
        <f>+VLOOKUP('2. Logging Brejo Seco'!AO445,Leyenda!$B$39:$E$43,4,FALSE)</f>
        <v>0</v>
      </c>
      <c r="BO445" s="67">
        <f>+VLOOKUP('2. Logging Brejo Seco'!AN445,Leyenda!$B$30:$E$34,4,FALSE)</f>
        <v>0</v>
      </c>
      <c r="BP445" s="67">
        <f>VLOOKUP(AS445,Leyenda!$B$71:$E$75,4,FALSE)</f>
        <v>10</v>
      </c>
      <c r="BQ445" s="67">
        <f t="shared" si="139"/>
        <v>22</v>
      </c>
      <c r="BR445" s="18">
        <f t="shared" si="140"/>
        <v>25</v>
      </c>
      <c r="BS445" s="240">
        <f t="shared" si="135"/>
        <v>0.30000000000000004</v>
      </c>
      <c r="BT445" s="18"/>
    </row>
    <row r="446" spans="1:72" x14ac:dyDescent="0.25">
      <c r="A446" s="18" t="s">
        <v>6</v>
      </c>
      <c r="B446" s="18">
        <v>2024</v>
      </c>
      <c r="C446" s="18" t="s">
        <v>138</v>
      </c>
      <c r="D446" s="18" t="s">
        <v>134</v>
      </c>
      <c r="E446" s="18">
        <v>50</v>
      </c>
      <c r="F446" s="18">
        <v>50</v>
      </c>
      <c r="G446" s="18" t="s">
        <v>154</v>
      </c>
      <c r="H446" s="248">
        <f t="shared" si="144"/>
        <v>50</v>
      </c>
      <c r="I446" s="135"/>
      <c r="J446" s="18" t="s">
        <v>172</v>
      </c>
      <c r="K446" s="31">
        <f t="shared" si="149"/>
        <v>16</v>
      </c>
      <c r="L446" s="31">
        <v>16.5</v>
      </c>
      <c r="M446" s="4">
        <f t="shared" si="136"/>
        <v>0.5</v>
      </c>
      <c r="N446" s="5">
        <v>0.62</v>
      </c>
      <c r="O446" s="5">
        <f t="shared" si="154"/>
        <v>0.38</v>
      </c>
      <c r="P446" s="31">
        <f t="shared" si="137"/>
        <v>0.31</v>
      </c>
      <c r="Q446" s="18">
        <f t="shared" si="150"/>
        <v>0.31</v>
      </c>
      <c r="R446" s="18">
        <v>15.5</v>
      </c>
      <c r="S446" s="18">
        <v>20</v>
      </c>
      <c r="T446" s="18">
        <v>0.28000000000000003</v>
      </c>
      <c r="U446" s="18">
        <v>0</v>
      </c>
      <c r="V446" s="65">
        <f t="shared" si="145"/>
        <v>0</v>
      </c>
      <c r="W446" s="18">
        <v>5</v>
      </c>
      <c r="X446" s="18"/>
      <c r="Y446" s="18">
        <f t="shared" si="148"/>
        <v>5</v>
      </c>
      <c r="Z446" s="31">
        <f t="shared" si="147"/>
        <v>100</v>
      </c>
      <c r="AA446" s="18">
        <v>0</v>
      </c>
      <c r="AB446" s="18" t="s">
        <v>100</v>
      </c>
      <c r="AC446" s="18" t="s">
        <v>333</v>
      </c>
      <c r="AD446" s="18" t="s">
        <v>336</v>
      </c>
      <c r="AE446" s="18">
        <v>20</v>
      </c>
      <c r="AF446" s="18">
        <v>15.5</v>
      </c>
      <c r="AG446" s="18" t="s">
        <v>32</v>
      </c>
      <c r="AH446" s="18" t="s">
        <v>32</v>
      </c>
      <c r="AI446" s="18" t="str">
        <f>+VLOOKUP(AH446,Leyenda!$O$4:$U$10,6,FALSE)</f>
        <v>0,15-0,25</v>
      </c>
      <c r="AJ446" s="18" t="str">
        <f>+VLOOKUP(AG446,Leyenda!$O$4:$U$10,7,FALSE)</f>
        <v>No Blasting need</v>
      </c>
      <c r="AK446" s="18">
        <f>+VLOOKUP(AJ446,Leyenda!$U$4:$V$10,2,FALSE)</f>
        <v>2</v>
      </c>
      <c r="AL446" s="18"/>
      <c r="AM446" s="18" t="s">
        <v>32</v>
      </c>
      <c r="AN446" s="18" t="s">
        <v>69</v>
      </c>
      <c r="AO446" s="18" t="s">
        <v>81</v>
      </c>
      <c r="AP446" s="18" t="s">
        <v>100</v>
      </c>
      <c r="AQ446" s="18" t="s">
        <v>109</v>
      </c>
      <c r="AR446" s="18" t="s">
        <v>122</v>
      </c>
      <c r="AS446" s="18" t="s">
        <v>198</v>
      </c>
      <c r="AT446" s="18"/>
      <c r="AU446" s="18"/>
      <c r="AV446" s="18">
        <f>+VLOOKUP(AN446,Leyenda!$B$30:$E$34,3,FALSE)</f>
        <v>0</v>
      </c>
      <c r="AW446" s="18">
        <f>+VLOOKUP('2. Logging Brejo Seco'!AO446,Meteorizacion,3,FALSE)</f>
        <v>0</v>
      </c>
      <c r="AX446" s="18">
        <f>+VLOOKUP('2. Logging Brejo Seco'!AP446,Apertura,3,FALSE)</f>
        <v>0</v>
      </c>
      <c r="AY446" s="18">
        <f>+VLOOKUP('2. Logging Brejo Seco'!AQ446,Leyenda!$B$55:$D$59,3,FALSE)</f>
        <v>1</v>
      </c>
      <c r="AZ446" s="18">
        <f>+VLOOKUP('2. Logging Brejo Seco'!AR446,Relleno,3,FALSE)</f>
        <v>0</v>
      </c>
      <c r="BA446" s="18">
        <f t="shared" si="146"/>
        <v>1</v>
      </c>
      <c r="BB446" s="49">
        <f t="shared" si="151"/>
        <v>0</v>
      </c>
      <c r="BC446" s="49">
        <f>VLOOKUP(AH446,Leyenda!$B$4:$D$10,3,FALSE)</f>
        <v>1</v>
      </c>
      <c r="BD446" s="50">
        <f t="shared" si="133"/>
        <v>7</v>
      </c>
      <c r="BE446" s="49">
        <f t="shared" si="138"/>
        <v>1</v>
      </c>
      <c r="BF446" s="49">
        <f>VLOOKUP(AS446,Leyenda!$B$70:$D$75,3,FALSE)</f>
        <v>15</v>
      </c>
      <c r="BG446" s="67">
        <f t="shared" si="152"/>
        <v>1.5</v>
      </c>
      <c r="BH446" s="67">
        <f>VLOOKUP(AG446,Leyenda!$B$4:$E$10,4,FALSE)</f>
        <v>1</v>
      </c>
      <c r="BI446" s="67">
        <f t="shared" si="134"/>
        <v>8</v>
      </c>
      <c r="BJ446" s="67">
        <f t="shared" si="153"/>
        <v>0</v>
      </c>
      <c r="BK446" s="67">
        <f>+VLOOKUP('2. Logging Brejo Seco'!AP446,Leyenda!$B$47:$E$51,4,FALSE)</f>
        <v>0</v>
      </c>
      <c r="BL446" s="67">
        <f>+VLOOKUP('2. Logging Brejo Seco'!AQ446,Leyenda!$B$55:$E$59,4,FALSE)</f>
        <v>1</v>
      </c>
      <c r="BM446" s="67">
        <f>+VLOOKUP('2. Logging Brejo Seco'!AR446,Leyenda!$B$63:$E$67,3,FALSE)</f>
        <v>0</v>
      </c>
      <c r="BN446" s="67">
        <f>+VLOOKUP('2. Logging Brejo Seco'!AO446,Leyenda!$B$39:$E$43,4,FALSE)</f>
        <v>0</v>
      </c>
      <c r="BO446" s="67">
        <f>+VLOOKUP('2. Logging Brejo Seco'!AN446,Leyenda!$B$30:$E$34,4,FALSE)</f>
        <v>0</v>
      </c>
      <c r="BP446" s="67">
        <f>VLOOKUP(AS446,Leyenda!$B$71:$E$75,4,FALSE)</f>
        <v>10</v>
      </c>
      <c r="BQ446" s="67">
        <f t="shared" si="139"/>
        <v>20</v>
      </c>
      <c r="BR446" s="18">
        <f t="shared" si="140"/>
        <v>24</v>
      </c>
      <c r="BS446" s="240">
        <f t="shared" si="135"/>
        <v>0.38</v>
      </c>
      <c r="BT446" s="18"/>
    </row>
    <row r="447" spans="1:72" x14ac:dyDescent="0.25">
      <c r="A447" s="18" t="s">
        <v>6</v>
      </c>
      <c r="B447" s="18">
        <v>2024</v>
      </c>
      <c r="C447" s="18" t="s">
        <v>138</v>
      </c>
      <c r="D447" s="18" t="s">
        <v>134</v>
      </c>
      <c r="E447" s="18">
        <v>50</v>
      </c>
      <c r="F447" s="18">
        <v>50</v>
      </c>
      <c r="G447" s="18" t="s">
        <v>154</v>
      </c>
      <c r="H447" s="248">
        <f t="shared" si="144"/>
        <v>50</v>
      </c>
      <c r="I447" s="135"/>
      <c r="J447" s="18" t="s">
        <v>172</v>
      </c>
      <c r="K447" s="31">
        <f t="shared" si="149"/>
        <v>16.5</v>
      </c>
      <c r="L447" s="31">
        <v>17</v>
      </c>
      <c r="M447" s="4">
        <f t="shared" si="136"/>
        <v>0.5</v>
      </c>
      <c r="N447" s="5">
        <v>0.6</v>
      </c>
      <c r="O447" s="5">
        <f t="shared" si="154"/>
        <v>0.4</v>
      </c>
      <c r="P447" s="31">
        <f t="shared" si="137"/>
        <v>0.3</v>
      </c>
      <c r="Q447" s="18">
        <f t="shared" si="150"/>
        <v>0.3</v>
      </c>
      <c r="R447" s="18">
        <v>15</v>
      </c>
      <c r="S447" s="18">
        <v>20</v>
      </c>
      <c r="T447" s="18">
        <f>0.11+0.14</f>
        <v>0.25</v>
      </c>
      <c r="U447" s="18">
        <v>0.14000000000000001</v>
      </c>
      <c r="V447" s="65">
        <f t="shared" si="145"/>
        <v>28.000000000000004</v>
      </c>
      <c r="W447" s="18">
        <v>4</v>
      </c>
      <c r="X447" s="18"/>
      <c r="Y447" s="18">
        <f t="shared" si="148"/>
        <v>4</v>
      </c>
      <c r="Z447" s="31">
        <f t="shared" si="147"/>
        <v>125</v>
      </c>
      <c r="AA447" s="18">
        <v>0</v>
      </c>
      <c r="AB447" s="18" t="s">
        <v>100</v>
      </c>
      <c r="AC447" s="18" t="s">
        <v>333</v>
      </c>
      <c r="AD447" s="18" t="s">
        <v>336</v>
      </c>
      <c r="AE447" s="18">
        <v>20</v>
      </c>
      <c r="AF447" s="18">
        <v>15</v>
      </c>
      <c r="AG447" s="18" t="s">
        <v>32</v>
      </c>
      <c r="AH447" s="18" t="s">
        <v>32</v>
      </c>
      <c r="AI447" s="18" t="str">
        <f>+VLOOKUP(AH447,Leyenda!$O$4:$U$10,6,FALSE)</f>
        <v>0,15-0,25</v>
      </c>
      <c r="AJ447" s="18" t="str">
        <f>+VLOOKUP(AG447,Leyenda!$O$4:$U$10,7,FALSE)</f>
        <v>No Blasting need</v>
      </c>
      <c r="AK447" s="18">
        <f>+VLOOKUP(AJ447,Leyenda!$U$4:$V$10,2,FALSE)</f>
        <v>2</v>
      </c>
      <c r="AL447" s="18"/>
      <c r="AM447" s="18" t="s">
        <v>32</v>
      </c>
      <c r="AN447" s="18" t="s">
        <v>69</v>
      </c>
      <c r="AO447" s="18" t="s">
        <v>81</v>
      </c>
      <c r="AP447" s="18" t="s">
        <v>100</v>
      </c>
      <c r="AQ447" s="18" t="s">
        <v>109</v>
      </c>
      <c r="AR447" s="18" t="s">
        <v>122</v>
      </c>
      <c r="AS447" s="18" t="s">
        <v>198</v>
      </c>
      <c r="AT447" s="18"/>
      <c r="AU447" s="18"/>
      <c r="AV447" s="18">
        <f>+VLOOKUP(AN447,Leyenda!$B$30:$E$34,3,FALSE)</f>
        <v>0</v>
      </c>
      <c r="AW447" s="18">
        <f>+VLOOKUP('2. Logging Brejo Seco'!AO447,Meteorizacion,3,FALSE)</f>
        <v>0</v>
      </c>
      <c r="AX447" s="18">
        <f>+VLOOKUP('2. Logging Brejo Seco'!AP447,Apertura,3,FALSE)</f>
        <v>0</v>
      </c>
      <c r="AY447" s="18">
        <f>+VLOOKUP('2. Logging Brejo Seco'!AQ447,Leyenda!$B$55:$D$59,3,FALSE)</f>
        <v>1</v>
      </c>
      <c r="AZ447" s="18">
        <f>+VLOOKUP('2. Logging Brejo Seco'!AR447,Relleno,3,FALSE)</f>
        <v>0</v>
      </c>
      <c r="BA447" s="18">
        <f t="shared" si="146"/>
        <v>1</v>
      </c>
      <c r="BB447" s="49">
        <f t="shared" si="151"/>
        <v>6</v>
      </c>
      <c r="BC447" s="49">
        <f>VLOOKUP(AH447,Leyenda!$B$4:$D$10,3,FALSE)</f>
        <v>1</v>
      </c>
      <c r="BD447" s="50">
        <f t="shared" si="133"/>
        <v>8</v>
      </c>
      <c r="BE447" s="49">
        <f t="shared" si="138"/>
        <v>1</v>
      </c>
      <c r="BF447" s="49">
        <f>VLOOKUP(AS447,Leyenda!$B$70:$D$75,3,FALSE)</f>
        <v>15</v>
      </c>
      <c r="BG447" s="67">
        <f t="shared" si="152"/>
        <v>15.500000000000002</v>
      </c>
      <c r="BH447" s="67">
        <f>VLOOKUP(AG447,Leyenda!$B$4:$E$10,4,FALSE)</f>
        <v>1</v>
      </c>
      <c r="BI447" s="67">
        <f t="shared" si="134"/>
        <v>10</v>
      </c>
      <c r="BJ447" s="67">
        <f t="shared" si="153"/>
        <v>6</v>
      </c>
      <c r="BK447" s="67">
        <f>+VLOOKUP('2. Logging Brejo Seco'!AP447,Leyenda!$B$47:$E$51,4,FALSE)</f>
        <v>0</v>
      </c>
      <c r="BL447" s="67">
        <f>+VLOOKUP('2. Logging Brejo Seco'!AQ447,Leyenda!$B$55:$E$59,4,FALSE)</f>
        <v>1</v>
      </c>
      <c r="BM447" s="67">
        <f>+VLOOKUP('2. Logging Brejo Seco'!AR447,Leyenda!$B$63:$E$67,3,FALSE)</f>
        <v>0</v>
      </c>
      <c r="BN447" s="67">
        <f>+VLOOKUP('2. Logging Brejo Seco'!AO447,Leyenda!$B$39:$E$43,4,FALSE)</f>
        <v>0</v>
      </c>
      <c r="BO447" s="67">
        <f>+VLOOKUP('2. Logging Brejo Seco'!AN447,Leyenda!$B$30:$E$34,4,FALSE)</f>
        <v>0</v>
      </c>
      <c r="BP447" s="67">
        <f>VLOOKUP(AS447,Leyenda!$B$71:$E$75,4,FALSE)</f>
        <v>10</v>
      </c>
      <c r="BQ447" s="67">
        <f t="shared" si="139"/>
        <v>28</v>
      </c>
      <c r="BR447" s="18">
        <f t="shared" si="140"/>
        <v>31</v>
      </c>
      <c r="BS447" s="240">
        <f t="shared" si="135"/>
        <v>0.4</v>
      </c>
      <c r="BT447" s="18"/>
    </row>
    <row r="448" spans="1:72" x14ac:dyDescent="0.25">
      <c r="A448" s="18" t="s">
        <v>6</v>
      </c>
      <c r="B448" s="18">
        <v>2024</v>
      </c>
      <c r="C448" s="18" t="s">
        <v>138</v>
      </c>
      <c r="D448" s="18" t="s">
        <v>134</v>
      </c>
      <c r="E448" s="18">
        <v>50</v>
      </c>
      <c r="F448" s="18">
        <v>50</v>
      </c>
      <c r="G448" s="18" t="s">
        <v>154</v>
      </c>
      <c r="H448" s="248">
        <f t="shared" si="144"/>
        <v>50</v>
      </c>
      <c r="I448" s="135"/>
      <c r="J448" s="18" t="s">
        <v>172</v>
      </c>
      <c r="K448" s="31">
        <f t="shared" si="149"/>
        <v>17</v>
      </c>
      <c r="L448" s="31">
        <v>17.5</v>
      </c>
      <c r="M448" s="4">
        <f t="shared" si="136"/>
        <v>0.5</v>
      </c>
      <c r="N448" s="5">
        <v>0.7</v>
      </c>
      <c r="O448" s="5">
        <f t="shared" si="154"/>
        <v>0.30000000000000004</v>
      </c>
      <c r="P448" s="31">
        <f t="shared" si="137"/>
        <v>0.35</v>
      </c>
      <c r="Q448" s="18">
        <f t="shared" si="150"/>
        <v>0.35</v>
      </c>
      <c r="R448" s="18">
        <v>17.5</v>
      </c>
      <c r="S448" s="18">
        <v>20</v>
      </c>
      <c r="T448" s="18">
        <v>0.34</v>
      </c>
      <c r="U448" s="18">
        <v>0.17</v>
      </c>
      <c r="V448" s="65">
        <f t="shared" si="145"/>
        <v>34</v>
      </c>
      <c r="W448" s="18">
        <v>4</v>
      </c>
      <c r="X448" s="18"/>
      <c r="Y448" s="18">
        <f t="shared" si="148"/>
        <v>4</v>
      </c>
      <c r="Z448" s="31">
        <f t="shared" si="147"/>
        <v>125</v>
      </c>
      <c r="AA448" s="18">
        <v>0</v>
      </c>
      <c r="AB448" s="18" t="s">
        <v>96</v>
      </c>
      <c r="AC448" s="18" t="s">
        <v>333</v>
      </c>
      <c r="AD448" s="18" t="s">
        <v>336</v>
      </c>
      <c r="AE448" s="18">
        <v>20</v>
      </c>
      <c r="AF448" s="18">
        <v>17.5</v>
      </c>
      <c r="AG448" s="18" t="s">
        <v>32</v>
      </c>
      <c r="AH448" s="18" t="s">
        <v>32</v>
      </c>
      <c r="AI448" s="18" t="str">
        <f>+VLOOKUP(AH448,Leyenda!$O$4:$U$10,6,FALSE)</f>
        <v>0,15-0,25</v>
      </c>
      <c r="AJ448" s="18" t="str">
        <f>+VLOOKUP(AG448,Leyenda!$O$4:$U$10,7,FALSE)</f>
        <v>No Blasting need</v>
      </c>
      <c r="AK448" s="18">
        <f>+VLOOKUP(AJ448,Leyenda!$U$4:$V$10,2,FALSE)</f>
        <v>2</v>
      </c>
      <c r="AL448" s="18"/>
      <c r="AM448" s="18" t="s">
        <v>32</v>
      </c>
      <c r="AN448" s="18" t="s">
        <v>69</v>
      </c>
      <c r="AO448" s="18" t="s">
        <v>81</v>
      </c>
      <c r="AP448" s="18" t="s">
        <v>100</v>
      </c>
      <c r="AQ448" s="18" t="s">
        <v>109</v>
      </c>
      <c r="AR448" s="18" t="s">
        <v>122</v>
      </c>
      <c r="AS448" s="18" t="s">
        <v>198</v>
      </c>
      <c r="AT448" s="18"/>
      <c r="AU448" s="18"/>
      <c r="AV448" s="18">
        <f>+VLOOKUP(AN448,Leyenda!$B$30:$E$34,3,FALSE)</f>
        <v>0</v>
      </c>
      <c r="AW448" s="18">
        <f>+VLOOKUP('2. Logging Brejo Seco'!AO448,Meteorizacion,3,FALSE)</f>
        <v>0</v>
      </c>
      <c r="AX448" s="18">
        <f>+VLOOKUP('2. Logging Brejo Seco'!AP448,Apertura,3,FALSE)</f>
        <v>0</v>
      </c>
      <c r="AY448" s="18">
        <f>+VLOOKUP('2. Logging Brejo Seco'!AQ448,Leyenda!$B$55:$D$59,3,FALSE)</f>
        <v>1</v>
      </c>
      <c r="AZ448" s="18">
        <f>+VLOOKUP('2. Logging Brejo Seco'!AR448,Relleno,3,FALSE)</f>
        <v>0</v>
      </c>
      <c r="BA448" s="18">
        <f t="shared" si="146"/>
        <v>1</v>
      </c>
      <c r="BB448" s="49">
        <f t="shared" si="151"/>
        <v>7</v>
      </c>
      <c r="BC448" s="49">
        <f>VLOOKUP(AH448,Leyenda!$B$4:$D$10,3,FALSE)</f>
        <v>1</v>
      </c>
      <c r="BD448" s="50">
        <f t="shared" si="133"/>
        <v>8</v>
      </c>
      <c r="BE448" s="49">
        <f t="shared" si="138"/>
        <v>1</v>
      </c>
      <c r="BF448" s="49">
        <f>VLOOKUP(AS448,Leyenda!$B$70:$D$75,3,FALSE)</f>
        <v>15</v>
      </c>
      <c r="BG448" s="67">
        <f t="shared" si="152"/>
        <v>18.5</v>
      </c>
      <c r="BH448" s="67">
        <f>VLOOKUP(AG448,Leyenda!$B$4:$E$10,4,FALSE)</f>
        <v>1</v>
      </c>
      <c r="BI448" s="67">
        <f t="shared" si="134"/>
        <v>10</v>
      </c>
      <c r="BJ448" s="67">
        <f t="shared" si="153"/>
        <v>7</v>
      </c>
      <c r="BK448" s="67">
        <f>+VLOOKUP('2. Logging Brejo Seco'!AP448,Leyenda!$B$47:$E$51,4,FALSE)</f>
        <v>0</v>
      </c>
      <c r="BL448" s="67">
        <f>+VLOOKUP('2. Logging Brejo Seco'!AQ448,Leyenda!$B$55:$E$59,4,FALSE)</f>
        <v>1</v>
      </c>
      <c r="BM448" s="67">
        <f>+VLOOKUP('2. Logging Brejo Seco'!AR448,Leyenda!$B$63:$E$67,3,FALSE)</f>
        <v>0</v>
      </c>
      <c r="BN448" s="67">
        <f>+VLOOKUP('2. Logging Brejo Seco'!AO448,Leyenda!$B$39:$E$43,4,FALSE)</f>
        <v>0</v>
      </c>
      <c r="BO448" s="67">
        <f>+VLOOKUP('2. Logging Brejo Seco'!AN448,Leyenda!$B$30:$E$34,4,FALSE)</f>
        <v>0</v>
      </c>
      <c r="BP448" s="67">
        <f>VLOOKUP(AS448,Leyenda!$B$71:$E$75,4,FALSE)</f>
        <v>10</v>
      </c>
      <c r="BQ448" s="67">
        <f t="shared" si="139"/>
        <v>29</v>
      </c>
      <c r="BR448" s="18">
        <f t="shared" si="140"/>
        <v>32</v>
      </c>
      <c r="BS448" s="240">
        <f t="shared" si="135"/>
        <v>0.30000000000000004</v>
      </c>
      <c r="BT448" s="18"/>
    </row>
    <row r="449" spans="1:72" x14ac:dyDescent="0.25">
      <c r="A449" s="18" t="s">
        <v>6</v>
      </c>
      <c r="B449" s="18">
        <v>2024</v>
      </c>
      <c r="C449" s="18" t="s">
        <v>138</v>
      </c>
      <c r="D449" s="18" t="s">
        <v>134</v>
      </c>
      <c r="E449" s="18">
        <v>50</v>
      </c>
      <c r="F449" s="18">
        <v>50</v>
      </c>
      <c r="G449" s="18" t="s">
        <v>154</v>
      </c>
      <c r="H449" s="248">
        <f t="shared" si="144"/>
        <v>50</v>
      </c>
      <c r="I449" s="135"/>
      <c r="J449" s="18" t="s">
        <v>173</v>
      </c>
      <c r="K449" s="31">
        <f t="shared" si="149"/>
        <v>17.5</v>
      </c>
      <c r="L449" s="31">
        <v>18</v>
      </c>
      <c r="M449" s="4">
        <f t="shared" si="136"/>
        <v>0.5</v>
      </c>
      <c r="N449" s="5">
        <v>0.84</v>
      </c>
      <c r="O449" s="5">
        <f t="shared" si="154"/>
        <v>0.16000000000000003</v>
      </c>
      <c r="P449" s="31">
        <f t="shared" si="137"/>
        <v>0.42</v>
      </c>
      <c r="Q449" s="18">
        <f t="shared" si="150"/>
        <v>0.42</v>
      </c>
      <c r="R449" s="18">
        <v>21</v>
      </c>
      <c r="S449" s="18">
        <v>20</v>
      </c>
      <c r="T449" s="18">
        <v>0.41</v>
      </c>
      <c r="U449" s="18">
        <v>0</v>
      </c>
      <c r="V449" s="65">
        <f t="shared" si="145"/>
        <v>0</v>
      </c>
      <c r="W449" s="18">
        <v>7</v>
      </c>
      <c r="X449" s="18"/>
      <c r="Y449" s="18">
        <f t="shared" si="148"/>
        <v>7</v>
      </c>
      <c r="Z449" s="31">
        <f t="shared" si="147"/>
        <v>71.428571428571431</v>
      </c>
      <c r="AA449" s="18">
        <v>0</v>
      </c>
      <c r="AB449" s="18" t="s">
        <v>330</v>
      </c>
      <c r="AC449" s="18" t="s">
        <v>333</v>
      </c>
      <c r="AD449" s="18" t="s">
        <v>335</v>
      </c>
      <c r="AE449" s="18">
        <v>20</v>
      </c>
      <c r="AF449" s="18">
        <v>21</v>
      </c>
      <c r="AG449" s="18" t="s">
        <v>34</v>
      </c>
      <c r="AH449" s="18" t="s">
        <v>34</v>
      </c>
      <c r="AI449" s="18">
        <f>+VLOOKUP(AH449,Leyenda!$O$4:$U$10,6,FALSE)</f>
        <v>0</v>
      </c>
      <c r="AJ449" s="18" t="str">
        <f>+VLOOKUP(AG449,Leyenda!$O$4:$U$10,7,FALSE)</f>
        <v>No Blasting need</v>
      </c>
      <c r="AK449" s="18">
        <f>+VLOOKUP(AJ449,Leyenda!$U$4:$V$10,2,FALSE)</f>
        <v>2</v>
      </c>
      <c r="AL449" s="18"/>
      <c r="AM449" s="18" t="s">
        <v>34</v>
      </c>
      <c r="AN449" s="18" t="s">
        <v>69</v>
      </c>
      <c r="AO449" s="18" t="s">
        <v>81</v>
      </c>
      <c r="AP449" s="18" t="s">
        <v>100</v>
      </c>
      <c r="AQ449" s="18" t="s">
        <v>109</v>
      </c>
      <c r="AR449" s="18" t="s">
        <v>122</v>
      </c>
      <c r="AS449" s="18" t="s">
        <v>198</v>
      </c>
      <c r="AT449" s="18"/>
      <c r="AU449" s="18"/>
      <c r="AV449" s="18">
        <f>+VLOOKUP(AN449,Leyenda!$B$30:$E$34,3,FALSE)</f>
        <v>0</v>
      </c>
      <c r="AW449" s="18">
        <f>+VLOOKUP('2. Logging Brejo Seco'!AO449,Meteorizacion,3,FALSE)</f>
        <v>0</v>
      </c>
      <c r="AX449" s="18">
        <f>+VLOOKUP('2. Logging Brejo Seco'!AP449,Apertura,3,FALSE)</f>
        <v>0</v>
      </c>
      <c r="AY449" s="18">
        <f>+VLOOKUP('2. Logging Brejo Seco'!AQ449,Leyenda!$B$55:$D$59,3,FALSE)</f>
        <v>1</v>
      </c>
      <c r="AZ449" s="18">
        <f>+VLOOKUP('2. Logging Brejo Seco'!AR449,Relleno,3,FALSE)</f>
        <v>0</v>
      </c>
      <c r="BA449" s="18">
        <f t="shared" si="146"/>
        <v>1</v>
      </c>
      <c r="BB449" s="49">
        <f t="shared" si="151"/>
        <v>0</v>
      </c>
      <c r="BC449" s="49">
        <f>VLOOKUP(AH449,Leyenda!$B$4:$D$10,3,FALSE)</f>
        <v>0</v>
      </c>
      <c r="BD449" s="50">
        <f t="shared" si="133"/>
        <v>6</v>
      </c>
      <c r="BE449" s="49">
        <f t="shared" si="138"/>
        <v>1</v>
      </c>
      <c r="BF449" s="49">
        <f>VLOOKUP(AS449,Leyenda!$B$70:$D$75,3,FALSE)</f>
        <v>15</v>
      </c>
      <c r="BG449" s="67">
        <f t="shared" si="152"/>
        <v>1.5</v>
      </c>
      <c r="BH449" s="67">
        <f>VLOOKUP(AG449,Leyenda!$B$4:$E$10,4,FALSE)</f>
        <v>0</v>
      </c>
      <c r="BI449" s="67">
        <f t="shared" si="134"/>
        <v>6</v>
      </c>
      <c r="BJ449" s="67">
        <f t="shared" si="153"/>
        <v>0</v>
      </c>
      <c r="BK449" s="67">
        <f>+VLOOKUP('2. Logging Brejo Seco'!AP449,Leyenda!$B$47:$E$51,4,FALSE)</f>
        <v>0</v>
      </c>
      <c r="BL449" s="67">
        <f>+VLOOKUP('2. Logging Brejo Seco'!AQ449,Leyenda!$B$55:$E$59,4,FALSE)</f>
        <v>1</v>
      </c>
      <c r="BM449" s="67">
        <f>+VLOOKUP('2. Logging Brejo Seco'!AR449,Leyenda!$B$63:$E$67,3,FALSE)</f>
        <v>0</v>
      </c>
      <c r="BN449" s="67">
        <f>+VLOOKUP('2. Logging Brejo Seco'!AO449,Leyenda!$B$39:$E$43,4,FALSE)</f>
        <v>0</v>
      </c>
      <c r="BO449" s="67">
        <f>+VLOOKUP('2. Logging Brejo Seco'!AN449,Leyenda!$B$30:$E$34,4,FALSE)</f>
        <v>0</v>
      </c>
      <c r="BP449" s="67">
        <f>VLOOKUP(AS449,Leyenda!$B$71:$E$75,4,FALSE)</f>
        <v>10</v>
      </c>
      <c r="BQ449" s="67">
        <f t="shared" si="139"/>
        <v>17</v>
      </c>
      <c r="BR449" s="18">
        <f t="shared" si="140"/>
        <v>22</v>
      </c>
      <c r="BS449" s="240">
        <f t="shared" si="135"/>
        <v>0.16000000000000003</v>
      </c>
      <c r="BT449" s="18"/>
    </row>
    <row r="450" spans="1:72" x14ac:dyDescent="0.25">
      <c r="A450" s="18" t="s">
        <v>6</v>
      </c>
      <c r="B450" s="18">
        <v>2024</v>
      </c>
      <c r="C450" s="18" t="s">
        <v>138</v>
      </c>
      <c r="D450" s="18" t="s">
        <v>134</v>
      </c>
      <c r="E450" s="18">
        <v>50</v>
      </c>
      <c r="F450" s="18">
        <v>50</v>
      </c>
      <c r="G450" s="18" t="s">
        <v>154</v>
      </c>
      <c r="H450" s="248">
        <f t="shared" si="144"/>
        <v>50</v>
      </c>
      <c r="I450" s="135"/>
      <c r="J450" s="18" t="s">
        <v>173</v>
      </c>
      <c r="K450" s="31">
        <f t="shared" si="149"/>
        <v>18</v>
      </c>
      <c r="L450" s="31">
        <v>18.5</v>
      </c>
      <c r="M450" s="4">
        <f t="shared" si="136"/>
        <v>0.5</v>
      </c>
      <c r="N450" s="5">
        <v>0.9</v>
      </c>
      <c r="O450" s="5">
        <f t="shared" si="154"/>
        <v>9.9999999999999978E-2</v>
      </c>
      <c r="P450" s="31">
        <f t="shared" si="137"/>
        <v>0.45</v>
      </c>
      <c r="Q450" s="18">
        <f t="shared" si="150"/>
        <v>0.45</v>
      </c>
      <c r="R450" s="18">
        <v>22.5</v>
      </c>
      <c r="S450" s="18">
        <v>20</v>
      </c>
      <c r="T450" s="18">
        <v>0.46</v>
      </c>
      <c r="U450" s="18">
        <v>0</v>
      </c>
      <c r="V450" s="65">
        <f t="shared" si="145"/>
        <v>0</v>
      </c>
      <c r="W450" s="18">
        <v>7</v>
      </c>
      <c r="X450" s="18"/>
      <c r="Y450" s="18">
        <f t="shared" si="148"/>
        <v>7</v>
      </c>
      <c r="Z450" s="31">
        <f t="shared" si="147"/>
        <v>71.428571428571431</v>
      </c>
      <c r="AA450" s="18">
        <v>0</v>
      </c>
      <c r="AB450" s="18" t="s">
        <v>330</v>
      </c>
      <c r="AC450" s="18" t="s">
        <v>333</v>
      </c>
      <c r="AD450" s="18" t="s">
        <v>335</v>
      </c>
      <c r="AE450" s="18">
        <v>20</v>
      </c>
      <c r="AF450" s="18">
        <v>22.5</v>
      </c>
      <c r="AG450" s="18" t="s">
        <v>34</v>
      </c>
      <c r="AH450" s="18" t="s">
        <v>34</v>
      </c>
      <c r="AI450" s="18">
        <f>+VLOOKUP(AH450,Leyenda!$O$4:$U$10,6,FALSE)</f>
        <v>0</v>
      </c>
      <c r="AJ450" s="18" t="str">
        <f>+VLOOKUP(AG450,Leyenda!$O$4:$U$10,7,FALSE)</f>
        <v>No Blasting need</v>
      </c>
      <c r="AK450" s="18">
        <f>+VLOOKUP(AJ450,Leyenda!$U$4:$V$10,2,FALSE)</f>
        <v>2</v>
      </c>
      <c r="AL450" s="18"/>
      <c r="AM450" s="18" t="s">
        <v>34</v>
      </c>
      <c r="AN450" s="18" t="s">
        <v>69</v>
      </c>
      <c r="AO450" s="18" t="s">
        <v>81</v>
      </c>
      <c r="AP450" s="18" t="s">
        <v>100</v>
      </c>
      <c r="AQ450" s="18" t="s">
        <v>109</v>
      </c>
      <c r="AR450" s="18" t="s">
        <v>122</v>
      </c>
      <c r="AS450" s="18" t="s">
        <v>198</v>
      </c>
      <c r="AT450" s="18"/>
      <c r="AU450" s="18"/>
      <c r="AV450" s="18">
        <f>+VLOOKUP(AN450,Leyenda!$B$30:$E$34,3,FALSE)</f>
        <v>0</v>
      </c>
      <c r="AW450" s="18">
        <f>+VLOOKUP('2. Logging Brejo Seco'!AO450,Meteorizacion,3,FALSE)</f>
        <v>0</v>
      </c>
      <c r="AX450" s="18">
        <f>+VLOOKUP('2. Logging Brejo Seco'!AP450,Apertura,3,FALSE)</f>
        <v>0</v>
      </c>
      <c r="AY450" s="18">
        <f>+VLOOKUP('2. Logging Brejo Seco'!AQ450,Leyenda!$B$55:$D$59,3,FALSE)</f>
        <v>1</v>
      </c>
      <c r="AZ450" s="18">
        <f>+VLOOKUP('2. Logging Brejo Seco'!AR450,Relleno,3,FALSE)</f>
        <v>0</v>
      </c>
      <c r="BA450" s="18">
        <f t="shared" si="146"/>
        <v>1</v>
      </c>
      <c r="BB450" s="49">
        <f t="shared" si="151"/>
        <v>0</v>
      </c>
      <c r="BC450" s="49">
        <f>VLOOKUP(AH450,Leyenda!$B$4:$D$10,3,FALSE)</f>
        <v>0</v>
      </c>
      <c r="BD450" s="50">
        <f t="shared" si="133"/>
        <v>6</v>
      </c>
      <c r="BE450" s="49">
        <f t="shared" si="138"/>
        <v>1</v>
      </c>
      <c r="BF450" s="49">
        <f>VLOOKUP(AS450,Leyenda!$B$70:$D$75,3,FALSE)</f>
        <v>15</v>
      </c>
      <c r="BG450" s="67">
        <f t="shared" si="152"/>
        <v>1.5</v>
      </c>
      <c r="BH450" s="67">
        <f>VLOOKUP(AG450,Leyenda!$B$4:$E$10,4,FALSE)</f>
        <v>0</v>
      </c>
      <c r="BI450" s="67">
        <f t="shared" si="134"/>
        <v>6</v>
      </c>
      <c r="BJ450" s="67">
        <f t="shared" si="153"/>
        <v>0</v>
      </c>
      <c r="BK450" s="67">
        <f>+VLOOKUP('2. Logging Brejo Seco'!AP450,Leyenda!$B$47:$E$51,4,FALSE)</f>
        <v>0</v>
      </c>
      <c r="BL450" s="67">
        <f>+VLOOKUP('2. Logging Brejo Seco'!AQ450,Leyenda!$B$55:$E$59,4,FALSE)</f>
        <v>1</v>
      </c>
      <c r="BM450" s="67">
        <f>+VLOOKUP('2. Logging Brejo Seco'!AR450,Leyenda!$B$63:$E$67,3,FALSE)</f>
        <v>0</v>
      </c>
      <c r="BN450" s="67">
        <f>+VLOOKUP('2. Logging Brejo Seco'!AO450,Leyenda!$B$39:$E$43,4,FALSE)</f>
        <v>0</v>
      </c>
      <c r="BO450" s="67">
        <f>+VLOOKUP('2. Logging Brejo Seco'!AN450,Leyenda!$B$30:$E$34,4,FALSE)</f>
        <v>0</v>
      </c>
      <c r="BP450" s="67">
        <f>VLOOKUP(AS450,Leyenda!$B$71:$E$75,4,FALSE)</f>
        <v>10</v>
      </c>
      <c r="BQ450" s="67">
        <f t="shared" si="139"/>
        <v>17</v>
      </c>
      <c r="BR450" s="18">
        <f t="shared" si="140"/>
        <v>22</v>
      </c>
      <c r="BS450" s="240">
        <f t="shared" si="135"/>
        <v>9.9999999999999978E-2</v>
      </c>
      <c r="BT450" s="18"/>
    </row>
    <row r="451" spans="1:72" x14ac:dyDescent="0.25">
      <c r="A451" s="18" t="s">
        <v>6</v>
      </c>
      <c r="B451" s="18">
        <v>2024</v>
      </c>
      <c r="C451" s="18" t="s">
        <v>138</v>
      </c>
      <c r="D451" s="18" t="s">
        <v>134</v>
      </c>
      <c r="E451" s="18">
        <v>50</v>
      </c>
      <c r="F451" s="18">
        <v>50</v>
      </c>
      <c r="G451" s="18" t="s">
        <v>154</v>
      </c>
      <c r="H451" s="248">
        <f t="shared" si="144"/>
        <v>50</v>
      </c>
      <c r="I451" s="135"/>
      <c r="J451" s="18" t="s">
        <v>173</v>
      </c>
      <c r="K451" s="31">
        <f t="shared" si="149"/>
        <v>18.5</v>
      </c>
      <c r="L451" s="31">
        <v>19</v>
      </c>
      <c r="M451" s="4">
        <f t="shared" si="136"/>
        <v>0.5</v>
      </c>
      <c r="N451" s="5">
        <v>0.74</v>
      </c>
      <c r="O451" s="5">
        <f t="shared" si="154"/>
        <v>0.26</v>
      </c>
      <c r="P451" s="31">
        <f t="shared" si="137"/>
        <v>0.37</v>
      </c>
      <c r="Q451" s="18">
        <f t="shared" si="150"/>
        <v>0.37</v>
      </c>
      <c r="R451" s="18">
        <v>18.5</v>
      </c>
      <c r="S451" s="18">
        <v>20</v>
      </c>
      <c r="T451" s="18">
        <v>0.36</v>
      </c>
      <c r="U451" s="18">
        <v>0</v>
      </c>
      <c r="V451" s="65">
        <f t="shared" si="145"/>
        <v>0</v>
      </c>
      <c r="W451" s="18">
        <v>7</v>
      </c>
      <c r="X451" s="18"/>
      <c r="Y451" s="18">
        <f t="shared" si="148"/>
        <v>7</v>
      </c>
      <c r="Z451" s="31">
        <f t="shared" si="147"/>
        <v>71.428571428571431</v>
      </c>
      <c r="AA451" s="18">
        <v>0</v>
      </c>
      <c r="AB451" s="18" t="s">
        <v>330</v>
      </c>
      <c r="AC451" s="18" t="s">
        <v>333</v>
      </c>
      <c r="AD451" s="18" t="s">
        <v>335</v>
      </c>
      <c r="AE451" s="18">
        <v>20</v>
      </c>
      <c r="AF451" s="18">
        <v>18.5</v>
      </c>
      <c r="AG451" s="18" t="s">
        <v>34</v>
      </c>
      <c r="AH451" s="18" t="s">
        <v>34</v>
      </c>
      <c r="AI451" s="18">
        <f>+VLOOKUP(AH451,Leyenda!$O$4:$U$10,6,FALSE)</f>
        <v>0</v>
      </c>
      <c r="AJ451" s="18" t="str">
        <f>+VLOOKUP(AG451,Leyenda!$O$4:$U$10,7,FALSE)</f>
        <v>No Blasting need</v>
      </c>
      <c r="AK451" s="18">
        <f>+VLOOKUP(AJ451,Leyenda!$U$4:$V$10,2,FALSE)</f>
        <v>2</v>
      </c>
      <c r="AL451" s="18"/>
      <c r="AM451" s="18" t="s">
        <v>34</v>
      </c>
      <c r="AN451" s="18" t="s">
        <v>69</v>
      </c>
      <c r="AO451" s="18" t="s">
        <v>81</v>
      </c>
      <c r="AP451" s="18" t="s">
        <v>100</v>
      </c>
      <c r="AQ451" s="18" t="s">
        <v>109</v>
      </c>
      <c r="AR451" s="18" t="s">
        <v>122</v>
      </c>
      <c r="AS451" s="18" t="s">
        <v>198</v>
      </c>
      <c r="AT451" s="18"/>
      <c r="AU451" s="18"/>
      <c r="AV451" s="18">
        <f>+VLOOKUP(AN451,Leyenda!$B$30:$E$34,3,FALSE)</f>
        <v>0</v>
      </c>
      <c r="AW451" s="18">
        <f>+VLOOKUP('2. Logging Brejo Seco'!AO451,Meteorizacion,3,FALSE)</f>
        <v>0</v>
      </c>
      <c r="AX451" s="18">
        <f>+VLOOKUP('2. Logging Brejo Seco'!AP451,Apertura,3,FALSE)</f>
        <v>0</v>
      </c>
      <c r="AY451" s="18">
        <f>+VLOOKUP('2. Logging Brejo Seco'!AQ451,Leyenda!$B$55:$D$59,3,FALSE)</f>
        <v>1</v>
      </c>
      <c r="AZ451" s="18">
        <f>+VLOOKUP('2. Logging Brejo Seco'!AR451,Relleno,3,FALSE)</f>
        <v>0</v>
      </c>
      <c r="BA451" s="18">
        <f t="shared" si="146"/>
        <v>1</v>
      </c>
      <c r="BB451" s="49">
        <f t="shared" si="151"/>
        <v>0</v>
      </c>
      <c r="BC451" s="49">
        <f>VLOOKUP(AH451,Leyenda!$B$4:$D$10,3,FALSE)</f>
        <v>0</v>
      </c>
      <c r="BD451" s="50">
        <f t="shared" si="133"/>
        <v>6</v>
      </c>
      <c r="BE451" s="49">
        <f t="shared" si="138"/>
        <v>1</v>
      </c>
      <c r="BF451" s="49">
        <f>VLOOKUP(AS451,Leyenda!$B$70:$D$75,3,FALSE)</f>
        <v>15</v>
      </c>
      <c r="BG451" s="67">
        <f t="shared" si="152"/>
        <v>1.5</v>
      </c>
      <c r="BH451" s="67">
        <f>VLOOKUP(AG451,Leyenda!$B$4:$E$10,4,FALSE)</f>
        <v>0</v>
      </c>
      <c r="BI451" s="67">
        <f t="shared" si="134"/>
        <v>6</v>
      </c>
      <c r="BJ451" s="67">
        <f t="shared" si="153"/>
        <v>0</v>
      </c>
      <c r="BK451" s="67">
        <f>+VLOOKUP('2. Logging Brejo Seco'!AP451,Leyenda!$B$47:$E$51,4,FALSE)</f>
        <v>0</v>
      </c>
      <c r="BL451" s="67">
        <f>+VLOOKUP('2. Logging Brejo Seco'!AQ451,Leyenda!$B$55:$E$59,4,FALSE)</f>
        <v>1</v>
      </c>
      <c r="BM451" s="67">
        <f>+VLOOKUP('2. Logging Brejo Seco'!AR451,Leyenda!$B$63:$E$67,3,FALSE)</f>
        <v>0</v>
      </c>
      <c r="BN451" s="67">
        <f>+VLOOKUP('2. Logging Brejo Seco'!AO451,Leyenda!$B$39:$E$43,4,FALSE)</f>
        <v>0</v>
      </c>
      <c r="BO451" s="67">
        <f>+VLOOKUP('2. Logging Brejo Seco'!AN451,Leyenda!$B$30:$E$34,4,FALSE)</f>
        <v>0</v>
      </c>
      <c r="BP451" s="67">
        <f>VLOOKUP(AS451,Leyenda!$B$71:$E$75,4,FALSE)</f>
        <v>10</v>
      </c>
      <c r="BQ451" s="67">
        <f t="shared" si="139"/>
        <v>17</v>
      </c>
      <c r="BR451" s="18">
        <f t="shared" si="140"/>
        <v>22</v>
      </c>
      <c r="BS451" s="240">
        <f t="shared" si="135"/>
        <v>0.26</v>
      </c>
      <c r="BT451" s="18"/>
    </row>
    <row r="452" spans="1:72" x14ac:dyDescent="0.25">
      <c r="A452" s="18" t="s">
        <v>6</v>
      </c>
      <c r="B452" s="18">
        <v>2024</v>
      </c>
      <c r="C452" s="18" t="s">
        <v>138</v>
      </c>
      <c r="D452" s="18" t="s">
        <v>134</v>
      </c>
      <c r="E452" s="18">
        <v>50</v>
      </c>
      <c r="F452" s="18">
        <v>50</v>
      </c>
      <c r="G452" s="18" t="s">
        <v>154</v>
      </c>
      <c r="H452" s="248">
        <f t="shared" si="144"/>
        <v>50</v>
      </c>
      <c r="I452" s="135"/>
      <c r="J452" s="18" t="s">
        <v>174</v>
      </c>
      <c r="K452" s="31">
        <f t="shared" si="149"/>
        <v>19</v>
      </c>
      <c r="L452" s="31">
        <v>19.5</v>
      </c>
      <c r="M452" s="4">
        <f t="shared" si="136"/>
        <v>0.5</v>
      </c>
      <c r="N452" s="5">
        <v>0.68</v>
      </c>
      <c r="O452" s="5">
        <f t="shared" si="154"/>
        <v>0.31999999999999995</v>
      </c>
      <c r="P452" s="31">
        <f t="shared" si="137"/>
        <v>0.34</v>
      </c>
      <c r="Q452" s="18">
        <f t="shared" si="150"/>
        <v>0.34</v>
      </c>
      <c r="R452" s="18">
        <v>17</v>
      </c>
      <c r="S452" s="18">
        <v>20</v>
      </c>
      <c r="T452" s="18">
        <v>0.3</v>
      </c>
      <c r="U452" s="18">
        <v>0</v>
      </c>
      <c r="V452" s="65">
        <f t="shared" si="145"/>
        <v>0</v>
      </c>
      <c r="W452" s="18">
        <v>7</v>
      </c>
      <c r="X452" s="18"/>
      <c r="Y452" s="18">
        <f t="shared" si="148"/>
        <v>7</v>
      </c>
      <c r="Z452" s="31">
        <f t="shared" si="147"/>
        <v>71.428571428571431</v>
      </c>
      <c r="AA452" s="18">
        <v>0</v>
      </c>
      <c r="AB452" s="18" t="s">
        <v>330</v>
      </c>
      <c r="AC452" s="18" t="s">
        <v>333</v>
      </c>
      <c r="AD452" s="18" t="s">
        <v>335</v>
      </c>
      <c r="AE452" s="18">
        <v>20</v>
      </c>
      <c r="AF452" s="18">
        <v>17</v>
      </c>
      <c r="AG452" s="18" t="s">
        <v>34</v>
      </c>
      <c r="AH452" s="18" t="s">
        <v>34</v>
      </c>
      <c r="AI452" s="18">
        <f>+VLOOKUP(AH452,Leyenda!$O$4:$U$10,6,FALSE)</f>
        <v>0</v>
      </c>
      <c r="AJ452" s="18" t="str">
        <f>+VLOOKUP(AG452,Leyenda!$O$4:$U$10,7,FALSE)</f>
        <v>No Blasting need</v>
      </c>
      <c r="AK452" s="18">
        <f>+VLOOKUP(AJ452,Leyenda!$U$4:$V$10,2,FALSE)</f>
        <v>2</v>
      </c>
      <c r="AL452" s="18"/>
      <c r="AM452" s="18" t="s">
        <v>34</v>
      </c>
      <c r="AN452" s="18" t="s">
        <v>69</v>
      </c>
      <c r="AO452" s="18" t="s">
        <v>81</v>
      </c>
      <c r="AP452" s="18" t="s">
        <v>100</v>
      </c>
      <c r="AQ452" s="18" t="s">
        <v>109</v>
      </c>
      <c r="AR452" s="18" t="s">
        <v>122</v>
      </c>
      <c r="AS452" s="18" t="s">
        <v>198</v>
      </c>
      <c r="AT452" s="18"/>
      <c r="AU452" s="18"/>
      <c r="AV452" s="18">
        <f>+VLOOKUP(AN452,Leyenda!$B$30:$E$34,3,FALSE)</f>
        <v>0</v>
      </c>
      <c r="AW452" s="18">
        <f>+VLOOKUP('2. Logging Brejo Seco'!AO452,Meteorizacion,3,FALSE)</f>
        <v>0</v>
      </c>
      <c r="AX452" s="18">
        <f>+VLOOKUP('2. Logging Brejo Seco'!AP452,Apertura,3,FALSE)</f>
        <v>0</v>
      </c>
      <c r="AY452" s="18">
        <f>+VLOOKUP('2. Logging Brejo Seco'!AQ452,Leyenda!$B$55:$D$59,3,FALSE)</f>
        <v>1</v>
      </c>
      <c r="AZ452" s="18">
        <f>+VLOOKUP('2. Logging Brejo Seco'!AR452,Relleno,3,FALSE)</f>
        <v>0</v>
      </c>
      <c r="BA452" s="18">
        <f t="shared" si="146"/>
        <v>1</v>
      </c>
      <c r="BB452" s="49">
        <f t="shared" si="151"/>
        <v>0</v>
      </c>
      <c r="BC452" s="49">
        <f>VLOOKUP(AH452,Leyenda!$B$4:$D$10,3,FALSE)</f>
        <v>0</v>
      </c>
      <c r="BD452" s="50">
        <f t="shared" ref="BD452:BD515" si="155">IF(Z452="",ROUND((IF(Z452&lt;=400,1.5478*POWER(Z452,0.3351),-2*POWER(10,-6)*POWER(Z452,2)+0.0091*Z452+8.1704)),0),ROUND((IF(Z452&lt;=400,1.5478*POWER(Z452,0.3351),-2*POWER(10,-6)*POWER(Z452,2)+0.0091*Z452+8.1704)),0))</f>
        <v>6</v>
      </c>
      <c r="BE452" s="49">
        <f t="shared" si="138"/>
        <v>1</v>
      </c>
      <c r="BF452" s="49">
        <f>VLOOKUP(AS452,Leyenda!$B$70:$D$75,3,FALSE)</f>
        <v>15</v>
      </c>
      <c r="BG452" s="67">
        <f t="shared" si="152"/>
        <v>1.5</v>
      </c>
      <c r="BH452" s="67">
        <f>VLOOKUP(AG452,Leyenda!$B$4:$E$10,4,FALSE)</f>
        <v>0</v>
      </c>
      <c r="BI452" s="67">
        <f t="shared" ref="BI452:BI515" si="156">IF(Z452="",ROUND(IF(Z452&lt;=50,5,IF(Z452&gt;=3000,30,6.038*LN(Z452)-19.63)),0),ROUND(IF(Z452&lt;=50,5,IF(Z452&gt;=3000,30,6.038*LN(Z452)-19.63)),0))</f>
        <v>6</v>
      </c>
      <c r="BJ452" s="67">
        <f t="shared" si="153"/>
        <v>0</v>
      </c>
      <c r="BK452" s="67">
        <f>+VLOOKUP('2. Logging Brejo Seco'!AP452,Leyenda!$B$47:$E$51,4,FALSE)</f>
        <v>0</v>
      </c>
      <c r="BL452" s="67">
        <f>+VLOOKUP('2. Logging Brejo Seco'!AQ452,Leyenda!$B$55:$E$59,4,FALSE)</f>
        <v>1</v>
      </c>
      <c r="BM452" s="67">
        <f>+VLOOKUP('2. Logging Brejo Seco'!AR452,Leyenda!$B$63:$E$67,3,FALSE)</f>
        <v>0</v>
      </c>
      <c r="BN452" s="67">
        <f>+VLOOKUP('2. Logging Brejo Seco'!AO452,Leyenda!$B$39:$E$43,4,FALSE)</f>
        <v>0</v>
      </c>
      <c r="BO452" s="67">
        <f>+VLOOKUP('2. Logging Brejo Seco'!AN452,Leyenda!$B$30:$E$34,4,FALSE)</f>
        <v>0</v>
      </c>
      <c r="BP452" s="67">
        <f>VLOOKUP(AS452,Leyenda!$B$71:$E$75,4,FALSE)</f>
        <v>10</v>
      </c>
      <c r="BQ452" s="67">
        <f t="shared" si="139"/>
        <v>17</v>
      </c>
      <c r="BR452" s="18">
        <f t="shared" si="140"/>
        <v>22</v>
      </c>
      <c r="BS452" s="240">
        <f t="shared" ref="BS452:BS515" si="157">1-N452</f>
        <v>0.31999999999999995</v>
      </c>
      <c r="BT452" s="18"/>
    </row>
    <row r="453" spans="1:72" x14ac:dyDescent="0.25">
      <c r="A453" s="18" t="s">
        <v>6</v>
      </c>
      <c r="B453" s="18">
        <v>2024</v>
      </c>
      <c r="C453" s="18" t="s">
        <v>138</v>
      </c>
      <c r="D453" s="18" t="s">
        <v>134</v>
      </c>
      <c r="E453" s="18">
        <v>40</v>
      </c>
      <c r="F453" s="18">
        <v>50</v>
      </c>
      <c r="G453" s="18" t="s">
        <v>154</v>
      </c>
      <c r="H453" s="248">
        <f t="shared" si="144"/>
        <v>50</v>
      </c>
      <c r="I453" s="135"/>
      <c r="J453" s="18" t="s">
        <v>174</v>
      </c>
      <c r="K453" s="31">
        <f t="shared" si="149"/>
        <v>19.5</v>
      </c>
      <c r="L453" s="31">
        <v>20</v>
      </c>
      <c r="M453" s="4">
        <f t="shared" si="136"/>
        <v>0.5</v>
      </c>
      <c r="N453" s="5">
        <v>0.7</v>
      </c>
      <c r="O453" s="5">
        <f t="shared" si="154"/>
        <v>0.30000000000000004</v>
      </c>
      <c r="P453" s="31">
        <f t="shared" ref="P453:P517" si="158">+M453*N453</f>
        <v>0.35</v>
      </c>
      <c r="Q453" s="18">
        <f t="shared" si="150"/>
        <v>0.35</v>
      </c>
      <c r="R453" s="18">
        <v>17.5</v>
      </c>
      <c r="S453" s="18">
        <v>20</v>
      </c>
      <c r="T453" s="18">
        <v>0.33</v>
      </c>
      <c r="U453" s="18">
        <v>0</v>
      </c>
      <c r="V453" s="65">
        <f t="shared" si="145"/>
        <v>0</v>
      </c>
      <c r="W453" s="18">
        <v>4</v>
      </c>
      <c r="X453" s="18"/>
      <c r="Y453" s="18">
        <f t="shared" si="148"/>
        <v>4</v>
      </c>
      <c r="Z453" s="31">
        <f t="shared" si="147"/>
        <v>125</v>
      </c>
      <c r="AA453" s="18">
        <v>0</v>
      </c>
      <c r="AB453" s="18" t="s">
        <v>330</v>
      </c>
      <c r="AC453" s="18" t="s">
        <v>333</v>
      </c>
      <c r="AD453" s="18" t="s">
        <v>335</v>
      </c>
      <c r="AE453" s="18">
        <v>20</v>
      </c>
      <c r="AF453" s="18">
        <v>17.5</v>
      </c>
      <c r="AG453" s="18" t="s">
        <v>32</v>
      </c>
      <c r="AH453" s="18" t="s">
        <v>32</v>
      </c>
      <c r="AI453" s="18" t="str">
        <f>+VLOOKUP(AH453,Leyenda!$O$4:$U$10,6,FALSE)</f>
        <v>0,15-0,25</v>
      </c>
      <c r="AJ453" s="18" t="str">
        <f>+VLOOKUP(AG453,Leyenda!$O$4:$U$10,7,FALSE)</f>
        <v>No Blasting need</v>
      </c>
      <c r="AK453" s="18">
        <f>+VLOOKUP(AJ453,Leyenda!$U$4:$V$10,2,FALSE)</f>
        <v>2</v>
      </c>
      <c r="AL453" s="18"/>
      <c r="AM453" s="18" t="s">
        <v>34</v>
      </c>
      <c r="AN453" s="18" t="s">
        <v>69</v>
      </c>
      <c r="AO453" s="18" t="s">
        <v>81</v>
      </c>
      <c r="AP453" s="18" t="s">
        <v>100</v>
      </c>
      <c r="AQ453" s="18" t="s">
        <v>107</v>
      </c>
      <c r="AR453" s="18" t="s">
        <v>120</v>
      </c>
      <c r="AS453" s="18" t="s">
        <v>247</v>
      </c>
      <c r="AT453" s="18"/>
      <c r="AU453" s="18"/>
      <c r="AV453" s="18">
        <f>+VLOOKUP(AN453,Leyenda!$B$30:$E$34,3,FALSE)</f>
        <v>0</v>
      </c>
      <c r="AW453" s="18">
        <f>+VLOOKUP('2. Logging Brejo Seco'!AO453,Meteorizacion,3,FALSE)</f>
        <v>0</v>
      </c>
      <c r="AX453" s="18">
        <f>+VLOOKUP('2. Logging Brejo Seco'!AP453,Apertura,3,FALSE)</f>
        <v>0</v>
      </c>
      <c r="AY453" s="18">
        <f>+VLOOKUP('2. Logging Brejo Seco'!AQ453,Leyenda!$B$55:$D$59,3,FALSE)</f>
        <v>3</v>
      </c>
      <c r="AZ453" s="18">
        <f>+VLOOKUP('2. Logging Brejo Seco'!AR453,Relleno,3,FALSE)</f>
        <v>2</v>
      </c>
      <c r="BA453" s="18">
        <f t="shared" si="146"/>
        <v>5</v>
      </c>
      <c r="BB453" s="49">
        <f t="shared" si="151"/>
        <v>0</v>
      </c>
      <c r="BC453" s="49">
        <f>VLOOKUP(AH453,Leyenda!$B$4:$D$10,3,FALSE)</f>
        <v>1</v>
      </c>
      <c r="BD453" s="50">
        <f t="shared" si="155"/>
        <v>8</v>
      </c>
      <c r="BE453" s="49">
        <f t="shared" ref="BE453:BE517" si="159">+BA453</f>
        <v>5</v>
      </c>
      <c r="BF453" s="49">
        <f>VLOOKUP(AS453,Leyenda!$B$70:$D$75,3,FALSE)</f>
        <v>10</v>
      </c>
      <c r="BG453" s="67">
        <f t="shared" si="152"/>
        <v>7.5</v>
      </c>
      <c r="BH453" s="67">
        <f>VLOOKUP(AG453,Leyenda!$B$4:$E$10,4,FALSE)</f>
        <v>1</v>
      </c>
      <c r="BI453" s="67">
        <f t="shared" si="156"/>
        <v>10</v>
      </c>
      <c r="BJ453" s="67">
        <f t="shared" si="153"/>
        <v>0</v>
      </c>
      <c r="BK453" s="67">
        <f>+VLOOKUP('2. Logging Brejo Seco'!AP453,Leyenda!$B$47:$E$51,4,FALSE)</f>
        <v>0</v>
      </c>
      <c r="BL453" s="67">
        <f>+VLOOKUP('2. Logging Brejo Seco'!AQ453,Leyenda!$B$55:$E$59,4,FALSE)</f>
        <v>3</v>
      </c>
      <c r="BM453" s="67">
        <f>+VLOOKUP('2. Logging Brejo Seco'!AR453,Leyenda!$B$63:$E$67,3,FALSE)</f>
        <v>2</v>
      </c>
      <c r="BN453" s="67">
        <f>+VLOOKUP('2. Logging Brejo Seco'!AO453,Leyenda!$B$39:$E$43,4,FALSE)</f>
        <v>0</v>
      </c>
      <c r="BO453" s="67">
        <f>+VLOOKUP('2. Logging Brejo Seco'!AN453,Leyenda!$B$30:$E$34,4,FALSE)</f>
        <v>0</v>
      </c>
      <c r="BP453" s="67">
        <f>VLOOKUP(AS453,Leyenda!$B$71:$E$75,4,FALSE)</f>
        <v>7</v>
      </c>
      <c r="BQ453" s="67">
        <f t="shared" ref="BQ453:BQ517" si="160">+BH453+BI453+BJ453+BK453+BL453+BM453+BN453+BO453+BP453</f>
        <v>23</v>
      </c>
      <c r="BR453" s="18">
        <f t="shared" ref="BR453:BR517" si="161">+BC453+BD453+BB453+BE453+BF453</f>
        <v>24</v>
      </c>
      <c r="BS453" s="240">
        <f t="shared" si="157"/>
        <v>0.30000000000000004</v>
      </c>
      <c r="BT453" s="18"/>
    </row>
    <row r="454" spans="1:72" x14ac:dyDescent="0.25">
      <c r="A454" s="18" t="s">
        <v>6</v>
      </c>
      <c r="B454" s="18">
        <v>2024</v>
      </c>
      <c r="C454" s="18" t="s">
        <v>138</v>
      </c>
      <c r="D454" s="18" t="s">
        <v>134</v>
      </c>
      <c r="E454" s="18">
        <v>40</v>
      </c>
      <c r="F454" s="18">
        <v>50</v>
      </c>
      <c r="G454" s="18" t="s">
        <v>154</v>
      </c>
      <c r="H454" s="248">
        <f t="shared" si="144"/>
        <v>50</v>
      </c>
      <c r="I454" s="135"/>
      <c r="J454" s="18" t="s">
        <v>175</v>
      </c>
      <c r="K454" s="31">
        <f t="shared" si="149"/>
        <v>20</v>
      </c>
      <c r="L454" s="31">
        <v>20.5</v>
      </c>
      <c r="M454" s="4">
        <f t="shared" ref="M454:M518" si="162">+L454-K454</f>
        <v>0.5</v>
      </c>
      <c r="N454" s="5">
        <v>1</v>
      </c>
      <c r="O454" s="5">
        <f t="shared" si="154"/>
        <v>0</v>
      </c>
      <c r="P454" s="31">
        <f t="shared" si="158"/>
        <v>0.5</v>
      </c>
      <c r="Q454" s="18">
        <f t="shared" si="150"/>
        <v>0.5</v>
      </c>
      <c r="R454" s="18">
        <v>25</v>
      </c>
      <c r="S454" s="18">
        <v>20</v>
      </c>
      <c r="T454" s="18">
        <v>0.46</v>
      </c>
      <c r="U454" s="18">
        <v>0.27</v>
      </c>
      <c r="V454" s="65">
        <f t="shared" si="145"/>
        <v>54</v>
      </c>
      <c r="W454" s="18">
        <v>4</v>
      </c>
      <c r="X454" s="18"/>
      <c r="Y454" s="18">
        <f t="shared" si="148"/>
        <v>4</v>
      </c>
      <c r="Z454" s="31">
        <f t="shared" si="147"/>
        <v>125</v>
      </c>
      <c r="AA454" s="18">
        <v>0</v>
      </c>
      <c r="AB454" s="18" t="s">
        <v>330</v>
      </c>
      <c r="AC454" s="18" t="s">
        <v>333</v>
      </c>
      <c r="AD454" s="18" t="s">
        <v>335</v>
      </c>
      <c r="AE454" s="18">
        <v>20</v>
      </c>
      <c r="AF454" s="18">
        <v>25</v>
      </c>
      <c r="AG454" s="18" t="s">
        <v>32</v>
      </c>
      <c r="AH454" s="18" t="s">
        <v>32</v>
      </c>
      <c r="AI454" s="18" t="str">
        <f>+VLOOKUP(AH454,Leyenda!$O$4:$U$10,6,FALSE)</f>
        <v>0,15-0,25</v>
      </c>
      <c r="AJ454" s="18" t="str">
        <f>+VLOOKUP(AG454,Leyenda!$O$4:$U$10,7,FALSE)</f>
        <v>No Blasting need</v>
      </c>
      <c r="AK454" s="18">
        <f>+VLOOKUP(AJ454,Leyenda!$U$4:$V$10,2,FALSE)</f>
        <v>2</v>
      </c>
      <c r="AL454" s="18"/>
      <c r="AM454" s="18" t="s">
        <v>34</v>
      </c>
      <c r="AN454" s="18" t="s">
        <v>69</v>
      </c>
      <c r="AO454" s="18" t="s">
        <v>81</v>
      </c>
      <c r="AP454" s="18" t="s">
        <v>100</v>
      </c>
      <c r="AQ454" s="18" t="s">
        <v>107</v>
      </c>
      <c r="AR454" s="18" t="s">
        <v>120</v>
      </c>
      <c r="AS454" s="18" t="s">
        <v>247</v>
      </c>
      <c r="AT454" s="18"/>
      <c r="AU454" s="18"/>
      <c r="AV454" s="18">
        <f>+VLOOKUP(AN454,Leyenda!$B$30:$E$34,3,FALSE)</f>
        <v>0</v>
      </c>
      <c r="AW454" s="18">
        <f>+VLOOKUP('2. Logging Brejo Seco'!AO454,Meteorizacion,3,FALSE)</f>
        <v>0</v>
      </c>
      <c r="AX454" s="18">
        <f>+VLOOKUP('2. Logging Brejo Seco'!AP454,Apertura,3,FALSE)</f>
        <v>0</v>
      </c>
      <c r="AY454" s="18">
        <f>+VLOOKUP('2. Logging Brejo Seco'!AQ454,Leyenda!$B$55:$D$59,3,FALSE)</f>
        <v>3</v>
      </c>
      <c r="AZ454" s="18">
        <f>+VLOOKUP('2. Logging Brejo Seco'!AR454,Relleno,3,FALSE)</f>
        <v>2</v>
      </c>
      <c r="BA454" s="18">
        <f t="shared" si="146"/>
        <v>5</v>
      </c>
      <c r="BB454" s="49">
        <f t="shared" si="151"/>
        <v>11</v>
      </c>
      <c r="BC454" s="49">
        <f>VLOOKUP(AH454,Leyenda!$B$4:$D$10,3,FALSE)</f>
        <v>1</v>
      </c>
      <c r="BD454" s="50">
        <f t="shared" si="155"/>
        <v>8</v>
      </c>
      <c r="BE454" s="49">
        <f t="shared" si="159"/>
        <v>5</v>
      </c>
      <c r="BF454" s="49">
        <f>VLOOKUP(AS454,Leyenda!$B$70:$D$75,3,FALSE)</f>
        <v>10</v>
      </c>
      <c r="BG454" s="67">
        <f t="shared" si="152"/>
        <v>34.5</v>
      </c>
      <c r="BH454" s="67">
        <f>VLOOKUP(AG454,Leyenda!$B$4:$E$10,4,FALSE)</f>
        <v>1</v>
      </c>
      <c r="BI454" s="67">
        <f t="shared" si="156"/>
        <v>10</v>
      </c>
      <c r="BJ454" s="67">
        <f t="shared" si="153"/>
        <v>11</v>
      </c>
      <c r="BK454" s="67">
        <f>+VLOOKUP('2. Logging Brejo Seco'!AP454,Leyenda!$B$47:$E$51,4,FALSE)</f>
        <v>0</v>
      </c>
      <c r="BL454" s="67">
        <f>+VLOOKUP('2. Logging Brejo Seco'!AQ454,Leyenda!$B$55:$E$59,4,FALSE)</f>
        <v>3</v>
      </c>
      <c r="BM454" s="67">
        <f>+VLOOKUP('2. Logging Brejo Seco'!AR454,Leyenda!$B$63:$E$67,3,FALSE)</f>
        <v>2</v>
      </c>
      <c r="BN454" s="67">
        <f>+VLOOKUP('2. Logging Brejo Seco'!AO454,Leyenda!$B$39:$E$43,4,FALSE)</f>
        <v>0</v>
      </c>
      <c r="BO454" s="67">
        <f>+VLOOKUP('2. Logging Brejo Seco'!AN454,Leyenda!$B$30:$E$34,4,FALSE)</f>
        <v>0</v>
      </c>
      <c r="BP454" s="67">
        <f>VLOOKUP(AS454,Leyenda!$B$71:$E$75,4,FALSE)</f>
        <v>7</v>
      </c>
      <c r="BQ454" s="67">
        <f t="shared" si="160"/>
        <v>34</v>
      </c>
      <c r="BR454" s="18">
        <f t="shared" si="161"/>
        <v>35</v>
      </c>
      <c r="BS454" s="240">
        <f t="shared" si="157"/>
        <v>0</v>
      </c>
      <c r="BT454" s="18"/>
    </row>
    <row r="455" spans="1:72" x14ac:dyDescent="0.25">
      <c r="A455" s="18" t="s">
        <v>6</v>
      </c>
      <c r="B455" s="18">
        <v>2024</v>
      </c>
      <c r="C455" s="18" t="s">
        <v>138</v>
      </c>
      <c r="D455" s="18" t="s">
        <v>134</v>
      </c>
      <c r="E455" s="18">
        <v>40</v>
      </c>
      <c r="F455" s="18">
        <v>50</v>
      </c>
      <c r="G455" s="18" t="s">
        <v>154</v>
      </c>
      <c r="H455" s="248">
        <f t="shared" si="144"/>
        <v>50</v>
      </c>
      <c r="I455" s="135"/>
      <c r="J455" s="18" t="s">
        <v>175</v>
      </c>
      <c r="K455" s="31">
        <f t="shared" si="149"/>
        <v>20.5</v>
      </c>
      <c r="L455" s="31">
        <v>21</v>
      </c>
      <c r="M455" s="4">
        <f t="shared" si="162"/>
        <v>0.5</v>
      </c>
      <c r="N455" s="5">
        <v>0.96</v>
      </c>
      <c r="O455" s="5">
        <f t="shared" si="154"/>
        <v>4.0000000000000036E-2</v>
      </c>
      <c r="P455" s="31">
        <f t="shared" si="158"/>
        <v>0.48</v>
      </c>
      <c r="Q455" s="18">
        <f t="shared" si="150"/>
        <v>0.48</v>
      </c>
      <c r="R455" s="18">
        <v>24</v>
      </c>
      <c r="S455" s="18">
        <v>20</v>
      </c>
      <c r="T455" s="18">
        <v>0.36</v>
      </c>
      <c r="U455" s="18">
        <v>0.26</v>
      </c>
      <c r="V455" s="65">
        <f t="shared" si="145"/>
        <v>52</v>
      </c>
      <c r="W455" s="18">
        <v>4</v>
      </c>
      <c r="X455" s="18"/>
      <c r="Y455" s="18">
        <f t="shared" si="148"/>
        <v>4</v>
      </c>
      <c r="Z455" s="31">
        <f t="shared" si="147"/>
        <v>125</v>
      </c>
      <c r="AA455" s="18">
        <v>0</v>
      </c>
      <c r="AB455" s="18" t="s">
        <v>330</v>
      </c>
      <c r="AC455" s="18" t="s">
        <v>333</v>
      </c>
      <c r="AD455" s="18" t="s">
        <v>335</v>
      </c>
      <c r="AE455" s="18">
        <v>20</v>
      </c>
      <c r="AF455" s="18">
        <v>24</v>
      </c>
      <c r="AG455" s="18" t="s">
        <v>29</v>
      </c>
      <c r="AH455" s="18" t="s">
        <v>29</v>
      </c>
      <c r="AI455" s="18" t="str">
        <f>+VLOOKUP(AH455,Leyenda!$O$4:$U$10,6,FALSE)</f>
        <v>0,25-0,35</v>
      </c>
      <c r="AJ455" s="18" t="str">
        <f>+VLOOKUP(AG455,Leyenda!$O$4:$U$10,7,FALSE)</f>
        <v>No Blasting need</v>
      </c>
      <c r="AK455" s="18">
        <f>+VLOOKUP(AJ455,Leyenda!$U$4:$V$10,2,FALSE)</f>
        <v>2</v>
      </c>
      <c r="AL455" s="18"/>
      <c r="AM455" s="18" t="s">
        <v>34</v>
      </c>
      <c r="AN455" s="18" t="s">
        <v>69</v>
      </c>
      <c r="AO455" s="18" t="s">
        <v>81</v>
      </c>
      <c r="AP455" s="18" t="s">
        <v>100</v>
      </c>
      <c r="AQ455" s="18" t="s">
        <v>107</v>
      </c>
      <c r="AR455" s="18" t="s">
        <v>120</v>
      </c>
      <c r="AS455" s="18" t="s">
        <v>247</v>
      </c>
      <c r="AT455" s="18"/>
      <c r="AU455" s="18"/>
      <c r="AV455" s="18">
        <f>+VLOOKUP(AN455,Leyenda!$B$30:$E$34,3,FALSE)</f>
        <v>0</v>
      </c>
      <c r="AW455" s="18">
        <f>+VLOOKUP('2. Logging Brejo Seco'!AO455,Meteorizacion,3,FALSE)</f>
        <v>0</v>
      </c>
      <c r="AX455" s="18">
        <f>+VLOOKUP('2. Logging Brejo Seco'!AP455,Apertura,3,FALSE)</f>
        <v>0</v>
      </c>
      <c r="AY455" s="18">
        <f>+VLOOKUP('2. Logging Brejo Seco'!AQ455,Leyenda!$B$55:$D$59,3,FALSE)</f>
        <v>3</v>
      </c>
      <c r="AZ455" s="18">
        <f>+VLOOKUP('2. Logging Brejo Seco'!AR455,Relleno,3,FALSE)</f>
        <v>2</v>
      </c>
      <c r="BA455" s="18">
        <f t="shared" si="146"/>
        <v>5</v>
      </c>
      <c r="BB455" s="49">
        <f t="shared" si="151"/>
        <v>11</v>
      </c>
      <c r="BC455" s="49">
        <f>VLOOKUP(AH455,Leyenda!$B$4:$D$10,3,FALSE)</f>
        <v>2</v>
      </c>
      <c r="BD455" s="50">
        <f t="shared" si="155"/>
        <v>8</v>
      </c>
      <c r="BE455" s="49">
        <f t="shared" si="159"/>
        <v>5</v>
      </c>
      <c r="BF455" s="49">
        <f>VLOOKUP(AS455,Leyenda!$B$70:$D$75,3,FALSE)</f>
        <v>10</v>
      </c>
      <c r="BG455" s="67">
        <f t="shared" si="152"/>
        <v>33.5</v>
      </c>
      <c r="BH455" s="67">
        <f>VLOOKUP(AG455,Leyenda!$B$4:$E$10,4,FALSE)</f>
        <v>2</v>
      </c>
      <c r="BI455" s="67">
        <f t="shared" si="156"/>
        <v>10</v>
      </c>
      <c r="BJ455" s="67">
        <f t="shared" si="153"/>
        <v>11</v>
      </c>
      <c r="BK455" s="67">
        <f>+VLOOKUP('2. Logging Brejo Seco'!AP455,Leyenda!$B$47:$E$51,4,FALSE)</f>
        <v>0</v>
      </c>
      <c r="BL455" s="67">
        <f>+VLOOKUP('2. Logging Brejo Seco'!AQ455,Leyenda!$B$55:$E$59,4,FALSE)</f>
        <v>3</v>
      </c>
      <c r="BM455" s="67">
        <f>+VLOOKUP('2. Logging Brejo Seco'!AR455,Leyenda!$B$63:$E$67,3,FALSE)</f>
        <v>2</v>
      </c>
      <c r="BN455" s="67">
        <f>+VLOOKUP('2. Logging Brejo Seco'!AO455,Leyenda!$B$39:$E$43,4,FALSE)</f>
        <v>0</v>
      </c>
      <c r="BO455" s="67">
        <f>+VLOOKUP('2. Logging Brejo Seco'!AN455,Leyenda!$B$30:$E$34,4,FALSE)</f>
        <v>0</v>
      </c>
      <c r="BP455" s="67">
        <f>VLOOKUP(AS455,Leyenda!$B$71:$E$75,4,FALSE)</f>
        <v>7</v>
      </c>
      <c r="BQ455" s="67">
        <f t="shared" si="160"/>
        <v>35</v>
      </c>
      <c r="BR455" s="18">
        <f t="shared" si="161"/>
        <v>36</v>
      </c>
      <c r="BS455" s="240">
        <f t="shared" si="157"/>
        <v>4.0000000000000036E-2</v>
      </c>
      <c r="BT455" s="18"/>
    </row>
    <row r="456" spans="1:72" x14ac:dyDescent="0.25">
      <c r="A456" s="18" t="s">
        <v>6</v>
      </c>
      <c r="B456" s="18">
        <v>2024</v>
      </c>
      <c r="C456" s="18" t="s">
        <v>138</v>
      </c>
      <c r="D456" s="18" t="s">
        <v>134</v>
      </c>
      <c r="E456" s="18">
        <v>40</v>
      </c>
      <c r="F456" s="18">
        <v>50</v>
      </c>
      <c r="G456" s="18" t="s">
        <v>154</v>
      </c>
      <c r="H456" s="248">
        <f t="shared" si="144"/>
        <v>50</v>
      </c>
      <c r="I456" s="135"/>
      <c r="J456" s="18" t="s">
        <v>175</v>
      </c>
      <c r="K456" s="31">
        <f t="shared" si="149"/>
        <v>21</v>
      </c>
      <c r="L456" s="31">
        <v>21.5</v>
      </c>
      <c r="M456" s="4">
        <f t="shared" si="162"/>
        <v>0.5</v>
      </c>
      <c r="N456" s="5">
        <v>0.88</v>
      </c>
      <c r="O456" s="5">
        <f t="shared" si="154"/>
        <v>0.12</v>
      </c>
      <c r="P456" s="31">
        <f t="shared" si="158"/>
        <v>0.44</v>
      </c>
      <c r="Q456" s="18">
        <f t="shared" si="150"/>
        <v>0.44</v>
      </c>
      <c r="R456" s="18">
        <v>22</v>
      </c>
      <c r="S456" s="18">
        <v>20</v>
      </c>
      <c r="T456" s="18">
        <v>0.39</v>
      </c>
      <c r="U456" s="18">
        <v>0.17</v>
      </c>
      <c r="V456" s="65">
        <f t="shared" si="145"/>
        <v>34</v>
      </c>
      <c r="W456" s="18">
        <v>4</v>
      </c>
      <c r="X456" s="18"/>
      <c r="Y456" s="18">
        <f t="shared" si="148"/>
        <v>4</v>
      </c>
      <c r="Z456" s="31">
        <f t="shared" si="147"/>
        <v>125</v>
      </c>
      <c r="AA456" s="18">
        <v>0</v>
      </c>
      <c r="AB456" s="18" t="s">
        <v>330</v>
      </c>
      <c r="AC456" s="18" t="s">
        <v>333</v>
      </c>
      <c r="AD456" s="18" t="s">
        <v>335</v>
      </c>
      <c r="AE456" s="18">
        <v>20</v>
      </c>
      <c r="AF456" s="18">
        <v>22</v>
      </c>
      <c r="AG456" s="18" t="s">
        <v>29</v>
      </c>
      <c r="AH456" s="18" t="s">
        <v>29</v>
      </c>
      <c r="AI456" s="18" t="str">
        <f>+VLOOKUP(AH456,Leyenda!$O$4:$U$10,6,FALSE)</f>
        <v>0,25-0,35</v>
      </c>
      <c r="AJ456" s="18" t="str">
        <f>+VLOOKUP(AG456,Leyenda!$O$4:$U$10,7,FALSE)</f>
        <v>No Blasting need</v>
      </c>
      <c r="AK456" s="18">
        <f>+VLOOKUP(AJ456,Leyenda!$U$4:$V$10,2,FALSE)</f>
        <v>2</v>
      </c>
      <c r="AL456" s="18"/>
      <c r="AM456" s="18" t="s">
        <v>34</v>
      </c>
      <c r="AN456" s="18" t="s">
        <v>69</v>
      </c>
      <c r="AO456" s="18" t="s">
        <v>81</v>
      </c>
      <c r="AP456" s="18" t="s">
        <v>100</v>
      </c>
      <c r="AQ456" s="18" t="s">
        <v>107</v>
      </c>
      <c r="AR456" s="18" t="s">
        <v>120</v>
      </c>
      <c r="AS456" s="18" t="s">
        <v>247</v>
      </c>
      <c r="AT456" s="18"/>
      <c r="AU456" s="18"/>
      <c r="AV456" s="18">
        <f>+VLOOKUP(AN456,Leyenda!$B$30:$E$34,3,FALSE)</f>
        <v>0</v>
      </c>
      <c r="AW456" s="18">
        <f>+VLOOKUP('2. Logging Brejo Seco'!AO456,Meteorizacion,3,FALSE)</f>
        <v>0</v>
      </c>
      <c r="AX456" s="18">
        <f>+VLOOKUP('2. Logging Brejo Seco'!AP456,Apertura,3,FALSE)</f>
        <v>0</v>
      </c>
      <c r="AY456" s="18">
        <f>+VLOOKUP('2. Logging Brejo Seco'!AQ456,Leyenda!$B$55:$D$59,3,FALSE)</f>
        <v>3</v>
      </c>
      <c r="AZ456" s="18">
        <f>+VLOOKUP('2. Logging Brejo Seco'!AR456,Relleno,3,FALSE)</f>
        <v>2</v>
      </c>
      <c r="BA456" s="18">
        <f t="shared" si="146"/>
        <v>5</v>
      </c>
      <c r="BB456" s="49">
        <f t="shared" si="151"/>
        <v>7</v>
      </c>
      <c r="BC456" s="49">
        <f>VLOOKUP(AH456,Leyenda!$B$4:$D$10,3,FALSE)</f>
        <v>2</v>
      </c>
      <c r="BD456" s="50">
        <f t="shared" si="155"/>
        <v>8</v>
      </c>
      <c r="BE456" s="49">
        <f t="shared" si="159"/>
        <v>5</v>
      </c>
      <c r="BF456" s="49">
        <f>VLOOKUP(AS456,Leyenda!$B$70:$D$75,3,FALSE)</f>
        <v>10</v>
      </c>
      <c r="BG456" s="67">
        <f t="shared" si="152"/>
        <v>24.5</v>
      </c>
      <c r="BH456" s="67">
        <f>VLOOKUP(AG456,Leyenda!$B$4:$E$10,4,FALSE)</f>
        <v>2</v>
      </c>
      <c r="BI456" s="67">
        <f t="shared" si="156"/>
        <v>10</v>
      </c>
      <c r="BJ456" s="67">
        <f t="shared" si="153"/>
        <v>7</v>
      </c>
      <c r="BK456" s="67">
        <f>+VLOOKUP('2. Logging Brejo Seco'!AP456,Leyenda!$B$47:$E$51,4,FALSE)</f>
        <v>0</v>
      </c>
      <c r="BL456" s="67">
        <f>+VLOOKUP('2. Logging Brejo Seco'!AQ456,Leyenda!$B$55:$E$59,4,FALSE)</f>
        <v>3</v>
      </c>
      <c r="BM456" s="67">
        <f>+VLOOKUP('2. Logging Brejo Seco'!AR456,Leyenda!$B$63:$E$67,3,FALSE)</f>
        <v>2</v>
      </c>
      <c r="BN456" s="67">
        <f>+VLOOKUP('2. Logging Brejo Seco'!AO456,Leyenda!$B$39:$E$43,4,FALSE)</f>
        <v>0</v>
      </c>
      <c r="BO456" s="67">
        <f>+VLOOKUP('2. Logging Brejo Seco'!AN456,Leyenda!$B$30:$E$34,4,FALSE)</f>
        <v>0</v>
      </c>
      <c r="BP456" s="67">
        <f>VLOOKUP(AS456,Leyenda!$B$71:$E$75,4,FALSE)</f>
        <v>7</v>
      </c>
      <c r="BQ456" s="67">
        <f t="shared" si="160"/>
        <v>31</v>
      </c>
      <c r="BR456" s="18">
        <f t="shared" si="161"/>
        <v>32</v>
      </c>
      <c r="BS456" s="240">
        <f t="shared" si="157"/>
        <v>0.12</v>
      </c>
      <c r="BT456" s="18"/>
    </row>
    <row r="457" spans="1:72" x14ac:dyDescent="0.25">
      <c r="A457" s="18" t="s">
        <v>6</v>
      </c>
      <c r="B457" s="18">
        <v>2024</v>
      </c>
      <c r="C457" s="18" t="s">
        <v>138</v>
      </c>
      <c r="D457" s="18" t="s">
        <v>134</v>
      </c>
      <c r="E457" s="18">
        <v>40</v>
      </c>
      <c r="F457" s="18">
        <v>50</v>
      </c>
      <c r="G457" s="18" t="s">
        <v>154</v>
      </c>
      <c r="H457" s="248">
        <f t="shared" si="144"/>
        <v>50</v>
      </c>
      <c r="I457" s="135"/>
      <c r="J457" s="18" t="s">
        <v>175</v>
      </c>
      <c r="K457" s="31">
        <f t="shared" si="149"/>
        <v>21.5</v>
      </c>
      <c r="L457" s="31">
        <v>22</v>
      </c>
      <c r="M457" s="4">
        <f t="shared" si="162"/>
        <v>0.5</v>
      </c>
      <c r="N457" s="5">
        <v>1</v>
      </c>
      <c r="O457" s="5">
        <f t="shared" si="154"/>
        <v>0</v>
      </c>
      <c r="P457" s="31">
        <f t="shared" si="158"/>
        <v>0.5</v>
      </c>
      <c r="Q457" s="18">
        <f t="shared" si="150"/>
        <v>0.5</v>
      </c>
      <c r="R457" s="18">
        <v>25</v>
      </c>
      <c r="S457" s="18">
        <v>20</v>
      </c>
      <c r="T457" s="18">
        <v>0.48</v>
      </c>
      <c r="U457" s="18">
        <v>0.14000000000000001</v>
      </c>
      <c r="V457" s="65">
        <f t="shared" si="145"/>
        <v>28.000000000000004</v>
      </c>
      <c r="W457" s="18">
        <v>8</v>
      </c>
      <c r="X457" s="18"/>
      <c r="Y457" s="18">
        <f t="shared" si="148"/>
        <v>8</v>
      </c>
      <c r="Z457" s="31">
        <f t="shared" si="147"/>
        <v>62.5</v>
      </c>
      <c r="AA457" s="18">
        <v>0</v>
      </c>
      <c r="AB457" s="18" t="s">
        <v>330</v>
      </c>
      <c r="AC457" s="18" t="s">
        <v>333</v>
      </c>
      <c r="AD457" s="18" t="s">
        <v>335</v>
      </c>
      <c r="AE457" s="18">
        <v>20</v>
      </c>
      <c r="AF457" s="18">
        <v>25</v>
      </c>
      <c r="AG457" s="18" t="s">
        <v>29</v>
      </c>
      <c r="AH457" s="18" t="s">
        <v>29</v>
      </c>
      <c r="AI457" s="18" t="str">
        <f>+VLOOKUP(AH457,Leyenda!$O$4:$U$10,6,FALSE)</f>
        <v>0,25-0,35</v>
      </c>
      <c r="AJ457" s="18" t="str">
        <f>+VLOOKUP(AG457,Leyenda!$O$4:$U$10,7,FALSE)</f>
        <v>No Blasting need</v>
      </c>
      <c r="AK457" s="18">
        <f>+VLOOKUP(AJ457,Leyenda!$U$4:$V$10,2,FALSE)</f>
        <v>2</v>
      </c>
      <c r="AL457" s="18"/>
      <c r="AM457" s="18" t="s">
        <v>34</v>
      </c>
      <c r="AN457" s="18" t="s">
        <v>69</v>
      </c>
      <c r="AO457" s="18" t="s">
        <v>81</v>
      </c>
      <c r="AP457" s="18" t="s">
        <v>100</v>
      </c>
      <c r="AQ457" s="18" t="s">
        <v>107</v>
      </c>
      <c r="AR457" s="18" t="s">
        <v>120</v>
      </c>
      <c r="AS457" s="18" t="s">
        <v>247</v>
      </c>
      <c r="AT457" s="18"/>
      <c r="AU457" s="18"/>
      <c r="AV457" s="18">
        <f>+VLOOKUP(AN457,Leyenda!$B$30:$E$34,3,FALSE)</f>
        <v>0</v>
      </c>
      <c r="AW457" s="18">
        <f>+VLOOKUP('2. Logging Brejo Seco'!AO457,Meteorizacion,3,FALSE)</f>
        <v>0</v>
      </c>
      <c r="AX457" s="18">
        <f>+VLOOKUP('2. Logging Brejo Seco'!AP457,Apertura,3,FALSE)</f>
        <v>0</v>
      </c>
      <c r="AY457" s="18">
        <f>+VLOOKUP('2. Logging Brejo Seco'!AQ457,Leyenda!$B$55:$D$59,3,FALSE)</f>
        <v>3</v>
      </c>
      <c r="AZ457" s="18">
        <f>+VLOOKUP('2. Logging Brejo Seco'!AR457,Relleno,3,FALSE)</f>
        <v>2</v>
      </c>
      <c r="BA457" s="18">
        <f t="shared" si="146"/>
        <v>5</v>
      </c>
      <c r="BB457" s="49">
        <f t="shared" si="151"/>
        <v>6</v>
      </c>
      <c r="BC457" s="49">
        <f>VLOOKUP(AH457,Leyenda!$B$4:$D$10,3,FALSE)</f>
        <v>2</v>
      </c>
      <c r="BD457" s="50">
        <f t="shared" si="155"/>
        <v>6</v>
      </c>
      <c r="BE457" s="49">
        <f t="shared" si="159"/>
        <v>5</v>
      </c>
      <c r="BF457" s="49">
        <f>VLOOKUP(AS457,Leyenda!$B$70:$D$75,3,FALSE)</f>
        <v>10</v>
      </c>
      <c r="BG457" s="67">
        <f t="shared" si="152"/>
        <v>21.5</v>
      </c>
      <c r="BH457" s="67">
        <f>VLOOKUP(AG457,Leyenda!$B$4:$E$10,4,FALSE)</f>
        <v>2</v>
      </c>
      <c r="BI457" s="67">
        <f t="shared" si="156"/>
        <v>5</v>
      </c>
      <c r="BJ457" s="67">
        <f t="shared" si="153"/>
        <v>6</v>
      </c>
      <c r="BK457" s="67">
        <f>+VLOOKUP('2. Logging Brejo Seco'!AP457,Leyenda!$B$47:$E$51,4,FALSE)</f>
        <v>0</v>
      </c>
      <c r="BL457" s="67">
        <f>+VLOOKUP('2. Logging Brejo Seco'!AQ457,Leyenda!$B$55:$E$59,4,FALSE)</f>
        <v>3</v>
      </c>
      <c r="BM457" s="67">
        <f>+VLOOKUP('2. Logging Brejo Seco'!AR457,Leyenda!$B$63:$E$67,3,FALSE)</f>
        <v>2</v>
      </c>
      <c r="BN457" s="67">
        <f>+VLOOKUP('2. Logging Brejo Seco'!AO457,Leyenda!$B$39:$E$43,4,FALSE)</f>
        <v>0</v>
      </c>
      <c r="BO457" s="67">
        <f>+VLOOKUP('2. Logging Brejo Seco'!AN457,Leyenda!$B$30:$E$34,4,FALSE)</f>
        <v>0</v>
      </c>
      <c r="BP457" s="67">
        <f>VLOOKUP(AS457,Leyenda!$B$71:$E$75,4,FALSE)</f>
        <v>7</v>
      </c>
      <c r="BQ457" s="67">
        <f t="shared" si="160"/>
        <v>25</v>
      </c>
      <c r="BR457" s="18">
        <f t="shared" si="161"/>
        <v>29</v>
      </c>
      <c r="BS457" s="240">
        <f t="shared" si="157"/>
        <v>0</v>
      </c>
      <c r="BT457" s="18"/>
    </row>
    <row r="458" spans="1:72" x14ac:dyDescent="0.25">
      <c r="A458" s="18" t="s">
        <v>6</v>
      </c>
      <c r="B458" s="18">
        <v>2024</v>
      </c>
      <c r="C458" s="18" t="s">
        <v>138</v>
      </c>
      <c r="D458" s="18" t="s">
        <v>134</v>
      </c>
      <c r="E458" s="18">
        <v>40</v>
      </c>
      <c r="F458" s="18">
        <v>50</v>
      </c>
      <c r="G458" s="18" t="s">
        <v>154</v>
      </c>
      <c r="H458" s="248">
        <f t="shared" ref="H458:H521" si="163">+F458</f>
        <v>50</v>
      </c>
      <c r="I458" s="135"/>
      <c r="J458" s="18" t="s">
        <v>175</v>
      </c>
      <c r="K458" s="31">
        <f t="shared" si="149"/>
        <v>22</v>
      </c>
      <c r="L458" s="31">
        <v>22.5</v>
      </c>
      <c r="M458" s="4">
        <f t="shared" si="162"/>
        <v>0.5</v>
      </c>
      <c r="N458" s="5">
        <v>0.94</v>
      </c>
      <c r="O458" s="5">
        <f t="shared" si="154"/>
        <v>6.0000000000000053E-2</v>
      </c>
      <c r="P458" s="31">
        <f t="shared" si="158"/>
        <v>0.47</v>
      </c>
      <c r="Q458" s="18">
        <f t="shared" si="150"/>
        <v>0.47</v>
      </c>
      <c r="R458" s="18">
        <v>23.5</v>
      </c>
      <c r="S458" s="18">
        <v>20</v>
      </c>
      <c r="T458" s="18">
        <v>0.39</v>
      </c>
      <c r="U458" s="18">
        <v>0</v>
      </c>
      <c r="V458" s="65">
        <f t="shared" si="145"/>
        <v>0</v>
      </c>
      <c r="W458" s="18">
        <v>8</v>
      </c>
      <c r="X458" s="18"/>
      <c r="Y458" s="18">
        <f t="shared" si="148"/>
        <v>8</v>
      </c>
      <c r="Z458" s="31">
        <f t="shared" si="147"/>
        <v>62.5</v>
      </c>
      <c r="AA458" s="18">
        <v>0</v>
      </c>
      <c r="AB458" s="18" t="s">
        <v>330</v>
      </c>
      <c r="AC458" s="18" t="s">
        <v>333</v>
      </c>
      <c r="AD458" s="18" t="s">
        <v>335</v>
      </c>
      <c r="AE458" s="18">
        <v>20</v>
      </c>
      <c r="AF458" s="18">
        <v>23.5</v>
      </c>
      <c r="AG458" s="18" t="s">
        <v>29</v>
      </c>
      <c r="AH458" s="18" t="s">
        <v>29</v>
      </c>
      <c r="AI458" s="18" t="str">
        <f>+VLOOKUP(AH458,Leyenda!$O$4:$U$10,6,FALSE)</f>
        <v>0,25-0,35</v>
      </c>
      <c r="AJ458" s="18" t="str">
        <f>+VLOOKUP(AG458,Leyenda!$O$4:$U$10,7,FALSE)</f>
        <v>No Blasting need</v>
      </c>
      <c r="AK458" s="18">
        <f>+VLOOKUP(AJ458,Leyenda!$U$4:$V$10,2,FALSE)</f>
        <v>2</v>
      </c>
      <c r="AL458" s="18"/>
      <c r="AM458" s="131" t="s">
        <v>34</v>
      </c>
      <c r="AN458" s="131" t="s">
        <v>69</v>
      </c>
      <c r="AO458" s="131" t="s">
        <v>81</v>
      </c>
      <c r="AP458" s="131" t="s">
        <v>100</v>
      </c>
      <c r="AQ458" s="131" t="s">
        <v>107</v>
      </c>
      <c r="AR458" s="131" t="s">
        <v>120</v>
      </c>
      <c r="AS458" s="18" t="s">
        <v>247</v>
      </c>
      <c r="AT458" s="18"/>
      <c r="AU458" s="18"/>
      <c r="AV458" s="18">
        <f>+VLOOKUP(AN458,Leyenda!$B$30:$E$34,3,FALSE)</f>
        <v>0</v>
      </c>
      <c r="AW458" s="18">
        <f>+VLOOKUP('2. Logging Brejo Seco'!AO458,Meteorizacion,3,FALSE)</f>
        <v>0</v>
      </c>
      <c r="AX458" s="18">
        <f>+VLOOKUP('2. Logging Brejo Seco'!AP458,Apertura,3,FALSE)</f>
        <v>0</v>
      </c>
      <c r="AY458" s="18">
        <f>+VLOOKUP('2. Logging Brejo Seco'!AQ458,Leyenda!$B$55:$D$59,3,FALSE)</f>
        <v>3</v>
      </c>
      <c r="AZ458" s="18">
        <f>+VLOOKUP('2. Logging Brejo Seco'!AR458,Relleno,3,FALSE)</f>
        <v>2</v>
      </c>
      <c r="BA458" s="18">
        <f t="shared" si="146"/>
        <v>5</v>
      </c>
      <c r="BB458" s="49">
        <f t="shared" si="151"/>
        <v>0</v>
      </c>
      <c r="BC458" s="49">
        <f>VLOOKUP(AH458,Leyenda!$B$4:$D$10,3,FALSE)</f>
        <v>2</v>
      </c>
      <c r="BD458" s="50">
        <f t="shared" si="155"/>
        <v>6</v>
      </c>
      <c r="BE458" s="49">
        <f t="shared" si="159"/>
        <v>5</v>
      </c>
      <c r="BF458" s="49">
        <f>VLOOKUP(AS458,Leyenda!$B$70:$D$75,3,FALSE)</f>
        <v>10</v>
      </c>
      <c r="BG458" s="67">
        <f t="shared" si="152"/>
        <v>7.5</v>
      </c>
      <c r="BH458" s="67">
        <f>VLOOKUP(AG458,Leyenda!$B$4:$E$10,4,FALSE)</f>
        <v>2</v>
      </c>
      <c r="BI458" s="67">
        <f t="shared" si="156"/>
        <v>5</v>
      </c>
      <c r="BJ458" s="67">
        <f t="shared" si="153"/>
        <v>0</v>
      </c>
      <c r="BK458" s="67">
        <f>+VLOOKUP('2. Logging Brejo Seco'!AP458,Leyenda!$B$47:$E$51,4,FALSE)</f>
        <v>0</v>
      </c>
      <c r="BL458" s="67">
        <f>+VLOOKUP('2. Logging Brejo Seco'!AQ458,Leyenda!$B$55:$E$59,4,FALSE)</f>
        <v>3</v>
      </c>
      <c r="BM458" s="67">
        <f>+VLOOKUP('2. Logging Brejo Seco'!AR458,Leyenda!$B$63:$E$67,3,FALSE)</f>
        <v>2</v>
      </c>
      <c r="BN458" s="67">
        <f>+VLOOKUP('2. Logging Brejo Seco'!AO458,Leyenda!$B$39:$E$43,4,FALSE)</f>
        <v>0</v>
      </c>
      <c r="BO458" s="67">
        <f>+VLOOKUP('2. Logging Brejo Seco'!AN458,Leyenda!$B$30:$E$34,4,FALSE)</f>
        <v>0</v>
      </c>
      <c r="BP458" s="67">
        <f>VLOOKUP(AS458,Leyenda!$B$71:$E$75,4,FALSE)</f>
        <v>7</v>
      </c>
      <c r="BQ458" s="67">
        <f t="shared" si="160"/>
        <v>19</v>
      </c>
      <c r="BR458" s="18">
        <f t="shared" si="161"/>
        <v>23</v>
      </c>
      <c r="BS458" s="240">
        <f t="shared" si="157"/>
        <v>6.0000000000000053E-2</v>
      </c>
      <c r="BT458" s="18"/>
    </row>
    <row r="459" spans="1:72" x14ac:dyDescent="0.25">
      <c r="A459" s="18" t="s">
        <v>6</v>
      </c>
      <c r="B459" s="18">
        <v>2024</v>
      </c>
      <c r="C459" s="18" t="s">
        <v>138</v>
      </c>
      <c r="D459" s="18" t="s">
        <v>134</v>
      </c>
      <c r="E459" s="18">
        <v>40</v>
      </c>
      <c r="F459" s="18">
        <v>50</v>
      </c>
      <c r="G459" s="18" t="s">
        <v>154</v>
      </c>
      <c r="H459" s="248">
        <f t="shared" si="163"/>
        <v>50</v>
      </c>
      <c r="I459" s="135"/>
      <c r="J459" s="18" t="s">
        <v>175</v>
      </c>
      <c r="K459" s="31">
        <f t="shared" si="149"/>
        <v>22.5</v>
      </c>
      <c r="L459" s="31">
        <v>23</v>
      </c>
      <c r="M459" s="4">
        <f t="shared" si="162"/>
        <v>0.5</v>
      </c>
      <c r="N459" s="5">
        <v>0.9</v>
      </c>
      <c r="O459" s="5">
        <f t="shared" si="154"/>
        <v>9.9999999999999978E-2</v>
      </c>
      <c r="P459" s="31">
        <f t="shared" si="158"/>
        <v>0.45</v>
      </c>
      <c r="Q459" s="18">
        <f t="shared" si="150"/>
        <v>0.45</v>
      </c>
      <c r="R459" s="18">
        <v>45</v>
      </c>
      <c r="S459" s="18">
        <v>20</v>
      </c>
      <c r="T459" s="18">
        <v>0.38</v>
      </c>
      <c r="U459" s="18">
        <v>0.25</v>
      </c>
      <c r="V459" s="65">
        <f t="shared" ref="V459:V523" si="164">+U459/M459*100</f>
        <v>50</v>
      </c>
      <c r="W459" s="18">
        <v>4</v>
      </c>
      <c r="X459" s="18"/>
      <c r="Y459" s="18">
        <f t="shared" si="148"/>
        <v>4</v>
      </c>
      <c r="Z459" s="31">
        <f t="shared" si="147"/>
        <v>125</v>
      </c>
      <c r="AA459" s="18">
        <v>0</v>
      </c>
      <c r="AB459" s="18" t="s">
        <v>330</v>
      </c>
      <c r="AC459" s="18" t="s">
        <v>333</v>
      </c>
      <c r="AD459" s="18" t="s">
        <v>335</v>
      </c>
      <c r="AE459" s="18">
        <v>20</v>
      </c>
      <c r="AF459" s="18">
        <v>45</v>
      </c>
      <c r="AG459" s="18" t="s">
        <v>29</v>
      </c>
      <c r="AH459" s="18" t="s">
        <v>29</v>
      </c>
      <c r="AI459" s="18" t="str">
        <f>+VLOOKUP(AH459,Leyenda!$O$4:$U$10,6,FALSE)</f>
        <v>0,25-0,35</v>
      </c>
      <c r="AJ459" s="18" t="str">
        <f>+VLOOKUP(AG459,Leyenda!$O$4:$U$10,7,FALSE)</f>
        <v>No Blasting need</v>
      </c>
      <c r="AK459" s="18">
        <f>+VLOOKUP(AJ459,Leyenda!$U$4:$V$10,2,FALSE)</f>
        <v>2</v>
      </c>
      <c r="AL459" s="18"/>
      <c r="AM459" s="18" t="s">
        <v>34</v>
      </c>
      <c r="AN459" s="18" t="s">
        <v>69</v>
      </c>
      <c r="AO459" s="18" t="s">
        <v>81</v>
      </c>
      <c r="AP459" s="18" t="s">
        <v>100</v>
      </c>
      <c r="AQ459" s="18" t="s">
        <v>107</v>
      </c>
      <c r="AR459" s="18" t="s">
        <v>120</v>
      </c>
      <c r="AS459" s="18" t="s">
        <v>247</v>
      </c>
      <c r="AT459" s="18"/>
      <c r="AU459" s="18"/>
      <c r="AV459" s="18">
        <f>+VLOOKUP(AN459,Leyenda!$B$30:$E$34,3,FALSE)</f>
        <v>0</v>
      </c>
      <c r="AW459" s="18">
        <f>+VLOOKUP('2. Logging Brejo Seco'!AO459,Meteorizacion,3,FALSE)</f>
        <v>0</v>
      </c>
      <c r="AX459" s="18">
        <f>+VLOOKUP('2. Logging Brejo Seco'!AP459,Apertura,3,FALSE)</f>
        <v>0</v>
      </c>
      <c r="AY459" s="18">
        <f>+VLOOKUP('2. Logging Brejo Seco'!AQ459,Leyenda!$B$55:$D$59,3,FALSE)</f>
        <v>3</v>
      </c>
      <c r="AZ459" s="18">
        <f>+VLOOKUP('2. Logging Brejo Seco'!AR459,Relleno,3,FALSE)</f>
        <v>2</v>
      </c>
      <c r="BA459" s="18">
        <f t="shared" ref="BA459:BA523" si="165">+SUM(AV459:AZ459)</f>
        <v>5</v>
      </c>
      <c r="BB459" s="49">
        <f t="shared" si="151"/>
        <v>10</v>
      </c>
      <c r="BC459" s="49">
        <f>VLOOKUP(AH459,Leyenda!$B$4:$D$10,3,FALSE)</f>
        <v>2</v>
      </c>
      <c r="BD459" s="50">
        <f t="shared" si="155"/>
        <v>8</v>
      </c>
      <c r="BE459" s="49">
        <f t="shared" si="159"/>
        <v>5</v>
      </c>
      <c r="BF459" s="49">
        <f>VLOOKUP(AS459,Leyenda!$B$70:$D$75,3,FALSE)</f>
        <v>10</v>
      </c>
      <c r="BG459" s="67">
        <f t="shared" si="152"/>
        <v>32.5</v>
      </c>
      <c r="BH459" s="67">
        <f>VLOOKUP(AG459,Leyenda!$B$4:$E$10,4,FALSE)</f>
        <v>2</v>
      </c>
      <c r="BI459" s="67">
        <f t="shared" si="156"/>
        <v>10</v>
      </c>
      <c r="BJ459" s="67">
        <f t="shared" si="153"/>
        <v>10</v>
      </c>
      <c r="BK459" s="67">
        <f>+VLOOKUP('2. Logging Brejo Seco'!AP459,Leyenda!$B$47:$E$51,4,FALSE)</f>
        <v>0</v>
      </c>
      <c r="BL459" s="67">
        <f>+VLOOKUP('2. Logging Brejo Seco'!AQ459,Leyenda!$B$55:$E$59,4,FALSE)</f>
        <v>3</v>
      </c>
      <c r="BM459" s="67">
        <f>+VLOOKUP('2. Logging Brejo Seco'!AR459,Leyenda!$B$63:$E$67,3,FALSE)</f>
        <v>2</v>
      </c>
      <c r="BN459" s="67">
        <f>+VLOOKUP('2. Logging Brejo Seco'!AO459,Leyenda!$B$39:$E$43,4,FALSE)</f>
        <v>0</v>
      </c>
      <c r="BO459" s="67">
        <f>+VLOOKUP('2. Logging Brejo Seco'!AN459,Leyenda!$B$30:$E$34,4,FALSE)</f>
        <v>0</v>
      </c>
      <c r="BP459" s="67">
        <f>VLOOKUP(AS459,Leyenda!$B$71:$E$75,4,FALSE)</f>
        <v>7</v>
      </c>
      <c r="BQ459" s="67">
        <f t="shared" si="160"/>
        <v>34</v>
      </c>
      <c r="BR459" s="18">
        <f t="shared" si="161"/>
        <v>35</v>
      </c>
      <c r="BS459" s="240">
        <f t="shared" si="157"/>
        <v>9.9999999999999978E-2</v>
      </c>
      <c r="BT459" s="18"/>
    </row>
    <row r="460" spans="1:72" x14ac:dyDescent="0.25">
      <c r="A460" s="18" t="s">
        <v>6</v>
      </c>
      <c r="B460" s="18">
        <v>2024</v>
      </c>
      <c r="C460" s="18" t="s">
        <v>138</v>
      </c>
      <c r="D460" s="18" t="s">
        <v>134</v>
      </c>
      <c r="E460" s="18">
        <v>40</v>
      </c>
      <c r="F460" s="18">
        <v>30</v>
      </c>
      <c r="G460" s="18" t="s">
        <v>753</v>
      </c>
      <c r="H460" s="248">
        <f t="shared" si="163"/>
        <v>30</v>
      </c>
      <c r="I460" s="135"/>
      <c r="J460" s="18" t="s">
        <v>175</v>
      </c>
      <c r="K460" s="31">
        <v>23</v>
      </c>
      <c r="L460" s="31">
        <v>23.5</v>
      </c>
      <c r="M460" s="4">
        <f>+L460-K460</f>
        <v>0.5</v>
      </c>
      <c r="N460" s="5">
        <v>0.9</v>
      </c>
      <c r="O460" s="5">
        <f t="shared" si="154"/>
        <v>9.9999999999999978E-2</v>
      </c>
      <c r="P460" s="31">
        <f>+M460*N460</f>
        <v>0.45</v>
      </c>
      <c r="Q460" s="18"/>
      <c r="R460" s="18"/>
      <c r="S460" s="18"/>
      <c r="T460" s="18">
        <f>0.13+0.21</f>
        <v>0.33999999999999997</v>
      </c>
      <c r="U460" s="18">
        <v>0.1</v>
      </c>
      <c r="V460" s="65">
        <f t="shared" si="164"/>
        <v>20</v>
      </c>
      <c r="W460" s="18">
        <v>5</v>
      </c>
      <c r="X460" s="18"/>
      <c r="Y460" s="18">
        <f t="shared" si="148"/>
        <v>5</v>
      </c>
      <c r="Z460" s="31">
        <f t="shared" ref="Z460:Z523" si="166">+IF(M460=0,"",(M460*1000)/Y460)</f>
        <v>100</v>
      </c>
      <c r="AA460" s="18"/>
      <c r="AB460" s="18"/>
      <c r="AC460" s="18"/>
      <c r="AD460" s="18"/>
      <c r="AE460" s="18"/>
      <c r="AF460" s="18"/>
      <c r="AG460" s="18" t="s">
        <v>29</v>
      </c>
      <c r="AH460" s="18" t="s">
        <v>29</v>
      </c>
      <c r="AI460" s="18" t="str">
        <f>+VLOOKUP(AH460,Leyenda!$O$4:$U$10,6,FALSE)</f>
        <v>0,25-0,35</v>
      </c>
      <c r="AJ460" s="18" t="str">
        <f>+VLOOKUP(AG460,Leyenda!$O$4:$U$10,7,FALSE)</f>
        <v>No Blasting need</v>
      </c>
      <c r="AK460" s="18">
        <f>+VLOOKUP(AJ460,Leyenda!$U$4:$V$10,2,FALSE)</f>
        <v>2</v>
      </c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49"/>
      <c r="BC460" s="49">
        <f>VLOOKUP(AH460,Leyenda!$B$4:$D$10,3,FALSE)</f>
        <v>2</v>
      </c>
      <c r="BD460" s="50">
        <f t="shared" si="155"/>
        <v>7</v>
      </c>
      <c r="BE460" s="49"/>
      <c r="BF460" s="49"/>
      <c r="BG460" s="67"/>
      <c r="BH460" s="67"/>
      <c r="BI460" s="67">
        <f t="shared" si="156"/>
        <v>8</v>
      </c>
      <c r="BJ460" s="67"/>
      <c r="BK460" s="67"/>
      <c r="BL460" s="67"/>
      <c r="BM460" s="67"/>
      <c r="BN460" s="67"/>
      <c r="BO460" s="67"/>
      <c r="BP460" s="67"/>
      <c r="BQ460" s="67"/>
      <c r="BR460" s="18"/>
      <c r="BS460" s="240">
        <f t="shared" si="157"/>
        <v>9.9999999999999978E-2</v>
      </c>
      <c r="BT460" s="18"/>
    </row>
    <row r="461" spans="1:72" x14ac:dyDescent="0.25">
      <c r="A461" s="18" t="s">
        <v>6</v>
      </c>
      <c r="B461" s="18">
        <v>2024</v>
      </c>
      <c r="C461" s="18" t="s">
        <v>138</v>
      </c>
      <c r="D461" s="18" t="s">
        <v>134</v>
      </c>
      <c r="E461" s="18">
        <v>40</v>
      </c>
      <c r="F461" s="18">
        <v>30</v>
      </c>
      <c r="G461" s="18" t="s">
        <v>753</v>
      </c>
      <c r="H461" s="248">
        <f t="shared" si="163"/>
        <v>30</v>
      </c>
      <c r="I461" s="135"/>
      <c r="J461" s="18" t="s">
        <v>176</v>
      </c>
      <c r="K461" s="31">
        <f>+L459</f>
        <v>23</v>
      </c>
      <c r="L461" s="31">
        <v>24.5</v>
      </c>
      <c r="M461" s="4">
        <f t="shared" si="162"/>
        <v>1.5</v>
      </c>
      <c r="N461" s="5">
        <v>0.96</v>
      </c>
      <c r="O461" s="5">
        <f t="shared" si="154"/>
        <v>4.0000000000000036E-2</v>
      </c>
      <c r="P461" s="31">
        <f t="shared" si="158"/>
        <v>1.44</v>
      </c>
      <c r="Q461" s="18">
        <f t="shared" si="150"/>
        <v>1.44</v>
      </c>
      <c r="R461" s="18">
        <v>48</v>
      </c>
      <c r="S461" s="18">
        <v>20</v>
      </c>
      <c r="T461" s="18">
        <v>0.48</v>
      </c>
      <c r="U461" s="18">
        <v>0</v>
      </c>
      <c r="V461" s="65">
        <f t="shared" si="164"/>
        <v>0</v>
      </c>
      <c r="W461" s="18">
        <v>6</v>
      </c>
      <c r="X461" s="18"/>
      <c r="Y461" s="18">
        <v>16</v>
      </c>
      <c r="Z461" s="31">
        <f t="shared" si="166"/>
        <v>93.75</v>
      </c>
      <c r="AA461" s="18">
        <v>0</v>
      </c>
      <c r="AB461" s="18" t="s">
        <v>330</v>
      </c>
      <c r="AC461" s="18" t="s">
        <v>333</v>
      </c>
      <c r="AD461" s="18" t="s">
        <v>335</v>
      </c>
      <c r="AE461" s="18">
        <v>20</v>
      </c>
      <c r="AF461" s="18">
        <v>48</v>
      </c>
      <c r="AG461" s="18" t="s">
        <v>29</v>
      </c>
      <c r="AH461" s="18" t="s">
        <v>29</v>
      </c>
      <c r="AI461" s="18" t="str">
        <f>+VLOOKUP(AH461,Leyenda!$O$4:$U$10,6,FALSE)</f>
        <v>0,25-0,35</v>
      </c>
      <c r="AJ461" s="18" t="str">
        <f>+VLOOKUP(AG461,Leyenda!$O$4:$U$10,7,FALSE)</f>
        <v>No Blasting need</v>
      </c>
      <c r="AK461" s="18">
        <f>+VLOOKUP(AJ461,Leyenda!$U$4:$V$10,2,FALSE)</f>
        <v>2</v>
      </c>
      <c r="AL461" s="18"/>
      <c r="AM461" s="18" t="s">
        <v>34</v>
      </c>
      <c r="AN461" s="18" t="s">
        <v>69</v>
      </c>
      <c r="AO461" s="18" t="s">
        <v>81</v>
      </c>
      <c r="AP461" s="18" t="s">
        <v>100</v>
      </c>
      <c r="AQ461" s="18" t="s">
        <v>107</v>
      </c>
      <c r="AR461" s="18" t="s">
        <v>120</v>
      </c>
      <c r="AS461" s="18" t="s">
        <v>247</v>
      </c>
      <c r="AT461" s="18"/>
      <c r="AU461" s="18"/>
      <c r="AV461" s="18">
        <f>+VLOOKUP(AN461,Leyenda!$B$30:$E$34,3,FALSE)</f>
        <v>0</v>
      </c>
      <c r="AW461" s="18">
        <f>+VLOOKUP('2. Logging Brejo Seco'!AO461,Meteorizacion,3,FALSE)</f>
        <v>0</v>
      </c>
      <c r="AX461" s="18">
        <f>+VLOOKUP('2. Logging Brejo Seco'!AP461,Apertura,3,FALSE)</f>
        <v>0</v>
      </c>
      <c r="AY461" s="18">
        <f>+VLOOKUP('2. Logging Brejo Seco'!AQ461,Leyenda!$B$55:$D$59,3,FALSE)</f>
        <v>3</v>
      </c>
      <c r="AZ461" s="18">
        <f>+VLOOKUP('2. Logging Brejo Seco'!AR461,Relleno,3,FALSE)</f>
        <v>2</v>
      </c>
      <c r="BA461" s="18">
        <f t="shared" si="165"/>
        <v>5</v>
      </c>
      <c r="BB461" s="49">
        <f t="shared" ref="BB461:BB492" si="167">ROUND(-0.0002*POWER(V461,2)+0.2197*V461,0)</f>
        <v>0</v>
      </c>
      <c r="BC461" s="49">
        <f>VLOOKUP(AH461,Leyenda!$B$4:$D$10,3,FALSE)</f>
        <v>2</v>
      </c>
      <c r="BD461" s="50">
        <f t="shared" si="155"/>
        <v>7</v>
      </c>
      <c r="BE461" s="49">
        <f t="shared" si="159"/>
        <v>5</v>
      </c>
      <c r="BF461" s="49">
        <v>10</v>
      </c>
      <c r="BG461" s="67">
        <f t="shared" ref="BG461:BG492" si="168">1.5*BA461+(V461*0.5)</f>
        <v>7.5</v>
      </c>
      <c r="BH461" s="67">
        <f>VLOOKUP(AG461,Leyenda!$B$4:$E$10,4,FALSE)</f>
        <v>2</v>
      </c>
      <c r="BI461" s="67">
        <f t="shared" si="156"/>
        <v>8</v>
      </c>
      <c r="BJ461" s="67">
        <f t="shared" ref="BJ461:BJ492" si="169">ROUND(-0.0002*POWER(V461,2)+0.2197*V461,0)</f>
        <v>0</v>
      </c>
      <c r="BK461" s="67">
        <f>+VLOOKUP('2. Logging Brejo Seco'!AP461,Leyenda!$B$47:$E$51,4,FALSE)</f>
        <v>0</v>
      </c>
      <c r="BL461" s="67">
        <f>+VLOOKUP('2. Logging Brejo Seco'!AQ461,Leyenda!$B$55:$E$59,4,FALSE)</f>
        <v>3</v>
      </c>
      <c r="BM461" s="67">
        <f>+VLOOKUP('2. Logging Brejo Seco'!AR461,Leyenda!$B$63:$E$67,3,FALSE)</f>
        <v>2</v>
      </c>
      <c r="BN461" s="67">
        <f>+VLOOKUP('2. Logging Brejo Seco'!AO461,Leyenda!$B$39:$E$43,4,FALSE)</f>
        <v>0</v>
      </c>
      <c r="BO461" s="67">
        <f>+VLOOKUP('2. Logging Brejo Seco'!AN461,Leyenda!$B$30:$E$34,4,FALSE)</f>
        <v>0</v>
      </c>
      <c r="BP461" s="67">
        <f>VLOOKUP(AS461,Leyenda!$B$71:$E$75,4,FALSE)</f>
        <v>7</v>
      </c>
      <c r="BQ461" s="67">
        <f t="shared" si="160"/>
        <v>22</v>
      </c>
      <c r="BR461" s="18">
        <f t="shared" si="161"/>
        <v>24</v>
      </c>
      <c r="BS461" s="240">
        <f t="shared" si="157"/>
        <v>4.0000000000000036E-2</v>
      </c>
      <c r="BT461" s="18"/>
    </row>
    <row r="462" spans="1:72" x14ac:dyDescent="0.25">
      <c r="A462" s="18" t="s">
        <v>6</v>
      </c>
      <c r="B462" s="18">
        <v>2024</v>
      </c>
      <c r="C462" s="18" t="s">
        <v>138</v>
      </c>
      <c r="D462" s="18" t="s">
        <v>134</v>
      </c>
      <c r="E462" s="18">
        <v>40</v>
      </c>
      <c r="F462" s="18">
        <v>30</v>
      </c>
      <c r="G462" s="18" t="s">
        <v>753</v>
      </c>
      <c r="H462" s="248">
        <f t="shared" si="163"/>
        <v>30</v>
      </c>
      <c r="I462" s="135"/>
      <c r="J462" s="18" t="s">
        <v>176</v>
      </c>
      <c r="K462" s="31">
        <f t="shared" si="149"/>
        <v>24.5</v>
      </c>
      <c r="L462" s="31">
        <v>25</v>
      </c>
      <c r="M462" s="4">
        <f t="shared" si="162"/>
        <v>0.5</v>
      </c>
      <c r="N462" s="5">
        <v>0.9</v>
      </c>
      <c r="O462" s="5">
        <f t="shared" si="154"/>
        <v>9.9999999999999978E-2</v>
      </c>
      <c r="P462" s="31">
        <f t="shared" si="158"/>
        <v>0.45</v>
      </c>
      <c r="Q462" s="18">
        <f t="shared" si="150"/>
        <v>0.45</v>
      </c>
      <c r="R462" s="18">
        <v>22.5</v>
      </c>
      <c r="S462" s="18">
        <v>20</v>
      </c>
      <c r="T462" s="18">
        <v>0.42</v>
      </c>
      <c r="U462" s="18">
        <v>0.22</v>
      </c>
      <c r="V462" s="65">
        <f t="shared" si="164"/>
        <v>44</v>
      </c>
      <c r="W462" s="18">
        <v>4</v>
      </c>
      <c r="X462" s="18"/>
      <c r="Y462" s="18">
        <f t="shared" si="148"/>
        <v>4</v>
      </c>
      <c r="Z462" s="31">
        <f t="shared" si="166"/>
        <v>125</v>
      </c>
      <c r="AA462" s="18">
        <v>0</v>
      </c>
      <c r="AB462" s="18" t="s">
        <v>330</v>
      </c>
      <c r="AC462" s="18" t="s">
        <v>333</v>
      </c>
      <c r="AD462" s="18" t="s">
        <v>335</v>
      </c>
      <c r="AE462" s="18">
        <v>20</v>
      </c>
      <c r="AF462" s="18">
        <v>22.5</v>
      </c>
      <c r="AG462" s="18" t="s">
        <v>29</v>
      </c>
      <c r="AH462" s="18" t="s">
        <v>29</v>
      </c>
      <c r="AI462" s="18" t="str">
        <f>+VLOOKUP(AH462,Leyenda!$O$4:$U$10,6,FALSE)</f>
        <v>0,25-0,35</v>
      </c>
      <c r="AJ462" s="18" t="str">
        <f>+VLOOKUP(AG462,Leyenda!$O$4:$U$10,7,FALSE)</f>
        <v>No Blasting need</v>
      </c>
      <c r="AK462" s="18">
        <f>+VLOOKUP(AJ462,Leyenda!$U$4:$V$10,2,FALSE)</f>
        <v>2</v>
      </c>
      <c r="AL462" s="18"/>
      <c r="AM462" s="18" t="s">
        <v>34</v>
      </c>
      <c r="AN462" s="18" t="s">
        <v>69</v>
      </c>
      <c r="AO462" s="18" t="s">
        <v>81</v>
      </c>
      <c r="AP462" s="18" t="s">
        <v>100</v>
      </c>
      <c r="AQ462" s="18" t="s">
        <v>107</v>
      </c>
      <c r="AR462" s="18" t="s">
        <v>120</v>
      </c>
      <c r="AS462" s="18" t="s">
        <v>247</v>
      </c>
      <c r="AT462" s="18"/>
      <c r="AU462" s="18"/>
      <c r="AV462" s="18">
        <f>+VLOOKUP(AN462,Leyenda!$B$30:$E$34,3,FALSE)</f>
        <v>0</v>
      </c>
      <c r="AW462" s="18">
        <f>+VLOOKUP('2. Logging Brejo Seco'!AO462,Meteorizacion,3,FALSE)</f>
        <v>0</v>
      </c>
      <c r="AX462" s="18">
        <f>+VLOOKUP('2. Logging Brejo Seco'!AP462,Apertura,3,FALSE)</f>
        <v>0</v>
      </c>
      <c r="AY462" s="18">
        <f>+VLOOKUP('2. Logging Brejo Seco'!AQ462,Leyenda!$B$55:$D$59,3,FALSE)</f>
        <v>3</v>
      </c>
      <c r="AZ462" s="18">
        <f>+VLOOKUP('2. Logging Brejo Seco'!AR462,Relleno,3,FALSE)</f>
        <v>2</v>
      </c>
      <c r="BA462" s="18">
        <f t="shared" si="165"/>
        <v>5</v>
      </c>
      <c r="BB462" s="49">
        <f t="shared" si="167"/>
        <v>9</v>
      </c>
      <c r="BC462" s="49">
        <f>VLOOKUP(AH462,Leyenda!$B$4:$D$10,3,FALSE)</f>
        <v>2</v>
      </c>
      <c r="BD462" s="50">
        <f t="shared" si="155"/>
        <v>8</v>
      </c>
      <c r="BE462" s="49">
        <f t="shared" si="159"/>
        <v>5</v>
      </c>
      <c r="BF462" s="49">
        <v>10</v>
      </c>
      <c r="BG462" s="67">
        <f t="shared" si="168"/>
        <v>29.5</v>
      </c>
      <c r="BH462" s="67">
        <f>VLOOKUP(AG462,Leyenda!$B$4:$E$10,4,FALSE)</f>
        <v>2</v>
      </c>
      <c r="BI462" s="67">
        <f t="shared" si="156"/>
        <v>10</v>
      </c>
      <c r="BJ462" s="67">
        <f t="shared" si="169"/>
        <v>9</v>
      </c>
      <c r="BK462" s="67">
        <f>+VLOOKUP('2. Logging Brejo Seco'!AP462,Leyenda!$B$47:$E$51,4,FALSE)</f>
        <v>0</v>
      </c>
      <c r="BL462" s="67">
        <f>+VLOOKUP('2. Logging Brejo Seco'!AQ462,Leyenda!$B$55:$E$59,4,FALSE)</f>
        <v>3</v>
      </c>
      <c r="BM462" s="67">
        <f>+VLOOKUP('2. Logging Brejo Seco'!AR462,Leyenda!$B$63:$E$67,3,FALSE)</f>
        <v>2</v>
      </c>
      <c r="BN462" s="67">
        <f>+VLOOKUP('2. Logging Brejo Seco'!AO462,Leyenda!$B$39:$E$43,4,FALSE)</f>
        <v>0</v>
      </c>
      <c r="BO462" s="67">
        <f>+VLOOKUP('2. Logging Brejo Seco'!AN462,Leyenda!$B$30:$E$34,4,FALSE)</f>
        <v>0</v>
      </c>
      <c r="BP462" s="67">
        <f>VLOOKUP(AS462,Leyenda!$B$71:$E$75,4,FALSE)</f>
        <v>7</v>
      </c>
      <c r="BQ462" s="67">
        <f t="shared" si="160"/>
        <v>33</v>
      </c>
      <c r="BR462" s="18">
        <f t="shared" si="161"/>
        <v>34</v>
      </c>
      <c r="BS462" s="240">
        <f t="shared" si="157"/>
        <v>9.9999999999999978E-2</v>
      </c>
      <c r="BT462" s="18"/>
    </row>
    <row r="463" spans="1:72" x14ac:dyDescent="0.25">
      <c r="A463" s="18" t="s">
        <v>6</v>
      </c>
      <c r="B463" s="18">
        <v>2024</v>
      </c>
      <c r="C463" s="18" t="s">
        <v>138</v>
      </c>
      <c r="D463" s="18" t="s">
        <v>134</v>
      </c>
      <c r="E463" s="18">
        <v>40</v>
      </c>
      <c r="F463" s="18">
        <v>30</v>
      </c>
      <c r="G463" s="18" t="s">
        <v>753</v>
      </c>
      <c r="H463" s="248">
        <f t="shared" si="163"/>
        <v>30</v>
      </c>
      <c r="I463" s="135"/>
      <c r="J463" s="18" t="s">
        <v>177</v>
      </c>
      <c r="K463" s="31">
        <f>+L462</f>
        <v>25</v>
      </c>
      <c r="L463" s="31">
        <v>25.5</v>
      </c>
      <c r="M463" s="4">
        <f t="shared" si="162"/>
        <v>0.5</v>
      </c>
      <c r="N463" s="5">
        <v>0.9</v>
      </c>
      <c r="O463" s="5">
        <f t="shared" si="154"/>
        <v>9.9999999999999978E-2</v>
      </c>
      <c r="P463" s="31">
        <f t="shared" si="158"/>
        <v>0.45</v>
      </c>
      <c r="Q463" s="18">
        <f t="shared" si="150"/>
        <v>0.45</v>
      </c>
      <c r="R463" s="18">
        <v>22.5</v>
      </c>
      <c r="S463" s="18">
        <v>20</v>
      </c>
      <c r="T463" s="18">
        <v>0.43</v>
      </c>
      <c r="U463" s="18">
        <v>0.11</v>
      </c>
      <c r="V463" s="65">
        <f t="shared" si="164"/>
        <v>22</v>
      </c>
      <c r="W463" s="18">
        <v>6</v>
      </c>
      <c r="X463" s="18"/>
      <c r="Y463" s="18">
        <f t="shared" si="148"/>
        <v>6</v>
      </c>
      <c r="Z463" s="31">
        <f t="shared" si="166"/>
        <v>83.333333333333329</v>
      </c>
      <c r="AA463" s="18">
        <v>0</v>
      </c>
      <c r="AB463" s="18" t="s">
        <v>330</v>
      </c>
      <c r="AC463" s="18" t="s">
        <v>333</v>
      </c>
      <c r="AD463" s="18" t="s">
        <v>335</v>
      </c>
      <c r="AE463" s="18">
        <v>20</v>
      </c>
      <c r="AF463" s="18">
        <v>22.5</v>
      </c>
      <c r="AG463" s="18" t="s">
        <v>29</v>
      </c>
      <c r="AH463" s="18" t="s">
        <v>29</v>
      </c>
      <c r="AI463" s="18" t="str">
        <f>+VLOOKUP(AH463,Leyenda!$O$4:$U$10,6,FALSE)</f>
        <v>0,25-0,35</v>
      </c>
      <c r="AJ463" s="18" t="str">
        <f>+VLOOKUP(AG463,Leyenda!$O$4:$U$10,7,FALSE)</f>
        <v>No Blasting need</v>
      </c>
      <c r="AK463" s="18">
        <f>+VLOOKUP(AJ463,Leyenda!$U$4:$V$10,2,FALSE)</f>
        <v>2</v>
      </c>
      <c r="AL463" s="18"/>
      <c r="AM463" s="18" t="s">
        <v>34</v>
      </c>
      <c r="AN463" s="18" t="s">
        <v>69</v>
      </c>
      <c r="AO463" s="18" t="s">
        <v>81</v>
      </c>
      <c r="AP463" s="18" t="s">
        <v>100</v>
      </c>
      <c r="AQ463" s="18" t="s">
        <v>107</v>
      </c>
      <c r="AR463" s="18" t="s">
        <v>120</v>
      </c>
      <c r="AS463" s="18" t="s">
        <v>247</v>
      </c>
      <c r="AT463" s="18"/>
      <c r="AU463" s="18"/>
      <c r="AV463" s="18">
        <f>+VLOOKUP(AN463,Leyenda!$B$30:$E$34,3,FALSE)</f>
        <v>0</v>
      </c>
      <c r="AW463" s="18">
        <f>+VLOOKUP('2. Logging Brejo Seco'!AO463,Meteorizacion,3,FALSE)</f>
        <v>0</v>
      </c>
      <c r="AX463" s="18">
        <f>+VLOOKUP('2. Logging Brejo Seco'!AP463,Apertura,3,FALSE)</f>
        <v>0</v>
      </c>
      <c r="AY463" s="18">
        <f>+VLOOKUP('2. Logging Brejo Seco'!AQ463,Leyenda!$B$55:$D$59,3,FALSE)</f>
        <v>3</v>
      </c>
      <c r="AZ463" s="18">
        <f>+VLOOKUP('2. Logging Brejo Seco'!AR463,Relleno,3,FALSE)</f>
        <v>2</v>
      </c>
      <c r="BA463" s="18">
        <f t="shared" si="165"/>
        <v>5</v>
      </c>
      <c r="BB463" s="49">
        <f t="shared" si="167"/>
        <v>5</v>
      </c>
      <c r="BC463" s="49">
        <f>VLOOKUP(AH463,Leyenda!$B$4:$D$10,3,FALSE)</f>
        <v>2</v>
      </c>
      <c r="BD463" s="50">
        <f t="shared" si="155"/>
        <v>7</v>
      </c>
      <c r="BE463" s="49">
        <f t="shared" si="159"/>
        <v>5</v>
      </c>
      <c r="BF463" s="49">
        <v>10</v>
      </c>
      <c r="BG463" s="67">
        <f t="shared" si="168"/>
        <v>18.5</v>
      </c>
      <c r="BH463" s="67">
        <f>VLOOKUP(AG463,Leyenda!$B$4:$E$10,4,FALSE)</f>
        <v>2</v>
      </c>
      <c r="BI463" s="67">
        <f t="shared" si="156"/>
        <v>7</v>
      </c>
      <c r="BJ463" s="67">
        <f t="shared" si="169"/>
        <v>5</v>
      </c>
      <c r="BK463" s="67">
        <f>+VLOOKUP('2. Logging Brejo Seco'!AP463,Leyenda!$B$47:$E$51,4,FALSE)</f>
        <v>0</v>
      </c>
      <c r="BL463" s="67">
        <f>+VLOOKUP('2. Logging Brejo Seco'!AQ463,Leyenda!$B$55:$E$59,4,FALSE)</f>
        <v>3</v>
      </c>
      <c r="BM463" s="67">
        <f>+VLOOKUP('2. Logging Brejo Seco'!AR463,Leyenda!$B$63:$E$67,3,FALSE)</f>
        <v>2</v>
      </c>
      <c r="BN463" s="67">
        <f>+VLOOKUP('2. Logging Brejo Seco'!AO463,Leyenda!$B$39:$E$43,4,FALSE)</f>
        <v>0</v>
      </c>
      <c r="BO463" s="67">
        <f>+VLOOKUP('2. Logging Brejo Seco'!AN463,Leyenda!$B$30:$E$34,4,FALSE)</f>
        <v>0</v>
      </c>
      <c r="BP463" s="67">
        <f>VLOOKUP(AS463,Leyenda!$B$71:$E$75,4,FALSE)</f>
        <v>7</v>
      </c>
      <c r="BQ463" s="67">
        <f t="shared" si="160"/>
        <v>26</v>
      </c>
      <c r="BR463" s="18">
        <f t="shared" si="161"/>
        <v>29</v>
      </c>
      <c r="BS463" s="240">
        <f t="shared" si="157"/>
        <v>9.9999999999999978E-2</v>
      </c>
      <c r="BT463" s="18"/>
    </row>
    <row r="464" spans="1:72" x14ac:dyDescent="0.25">
      <c r="A464" s="18" t="s">
        <v>6</v>
      </c>
      <c r="B464" s="18">
        <v>2024</v>
      </c>
      <c r="C464" s="18" t="s">
        <v>138</v>
      </c>
      <c r="D464" s="18" t="s">
        <v>134</v>
      </c>
      <c r="E464" s="18">
        <v>40</v>
      </c>
      <c r="F464" s="18">
        <v>30</v>
      </c>
      <c r="G464" s="18" t="s">
        <v>753</v>
      </c>
      <c r="H464" s="248">
        <f t="shared" si="163"/>
        <v>30</v>
      </c>
      <c r="I464" s="135"/>
      <c r="J464" s="18" t="s">
        <v>177</v>
      </c>
      <c r="K464" s="31">
        <f t="shared" ref="K464:K472" si="170">+L463</f>
        <v>25.5</v>
      </c>
      <c r="L464" s="31">
        <v>26</v>
      </c>
      <c r="M464" s="4">
        <f t="shared" si="162"/>
        <v>0.5</v>
      </c>
      <c r="N464" s="5">
        <v>1</v>
      </c>
      <c r="O464" s="5">
        <f t="shared" si="154"/>
        <v>0</v>
      </c>
      <c r="P464" s="31">
        <f t="shared" si="158"/>
        <v>0.5</v>
      </c>
      <c r="Q464" s="18">
        <f t="shared" si="150"/>
        <v>0.5</v>
      </c>
      <c r="R464" s="18">
        <v>25</v>
      </c>
      <c r="S464" s="18">
        <v>20</v>
      </c>
      <c r="T464" s="18">
        <v>0.39</v>
      </c>
      <c r="U464" s="18">
        <v>0.15</v>
      </c>
      <c r="V464" s="65">
        <f t="shared" si="164"/>
        <v>30</v>
      </c>
      <c r="W464" s="18">
        <v>4</v>
      </c>
      <c r="X464" s="18"/>
      <c r="Y464" s="18">
        <f t="shared" si="148"/>
        <v>4</v>
      </c>
      <c r="Z464" s="31">
        <f t="shared" si="166"/>
        <v>125</v>
      </c>
      <c r="AA464" s="18">
        <v>0</v>
      </c>
      <c r="AB464" s="18" t="s">
        <v>330</v>
      </c>
      <c r="AC464" s="18" t="s">
        <v>333</v>
      </c>
      <c r="AD464" s="18" t="s">
        <v>335</v>
      </c>
      <c r="AE464" s="18">
        <v>20</v>
      </c>
      <c r="AF464" s="18">
        <v>25</v>
      </c>
      <c r="AG464" s="18" t="s">
        <v>29</v>
      </c>
      <c r="AH464" s="18" t="s">
        <v>29</v>
      </c>
      <c r="AI464" s="18" t="str">
        <f>+VLOOKUP(AH464,Leyenda!$O$4:$U$10,6,FALSE)</f>
        <v>0,25-0,35</v>
      </c>
      <c r="AJ464" s="18" t="str">
        <f>+VLOOKUP(AG464,Leyenda!$O$4:$U$10,7,FALSE)</f>
        <v>No Blasting need</v>
      </c>
      <c r="AK464" s="18">
        <f>+VLOOKUP(AJ464,Leyenda!$U$4:$V$10,2,FALSE)</f>
        <v>2</v>
      </c>
      <c r="AL464" s="18"/>
      <c r="AM464" s="18" t="s">
        <v>34</v>
      </c>
      <c r="AN464" s="18" t="s">
        <v>69</v>
      </c>
      <c r="AO464" s="18" t="s">
        <v>81</v>
      </c>
      <c r="AP464" s="18" t="s">
        <v>100</v>
      </c>
      <c r="AQ464" s="18" t="s">
        <v>107</v>
      </c>
      <c r="AR464" s="18" t="s">
        <v>120</v>
      </c>
      <c r="AS464" s="18" t="s">
        <v>247</v>
      </c>
      <c r="AT464" s="18"/>
      <c r="AU464" s="18"/>
      <c r="AV464" s="18">
        <f>+VLOOKUP(AN464,Leyenda!$B$30:$E$34,3,FALSE)</f>
        <v>0</v>
      </c>
      <c r="AW464" s="18">
        <f>+VLOOKUP('2. Logging Brejo Seco'!AO464,Meteorizacion,3,FALSE)</f>
        <v>0</v>
      </c>
      <c r="AX464" s="18">
        <f>+VLOOKUP('2. Logging Brejo Seco'!AP464,Apertura,3,FALSE)</f>
        <v>0</v>
      </c>
      <c r="AY464" s="18">
        <f>+VLOOKUP('2. Logging Brejo Seco'!AQ464,Leyenda!$B$55:$D$59,3,FALSE)</f>
        <v>3</v>
      </c>
      <c r="AZ464" s="18">
        <f>+VLOOKUP('2. Logging Brejo Seco'!AR464,Relleno,3,FALSE)</f>
        <v>2</v>
      </c>
      <c r="BA464" s="18">
        <f t="shared" si="165"/>
        <v>5</v>
      </c>
      <c r="BB464" s="49">
        <f t="shared" si="167"/>
        <v>6</v>
      </c>
      <c r="BC464" s="49">
        <f>VLOOKUP(AH464,Leyenda!$B$4:$D$10,3,FALSE)</f>
        <v>2</v>
      </c>
      <c r="BD464" s="50">
        <f t="shared" si="155"/>
        <v>8</v>
      </c>
      <c r="BE464" s="49">
        <f t="shared" si="159"/>
        <v>5</v>
      </c>
      <c r="BF464" s="49">
        <f>VLOOKUP(AS464,Leyenda!$B$70:$D$75,3,FALSE)</f>
        <v>10</v>
      </c>
      <c r="BG464" s="67">
        <f t="shared" si="168"/>
        <v>22.5</v>
      </c>
      <c r="BH464" s="67">
        <f>VLOOKUP(AG464,Leyenda!$B$4:$E$10,4,FALSE)</f>
        <v>2</v>
      </c>
      <c r="BI464" s="67">
        <f t="shared" si="156"/>
        <v>10</v>
      </c>
      <c r="BJ464" s="67">
        <f t="shared" si="169"/>
        <v>6</v>
      </c>
      <c r="BK464" s="67">
        <f>+VLOOKUP('2. Logging Brejo Seco'!AP464,Leyenda!$B$47:$E$51,4,FALSE)</f>
        <v>0</v>
      </c>
      <c r="BL464" s="67">
        <f>+VLOOKUP('2. Logging Brejo Seco'!AQ464,Leyenda!$B$55:$E$59,4,FALSE)</f>
        <v>3</v>
      </c>
      <c r="BM464" s="67">
        <f>+VLOOKUP('2. Logging Brejo Seco'!AR464,Leyenda!$B$63:$E$67,3,FALSE)</f>
        <v>2</v>
      </c>
      <c r="BN464" s="67">
        <f>+VLOOKUP('2. Logging Brejo Seco'!AO464,Leyenda!$B$39:$E$43,4,FALSE)</f>
        <v>0</v>
      </c>
      <c r="BO464" s="67">
        <f>+VLOOKUP('2. Logging Brejo Seco'!AN464,Leyenda!$B$30:$E$34,4,FALSE)</f>
        <v>0</v>
      </c>
      <c r="BP464" s="67">
        <f>VLOOKUP(AS464,Leyenda!$B$71:$E$75,4,FALSE)</f>
        <v>7</v>
      </c>
      <c r="BQ464" s="67">
        <f t="shared" si="160"/>
        <v>30</v>
      </c>
      <c r="BR464" s="18">
        <f t="shared" si="161"/>
        <v>31</v>
      </c>
      <c r="BS464" s="240">
        <f t="shared" si="157"/>
        <v>0</v>
      </c>
      <c r="BT464" s="18"/>
    </row>
    <row r="465" spans="1:72" x14ac:dyDescent="0.25">
      <c r="A465" s="18" t="s">
        <v>6</v>
      </c>
      <c r="B465" s="18">
        <v>2024</v>
      </c>
      <c r="C465" s="18" t="s">
        <v>138</v>
      </c>
      <c r="D465" s="18" t="s">
        <v>134</v>
      </c>
      <c r="E465" s="18">
        <v>40</v>
      </c>
      <c r="F465" s="18">
        <v>30</v>
      </c>
      <c r="G465" s="18" t="s">
        <v>753</v>
      </c>
      <c r="H465" s="248">
        <f t="shared" si="163"/>
        <v>30</v>
      </c>
      <c r="I465" s="135"/>
      <c r="J465" s="18" t="s">
        <v>177</v>
      </c>
      <c r="K465" s="31">
        <f t="shared" si="170"/>
        <v>26</v>
      </c>
      <c r="L465" s="31">
        <v>26.5</v>
      </c>
      <c r="M465" s="4">
        <f t="shared" si="162"/>
        <v>0.5</v>
      </c>
      <c r="N465" s="5">
        <v>1</v>
      </c>
      <c r="O465" s="5">
        <f t="shared" si="154"/>
        <v>0</v>
      </c>
      <c r="P465" s="31">
        <f t="shared" si="158"/>
        <v>0.5</v>
      </c>
      <c r="Q465" s="18">
        <f t="shared" si="150"/>
        <v>0.5</v>
      </c>
      <c r="R465" s="18">
        <v>25</v>
      </c>
      <c r="S465" s="18">
        <v>20</v>
      </c>
      <c r="T465" s="18">
        <v>0.44</v>
      </c>
      <c r="U465" s="18">
        <v>0.13</v>
      </c>
      <c r="V465" s="65">
        <f t="shared" si="164"/>
        <v>26</v>
      </c>
      <c r="W465" s="18">
        <v>6</v>
      </c>
      <c r="X465" s="18"/>
      <c r="Y465" s="18">
        <f t="shared" si="148"/>
        <v>6</v>
      </c>
      <c r="Z465" s="31">
        <f t="shared" si="166"/>
        <v>83.333333333333329</v>
      </c>
      <c r="AA465" s="18">
        <v>0</v>
      </c>
      <c r="AB465" s="18" t="s">
        <v>330</v>
      </c>
      <c r="AC465" s="18" t="s">
        <v>333</v>
      </c>
      <c r="AD465" s="18" t="s">
        <v>335</v>
      </c>
      <c r="AE465" s="18">
        <v>20</v>
      </c>
      <c r="AF465" s="18">
        <v>25</v>
      </c>
      <c r="AG465" s="18" t="s">
        <v>29</v>
      </c>
      <c r="AH465" s="18" t="s">
        <v>29</v>
      </c>
      <c r="AI465" s="18" t="str">
        <f>+VLOOKUP(AH465,Leyenda!$O$4:$U$10,6,FALSE)</f>
        <v>0,25-0,35</v>
      </c>
      <c r="AJ465" s="18" t="str">
        <f>+VLOOKUP(AG465,Leyenda!$O$4:$U$10,7,FALSE)</f>
        <v>No Blasting need</v>
      </c>
      <c r="AK465" s="18">
        <f>+VLOOKUP(AJ465,Leyenda!$U$4:$V$10,2,FALSE)</f>
        <v>2</v>
      </c>
      <c r="AL465" s="18"/>
      <c r="AM465" s="18" t="s">
        <v>34</v>
      </c>
      <c r="AN465" s="18" t="s">
        <v>69</v>
      </c>
      <c r="AO465" s="18" t="s">
        <v>81</v>
      </c>
      <c r="AP465" s="18" t="s">
        <v>100</v>
      </c>
      <c r="AQ465" s="18" t="s">
        <v>107</v>
      </c>
      <c r="AR465" s="18" t="s">
        <v>120</v>
      </c>
      <c r="AS465" s="18" t="s">
        <v>247</v>
      </c>
      <c r="AT465" s="18"/>
      <c r="AU465" s="18"/>
      <c r="AV465" s="18">
        <f>+VLOOKUP(AN465,Leyenda!$B$30:$E$34,3,FALSE)</f>
        <v>0</v>
      </c>
      <c r="AW465" s="18">
        <f>+VLOOKUP('2. Logging Brejo Seco'!AO465,Meteorizacion,3,FALSE)</f>
        <v>0</v>
      </c>
      <c r="AX465" s="18">
        <f>+VLOOKUP('2. Logging Brejo Seco'!AP465,Apertura,3,FALSE)</f>
        <v>0</v>
      </c>
      <c r="AY465" s="18">
        <f>+VLOOKUP('2. Logging Brejo Seco'!AQ465,Leyenda!$B$55:$D$59,3,FALSE)</f>
        <v>3</v>
      </c>
      <c r="AZ465" s="18">
        <f>+VLOOKUP('2. Logging Brejo Seco'!AR465,Relleno,3,FALSE)</f>
        <v>2</v>
      </c>
      <c r="BA465" s="18">
        <f t="shared" si="165"/>
        <v>5</v>
      </c>
      <c r="BB465" s="49">
        <f t="shared" si="167"/>
        <v>6</v>
      </c>
      <c r="BC465" s="49">
        <f>VLOOKUP(AH465,Leyenda!$B$4:$D$10,3,FALSE)</f>
        <v>2</v>
      </c>
      <c r="BD465" s="50">
        <f t="shared" si="155"/>
        <v>7</v>
      </c>
      <c r="BE465" s="49">
        <f t="shared" si="159"/>
        <v>5</v>
      </c>
      <c r="BF465" s="49">
        <f>VLOOKUP(AS465,Leyenda!$B$70:$D$75,3,FALSE)</f>
        <v>10</v>
      </c>
      <c r="BG465" s="67">
        <f t="shared" si="168"/>
        <v>20.5</v>
      </c>
      <c r="BH465" s="67">
        <f>VLOOKUP(AG465,Leyenda!$B$4:$E$10,4,FALSE)</f>
        <v>2</v>
      </c>
      <c r="BI465" s="67">
        <f t="shared" si="156"/>
        <v>7</v>
      </c>
      <c r="BJ465" s="67">
        <f t="shared" si="169"/>
        <v>6</v>
      </c>
      <c r="BK465" s="67">
        <f>+VLOOKUP('2. Logging Brejo Seco'!AP465,Leyenda!$B$47:$E$51,4,FALSE)</f>
        <v>0</v>
      </c>
      <c r="BL465" s="67">
        <f>+VLOOKUP('2. Logging Brejo Seco'!AQ465,Leyenda!$B$55:$E$59,4,FALSE)</f>
        <v>3</v>
      </c>
      <c r="BM465" s="67">
        <f>+VLOOKUP('2. Logging Brejo Seco'!AR465,Leyenda!$B$63:$E$67,3,FALSE)</f>
        <v>2</v>
      </c>
      <c r="BN465" s="67">
        <f>+VLOOKUP('2. Logging Brejo Seco'!AO465,Leyenda!$B$39:$E$43,4,FALSE)</f>
        <v>0</v>
      </c>
      <c r="BO465" s="67">
        <f>+VLOOKUP('2. Logging Brejo Seco'!AN465,Leyenda!$B$30:$E$34,4,FALSE)</f>
        <v>0</v>
      </c>
      <c r="BP465" s="67">
        <f>VLOOKUP(AS465,Leyenda!$B$71:$E$75,4,FALSE)</f>
        <v>7</v>
      </c>
      <c r="BQ465" s="67">
        <f t="shared" si="160"/>
        <v>27</v>
      </c>
      <c r="BR465" s="18">
        <f t="shared" si="161"/>
        <v>30</v>
      </c>
      <c r="BS465" s="240">
        <f t="shared" si="157"/>
        <v>0</v>
      </c>
      <c r="BT465" s="18"/>
    </row>
    <row r="466" spans="1:72" x14ac:dyDescent="0.25">
      <c r="A466" s="18" t="s">
        <v>6</v>
      </c>
      <c r="B466" s="18">
        <v>2024</v>
      </c>
      <c r="C466" s="18" t="s">
        <v>138</v>
      </c>
      <c r="D466" s="18" t="s">
        <v>134</v>
      </c>
      <c r="E466" s="18">
        <v>40</v>
      </c>
      <c r="F466" s="18">
        <v>30</v>
      </c>
      <c r="G466" s="18" t="s">
        <v>753</v>
      </c>
      <c r="H466" s="248">
        <f t="shared" si="163"/>
        <v>30</v>
      </c>
      <c r="I466" s="135"/>
      <c r="J466" s="18" t="s">
        <v>177</v>
      </c>
      <c r="K466" s="31">
        <f t="shared" si="170"/>
        <v>26.5</v>
      </c>
      <c r="L466" s="31">
        <v>27</v>
      </c>
      <c r="M466" s="4">
        <f t="shared" si="162"/>
        <v>0.5</v>
      </c>
      <c r="N466" s="5">
        <v>1</v>
      </c>
      <c r="O466" s="5">
        <f t="shared" si="154"/>
        <v>0</v>
      </c>
      <c r="P466" s="31">
        <f t="shared" si="158"/>
        <v>0.5</v>
      </c>
      <c r="Q466" s="18">
        <f t="shared" si="150"/>
        <v>0.5</v>
      </c>
      <c r="R466" s="18">
        <v>25</v>
      </c>
      <c r="S466" s="18">
        <v>20</v>
      </c>
      <c r="T466" s="18">
        <v>0.45</v>
      </c>
      <c r="U466" s="18">
        <v>0</v>
      </c>
      <c r="V466" s="65">
        <f t="shared" si="164"/>
        <v>0</v>
      </c>
      <c r="W466" s="18">
        <v>7</v>
      </c>
      <c r="X466" s="18"/>
      <c r="Y466" s="18">
        <f t="shared" si="148"/>
        <v>7</v>
      </c>
      <c r="Z466" s="31">
        <f t="shared" si="166"/>
        <v>71.428571428571431</v>
      </c>
      <c r="AA466" s="18">
        <v>0</v>
      </c>
      <c r="AB466" s="18" t="s">
        <v>330</v>
      </c>
      <c r="AC466" s="18" t="s">
        <v>333</v>
      </c>
      <c r="AD466" s="18" t="s">
        <v>335</v>
      </c>
      <c r="AE466" s="18">
        <v>20</v>
      </c>
      <c r="AF466" s="18">
        <v>25</v>
      </c>
      <c r="AG466" s="18" t="s">
        <v>29</v>
      </c>
      <c r="AH466" s="18" t="s">
        <v>29</v>
      </c>
      <c r="AI466" s="18" t="str">
        <f>+VLOOKUP(AH466,Leyenda!$O$4:$U$10,6,FALSE)</f>
        <v>0,25-0,35</v>
      </c>
      <c r="AJ466" s="18" t="str">
        <f>+VLOOKUP(AG466,Leyenda!$O$4:$U$10,7,FALSE)</f>
        <v>No Blasting need</v>
      </c>
      <c r="AK466" s="18">
        <f>+VLOOKUP(AJ466,Leyenda!$U$4:$V$10,2,FALSE)</f>
        <v>2</v>
      </c>
      <c r="AL466" s="18"/>
      <c r="AM466" s="18" t="s">
        <v>34</v>
      </c>
      <c r="AN466" s="18" t="s">
        <v>69</v>
      </c>
      <c r="AO466" s="18" t="s">
        <v>81</v>
      </c>
      <c r="AP466" s="18" t="s">
        <v>100</v>
      </c>
      <c r="AQ466" s="18" t="s">
        <v>107</v>
      </c>
      <c r="AR466" s="18" t="s">
        <v>120</v>
      </c>
      <c r="AS466" s="18" t="s">
        <v>247</v>
      </c>
      <c r="AT466" s="18"/>
      <c r="AU466" s="18"/>
      <c r="AV466" s="18">
        <f>+VLOOKUP(AN466,Leyenda!$B$30:$E$34,3,FALSE)</f>
        <v>0</v>
      </c>
      <c r="AW466" s="18">
        <f>+VLOOKUP('2. Logging Brejo Seco'!AO466,Meteorizacion,3,FALSE)</f>
        <v>0</v>
      </c>
      <c r="AX466" s="18">
        <f>+VLOOKUP('2. Logging Brejo Seco'!AP466,Apertura,3,FALSE)</f>
        <v>0</v>
      </c>
      <c r="AY466" s="18">
        <f>+VLOOKUP('2. Logging Brejo Seco'!AQ466,Leyenda!$B$55:$D$59,3,FALSE)</f>
        <v>3</v>
      </c>
      <c r="AZ466" s="18">
        <f>+VLOOKUP('2. Logging Brejo Seco'!AR466,Relleno,3,FALSE)</f>
        <v>2</v>
      </c>
      <c r="BA466" s="18">
        <f t="shared" si="165"/>
        <v>5</v>
      </c>
      <c r="BB466" s="49">
        <f t="shared" si="167"/>
        <v>0</v>
      </c>
      <c r="BC466" s="49">
        <f>VLOOKUP(AH466,Leyenda!$B$4:$D$10,3,FALSE)</f>
        <v>2</v>
      </c>
      <c r="BD466" s="50">
        <f t="shared" si="155"/>
        <v>6</v>
      </c>
      <c r="BE466" s="49">
        <f t="shared" si="159"/>
        <v>5</v>
      </c>
      <c r="BF466" s="49">
        <f>VLOOKUP(AS466,Leyenda!$B$70:$D$75,3,FALSE)</f>
        <v>10</v>
      </c>
      <c r="BG466" s="67">
        <f t="shared" si="168"/>
        <v>7.5</v>
      </c>
      <c r="BH466" s="67">
        <f>VLOOKUP(AG466,Leyenda!$B$4:$E$10,4,FALSE)</f>
        <v>2</v>
      </c>
      <c r="BI466" s="67">
        <f t="shared" si="156"/>
        <v>6</v>
      </c>
      <c r="BJ466" s="67">
        <f t="shared" si="169"/>
        <v>0</v>
      </c>
      <c r="BK466" s="67">
        <f>+VLOOKUP('2. Logging Brejo Seco'!AP466,Leyenda!$B$47:$E$51,4,FALSE)</f>
        <v>0</v>
      </c>
      <c r="BL466" s="67">
        <f>+VLOOKUP('2. Logging Brejo Seco'!AQ466,Leyenda!$B$55:$E$59,4,FALSE)</f>
        <v>3</v>
      </c>
      <c r="BM466" s="67">
        <f>+VLOOKUP('2. Logging Brejo Seco'!AR466,Leyenda!$B$63:$E$67,3,FALSE)</f>
        <v>2</v>
      </c>
      <c r="BN466" s="67">
        <f>+VLOOKUP('2. Logging Brejo Seco'!AO466,Leyenda!$B$39:$E$43,4,FALSE)</f>
        <v>0</v>
      </c>
      <c r="BO466" s="67">
        <f>+VLOOKUP('2. Logging Brejo Seco'!AN466,Leyenda!$B$30:$E$34,4,FALSE)</f>
        <v>0</v>
      </c>
      <c r="BP466" s="67">
        <f>VLOOKUP(AS466,Leyenda!$B$71:$E$75,4,FALSE)</f>
        <v>7</v>
      </c>
      <c r="BQ466" s="67">
        <f t="shared" si="160"/>
        <v>20</v>
      </c>
      <c r="BR466" s="18">
        <f t="shared" si="161"/>
        <v>23</v>
      </c>
      <c r="BS466" s="240">
        <f t="shared" si="157"/>
        <v>0</v>
      </c>
      <c r="BT466" s="18"/>
    </row>
    <row r="467" spans="1:72" x14ac:dyDescent="0.25">
      <c r="A467" s="18" t="s">
        <v>6</v>
      </c>
      <c r="B467" s="18">
        <v>2024</v>
      </c>
      <c r="C467" s="18" t="s">
        <v>138</v>
      </c>
      <c r="D467" s="18" t="s">
        <v>134</v>
      </c>
      <c r="E467" s="18">
        <v>40</v>
      </c>
      <c r="F467" s="18">
        <v>30</v>
      </c>
      <c r="G467" s="18" t="s">
        <v>753</v>
      </c>
      <c r="H467" s="248">
        <f t="shared" si="163"/>
        <v>30</v>
      </c>
      <c r="I467" s="135"/>
      <c r="J467" s="18" t="s">
        <v>177</v>
      </c>
      <c r="K467" s="31">
        <f t="shared" si="170"/>
        <v>27</v>
      </c>
      <c r="L467" s="31">
        <v>27.5</v>
      </c>
      <c r="M467" s="4">
        <f t="shared" si="162"/>
        <v>0.5</v>
      </c>
      <c r="N467" s="5">
        <v>0.92</v>
      </c>
      <c r="O467" s="5">
        <f t="shared" si="154"/>
        <v>7.999999999999996E-2</v>
      </c>
      <c r="P467" s="31">
        <f t="shared" si="158"/>
        <v>0.46</v>
      </c>
      <c r="Q467" s="18">
        <f t="shared" si="150"/>
        <v>0.46</v>
      </c>
      <c r="R467" s="18">
        <v>23</v>
      </c>
      <c r="S467" s="18">
        <v>20</v>
      </c>
      <c r="T467" s="18">
        <v>0.39</v>
      </c>
      <c r="U467" s="18">
        <v>0.33</v>
      </c>
      <c r="V467" s="65">
        <f t="shared" si="164"/>
        <v>66</v>
      </c>
      <c r="W467" s="18">
        <v>4</v>
      </c>
      <c r="X467" s="18"/>
      <c r="Y467" s="18">
        <f t="shared" si="148"/>
        <v>4</v>
      </c>
      <c r="Z467" s="31">
        <f t="shared" si="166"/>
        <v>125</v>
      </c>
      <c r="AA467" s="18">
        <v>0</v>
      </c>
      <c r="AB467" s="18" t="s">
        <v>330</v>
      </c>
      <c r="AC467" s="18" t="s">
        <v>333</v>
      </c>
      <c r="AD467" s="18" t="s">
        <v>335</v>
      </c>
      <c r="AE467" s="18">
        <v>20</v>
      </c>
      <c r="AF467" s="18">
        <v>23</v>
      </c>
      <c r="AG467" s="18" t="s">
        <v>29</v>
      </c>
      <c r="AH467" s="18" t="s">
        <v>29</v>
      </c>
      <c r="AI467" s="18" t="str">
        <f>+VLOOKUP(AH467,Leyenda!$O$4:$U$10,6,FALSE)</f>
        <v>0,25-0,35</v>
      </c>
      <c r="AJ467" s="18" t="str">
        <f>+VLOOKUP(AG467,Leyenda!$O$4:$U$10,7,FALSE)</f>
        <v>No Blasting need</v>
      </c>
      <c r="AK467" s="18">
        <f>+VLOOKUP(AJ467,Leyenda!$U$4:$V$10,2,FALSE)</f>
        <v>2</v>
      </c>
      <c r="AL467" s="18"/>
      <c r="AM467" s="18" t="s">
        <v>34</v>
      </c>
      <c r="AN467" s="18" t="s">
        <v>69</v>
      </c>
      <c r="AO467" s="18" t="s">
        <v>81</v>
      </c>
      <c r="AP467" s="18" t="s">
        <v>100</v>
      </c>
      <c r="AQ467" s="18" t="s">
        <v>109</v>
      </c>
      <c r="AR467" s="18" t="s">
        <v>122</v>
      </c>
      <c r="AS467" s="18" t="s">
        <v>247</v>
      </c>
      <c r="AT467" s="18"/>
      <c r="AU467" s="18"/>
      <c r="AV467" s="18">
        <f>+VLOOKUP(AN467,Leyenda!$B$30:$E$34,3,FALSE)</f>
        <v>0</v>
      </c>
      <c r="AW467" s="18">
        <f>+VLOOKUP('2. Logging Brejo Seco'!AO467,Meteorizacion,3,FALSE)</f>
        <v>0</v>
      </c>
      <c r="AX467" s="18">
        <f>+VLOOKUP('2. Logging Brejo Seco'!AP467,Apertura,3,FALSE)</f>
        <v>0</v>
      </c>
      <c r="AY467" s="18">
        <f>+VLOOKUP('2. Logging Brejo Seco'!AQ467,Leyenda!$B$55:$D$59,3,FALSE)</f>
        <v>1</v>
      </c>
      <c r="AZ467" s="18">
        <f>+VLOOKUP('2. Logging Brejo Seco'!AR467,Relleno,3,FALSE)</f>
        <v>0</v>
      </c>
      <c r="BA467" s="18">
        <f t="shared" si="165"/>
        <v>1</v>
      </c>
      <c r="BB467" s="49">
        <f t="shared" si="167"/>
        <v>14</v>
      </c>
      <c r="BC467" s="49">
        <f>VLOOKUP(AH467,Leyenda!$B$4:$D$10,3,FALSE)</f>
        <v>2</v>
      </c>
      <c r="BD467" s="50">
        <f t="shared" si="155"/>
        <v>8</v>
      </c>
      <c r="BE467" s="49">
        <f t="shared" si="159"/>
        <v>1</v>
      </c>
      <c r="BF467" s="49">
        <f>VLOOKUP(AS467,Leyenda!$B$70:$D$75,3,FALSE)</f>
        <v>10</v>
      </c>
      <c r="BG467" s="67">
        <f t="shared" si="168"/>
        <v>34.5</v>
      </c>
      <c r="BH467" s="67">
        <f>VLOOKUP(AG467,Leyenda!$B$4:$E$10,4,FALSE)</f>
        <v>2</v>
      </c>
      <c r="BI467" s="67">
        <f t="shared" si="156"/>
        <v>10</v>
      </c>
      <c r="BJ467" s="67">
        <f t="shared" si="169"/>
        <v>14</v>
      </c>
      <c r="BK467" s="67">
        <f>+VLOOKUP('2. Logging Brejo Seco'!AP467,Leyenda!$B$47:$E$51,4,FALSE)</f>
        <v>0</v>
      </c>
      <c r="BL467" s="67">
        <f>+VLOOKUP('2. Logging Brejo Seco'!AQ467,Leyenda!$B$55:$E$59,4,FALSE)</f>
        <v>1</v>
      </c>
      <c r="BM467" s="67">
        <f>+VLOOKUP('2. Logging Brejo Seco'!AR467,Leyenda!$B$63:$E$67,3,FALSE)</f>
        <v>0</v>
      </c>
      <c r="BN467" s="67">
        <f>+VLOOKUP('2. Logging Brejo Seco'!AO467,Leyenda!$B$39:$E$43,4,FALSE)</f>
        <v>0</v>
      </c>
      <c r="BO467" s="67">
        <f>+VLOOKUP('2. Logging Brejo Seco'!AN467,Leyenda!$B$30:$E$34,4,FALSE)</f>
        <v>0</v>
      </c>
      <c r="BP467" s="67">
        <f>VLOOKUP(AS467,Leyenda!$B$71:$E$75,4,FALSE)</f>
        <v>7</v>
      </c>
      <c r="BQ467" s="67">
        <f t="shared" si="160"/>
        <v>34</v>
      </c>
      <c r="BR467" s="18">
        <f t="shared" si="161"/>
        <v>35</v>
      </c>
      <c r="BS467" s="240">
        <f t="shared" si="157"/>
        <v>7.999999999999996E-2</v>
      </c>
      <c r="BT467" s="18"/>
    </row>
    <row r="468" spans="1:72" x14ac:dyDescent="0.25">
      <c r="A468" s="18" t="s">
        <v>6</v>
      </c>
      <c r="B468" s="18">
        <v>2024</v>
      </c>
      <c r="C468" s="18" t="s">
        <v>138</v>
      </c>
      <c r="D468" s="18" t="s">
        <v>134</v>
      </c>
      <c r="E468" s="18">
        <v>40</v>
      </c>
      <c r="F468" s="18">
        <v>30</v>
      </c>
      <c r="G468" s="18" t="s">
        <v>753</v>
      </c>
      <c r="H468" s="248">
        <f t="shared" si="163"/>
        <v>30</v>
      </c>
      <c r="I468" s="135"/>
      <c r="J468" s="18" t="s">
        <v>177</v>
      </c>
      <c r="K468" s="31">
        <f t="shared" si="170"/>
        <v>27.5</v>
      </c>
      <c r="L468" s="31">
        <v>28</v>
      </c>
      <c r="M468" s="4">
        <f t="shared" si="162"/>
        <v>0.5</v>
      </c>
      <c r="N468" s="5">
        <v>1</v>
      </c>
      <c r="O468" s="5">
        <f t="shared" si="154"/>
        <v>0</v>
      </c>
      <c r="P468" s="31">
        <f t="shared" si="158"/>
        <v>0.5</v>
      </c>
      <c r="Q468" s="18">
        <f t="shared" si="150"/>
        <v>0.5</v>
      </c>
      <c r="R468" s="18">
        <v>25</v>
      </c>
      <c r="S468" s="18">
        <v>20</v>
      </c>
      <c r="T468" s="18">
        <v>0.41</v>
      </c>
      <c r="U468" s="18">
        <v>0.18</v>
      </c>
      <c r="V468" s="65">
        <f t="shared" si="164"/>
        <v>36</v>
      </c>
      <c r="W468" s="18">
        <v>4</v>
      </c>
      <c r="X468" s="18"/>
      <c r="Y468" s="18">
        <f t="shared" si="148"/>
        <v>4</v>
      </c>
      <c r="Z468" s="31">
        <f t="shared" si="166"/>
        <v>125</v>
      </c>
      <c r="AA468" s="18">
        <v>0</v>
      </c>
      <c r="AB468" s="18" t="s">
        <v>330</v>
      </c>
      <c r="AC468" s="18" t="s">
        <v>333</v>
      </c>
      <c r="AD468" s="18" t="s">
        <v>335</v>
      </c>
      <c r="AE468" s="18">
        <v>20</v>
      </c>
      <c r="AF468" s="18">
        <v>25</v>
      </c>
      <c r="AG468" s="18" t="s">
        <v>29</v>
      </c>
      <c r="AH468" s="18" t="s">
        <v>29</v>
      </c>
      <c r="AI468" s="18" t="str">
        <f>+VLOOKUP(AH468,Leyenda!$O$4:$U$10,6,FALSE)</f>
        <v>0,25-0,35</v>
      </c>
      <c r="AJ468" s="18" t="str">
        <f>+VLOOKUP(AG468,Leyenda!$O$4:$U$10,7,FALSE)</f>
        <v>No Blasting need</v>
      </c>
      <c r="AK468" s="18">
        <f>+VLOOKUP(AJ468,Leyenda!$U$4:$V$10,2,FALSE)</f>
        <v>2</v>
      </c>
      <c r="AL468" s="18"/>
      <c r="AM468" s="18" t="s">
        <v>34</v>
      </c>
      <c r="AN468" s="18" t="s">
        <v>69</v>
      </c>
      <c r="AO468" s="18" t="s">
        <v>81</v>
      </c>
      <c r="AP468" s="18" t="s">
        <v>100</v>
      </c>
      <c r="AQ468" s="18" t="s">
        <v>107</v>
      </c>
      <c r="AR468" s="18" t="s">
        <v>120</v>
      </c>
      <c r="AS468" s="18" t="s">
        <v>247</v>
      </c>
      <c r="AT468" s="18"/>
      <c r="AU468" s="18"/>
      <c r="AV468" s="18">
        <f>+VLOOKUP(AN468,Leyenda!$B$30:$E$34,3,FALSE)</f>
        <v>0</v>
      </c>
      <c r="AW468" s="18">
        <f>+VLOOKUP('2. Logging Brejo Seco'!AO468,Meteorizacion,3,FALSE)</f>
        <v>0</v>
      </c>
      <c r="AX468" s="18">
        <f>+VLOOKUP('2. Logging Brejo Seco'!AP468,Apertura,3,FALSE)</f>
        <v>0</v>
      </c>
      <c r="AY468" s="18">
        <f>+VLOOKUP('2. Logging Brejo Seco'!AQ468,Leyenda!$B$55:$D$59,3,FALSE)</f>
        <v>3</v>
      </c>
      <c r="AZ468" s="18">
        <f>+VLOOKUP('2. Logging Brejo Seco'!AR468,Relleno,3,FALSE)</f>
        <v>2</v>
      </c>
      <c r="BA468" s="18">
        <f t="shared" si="165"/>
        <v>5</v>
      </c>
      <c r="BB468" s="49">
        <f t="shared" si="167"/>
        <v>8</v>
      </c>
      <c r="BC468" s="49">
        <f>VLOOKUP(AH468,Leyenda!$B$4:$D$10,3,FALSE)</f>
        <v>2</v>
      </c>
      <c r="BD468" s="50">
        <f t="shared" si="155"/>
        <v>8</v>
      </c>
      <c r="BE468" s="49">
        <f t="shared" si="159"/>
        <v>5</v>
      </c>
      <c r="BF468" s="49">
        <f>VLOOKUP(AS468,Leyenda!$B$70:$D$75,3,FALSE)</f>
        <v>10</v>
      </c>
      <c r="BG468" s="67">
        <f t="shared" si="168"/>
        <v>25.5</v>
      </c>
      <c r="BH468" s="67">
        <f>VLOOKUP(AG468,Leyenda!$B$4:$E$10,4,FALSE)</f>
        <v>2</v>
      </c>
      <c r="BI468" s="67">
        <f t="shared" si="156"/>
        <v>10</v>
      </c>
      <c r="BJ468" s="67">
        <f t="shared" si="169"/>
        <v>8</v>
      </c>
      <c r="BK468" s="67">
        <f>+VLOOKUP('2. Logging Brejo Seco'!AP468,Leyenda!$B$47:$E$51,4,FALSE)</f>
        <v>0</v>
      </c>
      <c r="BL468" s="67">
        <f>+VLOOKUP('2. Logging Brejo Seco'!AQ468,Leyenda!$B$55:$E$59,4,FALSE)</f>
        <v>3</v>
      </c>
      <c r="BM468" s="67">
        <f>+VLOOKUP('2. Logging Brejo Seco'!AR468,Leyenda!$B$63:$E$67,3,FALSE)</f>
        <v>2</v>
      </c>
      <c r="BN468" s="67">
        <f>+VLOOKUP('2. Logging Brejo Seco'!AO468,Leyenda!$B$39:$E$43,4,FALSE)</f>
        <v>0</v>
      </c>
      <c r="BO468" s="67">
        <f>+VLOOKUP('2. Logging Brejo Seco'!AN468,Leyenda!$B$30:$E$34,4,FALSE)</f>
        <v>0</v>
      </c>
      <c r="BP468" s="67">
        <f>VLOOKUP(AS468,Leyenda!$B$71:$E$75,4,FALSE)</f>
        <v>7</v>
      </c>
      <c r="BQ468" s="67">
        <f t="shared" si="160"/>
        <v>32</v>
      </c>
      <c r="BR468" s="18">
        <f t="shared" si="161"/>
        <v>33</v>
      </c>
      <c r="BS468" s="240">
        <f t="shared" si="157"/>
        <v>0</v>
      </c>
      <c r="BT468" s="18"/>
    </row>
    <row r="469" spans="1:72" x14ac:dyDescent="0.25">
      <c r="A469" s="18" t="s">
        <v>6</v>
      </c>
      <c r="B469" s="18">
        <v>2024</v>
      </c>
      <c r="C469" s="18" t="s">
        <v>138</v>
      </c>
      <c r="D469" s="18" t="s">
        <v>134</v>
      </c>
      <c r="E469" s="18">
        <v>40</v>
      </c>
      <c r="F469" s="18">
        <v>30</v>
      </c>
      <c r="G469" s="18" t="s">
        <v>753</v>
      </c>
      <c r="H469" s="248">
        <f t="shared" si="163"/>
        <v>30</v>
      </c>
      <c r="I469" s="135"/>
      <c r="J469" s="18" t="s">
        <v>177</v>
      </c>
      <c r="K469" s="31">
        <f t="shared" si="170"/>
        <v>28</v>
      </c>
      <c r="L469" s="31">
        <v>28.5</v>
      </c>
      <c r="M469" s="4">
        <f t="shared" si="162"/>
        <v>0.5</v>
      </c>
      <c r="N469" s="5">
        <v>0.94</v>
      </c>
      <c r="O469" s="5">
        <f t="shared" si="154"/>
        <v>6.0000000000000053E-2</v>
      </c>
      <c r="P469" s="31">
        <f t="shared" si="158"/>
        <v>0.47</v>
      </c>
      <c r="Q469" s="18">
        <f t="shared" si="150"/>
        <v>0.47</v>
      </c>
      <c r="R469" s="18">
        <v>23.5</v>
      </c>
      <c r="S469" s="18">
        <v>20</v>
      </c>
      <c r="T469" s="18">
        <v>0.41</v>
      </c>
      <c r="U469" s="18">
        <v>0.25</v>
      </c>
      <c r="V469" s="65">
        <f t="shared" si="164"/>
        <v>50</v>
      </c>
      <c r="W469" s="18">
        <v>3</v>
      </c>
      <c r="X469" s="18"/>
      <c r="Y469" s="18">
        <f t="shared" si="148"/>
        <v>3</v>
      </c>
      <c r="Z469" s="31">
        <f t="shared" si="166"/>
        <v>166.66666666666666</v>
      </c>
      <c r="AA469" s="18">
        <v>0</v>
      </c>
      <c r="AB469" s="18" t="s">
        <v>330</v>
      </c>
      <c r="AC469" s="18" t="s">
        <v>333</v>
      </c>
      <c r="AD469" s="18" t="s">
        <v>335</v>
      </c>
      <c r="AE469" s="18">
        <v>20</v>
      </c>
      <c r="AF469" s="18">
        <v>23.5</v>
      </c>
      <c r="AG469" s="18" t="s">
        <v>29</v>
      </c>
      <c r="AH469" s="18" t="s">
        <v>29</v>
      </c>
      <c r="AI469" s="18" t="str">
        <f>+VLOOKUP(AH469,Leyenda!$O$4:$U$10,6,FALSE)</f>
        <v>0,25-0,35</v>
      </c>
      <c r="AJ469" s="18" t="str">
        <f>+VLOOKUP(AG469,Leyenda!$O$4:$U$10,7,FALSE)</f>
        <v>No Blasting need</v>
      </c>
      <c r="AK469" s="18">
        <f>+VLOOKUP(AJ469,Leyenda!$U$4:$V$10,2,FALSE)</f>
        <v>2</v>
      </c>
      <c r="AL469" s="18"/>
      <c r="AM469" s="18" t="s">
        <v>34</v>
      </c>
      <c r="AN469" s="18" t="s">
        <v>69</v>
      </c>
      <c r="AO469" s="18" t="s">
        <v>81</v>
      </c>
      <c r="AP469" s="18" t="s">
        <v>100</v>
      </c>
      <c r="AQ469" s="18" t="s">
        <v>107</v>
      </c>
      <c r="AR469" s="18" t="s">
        <v>120</v>
      </c>
      <c r="AS469" s="18" t="s">
        <v>247</v>
      </c>
      <c r="AT469" s="18"/>
      <c r="AU469" s="18"/>
      <c r="AV469" s="18">
        <f>+VLOOKUP(AN469,Leyenda!$B$30:$E$34,3,FALSE)</f>
        <v>0</v>
      </c>
      <c r="AW469" s="18">
        <f>+VLOOKUP('2. Logging Brejo Seco'!AO469,Meteorizacion,3,FALSE)</f>
        <v>0</v>
      </c>
      <c r="AX469" s="18">
        <f>+VLOOKUP('2. Logging Brejo Seco'!AP469,Apertura,3,FALSE)</f>
        <v>0</v>
      </c>
      <c r="AY469" s="18">
        <f>+VLOOKUP('2. Logging Brejo Seco'!AQ469,Leyenda!$B$55:$D$59,3,FALSE)</f>
        <v>3</v>
      </c>
      <c r="AZ469" s="18">
        <f>+VLOOKUP('2. Logging Brejo Seco'!AR469,Relleno,3,FALSE)</f>
        <v>2</v>
      </c>
      <c r="BA469" s="18">
        <f t="shared" si="165"/>
        <v>5</v>
      </c>
      <c r="BB469" s="49">
        <f t="shared" si="167"/>
        <v>10</v>
      </c>
      <c r="BC469" s="49">
        <f>VLOOKUP(AH469,Leyenda!$B$4:$D$10,3,FALSE)</f>
        <v>2</v>
      </c>
      <c r="BD469" s="50">
        <f t="shared" si="155"/>
        <v>9</v>
      </c>
      <c r="BE469" s="49">
        <f t="shared" si="159"/>
        <v>5</v>
      </c>
      <c r="BF469" s="49">
        <f>VLOOKUP(AS469,Leyenda!$B$70:$D$75,3,FALSE)</f>
        <v>10</v>
      </c>
      <c r="BG469" s="67">
        <f t="shared" si="168"/>
        <v>32.5</v>
      </c>
      <c r="BH469" s="67">
        <f>VLOOKUP(AG469,Leyenda!$B$4:$E$10,4,FALSE)</f>
        <v>2</v>
      </c>
      <c r="BI469" s="67">
        <f t="shared" si="156"/>
        <v>11</v>
      </c>
      <c r="BJ469" s="67">
        <f t="shared" si="169"/>
        <v>10</v>
      </c>
      <c r="BK469" s="67">
        <f>+VLOOKUP('2. Logging Brejo Seco'!AP469,Leyenda!$B$47:$E$51,4,FALSE)</f>
        <v>0</v>
      </c>
      <c r="BL469" s="67">
        <f>+VLOOKUP('2. Logging Brejo Seco'!AQ469,Leyenda!$B$55:$E$59,4,FALSE)</f>
        <v>3</v>
      </c>
      <c r="BM469" s="67">
        <f>+VLOOKUP('2. Logging Brejo Seco'!AR469,Leyenda!$B$63:$E$67,3,FALSE)</f>
        <v>2</v>
      </c>
      <c r="BN469" s="67">
        <f>+VLOOKUP('2. Logging Brejo Seco'!AO469,Leyenda!$B$39:$E$43,4,FALSE)</f>
        <v>0</v>
      </c>
      <c r="BO469" s="67">
        <f>+VLOOKUP('2. Logging Brejo Seco'!AN469,Leyenda!$B$30:$E$34,4,FALSE)</f>
        <v>0</v>
      </c>
      <c r="BP469" s="67">
        <f>VLOOKUP(AS469,Leyenda!$B$71:$E$75,4,FALSE)</f>
        <v>7</v>
      </c>
      <c r="BQ469" s="67">
        <f t="shared" si="160"/>
        <v>35</v>
      </c>
      <c r="BR469" s="18">
        <f t="shared" si="161"/>
        <v>36</v>
      </c>
      <c r="BS469" s="240">
        <f t="shared" si="157"/>
        <v>6.0000000000000053E-2</v>
      </c>
      <c r="BT469" s="18"/>
    </row>
    <row r="470" spans="1:72" x14ac:dyDescent="0.25">
      <c r="A470" s="18" t="s">
        <v>6</v>
      </c>
      <c r="B470" s="18">
        <v>2024</v>
      </c>
      <c r="C470" s="18" t="s">
        <v>138</v>
      </c>
      <c r="D470" s="18" t="s">
        <v>134</v>
      </c>
      <c r="E470" s="18">
        <v>40</v>
      </c>
      <c r="F470" s="18">
        <v>30</v>
      </c>
      <c r="G470" s="18" t="s">
        <v>753</v>
      </c>
      <c r="H470" s="248">
        <f t="shared" si="163"/>
        <v>30</v>
      </c>
      <c r="I470" s="135"/>
      <c r="J470" s="18" t="s">
        <v>177</v>
      </c>
      <c r="K470" s="31">
        <f t="shared" si="170"/>
        <v>28.5</v>
      </c>
      <c r="L470" s="31">
        <v>29</v>
      </c>
      <c r="M470" s="4">
        <f t="shared" si="162"/>
        <v>0.5</v>
      </c>
      <c r="N470" s="5">
        <v>0.2</v>
      </c>
      <c r="O470" s="5">
        <f t="shared" si="154"/>
        <v>0.8</v>
      </c>
      <c r="P470" s="31">
        <f t="shared" si="158"/>
        <v>0.1</v>
      </c>
      <c r="Q470" s="18">
        <f t="shared" si="150"/>
        <v>0.1</v>
      </c>
      <c r="R470" s="18">
        <v>5</v>
      </c>
      <c r="S470" s="18">
        <v>20</v>
      </c>
      <c r="T470" s="18">
        <v>0.2</v>
      </c>
      <c r="U470" s="18">
        <v>0</v>
      </c>
      <c r="V470" s="65">
        <f t="shared" si="164"/>
        <v>0</v>
      </c>
      <c r="W470" s="18">
        <v>5</v>
      </c>
      <c r="X470" s="18"/>
      <c r="Y470" s="18">
        <f t="shared" si="148"/>
        <v>5</v>
      </c>
      <c r="Z470" s="31">
        <f t="shared" si="166"/>
        <v>100</v>
      </c>
      <c r="AA470" s="18">
        <v>0</v>
      </c>
      <c r="AB470" s="18" t="s">
        <v>330</v>
      </c>
      <c r="AC470" s="18" t="s">
        <v>333</v>
      </c>
      <c r="AD470" s="18" t="s">
        <v>335</v>
      </c>
      <c r="AE470" s="18">
        <v>20</v>
      </c>
      <c r="AF470" s="18">
        <v>5</v>
      </c>
      <c r="AG470" s="18" t="s">
        <v>32</v>
      </c>
      <c r="AH470" s="18" t="s">
        <v>32</v>
      </c>
      <c r="AI470" s="18" t="str">
        <f>+VLOOKUP(AH470,Leyenda!$O$4:$U$10,6,FALSE)</f>
        <v>0,15-0,25</v>
      </c>
      <c r="AJ470" s="18" t="str">
        <f>+VLOOKUP(AG470,Leyenda!$O$4:$U$10,7,FALSE)</f>
        <v>No Blasting need</v>
      </c>
      <c r="AK470" s="18">
        <f>+VLOOKUP(AJ470,Leyenda!$U$4:$V$10,2,FALSE)</f>
        <v>2</v>
      </c>
      <c r="AL470" s="18"/>
      <c r="AM470" s="18" t="s">
        <v>34</v>
      </c>
      <c r="AN470" s="18" t="s">
        <v>69</v>
      </c>
      <c r="AO470" s="18" t="s">
        <v>81</v>
      </c>
      <c r="AP470" s="18" t="s">
        <v>100</v>
      </c>
      <c r="AQ470" s="18" t="s">
        <v>107</v>
      </c>
      <c r="AR470" s="18" t="s">
        <v>120</v>
      </c>
      <c r="AS470" s="18" t="s">
        <v>247</v>
      </c>
      <c r="AT470" s="18"/>
      <c r="AU470" s="18"/>
      <c r="AV470" s="18">
        <f>+VLOOKUP(AN470,Leyenda!$B$30:$E$34,3,FALSE)</f>
        <v>0</v>
      </c>
      <c r="AW470" s="18">
        <f>+VLOOKUP('2. Logging Brejo Seco'!AO470,Meteorizacion,3,FALSE)</f>
        <v>0</v>
      </c>
      <c r="AX470" s="18">
        <f>+VLOOKUP('2. Logging Brejo Seco'!AP470,Apertura,3,FALSE)</f>
        <v>0</v>
      </c>
      <c r="AY470" s="18">
        <f>+VLOOKUP('2. Logging Brejo Seco'!AQ470,Leyenda!$B$55:$D$59,3,FALSE)</f>
        <v>3</v>
      </c>
      <c r="AZ470" s="18">
        <f>+VLOOKUP('2. Logging Brejo Seco'!AR470,Relleno,3,FALSE)</f>
        <v>2</v>
      </c>
      <c r="BA470" s="18">
        <f t="shared" si="165"/>
        <v>5</v>
      </c>
      <c r="BB470" s="49">
        <f t="shared" si="167"/>
        <v>0</v>
      </c>
      <c r="BC470" s="49">
        <f>VLOOKUP(AH470,Leyenda!$B$4:$D$10,3,FALSE)</f>
        <v>1</v>
      </c>
      <c r="BD470" s="50">
        <f t="shared" si="155"/>
        <v>7</v>
      </c>
      <c r="BE470" s="49">
        <f t="shared" si="159"/>
        <v>5</v>
      </c>
      <c r="BF470" s="49">
        <f>VLOOKUP(AS470,Leyenda!$B$70:$D$75,3,FALSE)</f>
        <v>10</v>
      </c>
      <c r="BG470" s="67">
        <f t="shared" si="168"/>
        <v>7.5</v>
      </c>
      <c r="BH470" s="67">
        <f>VLOOKUP(AG470,Leyenda!$B$4:$E$10,4,FALSE)</f>
        <v>1</v>
      </c>
      <c r="BI470" s="67">
        <f t="shared" si="156"/>
        <v>8</v>
      </c>
      <c r="BJ470" s="67">
        <f t="shared" si="169"/>
        <v>0</v>
      </c>
      <c r="BK470" s="67">
        <f>+VLOOKUP('2. Logging Brejo Seco'!AP470,Leyenda!$B$47:$E$51,4,FALSE)</f>
        <v>0</v>
      </c>
      <c r="BL470" s="67">
        <f>+VLOOKUP('2. Logging Brejo Seco'!AQ470,Leyenda!$B$55:$E$59,4,FALSE)</f>
        <v>3</v>
      </c>
      <c r="BM470" s="67">
        <f>+VLOOKUP('2. Logging Brejo Seco'!AR470,Leyenda!$B$63:$E$67,3,FALSE)</f>
        <v>2</v>
      </c>
      <c r="BN470" s="67">
        <f>+VLOOKUP('2. Logging Brejo Seco'!AO470,Leyenda!$B$39:$E$43,4,FALSE)</f>
        <v>0</v>
      </c>
      <c r="BO470" s="67">
        <f>+VLOOKUP('2. Logging Brejo Seco'!AN470,Leyenda!$B$30:$E$34,4,FALSE)</f>
        <v>0</v>
      </c>
      <c r="BP470" s="67">
        <f>VLOOKUP(AS470,Leyenda!$B$71:$E$75,4,FALSE)</f>
        <v>7</v>
      </c>
      <c r="BQ470" s="67">
        <f t="shared" si="160"/>
        <v>21</v>
      </c>
      <c r="BR470" s="18">
        <f t="shared" si="161"/>
        <v>23</v>
      </c>
      <c r="BS470" s="240">
        <f t="shared" si="157"/>
        <v>0.8</v>
      </c>
      <c r="BT470" s="18"/>
    </row>
    <row r="471" spans="1:72" x14ac:dyDescent="0.25">
      <c r="A471" s="18" t="s">
        <v>6</v>
      </c>
      <c r="B471" s="18">
        <v>2024</v>
      </c>
      <c r="C471" s="18" t="s">
        <v>138</v>
      </c>
      <c r="D471" s="18" t="s">
        <v>134</v>
      </c>
      <c r="E471" s="18">
        <v>40</v>
      </c>
      <c r="F471" s="18">
        <v>30</v>
      </c>
      <c r="G471" s="18" t="s">
        <v>753</v>
      </c>
      <c r="H471" s="248">
        <f t="shared" si="163"/>
        <v>30</v>
      </c>
      <c r="I471" s="135"/>
      <c r="J471" s="18" t="s">
        <v>178</v>
      </c>
      <c r="K471" s="31">
        <f t="shared" si="170"/>
        <v>29</v>
      </c>
      <c r="L471" s="31">
        <v>29.5</v>
      </c>
      <c r="M471" s="4">
        <f t="shared" si="162"/>
        <v>0.5</v>
      </c>
      <c r="N471" s="5">
        <v>0.54</v>
      </c>
      <c r="O471" s="5">
        <f t="shared" si="154"/>
        <v>0.45999999999999996</v>
      </c>
      <c r="P471" s="31">
        <f t="shared" si="158"/>
        <v>0.27</v>
      </c>
      <c r="Q471" s="18">
        <f t="shared" si="150"/>
        <v>0.27</v>
      </c>
      <c r="R471" s="18">
        <v>13.5</v>
      </c>
      <c r="S471" s="18">
        <v>20</v>
      </c>
      <c r="T471" s="18">
        <v>0.23</v>
      </c>
      <c r="U471" s="18">
        <v>0</v>
      </c>
      <c r="V471" s="65">
        <f t="shared" si="164"/>
        <v>0</v>
      </c>
      <c r="W471" s="18">
        <v>4</v>
      </c>
      <c r="X471" s="18"/>
      <c r="Y471" s="18">
        <f t="shared" si="148"/>
        <v>4</v>
      </c>
      <c r="Z471" s="31">
        <f t="shared" si="166"/>
        <v>125</v>
      </c>
      <c r="AA471" s="18">
        <v>0</v>
      </c>
      <c r="AB471" s="18" t="s">
        <v>330</v>
      </c>
      <c r="AC471" s="18" t="s">
        <v>333</v>
      </c>
      <c r="AD471" s="18" t="s">
        <v>335</v>
      </c>
      <c r="AE471" s="18">
        <v>20</v>
      </c>
      <c r="AF471" s="18">
        <v>13.5</v>
      </c>
      <c r="AG471" s="18" t="s">
        <v>32</v>
      </c>
      <c r="AH471" s="18" t="s">
        <v>32</v>
      </c>
      <c r="AI471" s="18" t="str">
        <f>+VLOOKUP(AH471,Leyenda!$O$4:$U$10,6,FALSE)</f>
        <v>0,15-0,25</v>
      </c>
      <c r="AJ471" s="18" t="str">
        <f>+VLOOKUP(AG471,Leyenda!$O$4:$U$10,7,FALSE)</f>
        <v>No Blasting need</v>
      </c>
      <c r="AK471" s="18">
        <f>+VLOOKUP(AJ471,Leyenda!$U$4:$V$10,2,FALSE)</f>
        <v>2</v>
      </c>
      <c r="AL471" s="18"/>
      <c r="AM471" s="18" t="s">
        <v>34</v>
      </c>
      <c r="AN471" s="18" t="s">
        <v>69</v>
      </c>
      <c r="AO471" s="18" t="s">
        <v>81</v>
      </c>
      <c r="AP471" s="18" t="s">
        <v>100</v>
      </c>
      <c r="AQ471" s="18" t="s">
        <v>107</v>
      </c>
      <c r="AR471" s="18" t="s">
        <v>120</v>
      </c>
      <c r="AS471" s="18" t="s">
        <v>247</v>
      </c>
      <c r="AT471" s="18"/>
      <c r="AU471" s="18"/>
      <c r="AV471" s="18">
        <f>+VLOOKUP(AN471,Leyenda!$B$30:$E$34,3,FALSE)</f>
        <v>0</v>
      </c>
      <c r="AW471" s="18">
        <f>+VLOOKUP('2. Logging Brejo Seco'!AO471,Meteorizacion,3,FALSE)</f>
        <v>0</v>
      </c>
      <c r="AX471" s="18">
        <f>+VLOOKUP('2. Logging Brejo Seco'!AP471,Apertura,3,FALSE)</f>
        <v>0</v>
      </c>
      <c r="AY471" s="18">
        <f>+VLOOKUP('2. Logging Brejo Seco'!AQ471,Leyenda!$B$55:$D$59,3,FALSE)</f>
        <v>3</v>
      </c>
      <c r="AZ471" s="18">
        <f>+VLOOKUP('2. Logging Brejo Seco'!AR471,Relleno,3,FALSE)</f>
        <v>2</v>
      </c>
      <c r="BA471" s="18">
        <f t="shared" si="165"/>
        <v>5</v>
      </c>
      <c r="BB471" s="49">
        <f t="shared" si="167"/>
        <v>0</v>
      </c>
      <c r="BC471" s="49">
        <f>VLOOKUP(AH471,Leyenda!$B$4:$D$10,3,FALSE)</f>
        <v>1</v>
      </c>
      <c r="BD471" s="50">
        <f t="shared" si="155"/>
        <v>8</v>
      </c>
      <c r="BE471" s="49">
        <f t="shared" si="159"/>
        <v>5</v>
      </c>
      <c r="BF471" s="49">
        <f>VLOOKUP(AS471,Leyenda!$B$70:$D$75,3,FALSE)</f>
        <v>10</v>
      </c>
      <c r="BG471" s="67">
        <f t="shared" si="168"/>
        <v>7.5</v>
      </c>
      <c r="BH471" s="67">
        <f>VLOOKUP(AG471,Leyenda!$B$4:$E$10,4,FALSE)</f>
        <v>1</v>
      </c>
      <c r="BI471" s="67">
        <f t="shared" si="156"/>
        <v>10</v>
      </c>
      <c r="BJ471" s="67">
        <f t="shared" si="169"/>
        <v>0</v>
      </c>
      <c r="BK471" s="67">
        <f>+VLOOKUP('2. Logging Brejo Seco'!AP471,Leyenda!$B$47:$E$51,4,FALSE)</f>
        <v>0</v>
      </c>
      <c r="BL471" s="67">
        <f>+VLOOKUP('2. Logging Brejo Seco'!AQ471,Leyenda!$B$55:$E$59,4,FALSE)</f>
        <v>3</v>
      </c>
      <c r="BM471" s="67">
        <f>+VLOOKUP('2. Logging Brejo Seco'!AR471,Leyenda!$B$63:$E$67,3,FALSE)</f>
        <v>2</v>
      </c>
      <c r="BN471" s="67">
        <f>+VLOOKUP('2. Logging Brejo Seco'!AO471,Leyenda!$B$39:$E$43,4,FALSE)</f>
        <v>0</v>
      </c>
      <c r="BO471" s="67">
        <f>+VLOOKUP('2. Logging Brejo Seco'!AN471,Leyenda!$B$30:$E$34,4,FALSE)</f>
        <v>0</v>
      </c>
      <c r="BP471" s="67">
        <f>VLOOKUP(AS471,Leyenda!$B$71:$E$75,4,FALSE)</f>
        <v>7</v>
      </c>
      <c r="BQ471" s="67">
        <f t="shared" si="160"/>
        <v>23</v>
      </c>
      <c r="BR471" s="18">
        <f t="shared" si="161"/>
        <v>24</v>
      </c>
      <c r="BS471" s="240">
        <f t="shared" si="157"/>
        <v>0.45999999999999996</v>
      </c>
      <c r="BT471" s="18"/>
    </row>
    <row r="472" spans="1:72" x14ac:dyDescent="0.25">
      <c r="A472" s="18" t="s">
        <v>6</v>
      </c>
      <c r="B472" s="18">
        <v>2024</v>
      </c>
      <c r="C472" s="18" t="s">
        <v>138</v>
      </c>
      <c r="D472" s="18" t="s">
        <v>134</v>
      </c>
      <c r="E472" s="18">
        <v>40</v>
      </c>
      <c r="F472" s="18">
        <v>30</v>
      </c>
      <c r="G472" s="18" t="s">
        <v>753</v>
      </c>
      <c r="H472" s="248">
        <f t="shared" si="163"/>
        <v>30</v>
      </c>
      <c r="I472" s="135"/>
      <c r="J472" s="18" t="s">
        <v>178</v>
      </c>
      <c r="K472" s="31">
        <f t="shared" si="170"/>
        <v>29.5</v>
      </c>
      <c r="L472" s="31">
        <v>30</v>
      </c>
      <c r="M472" s="4">
        <f t="shared" si="162"/>
        <v>0.5</v>
      </c>
      <c r="N472" s="32">
        <v>0.46</v>
      </c>
      <c r="O472" s="5">
        <f t="shared" si="154"/>
        <v>0.54</v>
      </c>
      <c r="P472" s="31">
        <f t="shared" si="158"/>
        <v>0.23</v>
      </c>
      <c r="Q472" s="18">
        <f t="shared" si="150"/>
        <v>0.23</v>
      </c>
      <c r="R472" s="18">
        <v>11.5</v>
      </c>
      <c r="S472" s="18">
        <v>20</v>
      </c>
      <c r="T472" s="18">
        <v>0.22</v>
      </c>
      <c r="U472" s="18">
        <v>0</v>
      </c>
      <c r="V472" s="65">
        <f t="shared" si="164"/>
        <v>0</v>
      </c>
      <c r="W472" s="18">
        <v>4</v>
      </c>
      <c r="X472" s="18"/>
      <c r="Y472" s="18">
        <f t="shared" si="148"/>
        <v>4</v>
      </c>
      <c r="Z472" s="31">
        <f t="shared" si="166"/>
        <v>125</v>
      </c>
      <c r="AA472" s="18">
        <v>0</v>
      </c>
      <c r="AB472" s="18" t="s">
        <v>330</v>
      </c>
      <c r="AC472" s="18" t="s">
        <v>333</v>
      </c>
      <c r="AD472" s="18" t="s">
        <v>336</v>
      </c>
      <c r="AE472" s="18">
        <v>20</v>
      </c>
      <c r="AF472" s="18">
        <v>11.5</v>
      </c>
      <c r="AG472" s="18" t="s">
        <v>29</v>
      </c>
      <c r="AH472" s="18" t="s">
        <v>29</v>
      </c>
      <c r="AI472" s="18" t="str">
        <f>+VLOOKUP(AH472,Leyenda!$O$4:$U$10,6,FALSE)</f>
        <v>0,25-0,35</v>
      </c>
      <c r="AJ472" s="18" t="str">
        <f>+VLOOKUP(AG472,Leyenda!$O$4:$U$10,7,FALSE)</f>
        <v>No Blasting need</v>
      </c>
      <c r="AK472" s="18">
        <f>+VLOOKUP(AJ472,Leyenda!$U$4:$V$10,2,FALSE)</f>
        <v>2</v>
      </c>
      <c r="AL472" s="18"/>
      <c r="AM472" s="18" t="s">
        <v>32</v>
      </c>
      <c r="AN472" s="18" t="s">
        <v>69</v>
      </c>
      <c r="AO472" s="18" t="s">
        <v>81</v>
      </c>
      <c r="AP472" s="18" t="s">
        <v>100</v>
      </c>
      <c r="AQ472" s="18" t="s">
        <v>107</v>
      </c>
      <c r="AR472" s="18" t="s">
        <v>120</v>
      </c>
      <c r="AS472" s="18" t="s">
        <v>247</v>
      </c>
      <c r="AT472" s="18"/>
      <c r="AU472" s="18"/>
      <c r="AV472" s="18">
        <f>+VLOOKUP(AN472,Leyenda!$B$30:$E$34,3,FALSE)</f>
        <v>0</v>
      </c>
      <c r="AW472" s="18">
        <f>+VLOOKUP('2. Logging Brejo Seco'!AO472,Meteorizacion,3,FALSE)</f>
        <v>0</v>
      </c>
      <c r="AX472" s="18">
        <f>+VLOOKUP('2. Logging Brejo Seco'!AP472,Apertura,3,FALSE)</f>
        <v>0</v>
      </c>
      <c r="AY472" s="18">
        <f>+VLOOKUP('2. Logging Brejo Seco'!AQ472,Leyenda!$B$55:$D$59,3,FALSE)</f>
        <v>3</v>
      </c>
      <c r="AZ472" s="18">
        <f>+VLOOKUP('2. Logging Brejo Seco'!AR472,Relleno,3,FALSE)</f>
        <v>2</v>
      </c>
      <c r="BA472" s="18">
        <f t="shared" si="165"/>
        <v>5</v>
      </c>
      <c r="BB472" s="49">
        <f t="shared" si="167"/>
        <v>0</v>
      </c>
      <c r="BC472" s="49">
        <f>VLOOKUP(AH472,Leyenda!$B$4:$D$10,3,FALSE)</f>
        <v>2</v>
      </c>
      <c r="BD472" s="50">
        <f t="shared" si="155"/>
        <v>8</v>
      </c>
      <c r="BE472" s="49">
        <f t="shared" si="159"/>
        <v>5</v>
      </c>
      <c r="BF472" s="49">
        <f>VLOOKUP(AS472,Leyenda!$B$70:$D$75,3,FALSE)</f>
        <v>10</v>
      </c>
      <c r="BG472" s="67">
        <f t="shared" si="168"/>
        <v>7.5</v>
      </c>
      <c r="BH472" s="67">
        <f>VLOOKUP(AG472,Leyenda!$B$4:$E$10,4,FALSE)</f>
        <v>2</v>
      </c>
      <c r="BI472" s="67">
        <f t="shared" si="156"/>
        <v>10</v>
      </c>
      <c r="BJ472" s="67">
        <f t="shared" si="169"/>
        <v>0</v>
      </c>
      <c r="BK472" s="67">
        <f>+VLOOKUP('2. Logging Brejo Seco'!AP472,Leyenda!$B$47:$E$51,4,FALSE)</f>
        <v>0</v>
      </c>
      <c r="BL472" s="67">
        <f>+VLOOKUP('2. Logging Brejo Seco'!AQ472,Leyenda!$B$55:$E$59,4,FALSE)</f>
        <v>3</v>
      </c>
      <c r="BM472" s="67">
        <f>+VLOOKUP('2. Logging Brejo Seco'!AR472,Leyenda!$B$63:$E$67,3,FALSE)</f>
        <v>2</v>
      </c>
      <c r="BN472" s="67">
        <f>+VLOOKUP('2. Logging Brejo Seco'!AO472,Leyenda!$B$39:$E$43,4,FALSE)</f>
        <v>0</v>
      </c>
      <c r="BO472" s="67">
        <f>+VLOOKUP('2. Logging Brejo Seco'!AN472,Leyenda!$B$30:$E$34,4,FALSE)</f>
        <v>0</v>
      </c>
      <c r="BP472" s="67">
        <f>VLOOKUP(AS472,Leyenda!$B$71:$E$75,4,FALSE)</f>
        <v>7</v>
      </c>
      <c r="BQ472" s="67">
        <f t="shared" si="160"/>
        <v>24</v>
      </c>
      <c r="BR472" s="18">
        <f t="shared" si="161"/>
        <v>25</v>
      </c>
      <c r="BS472" s="240">
        <f t="shared" si="157"/>
        <v>0.54</v>
      </c>
      <c r="BT472" s="18"/>
    </row>
    <row r="473" spans="1:72" x14ac:dyDescent="0.25">
      <c r="A473" s="18" t="s">
        <v>6</v>
      </c>
      <c r="B473" s="18">
        <v>2024</v>
      </c>
      <c r="C473" s="18" t="s">
        <v>140</v>
      </c>
      <c r="D473" s="18" t="s">
        <v>139</v>
      </c>
      <c r="E473" s="18"/>
      <c r="F473" s="18"/>
      <c r="G473" s="18"/>
      <c r="H473" s="248">
        <f t="shared" si="163"/>
        <v>0</v>
      </c>
      <c r="I473" s="135"/>
      <c r="J473" s="18" t="s">
        <v>141</v>
      </c>
      <c r="K473" s="18">
        <v>0</v>
      </c>
      <c r="L473" s="31">
        <v>0.3</v>
      </c>
      <c r="M473" s="4">
        <f t="shared" si="162"/>
        <v>0.3</v>
      </c>
      <c r="N473" s="32">
        <v>0.96</v>
      </c>
      <c r="O473" s="5">
        <f t="shared" si="154"/>
        <v>4.0000000000000036E-2</v>
      </c>
      <c r="P473" s="31">
        <f t="shared" si="158"/>
        <v>0.28799999999999998</v>
      </c>
      <c r="Q473" s="18">
        <f t="shared" si="150"/>
        <v>0.28799999999999998</v>
      </c>
      <c r="R473" s="18">
        <v>14.4</v>
      </c>
      <c r="S473" s="18">
        <v>20</v>
      </c>
      <c r="T473" s="18">
        <v>0.26</v>
      </c>
      <c r="U473" s="18">
        <v>0</v>
      </c>
      <c r="V473" s="65">
        <f t="shared" si="164"/>
        <v>0</v>
      </c>
      <c r="W473" s="18">
        <v>5</v>
      </c>
      <c r="X473" s="18"/>
      <c r="Y473" s="18">
        <f t="shared" si="148"/>
        <v>5</v>
      </c>
      <c r="Z473" s="31">
        <f t="shared" si="166"/>
        <v>60</v>
      </c>
      <c r="AA473" s="18">
        <v>68.75</v>
      </c>
      <c r="AB473" s="18" t="s">
        <v>100</v>
      </c>
      <c r="AC473" s="18" t="s">
        <v>333</v>
      </c>
      <c r="AD473" s="18" t="s">
        <v>335</v>
      </c>
      <c r="AE473" s="18">
        <v>20</v>
      </c>
      <c r="AF473" s="18">
        <v>14.4</v>
      </c>
      <c r="AG473" s="18" t="s">
        <v>34</v>
      </c>
      <c r="AH473" s="18"/>
      <c r="AI473" s="18" t="e">
        <f>+VLOOKUP(AH473,Leyenda!$O$4:$U$10,6,FALSE)</f>
        <v>#N/A</v>
      </c>
      <c r="AJ473" s="18" t="str">
        <f>+VLOOKUP(AG473,Leyenda!$O$4:$U$10,7,FALSE)</f>
        <v>No Blasting need</v>
      </c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 t="e">
        <f>+VLOOKUP(AN473,Leyenda!$B$30:$E$34,3,FALSE)</f>
        <v>#N/A</v>
      </c>
      <c r="AW473" s="18" t="e">
        <f>+VLOOKUP('2. Logging Brejo Seco'!AO473,Meteorizacion,3,FALSE)</f>
        <v>#N/A</v>
      </c>
      <c r="AX473" s="18" t="e">
        <f>+VLOOKUP('2. Logging Brejo Seco'!AP473,Apertura,3,FALSE)</f>
        <v>#N/A</v>
      </c>
      <c r="AY473" s="18" t="e">
        <f>+VLOOKUP('2. Logging Brejo Seco'!AQ473,Leyenda!$B$55:$D$59,3,FALSE)</f>
        <v>#N/A</v>
      </c>
      <c r="AZ473" s="18" t="e">
        <f>+VLOOKUP('2. Logging Brejo Seco'!AR473,Relleno,3,FALSE)</f>
        <v>#N/A</v>
      </c>
      <c r="BA473" s="18" t="e">
        <f t="shared" si="165"/>
        <v>#N/A</v>
      </c>
      <c r="BB473" s="49">
        <f t="shared" si="167"/>
        <v>0</v>
      </c>
      <c r="BC473" s="49" t="e">
        <f>VLOOKUP(AH473,Leyenda!$B$4:$D$10,3,FALSE)</f>
        <v>#N/A</v>
      </c>
      <c r="BD473" s="50">
        <f t="shared" si="155"/>
        <v>6</v>
      </c>
      <c r="BE473" s="49" t="e">
        <f t="shared" si="159"/>
        <v>#N/A</v>
      </c>
      <c r="BF473" s="49" t="e">
        <f>VLOOKUP(AS473,Leyenda!$B$70:$D$75,3,FALSE)</f>
        <v>#N/A</v>
      </c>
      <c r="BG473" s="67" t="e">
        <f t="shared" si="168"/>
        <v>#N/A</v>
      </c>
      <c r="BH473" s="67">
        <f>VLOOKUP(AG473,Leyenda!$B$4:$E$10,4,FALSE)</f>
        <v>0</v>
      </c>
      <c r="BI473" s="67">
        <f t="shared" si="156"/>
        <v>5</v>
      </c>
      <c r="BJ473" s="67">
        <f t="shared" si="169"/>
        <v>0</v>
      </c>
      <c r="BK473" s="67" t="e">
        <f>+VLOOKUP('2. Logging Brejo Seco'!AP473,Leyenda!$B$47:$E$51,4,FALSE)</f>
        <v>#N/A</v>
      </c>
      <c r="BL473" s="67" t="e">
        <f>+VLOOKUP('2. Logging Brejo Seco'!AQ473,Leyenda!$B$55:$E$59,4,FALSE)</f>
        <v>#N/A</v>
      </c>
      <c r="BM473" s="67" t="e">
        <f>+VLOOKUP('2. Logging Brejo Seco'!AR473,Leyenda!$B$63:$E$67,3,FALSE)</f>
        <v>#N/A</v>
      </c>
      <c r="BN473" s="67" t="e">
        <f>+VLOOKUP('2. Logging Brejo Seco'!AO473,Leyenda!$B$39:$E$43,4,FALSE)</f>
        <v>#N/A</v>
      </c>
      <c r="BO473" s="67" t="e">
        <f>+VLOOKUP('2. Logging Brejo Seco'!AN473,Leyenda!$B$30:$E$34,4,FALSE)</f>
        <v>#N/A</v>
      </c>
      <c r="BP473" s="67" t="e">
        <f>VLOOKUP(AS473,Leyenda!$B$71:$E$75,4,FALSE)</f>
        <v>#N/A</v>
      </c>
      <c r="BQ473" s="67" t="e">
        <f t="shared" si="160"/>
        <v>#N/A</v>
      </c>
      <c r="BR473" s="18" t="e">
        <f t="shared" si="161"/>
        <v>#N/A</v>
      </c>
      <c r="BS473" s="240">
        <f t="shared" si="157"/>
        <v>4.0000000000000036E-2</v>
      </c>
      <c r="BT473" s="18"/>
    </row>
    <row r="474" spans="1:72" x14ac:dyDescent="0.25">
      <c r="A474" s="18" t="s">
        <v>6</v>
      </c>
      <c r="B474" s="18">
        <v>2024</v>
      </c>
      <c r="C474" s="18" t="s">
        <v>140</v>
      </c>
      <c r="D474" s="18" t="s">
        <v>139</v>
      </c>
      <c r="E474" s="18"/>
      <c r="F474" s="18"/>
      <c r="G474" s="18"/>
      <c r="H474" s="248">
        <f t="shared" si="163"/>
        <v>0</v>
      </c>
      <c r="I474" s="135"/>
      <c r="J474" s="18" t="s">
        <v>141</v>
      </c>
      <c r="K474" s="31">
        <f>+L473</f>
        <v>0.3</v>
      </c>
      <c r="L474" s="31">
        <v>1</v>
      </c>
      <c r="M474" s="4">
        <f t="shared" si="162"/>
        <v>0.7</v>
      </c>
      <c r="N474" s="32">
        <v>0.91</v>
      </c>
      <c r="O474" s="5">
        <f t="shared" si="154"/>
        <v>8.9999999999999969E-2</v>
      </c>
      <c r="P474" s="31">
        <f t="shared" si="158"/>
        <v>0.63700000000000001</v>
      </c>
      <c r="Q474" s="18">
        <f t="shared" si="150"/>
        <v>0.63700000000000001</v>
      </c>
      <c r="R474" s="18">
        <v>31.85</v>
      </c>
      <c r="S474" s="18">
        <v>20</v>
      </c>
      <c r="T474" s="18"/>
      <c r="U474" s="18"/>
      <c r="V474" s="65">
        <f t="shared" si="164"/>
        <v>0</v>
      </c>
      <c r="W474" s="18"/>
      <c r="X474" s="18"/>
      <c r="Y474" s="18"/>
      <c r="Z474" s="31" t="e">
        <f t="shared" si="166"/>
        <v>#DIV/0!</v>
      </c>
      <c r="AA474" s="18">
        <v>52</v>
      </c>
      <c r="AB474" s="18" t="s">
        <v>96</v>
      </c>
      <c r="AC474" s="18" t="s">
        <v>333</v>
      </c>
      <c r="AD474" s="18" t="s">
        <v>334</v>
      </c>
      <c r="AE474" s="18">
        <v>20</v>
      </c>
      <c r="AF474" s="18">
        <v>31.85</v>
      </c>
      <c r="AG474" s="18" t="s">
        <v>27</v>
      </c>
      <c r="AH474" s="18"/>
      <c r="AI474" s="18" t="e">
        <f>+VLOOKUP(AH474,Leyenda!$O$4:$U$10,6,FALSE)</f>
        <v>#N/A</v>
      </c>
      <c r="AJ474" s="18" t="str">
        <f>+VLOOKUP(AG474,Leyenda!$O$4:$U$10,7,FALSE)</f>
        <v>Easy to blast</v>
      </c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 t="e">
        <f>+VLOOKUP(AN474,Leyenda!$B$30:$E$34,3,FALSE)</f>
        <v>#N/A</v>
      </c>
      <c r="AW474" s="18" t="e">
        <f>+VLOOKUP('2. Logging Brejo Seco'!AO474,Meteorizacion,3,FALSE)</f>
        <v>#N/A</v>
      </c>
      <c r="AX474" s="18" t="e">
        <f>+VLOOKUP('2. Logging Brejo Seco'!AP474,Apertura,3,FALSE)</f>
        <v>#N/A</v>
      </c>
      <c r="AY474" s="18" t="e">
        <f>+VLOOKUP('2. Logging Brejo Seco'!AQ474,Leyenda!$B$55:$D$59,3,FALSE)</f>
        <v>#N/A</v>
      </c>
      <c r="AZ474" s="18" t="e">
        <f>+VLOOKUP('2. Logging Brejo Seco'!AR474,Relleno,3,FALSE)</f>
        <v>#N/A</v>
      </c>
      <c r="BA474" s="18" t="e">
        <f t="shared" si="165"/>
        <v>#N/A</v>
      </c>
      <c r="BB474" s="49">
        <f t="shared" si="167"/>
        <v>0</v>
      </c>
      <c r="BC474" s="49" t="e">
        <f>VLOOKUP(AH474,Leyenda!$B$4:$D$10,3,FALSE)</f>
        <v>#N/A</v>
      </c>
      <c r="BD474" s="50" t="e">
        <f t="shared" si="155"/>
        <v>#DIV/0!</v>
      </c>
      <c r="BE474" s="49" t="e">
        <f t="shared" si="159"/>
        <v>#N/A</v>
      </c>
      <c r="BF474" s="49" t="e">
        <f>VLOOKUP(AS474,Leyenda!$B$70:$D$75,3,FALSE)</f>
        <v>#N/A</v>
      </c>
      <c r="BG474" s="67" t="e">
        <f t="shared" si="168"/>
        <v>#N/A</v>
      </c>
      <c r="BH474" s="67">
        <f>VLOOKUP(AG474,Leyenda!$B$4:$E$10,4,FALSE)</f>
        <v>4</v>
      </c>
      <c r="BI474" s="67" t="e">
        <f t="shared" si="156"/>
        <v>#DIV/0!</v>
      </c>
      <c r="BJ474" s="67">
        <f t="shared" si="169"/>
        <v>0</v>
      </c>
      <c r="BK474" s="67" t="e">
        <f>+VLOOKUP('2. Logging Brejo Seco'!AP474,Leyenda!$B$47:$E$51,4,FALSE)</f>
        <v>#N/A</v>
      </c>
      <c r="BL474" s="67" t="e">
        <f>+VLOOKUP('2. Logging Brejo Seco'!AQ474,Leyenda!$B$55:$E$59,4,FALSE)</f>
        <v>#N/A</v>
      </c>
      <c r="BM474" s="67" t="e">
        <f>+VLOOKUP('2. Logging Brejo Seco'!AR474,Leyenda!$B$63:$E$67,3,FALSE)</f>
        <v>#N/A</v>
      </c>
      <c r="BN474" s="67" t="e">
        <f>+VLOOKUP('2. Logging Brejo Seco'!AO474,Leyenda!$B$39:$E$43,4,FALSE)</f>
        <v>#N/A</v>
      </c>
      <c r="BO474" s="67" t="e">
        <f>+VLOOKUP('2. Logging Brejo Seco'!AN474,Leyenda!$B$30:$E$34,4,FALSE)</f>
        <v>#N/A</v>
      </c>
      <c r="BP474" s="67" t="e">
        <f>VLOOKUP(AS474,Leyenda!$B$71:$E$75,4,FALSE)</f>
        <v>#N/A</v>
      </c>
      <c r="BQ474" s="67" t="e">
        <f t="shared" si="160"/>
        <v>#DIV/0!</v>
      </c>
      <c r="BR474" s="18" t="e">
        <f t="shared" si="161"/>
        <v>#N/A</v>
      </c>
      <c r="BS474" s="240">
        <f t="shared" si="157"/>
        <v>8.9999999999999969E-2</v>
      </c>
      <c r="BT474" s="18"/>
    </row>
    <row r="475" spans="1:72" x14ac:dyDescent="0.25">
      <c r="A475" s="18" t="s">
        <v>6</v>
      </c>
      <c r="B475" s="18">
        <v>2024</v>
      </c>
      <c r="C475" s="18" t="s">
        <v>140</v>
      </c>
      <c r="D475" s="18" t="s">
        <v>139</v>
      </c>
      <c r="E475" s="18"/>
      <c r="F475" s="18"/>
      <c r="G475" s="18"/>
      <c r="H475" s="248">
        <f t="shared" si="163"/>
        <v>0</v>
      </c>
      <c r="I475" s="135"/>
      <c r="J475" s="18" t="s">
        <v>141</v>
      </c>
      <c r="K475" s="31">
        <f t="shared" ref="K475:K487" si="171">+L474</f>
        <v>1</v>
      </c>
      <c r="L475" s="31">
        <v>1.5</v>
      </c>
      <c r="M475" s="4">
        <f t="shared" si="162"/>
        <v>0.5</v>
      </c>
      <c r="N475" s="32">
        <v>1</v>
      </c>
      <c r="O475" s="5">
        <f t="shared" si="154"/>
        <v>0</v>
      </c>
      <c r="P475" s="31">
        <f t="shared" si="158"/>
        <v>0.5</v>
      </c>
      <c r="Q475" s="18">
        <f t="shared" si="150"/>
        <v>0.5</v>
      </c>
      <c r="R475" s="18">
        <v>25</v>
      </c>
      <c r="S475" s="18">
        <v>20</v>
      </c>
      <c r="T475" s="18"/>
      <c r="U475" s="18"/>
      <c r="V475" s="65">
        <f t="shared" si="164"/>
        <v>0</v>
      </c>
      <c r="W475" s="18"/>
      <c r="X475" s="18"/>
      <c r="Y475" s="18"/>
      <c r="Z475" s="31" t="e">
        <f t="shared" si="166"/>
        <v>#DIV/0!</v>
      </c>
      <c r="AA475" s="18">
        <v>0</v>
      </c>
      <c r="AB475" s="18" t="s">
        <v>96</v>
      </c>
      <c r="AC475" s="18" t="s">
        <v>333</v>
      </c>
      <c r="AD475" s="18" t="s">
        <v>334</v>
      </c>
      <c r="AE475" s="18">
        <v>20</v>
      </c>
      <c r="AF475" s="18">
        <v>25</v>
      </c>
      <c r="AG475" s="18" t="s">
        <v>27</v>
      </c>
      <c r="AH475" s="18"/>
      <c r="AI475" s="18" t="e">
        <f>+VLOOKUP(AH475,Leyenda!$O$4:$U$10,6,FALSE)</f>
        <v>#N/A</v>
      </c>
      <c r="AJ475" s="18" t="str">
        <f>+VLOOKUP(AG475,Leyenda!$O$4:$U$10,7,FALSE)</f>
        <v>Easy to blast</v>
      </c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 t="e">
        <f>+VLOOKUP(AN475,Leyenda!$B$30:$E$34,3,FALSE)</f>
        <v>#N/A</v>
      </c>
      <c r="AW475" s="18" t="e">
        <f>+VLOOKUP('2. Logging Brejo Seco'!AO475,Meteorizacion,3,FALSE)</f>
        <v>#N/A</v>
      </c>
      <c r="AX475" s="18" t="e">
        <f>+VLOOKUP('2. Logging Brejo Seco'!AP475,Apertura,3,FALSE)</f>
        <v>#N/A</v>
      </c>
      <c r="AY475" s="18" t="e">
        <f>+VLOOKUP('2. Logging Brejo Seco'!AQ475,Leyenda!$B$55:$D$59,3,FALSE)</f>
        <v>#N/A</v>
      </c>
      <c r="AZ475" s="18" t="e">
        <f>+VLOOKUP('2. Logging Brejo Seco'!AR475,Relleno,3,FALSE)</f>
        <v>#N/A</v>
      </c>
      <c r="BA475" s="18" t="e">
        <f t="shared" si="165"/>
        <v>#N/A</v>
      </c>
      <c r="BB475" s="49">
        <f t="shared" si="167"/>
        <v>0</v>
      </c>
      <c r="BC475" s="49" t="e">
        <f>VLOOKUP(AH475,Leyenda!$B$4:$D$10,3,FALSE)</f>
        <v>#N/A</v>
      </c>
      <c r="BD475" s="50" t="e">
        <f t="shared" si="155"/>
        <v>#DIV/0!</v>
      </c>
      <c r="BE475" s="49" t="e">
        <f t="shared" si="159"/>
        <v>#N/A</v>
      </c>
      <c r="BF475" s="49" t="e">
        <f>VLOOKUP(AS475,Leyenda!$B$70:$D$75,3,FALSE)</f>
        <v>#N/A</v>
      </c>
      <c r="BG475" s="67" t="e">
        <f t="shared" si="168"/>
        <v>#N/A</v>
      </c>
      <c r="BH475" s="67">
        <f>VLOOKUP(AG475,Leyenda!$B$4:$E$10,4,FALSE)</f>
        <v>4</v>
      </c>
      <c r="BI475" s="67" t="e">
        <f t="shared" si="156"/>
        <v>#DIV/0!</v>
      </c>
      <c r="BJ475" s="67">
        <f t="shared" si="169"/>
        <v>0</v>
      </c>
      <c r="BK475" s="67" t="e">
        <f>+VLOOKUP('2. Logging Brejo Seco'!AP475,Leyenda!$B$47:$E$51,4,FALSE)</f>
        <v>#N/A</v>
      </c>
      <c r="BL475" s="67" t="e">
        <f>+VLOOKUP('2. Logging Brejo Seco'!AQ475,Leyenda!$B$55:$E$59,4,FALSE)</f>
        <v>#N/A</v>
      </c>
      <c r="BM475" s="67" t="e">
        <f>+VLOOKUP('2. Logging Brejo Seco'!AR475,Leyenda!$B$63:$E$67,3,FALSE)</f>
        <v>#N/A</v>
      </c>
      <c r="BN475" s="67" t="e">
        <f>+VLOOKUP('2. Logging Brejo Seco'!AO475,Leyenda!$B$39:$E$43,4,FALSE)</f>
        <v>#N/A</v>
      </c>
      <c r="BO475" s="67" t="e">
        <f>+VLOOKUP('2. Logging Brejo Seco'!AN475,Leyenda!$B$30:$E$34,4,FALSE)</f>
        <v>#N/A</v>
      </c>
      <c r="BP475" s="67" t="e">
        <f>VLOOKUP(AS475,Leyenda!$B$71:$E$75,4,FALSE)</f>
        <v>#N/A</v>
      </c>
      <c r="BQ475" s="67" t="e">
        <f t="shared" si="160"/>
        <v>#DIV/0!</v>
      </c>
      <c r="BR475" s="18" t="e">
        <f t="shared" si="161"/>
        <v>#N/A</v>
      </c>
      <c r="BS475" s="240">
        <f t="shared" si="157"/>
        <v>0</v>
      </c>
      <c r="BT475" s="18"/>
    </row>
    <row r="476" spans="1:72" x14ac:dyDescent="0.25">
      <c r="A476" s="18" t="s">
        <v>6</v>
      </c>
      <c r="B476" s="18">
        <v>2024</v>
      </c>
      <c r="C476" s="18" t="s">
        <v>140</v>
      </c>
      <c r="D476" s="18" t="s">
        <v>139</v>
      </c>
      <c r="E476" s="18"/>
      <c r="F476" s="18"/>
      <c r="G476" s="18"/>
      <c r="H476" s="248">
        <f t="shared" si="163"/>
        <v>0</v>
      </c>
      <c r="I476" s="135"/>
      <c r="J476" s="18" t="s">
        <v>141</v>
      </c>
      <c r="K476" s="31">
        <f t="shared" si="171"/>
        <v>1.5</v>
      </c>
      <c r="L476" s="31">
        <v>2</v>
      </c>
      <c r="M476" s="4">
        <f t="shared" si="162"/>
        <v>0.5</v>
      </c>
      <c r="N476" s="32">
        <v>0.78</v>
      </c>
      <c r="O476" s="5">
        <f t="shared" si="154"/>
        <v>0.21999999999999997</v>
      </c>
      <c r="P476" s="31">
        <f t="shared" si="158"/>
        <v>0.39</v>
      </c>
      <c r="Q476" s="18">
        <f t="shared" si="150"/>
        <v>0.39</v>
      </c>
      <c r="R476" s="18">
        <v>19.5</v>
      </c>
      <c r="S476" s="18">
        <v>20</v>
      </c>
      <c r="T476" s="18"/>
      <c r="U476" s="18"/>
      <c r="V476" s="65">
        <f t="shared" si="164"/>
        <v>0</v>
      </c>
      <c r="W476" s="18"/>
      <c r="X476" s="18"/>
      <c r="Y476" s="18"/>
      <c r="Z476" s="31" t="e">
        <f t="shared" si="166"/>
        <v>#DIV/0!</v>
      </c>
      <c r="AA476" s="18">
        <v>0</v>
      </c>
      <c r="AB476" s="18" t="s">
        <v>96</v>
      </c>
      <c r="AC476" s="18" t="s">
        <v>333</v>
      </c>
      <c r="AD476" s="18" t="s">
        <v>334</v>
      </c>
      <c r="AE476" s="18">
        <v>20</v>
      </c>
      <c r="AF476" s="18">
        <v>19.5</v>
      </c>
      <c r="AG476" s="18" t="s">
        <v>27</v>
      </c>
      <c r="AH476" s="18"/>
      <c r="AI476" s="18" t="e">
        <f>+VLOOKUP(AH476,Leyenda!$O$4:$U$10,6,FALSE)</f>
        <v>#N/A</v>
      </c>
      <c r="AJ476" s="18" t="str">
        <f>+VLOOKUP(AG476,Leyenda!$O$4:$U$10,7,FALSE)</f>
        <v>Easy to blast</v>
      </c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 t="e">
        <f>+VLOOKUP(AN476,Leyenda!$B$30:$E$34,3,FALSE)</f>
        <v>#N/A</v>
      </c>
      <c r="AW476" s="18" t="e">
        <f>+VLOOKUP('2. Logging Brejo Seco'!AO476,Meteorizacion,3,FALSE)</f>
        <v>#N/A</v>
      </c>
      <c r="AX476" s="18" t="e">
        <f>+VLOOKUP('2. Logging Brejo Seco'!AP476,Apertura,3,FALSE)</f>
        <v>#N/A</v>
      </c>
      <c r="AY476" s="18" t="e">
        <f>+VLOOKUP('2. Logging Brejo Seco'!AQ476,Leyenda!$B$55:$D$59,3,FALSE)</f>
        <v>#N/A</v>
      </c>
      <c r="AZ476" s="18" t="e">
        <f>+VLOOKUP('2. Logging Brejo Seco'!AR476,Relleno,3,FALSE)</f>
        <v>#N/A</v>
      </c>
      <c r="BA476" s="18" t="e">
        <f t="shared" si="165"/>
        <v>#N/A</v>
      </c>
      <c r="BB476" s="49">
        <f t="shared" si="167"/>
        <v>0</v>
      </c>
      <c r="BC476" s="49" t="e">
        <f>VLOOKUP(AH476,Leyenda!$B$4:$D$10,3,FALSE)</f>
        <v>#N/A</v>
      </c>
      <c r="BD476" s="50" t="e">
        <f t="shared" si="155"/>
        <v>#DIV/0!</v>
      </c>
      <c r="BE476" s="49" t="e">
        <f t="shared" si="159"/>
        <v>#N/A</v>
      </c>
      <c r="BF476" s="49" t="e">
        <f>VLOOKUP(AS476,Leyenda!$B$70:$D$75,3,FALSE)</f>
        <v>#N/A</v>
      </c>
      <c r="BG476" s="67" t="e">
        <f t="shared" si="168"/>
        <v>#N/A</v>
      </c>
      <c r="BH476" s="67">
        <f>VLOOKUP(AG476,Leyenda!$B$4:$E$10,4,FALSE)</f>
        <v>4</v>
      </c>
      <c r="BI476" s="67" t="e">
        <f t="shared" si="156"/>
        <v>#DIV/0!</v>
      </c>
      <c r="BJ476" s="67">
        <f t="shared" si="169"/>
        <v>0</v>
      </c>
      <c r="BK476" s="67" t="e">
        <f>+VLOOKUP('2. Logging Brejo Seco'!AP476,Leyenda!$B$47:$E$51,4,FALSE)</f>
        <v>#N/A</v>
      </c>
      <c r="BL476" s="67" t="e">
        <f>+VLOOKUP('2. Logging Brejo Seco'!AQ476,Leyenda!$B$55:$E$59,4,FALSE)</f>
        <v>#N/A</v>
      </c>
      <c r="BM476" s="67" t="e">
        <f>+VLOOKUP('2. Logging Brejo Seco'!AR476,Leyenda!$B$63:$E$67,3,FALSE)</f>
        <v>#N/A</v>
      </c>
      <c r="BN476" s="67" t="e">
        <f>+VLOOKUP('2. Logging Brejo Seco'!AO476,Leyenda!$B$39:$E$43,4,FALSE)</f>
        <v>#N/A</v>
      </c>
      <c r="BO476" s="67" t="e">
        <f>+VLOOKUP('2. Logging Brejo Seco'!AN476,Leyenda!$B$30:$E$34,4,FALSE)</f>
        <v>#N/A</v>
      </c>
      <c r="BP476" s="67" t="e">
        <f>VLOOKUP(AS476,Leyenda!$B$71:$E$75,4,FALSE)</f>
        <v>#N/A</v>
      </c>
      <c r="BQ476" s="67" t="e">
        <f t="shared" si="160"/>
        <v>#DIV/0!</v>
      </c>
      <c r="BR476" s="18" t="e">
        <f t="shared" si="161"/>
        <v>#N/A</v>
      </c>
      <c r="BS476" s="240">
        <f t="shared" si="157"/>
        <v>0.21999999999999997</v>
      </c>
      <c r="BT476" s="18"/>
    </row>
    <row r="477" spans="1:72" x14ac:dyDescent="0.25">
      <c r="A477" s="18" t="s">
        <v>6</v>
      </c>
      <c r="B477" s="18">
        <v>2024</v>
      </c>
      <c r="C477" s="18" t="s">
        <v>140</v>
      </c>
      <c r="D477" s="18" t="s">
        <v>139</v>
      </c>
      <c r="E477" s="18"/>
      <c r="F477" s="18"/>
      <c r="G477" s="18"/>
      <c r="H477" s="248">
        <f t="shared" si="163"/>
        <v>0</v>
      </c>
      <c r="I477" s="135"/>
      <c r="J477" s="18" t="s">
        <v>141</v>
      </c>
      <c r="K477" s="31">
        <f t="shared" si="171"/>
        <v>2</v>
      </c>
      <c r="L477" s="31">
        <v>2.5</v>
      </c>
      <c r="M477" s="4">
        <f t="shared" si="162"/>
        <v>0.5</v>
      </c>
      <c r="N477" s="32">
        <v>0.7</v>
      </c>
      <c r="O477" s="5">
        <f t="shared" si="154"/>
        <v>0.30000000000000004</v>
      </c>
      <c r="P477" s="31">
        <f t="shared" si="158"/>
        <v>0.35</v>
      </c>
      <c r="Q477" s="18">
        <f t="shared" si="150"/>
        <v>0.35</v>
      </c>
      <c r="R477" s="18">
        <v>17.5</v>
      </c>
      <c r="S477" s="18">
        <v>20</v>
      </c>
      <c r="T477" s="18"/>
      <c r="U477" s="18"/>
      <c r="V477" s="65">
        <f t="shared" si="164"/>
        <v>0</v>
      </c>
      <c r="W477" s="18"/>
      <c r="X477" s="18"/>
      <c r="Y477" s="18"/>
      <c r="Z477" s="31" t="e">
        <f t="shared" si="166"/>
        <v>#DIV/0!</v>
      </c>
      <c r="AA477" s="18">
        <v>0</v>
      </c>
      <c r="AB477" s="18" t="s">
        <v>96</v>
      </c>
      <c r="AC477" s="18" t="s">
        <v>333</v>
      </c>
      <c r="AD477" s="18" t="s">
        <v>334</v>
      </c>
      <c r="AE477" s="18">
        <v>20</v>
      </c>
      <c r="AF477" s="18">
        <v>17.5</v>
      </c>
      <c r="AG477" s="18" t="s">
        <v>27</v>
      </c>
      <c r="AH477" s="18"/>
      <c r="AI477" s="18" t="e">
        <f>+VLOOKUP(AH477,Leyenda!$O$4:$U$10,6,FALSE)</f>
        <v>#N/A</v>
      </c>
      <c r="AJ477" s="18" t="str">
        <f>+VLOOKUP(AG477,Leyenda!$O$4:$U$10,7,FALSE)</f>
        <v>Easy to blast</v>
      </c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 t="e">
        <f>+VLOOKUP(AN477,Leyenda!$B$30:$E$34,3,FALSE)</f>
        <v>#N/A</v>
      </c>
      <c r="AW477" s="18" t="e">
        <f>+VLOOKUP('2. Logging Brejo Seco'!AO477,Meteorizacion,3,FALSE)</f>
        <v>#N/A</v>
      </c>
      <c r="AX477" s="18" t="e">
        <f>+VLOOKUP('2. Logging Brejo Seco'!AP477,Apertura,3,FALSE)</f>
        <v>#N/A</v>
      </c>
      <c r="AY477" s="18" t="e">
        <f>+VLOOKUP('2. Logging Brejo Seco'!AQ477,Leyenda!$B$55:$D$59,3,FALSE)</f>
        <v>#N/A</v>
      </c>
      <c r="AZ477" s="18" t="e">
        <f>+VLOOKUP('2. Logging Brejo Seco'!AR477,Relleno,3,FALSE)</f>
        <v>#N/A</v>
      </c>
      <c r="BA477" s="18" t="e">
        <f t="shared" si="165"/>
        <v>#N/A</v>
      </c>
      <c r="BB477" s="49">
        <f t="shared" si="167"/>
        <v>0</v>
      </c>
      <c r="BC477" s="49" t="e">
        <f>VLOOKUP(AH477,Leyenda!$B$4:$D$10,3,FALSE)</f>
        <v>#N/A</v>
      </c>
      <c r="BD477" s="50" t="e">
        <f t="shared" si="155"/>
        <v>#DIV/0!</v>
      </c>
      <c r="BE477" s="49" t="e">
        <f t="shared" si="159"/>
        <v>#N/A</v>
      </c>
      <c r="BF477" s="49" t="e">
        <f>VLOOKUP(AS477,Leyenda!$B$70:$D$75,3,FALSE)</f>
        <v>#N/A</v>
      </c>
      <c r="BG477" s="67" t="e">
        <f t="shared" si="168"/>
        <v>#N/A</v>
      </c>
      <c r="BH477" s="67">
        <f>VLOOKUP(AG477,Leyenda!$B$4:$E$10,4,FALSE)</f>
        <v>4</v>
      </c>
      <c r="BI477" s="67" t="e">
        <f t="shared" si="156"/>
        <v>#DIV/0!</v>
      </c>
      <c r="BJ477" s="67">
        <f t="shared" si="169"/>
        <v>0</v>
      </c>
      <c r="BK477" s="67" t="e">
        <f>+VLOOKUP('2. Logging Brejo Seco'!AP477,Leyenda!$B$47:$E$51,4,FALSE)</f>
        <v>#N/A</v>
      </c>
      <c r="BL477" s="67" t="e">
        <f>+VLOOKUP('2. Logging Brejo Seco'!AQ477,Leyenda!$B$55:$E$59,4,FALSE)</f>
        <v>#N/A</v>
      </c>
      <c r="BM477" s="67" t="e">
        <f>+VLOOKUP('2. Logging Brejo Seco'!AR477,Leyenda!$B$63:$E$67,3,FALSE)</f>
        <v>#N/A</v>
      </c>
      <c r="BN477" s="67" t="e">
        <f>+VLOOKUP('2. Logging Brejo Seco'!AO477,Leyenda!$B$39:$E$43,4,FALSE)</f>
        <v>#N/A</v>
      </c>
      <c r="BO477" s="67" t="e">
        <f>+VLOOKUP('2. Logging Brejo Seco'!AN477,Leyenda!$B$30:$E$34,4,FALSE)</f>
        <v>#N/A</v>
      </c>
      <c r="BP477" s="67" t="e">
        <f>VLOOKUP(AS477,Leyenda!$B$71:$E$75,4,FALSE)</f>
        <v>#N/A</v>
      </c>
      <c r="BQ477" s="67" t="e">
        <f t="shared" si="160"/>
        <v>#DIV/0!</v>
      </c>
      <c r="BR477" s="18" t="e">
        <f t="shared" si="161"/>
        <v>#N/A</v>
      </c>
      <c r="BS477" s="240">
        <f t="shared" si="157"/>
        <v>0.30000000000000004</v>
      </c>
      <c r="BT477" s="18"/>
    </row>
    <row r="478" spans="1:72" x14ac:dyDescent="0.25">
      <c r="A478" s="18" t="s">
        <v>6</v>
      </c>
      <c r="B478" s="18">
        <v>2024</v>
      </c>
      <c r="C478" s="18" t="s">
        <v>140</v>
      </c>
      <c r="D478" s="18" t="s">
        <v>139</v>
      </c>
      <c r="E478" s="18"/>
      <c r="F478" s="18"/>
      <c r="G478" s="18"/>
      <c r="H478" s="248">
        <f t="shared" si="163"/>
        <v>0</v>
      </c>
      <c r="I478" s="135"/>
      <c r="J478" s="18" t="s">
        <v>141</v>
      </c>
      <c r="K478" s="31">
        <f t="shared" si="171"/>
        <v>2.5</v>
      </c>
      <c r="L478" s="31">
        <v>3</v>
      </c>
      <c r="M478" s="4">
        <f t="shared" si="162"/>
        <v>0.5</v>
      </c>
      <c r="N478" s="32">
        <v>0.92</v>
      </c>
      <c r="O478" s="5">
        <f t="shared" si="154"/>
        <v>7.999999999999996E-2</v>
      </c>
      <c r="P478" s="31">
        <f t="shared" si="158"/>
        <v>0.46</v>
      </c>
      <c r="Q478" s="18">
        <f t="shared" si="150"/>
        <v>0.46</v>
      </c>
      <c r="R478" s="18">
        <v>23</v>
      </c>
      <c r="S478" s="18">
        <v>20</v>
      </c>
      <c r="T478" s="18"/>
      <c r="U478" s="18"/>
      <c r="V478" s="65">
        <f t="shared" si="164"/>
        <v>0</v>
      </c>
      <c r="W478" s="18"/>
      <c r="X478" s="18"/>
      <c r="Y478" s="18"/>
      <c r="Z478" s="31" t="e">
        <f t="shared" si="166"/>
        <v>#DIV/0!</v>
      </c>
      <c r="AA478" s="18">
        <v>0</v>
      </c>
      <c r="AB478" s="18" t="s">
        <v>96</v>
      </c>
      <c r="AC478" s="18" t="s">
        <v>333</v>
      </c>
      <c r="AD478" s="18" t="s">
        <v>334</v>
      </c>
      <c r="AE478" s="18">
        <v>20</v>
      </c>
      <c r="AF478" s="18">
        <v>23</v>
      </c>
      <c r="AG478" s="18" t="s">
        <v>27</v>
      </c>
      <c r="AH478" s="18"/>
      <c r="AI478" s="18" t="e">
        <f>+VLOOKUP(AH478,Leyenda!$O$4:$U$10,6,FALSE)</f>
        <v>#N/A</v>
      </c>
      <c r="AJ478" s="18" t="str">
        <f>+VLOOKUP(AG478,Leyenda!$O$4:$U$10,7,FALSE)</f>
        <v>Easy to blast</v>
      </c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 t="e">
        <f>+VLOOKUP(AN478,Leyenda!$B$30:$E$34,3,FALSE)</f>
        <v>#N/A</v>
      </c>
      <c r="AW478" s="18" t="e">
        <f>+VLOOKUP('2. Logging Brejo Seco'!AO478,Meteorizacion,3,FALSE)</f>
        <v>#N/A</v>
      </c>
      <c r="AX478" s="18" t="e">
        <f>+VLOOKUP('2. Logging Brejo Seco'!AP478,Apertura,3,FALSE)</f>
        <v>#N/A</v>
      </c>
      <c r="AY478" s="18" t="e">
        <f>+VLOOKUP('2. Logging Brejo Seco'!AQ478,Leyenda!$B$55:$D$59,3,FALSE)</f>
        <v>#N/A</v>
      </c>
      <c r="AZ478" s="18" t="e">
        <f>+VLOOKUP('2. Logging Brejo Seco'!AR478,Relleno,3,FALSE)</f>
        <v>#N/A</v>
      </c>
      <c r="BA478" s="18" t="e">
        <f t="shared" si="165"/>
        <v>#N/A</v>
      </c>
      <c r="BB478" s="49">
        <f t="shared" si="167"/>
        <v>0</v>
      </c>
      <c r="BC478" s="49" t="e">
        <f>VLOOKUP(AH478,Leyenda!$B$4:$D$10,3,FALSE)</f>
        <v>#N/A</v>
      </c>
      <c r="BD478" s="50" t="e">
        <f t="shared" si="155"/>
        <v>#DIV/0!</v>
      </c>
      <c r="BE478" s="49" t="e">
        <f t="shared" si="159"/>
        <v>#N/A</v>
      </c>
      <c r="BF478" s="49" t="e">
        <f>VLOOKUP(AS478,Leyenda!$B$70:$D$75,3,FALSE)</f>
        <v>#N/A</v>
      </c>
      <c r="BG478" s="67" t="e">
        <f t="shared" si="168"/>
        <v>#N/A</v>
      </c>
      <c r="BH478" s="67">
        <f>VLOOKUP(AG478,Leyenda!$B$4:$E$10,4,FALSE)</f>
        <v>4</v>
      </c>
      <c r="BI478" s="67" t="e">
        <f t="shared" si="156"/>
        <v>#DIV/0!</v>
      </c>
      <c r="BJ478" s="67">
        <f t="shared" si="169"/>
        <v>0</v>
      </c>
      <c r="BK478" s="67" t="e">
        <f>+VLOOKUP('2. Logging Brejo Seco'!AP478,Leyenda!$B$47:$E$51,4,FALSE)</f>
        <v>#N/A</v>
      </c>
      <c r="BL478" s="67" t="e">
        <f>+VLOOKUP('2. Logging Brejo Seco'!AQ478,Leyenda!$B$55:$E$59,4,FALSE)</f>
        <v>#N/A</v>
      </c>
      <c r="BM478" s="67" t="e">
        <f>+VLOOKUP('2. Logging Brejo Seco'!AR478,Leyenda!$B$63:$E$67,3,FALSE)</f>
        <v>#N/A</v>
      </c>
      <c r="BN478" s="67" t="e">
        <f>+VLOOKUP('2. Logging Brejo Seco'!AO478,Leyenda!$B$39:$E$43,4,FALSE)</f>
        <v>#N/A</v>
      </c>
      <c r="BO478" s="67" t="e">
        <f>+VLOOKUP('2. Logging Brejo Seco'!AN478,Leyenda!$B$30:$E$34,4,FALSE)</f>
        <v>#N/A</v>
      </c>
      <c r="BP478" s="67" t="e">
        <f>VLOOKUP(AS478,Leyenda!$B$71:$E$75,4,FALSE)</f>
        <v>#N/A</v>
      </c>
      <c r="BQ478" s="67" t="e">
        <f t="shared" si="160"/>
        <v>#DIV/0!</v>
      </c>
      <c r="BR478" s="18" t="e">
        <f t="shared" si="161"/>
        <v>#N/A</v>
      </c>
      <c r="BS478" s="240">
        <f t="shared" si="157"/>
        <v>7.999999999999996E-2</v>
      </c>
      <c r="BT478" s="18"/>
    </row>
    <row r="479" spans="1:72" x14ac:dyDescent="0.25">
      <c r="A479" s="18" t="s">
        <v>6</v>
      </c>
      <c r="B479" s="18">
        <v>2024</v>
      </c>
      <c r="C479" s="18" t="s">
        <v>140</v>
      </c>
      <c r="D479" s="18" t="s">
        <v>139</v>
      </c>
      <c r="E479" s="18"/>
      <c r="F479" s="18"/>
      <c r="G479" s="18"/>
      <c r="H479" s="248">
        <f t="shared" si="163"/>
        <v>0</v>
      </c>
      <c r="I479" s="135"/>
      <c r="J479" s="18" t="s">
        <v>141</v>
      </c>
      <c r="K479" s="31">
        <f t="shared" si="171"/>
        <v>3</v>
      </c>
      <c r="L479" s="31">
        <v>3.1</v>
      </c>
      <c r="M479" s="4">
        <f t="shared" si="162"/>
        <v>0.10000000000000009</v>
      </c>
      <c r="N479" s="32">
        <v>1</v>
      </c>
      <c r="O479" s="5">
        <f t="shared" si="154"/>
        <v>0</v>
      </c>
      <c r="P479" s="31">
        <f t="shared" si="158"/>
        <v>0.10000000000000009</v>
      </c>
      <c r="Q479" s="18">
        <f t="shared" si="150"/>
        <v>0.10000000000000009</v>
      </c>
      <c r="R479" s="18">
        <v>5.0000000000000044</v>
      </c>
      <c r="S479" s="18">
        <v>20</v>
      </c>
      <c r="T479" s="18"/>
      <c r="U479" s="18"/>
      <c r="V479" s="65">
        <f t="shared" si="164"/>
        <v>0</v>
      </c>
      <c r="W479" s="18"/>
      <c r="X479" s="18"/>
      <c r="Y479" s="18"/>
      <c r="Z479" s="31" t="e">
        <f t="shared" si="166"/>
        <v>#DIV/0!</v>
      </c>
      <c r="AA479" s="18">
        <v>0</v>
      </c>
      <c r="AB479" s="18" t="s">
        <v>96</v>
      </c>
      <c r="AC479" s="18" t="s">
        <v>333</v>
      </c>
      <c r="AD479" s="18" t="s">
        <v>334</v>
      </c>
      <c r="AE479" s="18">
        <v>20</v>
      </c>
      <c r="AF479" s="18">
        <v>5.0000000000000044</v>
      </c>
      <c r="AG479" s="18" t="s">
        <v>27</v>
      </c>
      <c r="AH479" s="18"/>
      <c r="AI479" s="18" t="e">
        <f>+VLOOKUP(AH479,Leyenda!$O$4:$U$10,6,FALSE)</f>
        <v>#N/A</v>
      </c>
      <c r="AJ479" s="18" t="str">
        <f>+VLOOKUP(AG479,Leyenda!$O$4:$U$10,7,FALSE)</f>
        <v>Easy to blast</v>
      </c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 t="e">
        <f>+VLOOKUP(AN479,Leyenda!$B$30:$E$34,3,FALSE)</f>
        <v>#N/A</v>
      </c>
      <c r="AW479" s="18" t="e">
        <f>+VLOOKUP('2. Logging Brejo Seco'!AO479,Meteorizacion,3,FALSE)</f>
        <v>#N/A</v>
      </c>
      <c r="AX479" s="18" t="e">
        <f>+VLOOKUP('2. Logging Brejo Seco'!AP479,Apertura,3,FALSE)</f>
        <v>#N/A</v>
      </c>
      <c r="AY479" s="18" t="e">
        <f>+VLOOKUP('2. Logging Brejo Seco'!AQ479,Leyenda!$B$55:$D$59,3,FALSE)</f>
        <v>#N/A</v>
      </c>
      <c r="AZ479" s="18" t="e">
        <f>+VLOOKUP('2. Logging Brejo Seco'!AR479,Relleno,3,FALSE)</f>
        <v>#N/A</v>
      </c>
      <c r="BA479" s="18" t="e">
        <f t="shared" si="165"/>
        <v>#N/A</v>
      </c>
      <c r="BB479" s="49">
        <f t="shared" si="167"/>
        <v>0</v>
      </c>
      <c r="BC479" s="49" t="e">
        <f>VLOOKUP(AH479,Leyenda!$B$4:$D$10,3,FALSE)</f>
        <v>#N/A</v>
      </c>
      <c r="BD479" s="50" t="e">
        <f t="shared" si="155"/>
        <v>#DIV/0!</v>
      </c>
      <c r="BE479" s="49" t="e">
        <f t="shared" si="159"/>
        <v>#N/A</v>
      </c>
      <c r="BF479" s="49" t="e">
        <f>VLOOKUP(AS479,Leyenda!$B$70:$D$75,3,FALSE)</f>
        <v>#N/A</v>
      </c>
      <c r="BG479" s="67" t="e">
        <f t="shared" si="168"/>
        <v>#N/A</v>
      </c>
      <c r="BH479" s="67">
        <f>VLOOKUP(AG479,Leyenda!$B$4:$E$10,4,FALSE)</f>
        <v>4</v>
      </c>
      <c r="BI479" s="67" t="e">
        <f t="shared" si="156"/>
        <v>#DIV/0!</v>
      </c>
      <c r="BJ479" s="67">
        <f t="shared" si="169"/>
        <v>0</v>
      </c>
      <c r="BK479" s="67" t="e">
        <f>+VLOOKUP('2. Logging Brejo Seco'!AP479,Leyenda!$B$47:$E$51,4,FALSE)</f>
        <v>#N/A</v>
      </c>
      <c r="BL479" s="67" t="e">
        <f>+VLOOKUP('2. Logging Brejo Seco'!AQ479,Leyenda!$B$55:$E$59,4,FALSE)</f>
        <v>#N/A</v>
      </c>
      <c r="BM479" s="67" t="e">
        <f>+VLOOKUP('2. Logging Brejo Seco'!AR479,Leyenda!$B$63:$E$67,3,FALSE)</f>
        <v>#N/A</v>
      </c>
      <c r="BN479" s="67" t="e">
        <f>+VLOOKUP('2. Logging Brejo Seco'!AO479,Leyenda!$B$39:$E$43,4,FALSE)</f>
        <v>#N/A</v>
      </c>
      <c r="BO479" s="67" t="e">
        <f>+VLOOKUP('2. Logging Brejo Seco'!AN479,Leyenda!$B$30:$E$34,4,FALSE)</f>
        <v>#N/A</v>
      </c>
      <c r="BP479" s="67" t="e">
        <f>VLOOKUP(AS479,Leyenda!$B$71:$E$75,4,FALSE)</f>
        <v>#N/A</v>
      </c>
      <c r="BQ479" s="67" t="e">
        <f t="shared" si="160"/>
        <v>#DIV/0!</v>
      </c>
      <c r="BR479" s="18" t="e">
        <f t="shared" si="161"/>
        <v>#N/A</v>
      </c>
      <c r="BS479" s="240">
        <f t="shared" si="157"/>
        <v>0</v>
      </c>
      <c r="BT479" s="18"/>
    </row>
    <row r="480" spans="1:72" x14ac:dyDescent="0.25">
      <c r="A480" s="18" t="s">
        <v>6</v>
      </c>
      <c r="B480" s="18">
        <v>2024</v>
      </c>
      <c r="C480" s="18" t="s">
        <v>140</v>
      </c>
      <c r="D480" s="18" t="s">
        <v>139</v>
      </c>
      <c r="E480" s="18"/>
      <c r="F480" s="18"/>
      <c r="G480" s="18"/>
      <c r="H480" s="248">
        <f t="shared" si="163"/>
        <v>0</v>
      </c>
      <c r="I480" s="135"/>
      <c r="J480" s="18" t="s">
        <v>141</v>
      </c>
      <c r="K480" s="31">
        <f t="shared" si="171"/>
        <v>3.1</v>
      </c>
      <c r="L480" s="31">
        <v>3.5</v>
      </c>
      <c r="M480" s="4">
        <f t="shared" si="162"/>
        <v>0.39999999999999991</v>
      </c>
      <c r="N480" s="32">
        <v>0.25</v>
      </c>
      <c r="O480" s="5">
        <f t="shared" si="154"/>
        <v>0.75</v>
      </c>
      <c r="P480" s="31">
        <f t="shared" si="158"/>
        <v>9.9999999999999978E-2</v>
      </c>
      <c r="Q480" s="18">
        <f t="shared" si="150"/>
        <v>9.9999999999999978E-2</v>
      </c>
      <c r="R480" s="18">
        <v>4.9999999999999982</v>
      </c>
      <c r="S480" s="18">
        <v>20</v>
      </c>
      <c r="T480" s="18"/>
      <c r="U480" s="18"/>
      <c r="V480" s="65">
        <f t="shared" si="164"/>
        <v>0</v>
      </c>
      <c r="W480" s="18"/>
      <c r="X480" s="18"/>
      <c r="Y480" s="18"/>
      <c r="Z480" s="31" t="e">
        <f t="shared" si="166"/>
        <v>#DIV/0!</v>
      </c>
      <c r="AA480" s="18">
        <v>0</v>
      </c>
      <c r="AB480" s="18" t="s">
        <v>96</v>
      </c>
      <c r="AC480" s="18" t="s">
        <v>333</v>
      </c>
      <c r="AD480" s="18" t="s">
        <v>334</v>
      </c>
      <c r="AE480" s="18">
        <v>20</v>
      </c>
      <c r="AF480" s="18">
        <v>4.9999999999999982</v>
      </c>
      <c r="AG480" s="18" t="s">
        <v>27</v>
      </c>
      <c r="AH480" s="18"/>
      <c r="AI480" s="18" t="e">
        <f>+VLOOKUP(AH480,Leyenda!$O$4:$U$10,6,FALSE)</f>
        <v>#N/A</v>
      </c>
      <c r="AJ480" s="18" t="str">
        <f>+VLOOKUP(AG480,Leyenda!$O$4:$U$10,7,FALSE)</f>
        <v>Easy to blast</v>
      </c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 t="e">
        <f>+VLOOKUP(AN480,Leyenda!$B$30:$E$34,3,FALSE)</f>
        <v>#N/A</v>
      </c>
      <c r="AW480" s="18" t="e">
        <f>+VLOOKUP('2. Logging Brejo Seco'!AO480,Meteorizacion,3,FALSE)</f>
        <v>#N/A</v>
      </c>
      <c r="AX480" s="18" t="e">
        <f>+VLOOKUP('2. Logging Brejo Seco'!AP480,Apertura,3,FALSE)</f>
        <v>#N/A</v>
      </c>
      <c r="AY480" s="18" t="e">
        <f>+VLOOKUP('2. Logging Brejo Seco'!AQ480,Leyenda!$B$55:$D$59,3,FALSE)</f>
        <v>#N/A</v>
      </c>
      <c r="AZ480" s="18" t="e">
        <f>+VLOOKUP('2. Logging Brejo Seco'!AR480,Relleno,3,FALSE)</f>
        <v>#N/A</v>
      </c>
      <c r="BA480" s="18" t="e">
        <f t="shared" si="165"/>
        <v>#N/A</v>
      </c>
      <c r="BB480" s="49">
        <f t="shared" si="167"/>
        <v>0</v>
      </c>
      <c r="BC480" s="49" t="e">
        <f>VLOOKUP(AH480,Leyenda!$B$4:$D$10,3,FALSE)</f>
        <v>#N/A</v>
      </c>
      <c r="BD480" s="50" t="e">
        <f t="shared" si="155"/>
        <v>#DIV/0!</v>
      </c>
      <c r="BE480" s="49" t="e">
        <f t="shared" si="159"/>
        <v>#N/A</v>
      </c>
      <c r="BF480" s="49" t="e">
        <f>VLOOKUP(AS480,Leyenda!$B$70:$D$75,3,FALSE)</f>
        <v>#N/A</v>
      </c>
      <c r="BG480" s="67" t="e">
        <f t="shared" si="168"/>
        <v>#N/A</v>
      </c>
      <c r="BH480" s="67">
        <f>VLOOKUP(AG480,Leyenda!$B$4:$E$10,4,FALSE)</f>
        <v>4</v>
      </c>
      <c r="BI480" s="67" t="e">
        <f t="shared" si="156"/>
        <v>#DIV/0!</v>
      </c>
      <c r="BJ480" s="67">
        <f t="shared" si="169"/>
        <v>0</v>
      </c>
      <c r="BK480" s="67" t="e">
        <f>+VLOOKUP('2. Logging Brejo Seco'!AP480,Leyenda!$B$47:$E$51,4,FALSE)</f>
        <v>#N/A</v>
      </c>
      <c r="BL480" s="67" t="e">
        <f>+VLOOKUP('2. Logging Brejo Seco'!AQ480,Leyenda!$B$55:$E$59,4,FALSE)</f>
        <v>#N/A</v>
      </c>
      <c r="BM480" s="67" t="e">
        <f>+VLOOKUP('2. Logging Brejo Seco'!AR480,Leyenda!$B$63:$E$67,3,FALSE)</f>
        <v>#N/A</v>
      </c>
      <c r="BN480" s="67" t="e">
        <f>+VLOOKUP('2. Logging Brejo Seco'!AO480,Leyenda!$B$39:$E$43,4,FALSE)</f>
        <v>#N/A</v>
      </c>
      <c r="BO480" s="67" t="e">
        <f>+VLOOKUP('2. Logging Brejo Seco'!AN480,Leyenda!$B$30:$E$34,4,FALSE)</f>
        <v>#N/A</v>
      </c>
      <c r="BP480" s="67" t="e">
        <f>VLOOKUP(AS480,Leyenda!$B$71:$E$75,4,FALSE)</f>
        <v>#N/A</v>
      </c>
      <c r="BQ480" s="67" t="e">
        <f t="shared" si="160"/>
        <v>#DIV/0!</v>
      </c>
      <c r="BR480" s="18" t="e">
        <f t="shared" si="161"/>
        <v>#N/A</v>
      </c>
      <c r="BS480" s="240">
        <f t="shared" si="157"/>
        <v>0.75</v>
      </c>
      <c r="BT480" s="18"/>
    </row>
    <row r="481" spans="1:72" x14ac:dyDescent="0.25">
      <c r="A481" s="18" t="s">
        <v>6</v>
      </c>
      <c r="B481" s="18">
        <v>2024</v>
      </c>
      <c r="C481" s="18" t="s">
        <v>140</v>
      </c>
      <c r="D481" s="18" t="s">
        <v>139</v>
      </c>
      <c r="E481" s="18"/>
      <c r="F481" s="18"/>
      <c r="G481" s="18"/>
      <c r="H481" s="248">
        <f t="shared" si="163"/>
        <v>0</v>
      </c>
      <c r="I481" s="135"/>
      <c r="J481" s="18" t="s">
        <v>141</v>
      </c>
      <c r="K481" s="31">
        <f t="shared" si="171"/>
        <v>3.5</v>
      </c>
      <c r="L481" s="31">
        <v>3.7</v>
      </c>
      <c r="M481" s="4">
        <f t="shared" si="162"/>
        <v>0.20000000000000018</v>
      </c>
      <c r="N481" s="32">
        <v>1</v>
      </c>
      <c r="O481" s="5">
        <f t="shared" si="154"/>
        <v>0</v>
      </c>
      <c r="P481" s="31">
        <f t="shared" si="158"/>
        <v>0.20000000000000018</v>
      </c>
      <c r="Q481" s="18">
        <f t="shared" si="150"/>
        <v>0.20000000000000018</v>
      </c>
      <c r="R481" s="18">
        <v>10.000000000000009</v>
      </c>
      <c r="S481" s="18">
        <v>20</v>
      </c>
      <c r="T481" s="18"/>
      <c r="U481" s="18"/>
      <c r="V481" s="65">
        <f t="shared" si="164"/>
        <v>0</v>
      </c>
      <c r="W481" s="18"/>
      <c r="X481" s="18"/>
      <c r="Y481" s="18"/>
      <c r="Z481" s="31" t="e">
        <f t="shared" si="166"/>
        <v>#DIV/0!</v>
      </c>
      <c r="AA481" s="18">
        <v>0</v>
      </c>
      <c r="AB481" s="18" t="s">
        <v>96</v>
      </c>
      <c r="AC481" s="18" t="s">
        <v>333</v>
      </c>
      <c r="AD481" s="18" t="s">
        <v>337</v>
      </c>
      <c r="AE481" s="18">
        <v>20</v>
      </c>
      <c r="AF481" s="18">
        <v>10.000000000000009</v>
      </c>
      <c r="AG481" s="18" t="s">
        <v>29</v>
      </c>
      <c r="AH481" s="18"/>
      <c r="AI481" s="18" t="e">
        <f>+VLOOKUP(AH481,Leyenda!$O$4:$U$10,6,FALSE)</f>
        <v>#N/A</v>
      </c>
      <c r="AJ481" s="18" t="str">
        <f>+VLOOKUP(AG481,Leyenda!$O$4:$U$10,7,FALSE)</f>
        <v>No Blasting need</v>
      </c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 t="e">
        <f>+VLOOKUP(AN481,Leyenda!$B$30:$E$34,3,FALSE)</f>
        <v>#N/A</v>
      </c>
      <c r="AW481" s="18" t="e">
        <f>+VLOOKUP('2. Logging Brejo Seco'!AO481,Meteorizacion,3,FALSE)</f>
        <v>#N/A</v>
      </c>
      <c r="AX481" s="18" t="e">
        <f>+VLOOKUP('2. Logging Brejo Seco'!AP481,Apertura,3,FALSE)</f>
        <v>#N/A</v>
      </c>
      <c r="AY481" s="18" t="e">
        <f>+VLOOKUP('2. Logging Brejo Seco'!AQ481,Leyenda!$B$55:$D$59,3,FALSE)</f>
        <v>#N/A</v>
      </c>
      <c r="AZ481" s="18" t="e">
        <f>+VLOOKUP('2. Logging Brejo Seco'!AR481,Relleno,3,FALSE)</f>
        <v>#N/A</v>
      </c>
      <c r="BA481" s="18" t="e">
        <f t="shared" si="165"/>
        <v>#N/A</v>
      </c>
      <c r="BB481" s="49">
        <f t="shared" si="167"/>
        <v>0</v>
      </c>
      <c r="BC481" s="49" t="e">
        <f>VLOOKUP(AH481,Leyenda!$B$4:$D$10,3,FALSE)</f>
        <v>#N/A</v>
      </c>
      <c r="BD481" s="50" t="e">
        <f t="shared" si="155"/>
        <v>#DIV/0!</v>
      </c>
      <c r="BE481" s="49" t="e">
        <f t="shared" si="159"/>
        <v>#N/A</v>
      </c>
      <c r="BF481" s="49" t="e">
        <f>VLOOKUP(AS481,Leyenda!$B$70:$D$75,3,FALSE)</f>
        <v>#N/A</v>
      </c>
      <c r="BG481" s="67" t="e">
        <f t="shared" si="168"/>
        <v>#N/A</v>
      </c>
      <c r="BH481" s="67">
        <f>VLOOKUP(AG481,Leyenda!$B$4:$E$10,4,FALSE)</f>
        <v>2</v>
      </c>
      <c r="BI481" s="67" t="e">
        <f t="shared" si="156"/>
        <v>#DIV/0!</v>
      </c>
      <c r="BJ481" s="67">
        <f t="shared" si="169"/>
        <v>0</v>
      </c>
      <c r="BK481" s="67" t="e">
        <f>+VLOOKUP('2. Logging Brejo Seco'!AP481,Leyenda!$B$47:$E$51,4,FALSE)</f>
        <v>#N/A</v>
      </c>
      <c r="BL481" s="67" t="e">
        <f>+VLOOKUP('2. Logging Brejo Seco'!AQ481,Leyenda!$B$55:$E$59,4,FALSE)</f>
        <v>#N/A</v>
      </c>
      <c r="BM481" s="67" t="e">
        <f>+VLOOKUP('2. Logging Brejo Seco'!AR481,Leyenda!$B$63:$E$67,3,FALSE)</f>
        <v>#N/A</v>
      </c>
      <c r="BN481" s="67" t="e">
        <f>+VLOOKUP('2. Logging Brejo Seco'!AO481,Leyenda!$B$39:$E$43,4,FALSE)</f>
        <v>#N/A</v>
      </c>
      <c r="BO481" s="67" t="e">
        <f>+VLOOKUP('2. Logging Brejo Seco'!AN481,Leyenda!$B$30:$E$34,4,FALSE)</f>
        <v>#N/A</v>
      </c>
      <c r="BP481" s="67" t="e">
        <f>VLOOKUP(AS481,Leyenda!$B$71:$E$75,4,FALSE)</f>
        <v>#N/A</v>
      </c>
      <c r="BQ481" s="67" t="e">
        <f t="shared" si="160"/>
        <v>#DIV/0!</v>
      </c>
      <c r="BR481" s="18" t="e">
        <f t="shared" si="161"/>
        <v>#N/A</v>
      </c>
      <c r="BS481" s="240">
        <f t="shared" si="157"/>
        <v>0</v>
      </c>
      <c r="BT481" s="18"/>
    </row>
    <row r="482" spans="1:72" x14ac:dyDescent="0.25">
      <c r="A482" s="18" t="s">
        <v>6</v>
      </c>
      <c r="B482" s="18">
        <v>2024</v>
      </c>
      <c r="C482" s="18" t="s">
        <v>140</v>
      </c>
      <c r="D482" s="18" t="s">
        <v>139</v>
      </c>
      <c r="E482" s="18"/>
      <c r="F482" s="18"/>
      <c r="G482" s="18"/>
      <c r="H482" s="248">
        <f t="shared" si="163"/>
        <v>0</v>
      </c>
      <c r="I482" s="135"/>
      <c r="J482" s="18" t="s">
        <v>141</v>
      </c>
      <c r="K482" s="31">
        <f t="shared" si="171"/>
        <v>3.7</v>
      </c>
      <c r="L482" s="31">
        <v>4</v>
      </c>
      <c r="M482" s="4">
        <f t="shared" si="162"/>
        <v>0.29999999999999982</v>
      </c>
      <c r="N482" s="32">
        <v>0.83</v>
      </c>
      <c r="O482" s="5">
        <f t="shared" si="154"/>
        <v>0.17000000000000004</v>
      </c>
      <c r="P482" s="31">
        <f t="shared" si="158"/>
        <v>0.24899999999999983</v>
      </c>
      <c r="Q482" s="18">
        <f t="shared" si="150"/>
        <v>0.24899999999999983</v>
      </c>
      <c r="R482" s="18">
        <v>12.449999999999992</v>
      </c>
      <c r="S482" s="18">
        <v>20</v>
      </c>
      <c r="T482" s="18"/>
      <c r="U482" s="18"/>
      <c r="V482" s="65">
        <f t="shared" si="164"/>
        <v>0</v>
      </c>
      <c r="W482" s="18"/>
      <c r="X482" s="18"/>
      <c r="Y482" s="18"/>
      <c r="Z482" s="31" t="e">
        <f t="shared" si="166"/>
        <v>#DIV/0!</v>
      </c>
      <c r="AA482" s="18">
        <v>0</v>
      </c>
      <c r="AB482" s="18" t="s">
        <v>96</v>
      </c>
      <c r="AC482" s="18" t="s">
        <v>333</v>
      </c>
      <c r="AD482" s="18" t="s">
        <v>334</v>
      </c>
      <c r="AE482" s="18">
        <v>20</v>
      </c>
      <c r="AF482" s="18">
        <v>12.449999999999992</v>
      </c>
      <c r="AG482" s="18" t="s">
        <v>27</v>
      </c>
      <c r="AH482" s="18"/>
      <c r="AI482" s="18" t="e">
        <f>+VLOOKUP(AH482,Leyenda!$O$4:$U$10,6,FALSE)</f>
        <v>#N/A</v>
      </c>
      <c r="AJ482" s="18" t="str">
        <f>+VLOOKUP(AG482,Leyenda!$O$4:$U$10,7,FALSE)</f>
        <v>Easy to blast</v>
      </c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 t="e">
        <f>+VLOOKUP(AN482,Leyenda!$B$30:$E$34,3,FALSE)</f>
        <v>#N/A</v>
      </c>
      <c r="AW482" s="18" t="e">
        <f>+VLOOKUP('2. Logging Brejo Seco'!AO482,Meteorizacion,3,FALSE)</f>
        <v>#N/A</v>
      </c>
      <c r="AX482" s="18" t="e">
        <f>+VLOOKUP('2. Logging Brejo Seco'!AP482,Apertura,3,FALSE)</f>
        <v>#N/A</v>
      </c>
      <c r="AY482" s="18" t="e">
        <f>+VLOOKUP('2. Logging Brejo Seco'!AQ482,Leyenda!$B$55:$D$59,3,FALSE)</f>
        <v>#N/A</v>
      </c>
      <c r="AZ482" s="18" t="e">
        <f>+VLOOKUP('2. Logging Brejo Seco'!AR482,Relleno,3,FALSE)</f>
        <v>#N/A</v>
      </c>
      <c r="BA482" s="18" t="e">
        <f t="shared" si="165"/>
        <v>#N/A</v>
      </c>
      <c r="BB482" s="49">
        <f t="shared" si="167"/>
        <v>0</v>
      </c>
      <c r="BC482" s="49" t="e">
        <f>VLOOKUP(AH482,Leyenda!$B$4:$D$10,3,FALSE)</f>
        <v>#N/A</v>
      </c>
      <c r="BD482" s="50" t="e">
        <f t="shared" si="155"/>
        <v>#DIV/0!</v>
      </c>
      <c r="BE482" s="49" t="e">
        <f t="shared" si="159"/>
        <v>#N/A</v>
      </c>
      <c r="BF482" s="49" t="e">
        <f>VLOOKUP(AS482,Leyenda!$B$70:$D$75,3,FALSE)</f>
        <v>#N/A</v>
      </c>
      <c r="BG482" s="67" t="e">
        <f t="shared" si="168"/>
        <v>#N/A</v>
      </c>
      <c r="BH482" s="67">
        <f>VLOOKUP(AG482,Leyenda!$B$4:$E$10,4,FALSE)</f>
        <v>4</v>
      </c>
      <c r="BI482" s="67" t="e">
        <f t="shared" si="156"/>
        <v>#DIV/0!</v>
      </c>
      <c r="BJ482" s="67">
        <f t="shared" si="169"/>
        <v>0</v>
      </c>
      <c r="BK482" s="67" t="e">
        <f>+VLOOKUP('2. Logging Brejo Seco'!AP482,Leyenda!$B$47:$E$51,4,FALSE)</f>
        <v>#N/A</v>
      </c>
      <c r="BL482" s="67" t="e">
        <f>+VLOOKUP('2. Logging Brejo Seco'!AQ482,Leyenda!$B$55:$E$59,4,FALSE)</f>
        <v>#N/A</v>
      </c>
      <c r="BM482" s="67" t="e">
        <f>+VLOOKUP('2. Logging Brejo Seco'!AR482,Leyenda!$B$63:$E$67,3,FALSE)</f>
        <v>#N/A</v>
      </c>
      <c r="BN482" s="67" t="e">
        <f>+VLOOKUP('2. Logging Brejo Seco'!AO482,Leyenda!$B$39:$E$43,4,FALSE)</f>
        <v>#N/A</v>
      </c>
      <c r="BO482" s="67" t="e">
        <f>+VLOOKUP('2. Logging Brejo Seco'!AN482,Leyenda!$B$30:$E$34,4,FALSE)</f>
        <v>#N/A</v>
      </c>
      <c r="BP482" s="67" t="e">
        <f>VLOOKUP(AS482,Leyenda!$B$71:$E$75,4,FALSE)</f>
        <v>#N/A</v>
      </c>
      <c r="BQ482" s="67" t="e">
        <f t="shared" si="160"/>
        <v>#DIV/0!</v>
      </c>
      <c r="BR482" s="18" t="e">
        <f t="shared" si="161"/>
        <v>#N/A</v>
      </c>
      <c r="BS482" s="240">
        <f t="shared" si="157"/>
        <v>0.17000000000000004</v>
      </c>
      <c r="BT482" s="18"/>
    </row>
    <row r="483" spans="1:72" x14ac:dyDescent="0.25">
      <c r="A483" s="18" t="s">
        <v>6</v>
      </c>
      <c r="B483" s="18">
        <v>2024</v>
      </c>
      <c r="C483" s="18" t="s">
        <v>140</v>
      </c>
      <c r="D483" s="18" t="s">
        <v>139</v>
      </c>
      <c r="E483" s="18"/>
      <c r="F483" s="18"/>
      <c r="G483" s="18"/>
      <c r="H483" s="248">
        <f t="shared" si="163"/>
        <v>0</v>
      </c>
      <c r="I483" s="135"/>
      <c r="J483" s="18" t="s">
        <v>142</v>
      </c>
      <c r="K483" s="31">
        <f t="shared" si="171"/>
        <v>4</v>
      </c>
      <c r="L483" s="31">
        <v>4.5</v>
      </c>
      <c r="M483" s="4">
        <f t="shared" si="162"/>
        <v>0.5</v>
      </c>
      <c r="N483" s="32">
        <v>0.64</v>
      </c>
      <c r="O483" s="5">
        <f t="shared" si="154"/>
        <v>0.36</v>
      </c>
      <c r="P483" s="31">
        <f t="shared" si="158"/>
        <v>0.32</v>
      </c>
      <c r="Q483" s="18">
        <f t="shared" si="150"/>
        <v>0.32</v>
      </c>
      <c r="R483" s="18">
        <v>16</v>
      </c>
      <c r="S483" s="18">
        <v>20</v>
      </c>
      <c r="T483" s="18"/>
      <c r="U483" s="18"/>
      <c r="V483" s="65">
        <f t="shared" si="164"/>
        <v>0</v>
      </c>
      <c r="W483" s="18"/>
      <c r="X483" s="18"/>
      <c r="Y483" s="18"/>
      <c r="Z483" s="31" t="e">
        <f t="shared" si="166"/>
        <v>#DIV/0!</v>
      </c>
      <c r="AA483" s="18">
        <v>0</v>
      </c>
      <c r="AB483" s="18" t="s">
        <v>96</v>
      </c>
      <c r="AC483" s="18" t="s">
        <v>333</v>
      </c>
      <c r="AD483" s="18" t="s">
        <v>337</v>
      </c>
      <c r="AE483" s="18">
        <v>20</v>
      </c>
      <c r="AF483" s="18">
        <v>16</v>
      </c>
      <c r="AG483" s="18" t="s">
        <v>29</v>
      </c>
      <c r="AH483" s="18"/>
      <c r="AI483" s="18" t="e">
        <f>+VLOOKUP(AH483,Leyenda!$O$4:$U$10,6,FALSE)</f>
        <v>#N/A</v>
      </c>
      <c r="AJ483" s="18" t="str">
        <f>+VLOOKUP(AG483,Leyenda!$O$4:$U$10,7,FALSE)</f>
        <v>No Blasting need</v>
      </c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 t="e">
        <f>+VLOOKUP(AN483,Leyenda!$B$30:$E$34,3,FALSE)</f>
        <v>#N/A</v>
      </c>
      <c r="AW483" s="18" t="e">
        <f>+VLOOKUP('2. Logging Brejo Seco'!AO483,Meteorizacion,3,FALSE)</f>
        <v>#N/A</v>
      </c>
      <c r="AX483" s="18" t="e">
        <f>+VLOOKUP('2. Logging Brejo Seco'!AP483,Apertura,3,FALSE)</f>
        <v>#N/A</v>
      </c>
      <c r="AY483" s="18" t="e">
        <f>+VLOOKUP('2. Logging Brejo Seco'!AQ483,Leyenda!$B$55:$D$59,3,FALSE)</f>
        <v>#N/A</v>
      </c>
      <c r="AZ483" s="18" t="e">
        <f>+VLOOKUP('2. Logging Brejo Seco'!AR483,Relleno,3,FALSE)</f>
        <v>#N/A</v>
      </c>
      <c r="BA483" s="18" t="e">
        <f t="shared" si="165"/>
        <v>#N/A</v>
      </c>
      <c r="BB483" s="49">
        <f t="shared" si="167"/>
        <v>0</v>
      </c>
      <c r="BC483" s="49" t="e">
        <f>VLOOKUP(AH483,Leyenda!$B$4:$D$10,3,FALSE)</f>
        <v>#N/A</v>
      </c>
      <c r="BD483" s="50" t="e">
        <f t="shared" si="155"/>
        <v>#DIV/0!</v>
      </c>
      <c r="BE483" s="49" t="e">
        <f t="shared" si="159"/>
        <v>#N/A</v>
      </c>
      <c r="BF483" s="49" t="e">
        <f>VLOOKUP(AS483,Leyenda!$B$70:$D$75,3,FALSE)</f>
        <v>#N/A</v>
      </c>
      <c r="BG483" s="67" t="e">
        <f t="shared" si="168"/>
        <v>#N/A</v>
      </c>
      <c r="BH483" s="67">
        <f>VLOOKUP(AG483,Leyenda!$B$4:$E$10,4,FALSE)</f>
        <v>2</v>
      </c>
      <c r="BI483" s="67" t="e">
        <f t="shared" si="156"/>
        <v>#DIV/0!</v>
      </c>
      <c r="BJ483" s="67">
        <f t="shared" si="169"/>
        <v>0</v>
      </c>
      <c r="BK483" s="67" t="e">
        <f>+VLOOKUP('2. Logging Brejo Seco'!AP483,Leyenda!$B$47:$E$51,4,FALSE)</f>
        <v>#N/A</v>
      </c>
      <c r="BL483" s="67" t="e">
        <f>+VLOOKUP('2. Logging Brejo Seco'!AQ483,Leyenda!$B$55:$E$59,4,FALSE)</f>
        <v>#N/A</v>
      </c>
      <c r="BM483" s="67" t="e">
        <f>+VLOOKUP('2. Logging Brejo Seco'!AR483,Leyenda!$B$63:$E$67,3,FALSE)</f>
        <v>#N/A</v>
      </c>
      <c r="BN483" s="67" t="e">
        <f>+VLOOKUP('2. Logging Brejo Seco'!AO483,Leyenda!$B$39:$E$43,4,FALSE)</f>
        <v>#N/A</v>
      </c>
      <c r="BO483" s="67" t="e">
        <f>+VLOOKUP('2. Logging Brejo Seco'!AN483,Leyenda!$B$30:$E$34,4,FALSE)</f>
        <v>#N/A</v>
      </c>
      <c r="BP483" s="67" t="e">
        <f>VLOOKUP(AS483,Leyenda!$B$71:$E$75,4,FALSE)</f>
        <v>#N/A</v>
      </c>
      <c r="BQ483" s="67" t="e">
        <f t="shared" si="160"/>
        <v>#DIV/0!</v>
      </c>
      <c r="BR483" s="18" t="e">
        <f t="shared" si="161"/>
        <v>#N/A</v>
      </c>
      <c r="BS483" s="240">
        <f t="shared" si="157"/>
        <v>0.36</v>
      </c>
      <c r="BT483" s="18"/>
    </row>
    <row r="484" spans="1:72" x14ac:dyDescent="0.25">
      <c r="A484" s="18" t="s">
        <v>6</v>
      </c>
      <c r="B484" s="18">
        <v>2024</v>
      </c>
      <c r="C484" s="18" t="s">
        <v>140</v>
      </c>
      <c r="D484" s="18" t="s">
        <v>139</v>
      </c>
      <c r="E484" s="18"/>
      <c r="F484" s="18"/>
      <c r="G484" s="18"/>
      <c r="H484" s="248">
        <f t="shared" si="163"/>
        <v>0</v>
      </c>
      <c r="I484" s="135"/>
      <c r="J484" s="18" t="s">
        <v>142</v>
      </c>
      <c r="K484" s="31">
        <f t="shared" si="171"/>
        <v>4.5</v>
      </c>
      <c r="L484" s="31">
        <v>5</v>
      </c>
      <c r="M484" s="4">
        <f t="shared" si="162"/>
        <v>0.5</v>
      </c>
      <c r="N484" s="32">
        <v>0.8</v>
      </c>
      <c r="O484" s="5">
        <f t="shared" si="154"/>
        <v>0.19999999999999996</v>
      </c>
      <c r="P484" s="31">
        <f t="shared" si="158"/>
        <v>0.4</v>
      </c>
      <c r="Q484" s="18">
        <f t="shared" si="150"/>
        <v>0.4</v>
      </c>
      <c r="R484" s="18">
        <v>20</v>
      </c>
      <c r="S484" s="18">
        <v>20</v>
      </c>
      <c r="T484" s="18"/>
      <c r="U484" s="18"/>
      <c r="V484" s="65">
        <f t="shared" si="164"/>
        <v>0</v>
      </c>
      <c r="W484" s="18"/>
      <c r="X484" s="18"/>
      <c r="Y484" s="18"/>
      <c r="Z484" s="31" t="e">
        <f t="shared" si="166"/>
        <v>#DIV/0!</v>
      </c>
      <c r="AA484" s="18">
        <v>0</v>
      </c>
      <c r="AB484" s="18" t="s">
        <v>96</v>
      </c>
      <c r="AC484" s="18" t="s">
        <v>333</v>
      </c>
      <c r="AD484" s="18" t="s">
        <v>336</v>
      </c>
      <c r="AE484" s="18">
        <v>20</v>
      </c>
      <c r="AF484" s="18">
        <v>20</v>
      </c>
      <c r="AG484" s="18" t="s">
        <v>32</v>
      </c>
      <c r="AH484" s="18"/>
      <c r="AI484" s="18" t="e">
        <f>+VLOOKUP(AH484,Leyenda!$O$4:$U$10,6,FALSE)</f>
        <v>#N/A</v>
      </c>
      <c r="AJ484" s="18" t="str">
        <f>+VLOOKUP(AG484,Leyenda!$O$4:$U$10,7,FALSE)</f>
        <v>No Blasting need</v>
      </c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 t="e">
        <f>+VLOOKUP(AN484,Leyenda!$B$30:$E$34,3,FALSE)</f>
        <v>#N/A</v>
      </c>
      <c r="AW484" s="18" t="e">
        <f>+VLOOKUP('2. Logging Brejo Seco'!AO484,Meteorizacion,3,FALSE)</f>
        <v>#N/A</v>
      </c>
      <c r="AX484" s="18" t="e">
        <f>+VLOOKUP('2. Logging Brejo Seco'!AP484,Apertura,3,FALSE)</f>
        <v>#N/A</v>
      </c>
      <c r="AY484" s="18" t="e">
        <f>+VLOOKUP('2. Logging Brejo Seco'!AQ484,Leyenda!$B$55:$D$59,3,FALSE)</f>
        <v>#N/A</v>
      </c>
      <c r="AZ484" s="18" t="e">
        <f>+VLOOKUP('2. Logging Brejo Seco'!AR484,Relleno,3,FALSE)</f>
        <v>#N/A</v>
      </c>
      <c r="BA484" s="18" t="e">
        <f t="shared" si="165"/>
        <v>#N/A</v>
      </c>
      <c r="BB484" s="49">
        <f t="shared" si="167"/>
        <v>0</v>
      </c>
      <c r="BC484" s="49" t="e">
        <f>VLOOKUP(AH484,Leyenda!$B$4:$D$10,3,FALSE)</f>
        <v>#N/A</v>
      </c>
      <c r="BD484" s="50" t="e">
        <f t="shared" si="155"/>
        <v>#DIV/0!</v>
      </c>
      <c r="BE484" s="49" t="e">
        <f t="shared" si="159"/>
        <v>#N/A</v>
      </c>
      <c r="BF484" s="49" t="e">
        <f>VLOOKUP(AS484,Leyenda!$B$70:$D$75,3,FALSE)</f>
        <v>#N/A</v>
      </c>
      <c r="BG484" s="67" t="e">
        <f t="shared" si="168"/>
        <v>#N/A</v>
      </c>
      <c r="BH484" s="67">
        <f>VLOOKUP(AG484,Leyenda!$B$4:$E$10,4,FALSE)</f>
        <v>1</v>
      </c>
      <c r="BI484" s="67" t="e">
        <f t="shared" si="156"/>
        <v>#DIV/0!</v>
      </c>
      <c r="BJ484" s="67">
        <f t="shared" si="169"/>
        <v>0</v>
      </c>
      <c r="BK484" s="67" t="e">
        <f>+VLOOKUP('2. Logging Brejo Seco'!AP484,Leyenda!$B$47:$E$51,4,FALSE)</f>
        <v>#N/A</v>
      </c>
      <c r="BL484" s="67" t="e">
        <f>+VLOOKUP('2. Logging Brejo Seco'!AQ484,Leyenda!$B$55:$E$59,4,FALSE)</f>
        <v>#N/A</v>
      </c>
      <c r="BM484" s="67" t="e">
        <f>+VLOOKUP('2. Logging Brejo Seco'!AR484,Leyenda!$B$63:$E$67,3,FALSE)</f>
        <v>#N/A</v>
      </c>
      <c r="BN484" s="67" t="e">
        <f>+VLOOKUP('2. Logging Brejo Seco'!AO484,Leyenda!$B$39:$E$43,4,FALSE)</f>
        <v>#N/A</v>
      </c>
      <c r="BO484" s="67" t="e">
        <f>+VLOOKUP('2. Logging Brejo Seco'!AN484,Leyenda!$B$30:$E$34,4,FALSE)</f>
        <v>#N/A</v>
      </c>
      <c r="BP484" s="67" t="e">
        <f>VLOOKUP(AS484,Leyenda!$B$71:$E$75,4,FALSE)</f>
        <v>#N/A</v>
      </c>
      <c r="BQ484" s="67" t="e">
        <f t="shared" si="160"/>
        <v>#DIV/0!</v>
      </c>
      <c r="BR484" s="18" t="e">
        <f t="shared" si="161"/>
        <v>#N/A</v>
      </c>
      <c r="BS484" s="240">
        <f t="shared" si="157"/>
        <v>0.19999999999999996</v>
      </c>
      <c r="BT484" s="18"/>
    </row>
    <row r="485" spans="1:72" x14ac:dyDescent="0.25">
      <c r="A485" s="18" t="s">
        <v>6</v>
      </c>
      <c r="B485" s="18">
        <v>2024</v>
      </c>
      <c r="C485" s="18" t="s">
        <v>140</v>
      </c>
      <c r="D485" s="18" t="s">
        <v>139</v>
      </c>
      <c r="E485" s="18"/>
      <c r="F485" s="18"/>
      <c r="G485" s="18"/>
      <c r="H485" s="248">
        <f t="shared" si="163"/>
        <v>0</v>
      </c>
      <c r="I485" s="135"/>
      <c r="J485" s="18" t="s">
        <v>142</v>
      </c>
      <c r="K485" s="31">
        <f t="shared" si="171"/>
        <v>5</v>
      </c>
      <c r="L485" s="31">
        <v>7</v>
      </c>
      <c r="M485" s="4">
        <f t="shared" si="162"/>
        <v>2</v>
      </c>
      <c r="N485" s="32"/>
      <c r="O485" s="5">
        <f t="shared" si="154"/>
        <v>1</v>
      </c>
      <c r="P485" s="31">
        <f t="shared" si="158"/>
        <v>0</v>
      </c>
      <c r="Q485" s="18">
        <f t="shared" si="150"/>
        <v>0</v>
      </c>
      <c r="R485" s="18" t="s">
        <v>348</v>
      </c>
      <c r="S485" s="18">
        <v>20</v>
      </c>
      <c r="T485" s="18"/>
      <c r="U485" s="18"/>
      <c r="V485" s="65">
        <f t="shared" si="164"/>
        <v>0</v>
      </c>
      <c r="W485" s="18"/>
      <c r="X485" s="18"/>
      <c r="Y485" s="18"/>
      <c r="Z485" s="31" t="e">
        <f t="shared" si="166"/>
        <v>#DIV/0!</v>
      </c>
      <c r="AA485" s="18">
        <v>0</v>
      </c>
      <c r="AB485" s="18" t="s">
        <v>100</v>
      </c>
      <c r="AC485" s="18" t="s">
        <v>333</v>
      </c>
      <c r="AD485" s="18" t="s">
        <v>335</v>
      </c>
      <c r="AE485" s="18">
        <v>20</v>
      </c>
      <c r="AF485" s="18" t="s">
        <v>348</v>
      </c>
      <c r="AG485" s="18" t="s">
        <v>34</v>
      </c>
      <c r="AH485" s="18"/>
      <c r="AI485" s="18" t="e">
        <f>+VLOOKUP(AH485,Leyenda!$O$4:$U$10,6,FALSE)</f>
        <v>#N/A</v>
      </c>
      <c r="AJ485" s="18" t="str">
        <f>+VLOOKUP(AG485,Leyenda!$O$4:$U$10,7,FALSE)</f>
        <v>No Blasting need</v>
      </c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 t="e">
        <f>+VLOOKUP(AN485,Leyenda!$B$30:$E$34,3,FALSE)</f>
        <v>#N/A</v>
      </c>
      <c r="AW485" s="18" t="e">
        <f>+VLOOKUP('2. Logging Brejo Seco'!AO485,Meteorizacion,3,FALSE)</f>
        <v>#N/A</v>
      </c>
      <c r="AX485" s="18" t="e">
        <f>+VLOOKUP('2. Logging Brejo Seco'!AP485,Apertura,3,FALSE)</f>
        <v>#N/A</v>
      </c>
      <c r="AY485" s="18" t="e">
        <f>+VLOOKUP('2. Logging Brejo Seco'!AQ485,Leyenda!$B$55:$D$59,3,FALSE)</f>
        <v>#N/A</v>
      </c>
      <c r="AZ485" s="18" t="e">
        <f>+VLOOKUP('2. Logging Brejo Seco'!AR485,Relleno,3,FALSE)</f>
        <v>#N/A</v>
      </c>
      <c r="BA485" s="18" t="e">
        <f t="shared" si="165"/>
        <v>#N/A</v>
      </c>
      <c r="BB485" s="49">
        <f t="shared" si="167"/>
        <v>0</v>
      </c>
      <c r="BC485" s="49" t="e">
        <f>VLOOKUP(AH485,Leyenda!$B$4:$D$10,3,FALSE)</f>
        <v>#N/A</v>
      </c>
      <c r="BD485" s="50" t="e">
        <f t="shared" si="155"/>
        <v>#DIV/0!</v>
      </c>
      <c r="BE485" s="49" t="e">
        <f t="shared" si="159"/>
        <v>#N/A</v>
      </c>
      <c r="BF485" s="49" t="e">
        <f>VLOOKUP(AS485,Leyenda!$B$70:$D$75,3,FALSE)</f>
        <v>#N/A</v>
      </c>
      <c r="BG485" s="67" t="e">
        <f t="shared" si="168"/>
        <v>#N/A</v>
      </c>
      <c r="BH485" s="67">
        <f>VLOOKUP(AG485,Leyenda!$B$4:$E$10,4,FALSE)</f>
        <v>0</v>
      </c>
      <c r="BI485" s="67" t="e">
        <f t="shared" si="156"/>
        <v>#DIV/0!</v>
      </c>
      <c r="BJ485" s="67">
        <f t="shared" si="169"/>
        <v>0</v>
      </c>
      <c r="BK485" s="67" t="e">
        <f>+VLOOKUP('2. Logging Brejo Seco'!AP485,Leyenda!$B$47:$E$51,4,FALSE)</f>
        <v>#N/A</v>
      </c>
      <c r="BL485" s="67" t="e">
        <f>+VLOOKUP('2. Logging Brejo Seco'!AQ485,Leyenda!$B$55:$E$59,4,FALSE)</f>
        <v>#N/A</v>
      </c>
      <c r="BM485" s="67" t="e">
        <f>+VLOOKUP('2. Logging Brejo Seco'!AR485,Leyenda!$B$63:$E$67,3,FALSE)</f>
        <v>#N/A</v>
      </c>
      <c r="BN485" s="67" t="e">
        <f>+VLOOKUP('2. Logging Brejo Seco'!AO485,Leyenda!$B$39:$E$43,4,FALSE)</f>
        <v>#N/A</v>
      </c>
      <c r="BO485" s="67" t="e">
        <f>+VLOOKUP('2. Logging Brejo Seco'!AN485,Leyenda!$B$30:$E$34,4,FALSE)</f>
        <v>#N/A</v>
      </c>
      <c r="BP485" s="67" t="e">
        <f>VLOOKUP(AS485,Leyenda!$B$71:$E$75,4,FALSE)</f>
        <v>#N/A</v>
      </c>
      <c r="BQ485" s="67" t="e">
        <f t="shared" si="160"/>
        <v>#DIV/0!</v>
      </c>
      <c r="BR485" s="18" t="e">
        <f t="shared" si="161"/>
        <v>#N/A</v>
      </c>
      <c r="BS485" s="240">
        <f t="shared" si="157"/>
        <v>1</v>
      </c>
      <c r="BT485" s="18"/>
    </row>
    <row r="486" spans="1:72" x14ac:dyDescent="0.25">
      <c r="A486" s="18" t="s">
        <v>6</v>
      </c>
      <c r="B486" s="18">
        <v>2024</v>
      </c>
      <c r="C486" s="18" t="s">
        <v>140</v>
      </c>
      <c r="D486" s="18" t="s">
        <v>139</v>
      </c>
      <c r="E486" s="18"/>
      <c r="F486" s="18"/>
      <c r="G486" s="18"/>
      <c r="H486" s="248">
        <f t="shared" si="163"/>
        <v>0</v>
      </c>
      <c r="I486" s="135"/>
      <c r="J486" s="18" t="s">
        <v>144</v>
      </c>
      <c r="K486" s="31">
        <f t="shared" si="171"/>
        <v>7</v>
      </c>
      <c r="L486" s="31">
        <v>7.65</v>
      </c>
      <c r="M486" s="4">
        <f t="shared" si="162"/>
        <v>0.65000000000000036</v>
      </c>
      <c r="N486" s="32"/>
      <c r="O486" s="5">
        <f t="shared" si="154"/>
        <v>1</v>
      </c>
      <c r="P486" s="31">
        <f t="shared" si="158"/>
        <v>0</v>
      </c>
      <c r="Q486" s="18">
        <f t="shared" si="150"/>
        <v>0</v>
      </c>
      <c r="R486" s="18" t="s">
        <v>348</v>
      </c>
      <c r="S486" s="18">
        <v>20</v>
      </c>
      <c r="T486" s="18"/>
      <c r="U486" s="18"/>
      <c r="V486" s="65">
        <f t="shared" si="164"/>
        <v>0</v>
      </c>
      <c r="W486" s="18"/>
      <c r="X486" s="18"/>
      <c r="Y486" s="18"/>
      <c r="Z486" s="31" t="e">
        <f t="shared" si="166"/>
        <v>#DIV/0!</v>
      </c>
      <c r="AA486" s="18">
        <v>0</v>
      </c>
      <c r="AB486" s="18" t="s">
        <v>100</v>
      </c>
      <c r="AC486" s="18" t="s">
        <v>333</v>
      </c>
      <c r="AD486" s="18" t="s">
        <v>335</v>
      </c>
      <c r="AE486" s="18">
        <v>20</v>
      </c>
      <c r="AF486" s="18" t="s">
        <v>348</v>
      </c>
      <c r="AG486" s="18" t="s">
        <v>34</v>
      </c>
      <c r="AH486" s="18"/>
      <c r="AI486" s="18" t="e">
        <f>+VLOOKUP(AH486,Leyenda!$O$4:$U$10,6,FALSE)</f>
        <v>#N/A</v>
      </c>
      <c r="AJ486" s="18" t="str">
        <f>+VLOOKUP(AG486,Leyenda!$O$4:$U$10,7,FALSE)</f>
        <v>No Blasting need</v>
      </c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 t="e">
        <f>+VLOOKUP(AN486,Leyenda!$B$30:$E$34,3,FALSE)</f>
        <v>#N/A</v>
      </c>
      <c r="AW486" s="18" t="e">
        <f>+VLOOKUP('2. Logging Brejo Seco'!AO486,Meteorizacion,3,FALSE)</f>
        <v>#N/A</v>
      </c>
      <c r="AX486" s="18" t="e">
        <f>+VLOOKUP('2. Logging Brejo Seco'!AP486,Apertura,3,FALSE)</f>
        <v>#N/A</v>
      </c>
      <c r="AY486" s="18" t="e">
        <f>+VLOOKUP('2. Logging Brejo Seco'!AQ486,Leyenda!$B$55:$D$59,3,FALSE)</f>
        <v>#N/A</v>
      </c>
      <c r="AZ486" s="18" t="e">
        <f>+VLOOKUP('2. Logging Brejo Seco'!AR486,Relleno,3,FALSE)</f>
        <v>#N/A</v>
      </c>
      <c r="BA486" s="18" t="e">
        <f t="shared" si="165"/>
        <v>#N/A</v>
      </c>
      <c r="BB486" s="49">
        <f t="shared" si="167"/>
        <v>0</v>
      </c>
      <c r="BC486" s="49" t="e">
        <f>VLOOKUP(AH486,Leyenda!$B$4:$D$10,3,FALSE)</f>
        <v>#N/A</v>
      </c>
      <c r="BD486" s="50" t="e">
        <f t="shared" si="155"/>
        <v>#DIV/0!</v>
      </c>
      <c r="BE486" s="49" t="e">
        <f t="shared" si="159"/>
        <v>#N/A</v>
      </c>
      <c r="BF486" s="49" t="e">
        <f>VLOOKUP(AS486,Leyenda!$B$70:$D$75,3,FALSE)</f>
        <v>#N/A</v>
      </c>
      <c r="BG486" s="67" t="e">
        <f t="shared" si="168"/>
        <v>#N/A</v>
      </c>
      <c r="BH486" s="67">
        <f>VLOOKUP(AG486,Leyenda!$B$4:$E$10,4,FALSE)</f>
        <v>0</v>
      </c>
      <c r="BI486" s="67" t="e">
        <f t="shared" si="156"/>
        <v>#DIV/0!</v>
      </c>
      <c r="BJ486" s="67">
        <f t="shared" si="169"/>
        <v>0</v>
      </c>
      <c r="BK486" s="67" t="e">
        <f>+VLOOKUP('2. Logging Brejo Seco'!AP486,Leyenda!$B$47:$E$51,4,FALSE)</f>
        <v>#N/A</v>
      </c>
      <c r="BL486" s="67" t="e">
        <f>+VLOOKUP('2. Logging Brejo Seco'!AQ486,Leyenda!$B$55:$E$59,4,FALSE)</f>
        <v>#N/A</v>
      </c>
      <c r="BM486" s="67" t="e">
        <f>+VLOOKUP('2. Logging Brejo Seco'!AR486,Leyenda!$B$63:$E$67,3,FALSE)</f>
        <v>#N/A</v>
      </c>
      <c r="BN486" s="67" t="e">
        <f>+VLOOKUP('2. Logging Brejo Seco'!AO486,Leyenda!$B$39:$E$43,4,FALSE)</f>
        <v>#N/A</v>
      </c>
      <c r="BO486" s="67" t="e">
        <f>+VLOOKUP('2. Logging Brejo Seco'!AN486,Leyenda!$B$30:$E$34,4,FALSE)</f>
        <v>#N/A</v>
      </c>
      <c r="BP486" s="67" t="e">
        <f>VLOOKUP(AS486,Leyenda!$B$71:$E$75,4,FALSE)</f>
        <v>#N/A</v>
      </c>
      <c r="BQ486" s="67" t="e">
        <f t="shared" si="160"/>
        <v>#DIV/0!</v>
      </c>
      <c r="BR486" s="18" t="e">
        <f t="shared" si="161"/>
        <v>#N/A</v>
      </c>
      <c r="BS486" s="240">
        <f t="shared" si="157"/>
        <v>1</v>
      </c>
      <c r="BT486" s="18"/>
    </row>
    <row r="487" spans="1:72" x14ac:dyDescent="0.25">
      <c r="A487" s="18" t="s">
        <v>6</v>
      </c>
      <c r="B487" s="18">
        <v>2024</v>
      </c>
      <c r="C487" s="18" t="s">
        <v>140</v>
      </c>
      <c r="D487" s="18" t="s">
        <v>139</v>
      </c>
      <c r="E487" s="18"/>
      <c r="F487" s="18"/>
      <c r="G487" s="18"/>
      <c r="H487" s="248">
        <f t="shared" si="163"/>
        <v>0</v>
      </c>
      <c r="I487" s="135"/>
      <c r="J487" s="18" t="s">
        <v>143</v>
      </c>
      <c r="K487" s="31">
        <f t="shared" si="171"/>
        <v>7.65</v>
      </c>
      <c r="L487" s="31">
        <v>10</v>
      </c>
      <c r="M487" s="4">
        <f t="shared" si="162"/>
        <v>2.3499999999999996</v>
      </c>
      <c r="N487" s="32"/>
      <c r="O487" s="5">
        <f t="shared" si="154"/>
        <v>1</v>
      </c>
      <c r="P487" s="31">
        <f t="shared" si="158"/>
        <v>0</v>
      </c>
      <c r="Q487" s="18">
        <f t="shared" si="150"/>
        <v>0</v>
      </c>
      <c r="R487" s="18" t="s">
        <v>348</v>
      </c>
      <c r="S487" s="18">
        <v>20</v>
      </c>
      <c r="T487" s="18"/>
      <c r="U487" s="18"/>
      <c r="V487" s="65">
        <f t="shared" si="164"/>
        <v>0</v>
      </c>
      <c r="W487" s="18"/>
      <c r="X487" s="18"/>
      <c r="Y487" s="18"/>
      <c r="Z487" s="31" t="e">
        <f t="shared" si="166"/>
        <v>#DIV/0!</v>
      </c>
      <c r="AA487" s="18">
        <v>0</v>
      </c>
      <c r="AB487" s="18" t="s">
        <v>100</v>
      </c>
      <c r="AC487" s="18" t="s">
        <v>333</v>
      </c>
      <c r="AD487" s="18" t="s">
        <v>335</v>
      </c>
      <c r="AE487" s="18">
        <v>20</v>
      </c>
      <c r="AF487" s="18" t="s">
        <v>348</v>
      </c>
      <c r="AG487" s="18" t="s">
        <v>34</v>
      </c>
      <c r="AH487" s="18"/>
      <c r="AI487" s="18" t="e">
        <f>+VLOOKUP(AH487,Leyenda!$O$4:$U$10,6,FALSE)</f>
        <v>#N/A</v>
      </c>
      <c r="AJ487" s="18" t="str">
        <f>+VLOOKUP(AG487,Leyenda!$O$4:$U$10,7,FALSE)</f>
        <v>No Blasting need</v>
      </c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 t="e">
        <f>+VLOOKUP(AN487,Leyenda!$B$30:$E$34,3,FALSE)</f>
        <v>#N/A</v>
      </c>
      <c r="AW487" s="18" t="e">
        <f>+VLOOKUP('2. Logging Brejo Seco'!AO487,Meteorizacion,3,FALSE)</f>
        <v>#N/A</v>
      </c>
      <c r="AX487" s="18" t="e">
        <f>+VLOOKUP('2. Logging Brejo Seco'!AP487,Apertura,3,FALSE)</f>
        <v>#N/A</v>
      </c>
      <c r="AY487" s="18" t="e">
        <f>+VLOOKUP('2. Logging Brejo Seco'!AQ487,Leyenda!$B$55:$D$59,3,FALSE)</f>
        <v>#N/A</v>
      </c>
      <c r="AZ487" s="18" t="e">
        <f>+VLOOKUP('2. Logging Brejo Seco'!AR487,Relleno,3,FALSE)</f>
        <v>#N/A</v>
      </c>
      <c r="BA487" s="18" t="e">
        <f t="shared" si="165"/>
        <v>#N/A</v>
      </c>
      <c r="BB487" s="49">
        <f t="shared" si="167"/>
        <v>0</v>
      </c>
      <c r="BC487" s="49" t="e">
        <f>VLOOKUP(AH487,Leyenda!$B$4:$D$10,3,FALSE)</f>
        <v>#N/A</v>
      </c>
      <c r="BD487" s="50" t="e">
        <f t="shared" si="155"/>
        <v>#DIV/0!</v>
      </c>
      <c r="BE487" s="49" t="e">
        <f t="shared" si="159"/>
        <v>#N/A</v>
      </c>
      <c r="BF487" s="49" t="e">
        <f>VLOOKUP(AS487,Leyenda!$B$70:$D$75,3,FALSE)</f>
        <v>#N/A</v>
      </c>
      <c r="BG487" s="67" t="e">
        <f t="shared" si="168"/>
        <v>#N/A</v>
      </c>
      <c r="BH487" s="67">
        <f>VLOOKUP(AG487,Leyenda!$B$4:$E$10,4,FALSE)</f>
        <v>0</v>
      </c>
      <c r="BI487" s="67" t="e">
        <f t="shared" si="156"/>
        <v>#DIV/0!</v>
      </c>
      <c r="BJ487" s="67">
        <f t="shared" si="169"/>
        <v>0</v>
      </c>
      <c r="BK487" s="67" t="e">
        <f>+VLOOKUP('2. Logging Brejo Seco'!AP487,Leyenda!$B$47:$E$51,4,FALSE)</f>
        <v>#N/A</v>
      </c>
      <c r="BL487" s="67" t="e">
        <f>+VLOOKUP('2. Logging Brejo Seco'!AQ487,Leyenda!$B$55:$E$59,4,FALSE)</f>
        <v>#N/A</v>
      </c>
      <c r="BM487" s="67" t="e">
        <f>+VLOOKUP('2. Logging Brejo Seco'!AR487,Leyenda!$B$63:$E$67,3,FALSE)</f>
        <v>#N/A</v>
      </c>
      <c r="BN487" s="67" t="e">
        <f>+VLOOKUP('2. Logging Brejo Seco'!AO487,Leyenda!$B$39:$E$43,4,FALSE)</f>
        <v>#N/A</v>
      </c>
      <c r="BO487" s="67" t="e">
        <f>+VLOOKUP('2. Logging Brejo Seco'!AN487,Leyenda!$B$30:$E$34,4,FALSE)</f>
        <v>#N/A</v>
      </c>
      <c r="BP487" s="67" t="e">
        <f>VLOOKUP(AS487,Leyenda!$B$71:$E$75,4,FALSE)</f>
        <v>#N/A</v>
      </c>
      <c r="BQ487" s="67" t="e">
        <f t="shared" si="160"/>
        <v>#DIV/0!</v>
      </c>
      <c r="BR487" s="18" t="e">
        <f t="shared" si="161"/>
        <v>#N/A</v>
      </c>
      <c r="BS487" s="240">
        <f t="shared" si="157"/>
        <v>1</v>
      </c>
      <c r="BT487" s="18"/>
    </row>
    <row r="488" spans="1:72" x14ac:dyDescent="0.25">
      <c r="A488" s="18" t="s">
        <v>6</v>
      </c>
      <c r="B488" s="18">
        <v>2024</v>
      </c>
      <c r="C488" s="18" t="s">
        <v>140</v>
      </c>
      <c r="D488" s="18" t="s">
        <v>145</v>
      </c>
      <c r="E488" s="18"/>
      <c r="F488" s="18"/>
      <c r="G488" s="18"/>
      <c r="H488" s="248">
        <f t="shared" si="163"/>
        <v>0</v>
      </c>
      <c r="I488" s="135"/>
      <c r="J488" s="18" t="s">
        <v>146</v>
      </c>
      <c r="K488" s="18">
        <v>0</v>
      </c>
      <c r="L488" s="31">
        <v>0.7</v>
      </c>
      <c r="M488" s="4">
        <f t="shared" si="162"/>
        <v>0.7</v>
      </c>
      <c r="N488" s="32"/>
      <c r="O488" s="5">
        <f t="shared" si="154"/>
        <v>1</v>
      </c>
      <c r="P488" s="31">
        <f t="shared" si="158"/>
        <v>0</v>
      </c>
      <c r="Q488" s="18">
        <f t="shared" si="150"/>
        <v>0</v>
      </c>
      <c r="R488" s="18" t="s">
        <v>348</v>
      </c>
      <c r="S488" s="18" t="e">
        <v>#N/A</v>
      </c>
      <c r="T488" s="18"/>
      <c r="U488" s="18"/>
      <c r="V488" s="65">
        <f t="shared" si="164"/>
        <v>0</v>
      </c>
      <c r="W488" s="18"/>
      <c r="X488" s="18"/>
      <c r="Y488" s="18"/>
      <c r="Z488" s="31" t="e">
        <f t="shared" si="166"/>
        <v>#DIV/0!</v>
      </c>
      <c r="AA488" s="18">
        <v>0</v>
      </c>
      <c r="AB488" s="18"/>
      <c r="AC488" s="18"/>
      <c r="AD488" s="18"/>
      <c r="AE488" s="18" t="e">
        <v>#N/A</v>
      </c>
      <c r="AF488" s="18" t="s">
        <v>348</v>
      </c>
      <c r="AG488" s="18" t="e">
        <v>#N/A</v>
      </c>
      <c r="AH488" s="18"/>
      <c r="AI488" s="18" t="e">
        <f>+VLOOKUP(AH488,Leyenda!$O$4:$U$10,6,FALSE)</f>
        <v>#N/A</v>
      </c>
      <c r="AJ488" s="18" t="e">
        <f>+VLOOKUP(AG488,Leyenda!$O$4:$U$10,7,FALSE)</f>
        <v>#N/A</v>
      </c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 t="e">
        <f>+VLOOKUP(AN488,Leyenda!$B$30:$E$34,3,FALSE)</f>
        <v>#N/A</v>
      </c>
      <c r="AW488" s="18" t="e">
        <f>+VLOOKUP('2. Logging Brejo Seco'!AO488,Meteorizacion,3,FALSE)</f>
        <v>#N/A</v>
      </c>
      <c r="AX488" s="18" t="e">
        <f>+VLOOKUP('2. Logging Brejo Seco'!AP488,Apertura,3,FALSE)</f>
        <v>#N/A</v>
      </c>
      <c r="AY488" s="18" t="e">
        <f>+VLOOKUP('2. Logging Brejo Seco'!AQ488,Leyenda!$B$55:$D$59,3,FALSE)</f>
        <v>#N/A</v>
      </c>
      <c r="AZ488" s="18" t="e">
        <f>+VLOOKUP('2. Logging Brejo Seco'!AR488,Relleno,3,FALSE)</f>
        <v>#N/A</v>
      </c>
      <c r="BA488" s="18" t="e">
        <f t="shared" si="165"/>
        <v>#N/A</v>
      </c>
      <c r="BB488" s="49">
        <f t="shared" si="167"/>
        <v>0</v>
      </c>
      <c r="BC488" s="49" t="e">
        <f>VLOOKUP(AH488,Leyenda!$B$4:$D$10,3,FALSE)</f>
        <v>#N/A</v>
      </c>
      <c r="BD488" s="50" t="e">
        <f t="shared" si="155"/>
        <v>#DIV/0!</v>
      </c>
      <c r="BE488" s="49" t="e">
        <f t="shared" si="159"/>
        <v>#N/A</v>
      </c>
      <c r="BF488" s="49" t="e">
        <f>VLOOKUP(AS488,Leyenda!$B$70:$D$75,3,FALSE)</f>
        <v>#N/A</v>
      </c>
      <c r="BG488" s="67" t="e">
        <f t="shared" si="168"/>
        <v>#N/A</v>
      </c>
      <c r="BH488" s="67" t="e">
        <f>VLOOKUP(AG488,Leyenda!$B$4:$E$10,4,FALSE)</f>
        <v>#N/A</v>
      </c>
      <c r="BI488" s="67" t="e">
        <f t="shared" si="156"/>
        <v>#DIV/0!</v>
      </c>
      <c r="BJ488" s="67">
        <f t="shared" si="169"/>
        <v>0</v>
      </c>
      <c r="BK488" s="67" t="e">
        <f>+VLOOKUP('2. Logging Brejo Seco'!AP488,Leyenda!$B$47:$E$51,4,FALSE)</f>
        <v>#N/A</v>
      </c>
      <c r="BL488" s="67" t="e">
        <f>+VLOOKUP('2. Logging Brejo Seco'!AQ488,Leyenda!$B$55:$E$59,4,FALSE)</f>
        <v>#N/A</v>
      </c>
      <c r="BM488" s="67" t="e">
        <f>+VLOOKUP('2. Logging Brejo Seco'!AR488,Leyenda!$B$63:$E$67,3,FALSE)</f>
        <v>#N/A</v>
      </c>
      <c r="BN488" s="67" t="e">
        <f>+VLOOKUP('2. Logging Brejo Seco'!AO488,Leyenda!$B$39:$E$43,4,FALSE)</f>
        <v>#N/A</v>
      </c>
      <c r="BO488" s="67" t="e">
        <f>+VLOOKUP('2. Logging Brejo Seco'!AN488,Leyenda!$B$30:$E$34,4,FALSE)</f>
        <v>#N/A</v>
      </c>
      <c r="BP488" s="67" t="e">
        <f>VLOOKUP(AS488,Leyenda!$B$71:$E$75,4,FALSE)</f>
        <v>#N/A</v>
      </c>
      <c r="BQ488" s="67" t="e">
        <f t="shared" si="160"/>
        <v>#N/A</v>
      </c>
      <c r="BR488" s="18" t="e">
        <f t="shared" si="161"/>
        <v>#N/A</v>
      </c>
      <c r="BS488" s="240">
        <f t="shared" si="157"/>
        <v>1</v>
      </c>
      <c r="BT488" s="18"/>
    </row>
    <row r="489" spans="1:72" x14ac:dyDescent="0.25">
      <c r="A489" s="18" t="s">
        <v>6</v>
      </c>
      <c r="B489" s="18">
        <v>2024</v>
      </c>
      <c r="C489" s="18" t="s">
        <v>140</v>
      </c>
      <c r="D489" s="18" t="s">
        <v>145</v>
      </c>
      <c r="E489" s="18"/>
      <c r="F489" s="18"/>
      <c r="G489" s="18"/>
      <c r="H489" s="248">
        <f t="shared" si="163"/>
        <v>0</v>
      </c>
      <c r="I489" s="135"/>
      <c r="J489" s="18" t="s">
        <v>147</v>
      </c>
      <c r="K489" s="31">
        <f t="shared" ref="K489:K494" si="172">+L488</f>
        <v>0.7</v>
      </c>
      <c r="L489" s="31">
        <v>1.5</v>
      </c>
      <c r="M489" s="4">
        <f t="shared" si="162"/>
        <v>0.8</v>
      </c>
      <c r="N489" s="32"/>
      <c r="O489" s="5">
        <f t="shared" si="154"/>
        <v>1</v>
      </c>
      <c r="P489" s="31">
        <f t="shared" si="158"/>
        <v>0</v>
      </c>
      <c r="Q489" s="18">
        <f t="shared" si="150"/>
        <v>0</v>
      </c>
      <c r="R489" s="18" t="s">
        <v>348</v>
      </c>
      <c r="S489" s="18" t="e">
        <v>#N/A</v>
      </c>
      <c r="T489" s="18"/>
      <c r="U489" s="18"/>
      <c r="V489" s="65">
        <f t="shared" si="164"/>
        <v>0</v>
      </c>
      <c r="W489" s="18"/>
      <c r="X489" s="18"/>
      <c r="Y489" s="18"/>
      <c r="Z489" s="31" t="e">
        <f t="shared" si="166"/>
        <v>#DIV/0!</v>
      </c>
      <c r="AA489" s="18">
        <v>0</v>
      </c>
      <c r="AB489" s="18"/>
      <c r="AC489" s="18"/>
      <c r="AD489" s="18"/>
      <c r="AE489" s="18" t="e">
        <v>#N/A</v>
      </c>
      <c r="AF489" s="18" t="s">
        <v>348</v>
      </c>
      <c r="AG489" s="18" t="e">
        <v>#N/A</v>
      </c>
      <c r="AH489" s="18"/>
      <c r="AI489" s="18" t="e">
        <f>+VLOOKUP(AH489,Leyenda!$O$4:$U$10,6,FALSE)</f>
        <v>#N/A</v>
      </c>
      <c r="AJ489" s="18" t="e">
        <f>+VLOOKUP(AG489,Leyenda!$O$4:$U$10,7,FALSE)</f>
        <v>#N/A</v>
      </c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 t="e">
        <f>+VLOOKUP(AN489,Leyenda!$B$30:$E$34,3,FALSE)</f>
        <v>#N/A</v>
      </c>
      <c r="AW489" s="18" t="e">
        <f>+VLOOKUP('2. Logging Brejo Seco'!AO489,Meteorizacion,3,FALSE)</f>
        <v>#N/A</v>
      </c>
      <c r="AX489" s="18" t="e">
        <f>+VLOOKUP('2. Logging Brejo Seco'!AP489,Apertura,3,FALSE)</f>
        <v>#N/A</v>
      </c>
      <c r="AY489" s="18" t="e">
        <f>+VLOOKUP('2. Logging Brejo Seco'!AQ489,Leyenda!$B$55:$D$59,3,FALSE)</f>
        <v>#N/A</v>
      </c>
      <c r="AZ489" s="18" t="e">
        <f>+VLOOKUP('2. Logging Brejo Seco'!AR489,Relleno,3,FALSE)</f>
        <v>#N/A</v>
      </c>
      <c r="BA489" s="18" t="e">
        <f t="shared" si="165"/>
        <v>#N/A</v>
      </c>
      <c r="BB489" s="49">
        <f t="shared" si="167"/>
        <v>0</v>
      </c>
      <c r="BC489" s="49" t="e">
        <f>VLOOKUP(AH489,Leyenda!$B$4:$D$10,3,FALSE)</f>
        <v>#N/A</v>
      </c>
      <c r="BD489" s="50" t="e">
        <f t="shared" si="155"/>
        <v>#DIV/0!</v>
      </c>
      <c r="BE489" s="49" t="e">
        <f t="shared" si="159"/>
        <v>#N/A</v>
      </c>
      <c r="BF489" s="49" t="e">
        <f>VLOOKUP(AS489,Leyenda!$B$70:$D$75,3,FALSE)</f>
        <v>#N/A</v>
      </c>
      <c r="BG489" s="67" t="e">
        <f t="shared" si="168"/>
        <v>#N/A</v>
      </c>
      <c r="BH489" s="67" t="e">
        <f>VLOOKUP(AG489,Leyenda!$B$4:$E$10,4,FALSE)</f>
        <v>#N/A</v>
      </c>
      <c r="BI489" s="67" t="e">
        <f t="shared" si="156"/>
        <v>#DIV/0!</v>
      </c>
      <c r="BJ489" s="67">
        <f t="shared" si="169"/>
        <v>0</v>
      </c>
      <c r="BK489" s="67" t="e">
        <f>+VLOOKUP('2. Logging Brejo Seco'!AP489,Leyenda!$B$47:$E$51,4,FALSE)</f>
        <v>#N/A</v>
      </c>
      <c r="BL489" s="67" t="e">
        <f>+VLOOKUP('2. Logging Brejo Seco'!AQ489,Leyenda!$B$55:$E$59,4,FALSE)</f>
        <v>#N/A</v>
      </c>
      <c r="BM489" s="67" t="e">
        <f>+VLOOKUP('2. Logging Brejo Seco'!AR489,Leyenda!$B$63:$E$67,3,FALSE)</f>
        <v>#N/A</v>
      </c>
      <c r="BN489" s="67" t="e">
        <f>+VLOOKUP('2. Logging Brejo Seco'!AO489,Leyenda!$B$39:$E$43,4,FALSE)</f>
        <v>#N/A</v>
      </c>
      <c r="BO489" s="67" t="e">
        <f>+VLOOKUP('2. Logging Brejo Seco'!AN489,Leyenda!$B$30:$E$34,4,FALSE)</f>
        <v>#N/A</v>
      </c>
      <c r="BP489" s="67" t="e">
        <f>VLOOKUP(AS489,Leyenda!$B$71:$E$75,4,FALSE)</f>
        <v>#N/A</v>
      </c>
      <c r="BQ489" s="67" t="e">
        <f t="shared" si="160"/>
        <v>#N/A</v>
      </c>
      <c r="BR489" s="18" t="e">
        <f t="shared" si="161"/>
        <v>#N/A</v>
      </c>
      <c r="BS489" s="240">
        <f t="shared" si="157"/>
        <v>1</v>
      </c>
      <c r="BT489" s="18"/>
    </row>
    <row r="490" spans="1:72" x14ac:dyDescent="0.25">
      <c r="A490" s="18" t="s">
        <v>6</v>
      </c>
      <c r="B490" s="18">
        <v>2024</v>
      </c>
      <c r="C490" s="18" t="s">
        <v>140</v>
      </c>
      <c r="D490" s="18" t="s">
        <v>145</v>
      </c>
      <c r="E490" s="18"/>
      <c r="F490" s="18"/>
      <c r="G490" s="18"/>
      <c r="H490" s="248">
        <f t="shared" si="163"/>
        <v>0</v>
      </c>
      <c r="I490" s="135"/>
      <c r="J490" s="18" t="s">
        <v>147</v>
      </c>
      <c r="K490" s="31">
        <f t="shared" si="172"/>
        <v>1.5</v>
      </c>
      <c r="L490" s="31">
        <v>2</v>
      </c>
      <c r="M490" s="4">
        <f t="shared" si="162"/>
        <v>0.5</v>
      </c>
      <c r="N490" s="32">
        <v>1</v>
      </c>
      <c r="O490" s="5">
        <f t="shared" si="154"/>
        <v>0</v>
      </c>
      <c r="P490" s="31">
        <f t="shared" si="158"/>
        <v>0.5</v>
      </c>
      <c r="Q490" s="18">
        <f t="shared" si="150"/>
        <v>0.5</v>
      </c>
      <c r="R490" s="18" t="e">
        <v>#N/A</v>
      </c>
      <c r="S490" s="18" t="e">
        <v>#N/A</v>
      </c>
      <c r="T490" s="18"/>
      <c r="U490" s="18"/>
      <c r="V490" s="65">
        <f t="shared" si="164"/>
        <v>0</v>
      </c>
      <c r="W490" s="18"/>
      <c r="X490" s="18"/>
      <c r="Y490" s="18"/>
      <c r="Z490" s="31" t="e">
        <f t="shared" si="166"/>
        <v>#DIV/0!</v>
      </c>
      <c r="AA490" s="18">
        <v>60</v>
      </c>
      <c r="AB490" s="18" t="s">
        <v>330</v>
      </c>
      <c r="AC490" s="18"/>
      <c r="AD490" s="18" t="s">
        <v>334</v>
      </c>
      <c r="AE490" s="18" t="e">
        <v>#N/A</v>
      </c>
      <c r="AF490" s="18" t="e">
        <v>#N/A</v>
      </c>
      <c r="AG490" s="18" t="s">
        <v>27</v>
      </c>
      <c r="AH490" s="18"/>
      <c r="AI490" s="18" t="e">
        <f>+VLOOKUP(AH490,Leyenda!$O$4:$U$10,6,FALSE)</f>
        <v>#N/A</v>
      </c>
      <c r="AJ490" s="18" t="str">
        <f>+VLOOKUP(AG490,Leyenda!$O$4:$U$10,7,FALSE)</f>
        <v>Easy to blast</v>
      </c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 t="e">
        <f>+VLOOKUP(AN490,Leyenda!$B$30:$E$34,3,FALSE)</f>
        <v>#N/A</v>
      </c>
      <c r="AW490" s="18" t="e">
        <f>+VLOOKUP('2. Logging Brejo Seco'!AO490,Meteorizacion,3,FALSE)</f>
        <v>#N/A</v>
      </c>
      <c r="AX490" s="18" t="e">
        <f>+VLOOKUP('2. Logging Brejo Seco'!AP490,Apertura,3,FALSE)</f>
        <v>#N/A</v>
      </c>
      <c r="AY490" s="18" t="e">
        <f>+VLOOKUP('2. Logging Brejo Seco'!AQ490,Leyenda!$B$55:$D$59,3,FALSE)</f>
        <v>#N/A</v>
      </c>
      <c r="AZ490" s="18" t="e">
        <f>+VLOOKUP('2. Logging Brejo Seco'!AR490,Relleno,3,FALSE)</f>
        <v>#N/A</v>
      </c>
      <c r="BA490" s="18" t="e">
        <f t="shared" si="165"/>
        <v>#N/A</v>
      </c>
      <c r="BB490" s="49">
        <f t="shared" si="167"/>
        <v>0</v>
      </c>
      <c r="BC490" s="49" t="e">
        <f>VLOOKUP(AH490,Leyenda!$B$4:$D$10,3,FALSE)</f>
        <v>#N/A</v>
      </c>
      <c r="BD490" s="50" t="e">
        <f t="shared" si="155"/>
        <v>#DIV/0!</v>
      </c>
      <c r="BE490" s="49" t="e">
        <f t="shared" si="159"/>
        <v>#N/A</v>
      </c>
      <c r="BF490" s="49" t="e">
        <f>VLOOKUP(AS490,Leyenda!$B$70:$D$75,3,FALSE)</f>
        <v>#N/A</v>
      </c>
      <c r="BG490" s="67" t="e">
        <f t="shared" si="168"/>
        <v>#N/A</v>
      </c>
      <c r="BH490" s="67">
        <f>VLOOKUP(AG490,Leyenda!$B$4:$E$10,4,FALSE)</f>
        <v>4</v>
      </c>
      <c r="BI490" s="67" t="e">
        <f t="shared" si="156"/>
        <v>#DIV/0!</v>
      </c>
      <c r="BJ490" s="67">
        <f t="shared" si="169"/>
        <v>0</v>
      </c>
      <c r="BK490" s="67" t="e">
        <f>+VLOOKUP('2. Logging Brejo Seco'!AP490,Leyenda!$B$47:$E$51,4,FALSE)</f>
        <v>#N/A</v>
      </c>
      <c r="BL490" s="67" t="e">
        <f>+VLOOKUP('2. Logging Brejo Seco'!AQ490,Leyenda!$B$55:$E$59,4,FALSE)</f>
        <v>#N/A</v>
      </c>
      <c r="BM490" s="67" t="e">
        <f>+VLOOKUP('2. Logging Brejo Seco'!AR490,Leyenda!$B$63:$E$67,3,FALSE)</f>
        <v>#N/A</v>
      </c>
      <c r="BN490" s="67" t="e">
        <f>+VLOOKUP('2. Logging Brejo Seco'!AO490,Leyenda!$B$39:$E$43,4,FALSE)</f>
        <v>#N/A</v>
      </c>
      <c r="BO490" s="67" t="e">
        <f>+VLOOKUP('2. Logging Brejo Seco'!AN490,Leyenda!$B$30:$E$34,4,FALSE)</f>
        <v>#N/A</v>
      </c>
      <c r="BP490" s="67" t="e">
        <f>VLOOKUP(AS490,Leyenda!$B$71:$E$75,4,FALSE)</f>
        <v>#N/A</v>
      </c>
      <c r="BQ490" s="67" t="e">
        <f t="shared" si="160"/>
        <v>#DIV/0!</v>
      </c>
      <c r="BR490" s="18" t="e">
        <f t="shared" si="161"/>
        <v>#N/A</v>
      </c>
      <c r="BS490" s="240">
        <f t="shared" si="157"/>
        <v>0</v>
      </c>
      <c r="BT490" s="18"/>
    </row>
    <row r="491" spans="1:72" x14ac:dyDescent="0.25">
      <c r="A491" s="18" t="s">
        <v>6</v>
      </c>
      <c r="B491" s="18">
        <v>2024</v>
      </c>
      <c r="C491" s="18" t="s">
        <v>140</v>
      </c>
      <c r="D491" s="18" t="s">
        <v>145</v>
      </c>
      <c r="E491" s="18"/>
      <c r="F491" s="18"/>
      <c r="G491" s="18"/>
      <c r="H491" s="248">
        <f t="shared" si="163"/>
        <v>0</v>
      </c>
      <c r="I491" s="135"/>
      <c r="J491" s="18" t="s">
        <v>147</v>
      </c>
      <c r="K491" s="31">
        <f t="shared" si="172"/>
        <v>2</v>
      </c>
      <c r="L491" s="31">
        <v>2.5</v>
      </c>
      <c r="M491" s="4">
        <f t="shared" si="162"/>
        <v>0.5</v>
      </c>
      <c r="N491" s="32">
        <v>0.52</v>
      </c>
      <c r="O491" s="5">
        <f t="shared" si="154"/>
        <v>0.48</v>
      </c>
      <c r="P491" s="31">
        <f t="shared" si="158"/>
        <v>0.26</v>
      </c>
      <c r="Q491" s="18">
        <f t="shared" si="150"/>
        <v>0.26</v>
      </c>
      <c r="R491" s="18" t="e">
        <v>#N/A</v>
      </c>
      <c r="S491" s="18" t="e">
        <v>#N/A</v>
      </c>
      <c r="T491" s="18"/>
      <c r="U491" s="18"/>
      <c r="V491" s="65">
        <f t="shared" si="164"/>
        <v>0</v>
      </c>
      <c r="W491" s="18"/>
      <c r="X491" s="18"/>
      <c r="Y491" s="18"/>
      <c r="Z491" s="31" t="e">
        <f t="shared" si="166"/>
        <v>#DIV/0!</v>
      </c>
      <c r="AA491" s="18">
        <v>0</v>
      </c>
      <c r="AB491" s="18" t="s">
        <v>330</v>
      </c>
      <c r="AC491" s="18"/>
      <c r="AD491" s="18" t="s">
        <v>334</v>
      </c>
      <c r="AE491" s="18" t="e">
        <v>#N/A</v>
      </c>
      <c r="AF491" s="18" t="e">
        <v>#N/A</v>
      </c>
      <c r="AG491" s="18" t="s">
        <v>27</v>
      </c>
      <c r="AH491" s="18"/>
      <c r="AI491" s="18" t="e">
        <f>+VLOOKUP(AH491,Leyenda!$O$4:$U$10,6,FALSE)</f>
        <v>#N/A</v>
      </c>
      <c r="AJ491" s="18" t="str">
        <f>+VLOOKUP(AG491,Leyenda!$O$4:$U$10,7,FALSE)</f>
        <v>Easy to blast</v>
      </c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 t="e">
        <f>+VLOOKUP(AN491,Leyenda!$B$30:$E$34,3,FALSE)</f>
        <v>#N/A</v>
      </c>
      <c r="AW491" s="18" t="e">
        <f>+VLOOKUP('2. Logging Brejo Seco'!AO491,Meteorizacion,3,FALSE)</f>
        <v>#N/A</v>
      </c>
      <c r="AX491" s="18" t="e">
        <f>+VLOOKUP('2. Logging Brejo Seco'!AP491,Apertura,3,FALSE)</f>
        <v>#N/A</v>
      </c>
      <c r="AY491" s="18" t="e">
        <f>+VLOOKUP('2. Logging Brejo Seco'!AQ491,Leyenda!$B$55:$D$59,3,FALSE)</f>
        <v>#N/A</v>
      </c>
      <c r="AZ491" s="18" t="e">
        <f>+VLOOKUP('2. Logging Brejo Seco'!AR491,Relleno,3,FALSE)</f>
        <v>#N/A</v>
      </c>
      <c r="BA491" s="18" t="e">
        <f t="shared" si="165"/>
        <v>#N/A</v>
      </c>
      <c r="BB491" s="49">
        <f t="shared" si="167"/>
        <v>0</v>
      </c>
      <c r="BC491" s="49" t="e">
        <f>VLOOKUP(AH491,Leyenda!$B$4:$D$10,3,FALSE)</f>
        <v>#N/A</v>
      </c>
      <c r="BD491" s="50" t="e">
        <f t="shared" si="155"/>
        <v>#DIV/0!</v>
      </c>
      <c r="BE491" s="49" t="e">
        <f t="shared" si="159"/>
        <v>#N/A</v>
      </c>
      <c r="BF491" s="49" t="e">
        <f>VLOOKUP(AS491,Leyenda!$B$70:$D$75,3,FALSE)</f>
        <v>#N/A</v>
      </c>
      <c r="BG491" s="67" t="e">
        <f t="shared" si="168"/>
        <v>#N/A</v>
      </c>
      <c r="BH491" s="67">
        <f>VLOOKUP(AG491,Leyenda!$B$4:$E$10,4,FALSE)</f>
        <v>4</v>
      </c>
      <c r="BI491" s="67" t="e">
        <f t="shared" si="156"/>
        <v>#DIV/0!</v>
      </c>
      <c r="BJ491" s="67">
        <f t="shared" si="169"/>
        <v>0</v>
      </c>
      <c r="BK491" s="67" t="e">
        <f>+VLOOKUP('2. Logging Brejo Seco'!AP491,Leyenda!$B$47:$E$51,4,FALSE)</f>
        <v>#N/A</v>
      </c>
      <c r="BL491" s="67" t="e">
        <f>+VLOOKUP('2. Logging Brejo Seco'!AQ491,Leyenda!$B$55:$E$59,4,FALSE)</f>
        <v>#N/A</v>
      </c>
      <c r="BM491" s="67" t="e">
        <f>+VLOOKUP('2. Logging Brejo Seco'!AR491,Leyenda!$B$63:$E$67,3,FALSE)</f>
        <v>#N/A</v>
      </c>
      <c r="BN491" s="67" t="e">
        <f>+VLOOKUP('2. Logging Brejo Seco'!AO491,Leyenda!$B$39:$E$43,4,FALSE)</f>
        <v>#N/A</v>
      </c>
      <c r="BO491" s="67" t="e">
        <f>+VLOOKUP('2. Logging Brejo Seco'!AN491,Leyenda!$B$30:$E$34,4,FALSE)</f>
        <v>#N/A</v>
      </c>
      <c r="BP491" s="67" t="e">
        <f>VLOOKUP(AS491,Leyenda!$B$71:$E$75,4,FALSE)</f>
        <v>#N/A</v>
      </c>
      <c r="BQ491" s="67" t="e">
        <f t="shared" si="160"/>
        <v>#DIV/0!</v>
      </c>
      <c r="BR491" s="18" t="e">
        <f t="shared" si="161"/>
        <v>#N/A</v>
      </c>
      <c r="BS491" s="240">
        <f t="shared" si="157"/>
        <v>0.48</v>
      </c>
      <c r="BT491" s="18"/>
    </row>
    <row r="492" spans="1:72" x14ac:dyDescent="0.25">
      <c r="A492" s="18" t="s">
        <v>6</v>
      </c>
      <c r="B492" s="18">
        <v>2024</v>
      </c>
      <c r="C492" s="18" t="s">
        <v>140</v>
      </c>
      <c r="D492" s="18" t="s">
        <v>145</v>
      </c>
      <c r="E492" s="18"/>
      <c r="F492" s="18"/>
      <c r="G492" s="18"/>
      <c r="H492" s="248">
        <f t="shared" si="163"/>
        <v>0</v>
      </c>
      <c r="I492" s="135"/>
      <c r="J492" s="18" t="s">
        <v>147</v>
      </c>
      <c r="K492" s="31">
        <f t="shared" si="172"/>
        <v>2.5</v>
      </c>
      <c r="L492" s="31">
        <v>3</v>
      </c>
      <c r="M492" s="4">
        <f t="shared" si="162"/>
        <v>0.5</v>
      </c>
      <c r="N492" s="32">
        <v>0.66</v>
      </c>
      <c r="O492" s="5">
        <f t="shared" si="154"/>
        <v>0.33999999999999997</v>
      </c>
      <c r="P492" s="31">
        <f t="shared" si="158"/>
        <v>0.33</v>
      </c>
      <c r="Q492" s="18">
        <f t="shared" si="150"/>
        <v>0.33</v>
      </c>
      <c r="R492" s="18" t="e">
        <v>#N/A</v>
      </c>
      <c r="S492" s="18" t="e">
        <v>#N/A</v>
      </c>
      <c r="T492" s="18"/>
      <c r="U492" s="18"/>
      <c r="V492" s="65">
        <f t="shared" si="164"/>
        <v>0</v>
      </c>
      <c r="W492" s="18"/>
      <c r="X492" s="18"/>
      <c r="Y492" s="18"/>
      <c r="Z492" s="31" t="e">
        <f t="shared" si="166"/>
        <v>#DIV/0!</v>
      </c>
      <c r="AA492" s="18">
        <v>0</v>
      </c>
      <c r="AB492" s="18" t="s">
        <v>330</v>
      </c>
      <c r="AC492" s="18"/>
      <c r="AD492" s="18" t="s">
        <v>334</v>
      </c>
      <c r="AE492" s="18" t="e">
        <v>#N/A</v>
      </c>
      <c r="AF492" s="18" t="e">
        <v>#N/A</v>
      </c>
      <c r="AG492" s="18" t="s">
        <v>27</v>
      </c>
      <c r="AH492" s="18"/>
      <c r="AI492" s="18" t="e">
        <f>+VLOOKUP(AH492,Leyenda!$O$4:$U$10,6,FALSE)</f>
        <v>#N/A</v>
      </c>
      <c r="AJ492" s="18" t="str">
        <f>+VLOOKUP(AG492,Leyenda!$O$4:$U$10,7,FALSE)</f>
        <v>Easy to blast</v>
      </c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 t="e">
        <f>+VLOOKUP(AN492,Leyenda!$B$30:$E$34,3,FALSE)</f>
        <v>#N/A</v>
      </c>
      <c r="AW492" s="18" t="e">
        <f>+VLOOKUP('2. Logging Brejo Seco'!AO492,Meteorizacion,3,FALSE)</f>
        <v>#N/A</v>
      </c>
      <c r="AX492" s="18" t="e">
        <f>+VLOOKUP('2. Logging Brejo Seco'!AP492,Apertura,3,FALSE)</f>
        <v>#N/A</v>
      </c>
      <c r="AY492" s="18" t="e">
        <f>+VLOOKUP('2. Logging Brejo Seco'!AQ492,Leyenda!$B$55:$D$59,3,FALSE)</f>
        <v>#N/A</v>
      </c>
      <c r="AZ492" s="18" t="e">
        <f>+VLOOKUP('2. Logging Brejo Seco'!AR492,Relleno,3,FALSE)</f>
        <v>#N/A</v>
      </c>
      <c r="BA492" s="18" t="e">
        <f t="shared" si="165"/>
        <v>#N/A</v>
      </c>
      <c r="BB492" s="49">
        <f t="shared" si="167"/>
        <v>0</v>
      </c>
      <c r="BC492" s="49" t="e">
        <f>VLOOKUP(AH492,Leyenda!$B$4:$D$10,3,FALSE)</f>
        <v>#N/A</v>
      </c>
      <c r="BD492" s="50" t="e">
        <f t="shared" si="155"/>
        <v>#DIV/0!</v>
      </c>
      <c r="BE492" s="49" t="e">
        <f t="shared" si="159"/>
        <v>#N/A</v>
      </c>
      <c r="BF492" s="49" t="e">
        <f>VLOOKUP(AS492,Leyenda!$B$70:$D$75,3,FALSE)</f>
        <v>#N/A</v>
      </c>
      <c r="BG492" s="67" t="e">
        <f t="shared" si="168"/>
        <v>#N/A</v>
      </c>
      <c r="BH492" s="67">
        <f>VLOOKUP(AG492,Leyenda!$B$4:$E$10,4,FALSE)</f>
        <v>4</v>
      </c>
      <c r="BI492" s="67" t="e">
        <f t="shared" si="156"/>
        <v>#DIV/0!</v>
      </c>
      <c r="BJ492" s="67">
        <f t="shared" si="169"/>
        <v>0</v>
      </c>
      <c r="BK492" s="67" t="e">
        <f>+VLOOKUP('2. Logging Brejo Seco'!AP492,Leyenda!$B$47:$E$51,4,FALSE)</f>
        <v>#N/A</v>
      </c>
      <c r="BL492" s="67" t="e">
        <f>+VLOOKUP('2. Logging Brejo Seco'!AQ492,Leyenda!$B$55:$E$59,4,FALSE)</f>
        <v>#N/A</v>
      </c>
      <c r="BM492" s="67" t="e">
        <f>+VLOOKUP('2. Logging Brejo Seco'!AR492,Leyenda!$B$63:$E$67,3,FALSE)</f>
        <v>#N/A</v>
      </c>
      <c r="BN492" s="67" t="e">
        <f>+VLOOKUP('2. Logging Brejo Seco'!AO492,Leyenda!$B$39:$E$43,4,FALSE)</f>
        <v>#N/A</v>
      </c>
      <c r="BO492" s="67" t="e">
        <f>+VLOOKUP('2. Logging Brejo Seco'!AN492,Leyenda!$B$30:$E$34,4,FALSE)</f>
        <v>#N/A</v>
      </c>
      <c r="BP492" s="67" t="e">
        <f>VLOOKUP(AS492,Leyenda!$B$71:$E$75,4,FALSE)</f>
        <v>#N/A</v>
      </c>
      <c r="BQ492" s="67" t="e">
        <f t="shared" si="160"/>
        <v>#DIV/0!</v>
      </c>
      <c r="BR492" s="18" t="e">
        <f t="shared" si="161"/>
        <v>#N/A</v>
      </c>
      <c r="BS492" s="240">
        <f t="shared" si="157"/>
        <v>0.33999999999999997</v>
      </c>
      <c r="BT492" s="18"/>
    </row>
    <row r="493" spans="1:72" x14ac:dyDescent="0.25">
      <c r="A493" s="18" t="s">
        <v>6</v>
      </c>
      <c r="B493" s="18">
        <v>2024</v>
      </c>
      <c r="C493" s="18" t="s">
        <v>140</v>
      </c>
      <c r="D493" s="18" t="s">
        <v>145</v>
      </c>
      <c r="E493" s="18"/>
      <c r="F493" s="18"/>
      <c r="G493" s="18"/>
      <c r="H493" s="248">
        <f t="shared" si="163"/>
        <v>0</v>
      </c>
      <c r="I493" s="135"/>
      <c r="J493" s="18" t="s">
        <v>147</v>
      </c>
      <c r="K493" s="31">
        <f t="shared" si="172"/>
        <v>3</v>
      </c>
      <c r="L493" s="31">
        <v>3.5</v>
      </c>
      <c r="M493" s="4">
        <f t="shared" si="162"/>
        <v>0.5</v>
      </c>
      <c r="N493" s="32">
        <v>0.57999999999999996</v>
      </c>
      <c r="O493" s="5">
        <f t="shared" si="154"/>
        <v>0.42000000000000004</v>
      </c>
      <c r="P493" s="31">
        <f t="shared" si="158"/>
        <v>0.28999999999999998</v>
      </c>
      <c r="Q493" s="18">
        <f t="shared" si="150"/>
        <v>0.28999999999999998</v>
      </c>
      <c r="R493" s="18" t="e">
        <v>#N/A</v>
      </c>
      <c r="S493" s="18" t="e">
        <v>#N/A</v>
      </c>
      <c r="T493" s="18"/>
      <c r="U493" s="18"/>
      <c r="V493" s="65">
        <f t="shared" si="164"/>
        <v>0</v>
      </c>
      <c r="W493" s="18"/>
      <c r="X493" s="18"/>
      <c r="Y493" s="18"/>
      <c r="Z493" s="31" t="e">
        <f t="shared" si="166"/>
        <v>#DIV/0!</v>
      </c>
      <c r="AA493" s="18">
        <v>0</v>
      </c>
      <c r="AB493" s="18" t="s">
        <v>330</v>
      </c>
      <c r="AC493" s="18"/>
      <c r="AD493" s="18" t="s">
        <v>334</v>
      </c>
      <c r="AE493" s="18" t="e">
        <v>#N/A</v>
      </c>
      <c r="AF493" s="18" t="e">
        <v>#N/A</v>
      </c>
      <c r="AG493" s="18" t="s">
        <v>27</v>
      </c>
      <c r="AH493" s="18"/>
      <c r="AI493" s="18" t="e">
        <f>+VLOOKUP(AH493,Leyenda!$O$4:$U$10,6,FALSE)</f>
        <v>#N/A</v>
      </c>
      <c r="AJ493" s="18" t="str">
        <f>+VLOOKUP(AG493,Leyenda!$O$4:$U$10,7,FALSE)</f>
        <v>Easy to blast</v>
      </c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 t="e">
        <f>+VLOOKUP(AN493,Leyenda!$B$30:$E$34,3,FALSE)</f>
        <v>#N/A</v>
      </c>
      <c r="AW493" s="18" t="e">
        <f>+VLOOKUP('2. Logging Brejo Seco'!AO493,Meteorizacion,3,FALSE)</f>
        <v>#N/A</v>
      </c>
      <c r="AX493" s="18" t="e">
        <f>+VLOOKUP('2. Logging Brejo Seco'!AP493,Apertura,3,FALSE)</f>
        <v>#N/A</v>
      </c>
      <c r="AY493" s="18" t="e">
        <f>+VLOOKUP('2. Logging Brejo Seco'!AQ493,Leyenda!$B$55:$D$59,3,FALSE)</f>
        <v>#N/A</v>
      </c>
      <c r="AZ493" s="18" t="e">
        <f>+VLOOKUP('2. Logging Brejo Seco'!AR493,Relleno,3,FALSE)</f>
        <v>#N/A</v>
      </c>
      <c r="BA493" s="18" t="e">
        <f t="shared" si="165"/>
        <v>#N/A</v>
      </c>
      <c r="BB493" s="49">
        <f t="shared" ref="BB493:BB524" si="173">ROUND(-0.0002*POWER(V493,2)+0.2197*V493,0)</f>
        <v>0</v>
      </c>
      <c r="BC493" s="49" t="e">
        <f>VLOOKUP(AH493,Leyenda!$B$4:$D$10,3,FALSE)</f>
        <v>#N/A</v>
      </c>
      <c r="BD493" s="50" t="e">
        <f t="shared" si="155"/>
        <v>#DIV/0!</v>
      </c>
      <c r="BE493" s="49" t="e">
        <f t="shared" si="159"/>
        <v>#N/A</v>
      </c>
      <c r="BF493" s="49" t="e">
        <f>VLOOKUP(AS493,Leyenda!$B$70:$D$75,3,FALSE)</f>
        <v>#N/A</v>
      </c>
      <c r="BG493" s="67" t="e">
        <f t="shared" ref="BG493:BG524" si="174">1.5*BA493+(V493*0.5)</f>
        <v>#N/A</v>
      </c>
      <c r="BH493" s="67">
        <f>VLOOKUP(AG493,Leyenda!$B$4:$E$10,4,FALSE)</f>
        <v>4</v>
      </c>
      <c r="BI493" s="67" t="e">
        <f t="shared" si="156"/>
        <v>#DIV/0!</v>
      </c>
      <c r="BJ493" s="67">
        <f t="shared" ref="BJ493:BJ524" si="175">ROUND(-0.0002*POWER(V493,2)+0.2197*V493,0)</f>
        <v>0</v>
      </c>
      <c r="BK493" s="67" t="e">
        <f>+VLOOKUP('2. Logging Brejo Seco'!AP493,Leyenda!$B$47:$E$51,4,FALSE)</f>
        <v>#N/A</v>
      </c>
      <c r="BL493" s="67" t="e">
        <f>+VLOOKUP('2. Logging Brejo Seco'!AQ493,Leyenda!$B$55:$E$59,4,FALSE)</f>
        <v>#N/A</v>
      </c>
      <c r="BM493" s="67" t="e">
        <f>+VLOOKUP('2. Logging Brejo Seco'!AR493,Leyenda!$B$63:$E$67,3,FALSE)</f>
        <v>#N/A</v>
      </c>
      <c r="BN493" s="67" t="e">
        <f>+VLOOKUP('2. Logging Brejo Seco'!AO493,Leyenda!$B$39:$E$43,4,FALSE)</f>
        <v>#N/A</v>
      </c>
      <c r="BO493" s="67" t="e">
        <f>+VLOOKUP('2. Logging Brejo Seco'!AN493,Leyenda!$B$30:$E$34,4,FALSE)</f>
        <v>#N/A</v>
      </c>
      <c r="BP493" s="67" t="e">
        <f>VLOOKUP(AS493,Leyenda!$B$71:$E$75,4,FALSE)</f>
        <v>#N/A</v>
      </c>
      <c r="BQ493" s="67" t="e">
        <f t="shared" si="160"/>
        <v>#DIV/0!</v>
      </c>
      <c r="BR493" s="18" t="e">
        <f t="shared" si="161"/>
        <v>#N/A</v>
      </c>
      <c r="BS493" s="240">
        <f t="shared" si="157"/>
        <v>0.42000000000000004</v>
      </c>
      <c r="BT493" s="18"/>
    </row>
    <row r="494" spans="1:72" x14ac:dyDescent="0.25">
      <c r="A494" s="18" t="s">
        <v>6</v>
      </c>
      <c r="B494" s="18">
        <v>2024</v>
      </c>
      <c r="C494" s="18" t="s">
        <v>140</v>
      </c>
      <c r="D494" s="18" t="s">
        <v>145</v>
      </c>
      <c r="E494" s="18"/>
      <c r="F494" s="18"/>
      <c r="G494" s="18"/>
      <c r="H494" s="248">
        <f t="shared" si="163"/>
        <v>0</v>
      </c>
      <c r="I494" s="135"/>
      <c r="J494" s="18" t="s">
        <v>148</v>
      </c>
      <c r="K494" s="31">
        <f t="shared" si="172"/>
        <v>3.5</v>
      </c>
      <c r="L494" s="31">
        <v>5.5</v>
      </c>
      <c r="M494" s="4">
        <f t="shared" si="162"/>
        <v>2</v>
      </c>
      <c r="N494" s="32">
        <v>1</v>
      </c>
      <c r="O494" s="5">
        <f t="shared" si="154"/>
        <v>0</v>
      </c>
      <c r="P494" s="31">
        <f t="shared" si="158"/>
        <v>2</v>
      </c>
      <c r="Q494" s="18">
        <f t="shared" si="150"/>
        <v>2</v>
      </c>
      <c r="R494" s="18" t="e">
        <v>#N/A</v>
      </c>
      <c r="S494" s="18" t="e">
        <v>#N/A</v>
      </c>
      <c r="T494" s="18"/>
      <c r="U494" s="18"/>
      <c r="V494" s="65">
        <f t="shared" si="164"/>
        <v>0</v>
      </c>
      <c r="W494" s="18"/>
      <c r="X494" s="18"/>
      <c r="Y494" s="18"/>
      <c r="Z494" s="31" t="e">
        <f t="shared" si="166"/>
        <v>#DIV/0!</v>
      </c>
      <c r="AA494" s="18">
        <v>0</v>
      </c>
      <c r="AB494" s="18"/>
      <c r="AC494" s="18"/>
      <c r="AD494" s="18"/>
      <c r="AE494" s="18" t="e">
        <v>#N/A</v>
      </c>
      <c r="AF494" s="18" t="e">
        <v>#N/A</v>
      </c>
      <c r="AG494" s="18" t="e">
        <v>#N/A</v>
      </c>
      <c r="AH494" s="18"/>
      <c r="AI494" s="18" t="e">
        <f>+VLOOKUP(AH494,Leyenda!$O$4:$U$10,6,FALSE)</f>
        <v>#N/A</v>
      </c>
      <c r="AJ494" s="18" t="e">
        <f>+VLOOKUP(AG494,Leyenda!$O$4:$U$10,7,FALSE)</f>
        <v>#N/A</v>
      </c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 t="e">
        <f>+VLOOKUP(AN494,Leyenda!$B$30:$E$34,3,FALSE)</f>
        <v>#N/A</v>
      </c>
      <c r="AW494" s="18" t="e">
        <f>+VLOOKUP('2. Logging Brejo Seco'!AO494,Meteorizacion,3,FALSE)</f>
        <v>#N/A</v>
      </c>
      <c r="AX494" s="18" t="e">
        <f>+VLOOKUP('2. Logging Brejo Seco'!AP494,Apertura,3,FALSE)</f>
        <v>#N/A</v>
      </c>
      <c r="AY494" s="18" t="e">
        <f>+VLOOKUP('2. Logging Brejo Seco'!AQ494,Leyenda!$B$55:$D$59,3,FALSE)</f>
        <v>#N/A</v>
      </c>
      <c r="AZ494" s="18" t="e">
        <f>+VLOOKUP('2. Logging Brejo Seco'!AR494,Relleno,3,FALSE)</f>
        <v>#N/A</v>
      </c>
      <c r="BA494" s="18" t="e">
        <f t="shared" si="165"/>
        <v>#N/A</v>
      </c>
      <c r="BB494" s="49">
        <f t="shared" si="173"/>
        <v>0</v>
      </c>
      <c r="BC494" s="49" t="e">
        <f>VLOOKUP(AH494,Leyenda!$B$4:$D$10,3,FALSE)</f>
        <v>#N/A</v>
      </c>
      <c r="BD494" s="50" t="e">
        <f t="shared" si="155"/>
        <v>#DIV/0!</v>
      </c>
      <c r="BE494" s="49" t="e">
        <f t="shared" si="159"/>
        <v>#N/A</v>
      </c>
      <c r="BF494" s="49" t="e">
        <f>VLOOKUP(AS494,Leyenda!$B$70:$D$75,3,FALSE)</f>
        <v>#N/A</v>
      </c>
      <c r="BG494" s="67" t="e">
        <f t="shared" si="174"/>
        <v>#N/A</v>
      </c>
      <c r="BH494" s="67" t="e">
        <f>VLOOKUP(AG494,Leyenda!$B$4:$E$10,4,FALSE)</f>
        <v>#N/A</v>
      </c>
      <c r="BI494" s="67" t="e">
        <f t="shared" si="156"/>
        <v>#DIV/0!</v>
      </c>
      <c r="BJ494" s="67">
        <f t="shared" si="175"/>
        <v>0</v>
      </c>
      <c r="BK494" s="67" t="e">
        <f>+VLOOKUP('2. Logging Brejo Seco'!AP494,Leyenda!$B$47:$E$51,4,FALSE)</f>
        <v>#N/A</v>
      </c>
      <c r="BL494" s="67" t="e">
        <f>+VLOOKUP('2. Logging Brejo Seco'!AQ494,Leyenda!$B$55:$E$59,4,FALSE)</f>
        <v>#N/A</v>
      </c>
      <c r="BM494" s="67" t="e">
        <f>+VLOOKUP('2. Logging Brejo Seco'!AR494,Leyenda!$B$63:$E$67,3,FALSE)</f>
        <v>#N/A</v>
      </c>
      <c r="BN494" s="67" t="e">
        <f>+VLOOKUP('2. Logging Brejo Seco'!AO494,Leyenda!$B$39:$E$43,4,FALSE)</f>
        <v>#N/A</v>
      </c>
      <c r="BO494" s="67" t="e">
        <f>+VLOOKUP('2. Logging Brejo Seco'!AN494,Leyenda!$B$30:$E$34,4,FALSE)</f>
        <v>#N/A</v>
      </c>
      <c r="BP494" s="67" t="e">
        <f>VLOOKUP(AS494,Leyenda!$B$71:$E$75,4,FALSE)</f>
        <v>#N/A</v>
      </c>
      <c r="BQ494" s="67" t="e">
        <f t="shared" si="160"/>
        <v>#N/A</v>
      </c>
      <c r="BR494" s="18" t="e">
        <f t="shared" si="161"/>
        <v>#N/A</v>
      </c>
      <c r="BS494" s="240">
        <f t="shared" si="157"/>
        <v>0</v>
      </c>
      <c r="BT494" s="18"/>
    </row>
    <row r="495" spans="1:72" x14ac:dyDescent="0.25">
      <c r="A495" s="18" t="s">
        <v>6</v>
      </c>
      <c r="B495" s="18">
        <v>2024</v>
      </c>
      <c r="C495" s="18" t="s">
        <v>140</v>
      </c>
      <c r="D495" s="18" t="s">
        <v>149</v>
      </c>
      <c r="E495" s="18"/>
      <c r="F495" s="18"/>
      <c r="G495" s="18"/>
      <c r="H495" s="248">
        <f t="shared" si="163"/>
        <v>0</v>
      </c>
      <c r="I495" s="135"/>
      <c r="J495" s="18" t="s">
        <v>146</v>
      </c>
      <c r="K495" s="18">
        <v>0</v>
      </c>
      <c r="L495" s="31">
        <v>2.5</v>
      </c>
      <c r="M495" s="4">
        <f t="shared" si="162"/>
        <v>2.5</v>
      </c>
      <c r="N495" s="32"/>
      <c r="O495" s="5">
        <f t="shared" si="154"/>
        <v>1</v>
      </c>
      <c r="P495" s="31">
        <f t="shared" si="158"/>
        <v>0</v>
      </c>
      <c r="Q495" s="18">
        <f t="shared" si="150"/>
        <v>0</v>
      </c>
      <c r="R495" s="18" t="s">
        <v>348</v>
      </c>
      <c r="S495" s="18" t="e">
        <v>#N/A</v>
      </c>
      <c r="T495" s="18"/>
      <c r="U495" s="18"/>
      <c r="V495" s="65">
        <f t="shared" si="164"/>
        <v>0</v>
      </c>
      <c r="W495" s="18"/>
      <c r="X495" s="18"/>
      <c r="Y495" s="18"/>
      <c r="Z495" s="31" t="e">
        <f t="shared" si="166"/>
        <v>#DIV/0!</v>
      </c>
      <c r="AA495" s="18"/>
      <c r="AB495" s="18"/>
      <c r="AC495" s="18"/>
      <c r="AD495" s="18"/>
      <c r="AE495" s="18" t="e">
        <v>#N/A</v>
      </c>
      <c r="AF495" s="18" t="s">
        <v>348</v>
      </c>
      <c r="AG495" s="18" t="e">
        <v>#N/A</v>
      </c>
      <c r="AH495" s="18"/>
      <c r="AI495" s="18" t="e">
        <f>+VLOOKUP(AH495,Leyenda!$O$4:$U$10,6,FALSE)</f>
        <v>#N/A</v>
      </c>
      <c r="AJ495" s="18" t="e">
        <f>+VLOOKUP(AG495,Leyenda!$O$4:$U$10,7,FALSE)</f>
        <v>#N/A</v>
      </c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 t="e">
        <f>+VLOOKUP(AN495,Leyenda!$B$30:$E$34,3,FALSE)</f>
        <v>#N/A</v>
      </c>
      <c r="AW495" s="18" t="e">
        <f>+VLOOKUP('2. Logging Brejo Seco'!AO495,Meteorizacion,3,FALSE)</f>
        <v>#N/A</v>
      </c>
      <c r="AX495" s="18" t="e">
        <f>+VLOOKUP('2. Logging Brejo Seco'!AP495,Apertura,3,FALSE)</f>
        <v>#N/A</v>
      </c>
      <c r="AY495" s="18" t="e">
        <f>+VLOOKUP('2. Logging Brejo Seco'!AQ495,Leyenda!$B$55:$D$59,3,FALSE)</f>
        <v>#N/A</v>
      </c>
      <c r="AZ495" s="18" t="e">
        <f>+VLOOKUP('2. Logging Brejo Seco'!AR495,Relleno,3,FALSE)</f>
        <v>#N/A</v>
      </c>
      <c r="BA495" s="18" t="e">
        <f t="shared" si="165"/>
        <v>#N/A</v>
      </c>
      <c r="BB495" s="49">
        <f t="shared" si="173"/>
        <v>0</v>
      </c>
      <c r="BC495" s="49" t="e">
        <f>VLOOKUP(AH495,Leyenda!$B$4:$D$10,3,FALSE)</f>
        <v>#N/A</v>
      </c>
      <c r="BD495" s="50" t="e">
        <f t="shared" si="155"/>
        <v>#DIV/0!</v>
      </c>
      <c r="BE495" s="49" t="e">
        <f t="shared" si="159"/>
        <v>#N/A</v>
      </c>
      <c r="BF495" s="49" t="e">
        <f>VLOOKUP(AS495,Leyenda!$B$70:$D$75,3,FALSE)</f>
        <v>#N/A</v>
      </c>
      <c r="BG495" s="67" t="e">
        <f t="shared" si="174"/>
        <v>#N/A</v>
      </c>
      <c r="BH495" s="67" t="e">
        <f>VLOOKUP(AG495,Leyenda!$B$4:$E$10,4,FALSE)</f>
        <v>#N/A</v>
      </c>
      <c r="BI495" s="67" t="e">
        <f t="shared" si="156"/>
        <v>#DIV/0!</v>
      </c>
      <c r="BJ495" s="67">
        <f t="shared" si="175"/>
        <v>0</v>
      </c>
      <c r="BK495" s="67" t="e">
        <f>+VLOOKUP('2. Logging Brejo Seco'!AP495,Leyenda!$B$47:$E$51,4,FALSE)</f>
        <v>#N/A</v>
      </c>
      <c r="BL495" s="67" t="e">
        <f>+VLOOKUP('2. Logging Brejo Seco'!AQ495,Leyenda!$B$55:$E$59,4,FALSE)</f>
        <v>#N/A</v>
      </c>
      <c r="BM495" s="67" t="e">
        <f>+VLOOKUP('2. Logging Brejo Seco'!AR495,Leyenda!$B$63:$E$67,3,FALSE)</f>
        <v>#N/A</v>
      </c>
      <c r="BN495" s="67" t="e">
        <f>+VLOOKUP('2. Logging Brejo Seco'!AO495,Leyenda!$B$39:$E$43,4,FALSE)</f>
        <v>#N/A</v>
      </c>
      <c r="BO495" s="67" t="e">
        <f>+VLOOKUP('2. Logging Brejo Seco'!AN495,Leyenda!$B$30:$E$34,4,FALSE)</f>
        <v>#N/A</v>
      </c>
      <c r="BP495" s="67" t="e">
        <f>VLOOKUP(AS495,Leyenda!$B$71:$E$75,4,FALSE)</f>
        <v>#N/A</v>
      </c>
      <c r="BQ495" s="67" t="e">
        <f t="shared" si="160"/>
        <v>#N/A</v>
      </c>
      <c r="BR495" s="18" t="e">
        <f t="shared" si="161"/>
        <v>#N/A</v>
      </c>
      <c r="BS495" s="240">
        <f t="shared" si="157"/>
        <v>1</v>
      </c>
      <c r="BT495" s="18"/>
    </row>
    <row r="496" spans="1:72" x14ac:dyDescent="0.25">
      <c r="A496" s="18" t="s">
        <v>6</v>
      </c>
      <c r="B496" s="18">
        <v>2024</v>
      </c>
      <c r="C496" s="18" t="s">
        <v>140</v>
      </c>
      <c r="D496" s="18" t="s">
        <v>149</v>
      </c>
      <c r="E496" s="18"/>
      <c r="F496" s="18"/>
      <c r="G496" s="18"/>
      <c r="H496" s="248">
        <f t="shared" si="163"/>
        <v>0</v>
      </c>
      <c r="I496" s="135"/>
      <c r="J496" s="18" t="s">
        <v>150</v>
      </c>
      <c r="K496" s="31">
        <f>+L495</f>
        <v>2.5</v>
      </c>
      <c r="L496" s="31">
        <v>6</v>
      </c>
      <c r="M496" s="4">
        <f t="shared" si="162"/>
        <v>3.5</v>
      </c>
      <c r="N496" s="32"/>
      <c r="O496" s="5">
        <f t="shared" si="154"/>
        <v>1</v>
      </c>
      <c r="P496" s="31">
        <f t="shared" si="158"/>
        <v>0</v>
      </c>
      <c r="Q496" s="18">
        <f t="shared" si="150"/>
        <v>0</v>
      </c>
      <c r="R496" s="18" t="s">
        <v>348</v>
      </c>
      <c r="S496" s="18" t="e">
        <v>#N/A</v>
      </c>
      <c r="T496" s="18"/>
      <c r="U496" s="18"/>
      <c r="V496" s="65">
        <f t="shared" si="164"/>
        <v>0</v>
      </c>
      <c r="W496" s="18"/>
      <c r="X496" s="18"/>
      <c r="Y496" s="18"/>
      <c r="Z496" s="31" t="e">
        <f t="shared" si="166"/>
        <v>#DIV/0!</v>
      </c>
      <c r="AA496" s="18"/>
      <c r="AB496" s="18"/>
      <c r="AC496" s="18"/>
      <c r="AD496" s="18"/>
      <c r="AE496" s="18" t="e">
        <v>#N/A</v>
      </c>
      <c r="AF496" s="18" t="s">
        <v>348</v>
      </c>
      <c r="AG496" s="18" t="e">
        <v>#N/A</v>
      </c>
      <c r="AH496" s="18"/>
      <c r="AI496" s="18" t="e">
        <f>+VLOOKUP(AH496,Leyenda!$O$4:$U$10,6,FALSE)</f>
        <v>#N/A</v>
      </c>
      <c r="AJ496" s="18" t="e">
        <f>+VLOOKUP(AG496,Leyenda!$O$4:$U$10,7,FALSE)</f>
        <v>#N/A</v>
      </c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 t="e">
        <f>+VLOOKUP(AN496,Leyenda!$B$30:$E$34,3,FALSE)</f>
        <v>#N/A</v>
      </c>
      <c r="AW496" s="18" t="e">
        <f>+VLOOKUP('2. Logging Brejo Seco'!AO496,Meteorizacion,3,FALSE)</f>
        <v>#N/A</v>
      </c>
      <c r="AX496" s="18" t="e">
        <f>+VLOOKUP('2. Logging Brejo Seco'!AP496,Apertura,3,FALSE)</f>
        <v>#N/A</v>
      </c>
      <c r="AY496" s="18" t="e">
        <f>+VLOOKUP('2. Logging Brejo Seco'!AQ496,Leyenda!$B$55:$D$59,3,FALSE)</f>
        <v>#N/A</v>
      </c>
      <c r="AZ496" s="18" t="e">
        <f>+VLOOKUP('2. Logging Brejo Seco'!AR496,Relleno,3,FALSE)</f>
        <v>#N/A</v>
      </c>
      <c r="BA496" s="18" t="e">
        <f t="shared" si="165"/>
        <v>#N/A</v>
      </c>
      <c r="BB496" s="49">
        <f t="shared" si="173"/>
        <v>0</v>
      </c>
      <c r="BC496" s="49" t="e">
        <f>VLOOKUP(AH496,Leyenda!$B$4:$D$10,3,FALSE)</f>
        <v>#N/A</v>
      </c>
      <c r="BD496" s="50" t="e">
        <f t="shared" si="155"/>
        <v>#DIV/0!</v>
      </c>
      <c r="BE496" s="49" t="e">
        <f t="shared" si="159"/>
        <v>#N/A</v>
      </c>
      <c r="BF496" s="49" t="e">
        <f>VLOOKUP(AS496,Leyenda!$B$70:$D$75,3,FALSE)</f>
        <v>#N/A</v>
      </c>
      <c r="BG496" s="67" t="e">
        <f t="shared" si="174"/>
        <v>#N/A</v>
      </c>
      <c r="BH496" s="67" t="e">
        <f>VLOOKUP(AG496,Leyenda!$B$4:$E$10,4,FALSE)</f>
        <v>#N/A</v>
      </c>
      <c r="BI496" s="67" t="e">
        <f t="shared" si="156"/>
        <v>#DIV/0!</v>
      </c>
      <c r="BJ496" s="67">
        <f t="shared" si="175"/>
        <v>0</v>
      </c>
      <c r="BK496" s="67" t="e">
        <f>+VLOOKUP('2. Logging Brejo Seco'!AP496,Leyenda!$B$47:$E$51,4,FALSE)</f>
        <v>#N/A</v>
      </c>
      <c r="BL496" s="67" t="e">
        <f>+VLOOKUP('2. Logging Brejo Seco'!AQ496,Leyenda!$B$55:$E$59,4,FALSE)</f>
        <v>#N/A</v>
      </c>
      <c r="BM496" s="67" t="e">
        <f>+VLOOKUP('2. Logging Brejo Seco'!AR496,Leyenda!$B$63:$E$67,3,FALSE)</f>
        <v>#N/A</v>
      </c>
      <c r="BN496" s="67" t="e">
        <f>+VLOOKUP('2. Logging Brejo Seco'!AO496,Leyenda!$B$39:$E$43,4,FALSE)</f>
        <v>#N/A</v>
      </c>
      <c r="BO496" s="67" t="e">
        <f>+VLOOKUP('2. Logging Brejo Seco'!AN496,Leyenda!$B$30:$E$34,4,FALSE)</f>
        <v>#N/A</v>
      </c>
      <c r="BP496" s="67" t="e">
        <f>VLOOKUP(AS496,Leyenda!$B$71:$E$75,4,FALSE)</f>
        <v>#N/A</v>
      </c>
      <c r="BQ496" s="67" t="e">
        <f t="shared" si="160"/>
        <v>#N/A</v>
      </c>
      <c r="BR496" s="18" t="e">
        <f t="shared" si="161"/>
        <v>#N/A</v>
      </c>
      <c r="BS496" s="240">
        <f t="shared" si="157"/>
        <v>1</v>
      </c>
      <c r="BT496" s="18"/>
    </row>
    <row r="497" spans="1:72" x14ac:dyDescent="0.25">
      <c r="A497" s="18" t="s">
        <v>6</v>
      </c>
      <c r="B497" s="18">
        <v>2024</v>
      </c>
      <c r="C497" s="18" t="s">
        <v>140</v>
      </c>
      <c r="D497" s="18" t="s">
        <v>149</v>
      </c>
      <c r="E497" s="18"/>
      <c r="F497" s="18"/>
      <c r="G497" s="18"/>
      <c r="H497" s="248">
        <f t="shared" si="163"/>
        <v>0</v>
      </c>
      <c r="I497" s="135"/>
      <c r="J497" s="18" t="s">
        <v>150</v>
      </c>
      <c r="K497" s="31">
        <f t="shared" ref="K497:K507" si="176">+L496</f>
        <v>6</v>
      </c>
      <c r="L497" s="31">
        <v>7</v>
      </c>
      <c r="M497" s="4">
        <f t="shared" si="162"/>
        <v>1</v>
      </c>
      <c r="N497" s="32"/>
      <c r="O497" s="5">
        <f t="shared" si="154"/>
        <v>1</v>
      </c>
      <c r="P497" s="31">
        <f t="shared" si="158"/>
        <v>0</v>
      </c>
      <c r="Q497" s="18">
        <f t="shared" si="150"/>
        <v>0</v>
      </c>
      <c r="R497" s="18" t="s">
        <v>348</v>
      </c>
      <c r="S497" s="18" t="e">
        <v>#N/A</v>
      </c>
      <c r="T497" s="18"/>
      <c r="U497" s="18"/>
      <c r="V497" s="65">
        <f t="shared" si="164"/>
        <v>0</v>
      </c>
      <c r="W497" s="18"/>
      <c r="X497" s="18"/>
      <c r="Y497" s="18"/>
      <c r="Z497" s="31" t="e">
        <f t="shared" si="166"/>
        <v>#DIV/0!</v>
      </c>
      <c r="AA497" s="18"/>
      <c r="AB497" s="18"/>
      <c r="AC497" s="18"/>
      <c r="AD497" s="18"/>
      <c r="AE497" s="18" t="e">
        <v>#N/A</v>
      </c>
      <c r="AF497" s="18" t="s">
        <v>348</v>
      </c>
      <c r="AG497" s="18" t="e">
        <v>#N/A</v>
      </c>
      <c r="AH497" s="18"/>
      <c r="AI497" s="18" t="e">
        <f>+VLOOKUP(AH497,Leyenda!$O$4:$U$10,6,FALSE)</f>
        <v>#N/A</v>
      </c>
      <c r="AJ497" s="18" t="e">
        <f>+VLOOKUP(AG497,Leyenda!$O$4:$U$10,7,FALSE)</f>
        <v>#N/A</v>
      </c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 t="e">
        <f>+VLOOKUP(AN497,Leyenda!$B$30:$E$34,3,FALSE)</f>
        <v>#N/A</v>
      </c>
      <c r="AW497" s="18" t="e">
        <f>+VLOOKUP('2. Logging Brejo Seco'!AO497,Meteorizacion,3,FALSE)</f>
        <v>#N/A</v>
      </c>
      <c r="AX497" s="18" t="e">
        <f>+VLOOKUP('2. Logging Brejo Seco'!AP497,Apertura,3,FALSE)</f>
        <v>#N/A</v>
      </c>
      <c r="AY497" s="18" t="e">
        <f>+VLOOKUP('2. Logging Brejo Seco'!AQ497,Leyenda!$B$55:$D$59,3,FALSE)</f>
        <v>#N/A</v>
      </c>
      <c r="AZ497" s="18" t="e">
        <f>+VLOOKUP('2. Logging Brejo Seco'!AR497,Relleno,3,FALSE)</f>
        <v>#N/A</v>
      </c>
      <c r="BA497" s="18" t="e">
        <f t="shared" si="165"/>
        <v>#N/A</v>
      </c>
      <c r="BB497" s="49">
        <f t="shared" si="173"/>
        <v>0</v>
      </c>
      <c r="BC497" s="49" t="e">
        <f>VLOOKUP(AH497,Leyenda!$B$4:$D$10,3,FALSE)</f>
        <v>#N/A</v>
      </c>
      <c r="BD497" s="50" t="e">
        <f t="shared" si="155"/>
        <v>#DIV/0!</v>
      </c>
      <c r="BE497" s="49" t="e">
        <f t="shared" si="159"/>
        <v>#N/A</v>
      </c>
      <c r="BF497" s="49" t="e">
        <f>VLOOKUP(AS497,Leyenda!$B$70:$D$75,3,FALSE)</f>
        <v>#N/A</v>
      </c>
      <c r="BG497" s="67" t="e">
        <f t="shared" si="174"/>
        <v>#N/A</v>
      </c>
      <c r="BH497" s="67" t="e">
        <f>VLOOKUP(AG497,Leyenda!$B$4:$E$10,4,FALSE)</f>
        <v>#N/A</v>
      </c>
      <c r="BI497" s="67" t="e">
        <f t="shared" si="156"/>
        <v>#DIV/0!</v>
      </c>
      <c r="BJ497" s="67">
        <f t="shared" si="175"/>
        <v>0</v>
      </c>
      <c r="BK497" s="67" t="e">
        <f>+VLOOKUP('2. Logging Brejo Seco'!AP497,Leyenda!$B$47:$E$51,4,FALSE)</f>
        <v>#N/A</v>
      </c>
      <c r="BL497" s="67" t="e">
        <f>+VLOOKUP('2. Logging Brejo Seco'!AQ497,Leyenda!$B$55:$E$59,4,FALSE)</f>
        <v>#N/A</v>
      </c>
      <c r="BM497" s="67" t="e">
        <f>+VLOOKUP('2. Logging Brejo Seco'!AR497,Leyenda!$B$63:$E$67,3,FALSE)</f>
        <v>#N/A</v>
      </c>
      <c r="BN497" s="67" t="e">
        <f>+VLOOKUP('2. Logging Brejo Seco'!AO497,Leyenda!$B$39:$E$43,4,FALSE)</f>
        <v>#N/A</v>
      </c>
      <c r="BO497" s="67" t="e">
        <f>+VLOOKUP('2. Logging Brejo Seco'!AN497,Leyenda!$B$30:$E$34,4,FALSE)</f>
        <v>#N/A</v>
      </c>
      <c r="BP497" s="67" t="e">
        <f>VLOOKUP(AS497,Leyenda!$B$71:$E$75,4,FALSE)</f>
        <v>#N/A</v>
      </c>
      <c r="BQ497" s="67" t="e">
        <f t="shared" si="160"/>
        <v>#N/A</v>
      </c>
      <c r="BR497" s="18" t="e">
        <f t="shared" si="161"/>
        <v>#N/A</v>
      </c>
      <c r="BS497" s="240">
        <f t="shared" si="157"/>
        <v>1</v>
      </c>
      <c r="BT497" s="18"/>
    </row>
    <row r="498" spans="1:72" x14ac:dyDescent="0.25">
      <c r="A498" s="18" t="s">
        <v>6</v>
      </c>
      <c r="B498" s="18">
        <v>2024</v>
      </c>
      <c r="C498" s="18" t="s">
        <v>140</v>
      </c>
      <c r="D498" s="18" t="s">
        <v>149</v>
      </c>
      <c r="E498" s="18"/>
      <c r="F498" s="18"/>
      <c r="G498" s="18"/>
      <c r="H498" s="248">
        <f t="shared" si="163"/>
        <v>0</v>
      </c>
      <c r="I498" s="135"/>
      <c r="J498" s="18" t="s">
        <v>151</v>
      </c>
      <c r="K498" s="31">
        <f t="shared" si="176"/>
        <v>7</v>
      </c>
      <c r="L498" s="31">
        <v>8</v>
      </c>
      <c r="M498" s="4">
        <f t="shared" si="162"/>
        <v>1</v>
      </c>
      <c r="N498" s="32"/>
      <c r="O498" s="5">
        <f t="shared" ref="O498:O561" si="177">1-N498</f>
        <v>1</v>
      </c>
      <c r="P498" s="31">
        <f t="shared" si="158"/>
        <v>0</v>
      </c>
      <c r="Q498" s="18">
        <f t="shared" si="150"/>
        <v>0</v>
      </c>
      <c r="R498" s="18" t="s">
        <v>348</v>
      </c>
      <c r="S498" s="18" t="e">
        <v>#N/A</v>
      </c>
      <c r="T498" s="18"/>
      <c r="U498" s="18"/>
      <c r="V498" s="65">
        <f t="shared" si="164"/>
        <v>0</v>
      </c>
      <c r="W498" s="18"/>
      <c r="X498" s="18"/>
      <c r="Y498" s="18"/>
      <c r="Z498" s="31" t="e">
        <f t="shared" si="166"/>
        <v>#DIV/0!</v>
      </c>
      <c r="AA498" s="18"/>
      <c r="AB498" s="18"/>
      <c r="AC498" s="18"/>
      <c r="AD498" s="18"/>
      <c r="AE498" s="18" t="e">
        <v>#N/A</v>
      </c>
      <c r="AF498" s="18" t="s">
        <v>348</v>
      </c>
      <c r="AG498" s="18" t="e">
        <v>#N/A</v>
      </c>
      <c r="AH498" s="18"/>
      <c r="AI498" s="18" t="e">
        <f>+VLOOKUP(AH498,Leyenda!$O$4:$U$10,6,FALSE)</f>
        <v>#N/A</v>
      </c>
      <c r="AJ498" s="18" t="e">
        <f>+VLOOKUP(AG498,Leyenda!$O$4:$U$10,7,FALSE)</f>
        <v>#N/A</v>
      </c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 t="e">
        <f>+VLOOKUP(AN498,Leyenda!$B$30:$E$34,3,FALSE)</f>
        <v>#N/A</v>
      </c>
      <c r="AW498" s="18" t="e">
        <f>+VLOOKUP('2. Logging Brejo Seco'!AO498,Meteorizacion,3,FALSE)</f>
        <v>#N/A</v>
      </c>
      <c r="AX498" s="18" t="e">
        <f>+VLOOKUP('2. Logging Brejo Seco'!AP498,Apertura,3,FALSE)</f>
        <v>#N/A</v>
      </c>
      <c r="AY498" s="18" t="e">
        <f>+VLOOKUP('2. Logging Brejo Seco'!AQ498,Leyenda!$B$55:$D$59,3,FALSE)</f>
        <v>#N/A</v>
      </c>
      <c r="AZ498" s="18" t="e">
        <f>+VLOOKUP('2. Logging Brejo Seco'!AR498,Relleno,3,FALSE)</f>
        <v>#N/A</v>
      </c>
      <c r="BA498" s="18" t="e">
        <f t="shared" si="165"/>
        <v>#N/A</v>
      </c>
      <c r="BB498" s="49">
        <f t="shared" si="173"/>
        <v>0</v>
      </c>
      <c r="BC498" s="49" t="e">
        <f>VLOOKUP(AH498,Leyenda!$B$4:$D$10,3,FALSE)</f>
        <v>#N/A</v>
      </c>
      <c r="BD498" s="50" t="e">
        <f t="shared" si="155"/>
        <v>#DIV/0!</v>
      </c>
      <c r="BE498" s="49" t="e">
        <f t="shared" si="159"/>
        <v>#N/A</v>
      </c>
      <c r="BF498" s="49" t="e">
        <f>VLOOKUP(AS498,Leyenda!$B$70:$D$75,3,FALSE)</f>
        <v>#N/A</v>
      </c>
      <c r="BG498" s="67" t="e">
        <f t="shared" si="174"/>
        <v>#N/A</v>
      </c>
      <c r="BH498" s="67" t="e">
        <f>VLOOKUP(AG498,Leyenda!$B$4:$E$10,4,FALSE)</f>
        <v>#N/A</v>
      </c>
      <c r="BI498" s="67" t="e">
        <f t="shared" si="156"/>
        <v>#DIV/0!</v>
      </c>
      <c r="BJ498" s="67">
        <f t="shared" si="175"/>
        <v>0</v>
      </c>
      <c r="BK498" s="67" t="e">
        <f>+VLOOKUP('2. Logging Brejo Seco'!AP498,Leyenda!$B$47:$E$51,4,FALSE)</f>
        <v>#N/A</v>
      </c>
      <c r="BL498" s="67" t="e">
        <f>+VLOOKUP('2. Logging Brejo Seco'!AQ498,Leyenda!$B$55:$E$59,4,FALSE)</f>
        <v>#N/A</v>
      </c>
      <c r="BM498" s="67" t="e">
        <f>+VLOOKUP('2. Logging Brejo Seco'!AR498,Leyenda!$B$63:$E$67,3,FALSE)</f>
        <v>#N/A</v>
      </c>
      <c r="BN498" s="67" t="e">
        <f>+VLOOKUP('2. Logging Brejo Seco'!AO498,Leyenda!$B$39:$E$43,4,FALSE)</f>
        <v>#N/A</v>
      </c>
      <c r="BO498" s="67" t="e">
        <f>+VLOOKUP('2. Logging Brejo Seco'!AN498,Leyenda!$B$30:$E$34,4,FALSE)</f>
        <v>#N/A</v>
      </c>
      <c r="BP498" s="67" t="e">
        <f>VLOOKUP(AS498,Leyenda!$B$71:$E$75,4,FALSE)</f>
        <v>#N/A</v>
      </c>
      <c r="BQ498" s="67" t="e">
        <f t="shared" si="160"/>
        <v>#N/A</v>
      </c>
      <c r="BR498" s="18" t="e">
        <f t="shared" si="161"/>
        <v>#N/A</v>
      </c>
      <c r="BS498" s="240">
        <f t="shared" si="157"/>
        <v>1</v>
      </c>
      <c r="BT498" s="18"/>
    </row>
    <row r="499" spans="1:72" x14ac:dyDescent="0.25">
      <c r="A499" s="18" t="s">
        <v>6</v>
      </c>
      <c r="B499" s="18">
        <v>2024</v>
      </c>
      <c r="C499" s="18" t="s">
        <v>140</v>
      </c>
      <c r="D499" s="18" t="s">
        <v>149</v>
      </c>
      <c r="E499" s="18"/>
      <c r="F499" s="18"/>
      <c r="G499" s="18"/>
      <c r="H499" s="248">
        <f t="shared" si="163"/>
        <v>0</v>
      </c>
      <c r="I499" s="135"/>
      <c r="J499" s="18" t="s">
        <v>151</v>
      </c>
      <c r="K499" s="31">
        <f t="shared" si="176"/>
        <v>8</v>
      </c>
      <c r="L499" s="31">
        <v>9</v>
      </c>
      <c r="M499" s="4">
        <f t="shared" si="162"/>
        <v>1</v>
      </c>
      <c r="N499" s="18"/>
      <c r="O499" s="5">
        <f t="shared" si="177"/>
        <v>1</v>
      </c>
      <c r="P499" s="31">
        <f t="shared" si="158"/>
        <v>0</v>
      </c>
      <c r="Q499" s="18">
        <f t="shared" si="150"/>
        <v>0</v>
      </c>
      <c r="R499" s="18" t="s">
        <v>348</v>
      </c>
      <c r="S499" s="18" t="e">
        <v>#N/A</v>
      </c>
      <c r="T499" s="18"/>
      <c r="U499" s="18"/>
      <c r="V499" s="65">
        <f t="shared" si="164"/>
        <v>0</v>
      </c>
      <c r="W499" s="18"/>
      <c r="X499" s="18"/>
      <c r="Y499" s="18"/>
      <c r="Z499" s="31" t="e">
        <f t="shared" si="166"/>
        <v>#DIV/0!</v>
      </c>
      <c r="AA499" s="18"/>
      <c r="AB499" s="18"/>
      <c r="AC499" s="18"/>
      <c r="AD499" s="18"/>
      <c r="AE499" s="18" t="e">
        <v>#N/A</v>
      </c>
      <c r="AF499" s="18" t="s">
        <v>348</v>
      </c>
      <c r="AG499" s="18" t="e">
        <v>#N/A</v>
      </c>
      <c r="AH499" s="18"/>
      <c r="AI499" s="18" t="e">
        <f>+VLOOKUP(AH499,Leyenda!$O$4:$U$10,6,FALSE)</f>
        <v>#N/A</v>
      </c>
      <c r="AJ499" s="18" t="e">
        <f>+VLOOKUP(AG499,Leyenda!$O$4:$U$10,7,FALSE)</f>
        <v>#N/A</v>
      </c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 t="e">
        <f>+VLOOKUP(AN499,Leyenda!$B$30:$E$34,3,FALSE)</f>
        <v>#N/A</v>
      </c>
      <c r="AW499" s="18" t="e">
        <f>+VLOOKUP('2. Logging Brejo Seco'!AO499,Meteorizacion,3,FALSE)</f>
        <v>#N/A</v>
      </c>
      <c r="AX499" s="18" t="e">
        <f>+VLOOKUP('2. Logging Brejo Seco'!AP499,Apertura,3,FALSE)</f>
        <v>#N/A</v>
      </c>
      <c r="AY499" s="18" t="e">
        <f>+VLOOKUP('2. Logging Brejo Seco'!AQ499,Leyenda!$B$55:$D$59,3,FALSE)</f>
        <v>#N/A</v>
      </c>
      <c r="AZ499" s="18" t="e">
        <f>+VLOOKUP('2. Logging Brejo Seco'!AR499,Relleno,3,FALSE)</f>
        <v>#N/A</v>
      </c>
      <c r="BA499" s="18" t="e">
        <f t="shared" si="165"/>
        <v>#N/A</v>
      </c>
      <c r="BB499" s="49">
        <f t="shared" si="173"/>
        <v>0</v>
      </c>
      <c r="BC499" s="49" t="e">
        <f>VLOOKUP(AH499,Leyenda!$B$4:$D$10,3,FALSE)</f>
        <v>#N/A</v>
      </c>
      <c r="BD499" s="50" t="e">
        <f t="shared" si="155"/>
        <v>#DIV/0!</v>
      </c>
      <c r="BE499" s="49" t="e">
        <f t="shared" si="159"/>
        <v>#N/A</v>
      </c>
      <c r="BF499" s="49" t="e">
        <f>VLOOKUP(AS499,Leyenda!$B$70:$D$75,3,FALSE)</f>
        <v>#N/A</v>
      </c>
      <c r="BG499" s="67" t="e">
        <f t="shared" si="174"/>
        <v>#N/A</v>
      </c>
      <c r="BH499" s="67" t="e">
        <f>VLOOKUP(AG499,Leyenda!$B$4:$E$10,4,FALSE)</f>
        <v>#N/A</v>
      </c>
      <c r="BI499" s="67" t="e">
        <f t="shared" si="156"/>
        <v>#DIV/0!</v>
      </c>
      <c r="BJ499" s="67">
        <f t="shared" si="175"/>
        <v>0</v>
      </c>
      <c r="BK499" s="67" t="e">
        <f>+VLOOKUP('2. Logging Brejo Seco'!AP499,Leyenda!$B$47:$E$51,4,FALSE)</f>
        <v>#N/A</v>
      </c>
      <c r="BL499" s="67" t="e">
        <f>+VLOOKUP('2. Logging Brejo Seco'!AQ499,Leyenda!$B$55:$E$59,4,FALSE)</f>
        <v>#N/A</v>
      </c>
      <c r="BM499" s="67" t="e">
        <f>+VLOOKUP('2. Logging Brejo Seco'!AR499,Leyenda!$B$63:$E$67,3,FALSE)</f>
        <v>#N/A</v>
      </c>
      <c r="BN499" s="67" t="e">
        <f>+VLOOKUP('2. Logging Brejo Seco'!AO499,Leyenda!$B$39:$E$43,4,FALSE)</f>
        <v>#N/A</v>
      </c>
      <c r="BO499" s="67" t="e">
        <f>+VLOOKUP('2. Logging Brejo Seco'!AN499,Leyenda!$B$30:$E$34,4,FALSE)</f>
        <v>#N/A</v>
      </c>
      <c r="BP499" s="67" t="e">
        <f>VLOOKUP(AS499,Leyenda!$B$71:$E$75,4,FALSE)</f>
        <v>#N/A</v>
      </c>
      <c r="BQ499" s="67" t="e">
        <f t="shared" si="160"/>
        <v>#N/A</v>
      </c>
      <c r="BR499" s="18" t="e">
        <f t="shared" si="161"/>
        <v>#N/A</v>
      </c>
      <c r="BS499" s="240">
        <f t="shared" si="157"/>
        <v>1</v>
      </c>
      <c r="BT499" s="18"/>
    </row>
    <row r="500" spans="1:72" x14ac:dyDescent="0.25">
      <c r="A500" s="18" t="s">
        <v>6</v>
      </c>
      <c r="B500" s="18">
        <v>2024</v>
      </c>
      <c r="C500" s="18" t="s">
        <v>140</v>
      </c>
      <c r="D500" s="18" t="s">
        <v>149</v>
      </c>
      <c r="E500" s="18"/>
      <c r="F500" s="18"/>
      <c r="G500" s="18"/>
      <c r="H500" s="248">
        <f t="shared" si="163"/>
        <v>0</v>
      </c>
      <c r="I500" s="135"/>
      <c r="J500" s="18" t="s">
        <v>151</v>
      </c>
      <c r="K500" s="31">
        <f t="shared" si="176"/>
        <v>9</v>
      </c>
      <c r="L500" s="31">
        <v>10.199999999999999</v>
      </c>
      <c r="M500" s="4">
        <f t="shared" si="162"/>
        <v>1.1999999999999993</v>
      </c>
      <c r="N500" s="18"/>
      <c r="O500" s="5">
        <f t="shared" si="177"/>
        <v>1</v>
      </c>
      <c r="P500" s="31">
        <f t="shared" si="158"/>
        <v>0</v>
      </c>
      <c r="Q500" s="18">
        <f t="shared" si="150"/>
        <v>0</v>
      </c>
      <c r="R500" s="18" t="s">
        <v>348</v>
      </c>
      <c r="S500" s="18" t="e">
        <v>#N/A</v>
      </c>
      <c r="T500" s="18"/>
      <c r="U500" s="18"/>
      <c r="V500" s="65">
        <f t="shared" si="164"/>
        <v>0</v>
      </c>
      <c r="W500" s="18"/>
      <c r="X500" s="18"/>
      <c r="Y500" s="18"/>
      <c r="Z500" s="31" t="e">
        <f t="shared" si="166"/>
        <v>#DIV/0!</v>
      </c>
      <c r="AA500" s="18"/>
      <c r="AB500" s="18"/>
      <c r="AC500" s="18"/>
      <c r="AD500" s="18"/>
      <c r="AE500" s="18" t="e">
        <v>#N/A</v>
      </c>
      <c r="AF500" s="18" t="s">
        <v>348</v>
      </c>
      <c r="AG500" s="18" t="e">
        <v>#N/A</v>
      </c>
      <c r="AH500" s="18"/>
      <c r="AI500" s="18" t="e">
        <f>+VLOOKUP(AH500,Leyenda!$O$4:$U$10,6,FALSE)</f>
        <v>#N/A</v>
      </c>
      <c r="AJ500" s="18" t="e">
        <f>+VLOOKUP(AG500,Leyenda!$O$4:$U$10,7,FALSE)</f>
        <v>#N/A</v>
      </c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 t="e">
        <f>+VLOOKUP(AN500,Leyenda!$B$30:$E$34,3,FALSE)</f>
        <v>#N/A</v>
      </c>
      <c r="AW500" s="18" t="e">
        <f>+VLOOKUP('2. Logging Brejo Seco'!AO500,Meteorizacion,3,FALSE)</f>
        <v>#N/A</v>
      </c>
      <c r="AX500" s="18" t="e">
        <f>+VLOOKUP('2. Logging Brejo Seco'!AP500,Apertura,3,FALSE)</f>
        <v>#N/A</v>
      </c>
      <c r="AY500" s="18" t="e">
        <f>+VLOOKUP('2. Logging Brejo Seco'!AQ500,Leyenda!$B$55:$D$59,3,FALSE)</f>
        <v>#N/A</v>
      </c>
      <c r="AZ500" s="18" t="e">
        <f>+VLOOKUP('2. Logging Brejo Seco'!AR500,Relleno,3,FALSE)</f>
        <v>#N/A</v>
      </c>
      <c r="BA500" s="18" t="e">
        <f t="shared" si="165"/>
        <v>#N/A</v>
      </c>
      <c r="BB500" s="49">
        <f t="shared" si="173"/>
        <v>0</v>
      </c>
      <c r="BC500" s="49" t="e">
        <f>VLOOKUP(AH500,Leyenda!$B$4:$D$10,3,FALSE)</f>
        <v>#N/A</v>
      </c>
      <c r="BD500" s="50" t="e">
        <f t="shared" si="155"/>
        <v>#DIV/0!</v>
      </c>
      <c r="BE500" s="49" t="e">
        <f t="shared" si="159"/>
        <v>#N/A</v>
      </c>
      <c r="BF500" s="49" t="e">
        <f>VLOOKUP(AS500,Leyenda!$B$70:$D$75,3,FALSE)</f>
        <v>#N/A</v>
      </c>
      <c r="BG500" s="67" t="e">
        <f t="shared" si="174"/>
        <v>#N/A</v>
      </c>
      <c r="BH500" s="67" t="e">
        <f>VLOOKUP(AG500,Leyenda!$B$4:$E$10,4,FALSE)</f>
        <v>#N/A</v>
      </c>
      <c r="BI500" s="67" t="e">
        <f t="shared" si="156"/>
        <v>#DIV/0!</v>
      </c>
      <c r="BJ500" s="67">
        <f t="shared" si="175"/>
        <v>0</v>
      </c>
      <c r="BK500" s="67" t="e">
        <f>+VLOOKUP('2. Logging Brejo Seco'!AP500,Leyenda!$B$47:$E$51,4,FALSE)</f>
        <v>#N/A</v>
      </c>
      <c r="BL500" s="67" t="e">
        <f>+VLOOKUP('2. Logging Brejo Seco'!AQ500,Leyenda!$B$55:$E$59,4,FALSE)</f>
        <v>#N/A</v>
      </c>
      <c r="BM500" s="67" t="e">
        <f>+VLOOKUP('2. Logging Brejo Seco'!AR500,Leyenda!$B$63:$E$67,3,FALSE)</f>
        <v>#N/A</v>
      </c>
      <c r="BN500" s="67" t="e">
        <f>+VLOOKUP('2. Logging Brejo Seco'!AO500,Leyenda!$B$39:$E$43,4,FALSE)</f>
        <v>#N/A</v>
      </c>
      <c r="BO500" s="67" t="e">
        <f>+VLOOKUP('2. Logging Brejo Seco'!AN500,Leyenda!$B$30:$E$34,4,FALSE)</f>
        <v>#N/A</v>
      </c>
      <c r="BP500" s="67" t="e">
        <f>VLOOKUP(AS500,Leyenda!$B$71:$E$75,4,FALSE)</f>
        <v>#N/A</v>
      </c>
      <c r="BQ500" s="67" t="e">
        <f t="shared" si="160"/>
        <v>#N/A</v>
      </c>
      <c r="BR500" s="18" t="e">
        <f t="shared" si="161"/>
        <v>#N/A</v>
      </c>
      <c r="BS500" s="240">
        <f t="shared" si="157"/>
        <v>1</v>
      </c>
      <c r="BT500" s="18"/>
    </row>
    <row r="501" spans="1:72" x14ac:dyDescent="0.25">
      <c r="A501" s="18" t="s">
        <v>6</v>
      </c>
      <c r="B501" s="18">
        <v>2024</v>
      </c>
      <c r="C501" s="18" t="s">
        <v>140</v>
      </c>
      <c r="D501" s="18" t="s">
        <v>149</v>
      </c>
      <c r="E501" s="18"/>
      <c r="F501" s="18"/>
      <c r="G501" s="18"/>
      <c r="H501" s="248">
        <f t="shared" si="163"/>
        <v>0</v>
      </c>
      <c r="I501" s="135"/>
      <c r="J501" s="18" t="s">
        <v>151</v>
      </c>
      <c r="K501" s="31">
        <f t="shared" si="176"/>
        <v>10.199999999999999</v>
      </c>
      <c r="L501" s="31">
        <v>11.2</v>
      </c>
      <c r="M501" s="4">
        <f t="shared" si="162"/>
        <v>1</v>
      </c>
      <c r="N501" s="18"/>
      <c r="O501" s="5">
        <f t="shared" si="177"/>
        <v>1</v>
      </c>
      <c r="P501" s="31">
        <f t="shared" si="158"/>
        <v>0</v>
      </c>
      <c r="Q501" s="18">
        <f t="shared" si="150"/>
        <v>0</v>
      </c>
      <c r="R501" s="18" t="s">
        <v>348</v>
      </c>
      <c r="S501" s="18" t="e">
        <v>#N/A</v>
      </c>
      <c r="T501" s="18"/>
      <c r="U501" s="18"/>
      <c r="V501" s="65">
        <f t="shared" si="164"/>
        <v>0</v>
      </c>
      <c r="W501" s="18"/>
      <c r="X501" s="18"/>
      <c r="Y501" s="18"/>
      <c r="Z501" s="31" t="e">
        <f t="shared" si="166"/>
        <v>#DIV/0!</v>
      </c>
      <c r="AA501" s="18"/>
      <c r="AB501" s="18"/>
      <c r="AC501" s="18"/>
      <c r="AD501" s="18"/>
      <c r="AE501" s="18" t="e">
        <v>#N/A</v>
      </c>
      <c r="AF501" s="18" t="s">
        <v>348</v>
      </c>
      <c r="AG501" s="18" t="e">
        <v>#N/A</v>
      </c>
      <c r="AH501" s="18"/>
      <c r="AI501" s="18" t="e">
        <f>+VLOOKUP(AH501,Leyenda!$O$4:$U$10,6,FALSE)</f>
        <v>#N/A</v>
      </c>
      <c r="AJ501" s="18" t="e">
        <f>+VLOOKUP(AG501,Leyenda!$O$4:$U$10,7,FALSE)</f>
        <v>#N/A</v>
      </c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 t="e">
        <f>+VLOOKUP(AN501,Leyenda!$B$30:$E$34,3,FALSE)</f>
        <v>#N/A</v>
      </c>
      <c r="AW501" s="18" t="e">
        <f>+VLOOKUP('2. Logging Brejo Seco'!AO501,Meteorizacion,3,FALSE)</f>
        <v>#N/A</v>
      </c>
      <c r="AX501" s="18" t="e">
        <f>+VLOOKUP('2. Logging Brejo Seco'!AP501,Apertura,3,FALSE)</f>
        <v>#N/A</v>
      </c>
      <c r="AY501" s="18" t="e">
        <f>+VLOOKUP('2. Logging Brejo Seco'!AQ501,Leyenda!$B$55:$D$59,3,FALSE)</f>
        <v>#N/A</v>
      </c>
      <c r="AZ501" s="18" t="e">
        <f>+VLOOKUP('2. Logging Brejo Seco'!AR501,Relleno,3,FALSE)</f>
        <v>#N/A</v>
      </c>
      <c r="BA501" s="18" t="e">
        <f t="shared" si="165"/>
        <v>#N/A</v>
      </c>
      <c r="BB501" s="49">
        <f t="shared" si="173"/>
        <v>0</v>
      </c>
      <c r="BC501" s="49" t="e">
        <f>VLOOKUP(AH501,Leyenda!$B$4:$D$10,3,FALSE)</f>
        <v>#N/A</v>
      </c>
      <c r="BD501" s="50" t="e">
        <f t="shared" si="155"/>
        <v>#DIV/0!</v>
      </c>
      <c r="BE501" s="49" t="e">
        <f t="shared" si="159"/>
        <v>#N/A</v>
      </c>
      <c r="BF501" s="49" t="e">
        <f>VLOOKUP(AS501,Leyenda!$B$70:$D$75,3,FALSE)</f>
        <v>#N/A</v>
      </c>
      <c r="BG501" s="67" t="e">
        <f t="shared" si="174"/>
        <v>#N/A</v>
      </c>
      <c r="BH501" s="67" t="e">
        <f>VLOOKUP(AG501,Leyenda!$B$4:$E$10,4,FALSE)</f>
        <v>#N/A</v>
      </c>
      <c r="BI501" s="67" t="e">
        <f t="shared" si="156"/>
        <v>#DIV/0!</v>
      </c>
      <c r="BJ501" s="67">
        <f t="shared" si="175"/>
        <v>0</v>
      </c>
      <c r="BK501" s="67" t="e">
        <f>+VLOOKUP('2. Logging Brejo Seco'!AP501,Leyenda!$B$47:$E$51,4,FALSE)</f>
        <v>#N/A</v>
      </c>
      <c r="BL501" s="67" t="e">
        <f>+VLOOKUP('2. Logging Brejo Seco'!AQ501,Leyenda!$B$55:$E$59,4,FALSE)</f>
        <v>#N/A</v>
      </c>
      <c r="BM501" s="67" t="e">
        <f>+VLOOKUP('2. Logging Brejo Seco'!AR501,Leyenda!$B$63:$E$67,3,FALSE)</f>
        <v>#N/A</v>
      </c>
      <c r="BN501" s="67" t="e">
        <f>+VLOOKUP('2. Logging Brejo Seco'!AO501,Leyenda!$B$39:$E$43,4,FALSE)</f>
        <v>#N/A</v>
      </c>
      <c r="BO501" s="67" t="e">
        <f>+VLOOKUP('2. Logging Brejo Seco'!AN501,Leyenda!$B$30:$E$34,4,FALSE)</f>
        <v>#N/A</v>
      </c>
      <c r="BP501" s="67" t="e">
        <f>VLOOKUP(AS501,Leyenda!$B$71:$E$75,4,FALSE)</f>
        <v>#N/A</v>
      </c>
      <c r="BQ501" s="67" t="e">
        <f t="shared" si="160"/>
        <v>#N/A</v>
      </c>
      <c r="BR501" s="18" t="e">
        <f t="shared" si="161"/>
        <v>#N/A</v>
      </c>
      <c r="BS501" s="240">
        <f t="shared" si="157"/>
        <v>1</v>
      </c>
      <c r="BT501" s="18"/>
    </row>
    <row r="502" spans="1:72" x14ac:dyDescent="0.25">
      <c r="A502" s="18" t="s">
        <v>6</v>
      </c>
      <c r="B502" s="18">
        <v>2024</v>
      </c>
      <c r="C502" s="18" t="s">
        <v>140</v>
      </c>
      <c r="D502" s="18" t="s">
        <v>149</v>
      </c>
      <c r="E502" s="18"/>
      <c r="F502" s="18"/>
      <c r="G502" s="18"/>
      <c r="H502" s="248">
        <f t="shared" si="163"/>
        <v>0</v>
      </c>
      <c r="I502" s="135"/>
      <c r="J502" s="18" t="s">
        <v>151</v>
      </c>
      <c r="K502" s="31">
        <f t="shared" si="176"/>
        <v>11.2</v>
      </c>
      <c r="L502" s="31">
        <v>12</v>
      </c>
      <c r="M502" s="4">
        <f t="shared" si="162"/>
        <v>0.80000000000000071</v>
      </c>
      <c r="N502" s="18"/>
      <c r="O502" s="5">
        <f t="shared" si="177"/>
        <v>1</v>
      </c>
      <c r="P502" s="31">
        <f t="shared" si="158"/>
        <v>0</v>
      </c>
      <c r="Q502" s="18">
        <f t="shared" si="150"/>
        <v>0</v>
      </c>
      <c r="R502" s="18" t="s">
        <v>348</v>
      </c>
      <c r="S502" s="18" t="e">
        <v>#N/A</v>
      </c>
      <c r="T502" s="18"/>
      <c r="U502" s="18"/>
      <c r="V502" s="65">
        <f t="shared" si="164"/>
        <v>0</v>
      </c>
      <c r="W502" s="18"/>
      <c r="X502" s="18"/>
      <c r="Y502" s="18"/>
      <c r="Z502" s="31" t="e">
        <f t="shared" si="166"/>
        <v>#DIV/0!</v>
      </c>
      <c r="AA502" s="18"/>
      <c r="AB502" s="18"/>
      <c r="AC502" s="18"/>
      <c r="AD502" s="18"/>
      <c r="AE502" s="18" t="e">
        <v>#N/A</v>
      </c>
      <c r="AF502" s="18" t="s">
        <v>348</v>
      </c>
      <c r="AG502" s="18" t="e">
        <v>#N/A</v>
      </c>
      <c r="AH502" s="18"/>
      <c r="AI502" s="18" t="e">
        <f>+VLOOKUP(AH502,Leyenda!$O$4:$U$10,6,FALSE)</f>
        <v>#N/A</v>
      </c>
      <c r="AJ502" s="18" t="e">
        <f>+VLOOKUP(AG502,Leyenda!$O$4:$U$10,7,FALSE)</f>
        <v>#N/A</v>
      </c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 t="e">
        <f>+VLOOKUP(AN502,Leyenda!$B$30:$E$34,3,FALSE)</f>
        <v>#N/A</v>
      </c>
      <c r="AW502" s="18" t="e">
        <f>+VLOOKUP('2. Logging Brejo Seco'!AO502,Meteorizacion,3,FALSE)</f>
        <v>#N/A</v>
      </c>
      <c r="AX502" s="18" t="e">
        <f>+VLOOKUP('2. Logging Brejo Seco'!AP502,Apertura,3,FALSE)</f>
        <v>#N/A</v>
      </c>
      <c r="AY502" s="18" t="e">
        <f>+VLOOKUP('2. Logging Brejo Seco'!AQ502,Leyenda!$B$55:$D$59,3,FALSE)</f>
        <v>#N/A</v>
      </c>
      <c r="AZ502" s="18" t="e">
        <f>+VLOOKUP('2. Logging Brejo Seco'!AR502,Relleno,3,FALSE)</f>
        <v>#N/A</v>
      </c>
      <c r="BA502" s="18" t="e">
        <f t="shared" si="165"/>
        <v>#N/A</v>
      </c>
      <c r="BB502" s="49">
        <f t="shared" si="173"/>
        <v>0</v>
      </c>
      <c r="BC502" s="49" t="e">
        <f>VLOOKUP(AH502,Leyenda!$B$4:$D$10,3,FALSE)</f>
        <v>#N/A</v>
      </c>
      <c r="BD502" s="50" t="e">
        <f t="shared" si="155"/>
        <v>#DIV/0!</v>
      </c>
      <c r="BE502" s="49" t="e">
        <f t="shared" si="159"/>
        <v>#N/A</v>
      </c>
      <c r="BF502" s="49" t="e">
        <f>VLOOKUP(AS502,Leyenda!$B$70:$D$75,3,FALSE)</f>
        <v>#N/A</v>
      </c>
      <c r="BG502" s="67" t="e">
        <f t="shared" si="174"/>
        <v>#N/A</v>
      </c>
      <c r="BH502" s="67" t="e">
        <f>VLOOKUP(AG502,Leyenda!$B$4:$E$10,4,FALSE)</f>
        <v>#N/A</v>
      </c>
      <c r="BI502" s="67" t="e">
        <f t="shared" si="156"/>
        <v>#DIV/0!</v>
      </c>
      <c r="BJ502" s="67">
        <f t="shared" si="175"/>
        <v>0</v>
      </c>
      <c r="BK502" s="67" t="e">
        <f>+VLOOKUP('2. Logging Brejo Seco'!AP502,Leyenda!$B$47:$E$51,4,FALSE)</f>
        <v>#N/A</v>
      </c>
      <c r="BL502" s="67" t="e">
        <f>+VLOOKUP('2. Logging Brejo Seco'!AQ502,Leyenda!$B$55:$E$59,4,FALSE)</f>
        <v>#N/A</v>
      </c>
      <c r="BM502" s="67" t="e">
        <f>+VLOOKUP('2. Logging Brejo Seco'!AR502,Leyenda!$B$63:$E$67,3,FALSE)</f>
        <v>#N/A</v>
      </c>
      <c r="BN502" s="67" t="e">
        <f>+VLOOKUP('2. Logging Brejo Seco'!AO502,Leyenda!$B$39:$E$43,4,FALSE)</f>
        <v>#N/A</v>
      </c>
      <c r="BO502" s="67" t="e">
        <f>+VLOOKUP('2. Logging Brejo Seco'!AN502,Leyenda!$B$30:$E$34,4,FALSE)</f>
        <v>#N/A</v>
      </c>
      <c r="BP502" s="67" t="e">
        <f>VLOOKUP(AS502,Leyenda!$B$71:$E$75,4,FALSE)</f>
        <v>#N/A</v>
      </c>
      <c r="BQ502" s="67" t="e">
        <f t="shared" si="160"/>
        <v>#N/A</v>
      </c>
      <c r="BR502" s="18" t="e">
        <f t="shared" si="161"/>
        <v>#N/A</v>
      </c>
      <c r="BS502" s="240">
        <f t="shared" si="157"/>
        <v>1</v>
      </c>
      <c r="BT502" s="18"/>
    </row>
    <row r="503" spans="1:72" x14ac:dyDescent="0.25">
      <c r="A503" s="18" t="s">
        <v>6</v>
      </c>
      <c r="B503" s="18">
        <v>2024</v>
      </c>
      <c r="C503" s="18" t="s">
        <v>140</v>
      </c>
      <c r="D503" s="18" t="s">
        <v>149</v>
      </c>
      <c r="E503" s="18"/>
      <c r="F503" s="18"/>
      <c r="G503" s="18"/>
      <c r="H503" s="248">
        <f t="shared" si="163"/>
        <v>0</v>
      </c>
      <c r="I503" s="135"/>
      <c r="J503" s="18" t="s">
        <v>150</v>
      </c>
      <c r="K503" s="31">
        <f t="shared" si="176"/>
        <v>12</v>
      </c>
      <c r="L503" s="31">
        <v>13</v>
      </c>
      <c r="M503" s="4">
        <f t="shared" si="162"/>
        <v>1</v>
      </c>
      <c r="N503" s="18"/>
      <c r="O503" s="5">
        <f t="shared" si="177"/>
        <v>1</v>
      </c>
      <c r="P503" s="31">
        <f t="shared" si="158"/>
        <v>0</v>
      </c>
      <c r="Q503" s="18">
        <f t="shared" si="150"/>
        <v>0</v>
      </c>
      <c r="R503" s="18" t="s">
        <v>348</v>
      </c>
      <c r="S503" s="18" t="e">
        <v>#N/A</v>
      </c>
      <c r="T503" s="18"/>
      <c r="U503" s="18"/>
      <c r="V503" s="65">
        <f t="shared" si="164"/>
        <v>0</v>
      </c>
      <c r="W503" s="18"/>
      <c r="X503" s="18"/>
      <c r="Y503" s="18"/>
      <c r="Z503" s="31" t="e">
        <f t="shared" si="166"/>
        <v>#DIV/0!</v>
      </c>
      <c r="AA503" s="18"/>
      <c r="AB503" s="18"/>
      <c r="AC503" s="18"/>
      <c r="AD503" s="18"/>
      <c r="AE503" s="18" t="e">
        <v>#N/A</v>
      </c>
      <c r="AF503" s="18" t="s">
        <v>348</v>
      </c>
      <c r="AG503" s="18" t="e">
        <v>#N/A</v>
      </c>
      <c r="AH503" s="18"/>
      <c r="AI503" s="18" t="e">
        <f>+VLOOKUP(AH503,Leyenda!$O$4:$U$10,6,FALSE)</f>
        <v>#N/A</v>
      </c>
      <c r="AJ503" s="18" t="e">
        <f>+VLOOKUP(AG503,Leyenda!$O$4:$U$10,7,FALSE)</f>
        <v>#N/A</v>
      </c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 t="e">
        <f>+VLOOKUP(AN503,Leyenda!$B$30:$E$34,3,FALSE)</f>
        <v>#N/A</v>
      </c>
      <c r="AW503" s="18" t="e">
        <f>+VLOOKUP('2. Logging Brejo Seco'!AO503,Meteorizacion,3,FALSE)</f>
        <v>#N/A</v>
      </c>
      <c r="AX503" s="18" t="e">
        <f>+VLOOKUP('2. Logging Brejo Seco'!AP503,Apertura,3,FALSE)</f>
        <v>#N/A</v>
      </c>
      <c r="AY503" s="18" t="e">
        <f>+VLOOKUP('2. Logging Brejo Seco'!AQ503,Leyenda!$B$55:$D$59,3,FALSE)</f>
        <v>#N/A</v>
      </c>
      <c r="AZ503" s="18" t="e">
        <f>+VLOOKUP('2. Logging Brejo Seco'!AR503,Relleno,3,FALSE)</f>
        <v>#N/A</v>
      </c>
      <c r="BA503" s="18" t="e">
        <f t="shared" si="165"/>
        <v>#N/A</v>
      </c>
      <c r="BB503" s="49">
        <f t="shared" si="173"/>
        <v>0</v>
      </c>
      <c r="BC503" s="49" t="e">
        <f>VLOOKUP(AH503,Leyenda!$B$4:$D$10,3,FALSE)</f>
        <v>#N/A</v>
      </c>
      <c r="BD503" s="50" t="e">
        <f t="shared" si="155"/>
        <v>#DIV/0!</v>
      </c>
      <c r="BE503" s="49" t="e">
        <f t="shared" si="159"/>
        <v>#N/A</v>
      </c>
      <c r="BF503" s="49" t="e">
        <f>VLOOKUP(AS503,Leyenda!$B$70:$D$75,3,FALSE)</f>
        <v>#N/A</v>
      </c>
      <c r="BG503" s="67" t="e">
        <f t="shared" si="174"/>
        <v>#N/A</v>
      </c>
      <c r="BH503" s="67" t="e">
        <f>VLOOKUP(AG503,Leyenda!$B$4:$E$10,4,FALSE)</f>
        <v>#N/A</v>
      </c>
      <c r="BI503" s="67" t="e">
        <f t="shared" si="156"/>
        <v>#DIV/0!</v>
      </c>
      <c r="BJ503" s="67">
        <f t="shared" si="175"/>
        <v>0</v>
      </c>
      <c r="BK503" s="67" t="e">
        <f>+VLOOKUP('2. Logging Brejo Seco'!AP503,Leyenda!$B$47:$E$51,4,FALSE)</f>
        <v>#N/A</v>
      </c>
      <c r="BL503" s="67" t="e">
        <f>+VLOOKUP('2. Logging Brejo Seco'!AQ503,Leyenda!$B$55:$E$59,4,FALSE)</f>
        <v>#N/A</v>
      </c>
      <c r="BM503" s="67" t="e">
        <f>+VLOOKUP('2. Logging Brejo Seco'!AR503,Leyenda!$B$63:$E$67,3,FALSE)</f>
        <v>#N/A</v>
      </c>
      <c r="BN503" s="67" t="e">
        <f>+VLOOKUP('2. Logging Brejo Seco'!AO503,Leyenda!$B$39:$E$43,4,FALSE)</f>
        <v>#N/A</v>
      </c>
      <c r="BO503" s="67" t="e">
        <f>+VLOOKUP('2. Logging Brejo Seco'!AN503,Leyenda!$B$30:$E$34,4,FALSE)</f>
        <v>#N/A</v>
      </c>
      <c r="BP503" s="67" t="e">
        <f>VLOOKUP(AS503,Leyenda!$B$71:$E$75,4,FALSE)</f>
        <v>#N/A</v>
      </c>
      <c r="BQ503" s="67" t="e">
        <f t="shared" si="160"/>
        <v>#N/A</v>
      </c>
      <c r="BR503" s="18" t="e">
        <f t="shared" si="161"/>
        <v>#N/A</v>
      </c>
      <c r="BS503" s="240">
        <f t="shared" si="157"/>
        <v>1</v>
      </c>
      <c r="BT503" s="18"/>
    </row>
    <row r="504" spans="1:72" x14ac:dyDescent="0.25">
      <c r="A504" s="18" t="s">
        <v>6</v>
      </c>
      <c r="B504" s="18">
        <v>2024</v>
      </c>
      <c r="C504" s="18" t="s">
        <v>140</v>
      </c>
      <c r="D504" s="18" t="s">
        <v>149</v>
      </c>
      <c r="E504" s="18"/>
      <c r="F504" s="18"/>
      <c r="G504" s="18"/>
      <c r="H504" s="248">
        <f t="shared" si="163"/>
        <v>0</v>
      </c>
      <c r="I504" s="135"/>
      <c r="J504" s="18" t="s">
        <v>150</v>
      </c>
      <c r="K504" s="31">
        <f t="shared" si="176"/>
        <v>13</v>
      </c>
      <c r="L504" s="31">
        <v>13.5</v>
      </c>
      <c r="M504" s="4">
        <f t="shared" si="162"/>
        <v>0.5</v>
      </c>
      <c r="N504" s="18"/>
      <c r="O504" s="5">
        <f t="shared" si="177"/>
        <v>1</v>
      </c>
      <c r="P504" s="31">
        <f t="shared" si="158"/>
        <v>0</v>
      </c>
      <c r="Q504" s="18">
        <f t="shared" si="150"/>
        <v>0</v>
      </c>
      <c r="R504" s="18" t="s">
        <v>348</v>
      </c>
      <c r="S504" s="18" t="e">
        <v>#N/A</v>
      </c>
      <c r="T504" s="18"/>
      <c r="U504" s="18"/>
      <c r="V504" s="65">
        <f t="shared" si="164"/>
        <v>0</v>
      </c>
      <c r="W504" s="18"/>
      <c r="X504" s="18"/>
      <c r="Y504" s="18"/>
      <c r="Z504" s="31" t="e">
        <f t="shared" si="166"/>
        <v>#DIV/0!</v>
      </c>
      <c r="AA504" s="18"/>
      <c r="AB504" s="18"/>
      <c r="AC504" s="18"/>
      <c r="AD504" s="18"/>
      <c r="AE504" s="18" t="e">
        <v>#N/A</v>
      </c>
      <c r="AF504" s="18" t="s">
        <v>348</v>
      </c>
      <c r="AG504" s="18" t="e">
        <v>#N/A</v>
      </c>
      <c r="AH504" s="18"/>
      <c r="AI504" s="18" t="e">
        <f>+VLOOKUP(AH504,Leyenda!$O$4:$U$10,6,FALSE)</f>
        <v>#N/A</v>
      </c>
      <c r="AJ504" s="18" t="e">
        <f>+VLOOKUP(AG504,Leyenda!$O$4:$U$10,7,FALSE)</f>
        <v>#N/A</v>
      </c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 t="e">
        <f>+VLOOKUP(AN504,Leyenda!$B$30:$E$34,3,FALSE)</f>
        <v>#N/A</v>
      </c>
      <c r="AW504" s="18" t="e">
        <f>+VLOOKUP('2. Logging Brejo Seco'!AO504,Meteorizacion,3,FALSE)</f>
        <v>#N/A</v>
      </c>
      <c r="AX504" s="18" t="e">
        <f>+VLOOKUP('2. Logging Brejo Seco'!AP504,Apertura,3,FALSE)</f>
        <v>#N/A</v>
      </c>
      <c r="AY504" s="18" t="e">
        <f>+VLOOKUP('2. Logging Brejo Seco'!AQ504,Leyenda!$B$55:$D$59,3,FALSE)</f>
        <v>#N/A</v>
      </c>
      <c r="AZ504" s="18" t="e">
        <f>+VLOOKUP('2. Logging Brejo Seco'!AR504,Relleno,3,FALSE)</f>
        <v>#N/A</v>
      </c>
      <c r="BA504" s="18" t="e">
        <f t="shared" si="165"/>
        <v>#N/A</v>
      </c>
      <c r="BB504" s="49">
        <f t="shared" si="173"/>
        <v>0</v>
      </c>
      <c r="BC504" s="49" t="e">
        <f>VLOOKUP(AH504,Leyenda!$B$4:$D$10,3,FALSE)</f>
        <v>#N/A</v>
      </c>
      <c r="BD504" s="50" t="e">
        <f t="shared" si="155"/>
        <v>#DIV/0!</v>
      </c>
      <c r="BE504" s="49" t="e">
        <f t="shared" si="159"/>
        <v>#N/A</v>
      </c>
      <c r="BF504" s="49" t="e">
        <f>VLOOKUP(AS504,Leyenda!$B$70:$D$75,3,FALSE)</f>
        <v>#N/A</v>
      </c>
      <c r="BG504" s="67" t="e">
        <f t="shared" si="174"/>
        <v>#N/A</v>
      </c>
      <c r="BH504" s="67" t="e">
        <f>VLOOKUP(AG504,Leyenda!$B$4:$E$10,4,FALSE)</f>
        <v>#N/A</v>
      </c>
      <c r="BI504" s="67" t="e">
        <f t="shared" si="156"/>
        <v>#DIV/0!</v>
      </c>
      <c r="BJ504" s="67">
        <f t="shared" si="175"/>
        <v>0</v>
      </c>
      <c r="BK504" s="67" t="e">
        <f>+VLOOKUP('2. Logging Brejo Seco'!AP504,Leyenda!$B$47:$E$51,4,FALSE)</f>
        <v>#N/A</v>
      </c>
      <c r="BL504" s="67" t="e">
        <f>+VLOOKUP('2. Logging Brejo Seco'!AQ504,Leyenda!$B$55:$E$59,4,FALSE)</f>
        <v>#N/A</v>
      </c>
      <c r="BM504" s="67" t="e">
        <f>+VLOOKUP('2. Logging Brejo Seco'!AR504,Leyenda!$B$63:$E$67,3,FALSE)</f>
        <v>#N/A</v>
      </c>
      <c r="BN504" s="67" t="e">
        <f>+VLOOKUP('2. Logging Brejo Seco'!AO504,Leyenda!$B$39:$E$43,4,FALSE)</f>
        <v>#N/A</v>
      </c>
      <c r="BO504" s="67" t="e">
        <f>+VLOOKUP('2. Logging Brejo Seco'!AN504,Leyenda!$B$30:$E$34,4,FALSE)</f>
        <v>#N/A</v>
      </c>
      <c r="BP504" s="67" t="e">
        <f>VLOOKUP(AS504,Leyenda!$B$71:$E$75,4,FALSE)</f>
        <v>#N/A</v>
      </c>
      <c r="BQ504" s="67" t="e">
        <f t="shared" si="160"/>
        <v>#N/A</v>
      </c>
      <c r="BR504" s="18" t="e">
        <f t="shared" si="161"/>
        <v>#N/A</v>
      </c>
      <c r="BS504" s="240">
        <f t="shared" si="157"/>
        <v>1</v>
      </c>
      <c r="BT504" s="18"/>
    </row>
    <row r="505" spans="1:72" x14ac:dyDescent="0.25">
      <c r="A505" s="18" t="s">
        <v>6</v>
      </c>
      <c r="B505" s="18">
        <v>2024</v>
      </c>
      <c r="C505" s="18" t="s">
        <v>140</v>
      </c>
      <c r="D505" s="18" t="s">
        <v>149</v>
      </c>
      <c r="E505" s="18"/>
      <c r="F505" s="18"/>
      <c r="G505" s="18"/>
      <c r="H505" s="248">
        <f t="shared" si="163"/>
        <v>0</v>
      </c>
      <c r="I505" s="135"/>
      <c r="J505" s="18" t="s">
        <v>150</v>
      </c>
      <c r="K505" s="31">
        <f t="shared" si="176"/>
        <v>13.5</v>
      </c>
      <c r="L505" s="31">
        <v>14</v>
      </c>
      <c r="M505" s="4">
        <f t="shared" si="162"/>
        <v>0.5</v>
      </c>
      <c r="N505" s="18"/>
      <c r="O505" s="5">
        <f t="shared" si="177"/>
        <v>1</v>
      </c>
      <c r="P505" s="31">
        <f t="shared" si="158"/>
        <v>0</v>
      </c>
      <c r="Q505" s="18">
        <f t="shared" si="150"/>
        <v>0</v>
      </c>
      <c r="R505" s="18" t="s">
        <v>348</v>
      </c>
      <c r="S505" s="18" t="e">
        <v>#N/A</v>
      </c>
      <c r="T505" s="18"/>
      <c r="U505" s="18"/>
      <c r="V505" s="65">
        <f t="shared" si="164"/>
        <v>0</v>
      </c>
      <c r="W505" s="18"/>
      <c r="X505" s="18"/>
      <c r="Y505" s="18"/>
      <c r="Z505" s="31" t="e">
        <f t="shared" si="166"/>
        <v>#DIV/0!</v>
      </c>
      <c r="AA505" s="18"/>
      <c r="AB505" s="18"/>
      <c r="AC505" s="18"/>
      <c r="AD505" s="18"/>
      <c r="AE505" s="18" t="e">
        <v>#N/A</v>
      </c>
      <c r="AF505" s="18" t="s">
        <v>348</v>
      </c>
      <c r="AG505" s="18" t="e">
        <v>#N/A</v>
      </c>
      <c r="AH505" s="18"/>
      <c r="AI505" s="18" t="e">
        <f>+VLOOKUP(AH505,Leyenda!$O$4:$U$10,6,FALSE)</f>
        <v>#N/A</v>
      </c>
      <c r="AJ505" s="18" t="e">
        <f>+VLOOKUP(AG505,Leyenda!$O$4:$U$10,7,FALSE)</f>
        <v>#N/A</v>
      </c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 t="e">
        <f>+VLOOKUP(AN505,Leyenda!$B$30:$E$34,3,FALSE)</f>
        <v>#N/A</v>
      </c>
      <c r="AW505" s="18" t="e">
        <f>+VLOOKUP('2. Logging Brejo Seco'!AO505,Meteorizacion,3,FALSE)</f>
        <v>#N/A</v>
      </c>
      <c r="AX505" s="18" t="e">
        <f>+VLOOKUP('2. Logging Brejo Seco'!AP505,Apertura,3,FALSE)</f>
        <v>#N/A</v>
      </c>
      <c r="AY505" s="18" t="e">
        <f>+VLOOKUP('2. Logging Brejo Seco'!AQ505,Leyenda!$B$55:$D$59,3,FALSE)</f>
        <v>#N/A</v>
      </c>
      <c r="AZ505" s="18" t="e">
        <f>+VLOOKUP('2. Logging Brejo Seco'!AR505,Relleno,3,FALSE)</f>
        <v>#N/A</v>
      </c>
      <c r="BA505" s="18" t="e">
        <f t="shared" si="165"/>
        <v>#N/A</v>
      </c>
      <c r="BB505" s="49">
        <f t="shared" si="173"/>
        <v>0</v>
      </c>
      <c r="BC505" s="49" t="e">
        <f>VLOOKUP(AH505,Leyenda!$B$4:$D$10,3,FALSE)</f>
        <v>#N/A</v>
      </c>
      <c r="BD505" s="50" t="e">
        <f t="shared" si="155"/>
        <v>#DIV/0!</v>
      </c>
      <c r="BE505" s="49" t="e">
        <f t="shared" si="159"/>
        <v>#N/A</v>
      </c>
      <c r="BF505" s="49" t="e">
        <f>VLOOKUP(AS505,Leyenda!$B$70:$D$75,3,FALSE)</f>
        <v>#N/A</v>
      </c>
      <c r="BG505" s="67" t="e">
        <f t="shared" si="174"/>
        <v>#N/A</v>
      </c>
      <c r="BH505" s="67" t="e">
        <f>VLOOKUP(AG505,Leyenda!$B$4:$E$10,4,FALSE)</f>
        <v>#N/A</v>
      </c>
      <c r="BI505" s="67" t="e">
        <f t="shared" si="156"/>
        <v>#DIV/0!</v>
      </c>
      <c r="BJ505" s="67">
        <f t="shared" si="175"/>
        <v>0</v>
      </c>
      <c r="BK505" s="67" t="e">
        <f>+VLOOKUP('2. Logging Brejo Seco'!AP505,Leyenda!$B$47:$E$51,4,FALSE)</f>
        <v>#N/A</v>
      </c>
      <c r="BL505" s="67" t="e">
        <f>+VLOOKUP('2. Logging Brejo Seco'!AQ505,Leyenda!$B$55:$E$59,4,FALSE)</f>
        <v>#N/A</v>
      </c>
      <c r="BM505" s="67" t="e">
        <f>+VLOOKUP('2. Logging Brejo Seco'!AR505,Leyenda!$B$63:$E$67,3,FALSE)</f>
        <v>#N/A</v>
      </c>
      <c r="BN505" s="67" t="e">
        <f>+VLOOKUP('2. Logging Brejo Seco'!AO505,Leyenda!$B$39:$E$43,4,FALSE)</f>
        <v>#N/A</v>
      </c>
      <c r="BO505" s="67" t="e">
        <f>+VLOOKUP('2. Logging Brejo Seco'!AN505,Leyenda!$B$30:$E$34,4,FALSE)</f>
        <v>#N/A</v>
      </c>
      <c r="BP505" s="67" t="e">
        <f>VLOOKUP(AS505,Leyenda!$B$71:$E$75,4,FALSE)</f>
        <v>#N/A</v>
      </c>
      <c r="BQ505" s="67" t="e">
        <f t="shared" si="160"/>
        <v>#N/A</v>
      </c>
      <c r="BR505" s="18" t="e">
        <f t="shared" si="161"/>
        <v>#N/A</v>
      </c>
      <c r="BS505" s="240">
        <f t="shared" si="157"/>
        <v>1</v>
      </c>
      <c r="BT505" s="18"/>
    </row>
    <row r="506" spans="1:72" x14ac:dyDescent="0.25">
      <c r="A506" s="18" t="s">
        <v>6</v>
      </c>
      <c r="B506" s="18">
        <v>2024</v>
      </c>
      <c r="C506" s="18" t="s">
        <v>140</v>
      </c>
      <c r="D506" s="18" t="s">
        <v>149</v>
      </c>
      <c r="E506" s="18"/>
      <c r="F506" s="18"/>
      <c r="G506" s="18"/>
      <c r="H506" s="248">
        <f t="shared" si="163"/>
        <v>0</v>
      </c>
      <c r="I506" s="135"/>
      <c r="J506" s="18" t="s">
        <v>150</v>
      </c>
      <c r="K506" s="31">
        <f t="shared" si="176"/>
        <v>14</v>
      </c>
      <c r="L506" s="31">
        <v>14.7</v>
      </c>
      <c r="M506" s="4">
        <f t="shared" si="162"/>
        <v>0.69999999999999929</v>
      </c>
      <c r="N506" s="18"/>
      <c r="O506" s="5">
        <f t="shared" si="177"/>
        <v>1</v>
      </c>
      <c r="P506" s="31">
        <f t="shared" si="158"/>
        <v>0</v>
      </c>
      <c r="Q506" s="18">
        <f t="shared" si="150"/>
        <v>0</v>
      </c>
      <c r="R506" s="18" t="s">
        <v>348</v>
      </c>
      <c r="S506" s="18" t="e">
        <v>#N/A</v>
      </c>
      <c r="T506" s="18"/>
      <c r="U506" s="18"/>
      <c r="V506" s="65">
        <f t="shared" si="164"/>
        <v>0</v>
      </c>
      <c r="W506" s="18"/>
      <c r="X506" s="18"/>
      <c r="Y506" s="18"/>
      <c r="Z506" s="31" t="e">
        <f t="shared" si="166"/>
        <v>#DIV/0!</v>
      </c>
      <c r="AA506" s="18"/>
      <c r="AB506" s="18"/>
      <c r="AC506" s="18"/>
      <c r="AD506" s="18"/>
      <c r="AE506" s="18" t="e">
        <v>#N/A</v>
      </c>
      <c r="AF506" s="18" t="s">
        <v>348</v>
      </c>
      <c r="AG506" s="18" t="e">
        <v>#N/A</v>
      </c>
      <c r="AH506" s="18"/>
      <c r="AI506" s="18" t="e">
        <f>+VLOOKUP(AH506,Leyenda!$O$4:$U$10,6,FALSE)</f>
        <v>#N/A</v>
      </c>
      <c r="AJ506" s="18" t="e">
        <f>+VLOOKUP(AG506,Leyenda!$O$4:$U$10,7,FALSE)</f>
        <v>#N/A</v>
      </c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 t="e">
        <f>+VLOOKUP(AN506,Leyenda!$B$30:$E$34,3,FALSE)</f>
        <v>#N/A</v>
      </c>
      <c r="AW506" s="18" t="e">
        <f>+VLOOKUP('2. Logging Brejo Seco'!AO506,Meteorizacion,3,FALSE)</f>
        <v>#N/A</v>
      </c>
      <c r="AX506" s="18" t="e">
        <f>+VLOOKUP('2. Logging Brejo Seco'!AP506,Apertura,3,FALSE)</f>
        <v>#N/A</v>
      </c>
      <c r="AY506" s="18" t="e">
        <f>+VLOOKUP('2. Logging Brejo Seco'!AQ506,Leyenda!$B$55:$D$59,3,FALSE)</f>
        <v>#N/A</v>
      </c>
      <c r="AZ506" s="18" t="e">
        <f>+VLOOKUP('2. Logging Brejo Seco'!AR506,Relleno,3,FALSE)</f>
        <v>#N/A</v>
      </c>
      <c r="BA506" s="18" t="e">
        <f t="shared" si="165"/>
        <v>#N/A</v>
      </c>
      <c r="BB506" s="49">
        <f t="shared" si="173"/>
        <v>0</v>
      </c>
      <c r="BC506" s="49" t="e">
        <f>VLOOKUP(AH506,Leyenda!$B$4:$D$10,3,FALSE)</f>
        <v>#N/A</v>
      </c>
      <c r="BD506" s="50" t="e">
        <f t="shared" si="155"/>
        <v>#DIV/0!</v>
      </c>
      <c r="BE506" s="49" t="e">
        <f t="shared" si="159"/>
        <v>#N/A</v>
      </c>
      <c r="BF506" s="49" t="e">
        <f>VLOOKUP(AS506,Leyenda!$B$70:$D$75,3,FALSE)</f>
        <v>#N/A</v>
      </c>
      <c r="BG506" s="67" t="e">
        <f t="shared" si="174"/>
        <v>#N/A</v>
      </c>
      <c r="BH506" s="67" t="e">
        <f>VLOOKUP(AG506,Leyenda!$B$4:$E$10,4,FALSE)</f>
        <v>#N/A</v>
      </c>
      <c r="BI506" s="67" t="e">
        <f t="shared" si="156"/>
        <v>#DIV/0!</v>
      </c>
      <c r="BJ506" s="67">
        <f t="shared" si="175"/>
        <v>0</v>
      </c>
      <c r="BK506" s="67" t="e">
        <f>+VLOOKUP('2. Logging Brejo Seco'!AP506,Leyenda!$B$47:$E$51,4,FALSE)</f>
        <v>#N/A</v>
      </c>
      <c r="BL506" s="67" t="e">
        <f>+VLOOKUP('2. Logging Brejo Seco'!AQ506,Leyenda!$B$55:$E$59,4,FALSE)</f>
        <v>#N/A</v>
      </c>
      <c r="BM506" s="67" t="e">
        <f>+VLOOKUP('2. Logging Brejo Seco'!AR506,Leyenda!$B$63:$E$67,3,FALSE)</f>
        <v>#N/A</v>
      </c>
      <c r="BN506" s="67" t="e">
        <f>+VLOOKUP('2. Logging Brejo Seco'!AO506,Leyenda!$B$39:$E$43,4,FALSE)</f>
        <v>#N/A</v>
      </c>
      <c r="BO506" s="67" t="e">
        <f>+VLOOKUP('2. Logging Brejo Seco'!AN506,Leyenda!$B$30:$E$34,4,FALSE)</f>
        <v>#N/A</v>
      </c>
      <c r="BP506" s="67" t="e">
        <f>VLOOKUP(AS506,Leyenda!$B$71:$E$75,4,FALSE)</f>
        <v>#N/A</v>
      </c>
      <c r="BQ506" s="67" t="e">
        <f t="shared" si="160"/>
        <v>#N/A</v>
      </c>
      <c r="BR506" s="18" t="e">
        <f t="shared" si="161"/>
        <v>#N/A</v>
      </c>
      <c r="BS506" s="240">
        <f t="shared" si="157"/>
        <v>1</v>
      </c>
      <c r="BT506" s="18"/>
    </row>
    <row r="507" spans="1:72" x14ac:dyDescent="0.25">
      <c r="A507" s="36" t="s">
        <v>6</v>
      </c>
      <c r="B507" s="36">
        <v>2024</v>
      </c>
      <c r="C507" s="36" t="s">
        <v>140</v>
      </c>
      <c r="D507" s="36" t="s">
        <v>149</v>
      </c>
      <c r="E507" s="36"/>
      <c r="F507" s="36"/>
      <c r="G507" s="36"/>
      <c r="H507" s="248">
        <f t="shared" si="163"/>
        <v>0</v>
      </c>
      <c r="I507" s="247"/>
      <c r="J507" s="36" t="s">
        <v>150</v>
      </c>
      <c r="K507" s="31">
        <f t="shared" si="176"/>
        <v>14.7</v>
      </c>
      <c r="L507" s="31">
        <v>15</v>
      </c>
      <c r="M507" s="4">
        <f t="shared" si="162"/>
        <v>0.30000000000000071</v>
      </c>
      <c r="N507" s="18"/>
      <c r="O507" s="5">
        <f t="shared" si="177"/>
        <v>1</v>
      </c>
      <c r="P507" s="31">
        <f t="shared" si="158"/>
        <v>0</v>
      </c>
      <c r="Q507" s="18">
        <f t="shared" si="150"/>
        <v>0</v>
      </c>
      <c r="R507" s="18" t="s">
        <v>348</v>
      </c>
      <c r="S507" s="18" t="e">
        <v>#N/A</v>
      </c>
      <c r="T507" s="18"/>
      <c r="U507" s="18"/>
      <c r="V507" s="65">
        <f t="shared" si="164"/>
        <v>0</v>
      </c>
      <c r="W507" s="18"/>
      <c r="X507" s="18"/>
      <c r="Y507" s="18"/>
      <c r="Z507" s="31" t="e">
        <f t="shared" si="166"/>
        <v>#DIV/0!</v>
      </c>
      <c r="AA507" s="18"/>
      <c r="AB507" s="18"/>
      <c r="AC507" s="18"/>
      <c r="AD507" s="18"/>
      <c r="AE507" s="18" t="e">
        <v>#N/A</v>
      </c>
      <c r="AF507" s="18" t="s">
        <v>348</v>
      </c>
      <c r="AG507" s="18" t="e">
        <v>#N/A</v>
      </c>
      <c r="AH507" s="18"/>
      <c r="AI507" s="18" t="e">
        <f>+VLOOKUP(AH507,Leyenda!$O$4:$U$10,6,FALSE)</f>
        <v>#N/A</v>
      </c>
      <c r="AJ507" s="18" t="e">
        <f>+VLOOKUP(AG507,Leyenda!$O$4:$U$10,7,FALSE)</f>
        <v>#N/A</v>
      </c>
      <c r="AK507" s="18"/>
      <c r="AL507" s="18"/>
      <c r="AM507" s="18"/>
      <c r="AN507" s="18"/>
      <c r="AO507" s="18"/>
      <c r="AP507" s="18"/>
      <c r="AQ507" s="18"/>
      <c r="AR507" s="18"/>
      <c r="AS507" s="18"/>
      <c r="AT507" s="36"/>
      <c r="AU507" s="36"/>
      <c r="AV507" s="18" t="e">
        <f>+VLOOKUP(AN507,Leyenda!$B$30:$E$34,3,FALSE)</f>
        <v>#N/A</v>
      </c>
      <c r="AW507" s="36" t="e">
        <f>+VLOOKUP('2. Logging Brejo Seco'!AO507,Meteorizacion,3,FALSE)</f>
        <v>#N/A</v>
      </c>
      <c r="AX507" s="36" t="e">
        <f>+VLOOKUP('2. Logging Brejo Seco'!AP507,Apertura,3,FALSE)</f>
        <v>#N/A</v>
      </c>
      <c r="AY507" s="36" t="e">
        <f>+VLOOKUP('2. Logging Brejo Seco'!AQ507,Leyenda!$B$55:$D$59,3,FALSE)</f>
        <v>#N/A</v>
      </c>
      <c r="AZ507" s="36" t="e">
        <f>+VLOOKUP('2. Logging Brejo Seco'!AR507,Relleno,3,FALSE)</f>
        <v>#N/A</v>
      </c>
      <c r="BA507" s="36" t="e">
        <f t="shared" si="165"/>
        <v>#N/A</v>
      </c>
      <c r="BB507" s="49">
        <f t="shared" si="173"/>
        <v>0</v>
      </c>
      <c r="BC507" s="49" t="e">
        <f>VLOOKUP(AH507,Leyenda!$B$4:$D$10,3,FALSE)</f>
        <v>#N/A</v>
      </c>
      <c r="BD507" s="50" t="e">
        <f t="shared" si="155"/>
        <v>#DIV/0!</v>
      </c>
      <c r="BE507" s="49" t="e">
        <f t="shared" si="159"/>
        <v>#N/A</v>
      </c>
      <c r="BF507" s="49" t="e">
        <f>VLOOKUP(AS507,Leyenda!$B$70:$D$75,3,FALSE)</f>
        <v>#N/A</v>
      </c>
      <c r="BG507" s="67" t="e">
        <f t="shared" si="174"/>
        <v>#N/A</v>
      </c>
      <c r="BH507" s="67" t="e">
        <f>VLOOKUP(AG507,Leyenda!$B$4:$E$10,4,FALSE)</f>
        <v>#N/A</v>
      </c>
      <c r="BI507" s="67" t="e">
        <f t="shared" si="156"/>
        <v>#DIV/0!</v>
      </c>
      <c r="BJ507" s="67">
        <f t="shared" si="175"/>
        <v>0</v>
      </c>
      <c r="BK507" s="67" t="e">
        <f>+VLOOKUP('2. Logging Brejo Seco'!AP507,Leyenda!$B$47:$E$51,4,FALSE)</f>
        <v>#N/A</v>
      </c>
      <c r="BL507" s="67" t="e">
        <f>+VLOOKUP('2. Logging Brejo Seco'!AQ507,Leyenda!$B$55:$E$59,4,FALSE)</f>
        <v>#N/A</v>
      </c>
      <c r="BM507" s="67" t="e">
        <f>+VLOOKUP('2. Logging Brejo Seco'!AR507,Leyenda!$B$63:$E$67,3,FALSE)</f>
        <v>#N/A</v>
      </c>
      <c r="BN507" s="67" t="e">
        <f>+VLOOKUP('2. Logging Brejo Seco'!AO507,Leyenda!$B$39:$E$43,4,FALSE)</f>
        <v>#N/A</v>
      </c>
      <c r="BO507" s="67" t="e">
        <f>+VLOOKUP('2. Logging Brejo Seco'!AN507,Leyenda!$B$30:$E$34,4,FALSE)</f>
        <v>#N/A</v>
      </c>
      <c r="BP507" s="67" t="e">
        <f>VLOOKUP(AS507,Leyenda!$B$71:$E$75,4,FALSE)</f>
        <v>#N/A</v>
      </c>
      <c r="BQ507" s="67" t="e">
        <f t="shared" si="160"/>
        <v>#N/A</v>
      </c>
      <c r="BR507" s="18" t="e">
        <f t="shared" si="161"/>
        <v>#N/A</v>
      </c>
      <c r="BS507" s="240">
        <f t="shared" si="157"/>
        <v>1</v>
      </c>
      <c r="BT507" s="18"/>
    </row>
    <row r="508" spans="1:72" x14ac:dyDescent="0.25">
      <c r="A508" s="18" t="s">
        <v>6</v>
      </c>
      <c r="B508" s="18">
        <v>2024</v>
      </c>
      <c r="C508" s="18" t="s">
        <v>138</v>
      </c>
      <c r="D508" s="18" t="s">
        <v>266</v>
      </c>
      <c r="E508" s="18">
        <v>60</v>
      </c>
      <c r="F508" s="18">
        <v>60</v>
      </c>
      <c r="G508" s="18" t="s">
        <v>136</v>
      </c>
      <c r="H508" s="248">
        <f t="shared" si="163"/>
        <v>60</v>
      </c>
      <c r="I508" s="135"/>
      <c r="J508" s="18" t="s">
        <v>297</v>
      </c>
      <c r="K508" s="18">
        <v>0</v>
      </c>
      <c r="L508" s="31">
        <v>0.5</v>
      </c>
      <c r="M508" s="4">
        <f t="shared" si="162"/>
        <v>0.5</v>
      </c>
      <c r="N508" s="32">
        <v>1</v>
      </c>
      <c r="O508" s="5">
        <f t="shared" si="177"/>
        <v>0</v>
      </c>
      <c r="P508" s="31">
        <f t="shared" si="158"/>
        <v>0.5</v>
      </c>
      <c r="Q508" s="18">
        <f t="shared" si="150"/>
        <v>0.5</v>
      </c>
      <c r="R508" s="18">
        <v>25</v>
      </c>
      <c r="S508" s="18">
        <v>20</v>
      </c>
      <c r="T508" s="18">
        <v>0.5</v>
      </c>
      <c r="U508" s="18">
        <v>0.17</v>
      </c>
      <c r="V508" s="65">
        <f t="shared" si="164"/>
        <v>34</v>
      </c>
      <c r="W508" s="18">
        <v>4</v>
      </c>
      <c r="X508" s="18"/>
      <c r="Y508" s="18">
        <f>+W508+X508</f>
        <v>4</v>
      </c>
      <c r="Z508" s="31">
        <f t="shared" si="166"/>
        <v>125</v>
      </c>
      <c r="AA508" s="18">
        <v>0</v>
      </c>
      <c r="AB508" s="18" t="s">
        <v>330</v>
      </c>
      <c r="AC508" s="18" t="s">
        <v>333</v>
      </c>
      <c r="AD508" s="18" t="s">
        <v>335</v>
      </c>
      <c r="AE508" s="18">
        <v>20</v>
      </c>
      <c r="AF508" s="18">
        <v>25</v>
      </c>
      <c r="AG508" s="18" t="s">
        <v>34</v>
      </c>
      <c r="AH508" s="18" t="s">
        <v>34</v>
      </c>
      <c r="AI508" s="18">
        <f>+VLOOKUP(AH508,Leyenda!$O$4:$U$10,6,FALSE)</f>
        <v>0</v>
      </c>
      <c r="AJ508" s="18" t="str">
        <f>+VLOOKUP(AG508,Leyenda!$O$4:$U$10,7,FALSE)</f>
        <v>No Blasting need</v>
      </c>
      <c r="AK508" s="18">
        <f>+VLOOKUP(AJ508,Leyenda!$U$4:$V$10,2,FALSE)</f>
        <v>2</v>
      </c>
      <c r="AL508" s="18" t="s">
        <v>199</v>
      </c>
      <c r="AM508" s="18" t="s">
        <v>199</v>
      </c>
      <c r="AN508" s="18" t="s">
        <v>69</v>
      </c>
      <c r="AO508" s="18" t="s">
        <v>81</v>
      </c>
      <c r="AP508" s="18" t="s">
        <v>100</v>
      </c>
      <c r="AQ508" s="18" t="s">
        <v>109</v>
      </c>
      <c r="AR508" s="18" t="s">
        <v>120</v>
      </c>
      <c r="AS508" s="18" t="s">
        <v>267</v>
      </c>
      <c r="AT508" s="18"/>
      <c r="AU508" s="18"/>
      <c r="AV508" s="18">
        <f>+VLOOKUP(AN508,Leyenda!$B$30:$E$34,3,FALSE)</f>
        <v>0</v>
      </c>
      <c r="AW508" s="36">
        <f>+VLOOKUP('2. Logging Brejo Seco'!AO508,Meteorizacion,3,FALSE)</f>
        <v>0</v>
      </c>
      <c r="AX508" s="36">
        <f>+VLOOKUP('2. Logging Brejo Seco'!AP508,Apertura,3,FALSE)</f>
        <v>0</v>
      </c>
      <c r="AY508" s="36">
        <f>+VLOOKUP('2. Logging Brejo Seco'!AQ508,Leyenda!$B$55:$D$59,3,FALSE)</f>
        <v>1</v>
      </c>
      <c r="AZ508" s="36">
        <f>+VLOOKUP('2. Logging Brejo Seco'!AR508,Relleno,3,FALSE)</f>
        <v>2</v>
      </c>
      <c r="BA508" s="36">
        <f t="shared" si="165"/>
        <v>3</v>
      </c>
      <c r="BB508" s="49">
        <f t="shared" si="173"/>
        <v>7</v>
      </c>
      <c r="BC508" s="49">
        <f>VLOOKUP(AH508,Leyenda!$B$4:$D$10,3,FALSE)</f>
        <v>0</v>
      </c>
      <c r="BD508" s="50">
        <f t="shared" si="155"/>
        <v>8</v>
      </c>
      <c r="BE508" s="49">
        <f t="shared" si="159"/>
        <v>3</v>
      </c>
      <c r="BF508" s="49">
        <f>VLOOKUP(AS508,Leyenda!$B$70:$D$75,3,FALSE)</f>
        <v>15</v>
      </c>
      <c r="BG508" s="67">
        <f t="shared" si="174"/>
        <v>21.5</v>
      </c>
      <c r="BH508" s="67">
        <f>VLOOKUP(AG508,Leyenda!$B$4:$E$10,4,FALSE)</f>
        <v>0</v>
      </c>
      <c r="BI508" s="67">
        <f t="shared" si="156"/>
        <v>10</v>
      </c>
      <c r="BJ508" s="67">
        <f t="shared" si="175"/>
        <v>7</v>
      </c>
      <c r="BK508" s="67">
        <f>+VLOOKUP('2. Logging Brejo Seco'!AP508,Leyenda!$B$47:$E$51,4,FALSE)</f>
        <v>0</v>
      </c>
      <c r="BL508" s="67">
        <f>+VLOOKUP('2. Logging Brejo Seco'!AQ508,Leyenda!$B$55:$E$59,4,FALSE)</f>
        <v>1</v>
      </c>
      <c r="BM508" s="67">
        <f>+VLOOKUP('2. Logging Brejo Seco'!AR508,Leyenda!$B$63:$E$67,3,FALSE)</f>
        <v>2</v>
      </c>
      <c r="BN508" s="67">
        <f>+VLOOKUP('2. Logging Brejo Seco'!AO508,Leyenda!$B$39:$E$43,4,FALSE)</f>
        <v>0</v>
      </c>
      <c r="BO508" s="67">
        <f>+VLOOKUP('2. Logging Brejo Seco'!AN508,Leyenda!$B$30:$E$34,4,FALSE)</f>
        <v>0</v>
      </c>
      <c r="BP508" s="67">
        <f>VLOOKUP(AS508,Leyenda!$B$71:$E$75,4,FALSE)</f>
        <v>10</v>
      </c>
      <c r="BQ508" s="125">
        <f t="shared" si="160"/>
        <v>30</v>
      </c>
      <c r="BR508" s="85">
        <f t="shared" si="161"/>
        <v>33</v>
      </c>
      <c r="BS508" s="240">
        <f t="shared" si="157"/>
        <v>0</v>
      </c>
      <c r="BT508" s="18"/>
    </row>
    <row r="509" spans="1:72" x14ac:dyDescent="0.25">
      <c r="A509" s="18" t="s">
        <v>6</v>
      </c>
      <c r="B509" s="18">
        <v>2024</v>
      </c>
      <c r="C509" s="18" t="s">
        <v>138</v>
      </c>
      <c r="D509" s="18" t="s">
        <v>266</v>
      </c>
      <c r="E509" s="18">
        <v>60</v>
      </c>
      <c r="F509" s="18">
        <v>60</v>
      </c>
      <c r="G509" s="18" t="s">
        <v>136</v>
      </c>
      <c r="H509" s="248">
        <f t="shared" si="163"/>
        <v>60</v>
      </c>
      <c r="I509" s="135"/>
      <c r="J509" s="18" t="s">
        <v>297</v>
      </c>
      <c r="K509" s="31">
        <f>+L508</f>
        <v>0.5</v>
      </c>
      <c r="L509" s="31">
        <v>1</v>
      </c>
      <c r="M509" s="4">
        <f t="shared" si="162"/>
        <v>0.5</v>
      </c>
      <c r="N509" s="32">
        <v>0.76</v>
      </c>
      <c r="O509" s="5">
        <f t="shared" si="177"/>
        <v>0.24</v>
      </c>
      <c r="P509" s="31">
        <f t="shared" si="158"/>
        <v>0.38</v>
      </c>
      <c r="Q509" s="18">
        <f t="shared" si="150"/>
        <v>0.38</v>
      </c>
      <c r="R509" s="18">
        <v>19</v>
      </c>
      <c r="S509" s="18">
        <v>20</v>
      </c>
      <c r="T509" s="18">
        <v>0.38</v>
      </c>
      <c r="U509" s="18">
        <v>0</v>
      </c>
      <c r="V509" s="65">
        <f t="shared" si="164"/>
        <v>0</v>
      </c>
      <c r="W509" s="18">
        <v>7</v>
      </c>
      <c r="X509" s="18"/>
      <c r="Y509" s="18">
        <f t="shared" ref="Y509:Y585" si="178">+W509+X509</f>
        <v>7</v>
      </c>
      <c r="Z509" s="31">
        <f t="shared" si="166"/>
        <v>71.428571428571431</v>
      </c>
      <c r="AA509" s="18">
        <v>0</v>
      </c>
      <c r="AB509" s="18" t="s">
        <v>330</v>
      </c>
      <c r="AC509" s="18" t="s">
        <v>333</v>
      </c>
      <c r="AD509" s="18" t="s">
        <v>335</v>
      </c>
      <c r="AE509" s="18">
        <v>20</v>
      </c>
      <c r="AF509" s="18">
        <v>19</v>
      </c>
      <c r="AG509" s="18" t="s">
        <v>34</v>
      </c>
      <c r="AH509" s="18" t="s">
        <v>34</v>
      </c>
      <c r="AI509" s="18">
        <f>+VLOOKUP(AH509,Leyenda!$O$4:$U$10,6,FALSE)</f>
        <v>0</v>
      </c>
      <c r="AJ509" s="18" t="str">
        <f>+VLOOKUP(AG509,Leyenda!$O$4:$U$10,7,FALSE)</f>
        <v>No Blasting need</v>
      </c>
      <c r="AK509" s="18">
        <f>+VLOOKUP(AJ509,Leyenda!$U$4:$V$10,2,FALSE)</f>
        <v>2</v>
      </c>
      <c r="AL509" s="18" t="s">
        <v>199</v>
      </c>
      <c r="AM509" s="18" t="s">
        <v>199</v>
      </c>
      <c r="AN509" s="18" t="s">
        <v>69</v>
      </c>
      <c r="AO509" s="18" t="s">
        <v>81</v>
      </c>
      <c r="AP509" s="18" t="s">
        <v>100</v>
      </c>
      <c r="AQ509" s="18" t="s">
        <v>109</v>
      </c>
      <c r="AR509" s="18" t="s">
        <v>120</v>
      </c>
      <c r="AS509" s="18" t="s">
        <v>267</v>
      </c>
      <c r="AT509" s="18" t="s">
        <v>268</v>
      </c>
      <c r="AU509" s="18"/>
      <c r="AV509" s="18">
        <f>+VLOOKUP(AN509,Leyenda!$B$30:$E$34,3,FALSE)</f>
        <v>0</v>
      </c>
      <c r="AW509" s="36">
        <f>+VLOOKUP('2. Logging Brejo Seco'!AO509,Meteorizacion,3,FALSE)</f>
        <v>0</v>
      </c>
      <c r="AX509" s="36">
        <f>+VLOOKUP('2. Logging Brejo Seco'!AP509,Apertura,3,FALSE)</f>
        <v>0</v>
      </c>
      <c r="AY509" s="36">
        <f>+VLOOKUP('2. Logging Brejo Seco'!AQ509,Leyenda!$B$55:$D$59,3,FALSE)</f>
        <v>1</v>
      </c>
      <c r="AZ509" s="36">
        <f>+VLOOKUP('2. Logging Brejo Seco'!AR509,Relleno,3,FALSE)</f>
        <v>2</v>
      </c>
      <c r="BA509" s="36">
        <f t="shared" si="165"/>
        <v>3</v>
      </c>
      <c r="BB509" s="49">
        <f t="shared" si="173"/>
        <v>0</v>
      </c>
      <c r="BC509" s="49">
        <f>VLOOKUP(AH509,Leyenda!$B$4:$D$10,3,FALSE)</f>
        <v>0</v>
      </c>
      <c r="BD509" s="50">
        <f t="shared" si="155"/>
        <v>6</v>
      </c>
      <c r="BE509" s="49">
        <f t="shared" si="159"/>
        <v>3</v>
      </c>
      <c r="BF509" s="49">
        <f>VLOOKUP(AS509,Leyenda!$B$70:$D$75,3,FALSE)</f>
        <v>15</v>
      </c>
      <c r="BG509" s="67">
        <f t="shared" si="174"/>
        <v>4.5</v>
      </c>
      <c r="BH509" s="67">
        <f>VLOOKUP(AG509,Leyenda!$B$4:$E$10,4,FALSE)</f>
        <v>0</v>
      </c>
      <c r="BI509" s="67">
        <f t="shared" si="156"/>
        <v>6</v>
      </c>
      <c r="BJ509" s="67">
        <f t="shared" si="175"/>
        <v>0</v>
      </c>
      <c r="BK509" s="67">
        <f>+VLOOKUP('2. Logging Brejo Seco'!AP509,Leyenda!$B$47:$E$51,4,FALSE)</f>
        <v>0</v>
      </c>
      <c r="BL509" s="67">
        <f>+VLOOKUP('2. Logging Brejo Seco'!AQ509,Leyenda!$B$55:$E$59,4,FALSE)</f>
        <v>1</v>
      </c>
      <c r="BM509" s="67">
        <f>+VLOOKUP('2. Logging Brejo Seco'!AR509,Leyenda!$B$63:$E$67,3,FALSE)</f>
        <v>2</v>
      </c>
      <c r="BN509" s="67">
        <f>+VLOOKUP('2. Logging Brejo Seco'!AO509,Leyenda!$B$39:$E$43,4,FALSE)</f>
        <v>0</v>
      </c>
      <c r="BO509" s="67">
        <f>+VLOOKUP('2. Logging Brejo Seco'!AN509,Leyenda!$B$30:$E$34,4,FALSE)</f>
        <v>0</v>
      </c>
      <c r="BP509" s="67">
        <f>VLOOKUP(AS509,Leyenda!$B$71:$E$75,4,FALSE)</f>
        <v>10</v>
      </c>
      <c r="BQ509" s="125">
        <f t="shared" si="160"/>
        <v>19</v>
      </c>
      <c r="BR509" s="85">
        <f t="shared" si="161"/>
        <v>24</v>
      </c>
      <c r="BS509" s="240">
        <f t="shared" si="157"/>
        <v>0.24</v>
      </c>
      <c r="BT509" s="18"/>
    </row>
    <row r="510" spans="1:72" x14ac:dyDescent="0.25">
      <c r="A510" s="18" t="s">
        <v>6</v>
      </c>
      <c r="B510" s="18">
        <v>2024</v>
      </c>
      <c r="C510" s="18" t="s">
        <v>138</v>
      </c>
      <c r="D510" s="18" t="s">
        <v>266</v>
      </c>
      <c r="E510" s="18">
        <v>60</v>
      </c>
      <c r="F510" s="18">
        <v>60</v>
      </c>
      <c r="G510" s="18" t="s">
        <v>136</v>
      </c>
      <c r="H510" s="248">
        <f t="shared" si="163"/>
        <v>60</v>
      </c>
      <c r="I510" s="135"/>
      <c r="J510" s="18" t="s">
        <v>297</v>
      </c>
      <c r="K510" s="31">
        <f>+L509</f>
        <v>1</v>
      </c>
      <c r="L510" s="31">
        <f>+K510+0.5</f>
        <v>1.5</v>
      </c>
      <c r="M510" s="4">
        <f t="shared" si="162"/>
        <v>0.5</v>
      </c>
      <c r="N510" s="32">
        <v>0.24</v>
      </c>
      <c r="O510" s="5">
        <f t="shared" si="177"/>
        <v>0.76</v>
      </c>
      <c r="P510" s="31">
        <f t="shared" si="158"/>
        <v>0.12</v>
      </c>
      <c r="Q510" s="18">
        <f t="shared" si="150"/>
        <v>0.12</v>
      </c>
      <c r="R510" s="18">
        <v>6</v>
      </c>
      <c r="S510" s="18">
        <v>20</v>
      </c>
      <c r="T510" s="18">
        <v>0.12</v>
      </c>
      <c r="U510" s="18">
        <v>0</v>
      </c>
      <c r="V510" s="94">
        <f t="shared" si="164"/>
        <v>0</v>
      </c>
      <c r="W510" s="18">
        <v>5</v>
      </c>
      <c r="X510" s="18"/>
      <c r="Y510" s="18">
        <f t="shared" si="178"/>
        <v>5</v>
      </c>
      <c r="Z510" s="31">
        <f t="shared" si="166"/>
        <v>100</v>
      </c>
      <c r="AA510" s="18">
        <v>0</v>
      </c>
      <c r="AB510" s="18" t="s">
        <v>330</v>
      </c>
      <c r="AC510" s="18" t="s">
        <v>333</v>
      </c>
      <c r="AD510" s="18" t="s">
        <v>335</v>
      </c>
      <c r="AE510" s="18">
        <v>20</v>
      </c>
      <c r="AF510" s="18">
        <v>6</v>
      </c>
      <c r="AG510" s="18" t="s">
        <v>34</v>
      </c>
      <c r="AH510" s="18" t="s">
        <v>34</v>
      </c>
      <c r="AI510" s="18">
        <f>+VLOOKUP(AH510,Leyenda!$O$4:$U$10,6,FALSE)</f>
        <v>0</v>
      </c>
      <c r="AJ510" s="18" t="str">
        <f>+VLOOKUP(AG510,Leyenda!$O$4:$U$10,7,FALSE)</f>
        <v>No Blasting need</v>
      </c>
      <c r="AK510" s="18">
        <f>+VLOOKUP(AJ510,Leyenda!$U$4:$V$10,2,FALSE)</f>
        <v>2</v>
      </c>
      <c r="AL510" s="18" t="s">
        <v>199</v>
      </c>
      <c r="AM510" s="18" t="s">
        <v>199</v>
      </c>
      <c r="AN510" s="18" t="s">
        <v>69</v>
      </c>
      <c r="AO510" s="18" t="s">
        <v>81</v>
      </c>
      <c r="AP510" s="18" t="s">
        <v>100</v>
      </c>
      <c r="AQ510" s="18" t="s">
        <v>109</v>
      </c>
      <c r="AR510" s="18" t="s">
        <v>120</v>
      </c>
      <c r="AS510" s="18" t="s">
        <v>267</v>
      </c>
      <c r="AT510" s="18" t="s">
        <v>268</v>
      </c>
      <c r="AU510" s="18"/>
      <c r="AV510" s="18">
        <f>+VLOOKUP(AN510,Leyenda!$B$30:$E$34,3,FALSE)</f>
        <v>0</v>
      </c>
      <c r="AW510" s="36">
        <f>+VLOOKUP('2. Logging Brejo Seco'!AO510,Meteorizacion,3,FALSE)</f>
        <v>0</v>
      </c>
      <c r="AX510" s="36">
        <f>+VLOOKUP('2. Logging Brejo Seco'!AP510,Apertura,3,FALSE)</f>
        <v>0</v>
      </c>
      <c r="AY510" s="36">
        <f>+VLOOKUP('2. Logging Brejo Seco'!AQ510,Leyenda!$B$55:$D$59,3,FALSE)</f>
        <v>1</v>
      </c>
      <c r="AZ510" s="36">
        <f>+VLOOKUP('2. Logging Brejo Seco'!AR510,Relleno,3,FALSE)</f>
        <v>2</v>
      </c>
      <c r="BA510" s="36">
        <f t="shared" si="165"/>
        <v>3</v>
      </c>
      <c r="BB510" s="49">
        <f t="shared" si="173"/>
        <v>0</v>
      </c>
      <c r="BC510" s="49">
        <f>VLOOKUP(AH510,Leyenda!$B$4:$D$10,3,FALSE)</f>
        <v>0</v>
      </c>
      <c r="BD510" s="50">
        <f t="shared" si="155"/>
        <v>7</v>
      </c>
      <c r="BE510" s="18">
        <f t="shared" si="159"/>
        <v>3</v>
      </c>
      <c r="BF510" s="18">
        <f>VLOOKUP(AS510,Leyenda!$B$70:$D$75,3,FALSE)</f>
        <v>15</v>
      </c>
      <c r="BG510" s="4">
        <f t="shared" si="174"/>
        <v>4.5</v>
      </c>
      <c r="BH510" s="67">
        <f>VLOOKUP(AG510,Leyenda!$B$4:$E$10,4,FALSE)</f>
        <v>0</v>
      </c>
      <c r="BI510" s="67">
        <f t="shared" si="156"/>
        <v>8</v>
      </c>
      <c r="BJ510" s="67">
        <f t="shared" si="175"/>
        <v>0</v>
      </c>
      <c r="BK510" s="67">
        <f>+VLOOKUP('2. Logging Brejo Seco'!AP510,Leyenda!$B$47:$E$51,4,FALSE)</f>
        <v>0</v>
      </c>
      <c r="BL510" s="67">
        <f>+VLOOKUP('2. Logging Brejo Seco'!AQ510,Leyenda!$B$55:$E$59,4,FALSE)</f>
        <v>1</v>
      </c>
      <c r="BM510" s="67">
        <f>+VLOOKUP('2. Logging Brejo Seco'!AR510,Leyenda!$B$63:$E$67,3,FALSE)</f>
        <v>2</v>
      </c>
      <c r="BN510" s="67">
        <f>+VLOOKUP('2. Logging Brejo Seco'!AO510,Leyenda!$B$39:$E$43,4,FALSE)</f>
        <v>0</v>
      </c>
      <c r="BO510" s="67">
        <f>+VLOOKUP('2. Logging Brejo Seco'!AN510,Leyenda!$B$30:$E$34,4,FALSE)</f>
        <v>0</v>
      </c>
      <c r="BP510" s="67">
        <f>VLOOKUP(AS510,Leyenda!$B$71:$E$75,4,FALSE)</f>
        <v>10</v>
      </c>
      <c r="BQ510" s="125">
        <f t="shared" si="160"/>
        <v>21</v>
      </c>
      <c r="BR510" s="85">
        <f t="shared" si="161"/>
        <v>25</v>
      </c>
      <c r="BS510" s="240">
        <f t="shared" si="157"/>
        <v>0.76</v>
      </c>
      <c r="BT510" s="18"/>
    </row>
    <row r="511" spans="1:72" x14ac:dyDescent="0.25">
      <c r="A511" s="18" t="s">
        <v>6</v>
      </c>
      <c r="B511" s="18">
        <v>2024</v>
      </c>
      <c r="C511" s="18" t="s">
        <v>138</v>
      </c>
      <c r="D511" s="18" t="s">
        <v>266</v>
      </c>
      <c r="E511" s="18">
        <v>60</v>
      </c>
      <c r="F511" s="18">
        <v>60</v>
      </c>
      <c r="G511" s="18" t="s">
        <v>136</v>
      </c>
      <c r="H511" s="248">
        <f t="shared" si="163"/>
        <v>60</v>
      </c>
      <c r="I511" s="135"/>
      <c r="J511" s="18" t="s">
        <v>297</v>
      </c>
      <c r="K511" s="31">
        <f t="shared" ref="K511:K574" si="179">+L510</f>
        <v>1.5</v>
      </c>
      <c r="L511" s="31">
        <f t="shared" ref="L511:L574" si="180">+K511+0.5</f>
        <v>2</v>
      </c>
      <c r="M511" s="4">
        <f t="shared" si="162"/>
        <v>0.5</v>
      </c>
      <c r="N511" s="32">
        <v>0.2</v>
      </c>
      <c r="O511" s="5">
        <f t="shared" si="177"/>
        <v>0.8</v>
      </c>
      <c r="P511" s="31">
        <f t="shared" si="158"/>
        <v>0.1</v>
      </c>
      <c r="Q511" s="18">
        <f t="shared" si="150"/>
        <v>0.1</v>
      </c>
      <c r="R511" s="18">
        <v>5</v>
      </c>
      <c r="S511" s="18">
        <v>20</v>
      </c>
      <c r="T511" s="18">
        <v>0.12</v>
      </c>
      <c r="U511" s="18">
        <v>0</v>
      </c>
      <c r="V511" s="94">
        <f t="shared" si="164"/>
        <v>0</v>
      </c>
      <c r="W511" s="18">
        <v>5</v>
      </c>
      <c r="X511" s="18"/>
      <c r="Y511" s="18">
        <f t="shared" si="178"/>
        <v>5</v>
      </c>
      <c r="Z511" s="31">
        <f t="shared" si="166"/>
        <v>100</v>
      </c>
      <c r="AA511" s="18">
        <v>0</v>
      </c>
      <c r="AB511" s="18" t="s">
        <v>330</v>
      </c>
      <c r="AC511" s="18" t="s">
        <v>333</v>
      </c>
      <c r="AD511" s="18" t="s">
        <v>335</v>
      </c>
      <c r="AE511" s="18">
        <v>20</v>
      </c>
      <c r="AF511" s="18">
        <v>5</v>
      </c>
      <c r="AG511" s="18" t="s">
        <v>34</v>
      </c>
      <c r="AH511" s="18" t="s">
        <v>34</v>
      </c>
      <c r="AI511" s="18">
        <f>+VLOOKUP(AH511,Leyenda!$O$4:$U$10,6,FALSE)</f>
        <v>0</v>
      </c>
      <c r="AJ511" s="18" t="str">
        <f>+VLOOKUP(AG511,Leyenda!$O$4:$U$10,7,FALSE)</f>
        <v>No Blasting need</v>
      </c>
      <c r="AK511" s="18">
        <f>+VLOOKUP(AJ511,Leyenda!$U$4:$V$10,2,FALSE)</f>
        <v>2</v>
      </c>
      <c r="AL511" s="18" t="s">
        <v>239</v>
      </c>
      <c r="AM511" s="18" t="s">
        <v>239</v>
      </c>
      <c r="AN511" s="18" t="s">
        <v>69</v>
      </c>
      <c r="AO511" s="18" t="s">
        <v>81</v>
      </c>
      <c r="AP511" s="18" t="s">
        <v>100</v>
      </c>
      <c r="AQ511" s="18" t="s">
        <v>109</v>
      </c>
      <c r="AR511" s="18" t="s">
        <v>122</v>
      </c>
      <c r="AS511" s="18" t="s">
        <v>267</v>
      </c>
      <c r="AT511" s="18"/>
      <c r="AU511" s="18"/>
      <c r="AV511" s="18">
        <f>+VLOOKUP(AN511,Leyenda!$B$30:$E$34,3,FALSE)</f>
        <v>0</v>
      </c>
      <c r="AW511" s="36">
        <f>+VLOOKUP('2. Logging Brejo Seco'!AO511,Meteorizacion,3,FALSE)</f>
        <v>0</v>
      </c>
      <c r="AX511" s="36">
        <f>+VLOOKUP('2. Logging Brejo Seco'!AP511,Apertura,3,FALSE)</f>
        <v>0</v>
      </c>
      <c r="AY511" s="36">
        <f>+VLOOKUP('2. Logging Brejo Seco'!AQ511,Leyenda!$B$55:$D$59,3,FALSE)</f>
        <v>1</v>
      </c>
      <c r="AZ511" s="36">
        <f>+VLOOKUP('2. Logging Brejo Seco'!AR511,Relleno,3,FALSE)</f>
        <v>0</v>
      </c>
      <c r="BA511" s="36">
        <f t="shared" si="165"/>
        <v>1</v>
      </c>
      <c r="BB511" s="49">
        <f t="shared" si="173"/>
        <v>0</v>
      </c>
      <c r="BC511" s="49">
        <f>VLOOKUP(AH511,Leyenda!$B$4:$D$10,3,FALSE)</f>
        <v>0</v>
      </c>
      <c r="BD511" s="50">
        <f t="shared" si="155"/>
        <v>7</v>
      </c>
      <c r="BE511" s="18">
        <f t="shared" si="159"/>
        <v>1</v>
      </c>
      <c r="BF511" s="18">
        <f>VLOOKUP(AS511,Leyenda!$B$70:$D$75,3,FALSE)</f>
        <v>15</v>
      </c>
      <c r="BG511" s="4">
        <f t="shared" si="174"/>
        <v>1.5</v>
      </c>
      <c r="BH511" s="67">
        <f>VLOOKUP(AG511,Leyenda!$B$4:$E$10,4,FALSE)</f>
        <v>0</v>
      </c>
      <c r="BI511" s="67">
        <f t="shared" si="156"/>
        <v>8</v>
      </c>
      <c r="BJ511" s="67">
        <f t="shared" si="175"/>
        <v>0</v>
      </c>
      <c r="BK511" s="67">
        <f>+VLOOKUP('2. Logging Brejo Seco'!AP511,Leyenda!$B$47:$E$51,4,FALSE)</f>
        <v>0</v>
      </c>
      <c r="BL511" s="67">
        <f>+VLOOKUP('2. Logging Brejo Seco'!AQ511,Leyenda!$B$55:$E$59,4,FALSE)</f>
        <v>1</v>
      </c>
      <c r="BM511" s="67">
        <f>+VLOOKUP('2. Logging Brejo Seco'!AR511,Leyenda!$B$63:$E$67,3,FALSE)</f>
        <v>0</v>
      </c>
      <c r="BN511" s="67">
        <f>+VLOOKUP('2. Logging Brejo Seco'!AO511,Leyenda!$B$39:$E$43,4,FALSE)</f>
        <v>0</v>
      </c>
      <c r="BO511" s="67">
        <f>+VLOOKUP('2. Logging Brejo Seco'!AN511,Leyenda!$B$30:$E$34,4,FALSE)</f>
        <v>0</v>
      </c>
      <c r="BP511" s="67">
        <f>VLOOKUP(AS511,Leyenda!$B$71:$E$75,4,FALSE)</f>
        <v>10</v>
      </c>
      <c r="BQ511" s="125">
        <f t="shared" si="160"/>
        <v>19</v>
      </c>
      <c r="BR511" s="85">
        <f t="shared" si="161"/>
        <v>23</v>
      </c>
      <c r="BS511" s="240">
        <f t="shared" si="157"/>
        <v>0.8</v>
      </c>
      <c r="BT511" s="18"/>
    </row>
    <row r="512" spans="1:72" x14ac:dyDescent="0.25">
      <c r="A512" s="18" t="s">
        <v>6</v>
      </c>
      <c r="B512" s="18">
        <v>2024</v>
      </c>
      <c r="C512" s="18" t="s">
        <v>138</v>
      </c>
      <c r="D512" s="18" t="s">
        <v>266</v>
      </c>
      <c r="E512" s="18">
        <v>40</v>
      </c>
      <c r="F512" s="18">
        <v>40</v>
      </c>
      <c r="G512" s="18" t="s">
        <v>153</v>
      </c>
      <c r="H512" s="248">
        <f t="shared" si="163"/>
        <v>40</v>
      </c>
      <c r="I512" s="135"/>
      <c r="J512" s="18" t="s">
        <v>297</v>
      </c>
      <c r="K512" s="31">
        <f t="shared" si="179"/>
        <v>2</v>
      </c>
      <c r="L512" s="31">
        <f t="shared" si="180"/>
        <v>2.5</v>
      </c>
      <c r="M512" s="4">
        <f t="shared" si="162"/>
        <v>0.5</v>
      </c>
      <c r="N512" s="32">
        <v>0.38</v>
      </c>
      <c r="O512" s="5">
        <f t="shared" si="177"/>
        <v>0.62</v>
      </c>
      <c r="P512" s="31">
        <f t="shared" si="158"/>
        <v>0.19</v>
      </c>
      <c r="Q512" s="18">
        <f t="shared" si="150"/>
        <v>0.19</v>
      </c>
      <c r="R512" s="18">
        <v>9.5</v>
      </c>
      <c r="S512" s="18">
        <v>20</v>
      </c>
      <c r="T512" s="18">
        <v>0.18</v>
      </c>
      <c r="U512" s="18">
        <v>0</v>
      </c>
      <c r="V512" s="94">
        <f t="shared" si="164"/>
        <v>0</v>
      </c>
      <c r="W512" s="18">
        <v>10</v>
      </c>
      <c r="X512" s="18"/>
      <c r="Y512" s="18">
        <f t="shared" si="178"/>
        <v>10</v>
      </c>
      <c r="Z512" s="31">
        <f t="shared" si="166"/>
        <v>50</v>
      </c>
      <c r="AA512" s="18">
        <v>0</v>
      </c>
      <c r="AB512" s="18" t="s">
        <v>330</v>
      </c>
      <c r="AC512" s="18" t="s">
        <v>333</v>
      </c>
      <c r="AD512" s="18" t="s">
        <v>335</v>
      </c>
      <c r="AE512" s="18">
        <v>20</v>
      </c>
      <c r="AF512" s="18">
        <v>9.5</v>
      </c>
      <c r="AG512" s="18" t="s">
        <v>24</v>
      </c>
      <c r="AH512" s="18" t="s">
        <v>24</v>
      </c>
      <c r="AI512" s="18" t="str">
        <f>+VLOOKUP(AH512,Leyenda!$O$4:$U$10,6,FALSE)</f>
        <v>0,50-0,80</v>
      </c>
      <c r="AJ512" s="18" t="str">
        <f>+VLOOKUP(AG512,Leyenda!$O$4:$U$10,7,FALSE)</f>
        <v>Fairly easy to blast</v>
      </c>
      <c r="AK512" s="18">
        <f>+VLOOKUP(AJ512,Leyenda!$U$4:$V$10,2,FALSE)</f>
        <v>4</v>
      </c>
      <c r="AL512" s="18" t="s">
        <v>27</v>
      </c>
      <c r="AM512" s="18" t="s">
        <v>27</v>
      </c>
      <c r="AN512" s="18" t="s">
        <v>66</v>
      </c>
      <c r="AO512" s="18" t="s">
        <v>81</v>
      </c>
      <c r="AP512" s="18" t="s">
        <v>100</v>
      </c>
      <c r="AQ512" s="18" t="s">
        <v>109</v>
      </c>
      <c r="AR512" s="18" t="s">
        <v>120</v>
      </c>
      <c r="AS512" s="18" t="s">
        <v>267</v>
      </c>
      <c r="AT512" s="18"/>
      <c r="AU512" s="18"/>
      <c r="AV512" s="18">
        <f>+VLOOKUP(AN512,Leyenda!$B$30:$E$34,3,FALSE)</f>
        <v>1</v>
      </c>
      <c r="AW512" s="36">
        <f>+VLOOKUP('2. Logging Brejo Seco'!AO512,Meteorizacion,3,FALSE)</f>
        <v>0</v>
      </c>
      <c r="AX512" s="36">
        <f>+VLOOKUP('2. Logging Brejo Seco'!AP512,Apertura,3,FALSE)</f>
        <v>0</v>
      </c>
      <c r="AY512" s="36">
        <f>+VLOOKUP('2. Logging Brejo Seco'!AQ512,Leyenda!$B$55:$D$59,3,FALSE)</f>
        <v>1</v>
      </c>
      <c r="AZ512" s="36">
        <f>+VLOOKUP('2. Logging Brejo Seco'!AR512,Relleno,3,FALSE)</f>
        <v>2</v>
      </c>
      <c r="BA512" s="36">
        <f t="shared" si="165"/>
        <v>4</v>
      </c>
      <c r="BB512" s="49">
        <f t="shared" si="173"/>
        <v>0</v>
      </c>
      <c r="BC512" s="49">
        <f>VLOOKUP(AH512,Leyenda!$B$4:$D$10,3,FALSE)</f>
        <v>7</v>
      </c>
      <c r="BD512" s="50">
        <f t="shared" si="155"/>
        <v>6</v>
      </c>
      <c r="BE512" s="18">
        <f t="shared" si="159"/>
        <v>4</v>
      </c>
      <c r="BF512" s="18">
        <f>VLOOKUP(AS512,Leyenda!$B$70:$D$75,3,FALSE)</f>
        <v>15</v>
      </c>
      <c r="BG512" s="4">
        <f t="shared" si="174"/>
        <v>6</v>
      </c>
      <c r="BH512" s="67">
        <f>VLOOKUP(AG512,Leyenda!$B$4:$E$10,4,FALSE)</f>
        <v>7</v>
      </c>
      <c r="BI512" s="67">
        <f t="shared" si="156"/>
        <v>5</v>
      </c>
      <c r="BJ512" s="67">
        <f t="shared" si="175"/>
        <v>0</v>
      </c>
      <c r="BK512" s="67">
        <f>+VLOOKUP('2. Logging Brejo Seco'!AP512,Leyenda!$B$47:$E$51,4,FALSE)</f>
        <v>0</v>
      </c>
      <c r="BL512" s="67">
        <f>+VLOOKUP('2. Logging Brejo Seco'!AQ512,Leyenda!$B$55:$E$59,4,FALSE)</f>
        <v>1</v>
      </c>
      <c r="BM512" s="67">
        <f>+VLOOKUP('2. Logging Brejo Seco'!AR512,Leyenda!$B$63:$E$67,3,FALSE)</f>
        <v>2</v>
      </c>
      <c r="BN512" s="67">
        <f>+VLOOKUP('2. Logging Brejo Seco'!AO512,Leyenda!$B$39:$E$43,4,FALSE)</f>
        <v>0</v>
      </c>
      <c r="BO512" s="67">
        <f>+VLOOKUP('2. Logging Brejo Seco'!AN512,Leyenda!$B$30:$E$34,4,FALSE)</f>
        <v>1</v>
      </c>
      <c r="BP512" s="67">
        <f>VLOOKUP(AS512,Leyenda!$B$71:$E$75,4,FALSE)</f>
        <v>10</v>
      </c>
      <c r="BQ512" s="125">
        <f t="shared" si="160"/>
        <v>26</v>
      </c>
      <c r="BR512" s="85">
        <f t="shared" si="161"/>
        <v>32</v>
      </c>
      <c r="BS512" s="240">
        <f t="shared" si="157"/>
        <v>0.62</v>
      </c>
      <c r="BT512" s="18"/>
    </row>
    <row r="513" spans="1:72" x14ac:dyDescent="0.25">
      <c r="A513" s="18" t="s">
        <v>6</v>
      </c>
      <c r="B513" s="18">
        <v>2024</v>
      </c>
      <c r="C513" s="18" t="s">
        <v>138</v>
      </c>
      <c r="D513" s="18" t="s">
        <v>266</v>
      </c>
      <c r="E513" s="18">
        <v>40</v>
      </c>
      <c r="F513" s="18">
        <v>40</v>
      </c>
      <c r="G513" s="18" t="s">
        <v>153</v>
      </c>
      <c r="H513" s="248">
        <f t="shared" si="163"/>
        <v>40</v>
      </c>
      <c r="I513" s="135"/>
      <c r="J513" s="18" t="s">
        <v>297</v>
      </c>
      <c r="K513" s="31">
        <f t="shared" si="179"/>
        <v>2.5</v>
      </c>
      <c r="L513" s="31">
        <f t="shared" si="180"/>
        <v>3</v>
      </c>
      <c r="M513" s="4">
        <f t="shared" si="162"/>
        <v>0.5</v>
      </c>
      <c r="N513" s="32">
        <v>0.24</v>
      </c>
      <c r="O513" s="5">
        <f t="shared" si="177"/>
        <v>0.76</v>
      </c>
      <c r="P513" s="31">
        <f t="shared" si="158"/>
        <v>0.12</v>
      </c>
      <c r="Q513" s="18">
        <f t="shared" si="150"/>
        <v>0.12</v>
      </c>
      <c r="R513" s="18">
        <v>6</v>
      </c>
      <c r="S513" s="18">
        <v>20</v>
      </c>
      <c r="T513" s="18">
        <v>0.13</v>
      </c>
      <c r="U513" s="18">
        <v>0</v>
      </c>
      <c r="V513" s="94">
        <f t="shared" si="164"/>
        <v>0</v>
      </c>
      <c r="W513" s="18">
        <v>4</v>
      </c>
      <c r="X513" s="18"/>
      <c r="Y513" s="18">
        <f t="shared" si="178"/>
        <v>4</v>
      </c>
      <c r="Z513" s="31">
        <f t="shared" si="166"/>
        <v>125</v>
      </c>
      <c r="AA513" s="18">
        <v>0</v>
      </c>
      <c r="AB513" s="18" t="s">
        <v>330</v>
      </c>
      <c r="AC513" s="18" t="s">
        <v>333</v>
      </c>
      <c r="AD513" s="18" t="s">
        <v>335</v>
      </c>
      <c r="AE513" s="18">
        <v>20</v>
      </c>
      <c r="AF513" s="18">
        <v>6</v>
      </c>
      <c r="AG513" s="18" t="s">
        <v>27</v>
      </c>
      <c r="AH513" s="18" t="s">
        <v>27</v>
      </c>
      <c r="AI513" s="18" t="str">
        <f>+VLOOKUP(AH513,Leyenda!$O$4:$U$10,6,FALSE)</f>
        <v>0,35-0,50</v>
      </c>
      <c r="AJ513" s="18" t="str">
        <f>+VLOOKUP(AG513,Leyenda!$O$4:$U$10,7,FALSE)</f>
        <v>Easy to blast</v>
      </c>
      <c r="AK513" s="18">
        <f>+VLOOKUP(AJ513,Leyenda!$U$4:$V$10,2,FALSE)</f>
        <v>3</v>
      </c>
      <c r="AL513" s="18" t="s">
        <v>27</v>
      </c>
      <c r="AM513" s="18" t="s">
        <v>27</v>
      </c>
      <c r="AN513" s="18" t="s">
        <v>66</v>
      </c>
      <c r="AO513" s="18" t="s">
        <v>81</v>
      </c>
      <c r="AP513" s="18" t="s">
        <v>96</v>
      </c>
      <c r="AQ513" s="18" t="s">
        <v>107</v>
      </c>
      <c r="AR513" s="18" t="s">
        <v>120</v>
      </c>
      <c r="AS513" s="18" t="s">
        <v>267</v>
      </c>
      <c r="AT513" s="18"/>
      <c r="AU513" s="18"/>
      <c r="AV513" s="18">
        <f>+VLOOKUP(AN513,Leyenda!$B$30:$E$34,3,FALSE)</f>
        <v>1</v>
      </c>
      <c r="AW513" s="36">
        <f>+VLOOKUP('2. Logging Brejo Seco'!AO513,Meteorizacion,3,FALSE)</f>
        <v>0</v>
      </c>
      <c r="AX513" s="36">
        <f>+VLOOKUP('2. Logging Brejo Seco'!AP513,Apertura,3,FALSE)</f>
        <v>1</v>
      </c>
      <c r="AY513" s="36">
        <f>+VLOOKUP('2. Logging Brejo Seco'!AQ513,Leyenda!$B$55:$D$59,3,FALSE)</f>
        <v>3</v>
      </c>
      <c r="AZ513" s="36">
        <f>+VLOOKUP('2. Logging Brejo Seco'!AR513,Relleno,3,FALSE)</f>
        <v>2</v>
      </c>
      <c r="BA513" s="36">
        <f t="shared" si="165"/>
        <v>7</v>
      </c>
      <c r="BB513" s="49">
        <f t="shared" si="173"/>
        <v>0</v>
      </c>
      <c r="BC513" s="49">
        <f>VLOOKUP(AH513,Leyenda!$B$4:$D$10,3,FALSE)</f>
        <v>4</v>
      </c>
      <c r="BD513" s="50">
        <f t="shared" si="155"/>
        <v>8</v>
      </c>
      <c r="BE513" s="18">
        <f t="shared" si="159"/>
        <v>7</v>
      </c>
      <c r="BF513" s="18">
        <f>VLOOKUP(AS513,Leyenda!$B$70:$D$75,3,FALSE)</f>
        <v>15</v>
      </c>
      <c r="BG513" s="4">
        <f t="shared" si="174"/>
        <v>10.5</v>
      </c>
      <c r="BH513" s="67">
        <f>VLOOKUP(AG513,Leyenda!$B$4:$E$10,4,FALSE)</f>
        <v>4</v>
      </c>
      <c r="BI513" s="67">
        <f t="shared" si="156"/>
        <v>10</v>
      </c>
      <c r="BJ513" s="67">
        <f t="shared" si="175"/>
        <v>0</v>
      </c>
      <c r="BK513" s="67">
        <f>+VLOOKUP('2. Logging Brejo Seco'!AP513,Leyenda!$B$47:$E$51,4,FALSE)</f>
        <v>1</v>
      </c>
      <c r="BL513" s="67">
        <f>+VLOOKUP('2. Logging Brejo Seco'!AQ513,Leyenda!$B$55:$E$59,4,FALSE)</f>
        <v>3</v>
      </c>
      <c r="BM513" s="67">
        <f>+VLOOKUP('2. Logging Brejo Seco'!AR513,Leyenda!$B$63:$E$67,3,FALSE)</f>
        <v>2</v>
      </c>
      <c r="BN513" s="67">
        <f>+VLOOKUP('2. Logging Brejo Seco'!AO513,Leyenda!$B$39:$E$43,4,FALSE)</f>
        <v>0</v>
      </c>
      <c r="BO513" s="67">
        <f>+VLOOKUP('2. Logging Brejo Seco'!AN513,Leyenda!$B$30:$E$34,4,FALSE)</f>
        <v>1</v>
      </c>
      <c r="BP513" s="67">
        <f>VLOOKUP(AS513,Leyenda!$B$71:$E$75,4,FALSE)</f>
        <v>10</v>
      </c>
      <c r="BQ513" s="125">
        <f t="shared" si="160"/>
        <v>31</v>
      </c>
      <c r="BR513" s="85">
        <f t="shared" si="161"/>
        <v>34</v>
      </c>
      <c r="BS513" s="240">
        <f t="shared" si="157"/>
        <v>0.76</v>
      </c>
      <c r="BT513" s="18"/>
    </row>
    <row r="514" spans="1:72" x14ac:dyDescent="0.25">
      <c r="A514" s="18" t="s">
        <v>6</v>
      </c>
      <c r="B514" s="18">
        <v>2024</v>
      </c>
      <c r="C514" s="18" t="s">
        <v>138</v>
      </c>
      <c r="D514" s="18" t="s">
        <v>266</v>
      </c>
      <c r="E514" s="18">
        <v>40</v>
      </c>
      <c r="F514" s="18">
        <v>40</v>
      </c>
      <c r="G514" s="18" t="s">
        <v>153</v>
      </c>
      <c r="H514" s="248">
        <f t="shared" si="163"/>
        <v>40</v>
      </c>
      <c r="I514" s="135"/>
      <c r="J514" s="18" t="s">
        <v>297</v>
      </c>
      <c r="K514" s="31">
        <f t="shared" si="179"/>
        <v>3</v>
      </c>
      <c r="L514" s="31">
        <f t="shared" si="180"/>
        <v>3.5</v>
      </c>
      <c r="M514" s="4">
        <f t="shared" si="162"/>
        <v>0.5</v>
      </c>
      <c r="N514" s="32">
        <v>0.2</v>
      </c>
      <c r="O514" s="5">
        <f t="shared" si="177"/>
        <v>0.8</v>
      </c>
      <c r="P514" s="31">
        <f t="shared" si="158"/>
        <v>0.1</v>
      </c>
      <c r="Q514" s="18">
        <f t="shared" si="150"/>
        <v>0.1</v>
      </c>
      <c r="R514" s="18">
        <v>5</v>
      </c>
      <c r="S514" s="18">
        <v>20</v>
      </c>
      <c r="T514" s="18">
        <v>0.11</v>
      </c>
      <c r="U514" s="18">
        <v>0</v>
      </c>
      <c r="V514" s="94">
        <f t="shared" si="164"/>
        <v>0</v>
      </c>
      <c r="W514" s="18">
        <v>10</v>
      </c>
      <c r="X514" s="18"/>
      <c r="Y514" s="18">
        <f t="shared" si="178"/>
        <v>10</v>
      </c>
      <c r="Z514" s="31">
        <f t="shared" si="166"/>
        <v>50</v>
      </c>
      <c r="AA514" s="18">
        <v>0</v>
      </c>
      <c r="AB514" s="18" t="s">
        <v>330</v>
      </c>
      <c r="AC514" s="18" t="s">
        <v>333</v>
      </c>
      <c r="AD514" s="18" t="s">
        <v>335</v>
      </c>
      <c r="AE514" s="18">
        <v>20</v>
      </c>
      <c r="AF514" s="18">
        <v>5</v>
      </c>
      <c r="AG514" s="18" t="s">
        <v>27</v>
      </c>
      <c r="AH514" s="18" t="s">
        <v>27</v>
      </c>
      <c r="AI514" s="18" t="str">
        <f>+VLOOKUP(AH514,Leyenda!$O$4:$U$10,6,FALSE)</f>
        <v>0,35-0,50</v>
      </c>
      <c r="AJ514" s="18" t="str">
        <f>+VLOOKUP(AG514,Leyenda!$O$4:$U$10,7,FALSE)</f>
        <v>Easy to blast</v>
      </c>
      <c r="AK514" s="18">
        <f>+VLOOKUP(AJ514,Leyenda!$U$4:$V$10,2,FALSE)</f>
        <v>3</v>
      </c>
      <c r="AL514" s="18" t="s">
        <v>27</v>
      </c>
      <c r="AM514" s="18" t="s">
        <v>27</v>
      </c>
      <c r="AN514" s="18" t="s">
        <v>66</v>
      </c>
      <c r="AO514" s="18" t="s">
        <v>81</v>
      </c>
      <c r="AP514" s="18" t="s">
        <v>96</v>
      </c>
      <c r="AQ514" s="18" t="s">
        <v>107</v>
      </c>
      <c r="AR514" s="18" t="s">
        <v>120</v>
      </c>
      <c r="AS514" s="18" t="s">
        <v>267</v>
      </c>
      <c r="AT514" s="18"/>
      <c r="AU514" s="18"/>
      <c r="AV514" s="18">
        <f>+VLOOKUP(AN514,Leyenda!$B$30:$E$34,3,FALSE)</f>
        <v>1</v>
      </c>
      <c r="AW514" s="36">
        <f>+VLOOKUP('2. Logging Brejo Seco'!AO514,Meteorizacion,3,FALSE)</f>
        <v>0</v>
      </c>
      <c r="AX514" s="36">
        <f>+VLOOKUP('2. Logging Brejo Seco'!AP514,Apertura,3,FALSE)</f>
        <v>1</v>
      </c>
      <c r="AY514" s="36">
        <f>+VLOOKUP('2. Logging Brejo Seco'!AQ514,Leyenda!$B$55:$D$59,3,FALSE)</f>
        <v>3</v>
      </c>
      <c r="AZ514" s="36">
        <f>+VLOOKUP('2. Logging Brejo Seco'!AR514,Relleno,3,FALSE)</f>
        <v>2</v>
      </c>
      <c r="BA514" s="36">
        <f t="shared" si="165"/>
        <v>7</v>
      </c>
      <c r="BB514" s="49">
        <f t="shared" si="173"/>
        <v>0</v>
      </c>
      <c r="BC514" s="49">
        <f>VLOOKUP(AH514,Leyenda!$B$4:$D$10,3,FALSE)</f>
        <v>4</v>
      </c>
      <c r="BD514" s="50">
        <f t="shared" si="155"/>
        <v>6</v>
      </c>
      <c r="BE514" s="18">
        <f t="shared" si="159"/>
        <v>7</v>
      </c>
      <c r="BF514" s="18">
        <f>VLOOKUP(AS514,Leyenda!$B$70:$D$75,3,FALSE)</f>
        <v>15</v>
      </c>
      <c r="BG514" s="4">
        <f t="shared" si="174"/>
        <v>10.5</v>
      </c>
      <c r="BH514" s="67">
        <f>VLOOKUP(AG514,Leyenda!$B$4:$E$10,4,FALSE)</f>
        <v>4</v>
      </c>
      <c r="BI514" s="67">
        <f t="shared" si="156"/>
        <v>5</v>
      </c>
      <c r="BJ514" s="67">
        <f t="shared" si="175"/>
        <v>0</v>
      </c>
      <c r="BK514" s="67">
        <f>+VLOOKUP('2. Logging Brejo Seco'!AP514,Leyenda!$B$47:$E$51,4,FALSE)</f>
        <v>1</v>
      </c>
      <c r="BL514" s="67">
        <f>+VLOOKUP('2. Logging Brejo Seco'!AQ514,Leyenda!$B$55:$E$59,4,FALSE)</f>
        <v>3</v>
      </c>
      <c r="BM514" s="67">
        <f>+VLOOKUP('2. Logging Brejo Seco'!AR514,Leyenda!$B$63:$E$67,3,FALSE)</f>
        <v>2</v>
      </c>
      <c r="BN514" s="67">
        <f>+VLOOKUP('2. Logging Brejo Seco'!AO514,Leyenda!$B$39:$E$43,4,FALSE)</f>
        <v>0</v>
      </c>
      <c r="BO514" s="67">
        <f>+VLOOKUP('2. Logging Brejo Seco'!AN514,Leyenda!$B$30:$E$34,4,FALSE)</f>
        <v>1</v>
      </c>
      <c r="BP514" s="67">
        <f>VLOOKUP(AS514,Leyenda!$B$71:$E$75,4,FALSE)</f>
        <v>10</v>
      </c>
      <c r="BQ514" s="125">
        <f t="shared" si="160"/>
        <v>26</v>
      </c>
      <c r="BR514" s="85">
        <f t="shared" si="161"/>
        <v>32</v>
      </c>
      <c r="BS514" s="240">
        <f t="shared" si="157"/>
        <v>0.8</v>
      </c>
      <c r="BT514" s="18"/>
    </row>
    <row r="515" spans="1:72" x14ac:dyDescent="0.25">
      <c r="A515" s="18" t="s">
        <v>6</v>
      </c>
      <c r="B515" s="18">
        <v>2024</v>
      </c>
      <c r="C515" s="18" t="s">
        <v>138</v>
      </c>
      <c r="D515" s="18" t="s">
        <v>266</v>
      </c>
      <c r="E515" s="18">
        <v>40</v>
      </c>
      <c r="F515" s="18">
        <v>40</v>
      </c>
      <c r="G515" s="18" t="s">
        <v>153</v>
      </c>
      <c r="H515" s="248">
        <f t="shared" si="163"/>
        <v>40</v>
      </c>
      <c r="I515" s="135"/>
      <c r="J515" s="18" t="s">
        <v>297</v>
      </c>
      <c r="K515" s="31">
        <f t="shared" si="179"/>
        <v>3.5</v>
      </c>
      <c r="L515" s="31">
        <f t="shared" si="180"/>
        <v>4</v>
      </c>
      <c r="M515" s="4">
        <f t="shared" si="162"/>
        <v>0.5</v>
      </c>
      <c r="N515" s="32">
        <v>0.2</v>
      </c>
      <c r="O515" s="5">
        <f t="shared" si="177"/>
        <v>0.8</v>
      </c>
      <c r="P515" s="31">
        <f t="shared" si="158"/>
        <v>0.1</v>
      </c>
      <c r="Q515" s="18">
        <f t="shared" si="150"/>
        <v>0.1</v>
      </c>
      <c r="R515" s="18">
        <v>5</v>
      </c>
      <c r="S515" s="18">
        <v>20</v>
      </c>
      <c r="T515" s="18">
        <v>0.11</v>
      </c>
      <c r="U515" s="18">
        <v>0</v>
      </c>
      <c r="V515" s="94">
        <f t="shared" si="164"/>
        <v>0</v>
      </c>
      <c r="W515" s="18">
        <v>10</v>
      </c>
      <c r="X515" s="18"/>
      <c r="Y515" s="18">
        <f t="shared" si="178"/>
        <v>10</v>
      </c>
      <c r="Z515" s="31">
        <f t="shared" si="166"/>
        <v>50</v>
      </c>
      <c r="AA515" s="18">
        <v>0</v>
      </c>
      <c r="AB515" s="18" t="s">
        <v>330</v>
      </c>
      <c r="AC515" s="18" t="s">
        <v>333</v>
      </c>
      <c r="AD515" s="18" t="s">
        <v>335</v>
      </c>
      <c r="AE515" s="18">
        <v>20</v>
      </c>
      <c r="AF515" s="18">
        <v>5</v>
      </c>
      <c r="AG515" s="18" t="s">
        <v>27</v>
      </c>
      <c r="AH515" s="18" t="s">
        <v>27</v>
      </c>
      <c r="AI515" s="18" t="str">
        <f>+VLOOKUP(AH515,Leyenda!$O$4:$U$10,6,FALSE)</f>
        <v>0,35-0,50</v>
      </c>
      <c r="AJ515" s="18" t="str">
        <f>+VLOOKUP(AG515,Leyenda!$O$4:$U$10,7,FALSE)</f>
        <v>Easy to blast</v>
      </c>
      <c r="AK515" s="18">
        <f>+VLOOKUP(AJ515,Leyenda!$U$4:$V$10,2,FALSE)</f>
        <v>3</v>
      </c>
      <c r="AL515" s="18" t="s">
        <v>22</v>
      </c>
      <c r="AM515" s="18" t="s">
        <v>22</v>
      </c>
      <c r="AN515" s="18" t="s">
        <v>64</v>
      </c>
      <c r="AO515" s="18" t="s">
        <v>79</v>
      </c>
      <c r="AP515" s="18" t="s">
        <v>96</v>
      </c>
      <c r="AQ515" s="18" t="s">
        <v>107</v>
      </c>
      <c r="AR515" s="18" t="s">
        <v>118</v>
      </c>
      <c r="AS515" s="18" t="s">
        <v>267</v>
      </c>
      <c r="AT515" s="18"/>
      <c r="AU515" s="18"/>
      <c r="AV515" s="18">
        <f>+VLOOKUP(AN515,Leyenda!$B$30:$E$34,3,FALSE)</f>
        <v>2</v>
      </c>
      <c r="AW515" s="36">
        <f>+VLOOKUP('2. Logging Brejo Seco'!AO515,Meteorizacion,3,FALSE)</f>
        <v>1</v>
      </c>
      <c r="AX515" s="36">
        <f>+VLOOKUP('2. Logging Brejo Seco'!AP515,Apertura,3,FALSE)</f>
        <v>1</v>
      </c>
      <c r="AY515" s="36">
        <f>+VLOOKUP('2. Logging Brejo Seco'!AQ515,Leyenda!$B$55:$D$59,3,FALSE)</f>
        <v>3</v>
      </c>
      <c r="AZ515" s="36">
        <f>+VLOOKUP('2. Logging Brejo Seco'!AR515,Relleno,3,FALSE)</f>
        <v>2</v>
      </c>
      <c r="BA515" s="36">
        <f t="shared" si="165"/>
        <v>9</v>
      </c>
      <c r="BB515" s="49">
        <f t="shared" si="173"/>
        <v>0</v>
      </c>
      <c r="BC515" s="49">
        <f>VLOOKUP(AH515,Leyenda!$B$4:$D$10,3,FALSE)</f>
        <v>4</v>
      </c>
      <c r="BD515" s="50">
        <f t="shared" si="155"/>
        <v>6</v>
      </c>
      <c r="BE515" s="18">
        <f t="shared" si="159"/>
        <v>9</v>
      </c>
      <c r="BF515" s="18">
        <f>VLOOKUP(AS515,Leyenda!$B$70:$D$75,3,FALSE)</f>
        <v>15</v>
      </c>
      <c r="BG515" s="4">
        <f t="shared" si="174"/>
        <v>13.5</v>
      </c>
      <c r="BH515" s="208">
        <v>7</v>
      </c>
      <c r="BI515" s="125">
        <f t="shared" si="156"/>
        <v>5</v>
      </c>
      <c r="BJ515" s="125">
        <f t="shared" si="175"/>
        <v>0</v>
      </c>
      <c r="BK515" s="125">
        <f>+VLOOKUP('2. Logging Brejo Seco'!AP515,Leyenda!$B$47:$E$51,4,FALSE)</f>
        <v>1</v>
      </c>
      <c r="BL515" s="125">
        <f>+VLOOKUP('2. Logging Brejo Seco'!AQ515,Leyenda!$B$55:$E$59,4,FALSE)</f>
        <v>3</v>
      </c>
      <c r="BM515" s="125">
        <f>+VLOOKUP('2. Logging Brejo Seco'!AR515,Leyenda!$B$63:$E$67,3,FALSE)</f>
        <v>2</v>
      </c>
      <c r="BN515" s="125">
        <f>+VLOOKUP('2. Logging Brejo Seco'!AO515,Leyenda!$B$39:$E$43,4,FALSE)</f>
        <v>1</v>
      </c>
      <c r="BO515" s="125">
        <f>+VLOOKUP('2. Logging Brejo Seco'!AN515,Leyenda!$B$30:$E$34,4,FALSE)</f>
        <v>3</v>
      </c>
      <c r="BP515" s="125">
        <f>VLOOKUP(AS515,Leyenda!$B$71:$E$75,4,FALSE)</f>
        <v>10</v>
      </c>
      <c r="BQ515" s="125">
        <f t="shared" si="160"/>
        <v>32</v>
      </c>
      <c r="BR515" s="85">
        <f t="shared" si="161"/>
        <v>34</v>
      </c>
      <c r="BS515" s="240">
        <f t="shared" si="157"/>
        <v>0.8</v>
      </c>
      <c r="BT515" s="18"/>
    </row>
    <row r="516" spans="1:72" x14ac:dyDescent="0.25">
      <c r="A516" s="18" t="s">
        <v>6</v>
      </c>
      <c r="B516" s="18">
        <v>2024</v>
      </c>
      <c r="C516" s="18" t="s">
        <v>138</v>
      </c>
      <c r="D516" s="18" t="s">
        <v>266</v>
      </c>
      <c r="E516" s="18">
        <v>40</v>
      </c>
      <c r="F516" s="18">
        <v>40</v>
      </c>
      <c r="G516" s="18" t="s">
        <v>153</v>
      </c>
      <c r="H516" s="248">
        <f t="shared" si="163"/>
        <v>40</v>
      </c>
      <c r="I516" s="135"/>
      <c r="J516" s="18" t="s">
        <v>297</v>
      </c>
      <c r="K516" s="31">
        <f t="shared" si="179"/>
        <v>4</v>
      </c>
      <c r="L516" s="31">
        <f t="shared" si="180"/>
        <v>4.5</v>
      </c>
      <c r="M516" s="4">
        <f t="shared" si="162"/>
        <v>0.5</v>
      </c>
      <c r="N516" s="32">
        <v>0.46</v>
      </c>
      <c r="O516" s="5">
        <f t="shared" si="177"/>
        <v>0.54</v>
      </c>
      <c r="P516" s="31">
        <f t="shared" si="158"/>
        <v>0.23</v>
      </c>
      <c r="Q516" s="18">
        <f t="shared" si="150"/>
        <v>0.23</v>
      </c>
      <c r="R516" s="18">
        <v>11.5</v>
      </c>
      <c r="S516" s="18">
        <v>20</v>
      </c>
      <c r="T516" s="18">
        <v>0.33</v>
      </c>
      <c r="U516" s="18">
        <v>0.31</v>
      </c>
      <c r="V516" s="94">
        <f t="shared" si="164"/>
        <v>62</v>
      </c>
      <c r="W516" s="18">
        <v>2</v>
      </c>
      <c r="X516" s="18"/>
      <c r="Y516" s="18">
        <v>4</v>
      </c>
      <c r="Z516" s="31">
        <f t="shared" si="166"/>
        <v>125</v>
      </c>
      <c r="AA516" s="18">
        <v>0</v>
      </c>
      <c r="AB516" s="18" t="s">
        <v>330</v>
      </c>
      <c r="AC516" s="18" t="s">
        <v>333</v>
      </c>
      <c r="AD516" s="18" t="s">
        <v>335</v>
      </c>
      <c r="AE516" s="18">
        <v>20</v>
      </c>
      <c r="AF516" s="18">
        <v>11.5</v>
      </c>
      <c r="AG516" s="18" t="s">
        <v>22</v>
      </c>
      <c r="AH516" s="18" t="s">
        <v>22</v>
      </c>
      <c r="AI516" s="18" t="str">
        <f>+VLOOKUP(AH516,Leyenda!$O$4:$U$10,6,FALSE)</f>
        <v>0,80-1,50</v>
      </c>
      <c r="AJ516" s="18" t="str">
        <f>+VLOOKUP(AG516,Leyenda!$O$4:$U$10,7,FALSE)</f>
        <v>Moderate to resistence to blast</v>
      </c>
      <c r="AK516" s="18">
        <f>+VLOOKUP(AJ516,Leyenda!$U$4:$V$10,2,FALSE)</f>
        <v>5</v>
      </c>
      <c r="AL516" s="18" t="s">
        <v>29</v>
      </c>
      <c r="AM516" s="18" t="s">
        <v>29</v>
      </c>
      <c r="AN516" s="18" t="s">
        <v>66</v>
      </c>
      <c r="AO516" s="18" t="s">
        <v>81</v>
      </c>
      <c r="AP516" s="18" t="s">
        <v>100</v>
      </c>
      <c r="AQ516" s="18" t="s">
        <v>109</v>
      </c>
      <c r="AR516" s="18" t="s">
        <v>120</v>
      </c>
      <c r="AS516" s="18" t="s">
        <v>267</v>
      </c>
      <c r="AT516" s="18"/>
      <c r="AU516" s="18"/>
      <c r="AV516" s="18">
        <f>+VLOOKUP(AN516,Leyenda!$B$30:$E$34,3,FALSE)</f>
        <v>1</v>
      </c>
      <c r="AW516" s="36">
        <f>+VLOOKUP('2. Logging Brejo Seco'!AO516,Meteorizacion,3,FALSE)</f>
        <v>0</v>
      </c>
      <c r="AX516" s="36">
        <f>+VLOOKUP('2. Logging Brejo Seco'!AP516,Apertura,3,FALSE)</f>
        <v>0</v>
      </c>
      <c r="AY516" s="36">
        <f>+VLOOKUP('2. Logging Brejo Seco'!AQ516,Leyenda!$B$55:$D$59,3,FALSE)</f>
        <v>1</v>
      </c>
      <c r="AZ516" s="36">
        <f>+VLOOKUP('2. Logging Brejo Seco'!AR516,Relleno,3,FALSE)</f>
        <v>2</v>
      </c>
      <c r="BA516" s="36">
        <f t="shared" si="165"/>
        <v>4</v>
      </c>
      <c r="BB516" s="49">
        <f t="shared" si="173"/>
        <v>13</v>
      </c>
      <c r="BC516" s="49">
        <f>VLOOKUP(AH516,Leyenda!$B$4:$D$10,3,FALSE)</f>
        <v>12</v>
      </c>
      <c r="BD516" s="50">
        <f t="shared" ref="BD516:BD579" si="181">IF(Z516="",ROUND((IF(Z516&lt;=400,1.5478*POWER(Z516,0.3351),-2*POWER(10,-6)*POWER(Z516,2)+0.0091*Z516+8.1704)),0),ROUND((IF(Z516&lt;=400,1.5478*POWER(Z516,0.3351),-2*POWER(10,-6)*POWER(Z516,2)+0.0091*Z516+8.1704)),0))</f>
        <v>8</v>
      </c>
      <c r="BE516" s="18">
        <f t="shared" si="159"/>
        <v>4</v>
      </c>
      <c r="BF516" s="18">
        <f>VLOOKUP(AS516,Leyenda!$B$70:$D$75,3,FALSE)</f>
        <v>15</v>
      </c>
      <c r="BG516" s="4">
        <f t="shared" si="174"/>
        <v>37</v>
      </c>
      <c r="BH516" s="67">
        <f>VLOOKUP(AG516,Leyenda!$B$4:$E$10,4,FALSE)</f>
        <v>14</v>
      </c>
      <c r="BI516" s="67">
        <f t="shared" ref="BI516:BI579" si="182">IF(Z516="",ROUND(IF(Z516&lt;=50,5,IF(Z516&gt;=3000,30,6.038*LN(Z516)-19.63)),0),ROUND(IF(Z516&lt;=50,5,IF(Z516&gt;=3000,30,6.038*LN(Z516)-19.63)),0))</f>
        <v>10</v>
      </c>
      <c r="BJ516" s="67">
        <f t="shared" si="175"/>
        <v>13</v>
      </c>
      <c r="BK516" s="67">
        <f>+VLOOKUP('2. Logging Brejo Seco'!AP516,Leyenda!$B$47:$E$51,4,FALSE)</f>
        <v>0</v>
      </c>
      <c r="BL516" s="67">
        <f>+VLOOKUP('2. Logging Brejo Seco'!AQ516,Leyenda!$B$55:$E$59,4,FALSE)</f>
        <v>1</v>
      </c>
      <c r="BM516" s="67">
        <f>+VLOOKUP('2. Logging Brejo Seco'!AR516,Leyenda!$B$63:$E$67,3,FALSE)</f>
        <v>2</v>
      </c>
      <c r="BN516" s="67">
        <f>+VLOOKUP('2. Logging Brejo Seco'!AO516,Leyenda!$B$39:$E$43,4,FALSE)</f>
        <v>0</v>
      </c>
      <c r="BO516" s="67">
        <f>+VLOOKUP('2. Logging Brejo Seco'!AN516,Leyenda!$B$30:$E$34,4,FALSE)</f>
        <v>1</v>
      </c>
      <c r="BP516" s="67">
        <f>VLOOKUP(AS516,Leyenda!$B$71:$E$75,4,FALSE)</f>
        <v>10</v>
      </c>
      <c r="BQ516" s="125">
        <f t="shared" si="160"/>
        <v>51</v>
      </c>
      <c r="BR516" s="85">
        <f t="shared" si="161"/>
        <v>52</v>
      </c>
      <c r="BS516" s="240">
        <f t="shared" ref="BS516:BS579" si="183">1-N516</f>
        <v>0.54</v>
      </c>
      <c r="BT516" s="18"/>
    </row>
    <row r="517" spans="1:72" x14ac:dyDescent="0.25">
      <c r="A517" s="18" t="s">
        <v>6</v>
      </c>
      <c r="B517" s="18">
        <v>2024</v>
      </c>
      <c r="C517" s="18" t="s">
        <v>138</v>
      </c>
      <c r="D517" s="18" t="s">
        <v>266</v>
      </c>
      <c r="E517" s="18">
        <v>40</v>
      </c>
      <c r="F517" s="18">
        <v>40</v>
      </c>
      <c r="G517" s="18" t="s">
        <v>153</v>
      </c>
      <c r="H517" s="248">
        <f t="shared" si="163"/>
        <v>40</v>
      </c>
      <c r="I517" s="135"/>
      <c r="J517" s="18" t="s">
        <v>297</v>
      </c>
      <c r="K517" s="31">
        <f t="shared" si="179"/>
        <v>4.5</v>
      </c>
      <c r="L517" s="31">
        <f t="shared" si="180"/>
        <v>5</v>
      </c>
      <c r="M517" s="4">
        <f t="shared" si="162"/>
        <v>0.5</v>
      </c>
      <c r="N517" s="32">
        <v>0.2</v>
      </c>
      <c r="O517" s="5">
        <f t="shared" si="177"/>
        <v>0.8</v>
      </c>
      <c r="P517" s="31">
        <f t="shared" si="158"/>
        <v>0.1</v>
      </c>
      <c r="Q517" s="18">
        <f t="shared" si="150"/>
        <v>0.1</v>
      </c>
      <c r="R517" s="18">
        <v>5</v>
      </c>
      <c r="S517" s="18">
        <v>20</v>
      </c>
      <c r="T517" s="18">
        <v>0.1</v>
      </c>
      <c r="U517" s="18">
        <v>0</v>
      </c>
      <c r="V517" s="94">
        <f t="shared" si="164"/>
        <v>0</v>
      </c>
      <c r="W517" s="18">
        <v>5</v>
      </c>
      <c r="X517" s="18"/>
      <c r="Y517" s="18">
        <f t="shared" si="178"/>
        <v>5</v>
      </c>
      <c r="Z517" s="31">
        <f t="shared" si="166"/>
        <v>100</v>
      </c>
      <c r="AA517" s="18">
        <v>0</v>
      </c>
      <c r="AB517" s="18" t="s">
        <v>330</v>
      </c>
      <c r="AC517" s="18" t="s">
        <v>333</v>
      </c>
      <c r="AD517" s="18" t="s">
        <v>335</v>
      </c>
      <c r="AE517" s="18">
        <v>20</v>
      </c>
      <c r="AF517" s="18">
        <v>5</v>
      </c>
      <c r="AG517" s="18" t="s">
        <v>29</v>
      </c>
      <c r="AH517" s="18" t="s">
        <v>29</v>
      </c>
      <c r="AI517" s="18" t="str">
        <f>+VLOOKUP(AH517,Leyenda!$O$4:$U$10,6,FALSE)</f>
        <v>0,25-0,35</v>
      </c>
      <c r="AJ517" s="18" t="str">
        <f>+VLOOKUP(AG517,Leyenda!$O$4:$U$10,7,FALSE)</f>
        <v>No Blasting need</v>
      </c>
      <c r="AK517" s="18">
        <f>+VLOOKUP(AJ517,Leyenda!$U$4:$V$10,2,FALSE)</f>
        <v>2</v>
      </c>
      <c r="AL517" s="18" t="s">
        <v>29</v>
      </c>
      <c r="AM517" s="18" t="s">
        <v>29</v>
      </c>
      <c r="AN517" s="18" t="s">
        <v>66</v>
      </c>
      <c r="AO517" s="18" t="s">
        <v>81</v>
      </c>
      <c r="AP517" s="18" t="s">
        <v>100</v>
      </c>
      <c r="AQ517" s="18" t="s">
        <v>109</v>
      </c>
      <c r="AR517" s="18" t="s">
        <v>120</v>
      </c>
      <c r="AS517" s="18" t="s">
        <v>267</v>
      </c>
      <c r="AT517" s="18"/>
      <c r="AU517" s="18"/>
      <c r="AV517" s="18">
        <f>+VLOOKUP(AN517,Leyenda!$B$30:$E$34,3,FALSE)</f>
        <v>1</v>
      </c>
      <c r="AW517" s="36">
        <f>+VLOOKUP('2. Logging Brejo Seco'!AO517,Meteorizacion,3,FALSE)</f>
        <v>0</v>
      </c>
      <c r="AX517" s="36">
        <f>+VLOOKUP('2. Logging Brejo Seco'!AP517,Apertura,3,FALSE)</f>
        <v>0</v>
      </c>
      <c r="AY517" s="36">
        <f>+VLOOKUP('2. Logging Brejo Seco'!AQ517,Leyenda!$B$55:$D$59,3,FALSE)</f>
        <v>1</v>
      </c>
      <c r="AZ517" s="36">
        <f>+VLOOKUP('2. Logging Brejo Seco'!AR517,Relleno,3,FALSE)</f>
        <v>2</v>
      </c>
      <c r="BA517" s="36">
        <f t="shared" si="165"/>
        <v>4</v>
      </c>
      <c r="BB517" s="49">
        <f t="shared" si="173"/>
        <v>0</v>
      </c>
      <c r="BC517" s="49">
        <f>VLOOKUP(AH517,Leyenda!$B$4:$D$10,3,FALSE)</f>
        <v>2</v>
      </c>
      <c r="BD517" s="50">
        <f t="shared" si="181"/>
        <v>7</v>
      </c>
      <c r="BE517" s="18">
        <f t="shared" si="159"/>
        <v>4</v>
      </c>
      <c r="BF517" s="18">
        <f>VLOOKUP(AS517,Leyenda!$B$70:$D$75,3,FALSE)</f>
        <v>15</v>
      </c>
      <c r="BG517" s="4">
        <f t="shared" si="174"/>
        <v>6</v>
      </c>
      <c r="BH517" s="67">
        <f>VLOOKUP(AG517,Leyenda!$B$4:$E$10,4,FALSE)</f>
        <v>2</v>
      </c>
      <c r="BI517" s="67">
        <f t="shared" si="182"/>
        <v>8</v>
      </c>
      <c r="BJ517" s="67">
        <f t="shared" si="175"/>
        <v>0</v>
      </c>
      <c r="BK517" s="67">
        <f>+VLOOKUP('2. Logging Brejo Seco'!AP517,Leyenda!$B$47:$E$51,4,FALSE)</f>
        <v>0</v>
      </c>
      <c r="BL517" s="67">
        <f>+VLOOKUP('2. Logging Brejo Seco'!AQ517,Leyenda!$B$55:$E$59,4,FALSE)</f>
        <v>1</v>
      </c>
      <c r="BM517" s="67">
        <f>+VLOOKUP('2. Logging Brejo Seco'!AR517,Leyenda!$B$63:$E$67,3,FALSE)</f>
        <v>2</v>
      </c>
      <c r="BN517" s="67">
        <f>+VLOOKUP('2. Logging Brejo Seco'!AO517,Leyenda!$B$39:$E$43,4,FALSE)</f>
        <v>0</v>
      </c>
      <c r="BO517" s="67">
        <f>+VLOOKUP('2. Logging Brejo Seco'!AN517,Leyenda!$B$30:$E$34,4,FALSE)</f>
        <v>1</v>
      </c>
      <c r="BP517" s="67">
        <f>VLOOKUP(AS517,Leyenda!$B$71:$E$75,4,FALSE)</f>
        <v>10</v>
      </c>
      <c r="BQ517" s="125">
        <f t="shared" si="160"/>
        <v>24</v>
      </c>
      <c r="BR517" s="85">
        <f t="shared" si="161"/>
        <v>28</v>
      </c>
      <c r="BS517" s="240">
        <f t="shared" si="183"/>
        <v>0.8</v>
      </c>
      <c r="BT517" s="18"/>
    </row>
    <row r="518" spans="1:72" x14ac:dyDescent="0.25">
      <c r="A518" s="18" t="s">
        <v>6</v>
      </c>
      <c r="B518" s="18">
        <v>2024</v>
      </c>
      <c r="C518" s="18" t="s">
        <v>138</v>
      </c>
      <c r="D518" s="18" t="s">
        <v>266</v>
      </c>
      <c r="E518" s="18">
        <v>40</v>
      </c>
      <c r="F518" s="18">
        <v>40</v>
      </c>
      <c r="G518" s="18" t="s">
        <v>153</v>
      </c>
      <c r="H518" s="248">
        <f t="shared" si="163"/>
        <v>40</v>
      </c>
      <c r="I518" s="135"/>
      <c r="J518" s="18" t="s">
        <v>297</v>
      </c>
      <c r="K518" s="31">
        <f t="shared" si="179"/>
        <v>5</v>
      </c>
      <c r="L518" s="31">
        <f t="shared" si="180"/>
        <v>5.5</v>
      </c>
      <c r="M518" s="4">
        <f t="shared" si="162"/>
        <v>0.5</v>
      </c>
      <c r="N518" s="32">
        <v>0.3</v>
      </c>
      <c r="O518" s="5">
        <f t="shared" si="177"/>
        <v>0.7</v>
      </c>
      <c r="P518" s="31">
        <f t="shared" ref="P518:P581" si="184">+M518*N518</f>
        <v>0.15</v>
      </c>
      <c r="Q518" s="18">
        <f t="shared" ref="Q518:Q581" si="185">+N518*M518</f>
        <v>0.15</v>
      </c>
      <c r="R518" s="18">
        <v>7.5</v>
      </c>
      <c r="S518" s="18">
        <v>20</v>
      </c>
      <c r="T518" s="18">
        <v>0.15</v>
      </c>
      <c r="U518" s="18">
        <v>0</v>
      </c>
      <c r="V518" s="94">
        <f t="shared" si="164"/>
        <v>0</v>
      </c>
      <c r="W518" s="18">
        <v>10</v>
      </c>
      <c r="X518" s="18"/>
      <c r="Y518" s="18">
        <f t="shared" si="178"/>
        <v>10</v>
      </c>
      <c r="Z518" s="31">
        <f t="shared" si="166"/>
        <v>50</v>
      </c>
      <c r="AA518" s="18">
        <v>0</v>
      </c>
      <c r="AB518" s="18" t="s">
        <v>330</v>
      </c>
      <c r="AC518" s="18" t="s">
        <v>333</v>
      </c>
      <c r="AD518" s="18" t="s">
        <v>335</v>
      </c>
      <c r="AE518" s="18">
        <v>20</v>
      </c>
      <c r="AF518" s="18">
        <v>7.5</v>
      </c>
      <c r="AG518" s="18" t="s">
        <v>32</v>
      </c>
      <c r="AH518" s="18" t="s">
        <v>32</v>
      </c>
      <c r="AI518" s="18" t="str">
        <f>+VLOOKUP(AH518,Leyenda!$O$4:$U$10,6,FALSE)</f>
        <v>0,15-0,25</v>
      </c>
      <c r="AJ518" s="18" t="str">
        <f>+VLOOKUP(AG518,Leyenda!$O$4:$U$10,7,FALSE)</f>
        <v>No Blasting need</v>
      </c>
      <c r="AK518" s="18">
        <f>+VLOOKUP(AJ518,Leyenda!$U$4:$V$10,2,FALSE)</f>
        <v>2</v>
      </c>
      <c r="AL518" s="18" t="s">
        <v>32</v>
      </c>
      <c r="AM518" s="18" t="s">
        <v>32</v>
      </c>
      <c r="AN518" s="18" t="s">
        <v>66</v>
      </c>
      <c r="AO518" s="18" t="s">
        <v>81</v>
      </c>
      <c r="AP518" s="18" t="s">
        <v>100</v>
      </c>
      <c r="AQ518" s="18" t="s">
        <v>109</v>
      </c>
      <c r="AR518" s="18" t="s">
        <v>120</v>
      </c>
      <c r="AS518" s="18" t="s">
        <v>267</v>
      </c>
      <c r="AT518" s="18"/>
      <c r="AU518" s="18"/>
      <c r="AV518" s="18">
        <f>+VLOOKUP(AN518,Leyenda!$B$30:$E$34,3,FALSE)</f>
        <v>1</v>
      </c>
      <c r="AW518" s="36">
        <f>+VLOOKUP('2. Logging Brejo Seco'!AO518,Meteorizacion,3,FALSE)</f>
        <v>0</v>
      </c>
      <c r="AX518" s="36">
        <f>+VLOOKUP('2. Logging Brejo Seco'!AP518,Apertura,3,FALSE)</f>
        <v>0</v>
      </c>
      <c r="AY518" s="36">
        <f>+VLOOKUP('2. Logging Brejo Seco'!AQ518,Leyenda!$B$55:$D$59,3,FALSE)</f>
        <v>1</v>
      </c>
      <c r="AZ518" s="36">
        <f>+VLOOKUP('2. Logging Brejo Seco'!AR518,Relleno,3,FALSE)</f>
        <v>2</v>
      </c>
      <c r="BA518" s="36">
        <f t="shared" si="165"/>
        <v>4</v>
      </c>
      <c r="BB518" s="49">
        <f t="shared" si="173"/>
        <v>0</v>
      </c>
      <c r="BC518" s="49">
        <f>VLOOKUP(AH518,Leyenda!$B$4:$D$10,3,FALSE)</f>
        <v>1</v>
      </c>
      <c r="BD518" s="50">
        <f t="shared" si="181"/>
        <v>6</v>
      </c>
      <c r="BE518" s="18">
        <f t="shared" ref="BE518:BE581" si="186">+BA518</f>
        <v>4</v>
      </c>
      <c r="BF518" s="18">
        <f>VLOOKUP(AS518,Leyenda!$B$70:$D$75,3,FALSE)</f>
        <v>15</v>
      </c>
      <c r="BG518" s="4">
        <f t="shared" si="174"/>
        <v>6</v>
      </c>
      <c r="BH518" s="67">
        <f>VLOOKUP(AG518,Leyenda!$B$4:$E$10,4,FALSE)</f>
        <v>1</v>
      </c>
      <c r="BI518" s="67">
        <f t="shared" si="182"/>
        <v>5</v>
      </c>
      <c r="BJ518" s="67">
        <f t="shared" si="175"/>
        <v>0</v>
      </c>
      <c r="BK518" s="67">
        <f>+VLOOKUP('2. Logging Brejo Seco'!AP518,Leyenda!$B$47:$E$51,4,FALSE)</f>
        <v>0</v>
      </c>
      <c r="BL518" s="67">
        <f>+VLOOKUP('2. Logging Brejo Seco'!AQ518,Leyenda!$B$55:$E$59,4,FALSE)</f>
        <v>1</v>
      </c>
      <c r="BM518" s="67">
        <f>+VLOOKUP('2. Logging Brejo Seco'!AR518,Leyenda!$B$63:$E$67,3,FALSE)</f>
        <v>2</v>
      </c>
      <c r="BN518" s="67">
        <f>+VLOOKUP('2. Logging Brejo Seco'!AO518,Leyenda!$B$39:$E$43,4,FALSE)</f>
        <v>0</v>
      </c>
      <c r="BO518" s="67">
        <f>+VLOOKUP('2. Logging Brejo Seco'!AN518,Leyenda!$B$30:$E$34,4,FALSE)</f>
        <v>1</v>
      </c>
      <c r="BP518" s="67">
        <f>VLOOKUP(AS518,Leyenda!$B$71:$E$75,4,FALSE)</f>
        <v>10</v>
      </c>
      <c r="BQ518" s="125">
        <f t="shared" ref="BQ518:BQ581" si="187">+BH518+BI518+BJ518+BK518+BL518+BM518+BN518+BO518+BP518</f>
        <v>20</v>
      </c>
      <c r="BR518" s="85">
        <f t="shared" ref="BR518:BR581" si="188">+BC518+BD518+BB518+BE518+BF518</f>
        <v>26</v>
      </c>
      <c r="BS518" s="240">
        <f t="shared" si="183"/>
        <v>0.7</v>
      </c>
      <c r="BT518" s="18"/>
    </row>
    <row r="519" spans="1:72" x14ac:dyDescent="0.25">
      <c r="A519" s="18" t="s">
        <v>6</v>
      </c>
      <c r="B519" s="18">
        <v>2024</v>
      </c>
      <c r="C519" s="18" t="s">
        <v>138</v>
      </c>
      <c r="D519" s="18" t="s">
        <v>266</v>
      </c>
      <c r="E519" s="18">
        <v>40</v>
      </c>
      <c r="F519" s="18">
        <v>40</v>
      </c>
      <c r="G519" s="18" t="s">
        <v>153</v>
      </c>
      <c r="H519" s="248">
        <f t="shared" si="163"/>
        <v>40</v>
      </c>
      <c r="I519" s="135"/>
      <c r="J519" s="18" t="s">
        <v>297</v>
      </c>
      <c r="K519" s="31">
        <f t="shared" si="179"/>
        <v>5.5</v>
      </c>
      <c r="L519" s="31">
        <f t="shared" si="180"/>
        <v>6</v>
      </c>
      <c r="M519" s="4">
        <f t="shared" ref="M519:M582" si="189">+L519-K519</f>
        <v>0.5</v>
      </c>
      <c r="N519" s="32">
        <v>0.2</v>
      </c>
      <c r="O519" s="5">
        <f t="shared" si="177"/>
        <v>0.8</v>
      </c>
      <c r="P519" s="31">
        <f t="shared" si="184"/>
        <v>0.1</v>
      </c>
      <c r="Q519" s="18">
        <f t="shared" si="185"/>
        <v>0.1</v>
      </c>
      <c r="R519" s="18">
        <v>5</v>
      </c>
      <c r="S519" s="18">
        <v>20</v>
      </c>
      <c r="T519" s="18">
        <v>0.1</v>
      </c>
      <c r="U519" s="18">
        <v>0</v>
      </c>
      <c r="V519" s="65">
        <f t="shared" si="164"/>
        <v>0</v>
      </c>
      <c r="W519" s="18">
        <v>10</v>
      </c>
      <c r="X519" s="18"/>
      <c r="Y519" s="18">
        <f t="shared" si="178"/>
        <v>10</v>
      </c>
      <c r="Z519" s="31">
        <f t="shared" si="166"/>
        <v>50</v>
      </c>
      <c r="AA519" s="18">
        <v>0</v>
      </c>
      <c r="AB519" s="18" t="s">
        <v>330</v>
      </c>
      <c r="AC519" s="18" t="s">
        <v>333</v>
      </c>
      <c r="AD519" s="18" t="s">
        <v>335</v>
      </c>
      <c r="AE519" s="18">
        <v>20</v>
      </c>
      <c r="AF519" s="18">
        <v>5</v>
      </c>
      <c r="AG519" s="18" t="s">
        <v>34</v>
      </c>
      <c r="AH519" s="18" t="s">
        <v>34</v>
      </c>
      <c r="AI519" s="18">
        <f>+VLOOKUP(AH519,Leyenda!$O$4:$U$10,6,FALSE)</f>
        <v>0</v>
      </c>
      <c r="AJ519" s="18" t="str">
        <f>+VLOOKUP(AG519,Leyenda!$O$4:$U$10,7,FALSE)</f>
        <v>No Blasting need</v>
      </c>
      <c r="AK519" s="18">
        <f>+VLOOKUP(AJ519,Leyenda!$U$4:$V$10,2,FALSE)</f>
        <v>2</v>
      </c>
      <c r="AL519" s="18" t="s">
        <v>34</v>
      </c>
      <c r="AM519" s="18" t="s">
        <v>34</v>
      </c>
      <c r="AN519" s="18" t="s">
        <v>66</v>
      </c>
      <c r="AO519" s="18" t="s">
        <v>81</v>
      </c>
      <c r="AP519" s="18" t="s">
        <v>100</v>
      </c>
      <c r="AQ519" s="18" t="s">
        <v>109</v>
      </c>
      <c r="AR519" s="18" t="s">
        <v>120</v>
      </c>
      <c r="AS519" s="18" t="s">
        <v>267</v>
      </c>
      <c r="AT519" s="18"/>
      <c r="AU519" s="18"/>
      <c r="AV519" s="18">
        <f>+VLOOKUP(AN519,Leyenda!$B$30:$E$34,3,FALSE)</f>
        <v>1</v>
      </c>
      <c r="AW519" s="36">
        <f>+VLOOKUP('2. Logging Brejo Seco'!AO519,Meteorizacion,3,FALSE)</f>
        <v>0</v>
      </c>
      <c r="AX519" s="36">
        <f>+VLOOKUP('2. Logging Brejo Seco'!AP519,Apertura,3,FALSE)</f>
        <v>0</v>
      </c>
      <c r="AY519" s="36">
        <f>+VLOOKUP('2. Logging Brejo Seco'!AQ519,Leyenda!$B$55:$D$59,3,FALSE)</f>
        <v>1</v>
      </c>
      <c r="AZ519" s="36">
        <f>+VLOOKUP('2. Logging Brejo Seco'!AR519,Relleno,3,FALSE)</f>
        <v>2</v>
      </c>
      <c r="BA519" s="36">
        <f t="shared" si="165"/>
        <v>4</v>
      </c>
      <c r="BB519" s="49">
        <f t="shared" si="173"/>
        <v>0</v>
      </c>
      <c r="BC519" s="49">
        <f>VLOOKUP(AH519,Leyenda!$B$4:$D$10,3,FALSE)</f>
        <v>0</v>
      </c>
      <c r="BD519" s="50">
        <f t="shared" si="181"/>
        <v>6</v>
      </c>
      <c r="BE519" s="49">
        <f t="shared" si="186"/>
        <v>4</v>
      </c>
      <c r="BF519" s="49">
        <f>VLOOKUP(AS519,Leyenda!$B$70:$D$75,3,FALSE)</f>
        <v>15</v>
      </c>
      <c r="BG519" s="67">
        <f t="shared" si="174"/>
        <v>6</v>
      </c>
      <c r="BH519" s="67">
        <f>VLOOKUP(AG519,Leyenda!$B$4:$E$10,4,FALSE)</f>
        <v>0</v>
      </c>
      <c r="BI519" s="67">
        <f t="shared" si="182"/>
        <v>5</v>
      </c>
      <c r="BJ519" s="67">
        <f t="shared" si="175"/>
        <v>0</v>
      </c>
      <c r="BK519" s="67">
        <f>+VLOOKUP('2. Logging Brejo Seco'!AP519,Leyenda!$B$47:$E$51,4,FALSE)</f>
        <v>0</v>
      </c>
      <c r="BL519" s="67">
        <f>+VLOOKUP('2. Logging Brejo Seco'!AQ519,Leyenda!$B$55:$E$59,4,FALSE)</f>
        <v>1</v>
      </c>
      <c r="BM519" s="67">
        <f>+VLOOKUP('2. Logging Brejo Seco'!AR519,Leyenda!$B$63:$E$67,3,FALSE)</f>
        <v>2</v>
      </c>
      <c r="BN519" s="67">
        <f>+VLOOKUP('2. Logging Brejo Seco'!AO519,Leyenda!$B$39:$E$43,4,FALSE)</f>
        <v>0</v>
      </c>
      <c r="BO519" s="67">
        <f>+VLOOKUP('2. Logging Brejo Seco'!AN519,Leyenda!$B$30:$E$34,4,FALSE)</f>
        <v>1</v>
      </c>
      <c r="BP519" s="67">
        <f>VLOOKUP(AS519,Leyenda!$B$71:$E$75,4,FALSE)</f>
        <v>10</v>
      </c>
      <c r="BQ519" s="125">
        <f t="shared" si="187"/>
        <v>19</v>
      </c>
      <c r="BR519" s="85">
        <f t="shared" si="188"/>
        <v>25</v>
      </c>
      <c r="BS519" s="240">
        <f t="shared" si="183"/>
        <v>0.8</v>
      </c>
      <c r="BT519" s="18" t="s">
        <v>712</v>
      </c>
    </row>
    <row r="520" spans="1:72" x14ac:dyDescent="0.25">
      <c r="A520" s="18" t="s">
        <v>6</v>
      </c>
      <c r="B520" s="18">
        <v>2024</v>
      </c>
      <c r="C520" s="18" t="s">
        <v>138</v>
      </c>
      <c r="D520" s="18" t="s">
        <v>266</v>
      </c>
      <c r="E520" s="18">
        <v>40</v>
      </c>
      <c r="F520" s="18">
        <v>40</v>
      </c>
      <c r="G520" s="18" t="s">
        <v>153</v>
      </c>
      <c r="H520" s="248">
        <f t="shared" si="163"/>
        <v>40</v>
      </c>
      <c r="I520" s="135"/>
      <c r="J520" s="18" t="s">
        <v>297</v>
      </c>
      <c r="K520" s="31">
        <f t="shared" si="179"/>
        <v>6</v>
      </c>
      <c r="L520" s="31">
        <f t="shared" si="180"/>
        <v>6.5</v>
      </c>
      <c r="M520" s="4">
        <f t="shared" si="189"/>
        <v>0.5</v>
      </c>
      <c r="N520" s="32">
        <v>0.2</v>
      </c>
      <c r="O520" s="5">
        <f t="shared" si="177"/>
        <v>0.8</v>
      </c>
      <c r="P520" s="31">
        <f t="shared" si="184"/>
        <v>0.1</v>
      </c>
      <c r="Q520" s="18">
        <f t="shared" si="185"/>
        <v>0.1</v>
      </c>
      <c r="R520" s="18">
        <v>5</v>
      </c>
      <c r="S520" s="18">
        <v>20</v>
      </c>
      <c r="T520" s="18">
        <v>0.1</v>
      </c>
      <c r="U520" s="18">
        <v>0</v>
      </c>
      <c r="V520" s="65">
        <f t="shared" si="164"/>
        <v>0</v>
      </c>
      <c r="W520" s="18">
        <v>4</v>
      </c>
      <c r="X520" s="18"/>
      <c r="Y520" s="18">
        <f t="shared" si="178"/>
        <v>4</v>
      </c>
      <c r="Z520" s="31">
        <f t="shared" si="166"/>
        <v>125</v>
      </c>
      <c r="AA520" s="18">
        <v>0</v>
      </c>
      <c r="AB520" s="18" t="s">
        <v>330</v>
      </c>
      <c r="AC520" s="18" t="s">
        <v>333</v>
      </c>
      <c r="AD520" s="18" t="s">
        <v>335</v>
      </c>
      <c r="AE520" s="18">
        <v>20</v>
      </c>
      <c r="AF520" s="18">
        <v>5</v>
      </c>
      <c r="AG520" s="18" t="s">
        <v>29</v>
      </c>
      <c r="AH520" s="18" t="s">
        <v>29</v>
      </c>
      <c r="AI520" s="18" t="str">
        <f>+VLOOKUP(AH520,Leyenda!$O$4:$U$10,6,FALSE)</f>
        <v>0,25-0,35</v>
      </c>
      <c r="AJ520" s="18" t="str">
        <f>+VLOOKUP(AG520,Leyenda!$O$4:$U$10,7,FALSE)</f>
        <v>No Blasting need</v>
      </c>
      <c r="AK520" s="18">
        <f>+VLOOKUP(AJ520,Leyenda!$U$4:$V$10,2,FALSE)</f>
        <v>2</v>
      </c>
      <c r="AL520" s="18" t="s">
        <v>29</v>
      </c>
      <c r="AM520" s="18" t="s">
        <v>29</v>
      </c>
      <c r="AN520" s="18" t="s">
        <v>66</v>
      </c>
      <c r="AO520" s="18" t="s">
        <v>79</v>
      </c>
      <c r="AP520" s="18" t="s">
        <v>96</v>
      </c>
      <c r="AQ520" s="18" t="s">
        <v>107</v>
      </c>
      <c r="AR520" s="18" t="s">
        <v>120</v>
      </c>
      <c r="AS520" s="18" t="s">
        <v>267</v>
      </c>
      <c r="AT520" s="18"/>
      <c r="AU520" s="18"/>
      <c r="AV520" s="18">
        <f>+VLOOKUP(AN520,Leyenda!$B$30:$E$34,3,FALSE)</f>
        <v>1</v>
      </c>
      <c r="AW520" s="36">
        <f>+VLOOKUP('2. Logging Brejo Seco'!AO520,Meteorizacion,3,FALSE)</f>
        <v>1</v>
      </c>
      <c r="AX520" s="36">
        <f>+VLOOKUP('2. Logging Brejo Seco'!AP520,Apertura,3,FALSE)</f>
        <v>1</v>
      </c>
      <c r="AY520" s="36">
        <f>+VLOOKUP('2. Logging Brejo Seco'!AQ520,Leyenda!$B$55:$D$59,3,FALSE)</f>
        <v>3</v>
      </c>
      <c r="AZ520" s="36">
        <f>+VLOOKUP('2. Logging Brejo Seco'!AR520,Relleno,3,FALSE)</f>
        <v>2</v>
      </c>
      <c r="BA520" s="36">
        <f t="shared" si="165"/>
        <v>8</v>
      </c>
      <c r="BB520" s="49">
        <f t="shared" si="173"/>
        <v>0</v>
      </c>
      <c r="BC520" s="49">
        <f>VLOOKUP(AH520,Leyenda!$B$4:$D$10,3,FALSE)</f>
        <v>2</v>
      </c>
      <c r="BD520" s="50">
        <f t="shared" si="181"/>
        <v>8</v>
      </c>
      <c r="BE520" s="49">
        <f t="shared" si="186"/>
        <v>8</v>
      </c>
      <c r="BF520" s="49">
        <f>VLOOKUP(AS520,Leyenda!$B$70:$D$75,3,FALSE)</f>
        <v>15</v>
      </c>
      <c r="BG520" s="67">
        <f t="shared" si="174"/>
        <v>12</v>
      </c>
      <c r="BH520" s="67">
        <f>VLOOKUP(AG520,Leyenda!$B$4:$E$10,4,FALSE)</f>
        <v>2</v>
      </c>
      <c r="BI520" s="67">
        <f t="shared" si="182"/>
        <v>10</v>
      </c>
      <c r="BJ520" s="67">
        <f t="shared" si="175"/>
        <v>0</v>
      </c>
      <c r="BK520" s="67">
        <f>+VLOOKUP('2. Logging Brejo Seco'!AP520,Leyenda!$B$47:$E$51,4,FALSE)</f>
        <v>1</v>
      </c>
      <c r="BL520" s="67">
        <f>+VLOOKUP('2. Logging Brejo Seco'!AQ520,Leyenda!$B$55:$E$59,4,FALSE)</f>
        <v>3</v>
      </c>
      <c r="BM520" s="67">
        <f>+VLOOKUP('2. Logging Brejo Seco'!AR520,Leyenda!$B$63:$E$67,3,FALSE)</f>
        <v>2</v>
      </c>
      <c r="BN520" s="67">
        <f>+VLOOKUP('2. Logging Brejo Seco'!AO520,Leyenda!$B$39:$E$43,4,FALSE)</f>
        <v>1</v>
      </c>
      <c r="BO520" s="67">
        <f>+VLOOKUP('2. Logging Brejo Seco'!AN520,Leyenda!$B$30:$E$34,4,FALSE)</f>
        <v>1</v>
      </c>
      <c r="BP520" s="67">
        <f>VLOOKUP(AS520,Leyenda!$B$71:$E$75,4,FALSE)</f>
        <v>10</v>
      </c>
      <c r="BQ520" s="125">
        <f t="shared" si="187"/>
        <v>30</v>
      </c>
      <c r="BR520" s="85">
        <f t="shared" si="188"/>
        <v>33</v>
      </c>
      <c r="BS520" s="240">
        <f t="shared" si="183"/>
        <v>0.8</v>
      </c>
      <c r="BT520" s="18"/>
    </row>
    <row r="521" spans="1:72" x14ac:dyDescent="0.25">
      <c r="A521" s="18" t="s">
        <v>6</v>
      </c>
      <c r="B521" s="18">
        <v>2024</v>
      </c>
      <c r="C521" s="18" t="s">
        <v>138</v>
      </c>
      <c r="D521" s="18" t="s">
        <v>266</v>
      </c>
      <c r="E521" s="18">
        <v>40</v>
      </c>
      <c r="F521" s="18">
        <v>40</v>
      </c>
      <c r="G521" s="18" t="s">
        <v>153</v>
      </c>
      <c r="H521" s="248">
        <f t="shared" si="163"/>
        <v>40</v>
      </c>
      <c r="I521" s="135"/>
      <c r="J521" s="18" t="s">
        <v>297</v>
      </c>
      <c r="K521" s="31">
        <f t="shared" si="179"/>
        <v>6.5</v>
      </c>
      <c r="L521" s="31">
        <f t="shared" si="180"/>
        <v>7</v>
      </c>
      <c r="M521" s="4">
        <f t="shared" si="189"/>
        <v>0.5</v>
      </c>
      <c r="N521" s="32">
        <v>0.74</v>
      </c>
      <c r="O521" s="5">
        <f t="shared" si="177"/>
        <v>0.26</v>
      </c>
      <c r="P521" s="31">
        <f t="shared" si="184"/>
        <v>0.37</v>
      </c>
      <c r="Q521" s="18">
        <f t="shared" si="185"/>
        <v>0.37</v>
      </c>
      <c r="R521" s="18">
        <v>18.5</v>
      </c>
      <c r="S521" s="18">
        <v>20</v>
      </c>
      <c r="T521" s="18">
        <v>0.36</v>
      </c>
      <c r="U521" s="18">
        <v>0.2</v>
      </c>
      <c r="V521" s="65">
        <f t="shared" si="164"/>
        <v>40</v>
      </c>
      <c r="W521" s="18">
        <v>5</v>
      </c>
      <c r="X521" s="18"/>
      <c r="Y521" s="18">
        <f t="shared" si="178"/>
        <v>5</v>
      </c>
      <c r="Z521" s="31">
        <f t="shared" si="166"/>
        <v>100</v>
      </c>
      <c r="AA521" s="18">
        <v>0</v>
      </c>
      <c r="AB521" s="18" t="s">
        <v>330</v>
      </c>
      <c r="AC521" s="18" t="s">
        <v>333</v>
      </c>
      <c r="AD521" s="18" t="s">
        <v>335</v>
      </c>
      <c r="AE521" s="18">
        <v>20</v>
      </c>
      <c r="AF521" s="18">
        <v>18.5</v>
      </c>
      <c r="AG521" s="18" t="s">
        <v>27</v>
      </c>
      <c r="AH521" s="18" t="s">
        <v>27</v>
      </c>
      <c r="AI521" s="18" t="str">
        <f>+VLOOKUP(AH521,Leyenda!$O$4:$U$10,6,FALSE)</f>
        <v>0,35-0,50</v>
      </c>
      <c r="AJ521" s="18" t="str">
        <f>+VLOOKUP(AG521,Leyenda!$O$4:$U$10,7,FALSE)</f>
        <v>Easy to blast</v>
      </c>
      <c r="AK521" s="18">
        <f>+VLOOKUP(AJ521,Leyenda!$U$4:$V$10,2,FALSE)</f>
        <v>3</v>
      </c>
      <c r="AL521" s="18" t="s">
        <v>27</v>
      </c>
      <c r="AM521" s="18" t="s">
        <v>27</v>
      </c>
      <c r="AN521" s="18" t="s">
        <v>64</v>
      </c>
      <c r="AO521" s="18" t="s">
        <v>77</v>
      </c>
      <c r="AP521" s="18" t="s">
        <v>96</v>
      </c>
      <c r="AQ521" s="18" t="s">
        <v>105</v>
      </c>
      <c r="AR521" s="18" t="s">
        <v>118</v>
      </c>
      <c r="AS521" s="18" t="s">
        <v>267</v>
      </c>
      <c r="AT521" s="18" t="s">
        <v>269</v>
      </c>
      <c r="AU521" s="18"/>
      <c r="AV521" s="18">
        <f>+VLOOKUP(AN521,Leyenda!$B$30:$E$34,3,FALSE)</f>
        <v>2</v>
      </c>
      <c r="AW521" s="36">
        <f>+VLOOKUP('2. Logging Brejo Seco'!AO521,Meteorizacion,3,FALSE)</f>
        <v>3</v>
      </c>
      <c r="AX521" s="36">
        <f>+VLOOKUP('2. Logging Brejo Seco'!AP521,Apertura,3,FALSE)</f>
        <v>1</v>
      </c>
      <c r="AY521" s="36">
        <f>+VLOOKUP('2. Logging Brejo Seco'!AQ521,Leyenda!$B$55:$D$59,3,FALSE)</f>
        <v>4</v>
      </c>
      <c r="AZ521" s="36">
        <f>+VLOOKUP('2. Logging Brejo Seco'!AR521,Relleno,3,FALSE)</f>
        <v>2</v>
      </c>
      <c r="BA521" s="36">
        <f t="shared" si="165"/>
        <v>12</v>
      </c>
      <c r="BB521" s="49">
        <f t="shared" si="173"/>
        <v>8</v>
      </c>
      <c r="BC521" s="49">
        <f>VLOOKUP(AH521,Leyenda!$B$4:$D$10,3,FALSE)</f>
        <v>4</v>
      </c>
      <c r="BD521" s="50">
        <f t="shared" si="181"/>
        <v>7</v>
      </c>
      <c r="BE521" s="49">
        <f t="shared" si="186"/>
        <v>12</v>
      </c>
      <c r="BF521" s="49">
        <f>VLOOKUP(AS521,Leyenda!$B$70:$D$75,3,FALSE)</f>
        <v>15</v>
      </c>
      <c r="BG521" s="67">
        <f t="shared" si="174"/>
        <v>38</v>
      </c>
      <c r="BH521" s="67">
        <f>VLOOKUP(AG521,Leyenda!$B$4:$E$10,4,FALSE)</f>
        <v>4</v>
      </c>
      <c r="BI521" s="67">
        <f t="shared" si="182"/>
        <v>8</v>
      </c>
      <c r="BJ521" s="67">
        <f t="shared" si="175"/>
        <v>8</v>
      </c>
      <c r="BK521" s="67">
        <f>+VLOOKUP('2. Logging Brejo Seco'!AP521,Leyenda!$B$47:$E$51,4,FALSE)</f>
        <v>1</v>
      </c>
      <c r="BL521" s="67">
        <f>+VLOOKUP('2. Logging Brejo Seco'!AQ521,Leyenda!$B$55:$E$59,4,FALSE)</f>
        <v>4</v>
      </c>
      <c r="BM521" s="67">
        <f>+VLOOKUP('2. Logging Brejo Seco'!AR521,Leyenda!$B$63:$E$67,3,FALSE)</f>
        <v>2</v>
      </c>
      <c r="BN521" s="67">
        <f>+VLOOKUP('2. Logging Brejo Seco'!AO521,Leyenda!$B$39:$E$43,4,FALSE)</f>
        <v>3</v>
      </c>
      <c r="BO521" s="67">
        <f>+VLOOKUP('2. Logging Brejo Seco'!AN521,Leyenda!$B$30:$E$34,4,FALSE)</f>
        <v>3</v>
      </c>
      <c r="BP521" s="67">
        <f>VLOOKUP(AS521,Leyenda!$B$71:$E$75,4,FALSE)</f>
        <v>10</v>
      </c>
      <c r="BQ521" s="125">
        <f t="shared" si="187"/>
        <v>43</v>
      </c>
      <c r="BR521" s="85">
        <f t="shared" si="188"/>
        <v>46</v>
      </c>
      <c r="BS521" s="240">
        <f t="shared" si="183"/>
        <v>0.26</v>
      </c>
      <c r="BT521" s="18"/>
    </row>
    <row r="522" spans="1:72" x14ac:dyDescent="0.25">
      <c r="A522" s="18" t="s">
        <v>6</v>
      </c>
      <c r="B522" s="18">
        <v>2024</v>
      </c>
      <c r="C522" s="18" t="s">
        <v>138</v>
      </c>
      <c r="D522" s="18" t="s">
        <v>266</v>
      </c>
      <c r="E522" s="18">
        <v>40</v>
      </c>
      <c r="F522" s="18">
        <v>40</v>
      </c>
      <c r="G522" s="18" t="s">
        <v>153</v>
      </c>
      <c r="H522" s="248">
        <f t="shared" ref="H522:H585" si="190">+F522</f>
        <v>40</v>
      </c>
      <c r="I522" s="135"/>
      <c r="J522" s="18" t="s">
        <v>297</v>
      </c>
      <c r="K522" s="31">
        <f t="shared" si="179"/>
        <v>7</v>
      </c>
      <c r="L522" s="31">
        <f t="shared" si="180"/>
        <v>7.5</v>
      </c>
      <c r="M522" s="4">
        <f t="shared" si="189"/>
        <v>0.5</v>
      </c>
      <c r="N522" s="32">
        <v>0.78</v>
      </c>
      <c r="O522" s="5">
        <f t="shared" si="177"/>
        <v>0.21999999999999997</v>
      </c>
      <c r="P522" s="31">
        <f t="shared" si="184"/>
        <v>0.39</v>
      </c>
      <c r="Q522" s="18">
        <f t="shared" si="185"/>
        <v>0.39</v>
      </c>
      <c r="R522" s="18">
        <v>19.5</v>
      </c>
      <c r="S522" s="18">
        <v>20</v>
      </c>
      <c r="T522" s="18">
        <v>0.39</v>
      </c>
      <c r="U522" s="18">
        <v>0.18</v>
      </c>
      <c r="V522" s="65">
        <f t="shared" si="164"/>
        <v>36</v>
      </c>
      <c r="W522" s="18">
        <v>4</v>
      </c>
      <c r="X522" s="18"/>
      <c r="Y522" s="18">
        <f t="shared" si="178"/>
        <v>4</v>
      </c>
      <c r="Z522" s="31">
        <f t="shared" si="166"/>
        <v>125</v>
      </c>
      <c r="AA522" s="18">
        <v>0</v>
      </c>
      <c r="AB522" s="18" t="s">
        <v>330</v>
      </c>
      <c r="AC522" s="18" t="s">
        <v>333</v>
      </c>
      <c r="AD522" s="18" t="s">
        <v>335</v>
      </c>
      <c r="AE522" s="18">
        <v>20</v>
      </c>
      <c r="AF522" s="18">
        <v>19.5</v>
      </c>
      <c r="AG522" s="18" t="s">
        <v>27</v>
      </c>
      <c r="AH522" s="18" t="s">
        <v>27</v>
      </c>
      <c r="AI522" s="18" t="str">
        <f>+VLOOKUP(AH522,Leyenda!$O$4:$U$10,6,FALSE)</f>
        <v>0,35-0,50</v>
      </c>
      <c r="AJ522" s="18" t="str">
        <f>+VLOOKUP(AG522,Leyenda!$O$4:$U$10,7,FALSE)</f>
        <v>Easy to blast</v>
      </c>
      <c r="AK522" s="18">
        <f>+VLOOKUP(AJ522,Leyenda!$U$4:$V$10,2,FALSE)</f>
        <v>3</v>
      </c>
      <c r="AL522" s="18" t="s">
        <v>27</v>
      </c>
      <c r="AM522" s="18" t="s">
        <v>27</v>
      </c>
      <c r="AN522" s="18" t="s">
        <v>64</v>
      </c>
      <c r="AO522" s="18" t="s">
        <v>81</v>
      </c>
      <c r="AP522" s="18" t="s">
        <v>96</v>
      </c>
      <c r="AQ522" s="18" t="s">
        <v>105</v>
      </c>
      <c r="AR522" s="18" t="s">
        <v>118</v>
      </c>
      <c r="AS522" s="18" t="s">
        <v>267</v>
      </c>
      <c r="AT522" s="18"/>
      <c r="AU522" s="18"/>
      <c r="AV522" s="18">
        <f>+VLOOKUP(AN522,Leyenda!$B$30:$E$34,3,FALSE)</f>
        <v>2</v>
      </c>
      <c r="AW522" s="36">
        <f>+VLOOKUP('2. Logging Brejo Seco'!AO522,Meteorizacion,3,FALSE)</f>
        <v>0</v>
      </c>
      <c r="AX522" s="36">
        <f>+VLOOKUP('2. Logging Brejo Seco'!AP522,Apertura,3,FALSE)</f>
        <v>1</v>
      </c>
      <c r="AY522" s="36">
        <f>+VLOOKUP('2. Logging Brejo Seco'!AQ522,Leyenda!$B$55:$D$59,3,FALSE)</f>
        <v>4</v>
      </c>
      <c r="AZ522" s="36">
        <f>+VLOOKUP('2. Logging Brejo Seco'!AR522,Relleno,3,FALSE)</f>
        <v>2</v>
      </c>
      <c r="BA522" s="36">
        <f t="shared" si="165"/>
        <v>9</v>
      </c>
      <c r="BB522" s="49">
        <f t="shared" si="173"/>
        <v>8</v>
      </c>
      <c r="BC522" s="49">
        <f>VLOOKUP(AH522,Leyenda!$B$4:$D$10,3,FALSE)</f>
        <v>4</v>
      </c>
      <c r="BD522" s="50">
        <f t="shared" si="181"/>
        <v>8</v>
      </c>
      <c r="BE522" s="49">
        <f t="shared" si="186"/>
        <v>9</v>
      </c>
      <c r="BF522" s="49">
        <f>VLOOKUP(AS522,Leyenda!$B$70:$D$75,3,FALSE)</f>
        <v>15</v>
      </c>
      <c r="BG522" s="67">
        <f t="shared" si="174"/>
        <v>31.5</v>
      </c>
      <c r="BH522" s="67">
        <f>VLOOKUP(AG522,Leyenda!$B$4:$E$10,4,FALSE)</f>
        <v>4</v>
      </c>
      <c r="BI522" s="67">
        <f t="shared" si="182"/>
        <v>10</v>
      </c>
      <c r="BJ522" s="67">
        <f t="shared" si="175"/>
        <v>8</v>
      </c>
      <c r="BK522" s="67">
        <f>+VLOOKUP('2. Logging Brejo Seco'!AP522,Leyenda!$B$47:$E$51,4,FALSE)</f>
        <v>1</v>
      </c>
      <c r="BL522" s="67">
        <f>+VLOOKUP('2. Logging Brejo Seco'!AQ522,Leyenda!$B$55:$E$59,4,FALSE)</f>
        <v>4</v>
      </c>
      <c r="BM522" s="67">
        <f>+VLOOKUP('2. Logging Brejo Seco'!AR522,Leyenda!$B$63:$E$67,3,FALSE)</f>
        <v>2</v>
      </c>
      <c r="BN522" s="67">
        <f>+VLOOKUP('2. Logging Brejo Seco'!AO522,Leyenda!$B$39:$E$43,4,FALSE)</f>
        <v>0</v>
      </c>
      <c r="BO522" s="67">
        <f>+VLOOKUP('2. Logging Brejo Seco'!AN522,Leyenda!$B$30:$E$34,4,FALSE)</f>
        <v>3</v>
      </c>
      <c r="BP522" s="67">
        <f>VLOOKUP(AS522,Leyenda!$B$71:$E$75,4,FALSE)</f>
        <v>10</v>
      </c>
      <c r="BQ522" s="125">
        <f t="shared" si="187"/>
        <v>42</v>
      </c>
      <c r="BR522" s="85">
        <f t="shared" si="188"/>
        <v>44</v>
      </c>
      <c r="BS522" s="240">
        <f t="shared" si="183"/>
        <v>0.21999999999999997</v>
      </c>
      <c r="BT522" s="18"/>
    </row>
    <row r="523" spans="1:72" x14ac:dyDescent="0.25">
      <c r="A523" s="18" t="s">
        <v>6</v>
      </c>
      <c r="B523" s="18">
        <v>2024</v>
      </c>
      <c r="C523" s="18" t="s">
        <v>138</v>
      </c>
      <c r="D523" s="18" t="s">
        <v>266</v>
      </c>
      <c r="E523" s="18">
        <v>40</v>
      </c>
      <c r="F523" s="18">
        <v>40</v>
      </c>
      <c r="G523" s="18" t="s">
        <v>153</v>
      </c>
      <c r="H523" s="248">
        <f t="shared" si="190"/>
        <v>40</v>
      </c>
      <c r="I523" s="135"/>
      <c r="J523" s="18" t="s">
        <v>297</v>
      </c>
      <c r="K523" s="31">
        <f t="shared" si="179"/>
        <v>7.5</v>
      </c>
      <c r="L523" s="31">
        <f t="shared" si="180"/>
        <v>8</v>
      </c>
      <c r="M523" s="4">
        <f t="shared" si="189"/>
        <v>0.5</v>
      </c>
      <c r="N523" s="32">
        <v>0.84</v>
      </c>
      <c r="O523" s="5">
        <f t="shared" si="177"/>
        <v>0.16000000000000003</v>
      </c>
      <c r="P523" s="31">
        <f t="shared" si="184"/>
        <v>0.42</v>
      </c>
      <c r="Q523" s="18">
        <f t="shared" si="185"/>
        <v>0.42</v>
      </c>
      <c r="R523" s="18">
        <v>21</v>
      </c>
      <c r="S523" s="18">
        <v>20</v>
      </c>
      <c r="T523" s="18">
        <v>0.39</v>
      </c>
      <c r="U523" s="18">
        <v>0.23</v>
      </c>
      <c r="V523" s="65">
        <f t="shared" si="164"/>
        <v>46</v>
      </c>
      <c r="W523" s="18">
        <v>3</v>
      </c>
      <c r="X523" s="18"/>
      <c r="Y523" s="18">
        <f>+W523+X523</f>
        <v>3</v>
      </c>
      <c r="Z523" s="31">
        <f t="shared" si="166"/>
        <v>166.66666666666666</v>
      </c>
      <c r="AA523" s="18">
        <v>0</v>
      </c>
      <c r="AB523" s="18" t="s">
        <v>330</v>
      </c>
      <c r="AC523" s="18" t="s">
        <v>333</v>
      </c>
      <c r="AD523" s="18" t="s">
        <v>335</v>
      </c>
      <c r="AE523" s="18">
        <v>20</v>
      </c>
      <c r="AF523" s="18">
        <v>21</v>
      </c>
      <c r="AG523" s="18" t="s">
        <v>24</v>
      </c>
      <c r="AH523" s="18" t="s">
        <v>24</v>
      </c>
      <c r="AI523" s="18" t="str">
        <f>+VLOOKUP(AH523,Leyenda!$O$4:$U$10,6,FALSE)</f>
        <v>0,50-0,80</v>
      </c>
      <c r="AJ523" s="18" t="str">
        <f>+VLOOKUP(AG523,Leyenda!$O$4:$U$10,7,FALSE)</f>
        <v>Fairly easy to blast</v>
      </c>
      <c r="AK523" s="18">
        <f>+VLOOKUP(AJ523,Leyenda!$U$4:$V$10,2,FALSE)</f>
        <v>4</v>
      </c>
      <c r="AL523" s="18" t="s">
        <v>27</v>
      </c>
      <c r="AM523" s="18" t="s">
        <v>27</v>
      </c>
      <c r="AN523" s="18" t="s">
        <v>64</v>
      </c>
      <c r="AO523" s="18" t="s">
        <v>77</v>
      </c>
      <c r="AP523" s="18" t="s">
        <v>96</v>
      </c>
      <c r="AQ523" s="18" t="s">
        <v>105</v>
      </c>
      <c r="AR523" s="18" t="s">
        <v>118</v>
      </c>
      <c r="AS523" s="18" t="s">
        <v>267</v>
      </c>
      <c r="AT523" s="18"/>
      <c r="AU523" s="18"/>
      <c r="AV523" s="18">
        <f>+VLOOKUP(AN523,Leyenda!$B$30:$E$34,3,FALSE)</f>
        <v>2</v>
      </c>
      <c r="AW523" s="36">
        <f>+VLOOKUP('2. Logging Brejo Seco'!AO523,Meteorizacion,3,FALSE)</f>
        <v>3</v>
      </c>
      <c r="AX523" s="36">
        <f>+VLOOKUP('2. Logging Brejo Seco'!AP523,Apertura,3,FALSE)</f>
        <v>1</v>
      </c>
      <c r="AY523" s="36">
        <f>+VLOOKUP('2. Logging Brejo Seco'!AQ523,Leyenda!$B$55:$D$59,3,FALSE)</f>
        <v>4</v>
      </c>
      <c r="AZ523" s="36">
        <f>+VLOOKUP('2. Logging Brejo Seco'!AR523,Relleno,3,FALSE)</f>
        <v>2</v>
      </c>
      <c r="BA523" s="36">
        <f t="shared" si="165"/>
        <v>12</v>
      </c>
      <c r="BB523" s="49">
        <f t="shared" si="173"/>
        <v>10</v>
      </c>
      <c r="BC523" s="49">
        <f>VLOOKUP(AH523,Leyenda!$B$4:$D$10,3,FALSE)</f>
        <v>7</v>
      </c>
      <c r="BD523" s="50">
        <f t="shared" si="181"/>
        <v>9</v>
      </c>
      <c r="BE523" s="49">
        <f t="shared" si="186"/>
        <v>12</v>
      </c>
      <c r="BF523" s="49">
        <f>VLOOKUP(AS523,Leyenda!$B$70:$D$75,3,FALSE)</f>
        <v>15</v>
      </c>
      <c r="BG523" s="67">
        <f t="shared" si="174"/>
        <v>41</v>
      </c>
      <c r="BH523" s="67">
        <f>VLOOKUP(AG523,Leyenda!$B$4:$E$10,4,FALSE)</f>
        <v>7</v>
      </c>
      <c r="BI523" s="67">
        <f t="shared" si="182"/>
        <v>11</v>
      </c>
      <c r="BJ523" s="67">
        <f t="shared" si="175"/>
        <v>10</v>
      </c>
      <c r="BK523" s="67">
        <f>+VLOOKUP('2. Logging Brejo Seco'!AP523,Leyenda!$B$47:$E$51,4,FALSE)</f>
        <v>1</v>
      </c>
      <c r="BL523" s="67">
        <f>+VLOOKUP('2. Logging Brejo Seco'!AQ523,Leyenda!$B$55:$E$59,4,FALSE)</f>
        <v>4</v>
      </c>
      <c r="BM523" s="67">
        <f>+VLOOKUP('2. Logging Brejo Seco'!AR523,Leyenda!$B$63:$E$67,3,FALSE)</f>
        <v>2</v>
      </c>
      <c r="BN523" s="67">
        <f>+VLOOKUP('2. Logging Brejo Seco'!AO523,Leyenda!$B$39:$E$43,4,FALSE)</f>
        <v>3</v>
      </c>
      <c r="BO523" s="67">
        <f>+VLOOKUP('2. Logging Brejo Seco'!AN523,Leyenda!$B$30:$E$34,4,FALSE)</f>
        <v>3</v>
      </c>
      <c r="BP523" s="67">
        <f>VLOOKUP(AS523,Leyenda!$B$71:$E$75,4,FALSE)</f>
        <v>10</v>
      </c>
      <c r="BQ523" s="125">
        <f t="shared" si="187"/>
        <v>51</v>
      </c>
      <c r="BR523" s="85">
        <f t="shared" si="188"/>
        <v>53</v>
      </c>
      <c r="BS523" s="240">
        <f t="shared" si="183"/>
        <v>0.16000000000000003</v>
      </c>
      <c r="BT523" s="18"/>
    </row>
    <row r="524" spans="1:72" x14ac:dyDescent="0.25">
      <c r="A524" s="18" t="s">
        <v>6</v>
      </c>
      <c r="B524" s="18">
        <v>2024</v>
      </c>
      <c r="C524" s="18" t="s">
        <v>138</v>
      </c>
      <c r="D524" s="18" t="s">
        <v>266</v>
      </c>
      <c r="E524" s="18">
        <v>40</v>
      </c>
      <c r="F524" s="18">
        <v>40</v>
      </c>
      <c r="G524" s="18" t="s">
        <v>153</v>
      </c>
      <c r="H524" s="248">
        <f t="shared" si="190"/>
        <v>40</v>
      </c>
      <c r="I524" s="135"/>
      <c r="J524" s="18" t="s">
        <v>297</v>
      </c>
      <c r="K524" s="31">
        <f t="shared" si="179"/>
        <v>8</v>
      </c>
      <c r="L524" s="31">
        <f t="shared" si="180"/>
        <v>8.5</v>
      </c>
      <c r="M524" s="4">
        <f t="shared" si="189"/>
        <v>0.5</v>
      </c>
      <c r="N524" s="32">
        <v>0.6</v>
      </c>
      <c r="O524" s="5">
        <f t="shared" si="177"/>
        <v>0.4</v>
      </c>
      <c r="P524" s="31">
        <f t="shared" si="184"/>
        <v>0.3</v>
      </c>
      <c r="Q524" s="18">
        <f t="shared" si="185"/>
        <v>0.3</v>
      </c>
      <c r="R524" s="18">
        <v>15</v>
      </c>
      <c r="S524" s="18">
        <v>20</v>
      </c>
      <c r="T524" s="18">
        <v>0.31</v>
      </c>
      <c r="U524" s="18">
        <v>0.13</v>
      </c>
      <c r="V524" s="65">
        <f t="shared" ref="V524:V587" si="191">+U524/M524*100</f>
        <v>26</v>
      </c>
      <c r="W524" s="18">
        <v>3</v>
      </c>
      <c r="X524" s="18"/>
      <c r="Y524" s="18">
        <v>5</v>
      </c>
      <c r="Z524" s="31">
        <f t="shared" ref="Z524:Z587" si="192">+IF(M524=0,"",(M524*1000)/Y524)</f>
        <v>100</v>
      </c>
      <c r="AA524" s="18">
        <v>0</v>
      </c>
      <c r="AB524" s="18" t="s">
        <v>330</v>
      </c>
      <c r="AC524" s="18" t="s">
        <v>333</v>
      </c>
      <c r="AD524" s="18" t="s">
        <v>335</v>
      </c>
      <c r="AE524" s="18">
        <v>20</v>
      </c>
      <c r="AF524" s="18">
        <v>15</v>
      </c>
      <c r="AG524" s="18" t="s">
        <v>24</v>
      </c>
      <c r="AH524" s="18" t="s">
        <v>24</v>
      </c>
      <c r="AI524" s="18" t="str">
        <f>+VLOOKUP(AH524,Leyenda!$O$4:$U$10,6,FALSE)</f>
        <v>0,50-0,80</v>
      </c>
      <c r="AJ524" s="18" t="str">
        <f>+VLOOKUP(AG524,Leyenda!$O$4:$U$10,7,FALSE)</f>
        <v>Fairly easy to blast</v>
      </c>
      <c r="AK524" s="18">
        <f>+VLOOKUP(AJ524,Leyenda!$U$4:$V$10,2,FALSE)</f>
        <v>4</v>
      </c>
      <c r="AL524" s="18" t="s">
        <v>27</v>
      </c>
      <c r="AM524" s="18" t="s">
        <v>27</v>
      </c>
      <c r="AN524" s="18" t="s">
        <v>64</v>
      </c>
      <c r="AO524" s="18" t="s">
        <v>79</v>
      </c>
      <c r="AP524" s="18" t="s">
        <v>96</v>
      </c>
      <c r="AQ524" s="18" t="s">
        <v>105</v>
      </c>
      <c r="AR524" s="18" t="s">
        <v>118</v>
      </c>
      <c r="AS524" s="18" t="s">
        <v>267</v>
      </c>
      <c r="AT524" s="18"/>
      <c r="AU524" s="18"/>
      <c r="AV524" s="18">
        <f>+VLOOKUP(AN524,Leyenda!$B$30:$E$34,3,FALSE)</f>
        <v>2</v>
      </c>
      <c r="AW524" s="36">
        <f>+VLOOKUP('2. Logging Brejo Seco'!AO524,Meteorizacion,3,FALSE)</f>
        <v>1</v>
      </c>
      <c r="AX524" s="36">
        <f>+VLOOKUP('2. Logging Brejo Seco'!AP524,Apertura,3,FALSE)</f>
        <v>1</v>
      </c>
      <c r="AY524" s="36">
        <f>+VLOOKUP('2. Logging Brejo Seco'!AQ524,Leyenda!$B$55:$D$59,3,FALSE)</f>
        <v>4</v>
      </c>
      <c r="AZ524" s="36">
        <f>+VLOOKUP('2. Logging Brejo Seco'!AR524,Relleno,3,FALSE)</f>
        <v>2</v>
      </c>
      <c r="BA524" s="36">
        <f t="shared" ref="BA524:BA587" si="193">+SUM(AV524:AZ524)</f>
        <v>10</v>
      </c>
      <c r="BB524" s="49">
        <f t="shared" si="173"/>
        <v>6</v>
      </c>
      <c r="BC524" s="49">
        <f>VLOOKUP(AH524,Leyenda!$B$4:$D$10,3,FALSE)</f>
        <v>7</v>
      </c>
      <c r="BD524" s="50">
        <f t="shared" si="181"/>
        <v>7</v>
      </c>
      <c r="BE524" s="49">
        <f t="shared" si="186"/>
        <v>10</v>
      </c>
      <c r="BF524" s="49">
        <f>VLOOKUP(AS524,Leyenda!$B$70:$D$75,3,FALSE)</f>
        <v>15</v>
      </c>
      <c r="BG524" s="67">
        <f t="shared" si="174"/>
        <v>28</v>
      </c>
      <c r="BH524" s="67">
        <f>VLOOKUP(AG524,Leyenda!$B$4:$E$10,4,FALSE)</f>
        <v>7</v>
      </c>
      <c r="BI524" s="67">
        <f t="shared" si="182"/>
        <v>8</v>
      </c>
      <c r="BJ524" s="67">
        <f t="shared" si="175"/>
        <v>6</v>
      </c>
      <c r="BK524" s="67">
        <f>+VLOOKUP('2. Logging Brejo Seco'!AP524,Leyenda!$B$47:$E$51,4,FALSE)</f>
        <v>1</v>
      </c>
      <c r="BL524" s="67">
        <f>+VLOOKUP('2. Logging Brejo Seco'!AQ524,Leyenda!$B$55:$E$59,4,FALSE)</f>
        <v>4</v>
      </c>
      <c r="BM524" s="67">
        <f>+VLOOKUP('2. Logging Brejo Seco'!AR524,Leyenda!$B$63:$E$67,3,FALSE)</f>
        <v>2</v>
      </c>
      <c r="BN524" s="67">
        <f>+VLOOKUP('2. Logging Brejo Seco'!AO524,Leyenda!$B$39:$E$43,4,FALSE)</f>
        <v>1</v>
      </c>
      <c r="BO524" s="67">
        <f>+VLOOKUP('2. Logging Brejo Seco'!AN524,Leyenda!$B$30:$E$34,4,FALSE)</f>
        <v>3</v>
      </c>
      <c r="BP524" s="67">
        <f>VLOOKUP(AS524,Leyenda!$B$71:$E$75,4,FALSE)</f>
        <v>10</v>
      </c>
      <c r="BQ524" s="125">
        <f t="shared" si="187"/>
        <v>42</v>
      </c>
      <c r="BR524" s="85">
        <f t="shared" si="188"/>
        <v>45</v>
      </c>
      <c r="BS524" s="240">
        <f t="shared" si="183"/>
        <v>0.4</v>
      </c>
      <c r="BT524" s="18"/>
    </row>
    <row r="525" spans="1:72" x14ac:dyDescent="0.25">
      <c r="A525" s="18" t="s">
        <v>6</v>
      </c>
      <c r="B525" s="18">
        <v>2024</v>
      </c>
      <c r="C525" s="18" t="s">
        <v>138</v>
      </c>
      <c r="D525" s="18" t="s">
        <v>266</v>
      </c>
      <c r="E525" s="18">
        <v>40</v>
      </c>
      <c r="F525" s="18">
        <v>40</v>
      </c>
      <c r="G525" s="18" t="s">
        <v>153</v>
      </c>
      <c r="H525" s="248">
        <f t="shared" si="190"/>
        <v>40</v>
      </c>
      <c r="I525" s="135"/>
      <c r="J525" s="18" t="s">
        <v>297</v>
      </c>
      <c r="K525" s="31">
        <f t="shared" si="179"/>
        <v>8.5</v>
      </c>
      <c r="L525" s="31">
        <f t="shared" si="180"/>
        <v>9</v>
      </c>
      <c r="M525" s="4">
        <f t="shared" si="189"/>
        <v>0.5</v>
      </c>
      <c r="N525" s="32">
        <v>0.57999999999999996</v>
      </c>
      <c r="O525" s="5">
        <f t="shared" si="177"/>
        <v>0.42000000000000004</v>
      </c>
      <c r="P525" s="31">
        <f t="shared" si="184"/>
        <v>0.28999999999999998</v>
      </c>
      <c r="Q525" s="18">
        <f t="shared" si="185"/>
        <v>0.28999999999999998</v>
      </c>
      <c r="R525" s="18">
        <v>14.5</v>
      </c>
      <c r="S525" s="18">
        <v>20</v>
      </c>
      <c r="T525" s="18">
        <v>0.22</v>
      </c>
      <c r="U525" s="18">
        <v>0</v>
      </c>
      <c r="V525" s="65">
        <f t="shared" si="191"/>
        <v>0</v>
      </c>
      <c r="W525" s="18">
        <v>5</v>
      </c>
      <c r="X525" s="18"/>
      <c r="Y525" s="18">
        <f t="shared" si="178"/>
        <v>5</v>
      </c>
      <c r="Z525" s="31">
        <f t="shared" si="192"/>
        <v>100</v>
      </c>
      <c r="AA525" s="18">
        <v>0</v>
      </c>
      <c r="AB525" s="18" t="s">
        <v>330</v>
      </c>
      <c r="AC525" s="18" t="s">
        <v>333</v>
      </c>
      <c r="AD525" s="18" t="s">
        <v>335</v>
      </c>
      <c r="AE525" s="18">
        <v>20</v>
      </c>
      <c r="AF525" s="18">
        <v>14.5</v>
      </c>
      <c r="AG525" s="18" t="s">
        <v>27</v>
      </c>
      <c r="AH525" s="18" t="s">
        <v>27</v>
      </c>
      <c r="AI525" s="18" t="str">
        <f>+VLOOKUP(AH525,Leyenda!$O$4:$U$10,6,FALSE)</f>
        <v>0,35-0,50</v>
      </c>
      <c r="AJ525" s="18" t="str">
        <f>+VLOOKUP(AG525,Leyenda!$O$4:$U$10,7,FALSE)</f>
        <v>Easy to blast</v>
      </c>
      <c r="AK525" s="18">
        <f>+VLOOKUP(AJ525,Leyenda!$U$4:$V$10,2,FALSE)</f>
        <v>3</v>
      </c>
      <c r="AL525" s="18" t="s">
        <v>29</v>
      </c>
      <c r="AM525" s="18" t="s">
        <v>29</v>
      </c>
      <c r="AN525" s="18" t="s">
        <v>66</v>
      </c>
      <c r="AO525" s="18" t="s">
        <v>79</v>
      </c>
      <c r="AP525" s="18" t="s">
        <v>96</v>
      </c>
      <c r="AQ525" s="18" t="s">
        <v>109</v>
      </c>
      <c r="AR525" s="18" t="s">
        <v>120</v>
      </c>
      <c r="AS525" s="18" t="s">
        <v>267</v>
      </c>
      <c r="AT525" s="18"/>
      <c r="AU525" s="18"/>
      <c r="AV525" s="18">
        <f>+VLOOKUP(AN525,Leyenda!$B$30:$E$34,3,FALSE)</f>
        <v>1</v>
      </c>
      <c r="AW525" s="36">
        <f>+VLOOKUP('2. Logging Brejo Seco'!AO525,Meteorizacion,3,FALSE)</f>
        <v>1</v>
      </c>
      <c r="AX525" s="36">
        <f>+VLOOKUP('2. Logging Brejo Seco'!AP525,Apertura,3,FALSE)</f>
        <v>1</v>
      </c>
      <c r="AY525" s="36">
        <f>+VLOOKUP('2. Logging Brejo Seco'!AQ525,Leyenda!$B$55:$D$59,3,FALSE)</f>
        <v>1</v>
      </c>
      <c r="AZ525" s="36">
        <f>+VLOOKUP('2. Logging Brejo Seco'!AR525,Relleno,3,FALSE)</f>
        <v>2</v>
      </c>
      <c r="BA525" s="36">
        <f t="shared" si="193"/>
        <v>6</v>
      </c>
      <c r="BB525" s="49">
        <f t="shared" ref="BB525:BB556" si="194">ROUND(-0.0002*POWER(V525,2)+0.2197*V525,0)</f>
        <v>0</v>
      </c>
      <c r="BC525" s="49">
        <f>VLOOKUP(AH525,Leyenda!$B$4:$D$10,3,FALSE)</f>
        <v>4</v>
      </c>
      <c r="BD525" s="50">
        <f t="shared" si="181"/>
        <v>7</v>
      </c>
      <c r="BE525" s="49">
        <f t="shared" si="186"/>
        <v>6</v>
      </c>
      <c r="BF525" s="49">
        <f>VLOOKUP(AS525,Leyenda!$B$70:$D$75,3,FALSE)</f>
        <v>15</v>
      </c>
      <c r="BG525" s="67">
        <f t="shared" ref="BG525:BG556" si="195">1.5*BA525+(V525*0.5)</f>
        <v>9</v>
      </c>
      <c r="BH525" s="67">
        <f>VLOOKUP(AG525,Leyenda!$B$4:$E$10,4,FALSE)</f>
        <v>4</v>
      </c>
      <c r="BI525" s="67">
        <f t="shared" si="182"/>
        <v>8</v>
      </c>
      <c r="BJ525" s="67">
        <f t="shared" ref="BJ525:BJ556" si="196">ROUND(-0.0002*POWER(V525,2)+0.2197*V525,0)</f>
        <v>0</v>
      </c>
      <c r="BK525" s="67">
        <f>+VLOOKUP('2. Logging Brejo Seco'!AP525,Leyenda!$B$47:$E$51,4,FALSE)</f>
        <v>1</v>
      </c>
      <c r="BL525" s="67">
        <f>+VLOOKUP('2. Logging Brejo Seco'!AQ525,Leyenda!$B$55:$E$59,4,FALSE)</f>
        <v>1</v>
      </c>
      <c r="BM525" s="67">
        <f>+VLOOKUP('2. Logging Brejo Seco'!AR525,Leyenda!$B$63:$E$67,3,FALSE)</f>
        <v>2</v>
      </c>
      <c r="BN525" s="67">
        <f>+VLOOKUP('2. Logging Brejo Seco'!AO525,Leyenda!$B$39:$E$43,4,FALSE)</f>
        <v>1</v>
      </c>
      <c r="BO525" s="67">
        <f>+VLOOKUP('2. Logging Brejo Seco'!AN525,Leyenda!$B$30:$E$34,4,FALSE)</f>
        <v>1</v>
      </c>
      <c r="BP525" s="67">
        <f>VLOOKUP(AS525,Leyenda!$B$71:$E$75,4,FALSE)</f>
        <v>10</v>
      </c>
      <c r="BQ525" s="125">
        <f t="shared" si="187"/>
        <v>28</v>
      </c>
      <c r="BR525" s="85">
        <f t="shared" si="188"/>
        <v>32</v>
      </c>
      <c r="BS525" s="240">
        <f t="shared" si="183"/>
        <v>0.42000000000000004</v>
      </c>
      <c r="BT525" s="18"/>
    </row>
    <row r="526" spans="1:72" x14ac:dyDescent="0.25">
      <c r="A526" s="18" t="s">
        <v>6</v>
      </c>
      <c r="B526" s="18">
        <v>2024</v>
      </c>
      <c r="C526" s="18" t="s">
        <v>138</v>
      </c>
      <c r="D526" s="18" t="s">
        <v>266</v>
      </c>
      <c r="E526" s="18">
        <v>40</v>
      </c>
      <c r="F526" s="18">
        <v>40</v>
      </c>
      <c r="G526" s="18" t="s">
        <v>153</v>
      </c>
      <c r="H526" s="248">
        <f t="shared" si="190"/>
        <v>40</v>
      </c>
      <c r="I526" s="135"/>
      <c r="J526" s="18" t="s">
        <v>297</v>
      </c>
      <c r="K526" s="31">
        <f t="shared" si="179"/>
        <v>9</v>
      </c>
      <c r="L526" s="31">
        <f t="shared" si="180"/>
        <v>9.5</v>
      </c>
      <c r="M526" s="4">
        <f t="shared" si="189"/>
        <v>0.5</v>
      </c>
      <c r="N526" s="32">
        <v>0.3</v>
      </c>
      <c r="O526" s="5">
        <f t="shared" si="177"/>
        <v>0.7</v>
      </c>
      <c r="P526" s="31">
        <f t="shared" si="184"/>
        <v>0.15</v>
      </c>
      <c r="Q526" s="18">
        <f t="shared" si="185"/>
        <v>0.15</v>
      </c>
      <c r="R526" s="18">
        <v>7.5</v>
      </c>
      <c r="S526" s="18">
        <v>20</v>
      </c>
      <c r="T526" s="18">
        <v>0.12</v>
      </c>
      <c r="U526" s="18">
        <v>0</v>
      </c>
      <c r="V526" s="65">
        <f t="shared" si="191"/>
        <v>0</v>
      </c>
      <c r="W526" s="18">
        <v>5</v>
      </c>
      <c r="X526" s="18"/>
      <c r="Y526" s="18">
        <f t="shared" si="178"/>
        <v>5</v>
      </c>
      <c r="Z526" s="31">
        <f t="shared" si="192"/>
        <v>100</v>
      </c>
      <c r="AA526" s="18">
        <v>0</v>
      </c>
      <c r="AB526" s="18" t="s">
        <v>330</v>
      </c>
      <c r="AC526" s="18" t="s">
        <v>333</v>
      </c>
      <c r="AD526" s="18" t="s">
        <v>335</v>
      </c>
      <c r="AE526" s="18">
        <v>20</v>
      </c>
      <c r="AF526" s="18">
        <v>7.5</v>
      </c>
      <c r="AG526" s="18" t="s">
        <v>29</v>
      </c>
      <c r="AH526" s="18" t="s">
        <v>29</v>
      </c>
      <c r="AI526" s="18" t="str">
        <f>+VLOOKUP(AH526,Leyenda!$O$4:$U$10,6,FALSE)</f>
        <v>0,25-0,35</v>
      </c>
      <c r="AJ526" s="18" t="str">
        <f>+VLOOKUP(AG526,Leyenda!$O$4:$U$10,7,FALSE)</f>
        <v>No Blasting need</v>
      </c>
      <c r="AK526" s="18">
        <f>+VLOOKUP(AJ526,Leyenda!$U$4:$V$10,2,FALSE)</f>
        <v>2</v>
      </c>
      <c r="AL526" s="18" t="s">
        <v>29</v>
      </c>
      <c r="AM526" s="18" t="s">
        <v>29</v>
      </c>
      <c r="AN526" s="18" t="s">
        <v>66</v>
      </c>
      <c r="AO526" s="18" t="s">
        <v>79</v>
      </c>
      <c r="AP526" s="18" t="s">
        <v>96</v>
      </c>
      <c r="AQ526" s="18" t="s">
        <v>109</v>
      </c>
      <c r="AR526" s="18" t="s">
        <v>120</v>
      </c>
      <c r="AS526" s="18" t="s">
        <v>267</v>
      </c>
      <c r="AT526" s="18"/>
      <c r="AU526" s="18"/>
      <c r="AV526" s="18">
        <f>+VLOOKUP(AN526,Leyenda!$B$30:$E$34,3,FALSE)</f>
        <v>1</v>
      </c>
      <c r="AW526" s="36">
        <f>+VLOOKUP('2. Logging Brejo Seco'!AO526,Meteorizacion,3,FALSE)</f>
        <v>1</v>
      </c>
      <c r="AX526" s="36">
        <f>+VLOOKUP('2. Logging Brejo Seco'!AP526,Apertura,3,FALSE)</f>
        <v>1</v>
      </c>
      <c r="AY526" s="36">
        <f>+VLOOKUP('2. Logging Brejo Seco'!AQ526,Leyenda!$B$55:$D$59,3,FALSE)</f>
        <v>1</v>
      </c>
      <c r="AZ526" s="36">
        <f>+VLOOKUP('2. Logging Brejo Seco'!AR526,Relleno,3,FALSE)</f>
        <v>2</v>
      </c>
      <c r="BA526" s="36">
        <f t="shared" si="193"/>
        <v>6</v>
      </c>
      <c r="BB526" s="49">
        <f t="shared" si="194"/>
        <v>0</v>
      </c>
      <c r="BC526" s="49">
        <f>VLOOKUP(AH526,Leyenda!$B$4:$D$10,3,FALSE)</f>
        <v>2</v>
      </c>
      <c r="BD526" s="50">
        <f t="shared" si="181"/>
        <v>7</v>
      </c>
      <c r="BE526" s="49">
        <f t="shared" si="186"/>
        <v>6</v>
      </c>
      <c r="BF526" s="49">
        <f>VLOOKUP(AS526,Leyenda!$B$70:$D$75,3,FALSE)</f>
        <v>15</v>
      </c>
      <c r="BG526" s="67">
        <f t="shared" si="195"/>
        <v>9</v>
      </c>
      <c r="BH526" s="67">
        <f>VLOOKUP(AG526,Leyenda!$B$4:$E$10,4,FALSE)</f>
        <v>2</v>
      </c>
      <c r="BI526" s="67">
        <f t="shared" si="182"/>
        <v>8</v>
      </c>
      <c r="BJ526" s="67">
        <f t="shared" si="196"/>
        <v>0</v>
      </c>
      <c r="BK526" s="67">
        <f>+VLOOKUP('2. Logging Brejo Seco'!AP526,Leyenda!$B$47:$E$51,4,FALSE)</f>
        <v>1</v>
      </c>
      <c r="BL526" s="67">
        <f>+VLOOKUP('2. Logging Brejo Seco'!AQ526,Leyenda!$B$55:$E$59,4,FALSE)</f>
        <v>1</v>
      </c>
      <c r="BM526" s="67">
        <f>+VLOOKUP('2. Logging Brejo Seco'!AR526,Leyenda!$B$63:$E$67,3,FALSE)</f>
        <v>2</v>
      </c>
      <c r="BN526" s="67">
        <f>+VLOOKUP('2. Logging Brejo Seco'!AO526,Leyenda!$B$39:$E$43,4,FALSE)</f>
        <v>1</v>
      </c>
      <c r="BO526" s="67">
        <f>+VLOOKUP('2. Logging Brejo Seco'!AN526,Leyenda!$B$30:$E$34,4,FALSE)</f>
        <v>1</v>
      </c>
      <c r="BP526" s="67">
        <f>VLOOKUP(AS526,Leyenda!$B$71:$E$75,4,FALSE)</f>
        <v>10</v>
      </c>
      <c r="BQ526" s="125">
        <f t="shared" si="187"/>
        <v>26</v>
      </c>
      <c r="BR526" s="85">
        <f t="shared" si="188"/>
        <v>30</v>
      </c>
      <c r="BS526" s="240">
        <f t="shared" si="183"/>
        <v>0.7</v>
      </c>
      <c r="BT526" s="18"/>
    </row>
    <row r="527" spans="1:72" x14ac:dyDescent="0.25">
      <c r="A527" s="18" t="s">
        <v>6</v>
      </c>
      <c r="B527" s="18">
        <v>2024</v>
      </c>
      <c r="C527" s="18" t="s">
        <v>138</v>
      </c>
      <c r="D527" s="18" t="s">
        <v>266</v>
      </c>
      <c r="E527" s="18">
        <v>40</v>
      </c>
      <c r="F527" s="18">
        <v>40</v>
      </c>
      <c r="G527" s="18" t="s">
        <v>153</v>
      </c>
      <c r="H527" s="248">
        <f t="shared" si="190"/>
        <v>40</v>
      </c>
      <c r="I527" s="135"/>
      <c r="J527" s="18" t="s">
        <v>297</v>
      </c>
      <c r="K527" s="31">
        <f t="shared" si="179"/>
        <v>9.5</v>
      </c>
      <c r="L527" s="31">
        <f t="shared" si="180"/>
        <v>10</v>
      </c>
      <c r="M527" s="4">
        <f t="shared" si="189"/>
        <v>0.5</v>
      </c>
      <c r="N527" s="32">
        <v>0.34</v>
      </c>
      <c r="O527" s="5">
        <f t="shared" si="177"/>
        <v>0.65999999999999992</v>
      </c>
      <c r="P527" s="31">
        <f t="shared" si="184"/>
        <v>0.17</v>
      </c>
      <c r="Q527" s="18">
        <f t="shared" si="185"/>
        <v>0.17</v>
      </c>
      <c r="R527" s="18">
        <v>8.5</v>
      </c>
      <c r="S527" s="18">
        <v>20</v>
      </c>
      <c r="T527" s="18">
        <v>0.16</v>
      </c>
      <c r="U527" s="18">
        <v>0</v>
      </c>
      <c r="V527" s="65">
        <f t="shared" si="191"/>
        <v>0</v>
      </c>
      <c r="W527" s="18">
        <v>5</v>
      </c>
      <c r="X527" s="18"/>
      <c r="Y527" s="18">
        <f t="shared" si="178"/>
        <v>5</v>
      </c>
      <c r="Z527" s="31">
        <f t="shared" si="192"/>
        <v>100</v>
      </c>
      <c r="AA527" s="18">
        <v>0</v>
      </c>
      <c r="AB527" s="18" t="s">
        <v>330</v>
      </c>
      <c r="AC527" s="18" t="s">
        <v>333</v>
      </c>
      <c r="AD527" s="18" t="s">
        <v>335</v>
      </c>
      <c r="AE527" s="18">
        <v>20</v>
      </c>
      <c r="AF527" s="18">
        <v>8.5</v>
      </c>
      <c r="AG527" s="18" t="s">
        <v>29</v>
      </c>
      <c r="AH527" s="18" t="s">
        <v>29</v>
      </c>
      <c r="AI527" s="18" t="str">
        <f>+VLOOKUP(AH527,Leyenda!$O$4:$U$10,6,FALSE)</f>
        <v>0,25-0,35</v>
      </c>
      <c r="AJ527" s="18" t="str">
        <f>+VLOOKUP(AG527,Leyenda!$O$4:$U$10,7,FALSE)</f>
        <v>No Blasting need</v>
      </c>
      <c r="AK527" s="18">
        <f>+VLOOKUP(AJ527,Leyenda!$U$4:$V$10,2,FALSE)</f>
        <v>2</v>
      </c>
      <c r="AL527" s="18" t="s">
        <v>29</v>
      </c>
      <c r="AM527" s="18" t="s">
        <v>29</v>
      </c>
      <c r="AN527" s="18" t="s">
        <v>66</v>
      </c>
      <c r="AO527" s="18" t="s">
        <v>81</v>
      </c>
      <c r="AP527" s="18" t="s">
        <v>96</v>
      </c>
      <c r="AQ527" s="18" t="s">
        <v>107</v>
      </c>
      <c r="AR527" s="18" t="s">
        <v>118</v>
      </c>
      <c r="AS527" s="18" t="s">
        <v>267</v>
      </c>
      <c r="AT527" s="18"/>
      <c r="AU527" s="18"/>
      <c r="AV527" s="18">
        <f>+VLOOKUP(AN527,Leyenda!$B$30:$E$34,3,FALSE)</f>
        <v>1</v>
      </c>
      <c r="AW527" s="36">
        <f>+VLOOKUP('2. Logging Brejo Seco'!AO527,Meteorizacion,3,FALSE)</f>
        <v>0</v>
      </c>
      <c r="AX527" s="36">
        <f>+VLOOKUP('2. Logging Brejo Seco'!AP527,Apertura,3,FALSE)</f>
        <v>1</v>
      </c>
      <c r="AY527" s="36">
        <f>+VLOOKUP('2. Logging Brejo Seco'!AQ527,Leyenda!$B$55:$D$59,3,FALSE)</f>
        <v>3</v>
      </c>
      <c r="AZ527" s="36">
        <f>+VLOOKUP('2. Logging Brejo Seco'!AR527,Relleno,3,FALSE)</f>
        <v>2</v>
      </c>
      <c r="BA527" s="36">
        <f t="shared" si="193"/>
        <v>7</v>
      </c>
      <c r="BB527" s="49">
        <f t="shared" si="194"/>
        <v>0</v>
      </c>
      <c r="BC527" s="49">
        <f>VLOOKUP(AH527,Leyenda!$B$4:$D$10,3,FALSE)</f>
        <v>2</v>
      </c>
      <c r="BD527" s="50">
        <f t="shared" si="181"/>
        <v>7</v>
      </c>
      <c r="BE527" s="49">
        <f t="shared" si="186"/>
        <v>7</v>
      </c>
      <c r="BF527" s="49">
        <f>VLOOKUP(AS527,Leyenda!$B$70:$D$75,3,FALSE)</f>
        <v>15</v>
      </c>
      <c r="BG527" s="67">
        <f t="shared" si="195"/>
        <v>10.5</v>
      </c>
      <c r="BH527" s="67">
        <f>VLOOKUP(AG527,Leyenda!$B$4:$E$10,4,FALSE)</f>
        <v>2</v>
      </c>
      <c r="BI527" s="67">
        <f t="shared" si="182"/>
        <v>8</v>
      </c>
      <c r="BJ527" s="67">
        <f t="shared" si="196"/>
        <v>0</v>
      </c>
      <c r="BK527" s="67">
        <f>+VLOOKUP('2. Logging Brejo Seco'!AP527,Leyenda!$B$47:$E$51,4,FALSE)</f>
        <v>1</v>
      </c>
      <c r="BL527" s="67">
        <f>+VLOOKUP('2. Logging Brejo Seco'!AQ527,Leyenda!$B$55:$E$59,4,FALSE)</f>
        <v>3</v>
      </c>
      <c r="BM527" s="67">
        <f>+VLOOKUP('2. Logging Brejo Seco'!AR527,Leyenda!$B$63:$E$67,3,FALSE)</f>
        <v>2</v>
      </c>
      <c r="BN527" s="67">
        <f>+VLOOKUP('2. Logging Brejo Seco'!AO527,Leyenda!$B$39:$E$43,4,FALSE)</f>
        <v>0</v>
      </c>
      <c r="BO527" s="67">
        <f>+VLOOKUP('2. Logging Brejo Seco'!AN527,Leyenda!$B$30:$E$34,4,FALSE)</f>
        <v>1</v>
      </c>
      <c r="BP527" s="67">
        <f>VLOOKUP(AS527,Leyenda!$B$71:$E$75,4,FALSE)</f>
        <v>10</v>
      </c>
      <c r="BQ527" s="125">
        <f t="shared" si="187"/>
        <v>27</v>
      </c>
      <c r="BR527" s="85">
        <f t="shared" si="188"/>
        <v>31</v>
      </c>
      <c r="BS527" s="240">
        <f t="shared" si="183"/>
        <v>0.65999999999999992</v>
      </c>
      <c r="BT527" s="18"/>
    </row>
    <row r="528" spans="1:72" x14ac:dyDescent="0.25">
      <c r="A528" s="18" t="s">
        <v>6</v>
      </c>
      <c r="B528" s="18">
        <v>2024</v>
      </c>
      <c r="C528" s="18" t="s">
        <v>138</v>
      </c>
      <c r="D528" s="18" t="s">
        <v>266</v>
      </c>
      <c r="E528" s="18">
        <v>40</v>
      </c>
      <c r="F528" s="18">
        <v>40</v>
      </c>
      <c r="G528" s="18" t="s">
        <v>153</v>
      </c>
      <c r="H528" s="248">
        <f t="shared" si="190"/>
        <v>40</v>
      </c>
      <c r="I528" s="135"/>
      <c r="J528" s="18" t="s">
        <v>297</v>
      </c>
      <c r="K528" s="31">
        <f t="shared" si="179"/>
        <v>10</v>
      </c>
      <c r="L528" s="31">
        <f t="shared" si="180"/>
        <v>10.5</v>
      </c>
      <c r="M528" s="4">
        <f t="shared" si="189"/>
        <v>0.5</v>
      </c>
      <c r="N528" s="32">
        <v>0.5</v>
      </c>
      <c r="O528" s="5">
        <f t="shared" si="177"/>
        <v>0.5</v>
      </c>
      <c r="P528" s="31">
        <f t="shared" si="184"/>
        <v>0.25</v>
      </c>
      <c r="Q528" s="18">
        <f t="shared" si="185"/>
        <v>0.25</v>
      </c>
      <c r="R528" s="18">
        <v>12.5</v>
      </c>
      <c r="S528" s="18">
        <v>20</v>
      </c>
      <c r="T528" s="18">
        <v>0.23</v>
      </c>
      <c r="U528" s="18">
        <v>0</v>
      </c>
      <c r="V528" s="65">
        <f t="shared" si="191"/>
        <v>0</v>
      </c>
      <c r="W528" s="18">
        <v>5</v>
      </c>
      <c r="X528" s="18"/>
      <c r="Y528" s="18">
        <f t="shared" si="178"/>
        <v>5</v>
      </c>
      <c r="Z528" s="31">
        <f t="shared" si="192"/>
        <v>100</v>
      </c>
      <c r="AA528" s="18">
        <v>0</v>
      </c>
      <c r="AB528" s="18" t="s">
        <v>330</v>
      </c>
      <c r="AC528" s="18" t="s">
        <v>333</v>
      </c>
      <c r="AD528" s="18" t="s">
        <v>335</v>
      </c>
      <c r="AE528" s="18">
        <v>20</v>
      </c>
      <c r="AF528" s="18">
        <v>12.5</v>
      </c>
      <c r="AG528" s="18" t="s">
        <v>29</v>
      </c>
      <c r="AH528" s="18" t="s">
        <v>29</v>
      </c>
      <c r="AI528" s="18" t="str">
        <f>+VLOOKUP(AH528,Leyenda!$O$4:$U$10,6,FALSE)</f>
        <v>0,25-0,35</v>
      </c>
      <c r="AJ528" s="18" t="str">
        <f>+VLOOKUP(AG528,Leyenda!$O$4:$U$10,7,FALSE)</f>
        <v>No Blasting need</v>
      </c>
      <c r="AK528" s="18">
        <f>+VLOOKUP(AJ528,Leyenda!$U$4:$V$10,2,FALSE)</f>
        <v>2</v>
      </c>
      <c r="AL528" s="18" t="s">
        <v>29</v>
      </c>
      <c r="AM528" s="18" t="s">
        <v>29</v>
      </c>
      <c r="AN528" s="18" t="s">
        <v>66</v>
      </c>
      <c r="AO528" s="18" t="s">
        <v>81</v>
      </c>
      <c r="AP528" s="18" t="s">
        <v>96</v>
      </c>
      <c r="AQ528" s="18" t="s">
        <v>107</v>
      </c>
      <c r="AR528" s="18" t="s">
        <v>118</v>
      </c>
      <c r="AS528" s="18" t="s">
        <v>267</v>
      </c>
      <c r="AT528" s="18"/>
      <c r="AU528" s="18"/>
      <c r="AV528" s="18">
        <f>+VLOOKUP(AN528,Leyenda!$B$30:$E$34,3,FALSE)</f>
        <v>1</v>
      </c>
      <c r="AW528" s="36">
        <f>+VLOOKUP('2. Logging Brejo Seco'!AO528,Meteorizacion,3,FALSE)</f>
        <v>0</v>
      </c>
      <c r="AX528" s="36">
        <f>+VLOOKUP('2. Logging Brejo Seco'!AP528,Apertura,3,FALSE)</f>
        <v>1</v>
      </c>
      <c r="AY528" s="36">
        <f>+VLOOKUP('2. Logging Brejo Seco'!AQ528,Leyenda!$B$55:$D$59,3,FALSE)</f>
        <v>3</v>
      </c>
      <c r="AZ528" s="36">
        <f>+VLOOKUP('2. Logging Brejo Seco'!AR528,Relleno,3,FALSE)</f>
        <v>2</v>
      </c>
      <c r="BA528" s="36">
        <f t="shared" si="193"/>
        <v>7</v>
      </c>
      <c r="BB528" s="49">
        <f t="shared" si="194"/>
        <v>0</v>
      </c>
      <c r="BC528" s="49">
        <f>VLOOKUP(AH528,Leyenda!$B$4:$D$10,3,FALSE)</f>
        <v>2</v>
      </c>
      <c r="BD528" s="50">
        <f t="shared" si="181"/>
        <v>7</v>
      </c>
      <c r="BE528" s="49">
        <f t="shared" si="186"/>
        <v>7</v>
      </c>
      <c r="BF528" s="49">
        <f>VLOOKUP(AS528,Leyenda!$B$70:$D$75,3,FALSE)</f>
        <v>15</v>
      </c>
      <c r="BG528" s="67">
        <f t="shared" si="195"/>
        <v>10.5</v>
      </c>
      <c r="BH528" s="67">
        <f>VLOOKUP(AG528,Leyenda!$B$4:$E$10,4,FALSE)</f>
        <v>2</v>
      </c>
      <c r="BI528" s="67">
        <f t="shared" si="182"/>
        <v>8</v>
      </c>
      <c r="BJ528" s="67">
        <f t="shared" si="196"/>
        <v>0</v>
      </c>
      <c r="BK528" s="67">
        <f>+VLOOKUP('2. Logging Brejo Seco'!AP528,Leyenda!$B$47:$E$51,4,FALSE)</f>
        <v>1</v>
      </c>
      <c r="BL528" s="67">
        <f>+VLOOKUP('2. Logging Brejo Seco'!AQ528,Leyenda!$B$55:$E$59,4,FALSE)</f>
        <v>3</v>
      </c>
      <c r="BM528" s="67">
        <f>+VLOOKUP('2. Logging Brejo Seco'!AR528,Leyenda!$B$63:$E$67,3,FALSE)</f>
        <v>2</v>
      </c>
      <c r="BN528" s="67">
        <f>+VLOOKUP('2. Logging Brejo Seco'!AO528,Leyenda!$B$39:$E$43,4,FALSE)</f>
        <v>0</v>
      </c>
      <c r="BO528" s="67">
        <f>+VLOOKUP('2. Logging Brejo Seco'!AN528,Leyenda!$B$30:$E$34,4,FALSE)</f>
        <v>1</v>
      </c>
      <c r="BP528" s="67">
        <f>VLOOKUP(AS528,Leyenda!$B$71:$E$75,4,FALSE)</f>
        <v>10</v>
      </c>
      <c r="BQ528" s="125">
        <f t="shared" si="187"/>
        <v>27</v>
      </c>
      <c r="BR528" s="85">
        <f t="shared" si="188"/>
        <v>31</v>
      </c>
      <c r="BS528" s="240">
        <f t="shared" si="183"/>
        <v>0.5</v>
      </c>
      <c r="BT528" s="18"/>
    </row>
    <row r="529" spans="1:72" x14ac:dyDescent="0.25">
      <c r="A529" s="18" t="s">
        <v>6</v>
      </c>
      <c r="B529" s="18">
        <v>2024</v>
      </c>
      <c r="C529" s="18" t="s">
        <v>138</v>
      </c>
      <c r="D529" s="18" t="s">
        <v>266</v>
      </c>
      <c r="E529" s="18">
        <v>40</v>
      </c>
      <c r="F529" s="18">
        <v>40</v>
      </c>
      <c r="G529" s="18" t="s">
        <v>153</v>
      </c>
      <c r="H529" s="248">
        <f t="shared" si="190"/>
        <v>40</v>
      </c>
      <c r="I529" s="135"/>
      <c r="J529" s="18" t="s">
        <v>297</v>
      </c>
      <c r="K529" s="31">
        <f t="shared" si="179"/>
        <v>10.5</v>
      </c>
      <c r="L529" s="31">
        <f t="shared" si="180"/>
        <v>11</v>
      </c>
      <c r="M529" s="4">
        <f t="shared" si="189"/>
        <v>0.5</v>
      </c>
      <c r="N529" s="32">
        <v>0.46</v>
      </c>
      <c r="O529" s="5">
        <f t="shared" si="177"/>
        <v>0.54</v>
      </c>
      <c r="P529" s="31">
        <f t="shared" si="184"/>
        <v>0.23</v>
      </c>
      <c r="Q529" s="18">
        <f t="shared" si="185"/>
        <v>0.23</v>
      </c>
      <c r="R529" s="18">
        <v>11.5</v>
      </c>
      <c r="S529" s="18">
        <v>20</v>
      </c>
      <c r="T529" s="18">
        <v>0.16</v>
      </c>
      <c r="U529" s="18">
        <v>0</v>
      </c>
      <c r="V529" s="65">
        <f t="shared" si="191"/>
        <v>0</v>
      </c>
      <c r="W529" s="18">
        <v>5</v>
      </c>
      <c r="X529" s="18"/>
      <c r="Y529" s="18">
        <f t="shared" si="178"/>
        <v>5</v>
      </c>
      <c r="Z529" s="31">
        <f t="shared" si="192"/>
        <v>100</v>
      </c>
      <c r="AA529" s="18">
        <v>0</v>
      </c>
      <c r="AB529" s="18" t="s">
        <v>330</v>
      </c>
      <c r="AC529" s="18" t="s">
        <v>333</v>
      </c>
      <c r="AD529" s="18" t="s">
        <v>335</v>
      </c>
      <c r="AE529" s="18">
        <v>20</v>
      </c>
      <c r="AF529" s="18">
        <v>11.5</v>
      </c>
      <c r="AG529" s="18" t="s">
        <v>34</v>
      </c>
      <c r="AH529" s="18" t="s">
        <v>34</v>
      </c>
      <c r="AI529" s="18">
        <f>+VLOOKUP(AH529,Leyenda!$O$4:$U$10,6,FALSE)</f>
        <v>0</v>
      </c>
      <c r="AJ529" s="18" t="str">
        <f>+VLOOKUP(AG529,Leyenda!$O$4:$U$10,7,FALSE)</f>
        <v>No Blasting need</v>
      </c>
      <c r="AK529" s="18">
        <f>+VLOOKUP(AJ529,Leyenda!$U$4:$V$10,2,FALSE)</f>
        <v>2</v>
      </c>
      <c r="AL529" s="18" t="s">
        <v>34</v>
      </c>
      <c r="AM529" s="18" t="s">
        <v>34</v>
      </c>
      <c r="AN529" s="18" t="s">
        <v>69</v>
      </c>
      <c r="AO529" s="18" t="s">
        <v>81</v>
      </c>
      <c r="AP529" s="18" t="s">
        <v>100</v>
      </c>
      <c r="AQ529" s="18" t="s">
        <v>109</v>
      </c>
      <c r="AR529" s="18" t="s">
        <v>120</v>
      </c>
      <c r="AS529" s="18" t="s">
        <v>267</v>
      </c>
      <c r="AT529" s="18"/>
      <c r="AU529" s="18"/>
      <c r="AV529" s="18">
        <f>+VLOOKUP(AN529,Leyenda!$B$30:$E$34,3,FALSE)</f>
        <v>0</v>
      </c>
      <c r="AW529" s="36">
        <f>+VLOOKUP('2. Logging Brejo Seco'!AO529,Meteorizacion,3,FALSE)</f>
        <v>0</v>
      </c>
      <c r="AX529" s="36">
        <f>+VLOOKUP('2. Logging Brejo Seco'!AP529,Apertura,3,FALSE)</f>
        <v>0</v>
      </c>
      <c r="AY529" s="36">
        <f>+VLOOKUP('2. Logging Brejo Seco'!AQ529,Leyenda!$B$55:$D$59,3,FALSE)</f>
        <v>1</v>
      </c>
      <c r="AZ529" s="36">
        <f>+VLOOKUP('2. Logging Brejo Seco'!AR529,Relleno,3,FALSE)</f>
        <v>2</v>
      </c>
      <c r="BA529" s="36">
        <f t="shared" si="193"/>
        <v>3</v>
      </c>
      <c r="BB529" s="49">
        <f t="shared" si="194"/>
        <v>0</v>
      </c>
      <c r="BC529" s="49">
        <f>VLOOKUP(AH529,Leyenda!$B$4:$D$10,3,FALSE)</f>
        <v>0</v>
      </c>
      <c r="BD529" s="50">
        <f t="shared" si="181"/>
        <v>7</v>
      </c>
      <c r="BE529" s="49">
        <f t="shared" si="186"/>
        <v>3</v>
      </c>
      <c r="BF529" s="49">
        <f>VLOOKUP(AS529,Leyenda!$B$70:$D$75,3,FALSE)</f>
        <v>15</v>
      </c>
      <c r="BG529" s="67">
        <f t="shared" si="195"/>
        <v>4.5</v>
      </c>
      <c r="BH529" s="67">
        <f>VLOOKUP(AG529,Leyenda!$B$4:$E$10,4,FALSE)</f>
        <v>0</v>
      </c>
      <c r="BI529" s="67">
        <f t="shared" si="182"/>
        <v>8</v>
      </c>
      <c r="BJ529" s="67">
        <f t="shared" si="196"/>
        <v>0</v>
      </c>
      <c r="BK529" s="67">
        <f>+VLOOKUP('2. Logging Brejo Seco'!AP529,Leyenda!$B$47:$E$51,4,FALSE)</f>
        <v>0</v>
      </c>
      <c r="BL529" s="67">
        <f>+VLOOKUP('2. Logging Brejo Seco'!AQ529,Leyenda!$B$55:$E$59,4,FALSE)</f>
        <v>1</v>
      </c>
      <c r="BM529" s="67">
        <f>+VLOOKUP('2. Logging Brejo Seco'!AR529,Leyenda!$B$63:$E$67,3,FALSE)</f>
        <v>2</v>
      </c>
      <c r="BN529" s="67">
        <f>+VLOOKUP('2. Logging Brejo Seco'!AO529,Leyenda!$B$39:$E$43,4,FALSE)</f>
        <v>0</v>
      </c>
      <c r="BO529" s="67">
        <f>+VLOOKUP('2. Logging Brejo Seco'!AN529,Leyenda!$B$30:$E$34,4,FALSE)</f>
        <v>0</v>
      </c>
      <c r="BP529" s="67">
        <f>VLOOKUP(AS529,Leyenda!$B$71:$E$75,4,FALSE)</f>
        <v>10</v>
      </c>
      <c r="BQ529" s="125">
        <f t="shared" si="187"/>
        <v>21</v>
      </c>
      <c r="BR529" s="85">
        <f t="shared" si="188"/>
        <v>25</v>
      </c>
      <c r="BS529" s="240">
        <f t="shared" si="183"/>
        <v>0.54</v>
      </c>
      <c r="BT529" s="18" t="s">
        <v>712</v>
      </c>
    </row>
    <row r="530" spans="1:72" x14ac:dyDescent="0.25">
      <c r="A530" s="18" t="s">
        <v>6</v>
      </c>
      <c r="B530" s="18">
        <v>2024</v>
      </c>
      <c r="C530" s="18" t="s">
        <v>138</v>
      </c>
      <c r="D530" s="18" t="s">
        <v>266</v>
      </c>
      <c r="E530" s="18">
        <v>40</v>
      </c>
      <c r="F530" s="18">
        <v>40</v>
      </c>
      <c r="G530" s="18" t="s">
        <v>153</v>
      </c>
      <c r="H530" s="248">
        <f t="shared" si="190"/>
        <v>40</v>
      </c>
      <c r="I530" s="135"/>
      <c r="J530" s="18" t="s">
        <v>297</v>
      </c>
      <c r="K530" s="31">
        <f t="shared" si="179"/>
        <v>11</v>
      </c>
      <c r="L530" s="31">
        <f t="shared" si="180"/>
        <v>11.5</v>
      </c>
      <c r="M530" s="4">
        <f t="shared" si="189"/>
        <v>0.5</v>
      </c>
      <c r="N530" s="32">
        <v>0.84</v>
      </c>
      <c r="O530" s="5">
        <f t="shared" si="177"/>
        <v>0.16000000000000003</v>
      </c>
      <c r="P530" s="31">
        <f t="shared" si="184"/>
        <v>0.42</v>
      </c>
      <c r="Q530" s="18">
        <f t="shared" si="185"/>
        <v>0.42</v>
      </c>
      <c r="R530" s="18">
        <v>21</v>
      </c>
      <c r="S530" s="18">
        <v>20</v>
      </c>
      <c r="T530" s="18">
        <v>0.2</v>
      </c>
      <c r="U530" s="18">
        <v>0.11</v>
      </c>
      <c r="V530" s="65">
        <f t="shared" si="191"/>
        <v>22</v>
      </c>
      <c r="W530" s="18">
        <v>5</v>
      </c>
      <c r="X530" s="18"/>
      <c r="Y530" s="18">
        <f t="shared" si="178"/>
        <v>5</v>
      </c>
      <c r="Z530" s="31">
        <f t="shared" si="192"/>
        <v>100</v>
      </c>
      <c r="AA530" s="18">
        <v>0</v>
      </c>
      <c r="AB530" s="18" t="s">
        <v>330</v>
      </c>
      <c r="AC530" s="18" t="s">
        <v>333</v>
      </c>
      <c r="AD530" s="18" t="s">
        <v>335</v>
      </c>
      <c r="AE530" s="18">
        <v>20</v>
      </c>
      <c r="AF530" s="18">
        <v>21</v>
      </c>
      <c r="AG530" s="18" t="s">
        <v>32</v>
      </c>
      <c r="AH530" s="18" t="s">
        <v>32</v>
      </c>
      <c r="AI530" s="18" t="str">
        <f>+VLOOKUP(AH530,Leyenda!$O$4:$U$10,6,FALSE)</f>
        <v>0,15-0,25</v>
      </c>
      <c r="AJ530" s="18" t="str">
        <f>+VLOOKUP(AG530,Leyenda!$O$4:$U$10,7,FALSE)</f>
        <v>No Blasting need</v>
      </c>
      <c r="AK530" s="18">
        <f>+VLOOKUP(AJ530,Leyenda!$U$4:$V$10,2,FALSE)</f>
        <v>2</v>
      </c>
      <c r="AL530" s="18" t="s">
        <v>32</v>
      </c>
      <c r="AM530" s="18" t="s">
        <v>32</v>
      </c>
      <c r="AN530" s="18" t="s">
        <v>66</v>
      </c>
      <c r="AO530" s="18" t="s">
        <v>79</v>
      </c>
      <c r="AP530" s="18" t="s">
        <v>96</v>
      </c>
      <c r="AQ530" s="18" t="s">
        <v>109</v>
      </c>
      <c r="AR530" s="18" t="s">
        <v>118</v>
      </c>
      <c r="AS530" s="18" t="s">
        <v>267</v>
      </c>
      <c r="AT530" s="18"/>
      <c r="AU530" s="18"/>
      <c r="AV530" s="18">
        <f>+VLOOKUP(AN530,Leyenda!$B$30:$E$34,3,FALSE)</f>
        <v>1</v>
      </c>
      <c r="AW530" s="36">
        <f>+VLOOKUP('2. Logging Brejo Seco'!AO530,Meteorizacion,3,FALSE)</f>
        <v>1</v>
      </c>
      <c r="AX530" s="36">
        <f>+VLOOKUP('2. Logging Brejo Seco'!AP530,Apertura,3,FALSE)</f>
        <v>1</v>
      </c>
      <c r="AY530" s="36">
        <f>+VLOOKUP('2. Logging Brejo Seco'!AQ530,Leyenda!$B$55:$D$59,3,FALSE)</f>
        <v>1</v>
      </c>
      <c r="AZ530" s="36">
        <f>+VLOOKUP('2. Logging Brejo Seco'!AR530,Relleno,3,FALSE)</f>
        <v>2</v>
      </c>
      <c r="BA530" s="36">
        <f t="shared" si="193"/>
        <v>6</v>
      </c>
      <c r="BB530" s="49">
        <f t="shared" si="194"/>
        <v>5</v>
      </c>
      <c r="BC530" s="49">
        <f>VLOOKUP(AH530,Leyenda!$B$4:$D$10,3,FALSE)</f>
        <v>1</v>
      </c>
      <c r="BD530" s="50">
        <f t="shared" si="181"/>
        <v>7</v>
      </c>
      <c r="BE530" s="49">
        <f t="shared" si="186"/>
        <v>6</v>
      </c>
      <c r="BF530" s="49">
        <f>VLOOKUP(AS530,Leyenda!$B$70:$D$75,3,FALSE)</f>
        <v>15</v>
      </c>
      <c r="BG530" s="67">
        <f t="shared" si="195"/>
        <v>20</v>
      </c>
      <c r="BH530" s="67">
        <f>VLOOKUP(AG530,Leyenda!$B$4:$E$10,4,FALSE)</f>
        <v>1</v>
      </c>
      <c r="BI530" s="67">
        <f t="shared" si="182"/>
        <v>8</v>
      </c>
      <c r="BJ530" s="67">
        <f t="shared" si="196"/>
        <v>5</v>
      </c>
      <c r="BK530" s="67">
        <f>+VLOOKUP('2. Logging Brejo Seco'!AP530,Leyenda!$B$47:$E$51,4,FALSE)</f>
        <v>1</v>
      </c>
      <c r="BL530" s="67">
        <f>+VLOOKUP('2. Logging Brejo Seco'!AQ530,Leyenda!$B$55:$E$59,4,FALSE)</f>
        <v>1</v>
      </c>
      <c r="BM530" s="67">
        <f>+VLOOKUP('2. Logging Brejo Seco'!AR530,Leyenda!$B$63:$E$67,3,FALSE)</f>
        <v>2</v>
      </c>
      <c r="BN530" s="67">
        <f>+VLOOKUP('2. Logging Brejo Seco'!AO530,Leyenda!$B$39:$E$43,4,FALSE)</f>
        <v>1</v>
      </c>
      <c r="BO530" s="67">
        <f>+VLOOKUP('2. Logging Brejo Seco'!AN530,Leyenda!$B$30:$E$34,4,FALSE)</f>
        <v>1</v>
      </c>
      <c r="BP530" s="67">
        <f>VLOOKUP(AS530,Leyenda!$B$71:$E$75,4,FALSE)</f>
        <v>10</v>
      </c>
      <c r="BQ530" s="125">
        <f t="shared" si="187"/>
        <v>30</v>
      </c>
      <c r="BR530" s="85">
        <f t="shared" si="188"/>
        <v>34</v>
      </c>
      <c r="BS530" s="240">
        <f t="shared" si="183"/>
        <v>0.16000000000000003</v>
      </c>
      <c r="BT530" s="18"/>
    </row>
    <row r="531" spans="1:72" x14ac:dyDescent="0.25">
      <c r="A531" s="18" t="s">
        <v>6</v>
      </c>
      <c r="B531" s="18">
        <v>2024</v>
      </c>
      <c r="C531" s="18" t="s">
        <v>138</v>
      </c>
      <c r="D531" s="18" t="s">
        <v>266</v>
      </c>
      <c r="E531" s="18">
        <v>40</v>
      </c>
      <c r="F531" s="18">
        <v>40</v>
      </c>
      <c r="G531" s="18" t="s">
        <v>153</v>
      </c>
      <c r="H531" s="248">
        <f t="shared" si="190"/>
        <v>40</v>
      </c>
      <c r="I531" s="135"/>
      <c r="J531" s="18" t="s">
        <v>297</v>
      </c>
      <c r="K531" s="31">
        <f t="shared" si="179"/>
        <v>11.5</v>
      </c>
      <c r="L531" s="31">
        <f t="shared" si="180"/>
        <v>12</v>
      </c>
      <c r="M531" s="4">
        <f t="shared" si="189"/>
        <v>0.5</v>
      </c>
      <c r="N531" s="32">
        <v>0.9</v>
      </c>
      <c r="O531" s="5">
        <f t="shared" si="177"/>
        <v>9.9999999999999978E-2</v>
      </c>
      <c r="P531" s="31">
        <f t="shared" si="184"/>
        <v>0.45</v>
      </c>
      <c r="Q531" s="18">
        <f t="shared" si="185"/>
        <v>0.45</v>
      </c>
      <c r="R531" s="18">
        <v>22.5</v>
      </c>
      <c r="S531" s="18">
        <v>20</v>
      </c>
      <c r="T531" s="18">
        <v>0.42</v>
      </c>
      <c r="U531" s="18">
        <v>0</v>
      </c>
      <c r="V531" s="65">
        <f t="shared" si="191"/>
        <v>0</v>
      </c>
      <c r="W531" s="18">
        <v>4</v>
      </c>
      <c r="X531" s="18"/>
      <c r="Y531" s="18">
        <f t="shared" si="178"/>
        <v>4</v>
      </c>
      <c r="Z531" s="31">
        <f t="shared" si="192"/>
        <v>125</v>
      </c>
      <c r="AA531" s="18">
        <v>0</v>
      </c>
      <c r="AB531" s="18" t="s">
        <v>330</v>
      </c>
      <c r="AC531" s="18" t="s">
        <v>333</v>
      </c>
      <c r="AD531" s="18" t="s">
        <v>335</v>
      </c>
      <c r="AE531" s="18">
        <v>20</v>
      </c>
      <c r="AF531" s="18">
        <v>22.5</v>
      </c>
      <c r="AG531" s="18" t="s">
        <v>32</v>
      </c>
      <c r="AH531" s="18" t="s">
        <v>32</v>
      </c>
      <c r="AI531" s="18" t="str">
        <f>+VLOOKUP(AH531,Leyenda!$O$4:$U$10,6,FALSE)</f>
        <v>0,15-0,25</v>
      </c>
      <c r="AJ531" s="18" t="str">
        <f>+VLOOKUP(AG531,Leyenda!$O$4:$U$10,7,FALSE)</f>
        <v>No Blasting need</v>
      </c>
      <c r="AK531" s="18">
        <f>+VLOOKUP(AJ531,Leyenda!$U$4:$V$10,2,FALSE)</f>
        <v>2</v>
      </c>
      <c r="AL531" s="18" t="s">
        <v>32</v>
      </c>
      <c r="AM531" s="18" t="s">
        <v>32</v>
      </c>
      <c r="AN531" s="18" t="s">
        <v>66</v>
      </c>
      <c r="AO531" s="18" t="s">
        <v>79</v>
      </c>
      <c r="AP531" s="18" t="s">
        <v>96</v>
      </c>
      <c r="AQ531" s="18" t="s">
        <v>109</v>
      </c>
      <c r="AR531" s="18" t="s">
        <v>118</v>
      </c>
      <c r="AS531" s="18" t="s">
        <v>267</v>
      </c>
      <c r="AT531" s="18"/>
      <c r="AU531" s="18"/>
      <c r="AV531" s="18">
        <f>+VLOOKUP(AN531,Leyenda!$B$30:$E$34,3,FALSE)</f>
        <v>1</v>
      </c>
      <c r="AW531" s="36">
        <f>+VLOOKUP('2. Logging Brejo Seco'!AO531,Meteorizacion,3,FALSE)</f>
        <v>1</v>
      </c>
      <c r="AX531" s="36">
        <f>+VLOOKUP('2. Logging Brejo Seco'!AP531,Apertura,3,FALSE)</f>
        <v>1</v>
      </c>
      <c r="AY531" s="36">
        <f>+VLOOKUP('2. Logging Brejo Seco'!AQ531,Leyenda!$B$55:$D$59,3,FALSE)</f>
        <v>1</v>
      </c>
      <c r="AZ531" s="36">
        <f>+VLOOKUP('2. Logging Brejo Seco'!AR531,Relleno,3,FALSE)</f>
        <v>2</v>
      </c>
      <c r="BA531" s="36">
        <f t="shared" si="193"/>
        <v>6</v>
      </c>
      <c r="BB531" s="49">
        <f t="shared" si="194"/>
        <v>0</v>
      </c>
      <c r="BC531" s="49">
        <f>VLOOKUP(AH531,Leyenda!$B$4:$D$10,3,FALSE)</f>
        <v>1</v>
      </c>
      <c r="BD531" s="50">
        <f t="shared" si="181"/>
        <v>8</v>
      </c>
      <c r="BE531" s="49">
        <f t="shared" si="186"/>
        <v>6</v>
      </c>
      <c r="BF531" s="49">
        <f>VLOOKUP(AS531,Leyenda!$B$70:$D$75,3,FALSE)</f>
        <v>15</v>
      </c>
      <c r="BG531" s="67">
        <f t="shared" si="195"/>
        <v>9</v>
      </c>
      <c r="BH531" s="67">
        <f>VLOOKUP(AG531,Leyenda!$B$4:$E$10,4,FALSE)</f>
        <v>1</v>
      </c>
      <c r="BI531" s="67">
        <f t="shared" si="182"/>
        <v>10</v>
      </c>
      <c r="BJ531" s="67">
        <f t="shared" si="196"/>
        <v>0</v>
      </c>
      <c r="BK531" s="67">
        <f>+VLOOKUP('2. Logging Brejo Seco'!AP531,Leyenda!$B$47:$E$51,4,FALSE)</f>
        <v>1</v>
      </c>
      <c r="BL531" s="67">
        <f>+VLOOKUP('2. Logging Brejo Seco'!AQ531,Leyenda!$B$55:$E$59,4,FALSE)</f>
        <v>1</v>
      </c>
      <c r="BM531" s="67">
        <f>+VLOOKUP('2. Logging Brejo Seco'!AR531,Leyenda!$B$63:$E$67,3,FALSE)</f>
        <v>2</v>
      </c>
      <c r="BN531" s="67">
        <f>+VLOOKUP('2. Logging Brejo Seco'!AO531,Leyenda!$B$39:$E$43,4,FALSE)</f>
        <v>1</v>
      </c>
      <c r="BO531" s="67">
        <f>+VLOOKUP('2. Logging Brejo Seco'!AN531,Leyenda!$B$30:$E$34,4,FALSE)</f>
        <v>1</v>
      </c>
      <c r="BP531" s="67">
        <f>VLOOKUP(AS531,Leyenda!$B$71:$E$75,4,FALSE)</f>
        <v>10</v>
      </c>
      <c r="BQ531" s="125">
        <f t="shared" si="187"/>
        <v>27</v>
      </c>
      <c r="BR531" s="85">
        <f t="shared" si="188"/>
        <v>30</v>
      </c>
      <c r="BS531" s="240">
        <f t="shared" si="183"/>
        <v>9.9999999999999978E-2</v>
      </c>
      <c r="BT531" s="18"/>
    </row>
    <row r="532" spans="1:72" x14ac:dyDescent="0.25">
      <c r="A532" s="18" t="s">
        <v>6</v>
      </c>
      <c r="B532" s="18">
        <v>2024</v>
      </c>
      <c r="C532" s="18" t="s">
        <v>138</v>
      </c>
      <c r="D532" s="18" t="s">
        <v>266</v>
      </c>
      <c r="E532" s="18">
        <v>50</v>
      </c>
      <c r="F532" s="18">
        <v>50</v>
      </c>
      <c r="G532" s="18" t="s">
        <v>154</v>
      </c>
      <c r="H532" s="248">
        <f t="shared" si="190"/>
        <v>50</v>
      </c>
      <c r="I532" s="135"/>
      <c r="J532" s="18" t="s">
        <v>297</v>
      </c>
      <c r="K532" s="31">
        <f t="shared" si="179"/>
        <v>12</v>
      </c>
      <c r="L532" s="31">
        <f t="shared" si="180"/>
        <v>12.5</v>
      </c>
      <c r="M532" s="4">
        <f t="shared" si="189"/>
        <v>0.5</v>
      </c>
      <c r="N532" s="32">
        <v>0.76</v>
      </c>
      <c r="O532" s="5">
        <f t="shared" si="177"/>
        <v>0.24</v>
      </c>
      <c r="P532" s="31">
        <f>+M532*N532</f>
        <v>0.38</v>
      </c>
      <c r="Q532" s="18">
        <f t="shared" si="185"/>
        <v>0.38</v>
      </c>
      <c r="R532" s="18">
        <v>19</v>
      </c>
      <c r="S532" s="18">
        <v>20</v>
      </c>
      <c r="T532" s="18">
        <v>0.35</v>
      </c>
      <c r="U532" s="18">
        <v>0</v>
      </c>
      <c r="V532" s="65">
        <f t="shared" si="191"/>
        <v>0</v>
      </c>
      <c r="W532" s="18">
        <v>4</v>
      </c>
      <c r="X532" s="18"/>
      <c r="Y532" s="18">
        <f t="shared" si="178"/>
        <v>4</v>
      </c>
      <c r="Z532" s="31">
        <f t="shared" si="192"/>
        <v>125</v>
      </c>
      <c r="AA532" s="18">
        <v>0</v>
      </c>
      <c r="AB532" s="18" t="s">
        <v>330</v>
      </c>
      <c r="AC532" s="18" t="s">
        <v>333</v>
      </c>
      <c r="AD532" s="18" t="s">
        <v>335</v>
      </c>
      <c r="AE532" s="18">
        <v>20</v>
      </c>
      <c r="AF532" s="18">
        <v>19</v>
      </c>
      <c r="AG532" s="18" t="s">
        <v>32</v>
      </c>
      <c r="AH532" s="18" t="s">
        <v>32</v>
      </c>
      <c r="AI532" s="18" t="str">
        <f>+VLOOKUP(AH532,Leyenda!$O$4:$U$10,6,FALSE)</f>
        <v>0,15-0,25</v>
      </c>
      <c r="AJ532" s="18" t="str">
        <f>+VLOOKUP(AG532,Leyenda!$O$4:$U$10,7,FALSE)</f>
        <v>No Blasting need</v>
      </c>
      <c r="AK532" s="18">
        <f>+VLOOKUP(AJ532,Leyenda!$U$4:$V$10,2,FALSE)</f>
        <v>2</v>
      </c>
      <c r="AL532" s="18" t="s">
        <v>34</v>
      </c>
      <c r="AM532" s="18" t="s">
        <v>34</v>
      </c>
      <c r="AN532" s="18" t="s">
        <v>69</v>
      </c>
      <c r="AO532" s="18" t="s">
        <v>81</v>
      </c>
      <c r="AP532" s="18" t="s">
        <v>100</v>
      </c>
      <c r="AQ532" s="18" t="s">
        <v>109</v>
      </c>
      <c r="AR532" s="18" t="s">
        <v>120</v>
      </c>
      <c r="AS532" s="18" t="s">
        <v>267</v>
      </c>
      <c r="AT532" s="18"/>
      <c r="AU532" s="18"/>
      <c r="AV532" s="18">
        <f>+VLOOKUP(AN532,Leyenda!$B$30:$E$34,3,FALSE)</f>
        <v>0</v>
      </c>
      <c r="AW532" s="36">
        <f>+VLOOKUP('2. Logging Brejo Seco'!AO532,Meteorizacion,3,FALSE)</f>
        <v>0</v>
      </c>
      <c r="AX532" s="36">
        <f>+VLOOKUP('2. Logging Brejo Seco'!AP532,Apertura,3,FALSE)</f>
        <v>0</v>
      </c>
      <c r="AY532" s="36">
        <f>+VLOOKUP('2. Logging Brejo Seco'!AQ532,Leyenda!$B$55:$D$59,3,FALSE)</f>
        <v>1</v>
      </c>
      <c r="AZ532" s="36">
        <f>+VLOOKUP('2. Logging Brejo Seco'!AR532,Relleno,3,FALSE)</f>
        <v>2</v>
      </c>
      <c r="BA532" s="36">
        <f t="shared" si="193"/>
        <v>3</v>
      </c>
      <c r="BB532" s="49">
        <f t="shared" si="194"/>
        <v>0</v>
      </c>
      <c r="BC532" s="49">
        <f>VLOOKUP(AH532,Leyenda!$B$4:$D$10,3,FALSE)</f>
        <v>1</v>
      </c>
      <c r="BD532" s="50">
        <f t="shared" si="181"/>
        <v>8</v>
      </c>
      <c r="BE532" s="49">
        <f t="shared" si="186"/>
        <v>3</v>
      </c>
      <c r="BF532" s="49">
        <f>VLOOKUP(AS532,Leyenda!$B$70:$D$75,3,FALSE)</f>
        <v>15</v>
      </c>
      <c r="BG532" s="67">
        <f t="shared" si="195"/>
        <v>4.5</v>
      </c>
      <c r="BH532" s="67">
        <f>VLOOKUP(AG532,Leyenda!$B$4:$E$10,4,FALSE)</f>
        <v>1</v>
      </c>
      <c r="BI532" s="67">
        <f t="shared" si="182"/>
        <v>10</v>
      </c>
      <c r="BJ532" s="67">
        <f t="shared" si="196"/>
        <v>0</v>
      </c>
      <c r="BK532" s="67">
        <f>+VLOOKUP('2. Logging Brejo Seco'!AP532,Leyenda!$B$47:$E$51,4,FALSE)</f>
        <v>0</v>
      </c>
      <c r="BL532" s="67">
        <f>+VLOOKUP('2. Logging Brejo Seco'!AQ532,Leyenda!$B$55:$E$59,4,FALSE)</f>
        <v>1</v>
      </c>
      <c r="BM532" s="67">
        <f>+VLOOKUP('2. Logging Brejo Seco'!AR532,Leyenda!$B$63:$E$67,3,FALSE)</f>
        <v>2</v>
      </c>
      <c r="BN532" s="67">
        <f>+VLOOKUP('2. Logging Brejo Seco'!AO532,Leyenda!$B$39:$E$43,4,FALSE)</f>
        <v>0</v>
      </c>
      <c r="BO532" s="67">
        <f>+VLOOKUP('2. Logging Brejo Seco'!AN532,Leyenda!$B$30:$E$34,4,FALSE)</f>
        <v>0</v>
      </c>
      <c r="BP532" s="67">
        <f>VLOOKUP(AS532,Leyenda!$B$71:$E$75,4,FALSE)</f>
        <v>10</v>
      </c>
      <c r="BQ532" s="125">
        <f t="shared" si="187"/>
        <v>24</v>
      </c>
      <c r="BR532" s="85">
        <f t="shared" si="188"/>
        <v>27</v>
      </c>
      <c r="BS532" s="240">
        <f t="shared" si="183"/>
        <v>0.24</v>
      </c>
      <c r="BT532" s="18" t="s">
        <v>712</v>
      </c>
    </row>
    <row r="533" spans="1:72" x14ac:dyDescent="0.25">
      <c r="A533" s="18" t="s">
        <v>6</v>
      </c>
      <c r="B533" s="18">
        <v>2024</v>
      </c>
      <c r="C533" s="18" t="s">
        <v>138</v>
      </c>
      <c r="D533" s="18" t="s">
        <v>266</v>
      </c>
      <c r="E533" s="18">
        <v>50</v>
      </c>
      <c r="F533" s="18">
        <v>50</v>
      </c>
      <c r="G533" s="18" t="s">
        <v>154</v>
      </c>
      <c r="H533" s="248">
        <f t="shared" si="190"/>
        <v>50</v>
      </c>
      <c r="I533" s="135"/>
      <c r="J533" s="18" t="s">
        <v>297</v>
      </c>
      <c r="K533" s="31">
        <f t="shared" si="179"/>
        <v>12.5</v>
      </c>
      <c r="L533" s="31">
        <f t="shared" si="180"/>
        <v>13</v>
      </c>
      <c r="M533" s="4">
        <f t="shared" si="189"/>
        <v>0.5</v>
      </c>
      <c r="N533" s="32">
        <v>0.8</v>
      </c>
      <c r="O533" s="5">
        <f t="shared" si="177"/>
        <v>0.19999999999999996</v>
      </c>
      <c r="P533" s="31">
        <f>+M533*N533</f>
        <v>0.4</v>
      </c>
      <c r="Q533" s="18">
        <f t="shared" si="185"/>
        <v>0.4</v>
      </c>
      <c r="R533" s="18">
        <v>20</v>
      </c>
      <c r="S533" s="18">
        <v>20</v>
      </c>
      <c r="T533" s="18">
        <v>0.36</v>
      </c>
      <c r="U533" s="18">
        <v>0</v>
      </c>
      <c r="V533" s="65">
        <f>+U533/M533*100</f>
        <v>0</v>
      </c>
      <c r="W533" s="18">
        <v>5</v>
      </c>
      <c r="X533" s="18"/>
      <c r="Y533" s="18">
        <f t="shared" si="178"/>
        <v>5</v>
      </c>
      <c r="Z533" s="31">
        <f t="shared" si="192"/>
        <v>100</v>
      </c>
      <c r="AA533" s="18">
        <v>0</v>
      </c>
      <c r="AB533" s="18" t="s">
        <v>330</v>
      </c>
      <c r="AC533" s="18" t="s">
        <v>333</v>
      </c>
      <c r="AD533" s="18" t="s">
        <v>335</v>
      </c>
      <c r="AE533" s="18">
        <v>20</v>
      </c>
      <c r="AF533" s="18">
        <v>20</v>
      </c>
      <c r="AG533" s="18" t="s">
        <v>34</v>
      </c>
      <c r="AH533" s="18" t="s">
        <v>34</v>
      </c>
      <c r="AI533" s="18">
        <f>+VLOOKUP(AH533,Leyenda!$O$4:$U$10,6,FALSE)</f>
        <v>0</v>
      </c>
      <c r="AJ533" s="18" t="str">
        <f>+VLOOKUP(AG533,Leyenda!$O$4:$U$10,7,FALSE)</f>
        <v>No Blasting need</v>
      </c>
      <c r="AK533" s="18">
        <f>+VLOOKUP(AJ533,Leyenda!$U$4:$V$10,2,FALSE)</f>
        <v>2</v>
      </c>
      <c r="AL533" s="18" t="s">
        <v>24</v>
      </c>
      <c r="AM533" s="18" t="s">
        <v>24</v>
      </c>
      <c r="AN533" s="18" t="s">
        <v>64</v>
      </c>
      <c r="AO533" s="18" t="s">
        <v>77</v>
      </c>
      <c r="AP533" s="18" t="s">
        <v>96</v>
      </c>
      <c r="AQ533" s="18" t="s">
        <v>107</v>
      </c>
      <c r="AR533" s="18" t="s">
        <v>118</v>
      </c>
      <c r="AS533" s="18" t="s">
        <v>267</v>
      </c>
      <c r="AT533" s="18"/>
      <c r="AU533" s="18"/>
      <c r="AV533" s="18">
        <f>+VLOOKUP(AN533,Leyenda!$B$30:$E$34,3,FALSE)</f>
        <v>2</v>
      </c>
      <c r="AW533" s="36">
        <f>+VLOOKUP('2. Logging Brejo Seco'!AO533,Meteorizacion,3,FALSE)</f>
        <v>3</v>
      </c>
      <c r="AX533" s="36">
        <f>+VLOOKUP('2. Logging Brejo Seco'!AP533,Apertura,3,FALSE)</f>
        <v>1</v>
      </c>
      <c r="AY533" s="36">
        <f>+VLOOKUP('2. Logging Brejo Seco'!AQ533,Leyenda!$B$55:$D$59,3,FALSE)</f>
        <v>3</v>
      </c>
      <c r="AZ533" s="36">
        <f>+VLOOKUP('2. Logging Brejo Seco'!AR533,Relleno,3,FALSE)</f>
        <v>2</v>
      </c>
      <c r="BA533" s="36">
        <f t="shared" si="193"/>
        <v>11</v>
      </c>
      <c r="BB533" s="49">
        <f t="shared" si="194"/>
        <v>0</v>
      </c>
      <c r="BC533" s="49">
        <f>VLOOKUP(AH533,Leyenda!$B$4:$D$10,3,FALSE)</f>
        <v>0</v>
      </c>
      <c r="BD533" s="50">
        <f t="shared" si="181"/>
        <v>7</v>
      </c>
      <c r="BE533" s="49">
        <f t="shared" si="186"/>
        <v>11</v>
      </c>
      <c r="BF533" s="49">
        <f>VLOOKUP(AS533,Leyenda!$B$70:$D$75,3,FALSE)</f>
        <v>15</v>
      </c>
      <c r="BG533" s="67">
        <f t="shared" si="195"/>
        <v>16.5</v>
      </c>
      <c r="BH533" s="67">
        <f>VLOOKUP(AG533,Leyenda!$B$4:$E$10,4,FALSE)</f>
        <v>0</v>
      </c>
      <c r="BI533" s="67">
        <f t="shared" si="182"/>
        <v>8</v>
      </c>
      <c r="BJ533" s="67">
        <f t="shared" si="196"/>
        <v>0</v>
      </c>
      <c r="BK533" s="67">
        <f>+VLOOKUP('2. Logging Brejo Seco'!AP533,Leyenda!$B$47:$E$51,4,FALSE)</f>
        <v>1</v>
      </c>
      <c r="BL533" s="67">
        <f>+VLOOKUP('2. Logging Brejo Seco'!AQ533,Leyenda!$B$55:$E$59,4,FALSE)</f>
        <v>3</v>
      </c>
      <c r="BM533" s="67">
        <f>+VLOOKUP('2. Logging Brejo Seco'!AR533,Leyenda!$B$63:$E$67,3,FALSE)</f>
        <v>2</v>
      </c>
      <c r="BN533" s="67">
        <f>+VLOOKUP('2. Logging Brejo Seco'!AO533,Leyenda!$B$39:$E$43,4,FALSE)</f>
        <v>3</v>
      </c>
      <c r="BO533" s="67">
        <f>+VLOOKUP('2. Logging Brejo Seco'!AN533,Leyenda!$B$30:$E$34,4,FALSE)</f>
        <v>3</v>
      </c>
      <c r="BP533" s="67">
        <f>VLOOKUP(AS533,Leyenda!$B$71:$E$75,4,FALSE)</f>
        <v>10</v>
      </c>
      <c r="BQ533" s="125">
        <f t="shared" si="187"/>
        <v>30</v>
      </c>
      <c r="BR533" s="85">
        <f t="shared" si="188"/>
        <v>33</v>
      </c>
      <c r="BS533" s="240">
        <f t="shared" si="183"/>
        <v>0.19999999999999996</v>
      </c>
      <c r="BT533" s="18"/>
    </row>
    <row r="534" spans="1:72" x14ac:dyDescent="0.25">
      <c r="A534" s="18" t="s">
        <v>6</v>
      </c>
      <c r="B534" s="18">
        <v>2024</v>
      </c>
      <c r="C534" s="18" t="s">
        <v>138</v>
      </c>
      <c r="D534" s="18" t="s">
        <v>266</v>
      </c>
      <c r="E534" s="18">
        <v>50</v>
      </c>
      <c r="F534" s="18">
        <v>50</v>
      </c>
      <c r="G534" s="18" t="s">
        <v>154</v>
      </c>
      <c r="H534" s="248">
        <f t="shared" si="190"/>
        <v>50</v>
      </c>
      <c r="I534" s="135"/>
      <c r="J534" s="18" t="s">
        <v>297</v>
      </c>
      <c r="K534" s="31">
        <f t="shared" si="179"/>
        <v>13</v>
      </c>
      <c r="L534" s="31">
        <f t="shared" si="180"/>
        <v>13.5</v>
      </c>
      <c r="M534" s="4">
        <f t="shared" si="189"/>
        <v>0.5</v>
      </c>
      <c r="N534" s="32">
        <v>1</v>
      </c>
      <c r="O534" s="5">
        <f t="shared" si="177"/>
        <v>0</v>
      </c>
      <c r="P534" s="31">
        <f t="shared" si="184"/>
        <v>0.5</v>
      </c>
      <c r="Q534" s="18">
        <f t="shared" si="185"/>
        <v>0.5</v>
      </c>
      <c r="R534" s="18">
        <v>25</v>
      </c>
      <c r="S534" s="18">
        <v>20</v>
      </c>
      <c r="T534" s="18">
        <v>0.46</v>
      </c>
      <c r="U534" s="18">
        <v>0.44</v>
      </c>
      <c r="V534" s="65">
        <f>+U534/M534*100</f>
        <v>88</v>
      </c>
      <c r="W534" s="18">
        <v>3</v>
      </c>
      <c r="X534" s="18"/>
      <c r="Y534" s="18">
        <f t="shared" si="178"/>
        <v>3</v>
      </c>
      <c r="Z534" s="31">
        <f t="shared" si="192"/>
        <v>166.66666666666666</v>
      </c>
      <c r="AA534" s="18">
        <v>0</v>
      </c>
      <c r="AB534" s="18" t="s">
        <v>330</v>
      </c>
      <c r="AC534" s="18" t="s">
        <v>333</v>
      </c>
      <c r="AD534" s="18" t="s">
        <v>335</v>
      </c>
      <c r="AE534" s="18">
        <v>20</v>
      </c>
      <c r="AF534" s="18">
        <v>25</v>
      </c>
      <c r="AG534" s="18" t="s">
        <v>24</v>
      </c>
      <c r="AH534" s="18" t="s">
        <v>24</v>
      </c>
      <c r="AI534" s="18" t="str">
        <f>+VLOOKUP(AH534,Leyenda!$O$4:$U$10,6,FALSE)</f>
        <v>0,50-0,80</v>
      </c>
      <c r="AJ534" s="18" t="str">
        <f>+VLOOKUP(AG534,Leyenda!$O$4:$U$10,7,FALSE)</f>
        <v>Fairly easy to blast</v>
      </c>
      <c r="AK534" s="18">
        <f>+VLOOKUP(AJ534,Leyenda!$U$4:$V$10,2,FALSE)</f>
        <v>4</v>
      </c>
      <c r="AL534" s="18" t="s">
        <v>24</v>
      </c>
      <c r="AM534" s="18" t="s">
        <v>24</v>
      </c>
      <c r="AN534" s="18" t="s">
        <v>64</v>
      </c>
      <c r="AO534" s="18" t="s">
        <v>79</v>
      </c>
      <c r="AP534" s="18" t="s">
        <v>96</v>
      </c>
      <c r="AQ534" s="18" t="s">
        <v>107</v>
      </c>
      <c r="AR534" s="18" t="s">
        <v>118</v>
      </c>
      <c r="AS534" s="18" t="s">
        <v>267</v>
      </c>
      <c r="AT534" s="18" t="s">
        <v>270</v>
      </c>
      <c r="AU534" s="18"/>
      <c r="AV534" s="18">
        <f>+VLOOKUP(AN534,Leyenda!$B$30:$E$34,3,FALSE)</f>
        <v>2</v>
      </c>
      <c r="AW534" s="36">
        <f>+VLOOKUP('2. Logging Brejo Seco'!AO534,Meteorizacion,3,FALSE)</f>
        <v>1</v>
      </c>
      <c r="AX534" s="36">
        <f>+VLOOKUP('2. Logging Brejo Seco'!AP534,Apertura,3,FALSE)</f>
        <v>1</v>
      </c>
      <c r="AY534" s="36">
        <f>+VLOOKUP('2. Logging Brejo Seco'!AQ534,Leyenda!$B$55:$D$59,3,FALSE)</f>
        <v>3</v>
      </c>
      <c r="AZ534" s="36">
        <f>+VLOOKUP('2. Logging Brejo Seco'!AR534,Relleno,3,FALSE)</f>
        <v>2</v>
      </c>
      <c r="BA534" s="36">
        <f t="shared" si="193"/>
        <v>9</v>
      </c>
      <c r="BB534" s="49">
        <f t="shared" si="194"/>
        <v>18</v>
      </c>
      <c r="BC534" s="49">
        <f>VLOOKUP(AH534,Leyenda!$B$4:$D$10,3,FALSE)</f>
        <v>7</v>
      </c>
      <c r="BD534" s="50">
        <f t="shared" si="181"/>
        <v>9</v>
      </c>
      <c r="BE534" s="49">
        <f t="shared" si="186"/>
        <v>9</v>
      </c>
      <c r="BF534" s="49">
        <f>VLOOKUP(AS534,Leyenda!$B$70:$D$75,3,FALSE)</f>
        <v>15</v>
      </c>
      <c r="BG534" s="67">
        <f t="shared" si="195"/>
        <v>57.5</v>
      </c>
      <c r="BH534" s="67">
        <f>VLOOKUP(AG534,Leyenda!$B$4:$E$10,4,FALSE)</f>
        <v>7</v>
      </c>
      <c r="BI534" s="67">
        <f t="shared" si="182"/>
        <v>11</v>
      </c>
      <c r="BJ534" s="67">
        <f t="shared" si="196"/>
        <v>18</v>
      </c>
      <c r="BK534" s="67">
        <f>+VLOOKUP('2. Logging Brejo Seco'!AP534,Leyenda!$B$47:$E$51,4,FALSE)</f>
        <v>1</v>
      </c>
      <c r="BL534" s="67">
        <f>+VLOOKUP('2. Logging Brejo Seco'!AQ534,Leyenda!$B$55:$E$59,4,FALSE)</f>
        <v>3</v>
      </c>
      <c r="BM534" s="67">
        <f>+VLOOKUP('2. Logging Brejo Seco'!AR534,Leyenda!$B$63:$E$67,3,FALSE)</f>
        <v>2</v>
      </c>
      <c r="BN534" s="67">
        <f>+VLOOKUP('2. Logging Brejo Seco'!AO534,Leyenda!$B$39:$E$43,4,FALSE)</f>
        <v>1</v>
      </c>
      <c r="BO534" s="67">
        <f>+VLOOKUP('2. Logging Brejo Seco'!AN534,Leyenda!$B$30:$E$34,4,FALSE)</f>
        <v>3</v>
      </c>
      <c r="BP534" s="67">
        <f>VLOOKUP(AS534,Leyenda!$B$71:$E$75,4,FALSE)</f>
        <v>10</v>
      </c>
      <c r="BQ534" s="125">
        <f t="shared" si="187"/>
        <v>56</v>
      </c>
      <c r="BR534" s="85">
        <f t="shared" si="188"/>
        <v>58</v>
      </c>
      <c r="BS534" s="240">
        <f t="shared" si="183"/>
        <v>0</v>
      </c>
      <c r="BT534" s="18"/>
    </row>
    <row r="535" spans="1:72" x14ac:dyDescent="0.25">
      <c r="A535" s="18" t="s">
        <v>6</v>
      </c>
      <c r="B535" s="18">
        <v>2024</v>
      </c>
      <c r="C535" s="18" t="s">
        <v>138</v>
      </c>
      <c r="D535" s="18" t="s">
        <v>266</v>
      </c>
      <c r="E535" s="18">
        <v>50</v>
      </c>
      <c r="F535" s="18">
        <v>50</v>
      </c>
      <c r="G535" s="18" t="s">
        <v>154</v>
      </c>
      <c r="H535" s="248">
        <f t="shared" si="190"/>
        <v>50</v>
      </c>
      <c r="I535" s="135"/>
      <c r="J535" s="18" t="s">
        <v>297</v>
      </c>
      <c r="K535" s="31">
        <f t="shared" si="179"/>
        <v>13.5</v>
      </c>
      <c r="L535" s="31">
        <f t="shared" si="180"/>
        <v>14</v>
      </c>
      <c r="M535" s="4">
        <f t="shared" si="189"/>
        <v>0.5</v>
      </c>
      <c r="N535" s="32">
        <v>0.36</v>
      </c>
      <c r="O535" s="5">
        <f t="shared" si="177"/>
        <v>0.64</v>
      </c>
      <c r="P535" s="31">
        <f t="shared" si="184"/>
        <v>0.18</v>
      </c>
      <c r="Q535" s="18">
        <f t="shared" si="185"/>
        <v>0.18</v>
      </c>
      <c r="R535" s="18">
        <v>9</v>
      </c>
      <c r="S535" s="18">
        <v>20</v>
      </c>
      <c r="T535" s="18">
        <v>0.14000000000000001</v>
      </c>
      <c r="U535" s="18">
        <v>0.1</v>
      </c>
      <c r="V535" s="65">
        <f t="shared" si="191"/>
        <v>20</v>
      </c>
      <c r="W535" s="18">
        <v>2</v>
      </c>
      <c r="X535" s="18"/>
      <c r="Y535" s="18">
        <v>5</v>
      </c>
      <c r="Z535" s="31">
        <f t="shared" si="192"/>
        <v>100</v>
      </c>
      <c r="AA535" s="18">
        <v>0</v>
      </c>
      <c r="AB535" s="18" t="s">
        <v>330</v>
      </c>
      <c r="AC535" s="18" t="s">
        <v>333</v>
      </c>
      <c r="AD535" s="18" t="s">
        <v>335</v>
      </c>
      <c r="AE535" s="18">
        <v>20</v>
      </c>
      <c r="AF535" s="18">
        <v>9</v>
      </c>
      <c r="AG535" s="18" t="s">
        <v>24</v>
      </c>
      <c r="AH535" s="18" t="s">
        <v>24</v>
      </c>
      <c r="AI535" s="18" t="str">
        <f>+VLOOKUP(AH535,Leyenda!$O$4:$U$10,6,FALSE)</f>
        <v>0,50-0,80</v>
      </c>
      <c r="AJ535" s="18" t="str">
        <f>+VLOOKUP(AG535,Leyenda!$O$4:$U$10,7,FALSE)</f>
        <v>Fairly easy to blast</v>
      </c>
      <c r="AK535" s="18">
        <f>+VLOOKUP(AJ535,Leyenda!$U$4:$V$10,2,FALSE)</f>
        <v>4</v>
      </c>
      <c r="AL535" s="18" t="s">
        <v>24</v>
      </c>
      <c r="AM535" s="18" t="s">
        <v>24</v>
      </c>
      <c r="AN535" s="18" t="s">
        <v>64</v>
      </c>
      <c r="AO535" s="18" t="s">
        <v>81</v>
      </c>
      <c r="AP535" s="18" t="s">
        <v>96</v>
      </c>
      <c r="AQ535" s="18" t="s">
        <v>107</v>
      </c>
      <c r="AR535" s="18" t="s">
        <v>118</v>
      </c>
      <c r="AS535" s="18" t="s">
        <v>267</v>
      </c>
      <c r="AT535" s="18" t="s">
        <v>272</v>
      </c>
      <c r="AU535" s="18"/>
      <c r="AV535" s="18">
        <f>+VLOOKUP(AN535,Leyenda!$B$30:$E$34,3,FALSE)</f>
        <v>2</v>
      </c>
      <c r="AW535" s="36">
        <f>+VLOOKUP('2. Logging Brejo Seco'!AO535,Meteorizacion,3,FALSE)</f>
        <v>0</v>
      </c>
      <c r="AX535" s="36">
        <f>+VLOOKUP('2. Logging Brejo Seco'!AP535,Apertura,3,FALSE)</f>
        <v>1</v>
      </c>
      <c r="AY535" s="36">
        <f>+VLOOKUP('2. Logging Brejo Seco'!AQ535,Leyenda!$B$55:$D$59,3,FALSE)</f>
        <v>3</v>
      </c>
      <c r="AZ535" s="36">
        <f>+VLOOKUP('2. Logging Brejo Seco'!AR535,Relleno,3,FALSE)</f>
        <v>2</v>
      </c>
      <c r="BA535" s="36">
        <f t="shared" si="193"/>
        <v>8</v>
      </c>
      <c r="BB535" s="49">
        <f t="shared" si="194"/>
        <v>4</v>
      </c>
      <c r="BC535" s="49">
        <f>VLOOKUP(AH535,Leyenda!$B$4:$D$10,3,FALSE)</f>
        <v>7</v>
      </c>
      <c r="BD535" s="50">
        <f t="shared" si="181"/>
        <v>7</v>
      </c>
      <c r="BE535" s="49">
        <f t="shared" si="186"/>
        <v>8</v>
      </c>
      <c r="BF535" s="49">
        <f>VLOOKUP(AS535,Leyenda!$B$70:$D$75,3,FALSE)</f>
        <v>15</v>
      </c>
      <c r="BG535" s="67">
        <f t="shared" si="195"/>
        <v>22</v>
      </c>
      <c r="BH535" s="67">
        <f>VLOOKUP(AG535,Leyenda!$B$4:$E$10,4,FALSE)</f>
        <v>7</v>
      </c>
      <c r="BI535" s="67">
        <f t="shared" si="182"/>
        <v>8</v>
      </c>
      <c r="BJ535" s="67">
        <f t="shared" si="196"/>
        <v>4</v>
      </c>
      <c r="BK535" s="67">
        <f>+VLOOKUP('2. Logging Brejo Seco'!AP535,Leyenda!$B$47:$E$51,4,FALSE)</f>
        <v>1</v>
      </c>
      <c r="BL535" s="67">
        <f>+VLOOKUP('2. Logging Brejo Seco'!AQ535,Leyenda!$B$55:$E$59,4,FALSE)</f>
        <v>3</v>
      </c>
      <c r="BM535" s="67">
        <f>+VLOOKUP('2. Logging Brejo Seco'!AR535,Leyenda!$B$63:$E$67,3,FALSE)</f>
        <v>2</v>
      </c>
      <c r="BN535" s="67">
        <f>+VLOOKUP('2. Logging Brejo Seco'!AO535,Leyenda!$B$39:$E$43,4,FALSE)</f>
        <v>0</v>
      </c>
      <c r="BO535" s="67">
        <f>+VLOOKUP('2. Logging Brejo Seco'!AN535,Leyenda!$B$30:$E$34,4,FALSE)</f>
        <v>3</v>
      </c>
      <c r="BP535" s="67">
        <f>VLOOKUP(AS535,Leyenda!$B$71:$E$75,4,FALSE)</f>
        <v>10</v>
      </c>
      <c r="BQ535" s="125">
        <f t="shared" si="187"/>
        <v>38</v>
      </c>
      <c r="BR535" s="85">
        <f t="shared" si="188"/>
        <v>41</v>
      </c>
      <c r="BS535" s="240">
        <f t="shared" si="183"/>
        <v>0.64</v>
      </c>
      <c r="BT535" s="18"/>
    </row>
    <row r="536" spans="1:72" x14ac:dyDescent="0.25">
      <c r="A536" s="18" t="s">
        <v>6</v>
      </c>
      <c r="B536" s="18">
        <v>2024</v>
      </c>
      <c r="C536" s="18" t="s">
        <v>138</v>
      </c>
      <c r="D536" s="18" t="s">
        <v>266</v>
      </c>
      <c r="E536" s="18">
        <v>50</v>
      </c>
      <c r="F536" s="18">
        <v>50</v>
      </c>
      <c r="G536" s="18" t="s">
        <v>154</v>
      </c>
      <c r="H536" s="248">
        <f t="shared" si="190"/>
        <v>50</v>
      </c>
      <c r="I536" s="135"/>
      <c r="J536" s="18" t="s">
        <v>297</v>
      </c>
      <c r="K536" s="31">
        <f t="shared" si="179"/>
        <v>14</v>
      </c>
      <c r="L536" s="31">
        <f t="shared" si="180"/>
        <v>14.5</v>
      </c>
      <c r="M536" s="4">
        <f t="shared" si="189"/>
        <v>0.5</v>
      </c>
      <c r="N536" s="32">
        <v>1</v>
      </c>
      <c r="O536" s="5">
        <f t="shared" si="177"/>
        <v>0</v>
      </c>
      <c r="P536" s="31">
        <f t="shared" si="184"/>
        <v>0.5</v>
      </c>
      <c r="Q536" s="18">
        <f t="shared" si="185"/>
        <v>0.5</v>
      </c>
      <c r="R536" s="18">
        <v>25</v>
      </c>
      <c r="S536" s="18">
        <v>20</v>
      </c>
      <c r="T536" s="18">
        <v>0.49</v>
      </c>
      <c r="U536" s="18">
        <v>0.44</v>
      </c>
      <c r="V536" s="65">
        <f t="shared" si="191"/>
        <v>88</v>
      </c>
      <c r="W536" s="18">
        <v>2</v>
      </c>
      <c r="X536" s="18"/>
      <c r="Y536" s="18">
        <v>4</v>
      </c>
      <c r="Z536" s="31">
        <f t="shared" si="192"/>
        <v>125</v>
      </c>
      <c r="AA536" s="18">
        <v>0</v>
      </c>
      <c r="AB536" s="18" t="s">
        <v>330</v>
      </c>
      <c r="AC536" s="18" t="s">
        <v>333</v>
      </c>
      <c r="AD536" s="18" t="s">
        <v>335</v>
      </c>
      <c r="AE536" s="18">
        <v>20</v>
      </c>
      <c r="AF536" s="18">
        <v>25</v>
      </c>
      <c r="AG536" s="18" t="s">
        <v>24</v>
      </c>
      <c r="AH536" s="18" t="s">
        <v>24</v>
      </c>
      <c r="AI536" s="18" t="str">
        <f>+VLOOKUP(AH536,Leyenda!$O$4:$U$10,6,FALSE)</f>
        <v>0,50-0,80</v>
      </c>
      <c r="AJ536" s="18" t="str">
        <f>+VLOOKUP(AG536,Leyenda!$O$4:$U$10,7,FALSE)</f>
        <v>Fairly easy to blast</v>
      </c>
      <c r="AK536" s="18">
        <f>+VLOOKUP(AJ536,Leyenda!$U$4:$V$10,2,FALSE)</f>
        <v>4</v>
      </c>
      <c r="AL536" s="18" t="s">
        <v>32</v>
      </c>
      <c r="AM536" s="18" t="s">
        <v>32</v>
      </c>
      <c r="AN536" s="18" t="s">
        <v>66</v>
      </c>
      <c r="AO536" s="18" t="s">
        <v>81</v>
      </c>
      <c r="AP536" s="18" t="s">
        <v>96</v>
      </c>
      <c r="AQ536" s="18" t="s">
        <v>109</v>
      </c>
      <c r="AR536" s="18" t="s">
        <v>120</v>
      </c>
      <c r="AS536" s="18" t="s">
        <v>267</v>
      </c>
      <c r="AT536" s="18"/>
      <c r="AU536" s="18"/>
      <c r="AV536" s="18">
        <f>+VLOOKUP(AN536,Leyenda!$B$30:$E$34,3,FALSE)</f>
        <v>1</v>
      </c>
      <c r="AW536" s="36">
        <f>+VLOOKUP('2. Logging Brejo Seco'!AO536,Meteorizacion,3,FALSE)</f>
        <v>0</v>
      </c>
      <c r="AX536" s="36">
        <f>+VLOOKUP('2. Logging Brejo Seco'!AP536,Apertura,3,FALSE)</f>
        <v>1</v>
      </c>
      <c r="AY536" s="36">
        <f>+VLOOKUP('2. Logging Brejo Seco'!AQ536,Leyenda!$B$55:$D$59,3,FALSE)</f>
        <v>1</v>
      </c>
      <c r="AZ536" s="36">
        <f>+VLOOKUP('2. Logging Brejo Seco'!AR536,Relleno,3,FALSE)</f>
        <v>2</v>
      </c>
      <c r="BA536" s="36">
        <f t="shared" si="193"/>
        <v>5</v>
      </c>
      <c r="BB536" s="49">
        <f t="shared" si="194"/>
        <v>18</v>
      </c>
      <c r="BC536" s="49">
        <f>VLOOKUP(AH536,Leyenda!$B$4:$D$10,3,FALSE)</f>
        <v>7</v>
      </c>
      <c r="BD536" s="50">
        <f t="shared" si="181"/>
        <v>8</v>
      </c>
      <c r="BE536" s="49">
        <f t="shared" si="186"/>
        <v>5</v>
      </c>
      <c r="BF536" s="49">
        <f>VLOOKUP(AS536,Leyenda!$B$70:$D$75,3,FALSE)</f>
        <v>15</v>
      </c>
      <c r="BG536" s="67">
        <f t="shared" si="195"/>
        <v>51.5</v>
      </c>
      <c r="BH536" s="67">
        <f>VLOOKUP(AG536,Leyenda!$B$4:$E$10,4,FALSE)</f>
        <v>7</v>
      </c>
      <c r="BI536" s="67">
        <f t="shared" si="182"/>
        <v>10</v>
      </c>
      <c r="BJ536" s="67">
        <f t="shared" si="196"/>
        <v>18</v>
      </c>
      <c r="BK536" s="67">
        <f>+VLOOKUP('2. Logging Brejo Seco'!AP536,Leyenda!$B$47:$E$51,4,FALSE)</f>
        <v>1</v>
      </c>
      <c r="BL536" s="67">
        <f>+VLOOKUP('2. Logging Brejo Seco'!AQ536,Leyenda!$B$55:$E$59,4,FALSE)</f>
        <v>1</v>
      </c>
      <c r="BM536" s="67">
        <f>+VLOOKUP('2. Logging Brejo Seco'!AR536,Leyenda!$B$63:$E$67,3,FALSE)</f>
        <v>2</v>
      </c>
      <c r="BN536" s="67">
        <f>+VLOOKUP('2. Logging Brejo Seco'!AO536,Leyenda!$B$39:$E$43,4,FALSE)</f>
        <v>0</v>
      </c>
      <c r="BO536" s="67">
        <f>+VLOOKUP('2. Logging Brejo Seco'!AN536,Leyenda!$B$30:$E$34,4,FALSE)</f>
        <v>1</v>
      </c>
      <c r="BP536" s="67">
        <f>VLOOKUP(AS536,Leyenda!$B$71:$E$75,4,FALSE)</f>
        <v>10</v>
      </c>
      <c r="BQ536" s="125">
        <f t="shared" si="187"/>
        <v>50</v>
      </c>
      <c r="BR536" s="85">
        <f t="shared" si="188"/>
        <v>53</v>
      </c>
      <c r="BS536" s="240">
        <f t="shared" si="183"/>
        <v>0</v>
      </c>
      <c r="BT536" s="18"/>
    </row>
    <row r="537" spans="1:72" x14ac:dyDescent="0.25">
      <c r="A537" s="18" t="s">
        <v>6</v>
      </c>
      <c r="B537" s="18">
        <v>2024</v>
      </c>
      <c r="C537" s="18" t="s">
        <v>138</v>
      </c>
      <c r="D537" s="18" t="s">
        <v>266</v>
      </c>
      <c r="E537" s="18">
        <v>50</v>
      </c>
      <c r="F537" s="18">
        <v>50</v>
      </c>
      <c r="G537" s="18" t="s">
        <v>154</v>
      </c>
      <c r="H537" s="248">
        <f t="shared" si="190"/>
        <v>50</v>
      </c>
      <c r="I537" s="135"/>
      <c r="J537" s="18" t="s">
        <v>298</v>
      </c>
      <c r="K537" s="31">
        <f t="shared" si="179"/>
        <v>14.5</v>
      </c>
      <c r="L537" s="31">
        <f t="shared" si="180"/>
        <v>15</v>
      </c>
      <c r="M537" s="4">
        <f t="shared" si="189"/>
        <v>0.5</v>
      </c>
      <c r="N537" s="32">
        <v>0.9</v>
      </c>
      <c r="O537" s="5">
        <f t="shared" si="177"/>
        <v>9.9999999999999978E-2</v>
      </c>
      <c r="P537" s="31">
        <f t="shared" si="184"/>
        <v>0.45</v>
      </c>
      <c r="Q537" s="18">
        <f t="shared" si="185"/>
        <v>0.45</v>
      </c>
      <c r="R537" s="18">
        <v>22.5</v>
      </c>
      <c r="S537" s="18">
        <v>20</v>
      </c>
      <c r="T537" s="18">
        <v>0.1</v>
      </c>
      <c r="U537" s="18">
        <v>0.1</v>
      </c>
      <c r="V537" s="65">
        <f t="shared" si="191"/>
        <v>20</v>
      </c>
      <c r="W537" s="18">
        <v>4</v>
      </c>
      <c r="X537" s="18"/>
      <c r="Y537" s="18">
        <f t="shared" si="178"/>
        <v>4</v>
      </c>
      <c r="Z537" s="31">
        <f t="shared" si="192"/>
        <v>125</v>
      </c>
      <c r="AA537" s="18">
        <v>0</v>
      </c>
      <c r="AB537" s="18" t="s">
        <v>330</v>
      </c>
      <c r="AC537" s="18" t="s">
        <v>333</v>
      </c>
      <c r="AD537" s="18" t="s">
        <v>335</v>
      </c>
      <c r="AE537" s="18">
        <v>20</v>
      </c>
      <c r="AF537" s="18">
        <v>22.5</v>
      </c>
      <c r="AG537" s="18" t="s">
        <v>29</v>
      </c>
      <c r="AH537" s="18" t="s">
        <v>29</v>
      </c>
      <c r="AI537" s="18" t="str">
        <f>+VLOOKUP(AH537,Leyenda!$O$4:$U$10,6,FALSE)</f>
        <v>0,25-0,35</v>
      </c>
      <c r="AJ537" s="18" t="str">
        <f>+VLOOKUP(AG537,Leyenda!$O$4:$U$10,7,FALSE)</f>
        <v>No Blasting need</v>
      </c>
      <c r="AK537" s="18">
        <f>+VLOOKUP(AJ537,Leyenda!$U$4:$V$10,2,FALSE)</f>
        <v>2</v>
      </c>
      <c r="AL537" s="18" t="s">
        <v>34</v>
      </c>
      <c r="AM537" s="18" t="s">
        <v>34</v>
      </c>
      <c r="AN537" s="18" t="s">
        <v>69</v>
      </c>
      <c r="AO537" s="18" t="s">
        <v>81</v>
      </c>
      <c r="AP537" s="18" t="s">
        <v>100</v>
      </c>
      <c r="AQ537" s="18" t="s">
        <v>109</v>
      </c>
      <c r="AR537" s="18" t="s">
        <v>122</v>
      </c>
      <c r="AS537" s="18" t="s">
        <v>267</v>
      </c>
      <c r="AT537" s="18"/>
      <c r="AU537" s="18"/>
      <c r="AV537" s="18">
        <f>+VLOOKUP(AN537,Leyenda!$B$30:$E$34,3,FALSE)</f>
        <v>0</v>
      </c>
      <c r="AW537" s="36">
        <f>+VLOOKUP('2. Logging Brejo Seco'!AO537,Meteorizacion,3,FALSE)</f>
        <v>0</v>
      </c>
      <c r="AX537" s="36">
        <f>+VLOOKUP('2. Logging Brejo Seco'!AP537,Apertura,3,FALSE)</f>
        <v>0</v>
      </c>
      <c r="AY537" s="36">
        <f>+VLOOKUP('2. Logging Brejo Seco'!AQ537,Leyenda!$B$55:$D$59,3,FALSE)</f>
        <v>1</v>
      </c>
      <c r="AZ537" s="36">
        <f>+VLOOKUP('2. Logging Brejo Seco'!AR537,Relleno,3,FALSE)</f>
        <v>0</v>
      </c>
      <c r="BA537" s="36">
        <f t="shared" si="193"/>
        <v>1</v>
      </c>
      <c r="BB537" s="49">
        <f t="shared" si="194"/>
        <v>4</v>
      </c>
      <c r="BC537" s="49">
        <f>VLOOKUP(AH537,Leyenda!$B$4:$D$10,3,FALSE)</f>
        <v>2</v>
      </c>
      <c r="BD537" s="50">
        <f t="shared" si="181"/>
        <v>8</v>
      </c>
      <c r="BE537" s="49">
        <f t="shared" si="186"/>
        <v>1</v>
      </c>
      <c r="BF537" s="49">
        <f>VLOOKUP(AS537,Leyenda!$B$70:$D$75,3,FALSE)</f>
        <v>15</v>
      </c>
      <c r="BG537" s="67">
        <f t="shared" si="195"/>
        <v>11.5</v>
      </c>
      <c r="BH537" s="67">
        <f>VLOOKUP(AG537,Leyenda!$B$4:$E$10,4,FALSE)</f>
        <v>2</v>
      </c>
      <c r="BI537" s="67">
        <f t="shared" si="182"/>
        <v>10</v>
      </c>
      <c r="BJ537" s="67">
        <f t="shared" si="196"/>
        <v>4</v>
      </c>
      <c r="BK537" s="67">
        <f>+VLOOKUP('2. Logging Brejo Seco'!AP537,Leyenda!$B$47:$E$51,4,FALSE)</f>
        <v>0</v>
      </c>
      <c r="BL537" s="67">
        <f>+VLOOKUP('2. Logging Brejo Seco'!AQ537,Leyenda!$B$55:$E$59,4,FALSE)</f>
        <v>1</v>
      </c>
      <c r="BM537" s="67">
        <f>+VLOOKUP('2. Logging Brejo Seco'!AR537,Leyenda!$B$63:$E$67,3,FALSE)</f>
        <v>0</v>
      </c>
      <c r="BN537" s="67">
        <f>+VLOOKUP('2. Logging Brejo Seco'!AO537,Leyenda!$B$39:$E$43,4,FALSE)</f>
        <v>0</v>
      </c>
      <c r="BO537" s="67">
        <f>+VLOOKUP('2. Logging Brejo Seco'!AN537,Leyenda!$B$30:$E$34,4,FALSE)</f>
        <v>0</v>
      </c>
      <c r="BP537" s="67">
        <f>VLOOKUP(AS537,Leyenda!$B$71:$E$75,4,FALSE)</f>
        <v>10</v>
      </c>
      <c r="BQ537" s="125">
        <f t="shared" si="187"/>
        <v>27</v>
      </c>
      <c r="BR537" s="85">
        <f t="shared" si="188"/>
        <v>30</v>
      </c>
      <c r="BS537" s="240">
        <f t="shared" si="183"/>
        <v>9.9999999999999978E-2</v>
      </c>
      <c r="BT537" s="18" t="s">
        <v>712</v>
      </c>
    </row>
    <row r="538" spans="1:72" x14ac:dyDescent="0.25">
      <c r="A538" s="18" t="s">
        <v>6</v>
      </c>
      <c r="B538" s="18">
        <v>2024</v>
      </c>
      <c r="C538" s="18" t="s">
        <v>138</v>
      </c>
      <c r="D538" s="18" t="s">
        <v>266</v>
      </c>
      <c r="E538" s="18">
        <v>50</v>
      </c>
      <c r="F538" s="18">
        <v>50</v>
      </c>
      <c r="G538" s="18" t="s">
        <v>154</v>
      </c>
      <c r="H538" s="248">
        <f t="shared" si="190"/>
        <v>50</v>
      </c>
      <c r="I538" s="135"/>
      <c r="J538" s="18" t="s">
        <v>298</v>
      </c>
      <c r="K538" s="31">
        <f t="shared" si="179"/>
        <v>15</v>
      </c>
      <c r="L538" s="31">
        <f t="shared" si="180"/>
        <v>15.5</v>
      </c>
      <c r="M538" s="4">
        <f t="shared" si="189"/>
        <v>0.5</v>
      </c>
      <c r="N538" s="32">
        <v>0.64</v>
      </c>
      <c r="O538" s="5">
        <f t="shared" si="177"/>
        <v>0.36</v>
      </c>
      <c r="P538" s="31">
        <f t="shared" si="184"/>
        <v>0.32</v>
      </c>
      <c r="Q538" s="18">
        <f t="shared" si="185"/>
        <v>0.32</v>
      </c>
      <c r="R538" s="18">
        <v>16</v>
      </c>
      <c r="S538" s="18">
        <v>20</v>
      </c>
      <c r="T538" s="18">
        <v>0.32</v>
      </c>
      <c r="U538" s="18">
        <v>0</v>
      </c>
      <c r="V538" s="65">
        <f>+U538/M538*100</f>
        <v>0</v>
      </c>
      <c r="W538" s="18">
        <v>10</v>
      </c>
      <c r="X538" s="18"/>
      <c r="Y538" s="18">
        <f t="shared" si="178"/>
        <v>10</v>
      </c>
      <c r="Z538" s="31">
        <f t="shared" si="192"/>
        <v>50</v>
      </c>
      <c r="AA538" s="18">
        <v>0</v>
      </c>
      <c r="AB538" s="18" t="s">
        <v>330</v>
      </c>
      <c r="AC538" s="18" t="s">
        <v>333</v>
      </c>
      <c r="AD538" s="18" t="s">
        <v>335</v>
      </c>
      <c r="AE538" s="18">
        <v>20</v>
      </c>
      <c r="AF538" s="18">
        <v>16</v>
      </c>
      <c r="AG538" s="18" t="s">
        <v>32</v>
      </c>
      <c r="AH538" s="18" t="s">
        <v>32</v>
      </c>
      <c r="AI538" s="18" t="str">
        <f>+VLOOKUP(AH538,Leyenda!$O$4:$U$10,6,FALSE)</f>
        <v>0,15-0,25</v>
      </c>
      <c r="AJ538" s="18" t="str">
        <f>+VLOOKUP(AG538,Leyenda!$O$4:$U$10,7,FALSE)</f>
        <v>No Blasting need</v>
      </c>
      <c r="AK538" s="18">
        <f>+VLOOKUP(AJ538,Leyenda!$U$4:$V$10,2,FALSE)</f>
        <v>2</v>
      </c>
      <c r="AL538" s="18" t="s">
        <v>199</v>
      </c>
      <c r="AM538" s="18" t="s">
        <v>199</v>
      </c>
      <c r="AN538" s="18" t="s">
        <v>66</v>
      </c>
      <c r="AO538" s="18" t="s">
        <v>81</v>
      </c>
      <c r="AP538" s="18" t="s">
        <v>96</v>
      </c>
      <c r="AQ538" s="18" t="s">
        <v>107</v>
      </c>
      <c r="AR538" s="18" t="s">
        <v>122</v>
      </c>
      <c r="AS538" s="18" t="s">
        <v>126</v>
      </c>
      <c r="AT538" s="18" t="s">
        <v>271</v>
      </c>
      <c r="AU538" s="18"/>
      <c r="AV538" s="18">
        <f>+VLOOKUP(AN538,Leyenda!$B$30:$E$34,3,FALSE)</f>
        <v>1</v>
      </c>
      <c r="AW538" s="36">
        <f>+VLOOKUP('2. Logging Brejo Seco'!AO538,Meteorizacion,3,FALSE)</f>
        <v>0</v>
      </c>
      <c r="AX538" s="36">
        <f>+VLOOKUP('2. Logging Brejo Seco'!AP538,Apertura,3,FALSE)</f>
        <v>1</v>
      </c>
      <c r="AY538" s="36">
        <f>+VLOOKUP('2. Logging Brejo Seco'!AQ538,Leyenda!$B$55:$D$59,3,FALSE)</f>
        <v>3</v>
      </c>
      <c r="AZ538" s="36">
        <f>+VLOOKUP('2. Logging Brejo Seco'!AR538,Relleno,3,FALSE)</f>
        <v>0</v>
      </c>
      <c r="BA538" s="36">
        <f t="shared" si="193"/>
        <v>5</v>
      </c>
      <c r="BB538" s="49">
        <f t="shared" si="194"/>
        <v>0</v>
      </c>
      <c r="BC538" s="49">
        <f>VLOOKUP(AH538,Leyenda!$B$4:$D$10,3,FALSE)</f>
        <v>1</v>
      </c>
      <c r="BD538" s="50">
        <f t="shared" si="181"/>
        <v>6</v>
      </c>
      <c r="BE538" s="49">
        <f t="shared" si="186"/>
        <v>5</v>
      </c>
      <c r="BF538" s="49">
        <f>VLOOKUP(AS538,Leyenda!$B$70:$D$75,3,FALSE)</f>
        <v>10</v>
      </c>
      <c r="BG538" s="67">
        <f t="shared" si="195"/>
        <v>7.5</v>
      </c>
      <c r="BH538" s="67">
        <f>VLOOKUP(AG538,Leyenda!$B$4:$E$10,4,FALSE)</f>
        <v>1</v>
      </c>
      <c r="BI538" s="67">
        <f t="shared" si="182"/>
        <v>5</v>
      </c>
      <c r="BJ538" s="67">
        <f t="shared" si="196"/>
        <v>0</v>
      </c>
      <c r="BK538" s="67">
        <f>+VLOOKUP('2. Logging Brejo Seco'!AP538,Leyenda!$B$47:$E$51,4,FALSE)</f>
        <v>1</v>
      </c>
      <c r="BL538" s="67">
        <f>+VLOOKUP('2. Logging Brejo Seco'!AQ538,Leyenda!$B$55:$E$59,4,FALSE)</f>
        <v>3</v>
      </c>
      <c r="BM538" s="67">
        <f>+VLOOKUP('2. Logging Brejo Seco'!AR538,Leyenda!$B$63:$E$67,3,FALSE)</f>
        <v>0</v>
      </c>
      <c r="BN538" s="67">
        <f>+VLOOKUP('2. Logging Brejo Seco'!AO538,Leyenda!$B$39:$E$43,4,FALSE)</f>
        <v>0</v>
      </c>
      <c r="BO538" s="67">
        <f>+VLOOKUP('2. Logging Brejo Seco'!AN538,Leyenda!$B$30:$E$34,4,FALSE)</f>
        <v>1</v>
      </c>
      <c r="BP538" s="67">
        <f>VLOOKUP(AS538,Leyenda!$B$71:$E$75,4,FALSE)</f>
        <v>7</v>
      </c>
      <c r="BQ538" s="125">
        <f t="shared" si="187"/>
        <v>18</v>
      </c>
      <c r="BR538" s="85">
        <f t="shared" si="188"/>
        <v>22</v>
      </c>
      <c r="BS538" s="240">
        <f t="shared" si="183"/>
        <v>0.36</v>
      </c>
      <c r="BT538" s="18"/>
    </row>
    <row r="539" spans="1:72" x14ac:dyDescent="0.25">
      <c r="A539" s="18" t="s">
        <v>6</v>
      </c>
      <c r="B539" s="18">
        <v>2024</v>
      </c>
      <c r="C539" s="18" t="s">
        <v>138</v>
      </c>
      <c r="D539" s="18" t="s">
        <v>266</v>
      </c>
      <c r="E539" s="18">
        <v>50</v>
      </c>
      <c r="F539" s="18">
        <v>50</v>
      </c>
      <c r="G539" s="18" t="s">
        <v>154</v>
      </c>
      <c r="H539" s="248">
        <f t="shared" si="190"/>
        <v>50</v>
      </c>
      <c r="I539" s="135"/>
      <c r="J539" s="18" t="s">
        <v>298</v>
      </c>
      <c r="K539" s="31">
        <f t="shared" si="179"/>
        <v>15.5</v>
      </c>
      <c r="L539" s="31">
        <f t="shared" si="180"/>
        <v>16</v>
      </c>
      <c r="M539" s="4">
        <f t="shared" si="189"/>
        <v>0.5</v>
      </c>
      <c r="N539" s="32">
        <v>1</v>
      </c>
      <c r="O539" s="5">
        <f t="shared" si="177"/>
        <v>0</v>
      </c>
      <c r="P539" s="31">
        <f t="shared" si="184"/>
        <v>0.5</v>
      </c>
      <c r="Q539" s="18">
        <f t="shared" si="185"/>
        <v>0.5</v>
      </c>
      <c r="R539" s="18">
        <v>25</v>
      </c>
      <c r="S539" s="18">
        <v>20</v>
      </c>
      <c r="T539" s="18">
        <v>0.5</v>
      </c>
      <c r="U539" s="18">
        <v>0.36</v>
      </c>
      <c r="V539" s="65">
        <f>+U539/M539*100</f>
        <v>72</v>
      </c>
      <c r="W539" s="18">
        <v>3</v>
      </c>
      <c r="X539" s="18"/>
      <c r="Y539" s="18">
        <f t="shared" si="178"/>
        <v>3</v>
      </c>
      <c r="Z539" s="31">
        <f t="shared" si="192"/>
        <v>166.66666666666666</v>
      </c>
      <c r="AA539" s="18">
        <v>0</v>
      </c>
      <c r="AB539" s="18" t="s">
        <v>330</v>
      </c>
      <c r="AC539" s="18" t="s">
        <v>333</v>
      </c>
      <c r="AD539" s="18" t="s">
        <v>335</v>
      </c>
      <c r="AE539" s="18">
        <v>20</v>
      </c>
      <c r="AF539" s="18">
        <v>25</v>
      </c>
      <c r="AG539" s="18" t="s">
        <v>29</v>
      </c>
      <c r="AH539" s="18" t="s">
        <v>29</v>
      </c>
      <c r="AI539" s="18" t="str">
        <f>+VLOOKUP(AH539,Leyenda!$O$4:$U$10,6,FALSE)</f>
        <v>0,25-0,35</v>
      </c>
      <c r="AJ539" s="18" t="str">
        <f>+VLOOKUP(AG539,Leyenda!$O$4:$U$10,7,FALSE)</f>
        <v>No Blasting need</v>
      </c>
      <c r="AK539" s="18">
        <f>+VLOOKUP(AJ539,Leyenda!$U$4:$V$10,2,FALSE)</f>
        <v>2</v>
      </c>
      <c r="AL539" s="18" t="s">
        <v>34</v>
      </c>
      <c r="AM539" s="18" t="s">
        <v>34</v>
      </c>
      <c r="AN539" s="18" t="s">
        <v>66</v>
      </c>
      <c r="AO539" s="18" t="s">
        <v>81</v>
      </c>
      <c r="AP539" s="18" t="s">
        <v>100</v>
      </c>
      <c r="AQ539" s="18" t="s">
        <v>109</v>
      </c>
      <c r="AR539" s="18" t="s">
        <v>122</v>
      </c>
      <c r="AS539" s="18" t="s">
        <v>126</v>
      </c>
      <c r="AT539" s="18" t="s">
        <v>271</v>
      </c>
      <c r="AU539" s="18"/>
      <c r="AV539" s="18">
        <f>+VLOOKUP(AN539,Leyenda!$B$30:$E$34,3,FALSE)</f>
        <v>1</v>
      </c>
      <c r="AW539" s="36">
        <f>+VLOOKUP('2. Logging Brejo Seco'!AO539,Meteorizacion,3,FALSE)</f>
        <v>0</v>
      </c>
      <c r="AX539" s="36">
        <f>+VLOOKUP('2. Logging Brejo Seco'!AP539,Apertura,3,FALSE)</f>
        <v>0</v>
      </c>
      <c r="AY539" s="36">
        <f>+VLOOKUP('2. Logging Brejo Seco'!AQ539,Leyenda!$B$55:$D$59,3,FALSE)</f>
        <v>1</v>
      </c>
      <c r="AZ539" s="36">
        <f>+VLOOKUP('2. Logging Brejo Seco'!AR539,Relleno,3,FALSE)</f>
        <v>0</v>
      </c>
      <c r="BA539" s="36">
        <f t="shared" si="193"/>
        <v>2</v>
      </c>
      <c r="BB539" s="49">
        <f t="shared" si="194"/>
        <v>15</v>
      </c>
      <c r="BC539" s="49">
        <f>VLOOKUP(AH539,Leyenda!$B$4:$D$10,3,FALSE)</f>
        <v>2</v>
      </c>
      <c r="BD539" s="50">
        <f t="shared" si="181"/>
        <v>9</v>
      </c>
      <c r="BE539" s="49">
        <f t="shared" si="186"/>
        <v>2</v>
      </c>
      <c r="BF539" s="49">
        <f>VLOOKUP(AS539,Leyenda!$B$70:$D$75,3,FALSE)</f>
        <v>10</v>
      </c>
      <c r="BG539" s="67">
        <f t="shared" si="195"/>
        <v>39</v>
      </c>
      <c r="BH539" s="67">
        <f>VLOOKUP(AG539,Leyenda!$B$4:$E$10,4,FALSE)</f>
        <v>2</v>
      </c>
      <c r="BI539" s="67">
        <f t="shared" si="182"/>
        <v>11</v>
      </c>
      <c r="BJ539" s="67">
        <f t="shared" si="196"/>
        <v>15</v>
      </c>
      <c r="BK539" s="67">
        <f>+VLOOKUP('2. Logging Brejo Seco'!AP539,Leyenda!$B$47:$E$51,4,FALSE)</f>
        <v>0</v>
      </c>
      <c r="BL539" s="67">
        <f>+VLOOKUP('2. Logging Brejo Seco'!AQ539,Leyenda!$B$55:$E$59,4,FALSE)</f>
        <v>1</v>
      </c>
      <c r="BM539" s="67">
        <f>+VLOOKUP('2. Logging Brejo Seco'!AR539,Leyenda!$B$63:$E$67,3,FALSE)</f>
        <v>0</v>
      </c>
      <c r="BN539" s="67">
        <f>+VLOOKUP('2. Logging Brejo Seco'!AO539,Leyenda!$B$39:$E$43,4,FALSE)</f>
        <v>0</v>
      </c>
      <c r="BO539" s="67">
        <f>+VLOOKUP('2. Logging Brejo Seco'!AN539,Leyenda!$B$30:$E$34,4,FALSE)</f>
        <v>1</v>
      </c>
      <c r="BP539" s="67">
        <f>VLOOKUP(AS539,Leyenda!$B$71:$E$75,4,FALSE)</f>
        <v>7</v>
      </c>
      <c r="BQ539" s="125">
        <f t="shared" si="187"/>
        <v>37</v>
      </c>
      <c r="BR539" s="85">
        <f t="shared" si="188"/>
        <v>38</v>
      </c>
      <c r="BS539" s="240">
        <f t="shared" si="183"/>
        <v>0</v>
      </c>
      <c r="BT539" s="18" t="s">
        <v>712</v>
      </c>
    </row>
    <row r="540" spans="1:72" x14ac:dyDescent="0.25">
      <c r="A540" s="18" t="s">
        <v>6</v>
      </c>
      <c r="B540" s="18">
        <v>2024</v>
      </c>
      <c r="C540" s="18" t="s">
        <v>138</v>
      </c>
      <c r="D540" s="18" t="s">
        <v>266</v>
      </c>
      <c r="E540" s="18">
        <v>50</v>
      </c>
      <c r="F540" s="18">
        <v>50</v>
      </c>
      <c r="G540" s="18" t="s">
        <v>154</v>
      </c>
      <c r="H540" s="248">
        <f t="shared" si="190"/>
        <v>50</v>
      </c>
      <c r="I540" s="135"/>
      <c r="J540" s="18" t="s">
        <v>298</v>
      </c>
      <c r="K540" s="31">
        <f t="shared" si="179"/>
        <v>16</v>
      </c>
      <c r="L540" s="31">
        <f t="shared" si="180"/>
        <v>16.5</v>
      </c>
      <c r="M540" s="4">
        <f t="shared" si="189"/>
        <v>0.5</v>
      </c>
      <c r="N540" s="32">
        <v>1</v>
      </c>
      <c r="O540" s="5">
        <f t="shared" si="177"/>
        <v>0</v>
      </c>
      <c r="P540" s="31">
        <f t="shared" si="184"/>
        <v>0.5</v>
      </c>
      <c r="Q540" s="18">
        <f t="shared" si="185"/>
        <v>0.5</v>
      </c>
      <c r="R540" s="18">
        <v>25</v>
      </c>
      <c r="S540" s="18">
        <v>20</v>
      </c>
      <c r="T540" s="18">
        <v>0.46</v>
      </c>
      <c r="U540" s="18">
        <v>0</v>
      </c>
      <c r="V540" s="65">
        <f t="shared" si="191"/>
        <v>0</v>
      </c>
      <c r="W540" s="18">
        <v>5</v>
      </c>
      <c r="X540" s="18"/>
      <c r="Y540" s="18">
        <f t="shared" si="178"/>
        <v>5</v>
      </c>
      <c r="Z540" s="31">
        <f t="shared" si="192"/>
        <v>100</v>
      </c>
      <c r="AA540" s="18">
        <v>0</v>
      </c>
      <c r="AB540" s="18" t="s">
        <v>330</v>
      </c>
      <c r="AC540" s="18" t="s">
        <v>333</v>
      </c>
      <c r="AD540" s="18" t="s">
        <v>335</v>
      </c>
      <c r="AE540" s="18">
        <v>20</v>
      </c>
      <c r="AF540" s="18">
        <v>25</v>
      </c>
      <c r="AG540" s="18" t="s">
        <v>34</v>
      </c>
      <c r="AH540" s="18" t="s">
        <v>34</v>
      </c>
      <c r="AI540" s="18">
        <f>+VLOOKUP(AH540,Leyenda!$O$4:$U$10,6,FALSE)</f>
        <v>0</v>
      </c>
      <c r="AJ540" s="18" t="str">
        <f>+VLOOKUP(AG540,Leyenda!$O$4:$U$10,7,FALSE)</f>
        <v>No Blasting need</v>
      </c>
      <c r="AK540" s="18">
        <f>+VLOOKUP(AJ540,Leyenda!$U$4:$V$10,2,FALSE)</f>
        <v>2</v>
      </c>
      <c r="AL540" s="18" t="s">
        <v>34</v>
      </c>
      <c r="AM540" s="18" t="s">
        <v>34</v>
      </c>
      <c r="AN540" s="18" t="s">
        <v>66</v>
      </c>
      <c r="AO540" s="18" t="s">
        <v>81</v>
      </c>
      <c r="AP540" s="18" t="s">
        <v>100</v>
      </c>
      <c r="AQ540" s="18" t="s">
        <v>109</v>
      </c>
      <c r="AR540" s="18" t="s">
        <v>122</v>
      </c>
      <c r="AS540" s="18" t="s">
        <v>126</v>
      </c>
      <c r="AT540" s="18" t="s">
        <v>271</v>
      </c>
      <c r="AU540" s="18"/>
      <c r="AV540" s="18">
        <f>+VLOOKUP(AN540,Leyenda!$B$30:$E$34,3,FALSE)</f>
        <v>1</v>
      </c>
      <c r="AW540" s="36">
        <f>+VLOOKUP('2. Logging Brejo Seco'!AO540,Meteorizacion,3,FALSE)</f>
        <v>0</v>
      </c>
      <c r="AX540" s="36">
        <f>+VLOOKUP('2. Logging Brejo Seco'!AP540,Apertura,3,FALSE)</f>
        <v>0</v>
      </c>
      <c r="AY540" s="36">
        <f>+VLOOKUP('2. Logging Brejo Seco'!AQ540,Leyenda!$B$55:$D$59,3,FALSE)</f>
        <v>1</v>
      </c>
      <c r="AZ540" s="36">
        <f>+VLOOKUP('2. Logging Brejo Seco'!AR540,Relleno,3,FALSE)</f>
        <v>0</v>
      </c>
      <c r="BA540" s="36">
        <f t="shared" si="193"/>
        <v>2</v>
      </c>
      <c r="BB540" s="49">
        <f t="shared" si="194"/>
        <v>0</v>
      </c>
      <c r="BC540" s="49">
        <f>VLOOKUP(AH540,Leyenda!$B$4:$D$10,3,FALSE)</f>
        <v>0</v>
      </c>
      <c r="BD540" s="50">
        <f t="shared" si="181"/>
        <v>7</v>
      </c>
      <c r="BE540" s="49">
        <f t="shared" si="186"/>
        <v>2</v>
      </c>
      <c r="BF540" s="49">
        <f>VLOOKUP(AS540,Leyenda!$B$70:$D$75,3,FALSE)</f>
        <v>10</v>
      </c>
      <c r="BG540" s="67">
        <f t="shared" si="195"/>
        <v>3</v>
      </c>
      <c r="BH540" s="67">
        <f>VLOOKUP(AG540,Leyenda!$B$4:$E$10,4,FALSE)</f>
        <v>0</v>
      </c>
      <c r="BI540" s="67">
        <f t="shared" si="182"/>
        <v>8</v>
      </c>
      <c r="BJ540" s="67">
        <f t="shared" si="196"/>
        <v>0</v>
      </c>
      <c r="BK540" s="67">
        <f>+VLOOKUP('2. Logging Brejo Seco'!AP540,Leyenda!$B$47:$E$51,4,FALSE)</f>
        <v>0</v>
      </c>
      <c r="BL540" s="67">
        <f>+VLOOKUP('2. Logging Brejo Seco'!AQ540,Leyenda!$B$55:$E$59,4,FALSE)</f>
        <v>1</v>
      </c>
      <c r="BM540" s="67">
        <f>+VLOOKUP('2. Logging Brejo Seco'!AR540,Leyenda!$B$63:$E$67,3,FALSE)</f>
        <v>0</v>
      </c>
      <c r="BN540" s="67">
        <f>+VLOOKUP('2. Logging Brejo Seco'!AO540,Leyenda!$B$39:$E$43,4,FALSE)</f>
        <v>0</v>
      </c>
      <c r="BO540" s="67">
        <f>+VLOOKUP('2. Logging Brejo Seco'!AN540,Leyenda!$B$30:$E$34,4,FALSE)</f>
        <v>1</v>
      </c>
      <c r="BP540" s="67">
        <f>VLOOKUP(AS540,Leyenda!$B$71:$E$75,4,FALSE)</f>
        <v>7</v>
      </c>
      <c r="BQ540" s="125">
        <f t="shared" si="187"/>
        <v>17</v>
      </c>
      <c r="BR540" s="85">
        <f t="shared" si="188"/>
        <v>19</v>
      </c>
      <c r="BS540" s="240">
        <f t="shared" si="183"/>
        <v>0</v>
      </c>
      <c r="BT540" s="18" t="s">
        <v>712</v>
      </c>
    </row>
    <row r="541" spans="1:72" x14ac:dyDescent="0.25">
      <c r="A541" s="18" t="s">
        <v>6</v>
      </c>
      <c r="B541" s="18">
        <v>2024</v>
      </c>
      <c r="C541" s="18" t="s">
        <v>138</v>
      </c>
      <c r="D541" s="18" t="s">
        <v>266</v>
      </c>
      <c r="E541" s="18">
        <v>50</v>
      </c>
      <c r="F541" s="18">
        <v>50</v>
      </c>
      <c r="G541" s="18" t="s">
        <v>154</v>
      </c>
      <c r="H541" s="248">
        <f t="shared" si="190"/>
        <v>50</v>
      </c>
      <c r="I541" s="135"/>
      <c r="J541" s="18" t="s">
        <v>298</v>
      </c>
      <c r="K541" s="31">
        <f t="shared" si="179"/>
        <v>16.5</v>
      </c>
      <c r="L541" s="31">
        <f t="shared" si="180"/>
        <v>17</v>
      </c>
      <c r="M541" s="4">
        <f t="shared" si="189"/>
        <v>0.5</v>
      </c>
      <c r="N541" s="32">
        <v>1</v>
      </c>
      <c r="O541" s="5">
        <f t="shared" si="177"/>
        <v>0</v>
      </c>
      <c r="P541" s="31">
        <f t="shared" si="184"/>
        <v>0.5</v>
      </c>
      <c r="Q541" s="18">
        <f t="shared" si="185"/>
        <v>0.5</v>
      </c>
      <c r="R541" s="18">
        <v>25</v>
      </c>
      <c r="S541" s="18">
        <v>20</v>
      </c>
      <c r="T541" s="18">
        <v>0.49</v>
      </c>
      <c r="U541" s="18">
        <v>0</v>
      </c>
      <c r="V541" s="65">
        <f t="shared" si="191"/>
        <v>0</v>
      </c>
      <c r="W541" s="18">
        <v>8</v>
      </c>
      <c r="X541" s="18"/>
      <c r="Y541" s="18">
        <f t="shared" si="178"/>
        <v>8</v>
      </c>
      <c r="Z541" s="31">
        <f t="shared" si="192"/>
        <v>62.5</v>
      </c>
      <c r="AA541" s="18">
        <v>0</v>
      </c>
      <c r="AB541" s="18" t="s">
        <v>330</v>
      </c>
      <c r="AC541" s="18" t="s">
        <v>333</v>
      </c>
      <c r="AD541" s="18" t="s">
        <v>335</v>
      </c>
      <c r="AE541" s="18">
        <v>20</v>
      </c>
      <c r="AF541" s="18">
        <v>25</v>
      </c>
      <c r="AG541" s="18" t="s">
        <v>34</v>
      </c>
      <c r="AH541" s="18" t="s">
        <v>34</v>
      </c>
      <c r="AI541" s="18">
        <f>+VLOOKUP(AH541,Leyenda!$O$4:$U$10,6,FALSE)</f>
        <v>0</v>
      </c>
      <c r="AJ541" s="18" t="str">
        <f>+VLOOKUP(AG541,Leyenda!$O$4:$U$10,7,FALSE)</f>
        <v>No Blasting need</v>
      </c>
      <c r="AK541" s="18">
        <f>+VLOOKUP(AJ541,Leyenda!$U$4:$V$10,2,FALSE)</f>
        <v>2</v>
      </c>
      <c r="AL541" s="18" t="s">
        <v>34</v>
      </c>
      <c r="AM541" s="18" t="s">
        <v>34</v>
      </c>
      <c r="AN541" s="18" t="s">
        <v>66</v>
      </c>
      <c r="AO541" s="18" t="s">
        <v>81</v>
      </c>
      <c r="AP541" s="18" t="s">
        <v>100</v>
      </c>
      <c r="AQ541" s="18" t="s">
        <v>109</v>
      </c>
      <c r="AR541" s="18" t="s">
        <v>122</v>
      </c>
      <c r="AS541" s="18" t="s">
        <v>126</v>
      </c>
      <c r="AT541" s="18" t="s">
        <v>271</v>
      </c>
      <c r="AU541" s="18"/>
      <c r="AV541" s="18">
        <f>+VLOOKUP(AN541,Leyenda!$B$30:$E$34,3,FALSE)</f>
        <v>1</v>
      </c>
      <c r="AW541" s="36">
        <f>+VLOOKUP('2. Logging Brejo Seco'!AO541,Meteorizacion,3,FALSE)</f>
        <v>0</v>
      </c>
      <c r="AX541" s="36">
        <f>+VLOOKUP('2. Logging Brejo Seco'!AP541,Apertura,3,FALSE)</f>
        <v>0</v>
      </c>
      <c r="AY541" s="36">
        <f>+VLOOKUP('2. Logging Brejo Seco'!AQ541,Leyenda!$B$55:$D$59,3,FALSE)</f>
        <v>1</v>
      </c>
      <c r="AZ541" s="36">
        <f>+VLOOKUP('2. Logging Brejo Seco'!AR541,Relleno,3,FALSE)</f>
        <v>0</v>
      </c>
      <c r="BA541" s="36">
        <f t="shared" si="193"/>
        <v>2</v>
      </c>
      <c r="BB541" s="49">
        <f t="shared" si="194"/>
        <v>0</v>
      </c>
      <c r="BC541" s="49">
        <f>VLOOKUP(AH541,Leyenda!$B$4:$D$10,3,FALSE)</f>
        <v>0</v>
      </c>
      <c r="BD541" s="50">
        <f t="shared" si="181"/>
        <v>6</v>
      </c>
      <c r="BE541" s="49">
        <f t="shared" si="186"/>
        <v>2</v>
      </c>
      <c r="BF541" s="49">
        <f>VLOOKUP(AS541,Leyenda!$B$70:$D$75,3,FALSE)</f>
        <v>10</v>
      </c>
      <c r="BG541" s="67">
        <f t="shared" si="195"/>
        <v>3</v>
      </c>
      <c r="BH541" s="67">
        <f>VLOOKUP(AG541,Leyenda!$B$4:$E$10,4,FALSE)</f>
        <v>0</v>
      </c>
      <c r="BI541" s="67">
        <f t="shared" si="182"/>
        <v>5</v>
      </c>
      <c r="BJ541" s="67">
        <f t="shared" si="196"/>
        <v>0</v>
      </c>
      <c r="BK541" s="67">
        <f>+VLOOKUP('2. Logging Brejo Seco'!AP541,Leyenda!$B$47:$E$51,4,FALSE)</f>
        <v>0</v>
      </c>
      <c r="BL541" s="67">
        <f>+VLOOKUP('2. Logging Brejo Seco'!AQ541,Leyenda!$B$55:$E$59,4,FALSE)</f>
        <v>1</v>
      </c>
      <c r="BM541" s="67">
        <f>+VLOOKUP('2. Logging Brejo Seco'!AR541,Leyenda!$B$63:$E$67,3,FALSE)</f>
        <v>0</v>
      </c>
      <c r="BN541" s="67">
        <f>+VLOOKUP('2. Logging Brejo Seco'!AO541,Leyenda!$B$39:$E$43,4,FALSE)</f>
        <v>0</v>
      </c>
      <c r="BO541" s="67">
        <f>+VLOOKUP('2. Logging Brejo Seco'!AN541,Leyenda!$B$30:$E$34,4,FALSE)</f>
        <v>1</v>
      </c>
      <c r="BP541" s="67">
        <f>VLOOKUP(AS541,Leyenda!$B$71:$E$75,4,FALSE)</f>
        <v>7</v>
      </c>
      <c r="BQ541" s="125">
        <f t="shared" si="187"/>
        <v>14</v>
      </c>
      <c r="BR541" s="85">
        <f t="shared" si="188"/>
        <v>18</v>
      </c>
      <c r="BS541" s="240">
        <f t="shared" si="183"/>
        <v>0</v>
      </c>
      <c r="BT541" s="18" t="s">
        <v>712</v>
      </c>
    </row>
    <row r="542" spans="1:72" x14ac:dyDescent="0.25">
      <c r="A542" s="18" t="s">
        <v>6</v>
      </c>
      <c r="B542" s="18">
        <v>2024</v>
      </c>
      <c r="C542" s="18" t="s">
        <v>138</v>
      </c>
      <c r="D542" s="18" t="s">
        <v>266</v>
      </c>
      <c r="E542" s="18">
        <v>50</v>
      </c>
      <c r="F542" s="18">
        <v>50</v>
      </c>
      <c r="G542" s="18" t="s">
        <v>154</v>
      </c>
      <c r="H542" s="248">
        <f t="shared" si="190"/>
        <v>50</v>
      </c>
      <c r="I542" s="135"/>
      <c r="J542" s="18" t="s">
        <v>298</v>
      </c>
      <c r="K542" s="31">
        <f t="shared" si="179"/>
        <v>17</v>
      </c>
      <c r="L542" s="31">
        <f t="shared" si="180"/>
        <v>17.5</v>
      </c>
      <c r="M542" s="4">
        <f t="shared" si="189"/>
        <v>0.5</v>
      </c>
      <c r="N542" s="32">
        <v>0.96</v>
      </c>
      <c r="O542" s="5">
        <f t="shared" si="177"/>
        <v>4.0000000000000036E-2</v>
      </c>
      <c r="P542" s="31">
        <f t="shared" si="184"/>
        <v>0.48</v>
      </c>
      <c r="Q542" s="18">
        <f t="shared" si="185"/>
        <v>0.48</v>
      </c>
      <c r="R542" s="18">
        <v>24</v>
      </c>
      <c r="S542" s="18">
        <v>20</v>
      </c>
      <c r="T542" s="18">
        <v>0.31</v>
      </c>
      <c r="U542" s="18">
        <v>0</v>
      </c>
      <c r="V542" s="65">
        <f t="shared" si="191"/>
        <v>0</v>
      </c>
      <c r="W542" s="18">
        <v>4</v>
      </c>
      <c r="X542" s="18"/>
      <c r="Y542" s="18">
        <f t="shared" si="178"/>
        <v>4</v>
      </c>
      <c r="Z542" s="31">
        <f t="shared" si="192"/>
        <v>125</v>
      </c>
      <c r="AA542" s="18">
        <v>0</v>
      </c>
      <c r="AB542" s="18" t="s">
        <v>330</v>
      </c>
      <c r="AC542" s="18" t="s">
        <v>333</v>
      </c>
      <c r="AD542" s="18" t="s">
        <v>335</v>
      </c>
      <c r="AE542" s="18">
        <v>20</v>
      </c>
      <c r="AF542" s="18">
        <v>24</v>
      </c>
      <c r="AG542" s="18" t="s">
        <v>29</v>
      </c>
      <c r="AH542" s="18" t="s">
        <v>29</v>
      </c>
      <c r="AI542" s="18" t="str">
        <f>+VLOOKUP(AH542,Leyenda!$O$4:$U$10,6,FALSE)</f>
        <v>0,25-0,35</v>
      </c>
      <c r="AJ542" s="18" t="str">
        <f>+VLOOKUP(AG542,Leyenda!$O$4:$U$10,7,FALSE)</f>
        <v>No Blasting need</v>
      </c>
      <c r="AK542" s="18">
        <f>+VLOOKUP(AJ542,Leyenda!$U$4:$V$10,2,FALSE)</f>
        <v>2</v>
      </c>
      <c r="AL542" s="18" t="s">
        <v>34</v>
      </c>
      <c r="AM542" s="18" t="s">
        <v>34</v>
      </c>
      <c r="AN542" s="18" t="s">
        <v>66</v>
      </c>
      <c r="AO542" s="18" t="s">
        <v>79</v>
      </c>
      <c r="AP542" s="18" t="s">
        <v>100</v>
      </c>
      <c r="AQ542" s="18" t="s">
        <v>111</v>
      </c>
      <c r="AR542" s="18" t="s">
        <v>122</v>
      </c>
      <c r="AS542" s="18" t="s">
        <v>126</v>
      </c>
      <c r="AT542" s="18" t="s">
        <v>273</v>
      </c>
      <c r="AU542" s="18"/>
      <c r="AV542" s="18">
        <f>+VLOOKUP(AN542,Leyenda!$B$30:$E$34,3,FALSE)</f>
        <v>1</v>
      </c>
      <c r="AW542" s="36">
        <f>+VLOOKUP('2. Logging Brejo Seco'!AO542,Meteorizacion,3,FALSE)</f>
        <v>1</v>
      </c>
      <c r="AX542" s="36">
        <f>+VLOOKUP('2. Logging Brejo Seco'!AP542,Apertura,3,FALSE)</f>
        <v>0</v>
      </c>
      <c r="AY542" s="36">
        <f>+VLOOKUP('2. Logging Brejo Seco'!AQ542,Leyenda!$B$55:$D$59,3,FALSE)</f>
        <v>0</v>
      </c>
      <c r="AZ542" s="36">
        <f>+VLOOKUP('2. Logging Brejo Seco'!AR542,Relleno,3,FALSE)</f>
        <v>0</v>
      </c>
      <c r="BA542" s="36">
        <f t="shared" si="193"/>
        <v>2</v>
      </c>
      <c r="BB542" s="49">
        <f t="shared" si="194"/>
        <v>0</v>
      </c>
      <c r="BC542" s="49">
        <f>VLOOKUP(AH542,Leyenda!$B$4:$D$10,3,FALSE)</f>
        <v>2</v>
      </c>
      <c r="BD542" s="50">
        <f t="shared" si="181"/>
        <v>8</v>
      </c>
      <c r="BE542" s="49">
        <f t="shared" si="186"/>
        <v>2</v>
      </c>
      <c r="BF542" s="49">
        <f>VLOOKUP(AS542,Leyenda!$B$70:$D$75,3,FALSE)</f>
        <v>10</v>
      </c>
      <c r="BG542" s="67">
        <f t="shared" si="195"/>
        <v>3</v>
      </c>
      <c r="BH542" s="67">
        <f>VLOOKUP(AG542,Leyenda!$B$4:$E$10,4,FALSE)</f>
        <v>2</v>
      </c>
      <c r="BI542" s="67">
        <f t="shared" si="182"/>
        <v>10</v>
      </c>
      <c r="BJ542" s="67">
        <f t="shared" si="196"/>
        <v>0</v>
      </c>
      <c r="BK542" s="67">
        <f>+VLOOKUP('2. Logging Brejo Seco'!AP542,Leyenda!$B$47:$E$51,4,FALSE)</f>
        <v>0</v>
      </c>
      <c r="BL542" s="67">
        <f>+VLOOKUP('2. Logging Brejo Seco'!AQ542,Leyenda!$B$55:$E$59,4,FALSE)</f>
        <v>0</v>
      </c>
      <c r="BM542" s="67">
        <f>+VLOOKUP('2. Logging Brejo Seco'!AR542,Leyenda!$B$63:$E$67,3,FALSE)</f>
        <v>0</v>
      </c>
      <c r="BN542" s="67">
        <f>+VLOOKUP('2. Logging Brejo Seco'!AO542,Leyenda!$B$39:$E$43,4,FALSE)</f>
        <v>1</v>
      </c>
      <c r="BO542" s="67">
        <f>+VLOOKUP('2. Logging Brejo Seco'!AN542,Leyenda!$B$30:$E$34,4,FALSE)</f>
        <v>1</v>
      </c>
      <c r="BP542" s="67">
        <f>VLOOKUP(AS542,Leyenda!$B$71:$E$75,4,FALSE)</f>
        <v>7</v>
      </c>
      <c r="BQ542" s="125">
        <f t="shared" si="187"/>
        <v>21</v>
      </c>
      <c r="BR542" s="85">
        <f t="shared" si="188"/>
        <v>22</v>
      </c>
      <c r="BS542" s="240">
        <f t="shared" si="183"/>
        <v>4.0000000000000036E-2</v>
      </c>
      <c r="BT542" s="18" t="s">
        <v>712</v>
      </c>
    </row>
    <row r="543" spans="1:72" x14ac:dyDescent="0.25">
      <c r="A543" s="18" t="s">
        <v>6</v>
      </c>
      <c r="B543" s="18">
        <v>2024</v>
      </c>
      <c r="C543" s="18" t="s">
        <v>138</v>
      </c>
      <c r="D543" s="18" t="s">
        <v>266</v>
      </c>
      <c r="E543" s="18">
        <v>50</v>
      </c>
      <c r="F543" s="18">
        <v>50</v>
      </c>
      <c r="G543" s="18" t="s">
        <v>154</v>
      </c>
      <c r="H543" s="248">
        <f t="shared" si="190"/>
        <v>50</v>
      </c>
      <c r="I543" s="135"/>
      <c r="J543" s="18" t="s">
        <v>298</v>
      </c>
      <c r="K543" s="31">
        <f t="shared" si="179"/>
        <v>17.5</v>
      </c>
      <c r="L543" s="31">
        <f t="shared" si="180"/>
        <v>18</v>
      </c>
      <c r="M543" s="4">
        <f t="shared" si="189"/>
        <v>0.5</v>
      </c>
      <c r="N543" s="32">
        <v>0.76</v>
      </c>
      <c r="O543" s="5">
        <f t="shared" si="177"/>
        <v>0.24</v>
      </c>
      <c r="P543" s="31">
        <f t="shared" si="184"/>
        <v>0.38</v>
      </c>
      <c r="Q543" s="18">
        <f t="shared" si="185"/>
        <v>0.38</v>
      </c>
      <c r="R543" s="18">
        <v>19</v>
      </c>
      <c r="S543" s="18">
        <v>20</v>
      </c>
      <c r="T543" s="18">
        <v>0.31</v>
      </c>
      <c r="U543" s="18">
        <v>0.18</v>
      </c>
      <c r="V543" s="65">
        <f t="shared" si="191"/>
        <v>36</v>
      </c>
      <c r="W543" s="18">
        <v>4</v>
      </c>
      <c r="X543" s="18"/>
      <c r="Y543" s="18">
        <f t="shared" si="178"/>
        <v>4</v>
      </c>
      <c r="Z543" s="31">
        <f t="shared" si="192"/>
        <v>125</v>
      </c>
      <c r="AA543" s="18">
        <v>0</v>
      </c>
      <c r="AB543" s="18" t="s">
        <v>330</v>
      </c>
      <c r="AC543" s="18" t="s">
        <v>333</v>
      </c>
      <c r="AD543" s="18" t="s">
        <v>335</v>
      </c>
      <c r="AE543" s="18">
        <v>20</v>
      </c>
      <c r="AF543" s="18">
        <v>19</v>
      </c>
      <c r="AG543" s="18" t="s">
        <v>29</v>
      </c>
      <c r="AH543" s="18" t="s">
        <v>29</v>
      </c>
      <c r="AI543" s="18" t="str">
        <f>+VLOOKUP(AH543,Leyenda!$O$4:$U$10,6,FALSE)</f>
        <v>0,25-0,35</v>
      </c>
      <c r="AJ543" s="18" t="str">
        <f>+VLOOKUP(AG543,Leyenda!$O$4:$U$10,7,FALSE)</f>
        <v>No Blasting need</v>
      </c>
      <c r="AK543" s="18">
        <f>+VLOOKUP(AJ543,Leyenda!$U$4:$V$10,2,FALSE)</f>
        <v>2</v>
      </c>
      <c r="AL543" s="18" t="s">
        <v>34</v>
      </c>
      <c r="AM543" s="18" t="s">
        <v>34</v>
      </c>
      <c r="AN543" s="18" t="s">
        <v>66</v>
      </c>
      <c r="AO543" s="18" t="s">
        <v>79</v>
      </c>
      <c r="AP543" s="18" t="s">
        <v>100</v>
      </c>
      <c r="AQ543" s="18" t="s">
        <v>111</v>
      </c>
      <c r="AR543" s="18" t="s">
        <v>122</v>
      </c>
      <c r="AS543" s="18" t="s">
        <v>126</v>
      </c>
      <c r="AT543" s="36" t="s">
        <v>273</v>
      </c>
      <c r="AU543" s="36"/>
      <c r="AV543" s="18">
        <f>+VLOOKUP(AN543,Leyenda!$B$30:$E$34,3,FALSE)</f>
        <v>1</v>
      </c>
      <c r="AW543" s="36">
        <f>+VLOOKUP('2. Logging Brejo Seco'!AO543,Meteorizacion,3,FALSE)</f>
        <v>1</v>
      </c>
      <c r="AX543" s="36">
        <f>+VLOOKUP('2. Logging Brejo Seco'!AP543,Apertura,3,FALSE)</f>
        <v>0</v>
      </c>
      <c r="AY543" s="36">
        <f>+VLOOKUP('2. Logging Brejo Seco'!AQ543,Leyenda!$B$55:$D$59,3,FALSE)</f>
        <v>0</v>
      </c>
      <c r="AZ543" s="36">
        <f>+VLOOKUP('2. Logging Brejo Seco'!AR543,Relleno,3,FALSE)</f>
        <v>0</v>
      </c>
      <c r="BA543" s="36">
        <f t="shared" si="193"/>
        <v>2</v>
      </c>
      <c r="BB543" s="49">
        <f t="shared" si="194"/>
        <v>8</v>
      </c>
      <c r="BC543" s="49">
        <f>VLOOKUP(AH543,Leyenda!$B$4:$D$10,3,FALSE)</f>
        <v>2</v>
      </c>
      <c r="BD543" s="50">
        <f t="shared" si="181"/>
        <v>8</v>
      </c>
      <c r="BE543" s="49">
        <f t="shared" si="186"/>
        <v>2</v>
      </c>
      <c r="BF543" s="49">
        <f>VLOOKUP(AS543,Leyenda!$B$70:$D$75,3,FALSE)</f>
        <v>10</v>
      </c>
      <c r="BG543" s="67">
        <f t="shared" si="195"/>
        <v>21</v>
      </c>
      <c r="BH543" s="67">
        <f>VLOOKUP(AG543,Leyenda!$B$4:$E$10,4,FALSE)</f>
        <v>2</v>
      </c>
      <c r="BI543" s="67">
        <f t="shared" si="182"/>
        <v>10</v>
      </c>
      <c r="BJ543" s="67">
        <f t="shared" si="196"/>
        <v>8</v>
      </c>
      <c r="BK543" s="67">
        <f>+VLOOKUP('2. Logging Brejo Seco'!AP543,Leyenda!$B$47:$E$51,4,FALSE)</f>
        <v>0</v>
      </c>
      <c r="BL543" s="67">
        <f>+VLOOKUP('2. Logging Brejo Seco'!AQ543,Leyenda!$B$55:$E$59,4,FALSE)</f>
        <v>0</v>
      </c>
      <c r="BM543" s="67">
        <f>+VLOOKUP('2. Logging Brejo Seco'!AR543,Leyenda!$B$63:$E$67,3,FALSE)</f>
        <v>0</v>
      </c>
      <c r="BN543" s="67">
        <f>+VLOOKUP('2. Logging Brejo Seco'!AO543,Leyenda!$B$39:$E$43,4,FALSE)</f>
        <v>1</v>
      </c>
      <c r="BO543" s="67">
        <f>+VLOOKUP('2. Logging Brejo Seco'!AN543,Leyenda!$B$30:$E$34,4,FALSE)</f>
        <v>1</v>
      </c>
      <c r="BP543" s="67">
        <f>VLOOKUP(AS543,Leyenda!$B$71:$E$75,4,FALSE)</f>
        <v>7</v>
      </c>
      <c r="BQ543" s="125">
        <f t="shared" si="187"/>
        <v>29</v>
      </c>
      <c r="BR543" s="85">
        <f t="shared" si="188"/>
        <v>30</v>
      </c>
      <c r="BS543" s="240">
        <f t="shared" si="183"/>
        <v>0.24</v>
      </c>
      <c r="BT543" s="18" t="s">
        <v>712</v>
      </c>
    </row>
    <row r="544" spans="1:72" x14ac:dyDescent="0.25">
      <c r="A544" s="18" t="s">
        <v>6</v>
      </c>
      <c r="B544" s="18">
        <v>2024</v>
      </c>
      <c r="C544" s="18" t="s">
        <v>138</v>
      </c>
      <c r="D544" s="18" t="s">
        <v>266</v>
      </c>
      <c r="E544" s="18">
        <v>50</v>
      </c>
      <c r="F544" s="18">
        <v>50</v>
      </c>
      <c r="G544" s="18" t="s">
        <v>154</v>
      </c>
      <c r="H544" s="248">
        <f t="shared" si="190"/>
        <v>50</v>
      </c>
      <c r="I544" s="135"/>
      <c r="J544" s="18" t="s">
        <v>298</v>
      </c>
      <c r="K544" s="31">
        <f t="shared" si="179"/>
        <v>18</v>
      </c>
      <c r="L544" s="31">
        <f t="shared" si="180"/>
        <v>18.5</v>
      </c>
      <c r="M544" s="4">
        <f t="shared" si="189"/>
        <v>0.5</v>
      </c>
      <c r="N544" s="32">
        <v>0.84</v>
      </c>
      <c r="O544" s="5">
        <f t="shared" si="177"/>
        <v>0.16000000000000003</v>
      </c>
      <c r="P544" s="31">
        <f t="shared" si="184"/>
        <v>0.42</v>
      </c>
      <c r="Q544" s="18">
        <f t="shared" si="185"/>
        <v>0.42</v>
      </c>
      <c r="R544" s="18">
        <v>21</v>
      </c>
      <c r="S544" s="18">
        <v>20</v>
      </c>
      <c r="T544" s="18">
        <v>0.39</v>
      </c>
      <c r="U544" s="18">
        <v>0.16</v>
      </c>
      <c r="V544" s="65">
        <f t="shared" si="191"/>
        <v>32</v>
      </c>
      <c r="W544" s="18">
        <v>4</v>
      </c>
      <c r="X544" s="18"/>
      <c r="Y544" s="18">
        <f t="shared" si="178"/>
        <v>4</v>
      </c>
      <c r="Z544" s="31">
        <f t="shared" si="192"/>
        <v>125</v>
      </c>
      <c r="AA544" s="18">
        <v>0</v>
      </c>
      <c r="AB544" s="18" t="s">
        <v>330</v>
      </c>
      <c r="AC544" s="18" t="s">
        <v>333</v>
      </c>
      <c r="AD544" s="18" t="s">
        <v>335</v>
      </c>
      <c r="AE544" s="18">
        <v>20</v>
      </c>
      <c r="AF544" s="18">
        <v>21</v>
      </c>
      <c r="AG544" s="18" t="s">
        <v>29</v>
      </c>
      <c r="AH544" s="18" t="s">
        <v>29</v>
      </c>
      <c r="AI544" s="18" t="str">
        <f>+VLOOKUP(AH544,Leyenda!$O$4:$U$10,6,FALSE)</f>
        <v>0,25-0,35</v>
      </c>
      <c r="AJ544" s="18" t="str">
        <f>+VLOOKUP(AG544,Leyenda!$O$4:$U$10,7,FALSE)</f>
        <v>No Blasting need</v>
      </c>
      <c r="AK544" s="18">
        <f>+VLOOKUP(AJ544,Leyenda!$U$4:$V$10,2,FALSE)</f>
        <v>2</v>
      </c>
      <c r="AL544" s="18" t="s">
        <v>34</v>
      </c>
      <c r="AM544" s="18" t="s">
        <v>34</v>
      </c>
      <c r="AN544" s="18" t="s">
        <v>66</v>
      </c>
      <c r="AO544" s="18" t="s">
        <v>79</v>
      </c>
      <c r="AP544" s="18" t="s">
        <v>100</v>
      </c>
      <c r="AQ544" s="18" t="s">
        <v>111</v>
      </c>
      <c r="AR544" s="18" t="s">
        <v>122</v>
      </c>
      <c r="AS544" s="18" t="s">
        <v>126</v>
      </c>
      <c r="AT544" s="18" t="s">
        <v>274</v>
      </c>
      <c r="AU544" s="18"/>
      <c r="AV544" s="18">
        <f>+VLOOKUP(AN544,Leyenda!$B$30:$E$34,3,FALSE)</f>
        <v>1</v>
      </c>
      <c r="AW544" s="36">
        <f>+VLOOKUP('2. Logging Brejo Seco'!AO544,Meteorizacion,3,FALSE)</f>
        <v>1</v>
      </c>
      <c r="AX544" s="36">
        <f>+VLOOKUP('2. Logging Brejo Seco'!AP544,Apertura,3,FALSE)</f>
        <v>0</v>
      </c>
      <c r="AY544" s="36">
        <f>+VLOOKUP('2. Logging Brejo Seco'!AQ544,Leyenda!$B$55:$D$59,3,FALSE)</f>
        <v>0</v>
      </c>
      <c r="AZ544" s="36">
        <f>+VLOOKUP('2. Logging Brejo Seco'!AR544,Relleno,3,FALSE)</f>
        <v>0</v>
      </c>
      <c r="BA544" s="36">
        <f t="shared" si="193"/>
        <v>2</v>
      </c>
      <c r="BB544" s="49">
        <f t="shared" si="194"/>
        <v>7</v>
      </c>
      <c r="BC544" s="49">
        <f>VLOOKUP(AH544,Leyenda!$B$4:$D$10,3,FALSE)</f>
        <v>2</v>
      </c>
      <c r="BD544" s="50">
        <f t="shared" si="181"/>
        <v>8</v>
      </c>
      <c r="BE544" s="49">
        <f t="shared" si="186"/>
        <v>2</v>
      </c>
      <c r="BF544" s="49">
        <f>VLOOKUP(AS544,Leyenda!$B$70:$D$75,3,FALSE)</f>
        <v>10</v>
      </c>
      <c r="BG544" s="67">
        <f t="shared" si="195"/>
        <v>19</v>
      </c>
      <c r="BH544" s="67">
        <f>VLOOKUP(AG544,Leyenda!$B$4:$E$10,4,FALSE)</f>
        <v>2</v>
      </c>
      <c r="BI544" s="67">
        <f t="shared" si="182"/>
        <v>10</v>
      </c>
      <c r="BJ544" s="67">
        <f t="shared" si="196"/>
        <v>7</v>
      </c>
      <c r="BK544" s="67">
        <f>+VLOOKUP('2. Logging Brejo Seco'!AP544,Leyenda!$B$47:$E$51,4,FALSE)</f>
        <v>0</v>
      </c>
      <c r="BL544" s="67">
        <f>+VLOOKUP('2. Logging Brejo Seco'!AQ544,Leyenda!$B$55:$E$59,4,FALSE)</f>
        <v>0</v>
      </c>
      <c r="BM544" s="67">
        <f>+VLOOKUP('2. Logging Brejo Seco'!AR544,Leyenda!$B$63:$E$67,3,FALSE)</f>
        <v>0</v>
      </c>
      <c r="BN544" s="67">
        <f>+VLOOKUP('2. Logging Brejo Seco'!AO544,Leyenda!$B$39:$E$43,4,FALSE)</f>
        <v>1</v>
      </c>
      <c r="BO544" s="67">
        <f>+VLOOKUP('2. Logging Brejo Seco'!AN544,Leyenda!$B$30:$E$34,4,FALSE)</f>
        <v>1</v>
      </c>
      <c r="BP544" s="67">
        <f>VLOOKUP(AS544,Leyenda!$B$71:$E$75,4,FALSE)</f>
        <v>7</v>
      </c>
      <c r="BQ544" s="125">
        <f t="shared" si="187"/>
        <v>28</v>
      </c>
      <c r="BR544" s="85">
        <f t="shared" si="188"/>
        <v>29</v>
      </c>
      <c r="BS544" s="240">
        <f t="shared" si="183"/>
        <v>0.16000000000000003</v>
      </c>
      <c r="BT544" s="18" t="s">
        <v>712</v>
      </c>
    </row>
    <row r="545" spans="1:72" x14ac:dyDescent="0.25">
      <c r="A545" s="18" t="s">
        <v>6</v>
      </c>
      <c r="B545" s="18">
        <v>2024</v>
      </c>
      <c r="C545" s="18" t="s">
        <v>138</v>
      </c>
      <c r="D545" s="18" t="s">
        <v>266</v>
      </c>
      <c r="E545" s="18">
        <v>50</v>
      </c>
      <c r="F545" s="18">
        <v>50</v>
      </c>
      <c r="G545" s="18" t="s">
        <v>154</v>
      </c>
      <c r="H545" s="248">
        <f t="shared" si="190"/>
        <v>50</v>
      </c>
      <c r="I545" s="135"/>
      <c r="J545" s="18" t="s">
        <v>298</v>
      </c>
      <c r="K545" s="31">
        <f t="shared" si="179"/>
        <v>18.5</v>
      </c>
      <c r="L545" s="31">
        <f t="shared" si="180"/>
        <v>19</v>
      </c>
      <c r="M545" s="4">
        <f t="shared" si="189"/>
        <v>0.5</v>
      </c>
      <c r="N545" s="32">
        <v>0.9</v>
      </c>
      <c r="O545" s="5">
        <f t="shared" si="177"/>
        <v>9.9999999999999978E-2</v>
      </c>
      <c r="P545" s="31">
        <f t="shared" si="184"/>
        <v>0.45</v>
      </c>
      <c r="Q545" s="18">
        <f t="shared" si="185"/>
        <v>0.45</v>
      </c>
      <c r="R545" s="18">
        <v>22.5</v>
      </c>
      <c r="S545" s="18">
        <v>20</v>
      </c>
      <c r="T545" s="18">
        <v>0.35</v>
      </c>
      <c r="U545" s="18">
        <v>0.15</v>
      </c>
      <c r="V545" s="65">
        <f t="shared" si="191"/>
        <v>30</v>
      </c>
      <c r="W545" s="18">
        <v>4</v>
      </c>
      <c r="X545" s="18"/>
      <c r="Y545" s="18">
        <f t="shared" si="178"/>
        <v>4</v>
      </c>
      <c r="Z545" s="31">
        <f t="shared" si="192"/>
        <v>125</v>
      </c>
      <c r="AA545" s="18">
        <v>0</v>
      </c>
      <c r="AB545" s="18" t="s">
        <v>330</v>
      </c>
      <c r="AC545" s="18" t="s">
        <v>333</v>
      </c>
      <c r="AD545" s="18" t="s">
        <v>335</v>
      </c>
      <c r="AE545" s="18">
        <v>20</v>
      </c>
      <c r="AF545" s="18">
        <v>22.5</v>
      </c>
      <c r="AG545" s="18" t="s">
        <v>29</v>
      </c>
      <c r="AH545" s="18" t="s">
        <v>29</v>
      </c>
      <c r="AI545" s="18" t="str">
        <f>+VLOOKUP(AH545,Leyenda!$O$4:$U$10,6,FALSE)</f>
        <v>0,25-0,35</v>
      </c>
      <c r="AJ545" s="18" t="str">
        <f>+VLOOKUP(AG545,Leyenda!$O$4:$U$10,7,FALSE)</f>
        <v>No Blasting need</v>
      </c>
      <c r="AK545" s="18">
        <f>+VLOOKUP(AJ545,Leyenda!$U$4:$V$10,2,FALSE)</f>
        <v>2</v>
      </c>
      <c r="AL545" s="18" t="s">
        <v>34</v>
      </c>
      <c r="AM545" s="18" t="s">
        <v>34</v>
      </c>
      <c r="AN545" s="18" t="s">
        <v>66</v>
      </c>
      <c r="AO545" s="18" t="s">
        <v>79</v>
      </c>
      <c r="AP545" s="18" t="s">
        <v>100</v>
      </c>
      <c r="AQ545" s="18" t="s">
        <v>111</v>
      </c>
      <c r="AR545" s="18" t="s">
        <v>122</v>
      </c>
      <c r="AS545" s="18" t="s">
        <v>573</v>
      </c>
      <c r="AT545" s="18" t="s">
        <v>273</v>
      </c>
      <c r="AU545" s="18"/>
      <c r="AV545" s="18">
        <f>+VLOOKUP(AN545,Leyenda!$B$30:$E$34,3,FALSE)</f>
        <v>1</v>
      </c>
      <c r="AW545" s="36">
        <f>+VLOOKUP('2. Logging Brejo Seco'!AO545,Meteorizacion,3,FALSE)</f>
        <v>1</v>
      </c>
      <c r="AX545" s="36">
        <f>+VLOOKUP('2. Logging Brejo Seco'!AP545,Apertura,3,FALSE)</f>
        <v>0</v>
      </c>
      <c r="AY545" s="36">
        <f>+VLOOKUP('2. Logging Brejo Seco'!AQ545,Leyenda!$B$55:$D$59,3,FALSE)</f>
        <v>0</v>
      </c>
      <c r="AZ545" s="36">
        <f>+VLOOKUP('2. Logging Brejo Seco'!AR545,Relleno,3,FALSE)</f>
        <v>0</v>
      </c>
      <c r="BA545" s="36">
        <f t="shared" si="193"/>
        <v>2</v>
      </c>
      <c r="BB545" s="49">
        <f t="shared" si="194"/>
        <v>6</v>
      </c>
      <c r="BC545" s="49">
        <f>VLOOKUP(AH545,Leyenda!$B$4:$D$10,3,FALSE)</f>
        <v>2</v>
      </c>
      <c r="BD545" s="50">
        <f t="shared" si="181"/>
        <v>8</v>
      </c>
      <c r="BE545" s="49">
        <f t="shared" si="186"/>
        <v>2</v>
      </c>
      <c r="BF545" s="49">
        <f>VLOOKUP(AS545,Leyenda!$B$70:$D$75,3,FALSE)</f>
        <v>7</v>
      </c>
      <c r="BG545" s="67">
        <f t="shared" si="195"/>
        <v>18</v>
      </c>
      <c r="BH545" s="67">
        <f>VLOOKUP(AG545,Leyenda!$B$4:$E$10,4,FALSE)</f>
        <v>2</v>
      </c>
      <c r="BI545" s="67">
        <f t="shared" si="182"/>
        <v>10</v>
      </c>
      <c r="BJ545" s="67">
        <f t="shared" si="196"/>
        <v>6</v>
      </c>
      <c r="BK545" s="67">
        <f>+VLOOKUP('2. Logging Brejo Seco'!AP545,Leyenda!$B$47:$E$51,4,FALSE)</f>
        <v>0</v>
      </c>
      <c r="BL545" s="67">
        <f>+VLOOKUP('2. Logging Brejo Seco'!AQ545,Leyenda!$B$55:$E$59,4,FALSE)</f>
        <v>0</v>
      </c>
      <c r="BM545" s="67">
        <f>+VLOOKUP('2. Logging Brejo Seco'!AR545,Leyenda!$B$63:$E$67,3,FALSE)</f>
        <v>0</v>
      </c>
      <c r="BN545" s="67">
        <f>+VLOOKUP('2. Logging Brejo Seco'!AO545,Leyenda!$B$39:$E$43,4,FALSE)</f>
        <v>1</v>
      </c>
      <c r="BO545" s="67">
        <f>+VLOOKUP('2. Logging Brejo Seco'!AN545,Leyenda!$B$30:$E$34,4,FALSE)</f>
        <v>1</v>
      </c>
      <c r="BP545" s="67">
        <f>VLOOKUP(AS545,Leyenda!$B$71:$E$75,4,FALSE)</f>
        <v>5</v>
      </c>
      <c r="BQ545" s="125">
        <f t="shared" si="187"/>
        <v>25</v>
      </c>
      <c r="BR545" s="85">
        <f t="shared" si="188"/>
        <v>25</v>
      </c>
      <c r="BS545" s="240">
        <f t="shared" si="183"/>
        <v>9.9999999999999978E-2</v>
      </c>
      <c r="BT545" s="18" t="s">
        <v>712</v>
      </c>
    </row>
    <row r="546" spans="1:72" x14ac:dyDescent="0.25">
      <c r="A546" s="18" t="s">
        <v>6</v>
      </c>
      <c r="B546" s="18">
        <v>2024</v>
      </c>
      <c r="C546" s="18" t="s">
        <v>138</v>
      </c>
      <c r="D546" s="18" t="s">
        <v>266</v>
      </c>
      <c r="E546" s="18">
        <v>50</v>
      </c>
      <c r="F546" s="18">
        <v>50</v>
      </c>
      <c r="G546" s="18" t="s">
        <v>154</v>
      </c>
      <c r="H546" s="248">
        <f t="shared" si="190"/>
        <v>50</v>
      </c>
      <c r="I546" s="135"/>
      <c r="J546" s="18" t="s">
        <v>298</v>
      </c>
      <c r="K546" s="31">
        <f t="shared" si="179"/>
        <v>19</v>
      </c>
      <c r="L546" s="31">
        <f t="shared" si="180"/>
        <v>19.5</v>
      </c>
      <c r="M546" s="4">
        <f t="shared" si="189"/>
        <v>0.5</v>
      </c>
      <c r="N546" s="32">
        <v>0.84</v>
      </c>
      <c r="O546" s="5">
        <f t="shared" si="177"/>
        <v>0.16000000000000003</v>
      </c>
      <c r="P546" s="31">
        <f t="shared" si="184"/>
        <v>0.42</v>
      </c>
      <c r="Q546" s="18">
        <f t="shared" si="185"/>
        <v>0.42</v>
      </c>
      <c r="R546" s="18">
        <v>21</v>
      </c>
      <c r="S546" s="18">
        <v>20</v>
      </c>
      <c r="T546" s="18">
        <v>0.41</v>
      </c>
      <c r="U546" s="18">
        <v>0.34</v>
      </c>
      <c r="V546" s="65">
        <f t="shared" si="191"/>
        <v>68</v>
      </c>
      <c r="W546" s="18">
        <v>2</v>
      </c>
      <c r="X546" s="18"/>
      <c r="Y546" s="18">
        <v>4</v>
      </c>
      <c r="Z546" s="31">
        <f t="shared" si="192"/>
        <v>125</v>
      </c>
      <c r="AA546" s="18">
        <v>0</v>
      </c>
      <c r="AB546" s="18" t="s">
        <v>330</v>
      </c>
      <c r="AC546" s="18" t="s">
        <v>333</v>
      </c>
      <c r="AD546" s="18" t="s">
        <v>335</v>
      </c>
      <c r="AE546" s="18">
        <v>20</v>
      </c>
      <c r="AF546" s="18">
        <v>21</v>
      </c>
      <c r="AG546" s="18" t="s">
        <v>29</v>
      </c>
      <c r="AH546" s="18" t="s">
        <v>29</v>
      </c>
      <c r="AI546" s="18" t="str">
        <f>+VLOOKUP(AH546,Leyenda!$O$4:$U$10,6,FALSE)</f>
        <v>0,25-0,35</v>
      </c>
      <c r="AJ546" s="18" t="str">
        <f>+VLOOKUP(AG546,Leyenda!$O$4:$U$10,7,FALSE)</f>
        <v>No Blasting need</v>
      </c>
      <c r="AK546" s="18">
        <f>+VLOOKUP(AJ546,Leyenda!$U$4:$V$10,2,FALSE)</f>
        <v>2</v>
      </c>
      <c r="AL546" s="18" t="s">
        <v>34</v>
      </c>
      <c r="AM546" s="18" t="s">
        <v>34</v>
      </c>
      <c r="AN546" s="18" t="s">
        <v>66</v>
      </c>
      <c r="AO546" s="18" t="s">
        <v>79</v>
      </c>
      <c r="AP546" s="18" t="s">
        <v>100</v>
      </c>
      <c r="AQ546" s="18" t="s">
        <v>111</v>
      </c>
      <c r="AR546" s="18" t="s">
        <v>122</v>
      </c>
      <c r="AS546" s="18" t="s">
        <v>573</v>
      </c>
      <c r="AT546" s="18" t="s">
        <v>273</v>
      </c>
      <c r="AU546" s="18"/>
      <c r="AV546" s="18">
        <f>+VLOOKUP(AN546,Leyenda!$B$30:$E$34,3,FALSE)</f>
        <v>1</v>
      </c>
      <c r="AW546" s="36">
        <f>+VLOOKUP('2. Logging Brejo Seco'!AO546,Meteorizacion,3,FALSE)</f>
        <v>1</v>
      </c>
      <c r="AX546" s="36">
        <f>+VLOOKUP('2. Logging Brejo Seco'!AP546,Apertura,3,FALSE)</f>
        <v>0</v>
      </c>
      <c r="AY546" s="36">
        <f>+VLOOKUP('2. Logging Brejo Seco'!AQ546,Leyenda!$B$55:$D$59,3,FALSE)</f>
        <v>0</v>
      </c>
      <c r="AZ546" s="36">
        <f>+VLOOKUP('2. Logging Brejo Seco'!AR546,Relleno,3,FALSE)</f>
        <v>0</v>
      </c>
      <c r="BA546" s="36">
        <f t="shared" si="193"/>
        <v>2</v>
      </c>
      <c r="BB546" s="49">
        <f t="shared" si="194"/>
        <v>14</v>
      </c>
      <c r="BC546" s="49">
        <f>VLOOKUP(AH546,Leyenda!$B$4:$D$10,3,FALSE)</f>
        <v>2</v>
      </c>
      <c r="BD546" s="50">
        <f t="shared" si="181"/>
        <v>8</v>
      </c>
      <c r="BE546" s="49">
        <f t="shared" si="186"/>
        <v>2</v>
      </c>
      <c r="BF546" s="49">
        <f>VLOOKUP(AS546,Leyenda!$B$70:$D$75,3,FALSE)</f>
        <v>7</v>
      </c>
      <c r="BG546" s="67">
        <f t="shared" si="195"/>
        <v>37</v>
      </c>
      <c r="BH546" s="67">
        <f>VLOOKUP(AG546,Leyenda!$B$4:$E$10,4,FALSE)</f>
        <v>2</v>
      </c>
      <c r="BI546" s="67">
        <f t="shared" si="182"/>
        <v>10</v>
      </c>
      <c r="BJ546" s="67">
        <f t="shared" si="196"/>
        <v>14</v>
      </c>
      <c r="BK546" s="67">
        <f>+VLOOKUP('2. Logging Brejo Seco'!AP546,Leyenda!$B$47:$E$51,4,FALSE)</f>
        <v>0</v>
      </c>
      <c r="BL546" s="67">
        <f>+VLOOKUP('2. Logging Brejo Seco'!AQ546,Leyenda!$B$55:$E$59,4,FALSE)</f>
        <v>0</v>
      </c>
      <c r="BM546" s="67">
        <f>+VLOOKUP('2. Logging Brejo Seco'!AR546,Leyenda!$B$63:$E$67,3,FALSE)</f>
        <v>0</v>
      </c>
      <c r="BN546" s="67">
        <f>+VLOOKUP('2. Logging Brejo Seco'!AO546,Leyenda!$B$39:$E$43,4,FALSE)</f>
        <v>1</v>
      </c>
      <c r="BO546" s="67">
        <f>+VLOOKUP('2. Logging Brejo Seco'!AN546,Leyenda!$B$30:$E$34,4,FALSE)</f>
        <v>1</v>
      </c>
      <c r="BP546" s="67">
        <f>VLOOKUP(AS546,Leyenda!$B$71:$E$75,4,FALSE)</f>
        <v>5</v>
      </c>
      <c r="BQ546" s="125">
        <f t="shared" si="187"/>
        <v>33</v>
      </c>
      <c r="BR546" s="85">
        <f t="shared" si="188"/>
        <v>33</v>
      </c>
      <c r="BS546" s="240">
        <f t="shared" si="183"/>
        <v>0.16000000000000003</v>
      </c>
      <c r="BT546" s="18" t="s">
        <v>712</v>
      </c>
    </row>
    <row r="547" spans="1:72" x14ac:dyDescent="0.25">
      <c r="A547" s="18" t="s">
        <v>6</v>
      </c>
      <c r="B547" s="18">
        <v>2024</v>
      </c>
      <c r="C547" s="18" t="s">
        <v>138</v>
      </c>
      <c r="D547" s="18" t="s">
        <v>266</v>
      </c>
      <c r="E547" s="18">
        <v>50</v>
      </c>
      <c r="F547" s="18">
        <v>50</v>
      </c>
      <c r="G547" s="18" t="s">
        <v>154</v>
      </c>
      <c r="H547" s="248">
        <f t="shared" si="190"/>
        <v>50</v>
      </c>
      <c r="I547" s="135"/>
      <c r="J547" s="18" t="s">
        <v>298</v>
      </c>
      <c r="K547" s="31">
        <f t="shared" si="179"/>
        <v>19.5</v>
      </c>
      <c r="L547" s="31">
        <f t="shared" si="180"/>
        <v>20</v>
      </c>
      <c r="M547" s="4">
        <f t="shared" si="189"/>
        <v>0.5</v>
      </c>
      <c r="N547" s="32">
        <v>0.72</v>
      </c>
      <c r="O547" s="5">
        <f t="shared" si="177"/>
        <v>0.28000000000000003</v>
      </c>
      <c r="P547" s="31">
        <f t="shared" si="184"/>
        <v>0.36</v>
      </c>
      <c r="Q547" s="18">
        <f t="shared" si="185"/>
        <v>0.36</v>
      </c>
      <c r="R547" s="18">
        <v>18</v>
      </c>
      <c r="S547" s="18">
        <v>20</v>
      </c>
      <c r="T547" s="18">
        <v>0.31</v>
      </c>
      <c r="U547" s="18">
        <v>0</v>
      </c>
      <c r="V547" s="65">
        <f t="shared" si="191"/>
        <v>0</v>
      </c>
      <c r="W547" s="18">
        <v>4</v>
      </c>
      <c r="X547" s="18"/>
      <c r="Y547" s="18">
        <f t="shared" si="178"/>
        <v>4</v>
      </c>
      <c r="Z547" s="31">
        <f t="shared" si="192"/>
        <v>125</v>
      </c>
      <c r="AA547" s="18">
        <v>0</v>
      </c>
      <c r="AB547" s="18" t="s">
        <v>330</v>
      </c>
      <c r="AC547" s="18" t="s">
        <v>333</v>
      </c>
      <c r="AD547" s="18" t="s">
        <v>335</v>
      </c>
      <c r="AE547" s="18">
        <v>20</v>
      </c>
      <c r="AF547" s="18">
        <v>18</v>
      </c>
      <c r="AG547" s="18" t="s">
        <v>29</v>
      </c>
      <c r="AH547" s="18" t="s">
        <v>29</v>
      </c>
      <c r="AI547" s="18" t="str">
        <f>+VLOOKUP(AH547,Leyenda!$O$4:$U$10,6,FALSE)</f>
        <v>0,25-0,35</v>
      </c>
      <c r="AJ547" s="18" t="str">
        <f>+VLOOKUP(AG547,Leyenda!$O$4:$U$10,7,FALSE)</f>
        <v>No Blasting need</v>
      </c>
      <c r="AK547" s="18">
        <f>+VLOOKUP(AJ547,Leyenda!$U$4:$V$10,2,FALSE)</f>
        <v>2</v>
      </c>
      <c r="AL547" s="18" t="s">
        <v>34</v>
      </c>
      <c r="AM547" s="18" t="s">
        <v>34</v>
      </c>
      <c r="AN547" s="18" t="s">
        <v>66</v>
      </c>
      <c r="AO547" s="18" t="s">
        <v>79</v>
      </c>
      <c r="AP547" s="18" t="s">
        <v>100</v>
      </c>
      <c r="AQ547" s="18" t="s">
        <v>111</v>
      </c>
      <c r="AR547" s="18" t="s">
        <v>122</v>
      </c>
      <c r="AS547" s="18" t="s">
        <v>573</v>
      </c>
      <c r="AT547" s="18" t="s">
        <v>273</v>
      </c>
      <c r="AU547" s="18"/>
      <c r="AV547" s="18">
        <f>+VLOOKUP(AN547,Leyenda!$B$30:$E$34,3,FALSE)</f>
        <v>1</v>
      </c>
      <c r="AW547" s="36">
        <f>+VLOOKUP('2. Logging Brejo Seco'!AO547,Meteorizacion,3,FALSE)</f>
        <v>1</v>
      </c>
      <c r="AX547" s="36">
        <f>+VLOOKUP('2. Logging Brejo Seco'!AP547,Apertura,3,FALSE)</f>
        <v>0</v>
      </c>
      <c r="AY547" s="36">
        <f>+VLOOKUP('2. Logging Brejo Seco'!AQ547,Leyenda!$B$55:$D$59,3,FALSE)</f>
        <v>0</v>
      </c>
      <c r="AZ547" s="36">
        <f>+VLOOKUP('2. Logging Brejo Seco'!AR547,Relleno,3,FALSE)</f>
        <v>0</v>
      </c>
      <c r="BA547" s="36">
        <f t="shared" si="193"/>
        <v>2</v>
      </c>
      <c r="BB547" s="49">
        <f t="shared" si="194"/>
        <v>0</v>
      </c>
      <c r="BC547" s="49">
        <f>VLOOKUP(AH547,Leyenda!$B$4:$D$10,3,FALSE)</f>
        <v>2</v>
      </c>
      <c r="BD547" s="50">
        <f t="shared" si="181"/>
        <v>8</v>
      </c>
      <c r="BE547" s="49">
        <f t="shared" si="186"/>
        <v>2</v>
      </c>
      <c r="BF547" s="49">
        <f>VLOOKUP(AS547,Leyenda!$B$70:$D$75,3,FALSE)</f>
        <v>7</v>
      </c>
      <c r="BG547" s="67">
        <f t="shared" si="195"/>
        <v>3</v>
      </c>
      <c r="BH547" s="67">
        <f>VLOOKUP(AG547,Leyenda!$B$4:$E$10,4,FALSE)</f>
        <v>2</v>
      </c>
      <c r="BI547" s="67">
        <f t="shared" si="182"/>
        <v>10</v>
      </c>
      <c r="BJ547" s="67">
        <f t="shared" si="196"/>
        <v>0</v>
      </c>
      <c r="BK547" s="67">
        <f>+VLOOKUP('2. Logging Brejo Seco'!AP547,Leyenda!$B$47:$E$51,4,FALSE)</f>
        <v>0</v>
      </c>
      <c r="BL547" s="67">
        <f>+VLOOKUP('2. Logging Brejo Seco'!AQ547,Leyenda!$B$55:$E$59,4,FALSE)</f>
        <v>0</v>
      </c>
      <c r="BM547" s="67">
        <f>+VLOOKUP('2. Logging Brejo Seco'!AR547,Leyenda!$B$63:$E$67,3,FALSE)</f>
        <v>0</v>
      </c>
      <c r="BN547" s="67">
        <f>+VLOOKUP('2. Logging Brejo Seco'!AO547,Leyenda!$B$39:$E$43,4,FALSE)</f>
        <v>1</v>
      </c>
      <c r="BO547" s="67">
        <f>+VLOOKUP('2. Logging Brejo Seco'!AN547,Leyenda!$B$30:$E$34,4,FALSE)</f>
        <v>1</v>
      </c>
      <c r="BP547" s="67">
        <f>VLOOKUP(AS547,Leyenda!$B$71:$E$75,4,FALSE)</f>
        <v>5</v>
      </c>
      <c r="BQ547" s="125">
        <f t="shared" si="187"/>
        <v>19</v>
      </c>
      <c r="BR547" s="85">
        <f t="shared" si="188"/>
        <v>19</v>
      </c>
      <c r="BS547" s="240">
        <f t="shared" si="183"/>
        <v>0.28000000000000003</v>
      </c>
      <c r="BT547" s="18" t="s">
        <v>712</v>
      </c>
    </row>
    <row r="548" spans="1:72" x14ac:dyDescent="0.25">
      <c r="A548" s="18" t="s">
        <v>6</v>
      </c>
      <c r="B548" s="18">
        <v>2024</v>
      </c>
      <c r="C548" s="18" t="s">
        <v>138</v>
      </c>
      <c r="D548" s="18" t="s">
        <v>266</v>
      </c>
      <c r="E548" s="18">
        <v>50</v>
      </c>
      <c r="F548" s="18">
        <v>50</v>
      </c>
      <c r="G548" s="18" t="s">
        <v>154</v>
      </c>
      <c r="H548" s="248">
        <f t="shared" si="190"/>
        <v>50</v>
      </c>
      <c r="I548" s="135"/>
      <c r="J548" s="18" t="s">
        <v>298</v>
      </c>
      <c r="K548" s="31">
        <f t="shared" si="179"/>
        <v>20</v>
      </c>
      <c r="L548" s="31">
        <f t="shared" si="180"/>
        <v>20.5</v>
      </c>
      <c r="M548" s="4">
        <f t="shared" si="189"/>
        <v>0.5</v>
      </c>
      <c r="N548" s="32">
        <v>0.74</v>
      </c>
      <c r="O548" s="5">
        <f t="shared" si="177"/>
        <v>0.26</v>
      </c>
      <c r="P548" s="31">
        <f t="shared" si="184"/>
        <v>0.37</v>
      </c>
      <c r="Q548" s="18">
        <f t="shared" si="185"/>
        <v>0.37</v>
      </c>
      <c r="R548" s="18">
        <v>18.5</v>
      </c>
      <c r="S548" s="18">
        <v>20</v>
      </c>
      <c r="T548" s="18">
        <v>0.33</v>
      </c>
      <c r="U548" s="18">
        <v>0.2</v>
      </c>
      <c r="V548" s="65">
        <f t="shared" si="191"/>
        <v>40</v>
      </c>
      <c r="W548" s="18">
        <v>4</v>
      </c>
      <c r="X548" s="18"/>
      <c r="Y548" s="18">
        <f t="shared" si="178"/>
        <v>4</v>
      </c>
      <c r="Z548" s="31">
        <f t="shared" si="192"/>
        <v>125</v>
      </c>
      <c r="AA548" s="18">
        <v>0</v>
      </c>
      <c r="AB548" s="18" t="s">
        <v>330</v>
      </c>
      <c r="AC548" s="18" t="s">
        <v>333</v>
      </c>
      <c r="AD548" s="18" t="s">
        <v>335</v>
      </c>
      <c r="AE548" s="18">
        <v>20</v>
      </c>
      <c r="AF548" s="18">
        <v>18.5</v>
      </c>
      <c r="AG548" s="18" t="s">
        <v>29</v>
      </c>
      <c r="AH548" s="18" t="s">
        <v>29</v>
      </c>
      <c r="AI548" s="18" t="str">
        <f>+VLOOKUP(AH548,Leyenda!$O$4:$U$10,6,FALSE)</f>
        <v>0,25-0,35</v>
      </c>
      <c r="AJ548" s="18" t="str">
        <f>+VLOOKUP(AG548,Leyenda!$O$4:$U$10,7,FALSE)</f>
        <v>No Blasting need</v>
      </c>
      <c r="AK548" s="18">
        <f>+VLOOKUP(AJ548,Leyenda!$U$4:$V$10,2,FALSE)</f>
        <v>2</v>
      </c>
      <c r="AL548" s="18" t="s">
        <v>34</v>
      </c>
      <c r="AM548" s="18" t="s">
        <v>34</v>
      </c>
      <c r="AN548" s="18" t="s">
        <v>66</v>
      </c>
      <c r="AO548" s="18" t="s">
        <v>79</v>
      </c>
      <c r="AP548" s="18" t="s">
        <v>100</v>
      </c>
      <c r="AQ548" s="18" t="s">
        <v>111</v>
      </c>
      <c r="AR548" s="18" t="s">
        <v>122</v>
      </c>
      <c r="AS548" s="18" t="s">
        <v>573</v>
      </c>
      <c r="AT548" s="18" t="s">
        <v>273</v>
      </c>
      <c r="AU548" s="18"/>
      <c r="AV548" s="18">
        <f>+VLOOKUP(AN548,Leyenda!$B$30:$E$34,3,FALSE)</f>
        <v>1</v>
      </c>
      <c r="AW548" s="36">
        <f>+VLOOKUP('2. Logging Brejo Seco'!AO548,Meteorizacion,3,FALSE)</f>
        <v>1</v>
      </c>
      <c r="AX548" s="36">
        <f>+VLOOKUP('2. Logging Brejo Seco'!AP548,Apertura,3,FALSE)</f>
        <v>0</v>
      </c>
      <c r="AY548" s="36">
        <f>+VLOOKUP('2. Logging Brejo Seco'!AQ548,Leyenda!$B$55:$D$59,3,FALSE)</f>
        <v>0</v>
      </c>
      <c r="AZ548" s="36">
        <f>+VLOOKUP('2. Logging Brejo Seco'!AR548,Relleno,3,FALSE)</f>
        <v>0</v>
      </c>
      <c r="BA548" s="36">
        <f t="shared" si="193"/>
        <v>2</v>
      </c>
      <c r="BB548" s="49">
        <f t="shared" si="194"/>
        <v>8</v>
      </c>
      <c r="BC548" s="49">
        <f>VLOOKUP(AH548,Leyenda!$B$4:$D$10,3,FALSE)</f>
        <v>2</v>
      </c>
      <c r="BD548" s="50">
        <f t="shared" si="181"/>
        <v>8</v>
      </c>
      <c r="BE548" s="49">
        <f t="shared" si="186"/>
        <v>2</v>
      </c>
      <c r="BF548" s="49">
        <f>VLOOKUP(AS548,Leyenda!$B$70:$D$75,3,FALSE)</f>
        <v>7</v>
      </c>
      <c r="BG548" s="67">
        <f t="shared" si="195"/>
        <v>23</v>
      </c>
      <c r="BH548" s="67">
        <f>VLOOKUP(AG548,Leyenda!$B$4:$E$10,4,FALSE)</f>
        <v>2</v>
      </c>
      <c r="BI548" s="67">
        <f t="shared" si="182"/>
        <v>10</v>
      </c>
      <c r="BJ548" s="67">
        <f t="shared" si="196"/>
        <v>8</v>
      </c>
      <c r="BK548" s="67">
        <f>+VLOOKUP('2. Logging Brejo Seco'!AP548,Leyenda!$B$47:$E$51,4,FALSE)</f>
        <v>0</v>
      </c>
      <c r="BL548" s="67">
        <f>+VLOOKUP('2. Logging Brejo Seco'!AQ548,Leyenda!$B$55:$E$59,4,FALSE)</f>
        <v>0</v>
      </c>
      <c r="BM548" s="67">
        <f>+VLOOKUP('2. Logging Brejo Seco'!AR548,Leyenda!$B$63:$E$67,3,FALSE)</f>
        <v>0</v>
      </c>
      <c r="BN548" s="67">
        <f>+VLOOKUP('2. Logging Brejo Seco'!AO548,Leyenda!$B$39:$E$43,4,FALSE)</f>
        <v>1</v>
      </c>
      <c r="BO548" s="67">
        <f>+VLOOKUP('2. Logging Brejo Seco'!AN548,Leyenda!$B$30:$E$34,4,FALSE)</f>
        <v>1</v>
      </c>
      <c r="BP548" s="67">
        <f>VLOOKUP(AS548,Leyenda!$B$71:$E$75,4,FALSE)</f>
        <v>5</v>
      </c>
      <c r="BQ548" s="125">
        <f t="shared" si="187"/>
        <v>27</v>
      </c>
      <c r="BR548" s="85">
        <f t="shared" si="188"/>
        <v>27</v>
      </c>
      <c r="BS548" s="240">
        <f t="shared" si="183"/>
        <v>0.26</v>
      </c>
      <c r="BT548" s="18" t="s">
        <v>712</v>
      </c>
    </row>
    <row r="549" spans="1:72" x14ac:dyDescent="0.25">
      <c r="A549" s="18" t="s">
        <v>6</v>
      </c>
      <c r="B549" s="18">
        <v>2024</v>
      </c>
      <c r="C549" s="18" t="s">
        <v>138</v>
      </c>
      <c r="D549" s="18" t="s">
        <v>266</v>
      </c>
      <c r="E549" s="18">
        <v>50</v>
      </c>
      <c r="F549" s="18">
        <v>50</v>
      </c>
      <c r="G549" s="18" t="s">
        <v>154</v>
      </c>
      <c r="H549" s="248">
        <f t="shared" si="190"/>
        <v>50</v>
      </c>
      <c r="I549" s="135"/>
      <c r="J549" s="18" t="s">
        <v>298</v>
      </c>
      <c r="K549" s="31">
        <f t="shared" si="179"/>
        <v>20.5</v>
      </c>
      <c r="L549" s="31">
        <f t="shared" si="180"/>
        <v>21</v>
      </c>
      <c r="M549" s="4">
        <f t="shared" si="189"/>
        <v>0.5</v>
      </c>
      <c r="N549" s="32">
        <v>0.78</v>
      </c>
      <c r="O549" s="5">
        <f t="shared" si="177"/>
        <v>0.21999999999999997</v>
      </c>
      <c r="P549" s="31">
        <f t="shared" si="184"/>
        <v>0.39</v>
      </c>
      <c r="Q549" s="18">
        <f t="shared" si="185"/>
        <v>0.39</v>
      </c>
      <c r="R549" s="18">
        <v>19.5</v>
      </c>
      <c r="S549" s="18">
        <v>20</v>
      </c>
      <c r="T549" s="18">
        <v>0.35</v>
      </c>
      <c r="U549" s="18">
        <v>0.23</v>
      </c>
      <c r="V549" s="65">
        <f t="shared" si="191"/>
        <v>46</v>
      </c>
      <c r="W549" s="18">
        <v>2</v>
      </c>
      <c r="X549" s="18"/>
      <c r="Y549" s="18">
        <v>4</v>
      </c>
      <c r="Z549" s="31">
        <f t="shared" si="192"/>
        <v>125</v>
      </c>
      <c r="AA549" s="18">
        <v>0</v>
      </c>
      <c r="AB549" s="18" t="s">
        <v>330</v>
      </c>
      <c r="AC549" s="18" t="s">
        <v>333</v>
      </c>
      <c r="AD549" s="18" t="s">
        <v>335</v>
      </c>
      <c r="AE549" s="18">
        <v>20</v>
      </c>
      <c r="AF549" s="18">
        <v>19.5</v>
      </c>
      <c r="AG549" s="18" t="s">
        <v>29</v>
      </c>
      <c r="AH549" s="18" t="s">
        <v>29</v>
      </c>
      <c r="AI549" s="18" t="str">
        <f>+VLOOKUP(AH549,Leyenda!$O$4:$U$10,6,FALSE)</f>
        <v>0,25-0,35</v>
      </c>
      <c r="AJ549" s="18" t="str">
        <f>+VLOOKUP(AG549,Leyenda!$O$4:$U$10,7,FALSE)</f>
        <v>No Blasting need</v>
      </c>
      <c r="AK549" s="18">
        <f>+VLOOKUP(AJ549,Leyenda!$U$4:$V$10,2,FALSE)</f>
        <v>2</v>
      </c>
      <c r="AL549" s="18" t="s">
        <v>196</v>
      </c>
      <c r="AM549" s="18" t="s">
        <v>196</v>
      </c>
      <c r="AN549" s="18" t="s">
        <v>66</v>
      </c>
      <c r="AO549" s="18" t="s">
        <v>79</v>
      </c>
      <c r="AP549" s="18" t="s">
        <v>96</v>
      </c>
      <c r="AQ549" s="18" t="s">
        <v>109</v>
      </c>
      <c r="AR549" s="18" t="s">
        <v>120</v>
      </c>
      <c r="AS549" s="18" t="s">
        <v>267</v>
      </c>
      <c r="AT549" s="18" t="s">
        <v>273</v>
      </c>
      <c r="AU549" s="18"/>
      <c r="AV549" s="18">
        <f>+VLOOKUP(AN549,Leyenda!$B$30:$E$34,3,FALSE)</f>
        <v>1</v>
      </c>
      <c r="AW549" s="36">
        <f>+VLOOKUP('2. Logging Brejo Seco'!AO549,Meteorizacion,3,FALSE)</f>
        <v>1</v>
      </c>
      <c r="AX549" s="36">
        <f>+VLOOKUP('2. Logging Brejo Seco'!AP549,Apertura,3,FALSE)</f>
        <v>1</v>
      </c>
      <c r="AY549" s="36">
        <f>+VLOOKUP('2. Logging Brejo Seco'!AQ549,Leyenda!$B$55:$D$59,3,FALSE)</f>
        <v>1</v>
      </c>
      <c r="AZ549" s="36">
        <f>+VLOOKUP('2. Logging Brejo Seco'!AR549,Relleno,3,FALSE)</f>
        <v>2</v>
      </c>
      <c r="BA549" s="36">
        <f t="shared" si="193"/>
        <v>6</v>
      </c>
      <c r="BB549" s="49">
        <f t="shared" si="194"/>
        <v>10</v>
      </c>
      <c r="BC549" s="49">
        <f>VLOOKUP(AH549,Leyenda!$B$4:$D$10,3,FALSE)</f>
        <v>2</v>
      </c>
      <c r="BD549" s="50">
        <f t="shared" si="181"/>
        <v>8</v>
      </c>
      <c r="BE549" s="49">
        <f t="shared" si="186"/>
        <v>6</v>
      </c>
      <c r="BF549" s="49">
        <f>VLOOKUP(AS549,Leyenda!$B$70:$D$75,3,FALSE)</f>
        <v>15</v>
      </c>
      <c r="BG549" s="67">
        <f t="shared" si="195"/>
        <v>32</v>
      </c>
      <c r="BH549" s="67">
        <f>VLOOKUP(AG549,Leyenda!$B$4:$E$10,4,FALSE)</f>
        <v>2</v>
      </c>
      <c r="BI549" s="67">
        <f t="shared" si="182"/>
        <v>10</v>
      </c>
      <c r="BJ549" s="67">
        <f t="shared" si="196"/>
        <v>10</v>
      </c>
      <c r="BK549" s="67">
        <f>+VLOOKUP('2. Logging Brejo Seco'!AP549,Leyenda!$B$47:$E$51,4,FALSE)</f>
        <v>1</v>
      </c>
      <c r="BL549" s="67">
        <f>+VLOOKUP('2. Logging Brejo Seco'!AQ549,Leyenda!$B$55:$E$59,4,FALSE)</f>
        <v>1</v>
      </c>
      <c r="BM549" s="67">
        <f>+VLOOKUP('2. Logging Brejo Seco'!AR549,Leyenda!$B$63:$E$67,3,FALSE)</f>
        <v>2</v>
      </c>
      <c r="BN549" s="67">
        <f>+VLOOKUP('2. Logging Brejo Seco'!AO549,Leyenda!$B$39:$E$43,4,FALSE)</f>
        <v>1</v>
      </c>
      <c r="BO549" s="67">
        <f>+VLOOKUP('2. Logging Brejo Seco'!AN549,Leyenda!$B$30:$E$34,4,FALSE)</f>
        <v>1</v>
      </c>
      <c r="BP549" s="67">
        <f>VLOOKUP(AS549,Leyenda!$B$71:$E$75,4,FALSE)</f>
        <v>10</v>
      </c>
      <c r="BQ549" s="125">
        <f t="shared" si="187"/>
        <v>38</v>
      </c>
      <c r="BR549" s="85">
        <f t="shared" si="188"/>
        <v>41</v>
      </c>
      <c r="BS549" s="240">
        <f t="shared" si="183"/>
        <v>0.21999999999999997</v>
      </c>
      <c r="BT549" s="18"/>
    </row>
    <row r="550" spans="1:72" x14ac:dyDescent="0.25">
      <c r="A550" s="18" t="s">
        <v>6</v>
      </c>
      <c r="B550" s="18">
        <v>2024</v>
      </c>
      <c r="C550" s="18" t="s">
        <v>138</v>
      </c>
      <c r="D550" s="18" t="s">
        <v>266</v>
      </c>
      <c r="E550" s="18">
        <v>50</v>
      </c>
      <c r="F550" s="18">
        <v>50</v>
      </c>
      <c r="G550" s="18" t="s">
        <v>154</v>
      </c>
      <c r="H550" s="248">
        <f t="shared" si="190"/>
        <v>50</v>
      </c>
      <c r="I550" s="135"/>
      <c r="J550" s="18" t="s">
        <v>298</v>
      </c>
      <c r="K550" s="31">
        <f t="shared" si="179"/>
        <v>21</v>
      </c>
      <c r="L550" s="31">
        <f t="shared" si="180"/>
        <v>21.5</v>
      </c>
      <c r="M550" s="4">
        <f t="shared" si="189"/>
        <v>0.5</v>
      </c>
      <c r="N550" s="32">
        <v>0.62</v>
      </c>
      <c r="O550" s="5">
        <f t="shared" si="177"/>
        <v>0.38</v>
      </c>
      <c r="P550" s="31">
        <f t="shared" si="184"/>
        <v>0.31</v>
      </c>
      <c r="Q550" s="18">
        <f t="shared" si="185"/>
        <v>0.31</v>
      </c>
      <c r="R550" s="18">
        <v>15.5</v>
      </c>
      <c r="S550" s="18">
        <v>20</v>
      </c>
      <c r="T550" s="18">
        <v>0.3</v>
      </c>
      <c r="U550" s="18">
        <v>0.2</v>
      </c>
      <c r="V550" s="65">
        <f t="shared" si="191"/>
        <v>40</v>
      </c>
      <c r="W550" s="18">
        <v>2</v>
      </c>
      <c r="X550" s="18"/>
      <c r="Y550" s="18">
        <v>5</v>
      </c>
      <c r="Z550" s="31">
        <f t="shared" si="192"/>
        <v>100</v>
      </c>
      <c r="AA550" s="18">
        <v>0</v>
      </c>
      <c r="AB550" s="18" t="s">
        <v>330</v>
      </c>
      <c r="AC550" s="18" t="s">
        <v>333</v>
      </c>
      <c r="AD550" s="18" t="s">
        <v>335</v>
      </c>
      <c r="AE550" s="18">
        <v>20</v>
      </c>
      <c r="AF550" s="18">
        <v>15.5</v>
      </c>
      <c r="AG550" s="18" t="s">
        <v>29</v>
      </c>
      <c r="AH550" s="18" t="s">
        <v>29</v>
      </c>
      <c r="AI550" s="18" t="str">
        <f>+VLOOKUP(AH550,Leyenda!$O$4:$U$10,6,FALSE)</f>
        <v>0,25-0,35</v>
      </c>
      <c r="AJ550" s="18" t="str">
        <f>+VLOOKUP(AG550,Leyenda!$O$4:$U$10,7,FALSE)</f>
        <v>No Blasting need</v>
      </c>
      <c r="AK550" s="18">
        <f>+VLOOKUP(AJ550,Leyenda!$U$4:$V$10,2,FALSE)</f>
        <v>2</v>
      </c>
      <c r="AL550" s="18" t="s">
        <v>196</v>
      </c>
      <c r="AM550" s="18" t="s">
        <v>196</v>
      </c>
      <c r="AN550" s="18" t="s">
        <v>66</v>
      </c>
      <c r="AO550" s="18" t="s">
        <v>79</v>
      </c>
      <c r="AP550" s="18" t="s">
        <v>96</v>
      </c>
      <c r="AQ550" s="18" t="s">
        <v>109</v>
      </c>
      <c r="AR550" s="18" t="s">
        <v>120</v>
      </c>
      <c r="AS550" s="18" t="s">
        <v>267</v>
      </c>
      <c r="AT550" s="18"/>
      <c r="AU550" s="18"/>
      <c r="AV550" s="18">
        <f>+VLOOKUP(AN550,Leyenda!$B$30:$E$34,3,FALSE)</f>
        <v>1</v>
      </c>
      <c r="AW550" s="36">
        <f>+VLOOKUP('2. Logging Brejo Seco'!AO550,Meteorizacion,3,FALSE)</f>
        <v>1</v>
      </c>
      <c r="AX550" s="36">
        <f>+VLOOKUP('2. Logging Brejo Seco'!AP550,Apertura,3,FALSE)</f>
        <v>1</v>
      </c>
      <c r="AY550" s="36">
        <f>+VLOOKUP('2. Logging Brejo Seco'!AQ550,Leyenda!$B$55:$D$59,3,FALSE)</f>
        <v>1</v>
      </c>
      <c r="AZ550" s="36">
        <f>+VLOOKUP('2. Logging Brejo Seco'!AR550,Relleno,3,FALSE)</f>
        <v>2</v>
      </c>
      <c r="BA550" s="36">
        <f t="shared" si="193"/>
        <v>6</v>
      </c>
      <c r="BB550" s="49">
        <f t="shared" si="194"/>
        <v>8</v>
      </c>
      <c r="BC550" s="49">
        <f>VLOOKUP(AH550,Leyenda!$B$4:$D$10,3,FALSE)</f>
        <v>2</v>
      </c>
      <c r="BD550" s="50">
        <f t="shared" si="181"/>
        <v>7</v>
      </c>
      <c r="BE550" s="49">
        <f t="shared" si="186"/>
        <v>6</v>
      </c>
      <c r="BF550" s="49">
        <f>VLOOKUP(AS550,Leyenda!$B$70:$D$75,3,FALSE)</f>
        <v>15</v>
      </c>
      <c r="BG550" s="67">
        <f t="shared" si="195"/>
        <v>29</v>
      </c>
      <c r="BH550" s="67">
        <f>VLOOKUP(AG550,Leyenda!$B$4:$E$10,4,FALSE)</f>
        <v>2</v>
      </c>
      <c r="BI550" s="67">
        <f t="shared" si="182"/>
        <v>8</v>
      </c>
      <c r="BJ550" s="67">
        <f t="shared" si="196"/>
        <v>8</v>
      </c>
      <c r="BK550" s="67">
        <f>+VLOOKUP('2. Logging Brejo Seco'!AP550,Leyenda!$B$47:$E$51,4,FALSE)</f>
        <v>1</v>
      </c>
      <c r="BL550" s="67">
        <f>+VLOOKUP('2. Logging Brejo Seco'!AQ550,Leyenda!$B$55:$E$59,4,FALSE)</f>
        <v>1</v>
      </c>
      <c r="BM550" s="67">
        <f>+VLOOKUP('2. Logging Brejo Seco'!AR550,Leyenda!$B$63:$E$67,3,FALSE)</f>
        <v>2</v>
      </c>
      <c r="BN550" s="67">
        <f>+VLOOKUP('2. Logging Brejo Seco'!AO550,Leyenda!$B$39:$E$43,4,FALSE)</f>
        <v>1</v>
      </c>
      <c r="BO550" s="67">
        <f>+VLOOKUP('2. Logging Brejo Seco'!AN550,Leyenda!$B$30:$E$34,4,FALSE)</f>
        <v>1</v>
      </c>
      <c r="BP550" s="67">
        <f>VLOOKUP(AS550,Leyenda!$B$71:$E$75,4,FALSE)</f>
        <v>10</v>
      </c>
      <c r="BQ550" s="125">
        <f t="shared" si="187"/>
        <v>34</v>
      </c>
      <c r="BR550" s="85">
        <f t="shared" si="188"/>
        <v>38</v>
      </c>
      <c r="BS550" s="240">
        <f t="shared" si="183"/>
        <v>0.38</v>
      </c>
      <c r="BT550" s="18"/>
    </row>
    <row r="551" spans="1:72" x14ac:dyDescent="0.25">
      <c r="A551" s="18" t="s">
        <v>6</v>
      </c>
      <c r="B551" s="18">
        <v>2024</v>
      </c>
      <c r="C551" s="18" t="s">
        <v>138</v>
      </c>
      <c r="D551" s="18" t="s">
        <v>266</v>
      </c>
      <c r="E551" s="18">
        <v>50</v>
      </c>
      <c r="F551" s="18">
        <v>50</v>
      </c>
      <c r="G551" s="18" t="s">
        <v>154</v>
      </c>
      <c r="H551" s="248">
        <f t="shared" si="190"/>
        <v>50</v>
      </c>
      <c r="I551" s="135"/>
      <c r="J551" s="18" t="s">
        <v>298</v>
      </c>
      <c r="K551" s="31">
        <f t="shared" si="179"/>
        <v>21.5</v>
      </c>
      <c r="L551" s="31">
        <f t="shared" si="180"/>
        <v>22</v>
      </c>
      <c r="M551" s="4">
        <f t="shared" si="189"/>
        <v>0.5</v>
      </c>
      <c r="N551" s="32">
        <v>0.82</v>
      </c>
      <c r="O551" s="5">
        <f t="shared" si="177"/>
        <v>0.18000000000000005</v>
      </c>
      <c r="P551" s="31">
        <f t="shared" si="184"/>
        <v>0.41</v>
      </c>
      <c r="Q551" s="18">
        <f t="shared" si="185"/>
        <v>0.41</v>
      </c>
      <c r="R551" s="18">
        <v>20.5</v>
      </c>
      <c r="S551" s="18">
        <v>20</v>
      </c>
      <c r="T551" s="18">
        <v>0.36</v>
      </c>
      <c r="U551" s="18">
        <v>0.26</v>
      </c>
      <c r="V551" s="65">
        <f t="shared" si="191"/>
        <v>52</v>
      </c>
      <c r="W551" s="18">
        <v>4</v>
      </c>
      <c r="X551" s="18"/>
      <c r="Y551" s="18">
        <f t="shared" si="178"/>
        <v>4</v>
      </c>
      <c r="Z551" s="31">
        <f t="shared" si="192"/>
        <v>125</v>
      </c>
      <c r="AA551" s="18">
        <v>0</v>
      </c>
      <c r="AB551" s="18" t="s">
        <v>330</v>
      </c>
      <c r="AC551" s="18" t="s">
        <v>333</v>
      </c>
      <c r="AD551" s="18" t="s">
        <v>335</v>
      </c>
      <c r="AE551" s="18">
        <v>20</v>
      </c>
      <c r="AF551" s="18">
        <v>20.5</v>
      </c>
      <c r="AG551" s="18" t="s">
        <v>29</v>
      </c>
      <c r="AH551" s="18" t="s">
        <v>29</v>
      </c>
      <c r="AI551" s="18" t="str">
        <f>+VLOOKUP(AH551,Leyenda!$O$4:$U$10,6,FALSE)</f>
        <v>0,25-0,35</v>
      </c>
      <c r="AJ551" s="18" t="str">
        <f>+VLOOKUP(AG551,Leyenda!$O$4:$U$10,7,FALSE)</f>
        <v>No Blasting need</v>
      </c>
      <c r="AK551" s="18">
        <f>+VLOOKUP(AJ551,Leyenda!$U$4:$V$10,2,FALSE)</f>
        <v>2</v>
      </c>
      <c r="AL551" s="18" t="s">
        <v>196</v>
      </c>
      <c r="AM551" s="18" t="s">
        <v>196</v>
      </c>
      <c r="AN551" s="18" t="s">
        <v>66</v>
      </c>
      <c r="AO551" s="18" t="s">
        <v>79</v>
      </c>
      <c r="AP551" s="18" t="s">
        <v>96</v>
      </c>
      <c r="AQ551" s="18" t="s">
        <v>109</v>
      </c>
      <c r="AR551" s="18" t="s">
        <v>120</v>
      </c>
      <c r="AS551" s="18" t="s">
        <v>267</v>
      </c>
      <c r="AT551" s="18"/>
      <c r="AU551" s="18"/>
      <c r="AV551" s="18">
        <f>+VLOOKUP(AN551,Leyenda!$B$30:$E$34,3,FALSE)</f>
        <v>1</v>
      </c>
      <c r="AW551" s="36">
        <f>+VLOOKUP('2. Logging Brejo Seco'!AO551,Meteorizacion,3,FALSE)</f>
        <v>1</v>
      </c>
      <c r="AX551" s="36">
        <f>+VLOOKUP('2. Logging Brejo Seco'!AP551,Apertura,3,FALSE)</f>
        <v>1</v>
      </c>
      <c r="AY551" s="36">
        <f>+VLOOKUP('2. Logging Brejo Seco'!AQ551,Leyenda!$B$55:$D$59,3,FALSE)</f>
        <v>1</v>
      </c>
      <c r="AZ551" s="36">
        <f>+VLOOKUP('2. Logging Brejo Seco'!AR551,Relleno,3,FALSE)</f>
        <v>2</v>
      </c>
      <c r="BA551" s="36">
        <f t="shared" si="193"/>
        <v>6</v>
      </c>
      <c r="BB551" s="49">
        <f t="shared" si="194"/>
        <v>11</v>
      </c>
      <c r="BC551" s="49">
        <f>VLOOKUP(AH551,Leyenda!$B$4:$D$10,3,FALSE)</f>
        <v>2</v>
      </c>
      <c r="BD551" s="50">
        <f t="shared" si="181"/>
        <v>8</v>
      </c>
      <c r="BE551" s="49">
        <f t="shared" si="186"/>
        <v>6</v>
      </c>
      <c r="BF551" s="49">
        <f>VLOOKUP(AS551,Leyenda!$B$70:$D$75,3,FALSE)</f>
        <v>15</v>
      </c>
      <c r="BG551" s="67">
        <f t="shared" si="195"/>
        <v>35</v>
      </c>
      <c r="BH551" s="67">
        <f>VLOOKUP(AG551,Leyenda!$B$4:$E$10,4,FALSE)</f>
        <v>2</v>
      </c>
      <c r="BI551" s="67">
        <f t="shared" si="182"/>
        <v>10</v>
      </c>
      <c r="BJ551" s="67">
        <f t="shared" si="196"/>
        <v>11</v>
      </c>
      <c r="BK551" s="67">
        <f>+VLOOKUP('2. Logging Brejo Seco'!AP551,Leyenda!$B$47:$E$51,4,FALSE)</f>
        <v>1</v>
      </c>
      <c r="BL551" s="67">
        <f>+VLOOKUP('2. Logging Brejo Seco'!AQ551,Leyenda!$B$55:$E$59,4,FALSE)</f>
        <v>1</v>
      </c>
      <c r="BM551" s="67">
        <f>+VLOOKUP('2. Logging Brejo Seco'!AR551,Leyenda!$B$63:$E$67,3,FALSE)</f>
        <v>2</v>
      </c>
      <c r="BN551" s="67">
        <f>+VLOOKUP('2. Logging Brejo Seco'!AO551,Leyenda!$B$39:$E$43,4,FALSE)</f>
        <v>1</v>
      </c>
      <c r="BO551" s="67">
        <f>+VLOOKUP('2. Logging Brejo Seco'!AN551,Leyenda!$B$30:$E$34,4,FALSE)</f>
        <v>1</v>
      </c>
      <c r="BP551" s="67">
        <f>VLOOKUP(AS551,Leyenda!$B$71:$E$75,4,FALSE)</f>
        <v>10</v>
      </c>
      <c r="BQ551" s="125">
        <f t="shared" si="187"/>
        <v>39</v>
      </c>
      <c r="BR551" s="85">
        <f t="shared" si="188"/>
        <v>42</v>
      </c>
      <c r="BS551" s="240">
        <f t="shared" si="183"/>
        <v>0.18000000000000005</v>
      </c>
      <c r="BT551" s="18"/>
    </row>
    <row r="552" spans="1:72" x14ac:dyDescent="0.25">
      <c r="A552" s="18" t="s">
        <v>6</v>
      </c>
      <c r="B552" s="18">
        <v>2024</v>
      </c>
      <c r="C552" s="18" t="s">
        <v>138</v>
      </c>
      <c r="D552" s="18" t="s">
        <v>266</v>
      </c>
      <c r="E552" s="18">
        <v>50</v>
      </c>
      <c r="F552" s="18">
        <v>50</v>
      </c>
      <c r="G552" s="18" t="s">
        <v>154</v>
      </c>
      <c r="H552" s="248">
        <f t="shared" si="190"/>
        <v>50</v>
      </c>
      <c r="I552" s="135"/>
      <c r="J552" s="18" t="s">
        <v>298</v>
      </c>
      <c r="K552" s="31">
        <f t="shared" si="179"/>
        <v>22</v>
      </c>
      <c r="L552" s="31">
        <f t="shared" si="180"/>
        <v>22.5</v>
      </c>
      <c r="M552" s="4">
        <f t="shared" si="189"/>
        <v>0.5</v>
      </c>
      <c r="N552" s="32">
        <v>0.78</v>
      </c>
      <c r="O552" s="5">
        <f t="shared" si="177"/>
        <v>0.21999999999999997</v>
      </c>
      <c r="P552" s="31">
        <f t="shared" si="184"/>
        <v>0.39</v>
      </c>
      <c r="Q552" s="18">
        <f t="shared" si="185"/>
        <v>0.39</v>
      </c>
      <c r="R552" s="18">
        <v>19.5</v>
      </c>
      <c r="S552" s="18">
        <v>20</v>
      </c>
      <c r="T552" s="18">
        <v>0.33</v>
      </c>
      <c r="U552" s="18">
        <v>0.19</v>
      </c>
      <c r="V552" s="65">
        <f t="shared" si="191"/>
        <v>38</v>
      </c>
      <c r="W552" s="18">
        <v>4</v>
      </c>
      <c r="X552" s="18"/>
      <c r="Y552" s="131">
        <f t="shared" si="178"/>
        <v>4</v>
      </c>
      <c r="Z552" s="31">
        <f t="shared" si="192"/>
        <v>125</v>
      </c>
      <c r="AA552" s="18">
        <v>0</v>
      </c>
      <c r="AB552" s="18" t="s">
        <v>330</v>
      </c>
      <c r="AC552" s="18" t="s">
        <v>333</v>
      </c>
      <c r="AD552" s="18" t="s">
        <v>335</v>
      </c>
      <c r="AE552" s="18">
        <v>20</v>
      </c>
      <c r="AF552" s="18">
        <v>19.5</v>
      </c>
      <c r="AG552" s="18" t="s">
        <v>29</v>
      </c>
      <c r="AH552" s="18" t="s">
        <v>29</v>
      </c>
      <c r="AI552" s="18" t="str">
        <f>+VLOOKUP(AH552,Leyenda!$O$4:$U$10,6,FALSE)</f>
        <v>0,25-0,35</v>
      </c>
      <c r="AJ552" s="18" t="str">
        <f>+VLOOKUP(AG552,Leyenda!$O$4:$U$10,7,FALSE)</f>
        <v>No Blasting need</v>
      </c>
      <c r="AK552" s="18">
        <f>+VLOOKUP(AJ552,Leyenda!$U$4:$V$10,2,FALSE)</f>
        <v>2</v>
      </c>
      <c r="AL552" s="18" t="s">
        <v>196</v>
      </c>
      <c r="AM552" s="131" t="s">
        <v>196</v>
      </c>
      <c r="AN552" s="131" t="s">
        <v>66</v>
      </c>
      <c r="AO552" s="131" t="s">
        <v>79</v>
      </c>
      <c r="AP552" s="131" t="s">
        <v>96</v>
      </c>
      <c r="AQ552" s="131" t="s">
        <v>109</v>
      </c>
      <c r="AR552" s="131" t="s">
        <v>122</v>
      </c>
      <c r="AS552" s="131" t="s">
        <v>267</v>
      </c>
      <c r="AT552" s="18" t="s">
        <v>275</v>
      </c>
      <c r="AU552" s="18"/>
      <c r="AV552" s="18">
        <f>+VLOOKUP(AN552,Leyenda!$B$30:$E$34,3,FALSE)</f>
        <v>1</v>
      </c>
      <c r="AW552" s="36">
        <f>+VLOOKUP('2. Logging Brejo Seco'!AO552,Meteorizacion,3,FALSE)</f>
        <v>1</v>
      </c>
      <c r="AX552" s="36">
        <f>+VLOOKUP('2. Logging Brejo Seco'!AP552,Apertura,3,FALSE)</f>
        <v>1</v>
      </c>
      <c r="AY552" s="36">
        <f>+VLOOKUP('2. Logging Brejo Seco'!AQ552,Leyenda!$B$55:$D$59,3,FALSE)</f>
        <v>1</v>
      </c>
      <c r="AZ552" s="36">
        <f>+VLOOKUP('2. Logging Brejo Seco'!AR552,Relleno,3,FALSE)</f>
        <v>0</v>
      </c>
      <c r="BA552" s="36">
        <f t="shared" si="193"/>
        <v>4</v>
      </c>
      <c r="BB552" s="49">
        <f t="shared" si="194"/>
        <v>8</v>
      </c>
      <c r="BC552" s="49">
        <f>VLOOKUP(AH552,Leyenda!$B$4:$D$10,3,FALSE)</f>
        <v>2</v>
      </c>
      <c r="BD552" s="50">
        <f t="shared" si="181"/>
        <v>8</v>
      </c>
      <c r="BE552" s="49">
        <f t="shared" si="186"/>
        <v>4</v>
      </c>
      <c r="BF552" s="49">
        <f>VLOOKUP(AS552,Leyenda!$B$70:$D$75,3,FALSE)</f>
        <v>15</v>
      </c>
      <c r="BG552" s="67">
        <f t="shared" si="195"/>
        <v>25</v>
      </c>
      <c r="BH552" s="67">
        <f>VLOOKUP(AG552,Leyenda!$B$4:$E$10,4,FALSE)</f>
        <v>2</v>
      </c>
      <c r="BI552" s="67">
        <f t="shared" si="182"/>
        <v>10</v>
      </c>
      <c r="BJ552" s="67">
        <f t="shared" si="196"/>
        <v>8</v>
      </c>
      <c r="BK552" s="67">
        <f>+VLOOKUP('2. Logging Brejo Seco'!AP552,Leyenda!$B$47:$E$51,4,FALSE)</f>
        <v>1</v>
      </c>
      <c r="BL552" s="67">
        <f>+VLOOKUP('2. Logging Brejo Seco'!AQ552,Leyenda!$B$55:$E$59,4,FALSE)</f>
        <v>1</v>
      </c>
      <c r="BM552" s="67">
        <f>+VLOOKUP('2. Logging Brejo Seco'!AR552,Leyenda!$B$63:$E$67,3,FALSE)</f>
        <v>0</v>
      </c>
      <c r="BN552" s="67">
        <f>+VLOOKUP('2. Logging Brejo Seco'!AO552,Leyenda!$B$39:$E$43,4,FALSE)</f>
        <v>1</v>
      </c>
      <c r="BO552" s="67">
        <f>+VLOOKUP('2. Logging Brejo Seco'!AN552,Leyenda!$B$30:$E$34,4,FALSE)</f>
        <v>1</v>
      </c>
      <c r="BP552" s="67">
        <f>VLOOKUP(AS552,Leyenda!$B$71:$E$75,4,FALSE)</f>
        <v>10</v>
      </c>
      <c r="BQ552" s="125">
        <f t="shared" si="187"/>
        <v>34</v>
      </c>
      <c r="BR552" s="85">
        <f t="shared" si="188"/>
        <v>37</v>
      </c>
      <c r="BS552" s="240">
        <f t="shared" si="183"/>
        <v>0.21999999999999997</v>
      </c>
      <c r="BT552" s="18"/>
    </row>
    <row r="553" spans="1:72" x14ac:dyDescent="0.25">
      <c r="A553" s="18" t="s">
        <v>6</v>
      </c>
      <c r="B553" s="18">
        <v>2024</v>
      </c>
      <c r="C553" s="18" t="s">
        <v>138</v>
      </c>
      <c r="D553" s="18" t="s">
        <v>266</v>
      </c>
      <c r="E553" s="18">
        <v>50</v>
      </c>
      <c r="F553" s="18">
        <v>50</v>
      </c>
      <c r="G553" s="18" t="s">
        <v>154</v>
      </c>
      <c r="H553" s="248">
        <f t="shared" si="190"/>
        <v>50</v>
      </c>
      <c r="I553" s="135"/>
      <c r="J553" s="18" t="s">
        <v>298</v>
      </c>
      <c r="K553" s="31">
        <f t="shared" si="179"/>
        <v>22.5</v>
      </c>
      <c r="L553" s="31">
        <f t="shared" si="180"/>
        <v>23</v>
      </c>
      <c r="M553" s="4">
        <f t="shared" si="189"/>
        <v>0.5</v>
      </c>
      <c r="N553" s="32">
        <v>0.74</v>
      </c>
      <c r="O553" s="5">
        <f t="shared" si="177"/>
        <v>0.26</v>
      </c>
      <c r="P553" s="31">
        <f t="shared" si="184"/>
        <v>0.37</v>
      </c>
      <c r="Q553" s="18">
        <f t="shared" si="185"/>
        <v>0.37</v>
      </c>
      <c r="R553" s="18">
        <v>18.5</v>
      </c>
      <c r="S553" s="18">
        <v>20</v>
      </c>
      <c r="T553" s="18">
        <v>0.28000000000000003</v>
      </c>
      <c r="U553" s="18">
        <f>0.15+0.11</f>
        <v>0.26</v>
      </c>
      <c r="V553" s="65">
        <f t="shared" si="191"/>
        <v>52</v>
      </c>
      <c r="W553" s="18">
        <v>4</v>
      </c>
      <c r="X553" s="18"/>
      <c r="Y553" s="18">
        <f t="shared" si="178"/>
        <v>4</v>
      </c>
      <c r="Z553" s="31">
        <f t="shared" si="192"/>
        <v>125</v>
      </c>
      <c r="AA553" s="18">
        <v>0</v>
      </c>
      <c r="AB553" s="18" t="s">
        <v>330</v>
      </c>
      <c r="AC553" s="18" t="s">
        <v>333</v>
      </c>
      <c r="AD553" s="18" t="s">
        <v>335</v>
      </c>
      <c r="AE553" s="18">
        <v>20</v>
      </c>
      <c r="AF553" s="18">
        <v>18.5</v>
      </c>
      <c r="AG553" s="18" t="s">
        <v>29</v>
      </c>
      <c r="AH553" s="18" t="s">
        <v>29</v>
      </c>
      <c r="AI553" s="18" t="str">
        <f>+VLOOKUP(AH553,Leyenda!$O$4:$U$10,6,FALSE)</f>
        <v>0,25-0,35</v>
      </c>
      <c r="AJ553" s="18" t="str">
        <f>+VLOOKUP(AG553,Leyenda!$O$4:$U$10,7,FALSE)</f>
        <v>No Blasting need</v>
      </c>
      <c r="AK553" s="18">
        <f>+VLOOKUP(AJ553,Leyenda!$U$4:$V$10,2,FALSE)</f>
        <v>2</v>
      </c>
      <c r="AL553" s="18" t="s">
        <v>196</v>
      </c>
      <c r="AM553" s="18" t="s">
        <v>196</v>
      </c>
      <c r="AN553" s="18" t="s">
        <v>66</v>
      </c>
      <c r="AO553" s="18" t="s">
        <v>79</v>
      </c>
      <c r="AP553" s="18" t="s">
        <v>96</v>
      </c>
      <c r="AQ553" s="18" t="s">
        <v>109</v>
      </c>
      <c r="AR553" s="18" t="s">
        <v>122</v>
      </c>
      <c r="AS553" s="18" t="s">
        <v>267</v>
      </c>
      <c r="AT553" s="18" t="s">
        <v>205</v>
      </c>
      <c r="AU553" s="18"/>
      <c r="AV553" s="18">
        <f>+VLOOKUP(AN553,Leyenda!$B$30:$E$34,3,FALSE)</f>
        <v>1</v>
      </c>
      <c r="AW553" s="36">
        <f>+VLOOKUP('2. Logging Brejo Seco'!AO553,Meteorizacion,3,FALSE)</f>
        <v>1</v>
      </c>
      <c r="AX553" s="36">
        <f>+VLOOKUP('2. Logging Brejo Seco'!AP553,Apertura,3,FALSE)</f>
        <v>1</v>
      </c>
      <c r="AY553" s="36">
        <f>+VLOOKUP('2. Logging Brejo Seco'!AQ553,Leyenda!$B$55:$D$59,3,FALSE)</f>
        <v>1</v>
      </c>
      <c r="AZ553" s="36">
        <f>+VLOOKUP('2. Logging Brejo Seco'!AR553,Relleno,3,FALSE)</f>
        <v>0</v>
      </c>
      <c r="BA553" s="36">
        <f t="shared" si="193"/>
        <v>4</v>
      </c>
      <c r="BB553" s="49">
        <f t="shared" si="194"/>
        <v>11</v>
      </c>
      <c r="BC553" s="49">
        <f>VLOOKUP(AH553,Leyenda!$B$4:$D$10,3,FALSE)</f>
        <v>2</v>
      </c>
      <c r="BD553" s="50">
        <f t="shared" si="181"/>
        <v>8</v>
      </c>
      <c r="BE553" s="49">
        <f t="shared" si="186"/>
        <v>4</v>
      </c>
      <c r="BF553" s="49">
        <f>VLOOKUP(AS553,Leyenda!$B$70:$D$75,3,FALSE)</f>
        <v>15</v>
      </c>
      <c r="BG553" s="67">
        <f t="shared" si="195"/>
        <v>32</v>
      </c>
      <c r="BH553" s="67">
        <f>VLOOKUP(AG553,Leyenda!$B$4:$E$10,4,FALSE)</f>
        <v>2</v>
      </c>
      <c r="BI553" s="67">
        <f t="shared" si="182"/>
        <v>10</v>
      </c>
      <c r="BJ553" s="67">
        <f t="shared" si="196"/>
        <v>11</v>
      </c>
      <c r="BK553" s="67">
        <f>+VLOOKUP('2. Logging Brejo Seco'!AP553,Leyenda!$B$47:$E$51,4,FALSE)</f>
        <v>1</v>
      </c>
      <c r="BL553" s="67">
        <f>+VLOOKUP('2. Logging Brejo Seco'!AQ553,Leyenda!$B$55:$E$59,4,FALSE)</f>
        <v>1</v>
      </c>
      <c r="BM553" s="67">
        <f>+VLOOKUP('2. Logging Brejo Seco'!AR553,Leyenda!$B$63:$E$67,3,FALSE)</f>
        <v>0</v>
      </c>
      <c r="BN553" s="67">
        <f>+VLOOKUP('2. Logging Brejo Seco'!AO553,Leyenda!$B$39:$E$43,4,FALSE)</f>
        <v>1</v>
      </c>
      <c r="BO553" s="67">
        <f>+VLOOKUP('2. Logging Brejo Seco'!AN553,Leyenda!$B$30:$E$34,4,FALSE)</f>
        <v>1</v>
      </c>
      <c r="BP553" s="67">
        <f>VLOOKUP(AS553,Leyenda!$B$71:$E$75,4,FALSE)</f>
        <v>10</v>
      </c>
      <c r="BQ553" s="125">
        <f t="shared" si="187"/>
        <v>37</v>
      </c>
      <c r="BR553" s="85">
        <f t="shared" si="188"/>
        <v>40</v>
      </c>
      <c r="BS553" s="240">
        <f t="shared" si="183"/>
        <v>0.26</v>
      </c>
      <c r="BT553" s="18"/>
    </row>
    <row r="554" spans="1:72" x14ac:dyDescent="0.25">
      <c r="A554" s="18" t="s">
        <v>6</v>
      </c>
      <c r="B554" s="18">
        <v>2024</v>
      </c>
      <c r="C554" s="18" t="s">
        <v>138</v>
      </c>
      <c r="D554" s="18" t="s">
        <v>266</v>
      </c>
      <c r="E554" s="18">
        <v>50</v>
      </c>
      <c r="F554" s="18">
        <v>50</v>
      </c>
      <c r="G554" s="18" t="s">
        <v>154</v>
      </c>
      <c r="H554" s="248">
        <f t="shared" si="190"/>
        <v>50</v>
      </c>
      <c r="I554" s="135"/>
      <c r="J554" s="18" t="s">
        <v>298</v>
      </c>
      <c r="K554" s="31">
        <f t="shared" si="179"/>
        <v>23</v>
      </c>
      <c r="L554" s="31">
        <f t="shared" si="180"/>
        <v>23.5</v>
      </c>
      <c r="M554" s="4">
        <f t="shared" si="189"/>
        <v>0.5</v>
      </c>
      <c r="N554" s="32">
        <v>0.74</v>
      </c>
      <c r="O554" s="5">
        <f t="shared" si="177"/>
        <v>0.26</v>
      </c>
      <c r="P554" s="31">
        <f t="shared" si="184"/>
        <v>0.37</v>
      </c>
      <c r="Q554" s="18">
        <f t="shared" si="185"/>
        <v>0.37</v>
      </c>
      <c r="R554" s="18">
        <v>18.5</v>
      </c>
      <c r="S554" s="18">
        <v>20</v>
      </c>
      <c r="T554" s="18">
        <v>0.3</v>
      </c>
      <c r="U554" s="18">
        <v>0.17</v>
      </c>
      <c r="V554" s="65">
        <f t="shared" si="191"/>
        <v>34</v>
      </c>
      <c r="W554" s="18">
        <v>4</v>
      </c>
      <c r="X554" s="18"/>
      <c r="Y554" s="18">
        <f t="shared" si="178"/>
        <v>4</v>
      </c>
      <c r="Z554" s="31">
        <f t="shared" si="192"/>
        <v>125</v>
      </c>
      <c r="AA554" s="18">
        <v>0</v>
      </c>
      <c r="AB554" s="18" t="s">
        <v>330</v>
      </c>
      <c r="AC554" s="18" t="s">
        <v>333</v>
      </c>
      <c r="AD554" s="18" t="s">
        <v>335</v>
      </c>
      <c r="AE554" s="18">
        <v>20</v>
      </c>
      <c r="AF554" s="18">
        <v>18.5</v>
      </c>
      <c r="AG554" s="18" t="s">
        <v>29</v>
      </c>
      <c r="AH554" s="18" t="s">
        <v>29</v>
      </c>
      <c r="AI554" s="18" t="str">
        <f>+VLOOKUP(AH554,Leyenda!$O$4:$U$10,6,FALSE)</f>
        <v>0,25-0,35</v>
      </c>
      <c r="AJ554" s="18" t="str">
        <f>+VLOOKUP(AG554,Leyenda!$O$4:$U$10,7,FALSE)</f>
        <v>No Blasting need</v>
      </c>
      <c r="AK554" s="18">
        <f>+VLOOKUP(AJ554,Leyenda!$U$4:$V$10,2,FALSE)</f>
        <v>2</v>
      </c>
      <c r="AL554" s="18" t="s">
        <v>34</v>
      </c>
      <c r="AM554" s="18" t="s">
        <v>34</v>
      </c>
      <c r="AN554" s="18" t="s">
        <v>66</v>
      </c>
      <c r="AO554" s="18" t="s">
        <v>81</v>
      </c>
      <c r="AP554" s="18" t="s">
        <v>96</v>
      </c>
      <c r="AQ554" s="18" t="s">
        <v>109</v>
      </c>
      <c r="AR554" s="18" t="s">
        <v>122</v>
      </c>
      <c r="AS554" s="18" t="s">
        <v>267</v>
      </c>
      <c r="AT554" s="18" t="s">
        <v>276</v>
      </c>
      <c r="AU554" s="18"/>
      <c r="AV554" s="18">
        <f>+VLOOKUP(AN554,Leyenda!$B$30:$E$34,3,FALSE)</f>
        <v>1</v>
      </c>
      <c r="AW554" s="36">
        <f>+VLOOKUP('2. Logging Brejo Seco'!AO554,Meteorizacion,3,FALSE)</f>
        <v>0</v>
      </c>
      <c r="AX554" s="36">
        <f>+VLOOKUP('2. Logging Brejo Seco'!AP554,Apertura,3,FALSE)</f>
        <v>1</v>
      </c>
      <c r="AY554" s="36">
        <f>+VLOOKUP('2. Logging Brejo Seco'!AQ554,Leyenda!$B$55:$D$59,3,FALSE)</f>
        <v>1</v>
      </c>
      <c r="AZ554" s="36">
        <f>+VLOOKUP('2. Logging Brejo Seco'!AR554,Relleno,3,FALSE)</f>
        <v>0</v>
      </c>
      <c r="BA554" s="36">
        <f t="shared" si="193"/>
        <v>3</v>
      </c>
      <c r="BB554" s="49">
        <f t="shared" si="194"/>
        <v>7</v>
      </c>
      <c r="BC554" s="49">
        <f>VLOOKUP(AH554,Leyenda!$B$4:$D$10,3,FALSE)</f>
        <v>2</v>
      </c>
      <c r="BD554" s="50">
        <f t="shared" si="181"/>
        <v>8</v>
      </c>
      <c r="BE554" s="49">
        <f t="shared" si="186"/>
        <v>3</v>
      </c>
      <c r="BF554" s="49">
        <f>VLOOKUP(AS554,Leyenda!$B$70:$D$75,3,FALSE)</f>
        <v>15</v>
      </c>
      <c r="BG554" s="67">
        <f t="shared" si="195"/>
        <v>21.5</v>
      </c>
      <c r="BH554" s="67">
        <f>VLOOKUP(AG554,Leyenda!$B$4:$E$10,4,FALSE)</f>
        <v>2</v>
      </c>
      <c r="BI554" s="67">
        <f t="shared" si="182"/>
        <v>10</v>
      </c>
      <c r="BJ554" s="67">
        <f t="shared" si="196"/>
        <v>7</v>
      </c>
      <c r="BK554" s="67">
        <f>+VLOOKUP('2. Logging Brejo Seco'!AP554,Leyenda!$B$47:$E$51,4,FALSE)</f>
        <v>1</v>
      </c>
      <c r="BL554" s="67">
        <f>+VLOOKUP('2. Logging Brejo Seco'!AQ554,Leyenda!$B$55:$E$59,4,FALSE)</f>
        <v>1</v>
      </c>
      <c r="BM554" s="67">
        <f>+VLOOKUP('2. Logging Brejo Seco'!AR554,Leyenda!$B$63:$E$67,3,FALSE)</f>
        <v>0</v>
      </c>
      <c r="BN554" s="67">
        <f>+VLOOKUP('2. Logging Brejo Seco'!AO554,Leyenda!$B$39:$E$43,4,FALSE)</f>
        <v>0</v>
      </c>
      <c r="BO554" s="67">
        <f>+VLOOKUP('2. Logging Brejo Seco'!AN554,Leyenda!$B$30:$E$34,4,FALSE)</f>
        <v>1</v>
      </c>
      <c r="BP554" s="67">
        <f>VLOOKUP(AS554,Leyenda!$B$71:$E$75,4,FALSE)</f>
        <v>10</v>
      </c>
      <c r="BQ554" s="125">
        <f t="shared" si="187"/>
        <v>32</v>
      </c>
      <c r="BR554" s="85">
        <f t="shared" si="188"/>
        <v>35</v>
      </c>
      <c r="BS554" s="240">
        <f t="shared" si="183"/>
        <v>0.26</v>
      </c>
      <c r="BT554" s="18" t="s">
        <v>712</v>
      </c>
    </row>
    <row r="555" spans="1:72" x14ac:dyDescent="0.25">
      <c r="A555" s="18" t="s">
        <v>6</v>
      </c>
      <c r="B555" s="18">
        <v>2024</v>
      </c>
      <c r="C555" s="18" t="s">
        <v>138</v>
      </c>
      <c r="D555" s="18" t="s">
        <v>266</v>
      </c>
      <c r="E555" s="18">
        <v>50</v>
      </c>
      <c r="F555" s="18">
        <v>50</v>
      </c>
      <c r="G555" s="18" t="s">
        <v>154</v>
      </c>
      <c r="H555" s="248">
        <f t="shared" si="190"/>
        <v>50</v>
      </c>
      <c r="I555" s="135"/>
      <c r="J555" s="18" t="s">
        <v>298</v>
      </c>
      <c r="K555" s="31">
        <f t="shared" si="179"/>
        <v>23.5</v>
      </c>
      <c r="L555" s="31">
        <f t="shared" si="180"/>
        <v>24</v>
      </c>
      <c r="M555" s="4">
        <f t="shared" si="189"/>
        <v>0.5</v>
      </c>
      <c r="N555" s="32">
        <v>0.6</v>
      </c>
      <c r="O555" s="5">
        <f t="shared" si="177"/>
        <v>0.4</v>
      </c>
      <c r="P555" s="31">
        <f t="shared" si="184"/>
        <v>0.3</v>
      </c>
      <c r="Q555" s="18">
        <f t="shared" si="185"/>
        <v>0.3</v>
      </c>
      <c r="R555" s="18">
        <v>15</v>
      </c>
      <c r="S555" s="18">
        <v>20</v>
      </c>
      <c r="T555" s="93">
        <v>0.26</v>
      </c>
      <c r="U555" s="18">
        <v>0.11</v>
      </c>
      <c r="V555" s="65">
        <f t="shared" si="191"/>
        <v>22</v>
      </c>
      <c r="W555" s="18">
        <v>4</v>
      </c>
      <c r="X555" s="18"/>
      <c r="Y555" s="18">
        <f t="shared" si="178"/>
        <v>4</v>
      </c>
      <c r="Z555" s="31">
        <f t="shared" si="192"/>
        <v>125</v>
      </c>
      <c r="AA555" s="18">
        <v>0</v>
      </c>
      <c r="AB555" s="18" t="s">
        <v>330</v>
      </c>
      <c r="AC555" s="18" t="s">
        <v>333</v>
      </c>
      <c r="AD555" s="18" t="s">
        <v>336</v>
      </c>
      <c r="AE555" s="18">
        <v>20</v>
      </c>
      <c r="AF555" s="18">
        <v>15</v>
      </c>
      <c r="AG555" s="18" t="s">
        <v>29</v>
      </c>
      <c r="AH555" s="18" t="s">
        <v>29</v>
      </c>
      <c r="AI555" s="18" t="str">
        <f>+VLOOKUP(AH555,Leyenda!$O$4:$U$10,6,FALSE)</f>
        <v>0,25-0,35</v>
      </c>
      <c r="AJ555" s="18" t="str">
        <f>+VLOOKUP(AG555,Leyenda!$O$4:$U$10,7,FALSE)</f>
        <v>No Blasting need</v>
      </c>
      <c r="AK555" s="18">
        <f>+VLOOKUP(AJ555,Leyenda!$U$4:$V$10,2,FALSE)</f>
        <v>2</v>
      </c>
      <c r="AL555" s="18" t="s">
        <v>32</v>
      </c>
      <c r="AM555" s="18" t="s">
        <v>32</v>
      </c>
      <c r="AN555" s="18" t="s">
        <v>64</v>
      </c>
      <c r="AO555" s="18" t="s">
        <v>79</v>
      </c>
      <c r="AP555" s="18" t="s">
        <v>96</v>
      </c>
      <c r="AQ555" s="18" t="s">
        <v>109</v>
      </c>
      <c r="AR555" s="18" t="s">
        <v>120</v>
      </c>
      <c r="AS555" s="18" t="s">
        <v>267</v>
      </c>
      <c r="AT555" s="18" t="s">
        <v>277</v>
      </c>
      <c r="AU555" s="18"/>
      <c r="AV555" s="18">
        <f>+VLOOKUP(AN555,Leyenda!$B$30:$E$34,3,FALSE)</f>
        <v>2</v>
      </c>
      <c r="AW555" s="36">
        <f>+VLOOKUP('2. Logging Brejo Seco'!AO555,Meteorizacion,3,FALSE)</f>
        <v>1</v>
      </c>
      <c r="AX555" s="36">
        <f>+VLOOKUP('2. Logging Brejo Seco'!AP555,Apertura,3,FALSE)</f>
        <v>1</v>
      </c>
      <c r="AY555" s="36">
        <f>+VLOOKUP('2. Logging Brejo Seco'!AQ555,Leyenda!$B$55:$D$59,3,FALSE)</f>
        <v>1</v>
      </c>
      <c r="AZ555" s="36">
        <f>+VLOOKUP('2. Logging Brejo Seco'!AR555,Relleno,3,FALSE)</f>
        <v>2</v>
      </c>
      <c r="BA555" s="36">
        <f t="shared" si="193"/>
        <v>7</v>
      </c>
      <c r="BB555" s="49">
        <f t="shared" si="194"/>
        <v>5</v>
      </c>
      <c r="BC555" s="49">
        <f>VLOOKUP(AH555,Leyenda!$B$4:$D$10,3,FALSE)</f>
        <v>2</v>
      </c>
      <c r="BD555" s="50">
        <f t="shared" si="181"/>
        <v>8</v>
      </c>
      <c r="BE555" s="49">
        <f t="shared" si="186"/>
        <v>7</v>
      </c>
      <c r="BF555" s="49">
        <f>VLOOKUP(AS555,Leyenda!$B$70:$D$75,3,FALSE)</f>
        <v>15</v>
      </c>
      <c r="BG555" s="67">
        <f t="shared" si="195"/>
        <v>21.5</v>
      </c>
      <c r="BH555" s="67">
        <f>VLOOKUP(AG555,Leyenda!$B$4:$E$10,4,FALSE)</f>
        <v>2</v>
      </c>
      <c r="BI555" s="67">
        <f t="shared" si="182"/>
        <v>10</v>
      </c>
      <c r="BJ555" s="67">
        <f t="shared" si="196"/>
        <v>5</v>
      </c>
      <c r="BK555" s="67">
        <f>+VLOOKUP('2. Logging Brejo Seco'!AP555,Leyenda!$B$47:$E$51,4,FALSE)</f>
        <v>1</v>
      </c>
      <c r="BL555" s="67">
        <f>+VLOOKUP('2. Logging Brejo Seco'!AQ555,Leyenda!$B$55:$E$59,4,FALSE)</f>
        <v>1</v>
      </c>
      <c r="BM555" s="67">
        <f>+VLOOKUP('2. Logging Brejo Seco'!AR555,Leyenda!$B$63:$E$67,3,FALSE)</f>
        <v>2</v>
      </c>
      <c r="BN555" s="67">
        <f>+VLOOKUP('2. Logging Brejo Seco'!AO555,Leyenda!$B$39:$E$43,4,FALSE)</f>
        <v>1</v>
      </c>
      <c r="BO555" s="67">
        <f>+VLOOKUP('2. Logging Brejo Seco'!AN555,Leyenda!$B$30:$E$34,4,FALSE)</f>
        <v>3</v>
      </c>
      <c r="BP555" s="67">
        <f>VLOOKUP(AS555,Leyenda!$B$71:$E$75,4,FALSE)</f>
        <v>10</v>
      </c>
      <c r="BQ555" s="125">
        <f t="shared" si="187"/>
        <v>35</v>
      </c>
      <c r="BR555" s="85">
        <f t="shared" si="188"/>
        <v>37</v>
      </c>
      <c r="BS555" s="240">
        <f t="shared" si="183"/>
        <v>0.4</v>
      </c>
      <c r="BT555" s="18"/>
    </row>
    <row r="556" spans="1:72" x14ac:dyDescent="0.25">
      <c r="A556" s="18" t="s">
        <v>6</v>
      </c>
      <c r="B556" s="18">
        <v>2024</v>
      </c>
      <c r="C556" s="18" t="s">
        <v>138</v>
      </c>
      <c r="D556" s="18" t="s">
        <v>266</v>
      </c>
      <c r="E556" s="18">
        <v>50</v>
      </c>
      <c r="F556" s="18">
        <v>50</v>
      </c>
      <c r="G556" s="18" t="s">
        <v>154</v>
      </c>
      <c r="H556" s="248">
        <f t="shared" si="190"/>
        <v>50</v>
      </c>
      <c r="I556" s="135"/>
      <c r="J556" s="18" t="s">
        <v>298</v>
      </c>
      <c r="K556" s="31">
        <f t="shared" si="179"/>
        <v>24</v>
      </c>
      <c r="L556" s="31">
        <f t="shared" si="180"/>
        <v>24.5</v>
      </c>
      <c r="M556" s="4">
        <f t="shared" si="189"/>
        <v>0.5</v>
      </c>
      <c r="N556" s="32">
        <v>0.7</v>
      </c>
      <c r="O556" s="5">
        <f t="shared" si="177"/>
        <v>0.30000000000000004</v>
      </c>
      <c r="P556" s="31">
        <f t="shared" si="184"/>
        <v>0.35</v>
      </c>
      <c r="Q556" s="18">
        <f t="shared" si="185"/>
        <v>0.35</v>
      </c>
      <c r="R556" s="18">
        <v>17.5</v>
      </c>
      <c r="S556" s="18">
        <v>20</v>
      </c>
      <c r="T556" s="18">
        <v>0.36</v>
      </c>
      <c r="U556" s="18">
        <v>0.33</v>
      </c>
      <c r="V556" s="65">
        <f t="shared" si="191"/>
        <v>66</v>
      </c>
      <c r="W556" s="18">
        <v>2</v>
      </c>
      <c r="X556" s="18"/>
      <c r="Y556" s="18">
        <v>5</v>
      </c>
      <c r="Z556" s="31">
        <f t="shared" si="192"/>
        <v>100</v>
      </c>
      <c r="AA556" s="18">
        <v>0</v>
      </c>
      <c r="AB556" s="18" t="s">
        <v>330</v>
      </c>
      <c r="AC556" s="18" t="s">
        <v>333</v>
      </c>
      <c r="AD556" s="18" t="s">
        <v>336</v>
      </c>
      <c r="AE556" s="18">
        <v>20</v>
      </c>
      <c r="AF556" s="18">
        <v>17.5</v>
      </c>
      <c r="AG556" s="18" t="s">
        <v>32</v>
      </c>
      <c r="AH556" s="18" t="s">
        <v>32</v>
      </c>
      <c r="AI556" s="18" t="str">
        <f>+VLOOKUP(AH556,Leyenda!$O$4:$U$10,6,FALSE)</f>
        <v>0,15-0,25</v>
      </c>
      <c r="AJ556" s="18" t="str">
        <f>+VLOOKUP(AG556,Leyenda!$O$4:$U$10,7,FALSE)</f>
        <v>No Blasting need</v>
      </c>
      <c r="AK556" s="18">
        <f>+VLOOKUP(AJ556,Leyenda!$U$4:$V$10,2,FALSE)</f>
        <v>2</v>
      </c>
      <c r="AL556" s="18" t="s">
        <v>34</v>
      </c>
      <c r="AM556" s="18" t="s">
        <v>34</v>
      </c>
      <c r="AN556" s="18" t="s">
        <v>66</v>
      </c>
      <c r="AO556" s="18" t="s">
        <v>81</v>
      </c>
      <c r="AP556" s="18" t="s">
        <v>100</v>
      </c>
      <c r="AQ556" s="18" t="s">
        <v>107</v>
      </c>
      <c r="AR556" s="18" t="s">
        <v>120</v>
      </c>
      <c r="AS556" s="18" t="s">
        <v>267</v>
      </c>
      <c r="AT556" s="18" t="s">
        <v>275</v>
      </c>
      <c r="AU556" s="18"/>
      <c r="AV556" s="18">
        <f>+VLOOKUP(AN556,Leyenda!$B$30:$E$34,3,FALSE)</f>
        <v>1</v>
      </c>
      <c r="AW556" s="36">
        <f>+VLOOKUP('2. Logging Brejo Seco'!AO556,Meteorizacion,3,FALSE)</f>
        <v>0</v>
      </c>
      <c r="AX556" s="36">
        <f>+VLOOKUP('2. Logging Brejo Seco'!AP556,Apertura,3,FALSE)</f>
        <v>0</v>
      </c>
      <c r="AY556" s="36">
        <f>+VLOOKUP('2. Logging Brejo Seco'!AQ556,Leyenda!$B$55:$D$59,3,FALSE)</f>
        <v>3</v>
      </c>
      <c r="AZ556" s="36">
        <f>+VLOOKUP('2. Logging Brejo Seco'!AR556,Relleno,3,FALSE)</f>
        <v>2</v>
      </c>
      <c r="BA556" s="36">
        <f t="shared" si="193"/>
        <v>6</v>
      </c>
      <c r="BB556" s="49">
        <f t="shared" si="194"/>
        <v>14</v>
      </c>
      <c r="BC556" s="49">
        <f>VLOOKUP(AH556,Leyenda!$B$4:$D$10,3,FALSE)</f>
        <v>1</v>
      </c>
      <c r="BD556" s="50">
        <f t="shared" si="181"/>
        <v>7</v>
      </c>
      <c r="BE556" s="49">
        <f t="shared" si="186"/>
        <v>6</v>
      </c>
      <c r="BF556" s="49">
        <f>VLOOKUP(AS556,Leyenda!$B$70:$D$75,3,FALSE)</f>
        <v>15</v>
      </c>
      <c r="BG556" s="67">
        <f t="shared" si="195"/>
        <v>42</v>
      </c>
      <c r="BH556" s="67">
        <f>VLOOKUP(AG556,Leyenda!$B$4:$E$10,4,FALSE)</f>
        <v>1</v>
      </c>
      <c r="BI556" s="67">
        <f t="shared" si="182"/>
        <v>8</v>
      </c>
      <c r="BJ556" s="67">
        <f t="shared" si="196"/>
        <v>14</v>
      </c>
      <c r="BK556" s="67">
        <f>+VLOOKUP('2. Logging Brejo Seco'!AP556,Leyenda!$B$47:$E$51,4,FALSE)</f>
        <v>0</v>
      </c>
      <c r="BL556" s="67">
        <f>+VLOOKUP('2. Logging Brejo Seco'!AQ556,Leyenda!$B$55:$E$59,4,FALSE)</f>
        <v>3</v>
      </c>
      <c r="BM556" s="67">
        <f>+VLOOKUP('2. Logging Brejo Seco'!AR556,Leyenda!$B$63:$E$67,3,FALSE)</f>
        <v>2</v>
      </c>
      <c r="BN556" s="67">
        <f>+VLOOKUP('2. Logging Brejo Seco'!AO556,Leyenda!$B$39:$E$43,4,FALSE)</f>
        <v>0</v>
      </c>
      <c r="BO556" s="67">
        <f>+VLOOKUP('2. Logging Brejo Seco'!AN556,Leyenda!$B$30:$E$34,4,FALSE)</f>
        <v>1</v>
      </c>
      <c r="BP556" s="67">
        <f>VLOOKUP(AS556,Leyenda!$B$71:$E$75,4,FALSE)</f>
        <v>10</v>
      </c>
      <c r="BQ556" s="125">
        <f t="shared" si="187"/>
        <v>39</v>
      </c>
      <c r="BR556" s="85">
        <f t="shared" si="188"/>
        <v>43</v>
      </c>
      <c r="BS556" s="240">
        <f t="shared" si="183"/>
        <v>0.30000000000000004</v>
      </c>
      <c r="BT556" s="18"/>
    </row>
    <row r="557" spans="1:72" x14ac:dyDescent="0.25">
      <c r="A557" s="18" t="s">
        <v>6</v>
      </c>
      <c r="B557" s="18">
        <v>2024</v>
      </c>
      <c r="C557" s="18" t="s">
        <v>138</v>
      </c>
      <c r="D557" s="18" t="s">
        <v>266</v>
      </c>
      <c r="E557" s="18">
        <v>50</v>
      </c>
      <c r="F557" s="18">
        <v>50</v>
      </c>
      <c r="G557" s="18" t="s">
        <v>154</v>
      </c>
      <c r="H557" s="248">
        <f t="shared" si="190"/>
        <v>50</v>
      </c>
      <c r="I557" s="135"/>
      <c r="J557" s="18" t="s">
        <v>298</v>
      </c>
      <c r="K557" s="31">
        <f t="shared" si="179"/>
        <v>24.5</v>
      </c>
      <c r="L557" s="31">
        <f t="shared" si="180"/>
        <v>25</v>
      </c>
      <c r="M557" s="4">
        <f t="shared" si="189"/>
        <v>0.5</v>
      </c>
      <c r="N557" s="32">
        <v>0.88</v>
      </c>
      <c r="O557" s="5">
        <f t="shared" si="177"/>
        <v>0.12</v>
      </c>
      <c r="P557" s="31">
        <f t="shared" si="184"/>
        <v>0.44</v>
      </c>
      <c r="Q557" s="18">
        <f t="shared" si="185"/>
        <v>0.44</v>
      </c>
      <c r="R557" s="18">
        <v>22</v>
      </c>
      <c r="S557" s="18">
        <v>20</v>
      </c>
      <c r="T557" s="18">
        <f>0.13+0.24</f>
        <v>0.37</v>
      </c>
      <c r="U557" s="18">
        <v>0.1</v>
      </c>
      <c r="V557" s="65">
        <f t="shared" si="191"/>
        <v>20</v>
      </c>
      <c r="W557" s="18">
        <v>4</v>
      </c>
      <c r="X557" s="18"/>
      <c r="Y557" s="18">
        <f t="shared" si="178"/>
        <v>4</v>
      </c>
      <c r="Z557" s="31">
        <f t="shared" si="192"/>
        <v>125</v>
      </c>
      <c r="AA557" s="18">
        <v>0</v>
      </c>
      <c r="AB557" s="18" t="s">
        <v>330</v>
      </c>
      <c r="AC557" s="18" t="s">
        <v>333</v>
      </c>
      <c r="AD557" s="18" t="s">
        <v>336</v>
      </c>
      <c r="AE557" s="18">
        <v>20</v>
      </c>
      <c r="AF557" s="18">
        <v>22</v>
      </c>
      <c r="AG557" s="18" t="s">
        <v>32</v>
      </c>
      <c r="AH557" s="18" t="s">
        <v>32</v>
      </c>
      <c r="AI557" s="18" t="str">
        <f>+VLOOKUP(AH557,Leyenda!$O$4:$U$10,6,FALSE)</f>
        <v>0,15-0,25</v>
      </c>
      <c r="AJ557" s="18" t="str">
        <f>+VLOOKUP(AG557,Leyenda!$O$4:$U$10,7,FALSE)</f>
        <v>No Blasting need</v>
      </c>
      <c r="AK557" s="18">
        <f>+VLOOKUP(AJ557,Leyenda!$U$4:$V$10,2,FALSE)</f>
        <v>2</v>
      </c>
      <c r="AL557" s="18" t="s">
        <v>34</v>
      </c>
      <c r="AM557" s="18" t="s">
        <v>34</v>
      </c>
      <c r="AN557" s="18" t="s">
        <v>66</v>
      </c>
      <c r="AO557" s="18" t="s">
        <v>81</v>
      </c>
      <c r="AP557" s="18" t="s">
        <v>96</v>
      </c>
      <c r="AQ557" s="18" t="s">
        <v>109</v>
      </c>
      <c r="AR557" s="18" t="s">
        <v>120</v>
      </c>
      <c r="AS557" s="18" t="s">
        <v>267</v>
      </c>
      <c r="AT557" s="18" t="s">
        <v>278</v>
      </c>
      <c r="AU557" s="18"/>
      <c r="AV557" s="18">
        <f>+VLOOKUP(AN557,Leyenda!$B$30:$E$34,3,FALSE)</f>
        <v>1</v>
      </c>
      <c r="AW557" s="36">
        <f>+VLOOKUP('2. Logging Brejo Seco'!AO557,Meteorizacion,3,FALSE)</f>
        <v>0</v>
      </c>
      <c r="AX557" s="36">
        <f>+VLOOKUP('2. Logging Brejo Seco'!AP557,Apertura,3,FALSE)</f>
        <v>1</v>
      </c>
      <c r="AY557" s="36">
        <f>+VLOOKUP('2. Logging Brejo Seco'!AQ557,Leyenda!$B$55:$D$59,3,FALSE)</f>
        <v>1</v>
      </c>
      <c r="AZ557" s="36">
        <f>+VLOOKUP('2. Logging Brejo Seco'!AR557,Relleno,3,FALSE)</f>
        <v>2</v>
      </c>
      <c r="BA557" s="36">
        <f t="shared" si="193"/>
        <v>5</v>
      </c>
      <c r="BB557" s="49">
        <f t="shared" ref="BB557:BB587" si="197">ROUND(-0.0002*POWER(V557,2)+0.2197*V557,0)</f>
        <v>4</v>
      </c>
      <c r="BC557" s="49">
        <f>VLOOKUP(AH557,Leyenda!$B$4:$D$10,3,FALSE)</f>
        <v>1</v>
      </c>
      <c r="BD557" s="50">
        <f t="shared" si="181"/>
        <v>8</v>
      </c>
      <c r="BE557" s="49">
        <f t="shared" si="186"/>
        <v>5</v>
      </c>
      <c r="BF557" s="49">
        <f>VLOOKUP(AS557,Leyenda!$B$70:$D$75,3,FALSE)</f>
        <v>15</v>
      </c>
      <c r="BG557" s="67">
        <f t="shared" ref="BG557:BG587" si="198">1.5*BA557+(V557*0.5)</f>
        <v>17.5</v>
      </c>
      <c r="BH557" s="67">
        <f>VLOOKUP(AG557,Leyenda!$B$4:$E$10,4,FALSE)</f>
        <v>1</v>
      </c>
      <c r="BI557" s="67">
        <f t="shared" si="182"/>
        <v>10</v>
      </c>
      <c r="BJ557" s="67">
        <f t="shared" ref="BJ557:BJ587" si="199">ROUND(-0.0002*POWER(V557,2)+0.2197*V557,0)</f>
        <v>4</v>
      </c>
      <c r="BK557" s="67">
        <f>+VLOOKUP('2. Logging Brejo Seco'!AP557,Leyenda!$B$47:$E$51,4,FALSE)</f>
        <v>1</v>
      </c>
      <c r="BL557" s="67">
        <f>+VLOOKUP('2. Logging Brejo Seco'!AQ557,Leyenda!$B$55:$E$59,4,FALSE)</f>
        <v>1</v>
      </c>
      <c r="BM557" s="67">
        <f>+VLOOKUP('2. Logging Brejo Seco'!AR557,Leyenda!$B$63:$E$67,3,FALSE)</f>
        <v>2</v>
      </c>
      <c r="BN557" s="67">
        <f>+VLOOKUP('2. Logging Brejo Seco'!AO557,Leyenda!$B$39:$E$43,4,FALSE)</f>
        <v>0</v>
      </c>
      <c r="BO557" s="67">
        <f>+VLOOKUP('2. Logging Brejo Seco'!AN557,Leyenda!$B$30:$E$34,4,FALSE)</f>
        <v>1</v>
      </c>
      <c r="BP557" s="67">
        <f>VLOOKUP(AS557,Leyenda!$B$71:$E$75,4,FALSE)</f>
        <v>10</v>
      </c>
      <c r="BQ557" s="125">
        <f t="shared" si="187"/>
        <v>30</v>
      </c>
      <c r="BR557" s="85">
        <f t="shared" si="188"/>
        <v>33</v>
      </c>
      <c r="BS557" s="240">
        <f t="shared" si="183"/>
        <v>0.12</v>
      </c>
      <c r="BT557" s="18"/>
    </row>
    <row r="558" spans="1:72" x14ac:dyDescent="0.25">
      <c r="A558" s="18" t="s">
        <v>6</v>
      </c>
      <c r="B558" s="18">
        <v>2024</v>
      </c>
      <c r="C558" s="18" t="s">
        <v>138</v>
      </c>
      <c r="D558" s="18" t="s">
        <v>266</v>
      </c>
      <c r="E558" s="18">
        <v>50</v>
      </c>
      <c r="F558" s="18">
        <v>50</v>
      </c>
      <c r="G558" s="18" t="s">
        <v>154</v>
      </c>
      <c r="H558" s="248">
        <f t="shared" si="190"/>
        <v>50</v>
      </c>
      <c r="I558" s="135"/>
      <c r="J558" s="18" t="s">
        <v>298</v>
      </c>
      <c r="K558" s="31">
        <f t="shared" si="179"/>
        <v>25</v>
      </c>
      <c r="L558" s="31">
        <f t="shared" si="180"/>
        <v>25.5</v>
      </c>
      <c r="M558" s="4">
        <f t="shared" si="189"/>
        <v>0.5</v>
      </c>
      <c r="N558" s="32">
        <v>0.81</v>
      </c>
      <c r="O558" s="5">
        <f t="shared" si="177"/>
        <v>0.18999999999999995</v>
      </c>
      <c r="P558" s="31">
        <f t="shared" si="184"/>
        <v>0.40500000000000003</v>
      </c>
      <c r="Q558" s="18">
        <f t="shared" si="185"/>
        <v>0.40500000000000003</v>
      </c>
      <c r="R558" s="18">
        <v>20.25</v>
      </c>
      <c r="S558" s="18">
        <v>20</v>
      </c>
      <c r="T558" s="18">
        <v>0.39</v>
      </c>
      <c r="U558" s="18">
        <v>0.21</v>
      </c>
      <c r="V558" s="65">
        <f t="shared" si="191"/>
        <v>42</v>
      </c>
      <c r="W558" s="18">
        <v>4</v>
      </c>
      <c r="X558" s="18"/>
      <c r="Y558" s="18">
        <f t="shared" si="178"/>
        <v>4</v>
      </c>
      <c r="Z558" s="31">
        <f t="shared" si="192"/>
        <v>125</v>
      </c>
      <c r="AA558" s="18">
        <v>0</v>
      </c>
      <c r="AB558" s="18" t="s">
        <v>330</v>
      </c>
      <c r="AC558" s="18" t="s">
        <v>333</v>
      </c>
      <c r="AD558" s="18" t="s">
        <v>336</v>
      </c>
      <c r="AE558" s="18">
        <v>20</v>
      </c>
      <c r="AF558" s="18">
        <v>20.25</v>
      </c>
      <c r="AG558" s="18" t="s">
        <v>32</v>
      </c>
      <c r="AH558" s="18" t="s">
        <v>32</v>
      </c>
      <c r="AI558" s="18" t="str">
        <f>+VLOOKUP(AH558,Leyenda!$O$4:$U$10,6,FALSE)</f>
        <v>0,15-0,25</v>
      </c>
      <c r="AJ558" s="18" t="str">
        <f>+VLOOKUP(AG558,Leyenda!$O$4:$U$10,7,FALSE)</f>
        <v>No Blasting need</v>
      </c>
      <c r="AK558" s="18">
        <f>+VLOOKUP(AJ558,Leyenda!$U$4:$V$10,2,FALSE)</f>
        <v>2</v>
      </c>
      <c r="AL558" s="18" t="s">
        <v>34</v>
      </c>
      <c r="AM558" s="18" t="s">
        <v>34</v>
      </c>
      <c r="AN558" s="18" t="s">
        <v>66</v>
      </c>
      <c r="AO558" s="18" t="s">
        <v>81</v>
      </c>
      <c r="AP558" s="18" t="s">
        <v>96</v>
      </c>
      <c r="AQ558" s="18" t="s">
        <v>109</v>
      </c>
      <c r="AR558" s="18" t="s">
        <v>120</v>
      </c>
      <c r="AS558" s="18" t="s">
        <v>267</v>
      </c>
      <c r="AT558" s="18" t="s">
        <v>279</v>
      </c>
      <c r="AU558" s="18"/>
      <c r="AV558" s="18">
        <f>+VLOOKUP(AN558,Leyenda!$B$30:$E$34,3,FALSE)</f>
        <v>1</v>
      </c>
      <c r="AW558" s="36">
        <f>+VLOOKUP('2. Logging Brejo Seco'!AO558,Meteorizacion,3,FALSE)</f>
        <v>0</v>
      </c>
      <c r="AX558" s="36">
        <f>+VLOOKUP('2. Logging Brejo Seco'!AP558,Apertura,3,FALSE)</f>
        <v>1</v>
      </c>
      <c r="AY558" s="36">
        <f>+VLOOKUP('2. Logging Brejo Seco'!AQ558,Leyenda!$B$55:$D$59,3,FALSE)</f>
        <v>1</v>
      </c>
      <c r="AZ558" s="36">
        <f>+VLOOKUP('2. Logging Brejo Seco'!AR558,Relleno,3,FALSE)</f>
        <v>2</v>
      </c>
      <c r="BA558" s="36">
        <f t="shared" si="193"/>
        <v>5</v>
      </c>
      <c r="BB558" s="49">
        <f t="shared" si="197"/>
        <v>9</v>
      </c>
      <c r="BC558" s="49">
        <f>VLOOKUP(AH558,Leyenda!$B$4:$D$10,3,FALSE)</f>
        <v>1</v>
      </c>
      <c r="BD558" s="50">
        <f t="shared" si="181"/>
        <v>8</v>
      </c>
      <c r="BE558" s="49">
        <f t="shared" si="186"/>
        <v>5</v>
      </c>
      <c r="BF558" s="49">
        <f>VLOOKUP(AS558,Leyenda!$B$70:$D$75,3,FALSE)</f>
        <v>15</v>
      </c>
      <c r="BG558" s="67">
        <f t="shared" si="198"/>
        <v>28.5</v>
      </c>
      <c r="BH558" s="67">
        <f>VLOOKUP(AG558,Leyenda!$B$4:$E$10,4,FALSE)</f>
        <v>1</v>
      </c>
      <c r="BI558" s="67">
        <f t="shared" si="182"/>
        <v>10</v>
      </c>
      <c r="BJ558" s="67">
        <f t="shared" si="199"/>
        <v>9</v>
      </c>
      <c r="BK558" s="67">
        <f>+VLOOKUP('2. Logging Brejo Seco'!AP558,Leyenda!$B$47:$E$51,4,FALSE)</f>
        <v>1</v>
      </c>
      <c r="BL558" s="67">
        <f>+VLOOKUP('2. Logging Brejo Seco'!AQ558,Leyenda!$B$55:$E$59,4,FALSE)</f>
        <v>1</v>
      </c>
      <c r="BM558" s="67">
        <f>+VLOOKUP('2. Logging Brejo Seco'!AR558,Leyenda!$B$63:$E$67,3,FALSE)</f>
        <v>2</v>
      </c>
      <c r="BN558" s="67">
        <f>+VLOOKUP('2. Logging Brejo Seco'!AO558,Leyenda!$B$39:$E$43,4,FALSE)</f>
        <v>0</v>
      </c>
      <c r="BO558" s="67">
        <f>+VLOOKUP('2. Logging Brejo Seco'!AN558,Leyenda!$B$30:$E$34,4,FALSE)</f>
        <v>1</v>
      </c>
      <c r="BP558" s="67">
        <f>VLOOKUP(AS558,Leyenda!$B$71:$E$75,4,FALSE)</f>
        <v>10</v>
      </c>
      <c r="BQ558" s="125">
        <f t="shared" si="187"/>
        <v>35</v>
      </c>
      <c r="BR558" s="85">
        <f t="shared" si="188"/>
        <v>38</v>
      </c>
      <c r="BS558" s="240">
        <f t="shared" si="183"/>
        <v>0.18999999999999995</v>
      </c>
      <c r="BT558" s="18"/>
    </row>
    <row r="559" spans="1:72" x14ac:dyDescent="0.25">
      <c r="A559" s="18" t="s">
        <v>6</v>
      </c>
      <c r="B559" s="18">
        <v>2024</v>
      </c>
      <c r="C559" s="18" t="s">
        <v>138</v>
      </c>
      <c r="D559" s="18" t="s">
        <v>266</v>
      </c>
      <c r="E559" s="18">
        <v>50</v>
      </c>
      <c r="F559" s="18">
        <v>50</v>
      </c>
      <c r="G559" s="18" t="s">
        <v>154</v>
      </c>
      <c r="H559" s="248">
        <f t="shared" si="190"/>
        <v>50</v>
      </c>
      <c r="I559" s="135"/>
      <c r="J559" s="18" t="s">
        <v>298</v>
      </c>
      <c r="K559" s="31">
        <f t="shared" si="179"/>
        <v>25.5</v>
      </c>
      <c r="L559" s="31">
        <f t="shared" si="180"/>
        <v>26</v>
      </c>
      <c r="M559" s="4">
        <f t="shared" si="189"/>
        <v>0.5</v>
      </c>
      <c r="N559" s="32">
        <v>0.94</v>
      </c>
      <c r="O559" s="5">
        <f t="shared" si="177"/>
        <v>6.0000000000000053E-2</v>
      </c>
      <c r="P559" s="31">
        <f t="shared" si="184"/>
        <v>0.47</v>
      </c>
      <c r="Q559" s="18">
        <f t="shared" si="185"/>
        <v>0.47</v>
      </c>
      <c r="R559" s="18">
        <v>23.5</v>
      </c>
      <c r="S559" s="18">
        <v>20</v>
      </c>
      <c r="T559" s="18">
        <v>0.38</v>
      </c>
      <c r="U559" s="18">
        <v>0.12</v>
      </c>
      <c r="V559" s="65">
        <f t="shared" si="191"/>
        <v>24</v>
      </c>
      <c r="W559" s="18">
        <v>6</v>
      </c>
      <c r="X559" s="18"/>
      <c r="Y559" s="18">
        <f t="shared" si="178"/>
        <v>6</v>
      </c>
      <c r="Z559" s="31">
        <f t="shared" si="192"/>
        <v>83.333333333333329</v>
      </c>
      <c r="AA559" s="18">
        <v>0</v>
      </c>
      <c r="AB559" s="18" t="s">
        <v>330</v>
      </c>
      <c r="AC559" s="18" t="s">
        <v>333</v>
      </c>
      <c r="AD559" s="18" t="s">
        <v>336</v>
      </c>
      <c r="AE559" s="18">
        <v>20</v>
      </c>
      <c r="AF559" s="18">
        <v>23.5</v>
      </c>
      <c r="AG559" s="18" t="s">
        <v>32</v>
      </c>
      <c r="AH559" s="18" t="s">
        <v>32</v>
      </c>
      <c r="AI559" s="18" t="str">
        <f>+VLOOKUP(AH559,Leyenda!$O$4:$U$10,6,FALSE)</f>
        <v>0,15-0,25</v>
      </c>
      <c r="AJ559" s="18" t="str">
        <f>+VLOOKUP(AG559,Leyenda!$O$4:$U$10,7,FALSE)</f>
        <v>No Blasting need</v>
      </c>
      <c r="AK559" s="18">
        <f>+VLOOKUP(AJ559,Leyenda!$U$4:$V$10,2,FALSE)</f>
        <v>2</v>
      </c>
      <c r="AL559" s="18" t="s">
        <v>34</v>
      </c>
      <c r="AM559" s="18" t="s">
        <v>34</v>
      </c>
      <c r="AN559" s="18" t="s">
        <v>69</v>
      </c>
      <c r="AO559" s="18" t="s">
        <v>81</v>
      </c>
      <c r="AP559" s="18" t="s">
        <v>100</v>
      </c>
      <c r="AQ559" s="18" t="s">
        <v>109</v>
      </c>
      <c r="AR559" s="18" t="s">
        <v>122</v>
      </c>
      <c r="AS559" s="18" t="s">
        <v>267</v>
      </c>
      <c r="AT559" s="18" t="s">
        <v>280</v>
      </c>
      <c r="AU559" s="18"/>
      <c r="AV559" s="18">
        <f>+VLOOKUP(AN559,Leyenda!$B$30:$E$34,3,FALSE)</f>
        <v>0</v>
      </c>
      <c r="AW559" s="36">
        <f>+VLOOKUP('2. Logging Brejo Seco'!AO559,Meteorizacion,3,FALSE)</f>
        <v>0</v>
      </c>
      <c r="AX559" s="36">
        <f>+VLOOKUP('2. Logging Brejo Seco'!AP559,Apertura,3,FALSE)</f>
        <v>0</v>
      </c>
      <c r="AY559" s="36">
        <f>+VLOOKUP('2. Logging Brejo Seco'!AQ559,Leyenda!$B$55:$D$59,3,FALSE)</f>
        <v>1</v>
      </c>
      <c r="AZ559" s="36">
        <f>+VLOOKUP('2. Logging Brejo Seco'!AR559,Relleno,3,FALSE)</f>
        <v>0</v>
      </c>
      <c r="BA559" s="36">
        <f t="shared" si="193"/>
        <v>1</v>
      </c>
      <c r="BB559" s="49">
        <f t="shared" si="197"/>
        <v>5</v>
      </c>
      <c r="BC559" s="49">
        <f>VLOOKUP(AH559,Leyenda!$B$4:$D$10,3,FALSE)</f>
        <v>1</v>
      </c>
      <c r="BD559" s="50">
        <f t="shared" si="181"/>
        <v>7</v>
      </c>
      <c r="BE559" s="49">
        <f t="shared" si="186"/>
        <v>1</v>
      </c>
      <c r="BF559" s="49">
        <f>VLOOKUP(AS559,Leyenda!$B$70:$D$75,3,FALSE)</f>
        <v>15</v>
      </c>
      <c r="BG559" s="67">
        <f t="shared" si="198"/>
        <v>13.5</v>
      </c>
      <c r="BH559" s="67">
        <f>VLOOKUP(AG559,Leyenda!$B$4:$E$10,4,FALSE)</f>
        <v>1</v>
      </c>
      <c r="BI559" s="67">
        <f t="shared" si="182"/>
        <v>7</v>
      </c>
      <c r="BJ559" s="67">
        <f t="shared" si="199"/>
        <v>5</v>
      </c>
      <c r="BK559" s="67">
        <f>+VLOOKUP('2. Logging Brejo Seco'!AP559,Leyenda!$B$47:$E$51,4,FALSE)</f>
        <v>0</v>
      </c>
      <c r="BL559" s="67">
        <f>+VLOOKUP('2. Logging Brejo Seco'!AQ559,Leyenda!$B$55:$E$59,4,FALSE)</f>
        <v>1</v>
      </c>
      <c r="BM559" s="67">
        <f>+VLOOKUP('2. Logging Brejo Seco'!AR559,Leyenda!$B$63:$E$67,3,FALSE)</f>
        <v>0</v>
      </c>
      <c r="BN559" s="67">
        <f>+VLOOKUP('2. Logging Brejo Seco'!AO559,Leyenda!$B$39:$E$43,4,FALSE)</f>
        <v>0</v>
      </c>
      <c r="BO559" s="67">
        <f>+VLOOKUP('2. Logging Brejo Seco'!AN559,Leyenda!$B$30:$E$34,4,FALSE)</f>
        <v>0</v>
      </c>
      <c r="BP559" s="67">
        <f>VLOOKUP(AS559,Leyenda!$B$71:$E$75,4,FALSE)</f>
        <v>10</v>
      </c>
      <c r="BQ559" s="125">
        <f t="shared" si="187"/>
        <v>24</v>
      </c>
      <c r="BR559" s="85">
        <f t="shared" si="188"/>
        <v>29</v>
      </c>
      <c r="BS559" s="240">
        <f t="shared" si="183"/>
        <v>6.0000000000000053E-2</v>
      </c>
      <c r="BT559" s="18"/>
    </row>
    <row r="560" spans="1:72" x14ac:dyDescent="0.25">
      <c r="A560" s="18" t="s">
        <v>6</v>
      </c>
      <c r="B560" s="18">
        <v>2024</v>
      </c>
      <c r="C560" s="18" t="s">
        <v>138</v>
      </c>
      <c r="D560" s="18" t="s">
        <v>266</v>
      </c>
      <c r="E560" s="18">
        <v>40</v>
      </c>
      <c r="F560" s="18">
        <v>40</v>
      </c>
      <c r="G560" s="18" t="s">
        <v>153</v>
      </c>
      <c r="H560" s="248">
        <f t="shared" si="190"/>
        <v>40</v>
      </c>
      <c r="I560" s="135"/>
      <c r="J560" s="18" t="s">
        <v>298</v>
      </c>
      <c r="K560" s="31">
        <f t="shared" si="179"/>
        <v>26</v>
      </c>
      <c r="L560" s="31">
        <f t="shared" si="180"/>
        <v>26.5</v>
      </c>
      <c r="M560" s="4">
        <f t="shared" si="189"/>
        <v>0.5</v>
      </c>
      <c r="N560" s="32">
        <v>0.4</v>
      </c>
      <c r="O560" s="5">
        <f t="shared" si="177"/>
        <v>0.6</v>
      </c>
      <c r="P560" s="31">
        <f>+M560*N560</f>
        <v>0.2</v>
      </c>
      <c r="Q560" s="18">
        <f t="shared" si="185"/>
        <v>0.2</v>
      </c>
      <c r="R560" s="18">
        <v>10</v>
      </c>
      <c r="S560" s="18">
        <v>20</v>
      </c>
      <c r="T560" s="18">
        <v>0.19</v>
      </c>
      <c r="U560" s="18">
        <v>0</v>
      </c>
      <c r="V560" s="65">
        <f t="shared" si="191"/>
        <v>0</v>
      </c>
      <c r="W560" s="18">
        <v>5</v>
      </c>
      <c r="X560" s="18"/>
      <c r="Y560" s="18">
        <f t="shared" si="178"/>
        <v>5</v>
      </c>
      <c r="Z560" s="31">
        <f t="shared" si="192"/>
        <v>100</v>
      </c>
      <c r="AA560" s="18">
        <v>0</v>
      </c>
      <c r="AB560" s="18" t="s">
        <v>330</v>
      </c>
      <c r="AC560" s="18" t="s">
        <v>333</v>
      </c>
      <c r="AD560" s="18" t="s">
        <v>336</v>
      </c>
      <c r="AE560" s="18">
        <v>20</v>
      </c>
      <c r="AF560" s="18">
        <v>10</v>
      </c>
      <c r="AG560" s="18" t="s">
        <v>32</v>
      </c>
      <c r="AH560" s="18" t="s">
        <v>32</v>
      </c>
      <c r="AI560" s="18" t="str">
        <f>+VLOOKUP(AH560,Leyenda!$O$4:$U$10,6,FALSE)</f>
        <v>0,15-0,25</v>
      </c>
      <c r="AJ560" s="18" t="str">
        <f>+VLOOKUP(AG560,Leyenda!$O$4:$U$10,7,FALSE)</f>
        <v>No Blasting need</v>
      </c>
      <c r="AK560" s="18">
        <f>+VLOOKUP(AJ560,Leyenda!$U$4:$V$10,2,FALSE)</f>
        <v>2</v>
      </c>
      <c r="AL560" s="18" t="s">
        <v>34</v>
      </c>
      <c r="AM560" s="18" t="s">
        <v>34</v>
      </c>
      <c r="AN560" s="18" t="s">
        <v>66</v>
      </c>
      <c r="AO560" s="18" t="s">
        <v>79</v>
      </c>
      <c r="AP560" s="18" t="s">
        <v>96</v>
      </c>
      <c r="AQ560" s="18" t="s">
        <v>109</v>
      </c>
      <c r="AR560" s="18" t="s">
        <v>120</v>
      </c>
      <c r="AS560" s="18" t="s">
        <v>247</v>
      </c>
      <c r="AT560" s="18"/>
      <c r="AU560" s="18"/>
      <c r="AV560" s="18">
        <f>+VLOOKUP(AN560,Leyenda!$B$30:$E$34,3,FALSE)</f>
        <v>1</v>
      </c>
      <c r="AW560" s="36">
        <f>+VLOOKUP('2. Logging Brejo Seco'!AO560,Meteorizacion,3,FALSE)</f>
        <v>1</v>
      </c>
      <c r="AX560" s="36">
        <f>+VLOOKUP('2. Logging Brejo Seco'!AP560,Apertura,3,FALSE)</f>
        <v>1</v>
      </c>
      <c r="AY560" s="36">
        <f>+VLOOKUP('2. Logging Brejo Seco'!AQ560,Leyenda!$B$55:$D$59,3,FALSE)</f>
        <v>1</v>
      </c>
      <c r="AZ560" s="36">
        <f>+VLOOKUP('2. Logging Brejo Seco'!AR560,Relleno,3,FALSE)</f>
        <v>2</v>
      </c>
      <c r="BA560" s="36">
        <f t="shared" si="193"/>
        <v>6</v>
      </c>
      <c r="BB560" s="49">
        <f t="shared" si="197"/>
        <v>0</v>
      </c>
      <c r="BC560" s="49">
        <f>VLOOKUP(AH560,Leyenda!$B$4:$D$10,3,FALSE)</f>
        <v>1</v>
      </c>
      <c r="BD560" s="50">
        <f t="shared" si="181"/>
        <v>7</v>
      </c>
      <c r="BE560" s="49">
        <f t="shared" si="186"/>
        <v>6</v>
      </c>
      <c r="BF560" s="49">
        <f>VLOOKUP(AS560,Leyenda!$B$70:$D$75,3,FALSE)</f>
        <v>10</v>
      </c>
      <c r="BG560" s="67">
        <f t="shared" si="198"/>
        <v>9</v>
      </c>
      <c r="BH560" s="67">
        <f>VLOOKUP(AG560,Leyenda!$B$4:$E$10,4,FALSE)</f>
        <v>1</v>
      </c>
      <c r="BI560" s="67">
        <f t="shared" si="182"/>
        <v>8</v>
      </c>
      <c r="BJ560" s="67">
        <f t="shared" si="199"/>
        <v>0</v>
      </c>
      <c r="BK560" s="67">
        <f>+VLOOKUP('2. Logging Brejo Seco'!AP560,Leyenda!$B$47:$E$51,4,FALSE)</f>
        <v>1</v>
      </c>
      <c r="BL560" s="67">
        <f>+VLOOKUP('2. Logging Brejo Seco'!AQ560,Leyenda!$B$55:$E$59,4,FALSE)</f>
        <v>1</v>
      </c>
      <c r="BM560" s="67">
        <f>+VLOOKUP('2. Logging Brejo Seco'!AR560,Leyenda!$B$63:$E$67,3,FALSE)</f>
        <v>2</v>
      </c>
      <c r="BN560" s="67">
        <f>+VLOOKUP('2. Logging Brejo Seco'!AO560,Leyenda!$B$39:$E$43,4,FALSE)</f>
        <v>1</v>
      </c>
      <c r="BO560" s="67">
        <f>+VLOOKUP('2. Logging Brejo Seco'!AN560,Leyenda!$B$30:$E$34,4,FALSE)</f>
        <v>1</v>
      </c>
      <c r="BP560" s="67">
        <f>VLOOKUP(AS560,Leyenda!$B$71:$E$75,4,FALSE)</f>
        <v>7</v>
      </c>
      <c r="BQ560" s="125">
        <f t="shared" si="187"/>
        <v>22</v>
      </c>
      <c r="BR560" s="85">
        <f t="shared" si="188"/>
        <v>24</v>
      </c>
      <c r="BS560" s="240">
        <f t="shared" si="183"/>
        <v>0.6</v>
      </c>
      <c r="BT560" s="18"/>
    </row>
    <row r="561" spans="1:72" x14ac:dyDescent="0.25">
      <c r="A561" s="18" t="s">
        <v>6</v>
      </c>
      <c r="B561" s="18">
        <v>2024</v>
      </c>
      <c r="C561" s="18" t="s">
        <v>138</v>
      </c>
      <c r="D561" s="18" t="s">
        <v>266</v>
      </c>
      <c r="E561" s="18">
        <v>40</v>
      </c>
      <c r="F561" s="18">
        <v>40</v>
      </c>
      <c r="G561" s="18" t="s">
        <v>153</v>
      </c>
      <c r="H561" s="248">
        <f t="shared" si="190"/>
        <v>40</v>
      </c>
      <c r="I561" s="135"/>
      <c r="J561" s="18" t="s">
        <v>298</v>
      </c>
      <c r="K561" s="31">
        <f t="shared" si="179"/>
        <v>26.5</v>
      </c>
      <c r="L561" s="31">
        <f t="shared" si="180"/>
        <v>27</v>
      </c>
      <c r="M561" s="4">
        <f t="shared" si="189"/>
        <v>0.5</v>
      </c>
      <c r="N561" s="32">
        <v>0.36</v>
      </c>
      <c r="O561" s="5">
        <f t="shared" si="177"/>
        <v>0.64</v>
      </c>
      <c r="P561" s="31">
        <f>+M561*N561</f>
        <v>0.18</v>
      </c>
      <c r="Q561" s="18">
        <f t="shared" si="185"/>
        <v>0.18</v>
      </c>
      <c r="R561" s="18">
        <v>9</v>
      </c>
      <c r="S561" s="18">
        <v>20</v>
      </c>
      <c r="T561" s="18">
        <v>0.16</v>
      </c>
      <c r="U561" s="18">
        <v>0.1</v>
      </c>
      <c r="V561" s="65">
        <f t="shared" si="191"/>
        <v>20</v>
      </c>
      <c r="W561" s="18">
        <v>5</v>
      </c>
      <c r="X561" s="18"/>
      <c r="Y561" s="18">
        <f t="shared" si="178"/>
        <v>5</v>
      </c>
      <c r="Z561" s="31">
        <f t="shared" si="192"/>
        <v>100</v>
      </c>
      <c r="AA561" s="18">
        <v>0</v>
      </c>
      <c r="AB561" s="18" t="s">
        <v>330</v>
      </c>
      <c r="AC561" s="18" t="s">
        <v>333</v>
      </c>
      <c r="AD561" s="18" t="s">
        <v>337</v>
      </c>
      <c r="AE561" s="18">
        <v>20</v>
      </c>
      <c r="AF561" s="18">
        <v>9</v>
      </c>
      <c r="AG561" s="18" t="s">
        <v>29</v>
      </c>
      <c r="AH561" s="18" t="s">
        <v>29</v>
      </c>
      <c r="AI561" s="18" t="str">
        <f>+VLOOKUP(AH561,Leyenda!$O$4:$U$10,6,FALSE)</f>
        <v>0,25-0,35</v>
      </c>
      <c r="AJ561" s="18" t="str">
        <f>+VLOOKUP(AG561,Leyenda!$O$4:$U$10,7,FALSE)</f>
        <v>No Blasting need</v>
      </c>
      <c r="AK561" s="18">
        <f>+VLOOKUP(AJ561,Leyenda!$U$4:$V$10,2,FALSE)</f>
        <v>2</v>
      </c>
      <c r="AL561" s="18" t="s">
        <v>34</v>
      </c>
      <c r="AM561" s="18" t="s">
        <v>34</v>
      </c>
      <c r="AN561" s="18" t="s">
        <v>66</v>
      </c>
      <c r="AO561" s="18" t="s">
        <v>79</v>
      </c>
      <c r="AP561" s="18" t="s">
        <v>96</v>
      </c>
      <c r="AQ561" s="18" t="s">
        <v>109</v>
      </c>
      <c r="AR561" s="18" t="s">
        <v>120</v>
      </c>
      <c r="AS561" s="18" t="s">
        <v>247</v>
      </c>
      <c r="AT561" s="18"/>
      <c r="AU561" s="18"/>
      <c r="AV561" s="18">
        <f>+VLOOKUP(AN561,Leyenda!$B$30:$E$34,3,FALSE)</f>
        <v>1</v>
      </c>
      <c r="AW561" s="36">
        <f>+VLOOKUP('2. Logging Brejo Seco'!AO561,Meteorizacion,3,FALSE)</f>
        <v>1</v>
      </c>
      <c r="AX561" s="36">
        <f>+VLOOKUP('2. Logging Brejo Seco'!AP561,Apertura,3,FALSE)</f>
        <v>1</v>
      </c>
      <c r="AY561" s="36">
        <f>+VLOOKUP('2. Logging Brejo Seco'!AQ561,Leyenda!$B$55:$D$59,3,FALSE)</f>
        <v>1</v>
      </c>
      <c r="AZ561" s="36">
        <f>+VLOOKUP('2. Logging Brejo Seco'!AR561,Relleno,3,FALSE)</f>
        <v>2</v>
      </c>
      <c r="BA561" s="36">
        <f t="shared" si="193"/>
        <v>6</v>
      </c>
      <c r="BB561" s="49">
        <f t="shared" si="197"/>
        <v>4</v>
      </c>
      <c r="BC561" s="49">
        <f>VLOOKUP(AH561,Leyenda!$B$4:$D$10,3,FALSE)</f>
        <v>2</v>
      </c>
      <c r="BD561" s="50">
        <f t="shared" si="181"/>
        <v>7</v>
      </c>
      <c r="BE561" s="49">
        <f t="shared" si="186"/>
        <v>6</v>
      </c>
      <c r="BF561" s="49">
        <f>VLOOKUP(AS561,Leyenda!$B$70:$D$75,3,FALSE)</f>
        <v>10</v>
      </c>
      <c r="BG561" s="67">
        <f t="shared" si="198"/>
        <v>19</v>
      </c>
      <c r="BH561" s="67">
        <f>VLOOKUP(AG561,Leyenda!$B$4:$E$10,4,FALSE)</f>
        <v>2</v>
      </c>
      <c r="BI561" s="67">
        <f t="shared" si="182"/>
        <v>8</v>
      </c>
      <c r="BJ561" s="67">
        <f t="shared" si="199"/>
        <v>4</v>
      </c>
      <c r="BK561" s="67">
        <f>+VLOOKUP('2. Logging Brejo Seco'!AP561,Leyenda!$B$47:$E$51,4,FALSE)</f>
        <v>1</v>
      </c>
      <c r="BL561" s="67">
        <f>+VLOOKUP('2. Logging Brejo Seco'!AQ561,Leyenda!$B$55:$E$59,4,FALSE)</f>
        <v>1</v>
      </c>
      <c r="BM561" s="67">
        <f>+VLOOKUP('2. Logging Brejo Seco'!AR561,Leyenda!$B$63:$E$67,3,FALSE)</f>
        <v>2</v>
      </c>
      <c r="BN561" s="67">
        <f>+VLOOKUP('2. Logging Brejo Seco'!AO561,Leyenda!$B$39:$E$43,4,FALSE)</f>
        <v>1</v>
      </c>
      <c r="BO561" s="67">
        <f>+VLOOKUP('2. Logging Brejo Seco'!AN561,Leyenda!$B$30:$E$34,4,FALSE)</f>
        <v>1</v>
      </c>
      <c r="BP561" s="67">
        <f>VLOOKUP(AS561,Leyenda!$B$71:$E$75,4,FALSE)</f>
        <v>7</v>
      </c>
      <c r="BQ561" s="125">
        <f t="shared" si="187"/>
        <v>27</v>
      </c>
      <c r="BR561" s="85">
        <f t="shared" si="188"/>
        <v>29</v>
      </c>
      <c r="BS561" s="240">
        <f t="shared" si="183"/>
        <v>0.64</v>
      </c>
      <c r="BT561" s="18"/>
    </row>
    <row r="562" spans="1:72" x14ac:dyDescent="0.25">
      <c r="A562" s="18" t="s">
        <v>6</v>
      </c>
      <c r="B562" s="18">
        <v>2024</v>
      </c>
      <c r="C562" s="18" t="s">
        <v>138</v>
      </c>
      <c r="D562" s="18" t="s">
        <v>266</v>
      </c>
      <c r="E562" s="18">
        <v>40</v>
      </c>
      <c r="F562" s="18">
        <v>40</v>
      </c>
      <c r="G562" s="18" t="s">
        <v>153</v>
      </c>
      <c r="H562" s="248">
        <f t="shared" si="190"/>
        <v>40</v>
      </c>
      <c r="I562" s="135"/>
      <c r="J562" s="18" t="s">
        <v>298</v>
      </c>
      <c r="K562" s="31">
        <f t="shared" si="179"/>
        <v>27</v>
      </c>
      <c r="L562" s="31">
        <f t="shared" si="180"/>
        <v>27.5</v>
      </c>
      <c r="M562" s="4">
        <f t="shared" si="189"/>
        <v>0.5</v>
      </c>
      <c r="N562" s="32">
        <v>0.36</v>
      </c>
      <c r="O562" s="5">
        <f t="shared" ref="O562:O625" si="200">1-N562</f>
        <v>0.64</v>
      </c>
      <c r="P562" s="31">
        <f t="shared" si="184"/>
        <v>0.18</v>
      </c>
      <c r="Q562" s="18">
        <f t="shared" si="185"/>
        <v>0.18</v>
      </c>
      <c r="R562" s="18">
        <v>9</v>
      </c>
      <c r="S562" s="18">
        <v>20</v>
      </c>
      <c r="T562" s="18">
        <v>0.15</v>
      </c>
      <c r="U562" s="18">
        <v>0.15</v>
      </c>
      <c r="V562" s="65">
        <f t="shared" si="191"/>
        <v>30</v>
      </c>
      <c r="W562" s="18">
        <v>2</v>
      </c>
      <c r="X562" s="18"/>
      <c r="Y562" s="18">
        <v>5</v>
      </c>
      <c r="Z562" s="31">
        <f t="shared" si="192"/>
        <v>100</v>
      </c>
      <c r="AA562" s="18">
        <v>0</v>
      </c>
      <c r="AB562" s="18" t="s">
        <v>330</v>
      </c>
      <c r="AC562" s="18" t="s">
        <v>333</v>
      </c>
      <c r="AD562" s="18" t="s">
        <v>337</v>
      </c>
      <c r="AE562" s="18">
        <v>20</v>
      </c>
      <c r="AF562" s="18">
        <v>9</v>
      </c>
      <c r="AG562" s="18" t="s">
        <v>29</v>
      </c>
      <c r="AH562" s="18" t="s">
        <v>29</v>
      </c>
      <c r="AI562" s="18" t="str">
        <f>+VLOOKUP(AH562,Leyenda!$O$4:$U$10,6,FALSE)</f>
        <v>0,25-0,35</v>
      </c>
      <c r="AJ562" s="18" t="str">
        <f>+VLOOKUP(AG562,Leyenda!$O$4:$U$10,7,FALSE)</f>
        <v>No Blasting need</v>
      </c>
      <c r="AK562" s="18">
        <f>+VLOOKUP(AJ562,Leyenda!$U$4:$V$10,2,FALSE)</f>
        <v>2</v>
      </c>
      <c r="AL562" s="18" t="s">
        <v>34</v>
      </c>
      <c r="AM562" s="18" t="s">
        <v>34</v>
      </c>
      <c r="AN562" s="18" t="s">
        <v>66</v>
      </c>
      <c r="AO562" s="18" t="s">
        <v>79</v>
      </c>
      <c r="AP562" s="18" t="s">
        <v>96</v>
      </c>
      <c r="AQ562" s="18" t="s">
        <v>109</v>
      </c>
      <c r="AR562" s="18" t="s">
        <v>120</v>
      </c>
      <c r="AS562" s="18" t="s">
        <v>247</v>
      </c>
      <c r="AT562" s="18"/>
      <c r="AU562" s="18"/>
      <c r="AV562" s="18">
        <f>+VLOOKUP(AN562,Leyenda!$B$30:$E$34,3,FALSE)</f>
        <v>1</v>
      </c>
      <c r="AW562" s="36">
        <f>+VLOOKUP('2. Logging Brejo Seco'!AO562,Meteorizacion,3,FALSE)</f>
        <v>1</v>
      </c>
      <c r="AX562" s="36">
        <f>+VLOOKUP('2. Logging Brejo Seco'!AP562,Apertura,3,FALSE)</f>
        <v>1</v>
      </c>
      <c r="AY562" s="36">
        <f>+VLOOKUP('2. Logging Brejo Seco'!AQ562,Leyenda!$B$55:$D$59,3,FALSE)</f>
        <v>1</v>
      </c>
      <c r="AZ562" s="36">
        <f>+VLOOKUP('2. Logging Brejo Seco'!AR562,Relleno,3,FALSE)</f>
        <v>2</v>
      </c>
      <c r="BA562" s="36">
        <f t="shared" si="193"/>
        <v>6</v>
      </c>
      <c r="BB562" s="49">
        <f t="shared" si="197"/>
        <v>6</v>
      </c>
      <c r="BC562" s="49">
        <f>VLOOKUP(AH562,Leyenda!$B$4:$D$10,3,FALSE)</f>
        <v>2</v>
      </c>
      <c r="BD562" s="50">
        <f t="shared" si="181"/>
        <v>7</v>
      </c>
      <c r="BE562" s="49">
        <f t="shared" si="186"/>
        <v>6</v>
      </c>
      <c r="BF562" s="49">
        <f>VLOOKUP(AS562,Leyenda!$B$70:$D$75,3,FALSE)</f>
        <v>10</v>
      </c>
      <c r="BG562" s="67">
        <f t="shared" si="198"/>
        <v>24</v>
      </c>
      <c r="BH562" s="67">
        <f>VLOOKUP(AG562,Leyenda!$B$4:$E$10,4,FALSE)</f>
        <v>2</v>
      </c>
      <c r="BI562" s="67">
        <f t="shared" si="182"/>
        <v>8</v>
      </c>
      <c r="BJ562" s="67">
        <f t="shared" si="199"/>
        <v>6</v>
      </c>
      <c r="BK562" s="67">
        <f>+VLOOKUP('2. Logging Brejo Seco'!AP562,Leyenda!$B$47:$E$51,4,FALSE)</f>
        <v>1</v>
      </c>
      <c r="BL562" s="67">
        <f>+VLOOKUP('2. Logging Brejo Seco'!AQ562,Leyenda!$B$55:$E$59,4,FALSE)</f>
        <v>1</v>
      </c>
      <c r="BM562" s="67">
        <f>+VLOOKUP('2. Logging Brejo Seco'!AR562,Leyenda!$B$63:$E$67,3,FALSE)</f>
        <v>2</v>
      </c>
      <c r="BN562" s="67">
        <f>+VLOOKUP('2. Logging Brejo Seco'!AO562,Leyenda!$B$39:$E$43,4,FALSE)</f>
        <v>1</v>
      </c>
      <c r="BO562" s="67">
        <f>+VLOOKUP('2. Logging Brejo Seco'!AN562,Leyenda!$B$30:$E$34,4,FALSE)</f>
        <v>1</v>
      </c>
      <c r="BP562" s="67">
        <f>VLOOKUP(AS562,Leyenda!$B$71:$E$75,4,FALSE)</f>
        <v>7</v>
      </c>
      <c r="BQ562" s="125">
        <f t="shared" si="187"/>
        <v>29</v>
      </c>
      <c r="BR562" s="85">
        <f t="shared" si="188"/>
        <v>31</v>
      </c>
      <c r="BS562" s="240">
        <f t="shared" si="183"/>
        <v>0.64</v>
      </c>
      <c r="BT562" s="18"/>
    </row>
    <row r="563" spans="1:72" x14ac:dyDescent="0.25">
      <c r="A563" s="18" t="s">
        <v>6</v>
      </c>
      <c r="B563" s="18">
        <v>2024</v>
      </c>
      <c r="C563" s="18" t="s">
        <v>138</v>
      </c>
      <c r="D563" s="18" t="s">
        <v>266</v>
      </c>
      <c r="E563" s="18">
        <v>40</v>
      </c>
      <c r="F563" s="18">
        <v>40</v>
      </c>
      <c r="G563" s="18" t="s">
        <v>153</v>
      </c>
      <c r="H563" s="248">
        <f t="shared" si="190"/>
        <v>40</v>
      </c>
      <c r="I563" s="135"/>
      <c r="J563" s="18" t="s">
        <v>298</v>
      </c>
      <c r="K563" s="31">
        <f t="shared" si="179"/>
        <v>27.5</v>
      </c>
      <c r="L563" s="31">
        <f t="shared" si="180"/>
        <v>28</v>
      </c>
      <c r="M563" s="4">
        <f t="shared" si="189"/>
        <v>0.5</v>
      </c>
      <c r="N563" s="32">
        <v>0.44</v>
      </c>
      <c r="O563" s="5">
        <f t="shared" si="200"/>
        <v>0.56000000000000005</v>
      </c>
      <c r="P563" s="31">
        <f t="shared" si="184"/>
        <v>0.22</v>
      </c>
      <c r="Q563" s="18">
        <f t="shared" si="185"/>
        <v>0.22</v>
      </c>
      <c r="R563" s="18">
        <v>11</v>
      </c>
      <c r="S563" s="18">
        <v>20</v>
      </c>
      <c r="T563" s="18">
        <v>0.16</v>
      </c>
      <c r="U563" s="18">
        <v>0</v>
      </c>
      <c r="V563" s="65">
        <f t="shared" si="191"/>
        <v>0</v>
      </c>
      <c r="W563" s="18">
        <v>10</v>
      </c>
      <c r="X563" s="18"/>
      <c r="Y563" s="18">
        <f t="shared" si="178"/>
        <v>10</v>
      </c>
      <c r="Z563" s="31">
        <f t="shared" si="192"/>
        <v>50</v>
      </c>
      <c r="AA563" s="18">
        <v>0</v>
      </c>
      <c r="AB563" s="18" t="s">
        <v>330</v>
      </c>
      <c r="AC563" s="18" t="s">
        <v>333</v>
      </c>
      <c r="AD563" s="18" t="s">
        <v>336</v>
      </c>
      <c r="AE563" s="18">
        <v>20</v>
      </c>
      <c r="AF563" s="18">
        <v>11</v>
      </c>
      <c r="AG563" s="18" t="s">
        <v>32</v>
      </c>
      <c r="AH563" s="18" t="s">
        <v>32</v>
      </c>
      <c r="AI563" s="18" t="str">
        <f>+VLOOKUP(AH563,Leyenda!$O$4:$U$10,6,FALSE)</f>
        <v>0,15-0,25</v>
      </c>
      <c r="AJ563" s="18" t="str">
        <f>+VLOOKUP(AG563,Leyenda!$O$4:$U$10,7,FALSE)</f>
        <v>No Blasting need</v>
      </c>
      <c r="AK563" s="18">
        <f>+VLOOKUP(AJ563,Leyenda!$U$4:$V$10,2,FALSE)</f>
        <v>2</v>
      </c>
      <c r="AL563" s="18" t="s">
        <v>34</v>
      </c>
      <c r="AM563" s="18" t="s">
        <v>34</v>
      </c>
      <c r="AN563" s="18" t="s">
        <v>69</v>
      </c>
      <c r="AO563" s="18" t="s">
        <v>81</v>
      </c>
      <c r="AP563" s="18" t="s">
        <v>100</v>
      </c>
      <c r="AQ563" s="18" t="s">
        <v>109</v>
      </c>
      <c r="AR563" s="18" t="s">
        <v>122</v>
      </c>
      <c r="AS563" s="18" t="s">
        <v>267</v>
      </c>
      <c r="AT563" s="18" t="s">
        <v>280</v>
      </c>
      <c r="AU563" s="18"/>
      <c r="AV563" s="18">
        <f>+VLOOKUP(AN563,Leyenda!$B$30:$E$34,3,FALSE)</f>
        <v>0</v>
      </c>
      <c r="AW563" s="36">
        <f>+VLOOKUP('2. Logging Brejo Seco'!AO563,Meteorizacion,3,FALSE)</f>
        <v>0</v>
      </c>
      <c r="AX563" s="36">
        <f>+VLOOKUP('2. Logging Brejo Seco'!AP563,Apertura,3,FALSE)</f>
        <v>0</v>
      </c>
      <c r="AY563" s="36">
        <f>+VLOOKUP('2. Logging Brejo Seco'!AQ563,Leyenda!$B$55:$D$59,3,FALSE)</f>
        <v>1</v>
      </c>
      <c r="AZ563" s="36">
        <f>+VLOOKUP('2. Logging Brejo Seco'!AR563,Relleno,3,FALSE)</f>
        <v>0</v>
      </c>
      <c r="BA563" s="36">
        <f t="shared" si="193"/>
        <v>1</v>
      </c>
      <c r="BB563" s="49">
        <f t="shared" si="197"/>
        <v>0</v>
      </c>
      <c r="BC563" s="49">
        <f>VLOOKUP(AH563,Leyenda!$B$4:$D$10,3,FALSE)</f>
        <v>1</v>
      </c>
      <c r="BD563" s="50">
        <f t="shared" si="181"/>
        <v>6</v>
      </c>
      <c r="BE563" s="49">
        <f t="shared" si="186"/>
        <v>1</v>
      </c>
      <c r="BF563" s="49">
        <f>VLOOKUP(AS563,Leyenda!$B$70:$D$75,3,FALSE)</f>
        <v>15</v>
      </c>
      <c r="BG563" s="67">
        <f t="shared" si="198"/>
        <v>1.5</v>
      </c>
      <c r="BH563" s="67">
        <f>VLOOKUP(AG563,Leyenda!$B$4:$E$10,4,FALSE)</f>
        <v>1</v>
      </c>
      <c r="BI563" s="67">
        <f t="shared" si="182"/>
        <v>5</v>
      </c>
      <c r="BJ563" s="67">
        <f t="shared" si="199"/>
        <v>0</v>
      </c>
      <c r="BK563" s="67">
        <f>+VLOOKUP('2. Logging Brejo Seco'!AP563,Leyenda!$B$47:$E$51,4,FALSE)</f>
        <v>0</v>
      </c>
      <c r="BL563" s="67">
        <f>+VLOOKUP('2. Logging Brejo Seco'!AQ563,Leyenda!$B$55:$E$59,4,FALSE)</f>
        <v>1</v>
      </c>
      <c r="BM563" s="67">
        <f>+VLOOKUP('2. Logging Brejo Seco'!AR563,Leyenda!$B$63:$E$67,3,FALSE)</f>
        <v>0</v>
      </c>
      <c r="BN563" s="67">
        <f>+VLOOKUP('2. Logging Brejo Seco'!AO563,Leyenda!$B$39:$E$43,4,FALSE)</f>
        <v>0</v>
      </c>
      <c r="BO563" s="67">
        <f>+VLOOKUP('2. Logging Brejo Seco'!AN563,Leyenda!$B$30:$E$34,4,FALSE)</f>
        <v>0</v>
      </c>
      <c r="BP563" s="67">
        <f>VLOOKUP(AS563,Leyenda!$B$71:$E$75,4,FALSE)</f>
        <v>10</v>
      </c>
      <c r="BQ563" s="125">
        <f t="shared" si="187"/>
        <v>17</v>
      </c>
      <c r="BR563" s="85">
        <f t="shared" si="188"/>
        <v>23</v>
      </c>
      <c r="BS563" s="240">
        <f t="shared" si="183"/>
        <v>0.56000000000000005</v>
      </c>
      <c r="BT563" s="18"/>
    </row>
    <row r="564" spans="1:72" x14ac:dyDescent="0.25">
      <c r="A564" s="18" t="s">
        <v>6</v>
      </c>
      <c r="B564" s="18">
        <v>2024</v>
      </c>
      <c r="C564" s="18" t="s">
        <v>138</v>
      </c>
      <c r="D564" s="18" t="s">
        <v>266</v>
      </c>
      <c r="E564" s="18">
        <v>40</v>
      </c>
      <c r="F564" s="18">
        <v>40</v>
      </c>
      <c r="G564" s="18" t="s">
        <v>153</v>
      </c>
      <c r="H564" s="248">
        <f t="shared" si="190"/>
        <v>40</v>
      </c>
      <c r="I564" s="135"/>
      <c r="J564" s="18" t="s">
        <v>298</v>
      </c>
      <c r="K564" s="31">
        <f t="shared" si="179"/>
        <v>28</v>
      </c>
      <c r="L564" s="31">
        <f t="shared" si="180"/>
        <v>28.5</v>
      </c>
      <c r="M564" s="4">
        <f t="shared" si="189"/>
        <v>0.5</v>
      </c>
      <c r="N564" s="32">
        <v>0.4</v>
      </c>
      <c r="O564" s="5">
        <f t="shared" si="200"/>
        <v>0.6</v>
      </c>
      <c r="P564" s="31">
        <f t="shared" si="184"/>
        <v>0.2</v>
      </c>
      <c r="Q564" s="18">
        <f t="shared" si="185"/>
        <v>0.2</v>
      </c>
      <c r="R564" s="18">
        <v>10</v>
      </c>
      <c r="S564" s="18">
        <v>20</v>
      </c>
      <c r="T564" s="18">
        <v>0.18</v>
      </c>
      <c r="U564" s="18">
        <v>0</v>
      </c>
      <c r="V564" s="65">
        <f t="shared" si="191"/>
        <v>0</v>
      </c>
      <c r="W564" s="18">
        <v>5</v>
      </c>
      <c r="X564" s="18"/>
      <c r="Y564" s="18">
        <f t="shared" si="178"/>
        <v>5</v>
      </c>
      <c r="Z564" s="31">
        <f t="shared" si="192"/>
        <v>100</v>
      </c>
      <c r="AA564" s="18">
        <v>0</v>
      </c>
      <c r="AB564" s="18" t="s">
        <v>330</v>
      </c>
      <c r="AC564" s="18" t="s">
        <v>333</v>
      </c>
      <c r="AD564" s="18" t="s">
        <v>336</v>
      </c>
      <c r="AE564" s="18">
        <v>20</v>
      </c>
      <c r="AF564" s="18">
        <v>10</v>
      </c>
      <c r="AG564" s="18" t="s">
        <v>32</v>
      </c>
      <c r="AH564" s="18" t="s">
        <v>32</v>
      </c>
      <c r="AI564" s="18" t="str">
        <f>+VLOOKUP(AH564,Leyenda!$O$4:$U$10,6,FALSE)</f>
        <v>0,15-0,25</v>
      </c>
      <c r="AJ564" s="18" t="str">
        <f>+VLOOKUP(AG564,Leyenda!$O$4:$U$10,7,FALSE)</f>
        <v>No Blasting need</v>
      </c>
      <c r="AK564" s="18">
        <f>+VLOOKUP(AJ564,Leyenda!$U$4:$V$10,2,FALSE)</f>
        <v>2</v>
      </c>
      <c r="AL564" s="18" t="s">
        <v>34</v>
      </c>
      <c r="AM564" s="18" t="s">
        <v>34</v>
      </c>
      <c r="AN564" s="18" t="s">
        <v>69</v>
      </c>
      <c r="AO564" s="18" t="s">
        <v>81</v>
      </c>
      <c r="AP564" s="18" t="s">
        <v>100</v>
      </c>
      <c r="AQ564" s="18" t="s">
        <v>109</v>
      </c>
      <c r="AR564" s="18" t="s">
        <v>122</v>
      </c>
      <c r="AS564" s="18" t="s">
        <v>267</v>
      </c>
      <c r="AT564" s="18" t="s">
        <v>280</v>
      </c>
      <c r="AU564" s="18"/>
      <c r="AV564" s="18">
        <f>+VLOOKUP(AN564,Leyenda!$B$30:$E$34,3,FALSE)</f>
        <v>0</v>
      </c>
      <c r="AW564" s="36">
        <f>+VLOOKUP('2. Logging Brejo Seco'!AO564,Meteorizacion,3,FALSE)</f>
        <v>0</v>
      </c>
      <c r="AX564" s="36">
        <f>+VLOOKUP('2. Logging Brejo Seco'!AP564,Apertura,3,FALSE)</f>
        <v>0</v>
      </c>
      <c r="AY564" s="36">
        <f>+VLOOKUP('2. Logging Brejo Seco'!AQ564,Leyenda!$B$55:$D$59,3,FALSE)</f>
        <v>1</v>
      </c>
      <c r="AZ564" s="36">
        <f>+VLOOKUP('2. Logging Brejo Seco'!AR564,Relleno,3,FALSE)</f>
        <v>0</v>
      </c>
      <c r="BA564" s="36">
        <f t="shared" si="193"/>
        <v>1</v>
      </c>
      <c r="BB564" s="49">
        <f t="shared" si="197"/>
        <v>0</v>
      </c>
      <c r="BC564" s="49">
        <f>VLOOKUP(AH564,Leyenda!$B$4:$D$10,3,FALSE)</f>
        <v>1</v>
      </c>
      <c r="BD564" s="50">
        <f t="shared" si="181"/>
        <v>7</v>
      </c>
      <c r="BE564" s="49">
        <f t="shared" si="186"/>
        <v>1</v>
      </c>
      <c r="BF564" s="49">
        <f>VLOOKUP(AS564,Leyenda!$B$70:$D$75,3,FALSE)</f>
        <v>15</v>
      </c>
      <c r="BG564" s="67">
        <f t="shared" si="198"/>
        <v>1.5</v>
      </c>
      <c r="BH564" s="67">
        <f>VLOOKUP(AG564,Leyenda!$B$4:$E$10,4,FALSE)</f>
        <v>1</v>
      </c>
      <c r="BI564" s="67">
        <f t="shared" si="182"/>
        <v>8</v>
      </c>
      <c r="BJ564" s="67">
        <f t="shared" si="199"/>
        <v>0</v>
      </c>
      <c r="BK564" s="67">
        <f>+VLOOKUP('2. Logging Brejo Seco'!AP564,Leyenda!$B$47:$E$51,4,FALSE)</f>
        <v>0</v>
      </c>
      <c r="BL564" s="67">
        <f>+VLOOKUP('2. Logging Brejo Seco'!AQ564,Leyenda!$B$55:$E$59,4,FALSE)</f>
        <v>1</v>
      </c>
      <c r="BM564" s="67">
        <f>+VLOOKUP('2. Logging Brejo Seco'!AR564,Leyenda!$B$63:$E$67,3,FALSE)</f>
        <v>0</v>
      </c>
      <c r="BN564" s="67">
        <f>+VLOOKUP('2. Logging Brejo Seco'!AO564,Leyenda!$B$39:$E$43,4,FALSE)</f>
        <v>0</v>
      </c>
      <c r="BO564" s="67">
        <f>+VLOOKUP('2. Logging Brejo Seco'!AN564,Leyenda!$B$30:$E$34,4,FALSE)</f>
        <v>0</v>
      </c>
      <c r="BP564" s="67">
        <f>VLOOKUP(AS564,Leyenda!$B$71:$E$75,4,FALSE)</f>
        <v>10</v>
      </c>
      <c r="BQ564" s="125">
        <f t="shared" si="187"/>
        <v>20</v>
      </c>
      <c r="BR564" s="85">
        <f t="shared" si="188"/>
        <v>24</v>
      </c>
      <c r="BS564" s="240">
        <f t="shared" si="183"/>
        <v>0.6</v>
      </c>
      <c r="BT564" s="18"/>
    </row>
    <row r="565" spans="1:72" x14ac:dyDescent="0.25">
      <c r="A565" s="18" t="s">
        <v>6</v>
      </c>
      <c r="B565" s="18">
        <v>2024</v>
      </c>
      <c r="C565" s="18" t="s">
        <v>138</v>
      </c>
      <c r="D565" s="18" t="s">
        <v>266</v>
      </c>
      <c r="E565" s="18">
        <v>40</v>
      </c>
      <c r="F565" s="18">
        <v>40</v>
      </c>
      <c r="G565" s="18" t="s">
        <v>153</v>
      </c>
      <c r="H565" s="248">
        <f t="shared" si="190"/>
        <v>40</v>
      </c>
      <c r="I565" s="135"/>
      <c r="J565" s="18" t="s">
        <v>298</v>
      </c>
      <c r="K565" s="31">
        <f t="shared" si="179"/>
        <v>28.5</v>
      </c>
      <c r="L565" s="31">
        <f t="shared" si="180"/>
        <v>29</v>
      </c>
      <c r="M565" s="4">
        <f t="shared" si="189"/>
        <v>0.5</v>
      </c>
      <c r="N565" s="32">
        <v>0.44</v>
      </c>
      <c r="O565" s="5">
        <f t="shared" si="200"/>
        <v>0.56000000000000005</v>
      </c>
      <c r="P565" s="31">
        <f>+M565*N565</f>
        <v>0.22</v>
      </c>
      <c r="Q565" s="18">
        <f t="shared" si="185"/>
        <v>0.22</v>
      </c>
      <c r="R565" s="18">
        <v>11</v>
      </c>
      <c r="S565" s="18">
        <v>20</v>
      </c>
      <c r="T565" s="18">
        <v>0.19</v>
      </c>
      <c r="U565" s="18">
        <v>0</v>
      </c>
      <c r="V565" s="65">
        <f t="shared" si="191"/>
        <v>0</v>
      </c>
      <c r="W565" s="18">
        <v>5</v>
      </c>
      <c r="X565" s="18"/>
      <c r="Y565" s="18">
        <f t="shared" si="178"/>
        <v>5</v>
      </c>
      <c r="Z565" s="31">
        <f t="shared" si="192"/>
        <v>100</v>
      </c>
      <c r="AA565" s="18">
        <v>0</v>
      </c>
      <c r="AB565" s="18" t="s">
        <v>330</v>
      </c>
      <c r="AC565" s="18" t="s">
        <v>333</v>
      </c>
      <c r="AD565" s="18" t="s">
        <v>334</v>
      </c>
      <c r="AE565" s="18">
        <v>20</v>
      </c>
      <c r="AF565" s="18">
        <v>11</v>
      </c>
      <c r="AG565" s="18" t="s">
        <v>32</v>
      </c>
      <c r="AH565" s="18" t="s">
        <v>32</v>
      </c>
      <c r="AI565" s="18" t="str">
        <f>+VLOOKUP(AH565,Leyenda!$O$4:$U$10,6,FALSE)</f>
        <v>0,15-0,25</v>
      </c>
      <c r="AJ565" s="18" t="str">
        <f>+VLOOKUP(AG565,Leyenda!$O$4:$U$10,7,FALSE)</f>
        <v>No Blasting need</v>
      </c>
      <c r="AK565" s="18">
        <f>+VLOOKUP(AJ565,Leyenda!$U$4:$V$10,2,FALSE)</f>
        <v>2</v>
      </c>
      <c r="AL565" s="18" t="s">
        <v>34</v>
      </c>
      <c r="AM565" s="18" t="s">
        <v>34</v>
      </c>
      <c r="AN565" s="18" t="s">
        <v>69</v>
      </c>
      <c r="AO565" s="18" t="s">
        <v>81</v>
      </c>
      <c r="AP565" s="18" t="s">
        <v>100</v>
      </c>
      <c r="AQ565" s="18" t="s">
        <v>109</v>
      </c>
      <c r="AR565" s="18" t="s">
        <v>122</v>
      </c>
      <c r="AS565" s="18" t="s">
        <v>267</v>
      </c>
      <c r="AT565" s="18" t="s">
        <v>280</v>
      </c>
      <c r="AU565" s="18"/>
      <c r="AV565" s="18">
        <f>+VLOOKUP(AN565,Leyenda!$B$30:$E$34,3,FALSE)</f>
        <v>0</v>
      </c>
      <c r="AW565" s="36">
        <f>+VLOOKUP('2. Logging Brejo Seco'!AO565,Meteorizacion,3,FALSE)</f>
        <v>0</v>
      </c>
      <c r="AX565" s="36">
        <f>+VLOOKUP('2. Logging Brejo Seco'!AP565,Apertura,3,FALSE)</f>
        <v>0</v>
      </c>
      <c r="AY565" s="36">
        <f>+VLOOKUP('2. Logging Brejo Seco'!AQ565,Leyenda!$B$55:$D$59,3,FALSE)</f>
        <v>1</v>
      </c>
      <c r="AZ565" s="36">
        <f>+VLOOKUP('2. Logging Brejo Seco'!AR565,Relleno,3,FALSE)</f>
        <v>0</v>
      </c>
      <c r="BA565" s="36">
        <f t="shared" si="193"/>
        <v>1</v>
      </c>
      <c r="BB565" s="49">
        <f t="shared" si="197"/>
        <v>0</v>
      </c>
      <c r="BC565" s="49">
        <f>VLOOKUP(AH565,Leyenda!$B$4:$D$10,3,FALSE)</f>
        <v>1</v>
      </c>
      <c r="BD565" s="50">
        <f t="shared" si="181"/>
        <v>7</v>
      </c>
      <c r="BE565" s="49">
        <f t="shared" si="186"/>
        <v>1</v>
      </c>
      <c r="BF565" s="49">
        <f>VLOOKUP(AS565,Leyenda!$B$70:$D$75,3,FALSE)</f>
        <v>15</v>
      </c>
      <c r="BG565" s="67">
        <f t="shared" si="198"/>
        <v>1.5</v>
      </c>
      <c r="BH565" s="67">
        <f>VLOOKUP(AG565,Leyenda!$B$4:$E$10,4,FALSE)</f>
        <v>1</v>
      </c>
      <c r="BI565" s="67">
        <f t="shared" si="182"/>
        <v>8</v>
      </c>
      <c r="BJ565" s="67">
        <f t="shared" si="199"/>
        <v>0</v>
      </c>
      <c r="BK565" s="67">
        <f>+VLOOKUP('2. Logging Brejo Seco'!AP565,Leyenda!$B$47:$E$51,4,FALSE)</f>
        <v>0</v>
      </c>
      <c r="BL565" s="67">
        <f>+VLOOKUP('2. Logging Brejo Seco'!AQ565,Leyenda!$B$55:$E$59,4,FALSE)</f>
        <v>1</v>
      </c>
      <c r="BM565" s="67">
        <f>+VLOOKUP('2. Logging Brejo Seco'!AR565,Leyenda!$B$63:$E$67,3,FALSE)</f>
        <v>0</v>
      </c>
      <c r="BN565" s="67">
        <f>+VLOOKUP('2. Logging Brejo Seco'!AO565,Leyenda!$B$39:$E$43,4,FALSE)</f>
        <v>0</v>
      </c>
      <c r="BO565" s="67">
        <f>+VLOOKUP('2. Logging Brejo Seco'!AN565,Leyenda!$B$30:$E$34,4,FALSE)</f>
        <v>0</v>
      </c>
      <c r="BP565" s="67">
        <f>VLOOKUP(AS565,Leyenda!$B$71:$E$75,4,FALSE)</f>
        <v>10</v>
      </c>
      <c r="BQ565" s="125">
        <f t="shared" si="187"/>
        <v>20</v>
      </c>
      <c r="BR565" s="85">
        <f t="shared" si="188"/>
        <v>24</v>
      </c>
      <c r="BS565" s="240">
        <f t="shared" si="183"/>
        <v>0.56000000000000005</v>
      </c>
      <c r="BT565" s="18"/>
    </row>
    <row r="566" spans="1:72" x14ac:dyDescent="0.25">
      <c r="A566" s="18" t="s">
        <v>6</v>
      </c>
      <c r="B566" s="18">
        <v>2024</v>
      </c>
      <c r="C566" s="18" t="s">
        <v>138</v>
      </c>
      <c r="D566" s="18" t="s">
        <v>266</v>
      </c>
      <c r="E566" s="18">
        <v>40</v>
      </c>
      <c r="F566" s="18">
        <v>40</v>
      </c>
      <c r="G566" s="18" t="s">
        <v>153</v>
      </c>
      <c r="H566" s="248">
        <f t="shared" si="190"/>
        <v>40</v>
      </c>
      <c r="I566" s="135"/>
      <c r="J566" s="18" t="s">
        <v>299</v>
      </c>
      <c r="K566" s="31">
        <f t="shared" si="179"/>
        <v>29</v>
      </c>
      <c r="L566" s="31">
        <f t="shared" si="180"/>
        <v>29.5</v>
      </c>
      <c r="M566" s="4">
        <f t="shared" si="189"/>
        <v>0.5</v>
      </c>
      <c r="N566" s="32">
        <v>0.4</v>
      </c>
      <c r="O566" s="5">
        <f t="shared" si="200"/>
        <v>0.6</v>
      </c>
      <c r="P566" s="31">
        <f>+M566*N566</f>
        <v>0.2</v>
      </c>
      <c r="Q566" s="18">
        <f t="shared" si="185"/>
        <v>0.2</v>
      </c>
      <c r="R566" s="18">
        <v>10</v>
      </c>
      <c r="S566" s="18">
        <v>20</v>
      </c>
      <c r="T566" s="18">
        <v>0.18</v>
      </c>
      <c r="U566" s="18">
        <v>0</v>
      </c>
      <c r="V566" s="65">
        <f t="shared" si="191"/>
        <v>0</v>
      </c>
      <c r="W566" s="18">
        <v>5</v>
      </c>
      <c r="X566" s="18"/>
      <c r="Y566" s="18">
        <f t="shared" si="178"/>
        <v>5</v>
      </c>
      <c r="Z566" s="31">
        <f t="shared" si="192"/>
        <v>100</v>
      </c>
      <c r="AA566" s="18">
        <v>0</v>
      </c>
      <c r="AB566" s="18" t="s">
        <v>330</v>
      </c>
      <c r="AC566" s="18" t="s">
        <v>333</v>
      </c>
      <c r="AD566" s="18" t="s">
        <v>334</v>
      </c>
      <c r="AE566" s="18">
        <v>20</v>
      </c>
      <c r="AF566" s="18">
        <v>10</v>
      </c>
      <c r="AG566" s="18" t="s">
        <v>32</v>
      </c>
      <c r="AH566" s="18" t="s">
        <v>32</v>
      </c>
      <c r="AI566" s="18" t="str">
        <f>+VLOOKUP(AH566,Leyenda!$O$4:$U$10,6,FALSE)</f>
        <v>0,15-0,25</v>
      </c>
      <c r="AJ566" s="18" t="str">
        <f>+VLOOKUP(AG566,Leyenda!$O$4:$U$10,7,FALSE)</f>
        <v>No Blasting need</v>
      </c>
      <c r="AK566" s="18">
        <f>+VLOOKUP(AJ566,Leyenda!$U$4:$V$10,2,FALSE)</f>
        <v>2</v>
      </c>
      <c r="AL566" s="18" t="s">
        <v>32</v>
      </c>
      <c r="AM566" s="18" t="s">
        <v>32</v>
      </c>
      <c r="AN566" s="18" t="s">
        <v>66</v>
      </c>
      <c r="AO566" s="18" t="s">
        <v>79</v>
      </c>
      <c r="AP566" s="18" t="s">
        <v>96</v>
      </c>
      <c r="AQ566" s="18" t="s">
        <v>107</v>
      </c>
      <c r="AR566" s="18" t="s">
        <v>120</v>
      </c>
      <c r="AS566" s="18" t="s">
        <v>267</v>
      </c>
      <c r="AT566" s="18" t="s">
        <v>281</v>
      </c>
      <c r="AU566" s="18"/>
      <c r="AV566" s="18">
        <f>+VLOOKUP(AN566,Leyenda!$B$30:$E$34,3,FALSE)</f>
        <v>1</v>
      </c>
      <c r="AW566" s="36">
        <f>+VLOOKUP('2. Logging Brejo Seco'!AO566,Meteorizacion,3,FALSE)</f>
        <v>1</v>
      </c>
      <c r="AX566" s="36">
        <f>+VLOOKUP('2. Logging Brejo Seco'!AP566,Apertura,3,FALSE)</f>
        <v>1</v>
      </c>
      <c r="AY566" s="36">
        <f>+VLOOKUP('2. Logging Brejo Seco'!AQ566,Leyenda!$B$55:$D$59,3,FALSE)</f>
        <v>3</v>
      </c>
      <c r="AZ566" s="36">
        <f>+VLOOKUP('2. Logging Brejo Seco'!AR566,Relleno,3,FALSE)</f>
        <v>2</v>
      </c>
      <c r="BA566" s="36">
        <f t="shared" si="193"/>
        <v>8</v>
      </c>
      <c r="BB566" s="49">
        <f t="shared" si="197"/>
        <v>0</v>
      </c>
      <c r="BC566" s="49">
        <f>VLOOKUP(AH566,Leyenda!$B$4:$D$10,3,FALSE)</f>
        <v>1</v>
      </c>
      <c r="BD566" s="50">
        <f t="shared" si="181"/>
        <v>7</v>
      </c>
      <c r="BE566" s="49">
        <f t="shared" si="186"/>
        <v>8</v>
      </c>
      <c r="BF566" s="49">
        <f>VLOOKUP(AS566,Leyenda!$B$70:$D$75,3,FALSE)</f>
        <v>15</v>
      </c>
      <c r="BG566" s="67">
        <f t="shared" si="198"/>
        <v>12</v>
      </c>
      <c r="BH566" s="67">
        <f>VLOOKUP(AG566,Leyenda!$B$4:$E$10,4,FALSE)</f>
        <v>1</v>
      </c>
      <c r="BI566" s="67">
        <f t="shared" si="182"/>
        <v>8</v>
      </c>
      <c r="BJ566" s="67">
        <f t="shared" si="199"/>
        <v>0</v>
      </c>
      <c r="BK566" s="67">
        <f>+VLOOKUP('2. Logging Brejo Seco'!AP566,Leyenda!$B$47:$E$51,4,FALSE)</f>
        <v>1</v>
      </c>
      <c r="BL566" s="67">
        <f>+VLOOKUP('2. Logging Brejo Seco'!AQ566,Leyenda!$B$55:$E$59,4,FALSE)</f>
        <v>3</v>
      </c>
      <c r="BM566" s="67">
        <f>+VLOOKUP('2. Logging Brejo Seco'!AR566,Leyenda!$B$63:$E$67,3,FALSE)</f>
        <v>2</v>
      </c>
      <c r="BN566" s="67">
        <f>+VLOOKUP('2. Logging Brejo Seco'!AO566,Leyenda!$B$39:$E$43,4,FALSE)</f>
        <v>1</v>
      </c>
      <c r="BO566" s="67">
        <f>+VLOOKUP('2. Logging Brejo Seco'!AN566,Leyenda!$B$30:$E$34,4,FALSE)</f>
        <v>1</v>
      </c>
      <c r="BP566" s="67">
        <f>VLOOKUP(AS566,Leyenda!$B$71:$E$75,4,FALSE)</f>
        <v>10</v>
      </c>
      <c r="BQ566" s="125">
        <f t="shared" si="187"/>
        <v>27</v>
      </c>
      <c r="BR566" s="85">
        <f t="shared" si="188"/>
        <v>31</v>
      </c>
      <c r="BS566" s="240">
        <f t="shared" si="183"/>
        <v>0.6</v>
      </c>
      <c r="BT566" s="18"/>
    </row>
    <row r="567" spans="1:72" x14ac:dyDescent="0.25">
      <c r="A567" s="18" t="s">
        <v>6</v>
      </c>
      <c r="B567" s="18">
        <v>2024</v>
      </c>
      <c r="C567" s="18" t="s">
        <v>138</v>
      </c>
      <c r="D567" s="18" t="s">
        <v>266</v>
      </c>
      <c r="E567" s="18">
        <v>40</v>
      </c>
      <c r="F567" s="18">
        <v>40</v>
      </c>
      <c r="G567" s="18" t="s">
        <v>153</v>
      </c>
      <c r="H567" s="248">
        <f t="shared" si="190"/>
        <v>40</v>
      </c>
      <c r="I567" s="135"/>
      <c r="J567" s="18" t="s">
        <v>299</v>
      </c>
      <c r="K567" s="31">
        <f t="shared" si="179"/>
        <v>29.5</v>
      </c>
      <c r="L567" s="31">
        <f t="shared" si="180"/>
        <v>30</v>
      </c>
      <c r="M567" s="4">
        <f t="shared" si="189"/>
        <v>0.5</v>
      </c>
      <c r="N567" s="32">
        <v>0.6</v>
      </c>
      <c r="O567" s="5">
        <f t="shared" si="200"/>
        <v>0.4</v>
      </c>
      <c r="P567" s="31">
        <f t="shared" si="184"/>
        <v>0.3</v>
      </c>
      <c r="Q567" s="18">
        <f t="shared" si="185"/>
        <v>0.3</v>
      </c>
      <c r="R567" s="18">
        <v>15</v>
      </c>
      <c r="S567" s="18">
        <v>20</v>
      </c>
      <c r="T567" s="18">
        <v>0.25</v>
      </c>
      <c r="U567" s="18">
        <v>0</v>
      </c>
      <c r="V567" s="65">
        <f t="shared" si="191"/>
        <v>0</v>
      </c>
      <c r="W567" s="18">
        <v>4</v>
      </c>
      <c r="X567" s="18"/>
      <c r="Y567" s="18">
        <f t="shared" si="178"/>
        <v>4</v>
      </c>
      <c r="Z567" s="31">
        <f t="shared" si="192"/>
        <v>125</v>
      </c>
      <c r="AA567" s="18">
        <v>0</v>
      </c>
      <c r="AB567" s="18" t="s">
        <v>330</v>
      </c>
      <c r="AC567" s="18" t="s">
        <v>333</v>
      </c>
      <c r="AD567" s="18" t="s">
        <v>334</v>
      </c>
      <c r="AE567" s="18">
        <v>20</v>
      </c>
      <c r="AF567" s="18">
        <v>15</v>
      </c>
      <c r="AG567" s="18" t="s">
        <v>32</v>
      </c>
      <c r="AH567" s="18" t="s">
        <v>32</v>
      </c>
      <c r="AI567" s="18" t="str">
        <f>+VLOOKUP(AH567,Leyenda!$O$4:$U$10,6,FALSE)</f>
        <v>0,15-0,25</v>
      </c>
      <c r="AJ567" s="18" t="str">
        <f>+VLOOKUP(AG567,Leyenda!$O$4:$U$10,7,FALSE)</f>
        <v>No Blasting need</v>
      </c>
      <c r="AK567" s="18">
        <f>+VLOOKUP(AJ567,Leyenda!$U$4:$V$10,2,FALSE)</f>
        <v>2</v>
      </c>
      <c r="AL567" s="18" t="s">
        <v>32</v>
      </c>
      <c r="AM567" s="18" t="s">
        <v>32</v>
      </c>
      <c r="AN567" s="18" t="s">
        <v>66</v>
      </c>
      <c r="AO567" s="18" t="s">
        <v>79</v>
      </c>
      <c r="AP567" s="18" t="s">
        <v>100</v>
      </c>
      <c r="AQ567" s="18" t="s">
        <v>107</v>
      </c>
      <c r="AR567" s="18" t="s">
        <v>118</v>
      </c>
      <c r="AS567" s="18" t="s">
        <v>267</v>
      </c>
      <c r="AT567" s="18"/>
      <c r="AU567" s="18"/>
      <c r="AV567" s="18">
        <f>+VLOOKUP(AN567,Leyenda!$B$30:$E$34,3,FALSE)</f>
        <v>1</v>
      </c>
      <c r="AW567" s="36">
        <f>+VLOOKUP('2. Logging Brejo Seco'!AO567,Meteorizacion,3,FALSE)</f>
        <v>1</v>
      </c>
      <c r="AX567" s="36">
        <f>+VLOOKUP('2. Logging Brejo Seco'!AP567,Apertura,3,FALSE)</f>
        <v>0</v>
      </c>
      <c r="AY567" s="36">
        <f>+VLOOKUP('2. Logging Brejo Seco'!AQ567,Leyenda!$B$55:$D$59,3,FALSE)</f>
        <v>3</v>
      </c>
      <c r="AZ567" s="36">
        <f>+VLOOKUP('2. Logging Brejo Seco'!AR567,Relleno,3,FALSE)</f>
        <v>2</v>
      </c>
      <c r="BA567" s="36">
        <f t="shared" si="193"/>
        <v>7</v>
      </c>
      <c r="BB567" s="49">
        <f t="shared" si="197"/>
        <v>0</v>
      </c>
      <c r="BC567" s="49">
        <f>VLOOKUP(AH567,Leyenda!$B$4:$D$10,3,FALSE)</f>
        <v>1</v>
      </c>
      <c r="BD567" s="50">
        <f t="shared" si="181"/>
        <v>8</v>
      </c>
      <c r="BE567" s="49">
        <f t="shared" si="186"/>
        <v>7</v>
      </c>
      <c r="BF567" s="49">
        <f>VLOOKUP(AS567,Leyenda!$B$70:$D$75,3,FALSE)</f>
        <v>15</v>
      </c>
      <c r="BG567" s="67">
        <f t="shared" si="198"/>
        <v>10.5</v>
      </c>
      <c r="BH567" s="67">
        <f>VLOOKUP(AG567,Leyenda!$B$4:$E$10,4,FALSE)</f>
        <v>1</v>
      </c>
      <c r="BI567" s="67">
        <f t="shared" si="182"/>
        <v>10</v>
      </c>
      <c r="BJ567" s="67">
        <f t="shared" si="199"/>
        <v>0</v>
      </c>
      <c r="BK567" s="67">
        <f>+VLOOKUP('2. Logging Brejo Seco'!AP567,Leyenda!$B$47:$E$51,4,FALSE)</f>
        <v>0</v>
      </c>
      <c r="BL567" s="67">
        <f>+VLOOKUP('2. Logging Brejo Seco'!AQ567,Leyenda!$B$55:$E$59,4,FALSE)</f>
        <v>3</v>
      </c>
      <c r="BM567" s="67">
        <f>+VLOOKUP('2. Logging Brejo Seco'!AR567,Leyenda!$B$63:$E$67,3,FALSE)</f>
        <v>2</v>
      </c>
      <c r="BN567" s="67">
        <f>+VLOOKUP('2. Logging Brejo Seco'!AO567,Leyenda!$B$39:$E$43,4,FALSE)</f>
        <v>1</v>
      </c>
      <c r="BO567" s="67">
        <f>+VLOOKUP('2. Logging Brejo Seco'!AN567,Leyenda!$B$30:$E$34,4,FALSE)</f>
        <v>1</v>
      </c>
      <c r="BP567" s="67">
        <f>VLOOKUP(AS567,Leyenda!$B$71:$E$75,4,FALSE)</f>
        <v>10</v>
      </c>
      <c r="BQ567" s="125">
        <f t="shared" si="187"/>
        <v>28</v>
      </c>
      <c r="BR567" s="85">
        <f t="shared" si="188"/>
        <v>31</v>
      </c>
      <c r="BS567" s="240">
        <f t="shared" si="183"/>
        <v>0.4</v>
      </c>
      <c r="BT567" s="18"/>
    </row>
    <row r="568" spans="1:72" x14ac:dyDescent="0.25">
      <c r="A568" s="18" t="s">
        <v>6</v>
      </c>
      <c r="B568" s="18">
        <v>2024</v>
      </c>
      <c r="C568" s="18" t="s">
        <v>138</v>
      </c>
      <c r="D568" s="18" t="s">
        <v>266</v>
      </c>
      <c r="E568" s="18">
        <v>40</v>
      </c>
      <c r="F568" s="18">
        <v>40</v>
      </c>
      <c r="G568" s="18" t="s">
        <v>153</v>
      </c>
      <c r="H568" s="248">
        <f t="shared" si="190"/>
        <v>40</v>
      </c>
      <c r="I568" s="135"/>
      <c r="J568" s="18" t="s">
        <v>299</v>
      </c>
      <c r="K568" s="31">
        <f t="shared" si="179"/>
        <v>30</v>
      </c>
      <c r="L568" s="31">
        <f t="shared" si="180"/>
        <v>30.5</v>
      </c>
      <c r="M568" s="4">
        <f t="shared" si="189"/>
        <v>0.5</v>
      </c>
      <c r="N568" s="32">
        <v>0.57999999999999996</v>
      </c>
      <c r="O568" s="5">
        <f t="shared" si="200"/>
        <v>0.42000000000000004</v>
      </c>
      <c r="P568" s="31">
        <f t="shared" si="184"/>
        <v>0.28999999999999998</v>
      </c>
      <c r="Q568" s="18">
        <f t="shared" si="185"/>
        <v>0.28999999999999998</v>
      </c>
      <c r="R568" s="18">
        <v>14.5</v>
      </c>
      <c r="S568" s="18">
        <v>20</v>
      </c>
      <c r="T568" s="18">
        <v>0.27</v>
      </c>
      <c r="U568" s="18">
        <v>0.1</v>
      </c>
      <c r="V568" s="65">
        <f t="shared" si="191"/>
        <v>20</v>
      </c>
      <c r="W568" s="18">
        <v>5</v>
      </c>
      <c r="X568" s="18"/>
      <c r="Y568" s="18">
        <f t="shared" si="178"/>
        <v>5</v>
      </c>
      <c r="Z568" s="31">
        <f t="shared" si="192"/>
        <v>100</v>
      </c>
      <c r="AA568" s="18">
        <v>0</v>
      </c>
      <c r="AB568" s="18" t="s">
        <v>330</v>
      </c>
      <c r="AC568" s="18" t="s">
        <v>333</v>
      </c>
      <c r="AD568" s="18" t="s">
        <v>334</v>
      </c>
      <c r="AE568" s="18">
        <v>20</v>
      </c>
      <c r="AF568" s="18">
        <v>14.5</v>
      </c>
      <c r="AG568" s="18" t="s">
        <v>32</v>
      </c>
      <c r="AH568" s="18" t="s">
        <v>32</v>
      </c>
      <c r="AI568" s="18" t="str">
        <f>+VLOOKUP(AH568,Leyenda!$O$4:$U$10,6,FALSE)</f>
        <v>0,15-0,25</v>
      </c>
      <c r="AJ568" s="18" t="str">
        <f>+VLOOKUP(AG568,Leyenda!$O$4:$U$10,7,FALSE)</f>
        <v>No Blasting need</v>
      </c>
      <c r="AK568" s="18">
        <f>+VLOOKUP(AJ568,Leyenda!$U$4:$V$10,2,FALSE)</f>
        <v>2</v>
      </c>
      <c r="AL568" s="18" t="s">
        <v>32</v>
      </c>
      <c r="AM568" s="18" t="s">
        <v>32</v>
      </c>
      <c r="AN568" s="18" t="s">
        <v>64</v>
      </c>
      <c r="AO568" s="18" t="s">
        <v>81</v>
      </c>
      <c r="AP568" s="18" t="s">
        <v>96</v>
      </c>
      <c r="AQ568" s="18" t="s">
        <v>109</v>
      </c>
      <c r="AR568" s="18" t="s">
        <v>120</v>
      </c>
      <c r="AS568" s="18" t="s">
        <v>267</v>
      </c>
      <c r="AT568" s="18" t="s">
        <v>282</v>
      </c>
      <c r="AU568" s="18"/>
      <c r="AV568" s="18">
        <f>+VLOOKUP(AN568,Leyenda!$B$30:$E$34,3,FALSE)</f>
        <v>2</v>
      </c>
      <c r="AW568" s="36">
        <f>+VLOOKUP('2. Logging Brejo Seco'!AO568,Meteorizacion,3,FALSE)</f>
        <v>0</v>
      </c>
      <c r="AX568" s="36">
        <f>+VLOOKUP('2. Logging Brejo Seco'!AP568,Apertura,3,FALSE)</f>
        <v>1</v>
      </c>
      <c r="AY568" s="36">
        <f>+VLOOKUP('2. Logging Brejo Seco'!AQ568,Leyenda!$B$55:$D$59,3,FALSE)</f>
        <v>1</v>
      </c>
      <c r="AZ568" s="36">
        <f>+VLOOKUP('2. Logging Brejo Seco'!AR568,Relleno,3,FALSE)</f>
        <v>2</v>
      </c>
      <c r="BA568" s="36">
        <f t="shared" si="193"/>
        <v>6</v>
      </c>
      <c r="BB568" s="49">
        <f t="shared" si="197"/>
        <v>4</v>
      </c>
      <c r="BC568" s="49">
        <f>VLOOKUP(AH568,Leyenda!$B$4:$D$10,3,FALSE)</f>
        <v>1</v>
      </c>
      <c r="BD568" s="50">
        <f t="shared" si="181"/>
        <v>7</v>
      </c>
      <c r="BE568" s="49">
        <f t="shared" si="186"/>
        <v>6</v>
      </c>
      <c r="BF568" s="49">
        <f>VLOOKUP(AS568,Leyenda!$B$70:$D$75,3,FALSE)</f>
        <v>15</v>
      </c>
      <c r="BG568" s="67">
        <f t="shared" si="198"/>
        <v>19</v>
      </c>
      <c r="BH568" s="67">
        <f>VLOOKUP(AG568,Leyenda!$B$4:$E$10,4,FALSE)</f>
        <v>1</v>
      </c>
      <c r="BI568" s="67">
        <f t="shared" si="182"/>
        <v>8</v>
      </c>
      <c r="BJ568" s="67">
        <f t="shared" si="199"/>
        <v>4</v>
      </c>
      <c r="BK568" s="67">
        <f>+VLOOKUP('2. Logging Brejo Seco'!AP568,Leyenda!$B$47:$E$51,4,FALSE)</f>
        <v>1</v>
      </c>
      <c r="BL568" s="67">
        <f>+VLOOKUP('2. Logging Brejo Seco'!AQ568,Leyenda!$B$55:$E$59,4,FALSE)</f>
        <v>1</v>
      </c>
      <c r="BM568" s="67">
        <f>+VLOOKUP('2. Logging Brejo Seco'!AR568,Leyenda!$B$63:$E$67,3,FALSE)</f>
        <v>2</v>
      </c>
      <c r="BN568" s="67">
        <f>+VLOOKUP('2. Logging Brejo Seco'!AO568,Leyenda!$B$39:$E$43,4,FALSE)</f>
        <v>0</v>
      </c>
      <c r="BO568" s="67">
        <f>+VLOOKUP('2. Logging Brejo Seco'!AN568,Leyenda!$B$30:$E$34,4,FALSE)</f>
        <v>3</v>
      </c>
      <c r="BP568" s="67">
        <f>VLOOKUP(AS568,Leyenda!$B$71:$E$75,4,FALSE)</f>
        <v>10</v>
      </c>
      <c r="BQ568" s="125">
        <f t="shared" si="187"/>
        <v>30</v>
      </c>
      <c r="BR568" s="85">
        <f t="shared" si="188"/>
        <v>33</v>
      </c>
      <c r="BS568" s="240">
        <f t="shared" si="183"/>
        <v>0.42000000000000004</v>
      </c>
      <c r="BT568" s="18"/>
    </row>
    <row r="569" spans="1:72" x14ac:dyDescent="0.25">
      <c r="A569" s="18" t="s">
        <v>6</v>
      </c>
      <c r="B569" s="18">
        <v>2024</v>
      </c>
      <c r="C569" s="18" t="s">
        <v>138</v>
      </c>
      <c r="D569" s="18" t="s">
        <v>266</v>
      </c>
      <c r="E569" s="18">
        <v>40</v>
      </c>
      <c r="F569" s="18">
        <v>40</v>
      </c>
      <c r="G569" s="18" t="s">
        <v>153</v>
      </c>
      <c r="H569" s="248">
        <f t="shared" si="190"/>
        <v>40</v>
      </c>
      <c r="I569" s="135"/>
      <c r="J569" s="18" t="s">
        <v>299</v>
      </c>
      <c r="K569" s="31">
        <f t="shared" si="179"/>
        <v>30.5</v>
      </c>
      <c r="L569" s="31">
        <f t="shared" si="180"/>
        <v>31</v>
      </c>
      <c r="M569" s="4">
        <f t="shared" si="189"/>
        <v>0.5</v>
      </c>
      <c r="N569" s="32">
        <v>0.57999999999999996</v>
      </c>
      <c r="O569" s="5">
        <f t="shared" si="200"/>
        <v>0.42000000000000004</v>
      </c>
      <c r="P569" s="31">
        <f t="shared" si="184"/>
        <v>0.28999999999999998</v>
      </c>
      <c r="Q569" s="18">
        <v>0.3</v>
      </c>
      <c r="R569" s="18">
        <v>14.5</v>
      </c>
      <c r="S569" s="18">
        <v>20</v>
      </c>
      <c r="T569" s="18">
        <v>0.27</v>
      </c>
      <c r="U569" s="18">
        <v>0.12</v>
      </c>
      <c r="V569" s="65">
        <f t="shared" si="191"/>
        <v>24</v>
      </c>
      <c r="W569" s="18">
        <v>5</v>
      </c>
      <c r="X569" s="18"/>
      <c r="Y569" s="18">
        <f t="shared" si="178"/>
        <v>5</v>
      </c>
      <c r="Z569" s="31">
        <f t="shared" si="192"/>
        <v>100</v>
      </c>
      <c r="AA569" s="18">
        <v>0</v>
      </c>
      <c r="AB569" s="18" t="s">
        <v>330</v>
      </c>
      <c r="AC569" s="18" t="s">
        <v>333</v>
      </c>
      <c r="AD569" s="18" t="s">
        <v>334</v>
      </c>
      <c r="AE569" s="18">
        <v>20</v>
      </c>
      <c r="AF569" s="18">
        <v>14.5</v>
      </c>
      <c r="AG569" s="18" t="s">
        <v>32</v>
      </c>
      <c r="AH569" s="18" t="s">
        <v>32</v>
      </c>
      <c r="AI569" s="18" t="str">
        <f>+VLOOKUP(AH569,Leyenda!$O$4:$U$10,6,FALSE)</f>
        <v>0,15-0,25</v>
      </c>
      <c r="AJ569" s="18" t="str">
        <f>+VLOOKUP(AG569,Leyenda!$O$4:$U$10,7,FALSE)</f>
        <v>No Blasting need</v>
      </c>
      <c r="AK569" s="18">
        <f>+VLOOKUP(AJ569,Leyenda!$U$4:$V$10,2,FALSE)</f>
        <v>2</v>
      </c>
      <c r="AL569" s="18" t="s">
        <v>32</v>
      </c>
      <c r="AM569" s="18" t="s">
        <v>32</v>
      </c>
      <c r="AN569" s="18" t="s">
        <v>64</v>
      </c>
      <c r="AO569" s="18" t="s">
        <v>81</v>
      </c>
      <c r="AP569" s="18" t="s">
        <v>96</v>
      </c>
      <c r="AQ569" s="18" t="s">
        <v>109</v>
      </c>
      <c r="AR569" s="18" t="s">
        <v>120</v>
      </c>
      <c r="AS569" s="18" t="s">
        <v>267</v>
      </c>
      <c r="AT569" s="18"/>
      <c r="AU569" s="18"/>
      <c r="AV569" s="18">
        <f>+VLOOKUP(AN569,Leyenda!$B$30:$E$34,3,FALSE)</f>
        <v>2</v>
      </c>
      <c r="AW569" s="36">
        <f>+VLOOKUP('2. Logging Brejo Seco'!AO569,Meteorizacion,3,FALSE)</f>
        <v>0</v>
      </c>
      <c r="AX569" s="36">
        <f>+VLOOKUP('2. Logging Brejo Seco'!AP569,Apertura,3,FALSE)</f>
        <v>1</v>
      </c>
      <c r="AY569" s="36">
        <f>+VLOOKUP('2. Logging Brejo Seco'!AQ569,Leyenda!$B$55:$D$59,3,FALSE)</f>
        <v>1</v>
      </c>
      <c r="AZ569" s="36">
        <f>+VLOOKUP('2. Logging Brejo Seco'!AR569,Relleno,3,FALSE)</f>
        <v>2</v>
      </c>
      <c r="BA569" s="36">
        <f t="shared" si="193"/>
        <v>6</v>
      </c>
      <c r="BB569" s="49">
        <f t="shared" si="197"/>
        <v>5</v>
      </c>
      <c r="BC569" s="49">
        <f>VLOOKUP(AH569,Leyenda!$B$4:$D$10,3,FALSE)</f>
        <v>1</v>
      </c>
      <c r="BD569" s="50">
        <f t="shared" si="181"/>
        <v>7</v>
      </c>
      <c r="BE569" s="49">
        <f t="shared" si="186"/>
        <v>6</v>
      </c>
      <c r="BF569" s="49">
        <f>VLOOKUP(AS569,Leyenda!$B$70:$D$75,3,FALSE)</f>
        <v>15</v>
      </c>
      <c r="BG569" s="67">
        <f t="shared" si="198"/>
        <v>21</v>
      </c>
      <c r="BH569" s="67">
        <f>VLOOKUP(AG569,Leyenda!$B$4:$E$10,4,FALSE)</f>
        <v>1</v>
      </c>
      <c r="BI569" s="67">
        <f t="shared" si="182"/>
        <v>8</v>
      </c>
      <c r="BJ569" s="67">
        <f t="shared" si="199"/>
        <v>5</v>
      </c>
      <c r="BK569" s="67">
        <f>+VLOOKUP('2. Logging Brejo Seco'!AP569,Leyenda!$B$47:$E$51,4,FALSE)</f>
        <v>1</v>
      </c>
      <c r="BL569" s="67">
        <f>+VLOOKUP('2. Logging Brejo Seco'!AQ569,Leyenda!$B$55:$E$59,4,FALSE)</f>
        <v>1</v>
      </c>
      <c r="BM569" s="67">
        <f>+VLOOKUP('2. Logging Brejo Seco'!AR569,Leyenda!$B$63:$E$67,3,FALSE)</f>
        <v>2</v>
      </c>
      <c r="BN569" s="67">
        <f>+VLOOKUP('2. Logging Brejo Seco'!AO569,Leyenda!$B$39:$E$43,4,FALSE)</f>
        <v>0</v>
      </c>
      <c r="BO569" s="67">
        <f>+VLOOKUP('2. Logging Brejo Seco'!AN569,Leyenda!$B$30:$E$34,4,FALSE)</f>
        <v>3</v>
      </c>
      <c r="BP569" s="67">
        <f>VLOOKUP(AS569,Leyenda!$B$71:$E$75,4,FALSE)</f>
        <v>10</v>
      </c>
      <c r="BQ569" s="125">
        <f t="shared" si="187"/>
        <v>31</v>
      </c>
      <c r="BR569" s="85">
        <f t="shared" si="188"/>
        <v>34</v>
      </c>
      <c r="BS569" s="240">
        <f t="shared" si="183"/>
        <v>0.42000000000000004</v>
      </c>
      <c r="BT569" s="18"/>
    </row>
    <row r="570" spans="1:72" x14ac:dyDescent="0.25">
      <c r="A570" s="18" t="s">
        <v>6</v>
      </c>
      <c r="B570" s="18">
        <v>2024</v>
      </c>
      <c r="C570" s="18" t="s">
        <v>138</v>
      </c>
      <c r="D570" s="18" t="s">
        <v>266</v>
      </c>
      <c r="E570" s="18">
        <v>40</v>
      </c>
      <c r="F570" s="18">
        <v>40</v>
      </c>
      <c r="G570" s="18" t="s">
        <v>153</v>
      </c>
      <c r="H570" s="248">
        <f t="shared" si="190"/>
        <v>40</v>
      </c>
      <c r="I570" s="135"/>
      <c r="J570" s="18" t="s">
        <v>299</v>
      </c>
      <c r="K570" s="31">
        <f t="shared" si="179"/>
        <v>31</v>
      </c>
      <c r="L570" s="31">
        <f t="shared" si="180"/>
        <v>31.5</v>
      </c>
      <c r="M570" s="4">
        <f t="shared" si="189"/>
        <v>0.5</v>
      </c>
      <c r="N570" s="32">
        <v>0.8</v>
      </c>
      <c r="O570" s="5">
        <f t="shared" si="200"/>
        <v>0.19999999999999996</v>
      </c>
      <c r="P570" s="31">
        <f t="shared" si="184"/>
        <v>0.4</v>
      </c>
      <c r="Q570" s="18">
        <f t="shared" si="185"/>
        <v>0.4</v>
      </c>
      <c r="R570" s="18">
        <v>20</v>
      </c>
      <c r="S570" s="18">
        <v>20</v>
      </c>
      <c r="T570" s="18">
        <v>0.35</v>
      </c>
      <c r="U570" s="18">
        <v>0.27</v>
      </c>
      <c r="V570" s="65">
        <f t="shared" si="191"/>
        <v>54</v>
      </c>
      <c r="W570" s="18">
        <v>2</v>
      </c>
      <c r="X570" s="18"/>
      <c r="Y570" s="18">
        <v>5</v>
      </c>
      <c r="Z570" s="31">
        <f t="shared" si="192"/>
        <v>100</v>
      </c>
      <c r="AA570" s="18">
        <v>0</v>
      </c>
      <c r="AB570" s="18" t="s">
        <v>330</v>
      </c>
      <c r="AC570" s="18" t="s">
        <v>333</v>
      </c>
      <c r="AD570" s="18" t="s">
        <v>334</v>
      </c>
      <c r="AE570" s="18">
        <v>20</v>
      </c>
      <c r="AF570" s="18">
        <v>20</v>
      </c>
      <c r="AG570" s="18" t="s">
        <v>29</v>
      </c>
      <c r="AH570" s="18" t="s">
        <v>29</v>
      </c>
      <c r="AI570" s="18" t="str">
        <f>+VLOOKUP(AH570,Leyenda!$O$4:$U$10,6,FALSE)</f>
        <v>0,25-0,35</v>
      </c>
      <c r="AJ570" s="18" t="str">
        <f>+VLOOKUP(AG570,Leyenda!$O$4:$U$10,7,FALSE)</f>
        <v>No Blasting need</v>
      </c>
      <c r="AK570" s="18">
        <f>+VLOOKUP(AJ570,Leyenda!$U$4:$V$10,2,FALSE)</f>
        <v>2</v>
      </c>
      <c r="AL570" s="18" t="s">
        <v>29</v>
      </c>
      <c r="AM570" s="18" t="s">
        <v>29</v>
      </c>
      <c r="AN570" s="18" t="s">
        <v>64</v>
      </c>
      <c r="AO570" s="18" t="s">
        <v>79</v>
      </c>
      <c r="AP570" s="18" t="s">
        <v>96</v>
      </c>
      <c r="AQ570" s="18" t="s">
        <v>107</v>
      </c>
      <c r="AR570" s="18" t="s">
        <v>120</v>
      </c>
      <c r="AS570" s="18" t="s">
        <v>267</v>
      </c>
      <c r="AT570" s="18" t="s">
        <v>283</v>
      </c>
      <c r="AU570" s="18"/>
      <c r="AV570" s="18">
        <f>+VLOOKUP(AN570,Leyenda!$B$30:$E$34,3,FALSE)</f>
        <v>2</v>
      </c>
      <c r="AW570" s="36">
        <f>+VLOOKUP('2. Logging Brejo Seco'!AO570,Meteorizacion,3,FALSE)</f>
        <v>1</v>
      </c>
      <c r="AX570" s="36">
        <f>+VLOOKUP('2. Logging Brejo Seco'!AP570,Apertura,3,FALSE)</f>
        <v>1</v>
      </c>
      <c r="AY570" s="36">
        <f>+VLOOKUP('2. Logging Brejo Seco'!AQ570,Leyenda!$B$55:$D$59,3,FALSE)</f>
        <v>3</v>
      </c>
      <c r="AZ570" s="36">
        <f>+VLOOKUP('2. Logging Brejo Seco'!AR570,Relleno,3,FALSE)</f>
        <v>2</v>
      </c>
      <c r="BA570" s="36">
        <f t="shared" si="193"/>
        <v>9</v>
      </c>
      <c r="BB570" s="49">
        <f t="shared" si="197"/>
        <v>11</v>
      </c>
      <c r="BC570" s="49">
        <f>VLOOKUP(AH570,Leyenda!$B$4:$D$10,3,FALSE)</f>
        <v>2</v>
      </c>
      <c r="BD570" s="50">
        <f t="shared" si="181"/>
        <v>7</v>
      </c>
      <c r="BE570" s="49">
        <f t="shared" si="186"/>
        <v>9</v>
      </c>
      <c r="BF570" s="49">
        <f>VLOOKUP(AS570,Leyenda!$B$70:$D$75,3,FALSE)</f>
        <v>15</v>
      </c>
      <c r="BG570" s="67">
        <f t="shared" si="198"/>
        <v>40.5</v>
      </c>
      <c r="BH570" s="67">
        <f>VLOOKUP(AG570,Leyenda!$B$4:$E$10,4,FALSE)</f>
        <v>2</v>
      </c>
      <c r="BI570" s="67">
        <f t="shared" si="182"/>
        <v>8</v>
      </c>
      <c r="BJ570" s="67">
        <f t="shared" si="199"/>
        <v>11</v>
      </c>
      <c r="BK570" s="67">
        <f>+VLOOKUP('2. Logging Brejo Seco'!AP570,Leyenda!$B$47:$E$51,4,FALSE)</f>
        <v>1</v>
      </c>
      <c r="BL570" s="67">
        <f>+VLOOKUP('2. Logging Brejo Seco'!AQ570,Leyenda!$B$55:$E$59,4,FALSE)</f>
        <v>3</v>
      </c>
      <c r="BM570" s="67">
        <f>+VLOOKUP('2. Logging Brejo Seco'!AR570,Leyenda!$B$63:$E$67,3,FALSE)</f>
        <v>2</v>
      </c>
      <c r="BN570" s="67">
        <f>+VLOOKUP('2. Logging Brejo Seco'!AO570,Leyenda!$B$39:$E$43,4,FALSE)</f>
        <v>1</v>
      </c>
      <c r="BO570" s="67">
        <f>+VLOOKUP('2. Logging Brejo Seco'!AN570,Leyenda!$B$30:$E$34,4,FALSE)</f>
        <v>3</v>
      </c>
      <c r="BP570" s="67">
        <f>VLOOKUP(AS570,Leyenda!$B$71:$E$75,4,FALSE)</f>
        <v>10</v>
      </c>
      <c r="BQ570" s="125">
        <f t="shared" si="187"/>
        <v>41</v>
      </c>
      <c r="BR570" s="85">
        <f t="shared" si="188"/>
        <v>44</v>
      </c>
      <c r="BS570" s="240">
        <f t="shared" si="183"/>
        <v>0.19999999999999996</v>
      </c>
      <c r="BT570" s="18"/>
    </row>
    <row r="571" spans="1:72" x14ac:dyDescent="0.25">
      <c r="A571" s="18" t="s">
        <v>6</v>
      </c>
      <c r="B571" s="18">
        <v>2024</v>
      </c>
      <c r="C571" s="18" t="s">
        <v>138</v>
      </c>
      <c r="D571" s="18" t="s">
        <v>266</v>
      </c>
      <c r="E571" s="18">
        <v>40</v>
      </c>
      <c r="F571" s="18">
        <v>40</v>
      </c>
      <c r="G571" s="18" t="s">
        <v>153</v>
      </c>
      <c r="H571" s="248">
        <f t="shared" si="190"/>
        <v>40</v>
      </c>
      <c r="I571" s="135"/>
      <c r="J571" s="18" t="s">
        <v>299</v>
      </c>
      <c r="K571" s="31">
        <f t="shared" si="179"/>
        <v>31.5</v>
      </c>
      <c r="L571" s="31">
        <f t="shared" si="180"/>
        <v>32</v>
      </c>
      <c r="M571" s="4">
        <f t="shared" si="189"/>
        <v>0.5</v>
      </c>
      <c r="N571" s="32">
        <v>0.7</v>
      </c>
      <c r="O571" s="5">
        <f t="shared" si="200"/>
        <v>0.30000000000000004</v>
      </c>
      <c r="P571" s="31">
        <f t="shared" si="184"/>
        <v>0.35</v>
      </c>
      <c r="Q571" s="18">
        <f t="shared" si="185"/>
        <v>0.35</v>
      </c>
      <c r="R571" s="18">
        <v>17.5</v>
      </c>
      <c r="S571" s="18">
        <v>20</v>
      </c>
      <c r="T571" s="18">
        <v>0.28000000000000003</v>
      </c>
      <c r="U571" s="18">
        <v>0.26</v>
      </c>
      <c r="V571" s="65">
        <f t="shared" si="191"/>
        <v>52</v>
      </c>
      <c r="W571" s="18">
        <v>2</v>
      </c>
      <c r="X571" s="18"/>
      <c r="Y571" s="18">
        <v>5</v>
      </c>
      <c r="Z571" s="31">
        <f t="shared" si="192"/>
        <v>100</v>
      </c>
      <c r="AA571" s="18">
        <v>0</v>
      </c>
      <c r="AB571" s="18" t="s">
        <v>330</v>
      </c>
      <c r="AC571" s="18" t="s">
        <v>333</v>
      </c>
      <c r="AD571" s="18" t="s">
        <v>334</v>
      </c>
      <c r="AE571" s="18">
        <v>20</v>
      </c>
      <c r="AF571" s="18">
        <v>17.5</v>
      </c>
      <c r="AG571" s="18" t="s">
        <v>29</v>
      </c>
      <c r="AH571" s="18" t="s">
        <v>29</v>
      </c>
      <c r="AI571" s="18" t="str">
        <f>+VLOOKUP(AH571,Leyenda!$O$4:$U$10,6,FALSE)</f>
        <v>0,25-0,35</v>
      </c>
      <c r="AJ571" s="18" t="str">
        <f>+VLOOKUP(AG571,Leyenda!$O$4:$U$10,7,FALSE)</f>
        <v>No Blasting need</v>
      </c>
      <c r="AK571" s="18">
        <f>+VLOOKUP(AJ571,Leyenda!$U$4:$V$10,2,FALSE)</f>
        <v>2</v>
      </c>
      <c r="AL571" s="18" t="s">
        <v>32</v>
      </c>
      <c r="AM571" s="18" t="s">
        <v>32</v>
      </c>
      <c r="AN571" s="18" t="s">
        <v>64</v>
      </c>
      <c r="AO571" s="18" t="s">
        <v>79</v>
      </c>
      <c r="AP571" s="18" t="s">
        <v>96</v>
      </c>
      <c r="AQ571" s="18" t="s">
        <v>107</v>
      </c>
      <c r="AR571" s="18" t="s">
        <v>120</v>
      </c>
      <c r="AS571" s="18" t="s">
        <v>267</v>
      </c>
      <c r="AT571" s="18" t="s">
        <v>284</v>
      </c>
      <c r="AU571" s="18"/>
      <c r="AV571" s="18">
        <f>+VLOOKUP(AN571,Leyenda!$B$30:$E$34,3,FALSE)</f>
        <v>2</v>
      </c>
      <c r="AW571" s="36">
        <f>+VLOOKUP('2. Logging Brejo Seco'!AO571,Meteorizacion,3,FALSE)</f>
        <v>1</v>
      </c>
      <c r="AX571" s="36">
        <f>+VLOOKUP('2. Logging Brejo Seco'!AP571,Apertura,3,FALSE)</f>
        <v>1</v>
      </c>
      <c r="AY571" s="36">
        <f>+VLOOKUP('2. Logging Brejo Seco'!AQ571,Leyenda!$B$55:$D$59,3,FALSE)</f>
        <v>3</v>
      </c>
      <c r="AZ571" s="36">
        <f>+VLOOKUP('2. Logging Brejo Seco'!AR571,Relleno,3,FALSE)</f>
        <v>2</v>
      </c>
      <c r="BA571" s="36">
        <f t="shared" si="193"/>
        <v>9</v>
      </c>
      <c r="BB571" s="49">
        <f t="shared" si="197"/>
        <v>11</v>
      </c>
      <c r="BC571" s="49">
        <f>VLOOKUP(AH571,Leyenda!$B$4:$D$10,3,FALSE)</f>
        <v>2</v>
      </c>
      <c r="BD571" s="50">
        <f t="shared" si="181"/>
        <v>7</v>
      </c>
      <c r="BE571" s="49">
        <f t="shared" si="186"/>
        <v>9</v>
      </c>
      <c r="BF571" s="49">
        <f>VLOOKUP(AS571,Leyenda!$B$70:$D$75,3,FALSE)</f>
        <v>15</v>
      </c>
      <c r="BG571" s="67">
        <f t="shared" si="198"/>
        <v>39.5</v>
      </c>
      <c r="BH571" s="67">
        <f>VLOOKUP(AG571,Leyenda!$B$4:$E$10,4,FALSE)</f>
        <v>2</v>
      </c>
      <c r="BI571" s="67">
        <f t="shared" si="182"/>
        <v>8</v>
      </c>
      <c r="BJ571" s="67">
        <f t="shared" si="199"/>
        <v>11</v>
      </c>
      <c r="BK571" s="67">
        <f>+VLOOKUP('2. Logging Brejo Seco'!AP571,Leyenda!$B$47:$E$51,4,FALSE)</f>
        <v>1</v>
      </c>
      <c r="BL571" s="67">
        <f>+VLOOKUP('2. Logging Brejo Seco'!AQ571,Leyenda!$B$55:$E$59,4,FALSE)</f>
        <v>3</v>
      </c>
      <c r="BM571" s="67">
        <f>+VLOOKUP('2. Logging Brejo Seco'!AR571,Leyenda!$B$63:$E$67,3,FALSE)</f>
        <v>2</v>
      </c>
      <c r="BN571" s="67">
        <f>+VLOOKUP('2. Logging Brejo Seco'!AO571,Leyenda!$B$39:$E$43,4,FALSE)</f>
        <v>1</v>
      </c>
      <c r="BO571" s="67">
        <f>+VLOOKUP('2. Logging Brejo Seco'!AN571,Leyenda!$B$30:$E$34,4,FALSE)</f>
        <v>3</v>
      </c>
      <c r="BP571" s="67">
        <f>VLOOKUP(AS571,Leyenda!$B$71:$E$75,4,FALSE)</f>
        <v>10</v>
      </c>
      <c r="BQ571" s="125">
        <f t="shared" si="187"/>
        <v>41</v>
      </c>
      <c r="BR571" s="85">
        <f t="shared" si="188"/>
        <v>44</v>
      </c>
      <c r="BS571" s="240">
        <f t="shared" si="183"/>
        <v>0.30000000000000004</v>
      </c>
      <c r="BT571" s="18"/>
    </row>
    <row r="572" spans="1:72" x14ac:dyDescent="0.25">
      <c r="A572" s="18" t="s">
        <v>6</v>
      </c>
      <c r="B572" s="18">
        <v>2024</v>
      </c>
      <c r="C572" s="18" t="s">
        <v>138</v>
      </c>
      <c r="D572" s="18" t="s">
        <v>266</v>
      </c>
      <c r="E572" s="18">
        <v>40</v>
      </c>
      <c r="F572" s="18">
        <v>40</v>
      </c>
      <c r="G572" s="18" t="s">
        <v>153</v>
      </c>
      <c r="H572" s="248">
        <f t="shared" si="190"/>
        <v>40</v>
      </c>
      <c r="I572" s="135"/>
      <c r="J572" s="18" t="s">
        <v>299</v>
      </c>
      <c r="K572" s="31">
        <f t="shared" si="179"/>
        <v>32</v>
      </c>
      <c r="L572" s="31">
        <f t="shared" si="180"/>
        <v>32.5</v>
      </c>
      <c r="M572" s="4">
        <f t="shared" si="189"/>
        <v>0.5</v>
      </c>
      <c r="N572" s="32">
        <v>0.8</v>
      </c>
      <c r="O572" s="5">
        <f t="shared" si="200"/>
        <v>0.19999999999999996</v>
      </c>
      <c r="P572" s="31">
        <f t="shared" si="184"/>
        <v>0.4</v>
      </c>
      <c r="Q572" s="18">
        <f t="shared" si="185"/>
        <v>0.4</v>
      </c>
      <c r="R572" s="18">
        <v>20</v>
      </c>
      <c r="S572" s="18">
        <v>20</v>
      </c>
      <c r="T572" s="18">
        <v>0.32</v>
      </c>
      <c r="U572" s="18">
        <v>0.12</v>
      </c>
      <c r="V572" s="65">
        <f t="shared" si="191"/>
        <v>24</v>
      </c>
      <c r="W572" s="18">
        <v>4</v>
      </c>
      <c r="X572" s="18"/>
      <c r="Y572" s="18">
        <f t="shared" si="178"/>
        <v>4</v>
      </c>
      <c r="Z572" s="31">
        <f t="shared" si="192"/>
        <v>125</v>
      </c>
      <c r="AA572" s="18">
        <v>0</v>
      </c>
      <c r="AB572" s="18" t="s">
        <v>330</v>
      </c>
      <c r="AC572" s="18" t="s">
        <v>333</v>
      </c>
      <c r="AD572" s="18" t="s">
        <v>334</v>
      </c>
      <c r="AE572" s="18">
        <v>20</v>
      </c>
      <c r="AF572" s="18">
        <v>20</v>
      </c>
      <c r="AG572" s="18" t="s">
        <v>29</v>
      </c>
      <c r="AH572" s="18" t="s">
        <v>29</v>
      </c>
      <c r="AI572" s="18" t="str">
        <f>+VLOOKUP(AH572,Leyenda!$O$4:$U$10,6,FALSE)</f>
        <v>0,25-0,35</v>
      </c>
      <c r="AJ572" s="18" t="str">
        <f>+VLOOKUP(AG572,Leyenda!$O$4:$U$10,7,FALSE)</f>
        <v>No Blasting need</v>
      </c>
      <c r="AK572" s="18">
        <f>+VLOOKUP(AJ572,Leyenda!$U$4:$V$10,2,FALSE)</f>
        <v>2</v>
      </c>
      <c r="AL572" s="18" t="s">
        <v>27</v>
      </c>
      <c r="AM572" s="18" t="s">
        <v>27</v>
      </c>
      <c r="AN572" s="18" t="s">
        <v>64</v>
      </c>
      <c r="AO572" s="18" t="s">
        <v>77</v>
      </c>
      <c r="AP572" s="18" t="s">
        <v>96</v>
      </c>
      <c r="AQ572" s="18" t="s">
        <v>107</v>
      </c>
      <c r="AR572" s="18" t="s">
        <v>118</v>
      </c>
      <c r="AS572" s="18" t="s">
        <v>267</v>
      </c>
      <c r="AT572" s="18" t="s">
        <v>205</v>
      </c>
      <c r="AU572" s="18"/>
      <c r="AV572" s="18">
        <f>+VLOOKUP(AN572,Leyenda!$B$30:$E$34,3,FALSE)</f>
        <v>2</v>
      </c>
      <c r="AW572" s="36">
        <f>+VLOOKUP('2. Logging Brejo Seco'!AO572,Meteorizacion,3,FALSE)</f>
        <v>3</v>
      </c>
      <c r="AX572" s="36">
        <f>+VLOOKUP('2. Logging Brejo Seco'!AP572,Apertura,3,FALSE)</f>
        <v>1</v>
      </c>
      <c r="AY572" s="36">
        <f>+VLOOKUP('2. Logging Brejo Seco'!AQ572,Leyenda!$B$55:$D$59,3,FALSE)</f>
        <v>3</v>
      </c>
      <c r="AZ572" s="36">
        <f>+VLOOKUP('2. Logging Brejo Seco'!AR572,Relleno,3,FALSE)</f>
        <v>2</v>
      </c>
      <c r="BA572" s="36">
        <f t="shared" si="193"/>
        <v>11</v>
      </c>
      <c r="BB572" s="49">
        <f t="shared" si="197"/>
        <v>5</v>
      </c>
      <c r="BC572" s="49">
        <f>VLOOKUP(AH572,Leyenda!$B$4:$D$10,3,FALSE)</f>
        <v>2</v>
      </c>
      <c r="BD572" s="50">
        <f t="shared" si="181"/>
        <v>8</v>
      </c>
      <c r="BE572" s="49">
        <f t="shared" si="186"/>
        <v>11</v>
      </c>
      <c r="BF572" s="49">
        <f>VLOOKUP(AS572,Leyenda!$B$70:$D$75,3,FALSE)</f>
        <v>15</v>
      </c>
      <c r="BG572" s="67">
        <f t="shared" si="198"/>
        <v>28.5</v>
      </c>
      <c r="BH572" s="67">
        <f>VLOOKUP(AG572,Leyenda!$B$4:$E$10,4,FALSE)</f>
        <v>2</v>
      </c>
      <c r="BI572" s="67">
        <f t="shared" si="182"/>
        <v>10</v>
      </c>
      <c r="BJ572" s="67">
        <f t="shared" si="199"/>
        <v>5</v>
      </c>
      <c r="BK572" s="67">
        <f>+VLOOKUP('2. Logging Brejo Seco'!AP572,Leyenda!$B$47:$E$51,4,FALSE)</f>
        <v>1</v>
      </c>
      <c r="BL572" s="67">
        <f>+VLOOKUP('2. Logging Brejo Seco'!AQ572,Leyenda!$B$55:$E$59,4,FALSE)</f>
        <v>3</v>
      </c>
      <c r="BM572" s="67">
        <f>+VLOOKUP('2. Logging Brejo Seco'!AR572,Leyenda!$B$63:$E$67,3,FALSE)</f>
        <v>2</v>
      </c>
      <c r="BN572" s="67">
        <f>+VLOOKUP('2. Logging Brejo Seco'!AO572,Leyenda!$B$39:$E$43,4,FALSE)</f>
        <v>3</v>
      </c>
      <c r="BO572" s="67">
        <f>+VLOOKUP('2. Logging Brejo Seco'!AN572,Leyenda!$B$30:$E$34,4,FALSE)</f>
        <v>3</v>
      </c>
      <c r="BP572" s="67">
        <f>VLOOKUP(AS572,Leyenda!$B$71:$E$75,4,FALSE)</f>
        <v>10</v>
      </c>
      <c r="BQ572" s="125">
        <f t="shared" si="187"/>
        <v>39</v>
      </c>
      <c r="BR572" s="85">
        <f t="shared" si="188"/>
        <v>41</v>
      </c>
      <c r="BS572" s="240">
        <f t="shared" si="183"/>
        <v>0.19999999999999996</v>
      </c>
      <c r="BT572" s="18"/>
    </row>
    <row r="573" spans="1:72" x14ac:dyDescent="0.25">
      <c r="A573" s="18" t="s">
        <v>6</v>
      </c>
      <c r="B573" s="18">
        <v>2024</v>
      </c>
      <c r="C573" s="18" t="s">
        <v>138</v>
      </c>
      <c r="D573" s="18" t="s">
        <v>266</v>
      </c>
      <c r="E573" s="18">
        <v>40</v>
      </c>
      <c r="F573" s="18">
        <v>40</v>
      </c>
      <c r="G573" s="18" t="s">
        <v>153</v>
      </c>
      <c r="H573" s="248">
        <f t="shared" si="190"/>
        <v>40</v>
      </c>
      <c r="I573" s="135"/>
      <c r="J573" s="18" t="s">
        <v>299</v>
      </c>
      <c r="K573" s="31">
        <f t="shared" si="179"/>
        <v>32.5</v>
      </c>
      <c r="L573" s="31">
        <f t="shared" si="180"/>
        <v>33</v>
      </c>
      <c r="M573" s="4">
        <f t="shared" si="189"/>
        <v>0.5</v>
      </c>
      <c r="N573" s="32">
        <v>0.74</v>
      </c>
      <c r="O573" s="5">
        <f t="shared" si="200"/>
        <v>0.26</v>
      </c>
      <c r="P573" s="31">
        <f t="shared" si="184"/>
        <v>0.37</v>
      </c>
      <c r="Q573" s="18">
        <f t="shared" si="185"/>
        <v>0.37</v>
      </c>
      <c r="R573" s="18">
        <v>18.5</v>
      </c>
      <c r="S573" s="18">
        <v>20</v>
      </c>
      <c r="T573" s="18">
        <v>0.32</v>
      </c>
      <c r="U573" s="18">
        <v>0.32</v>
      </c>
      <c r="V573" s="65">
        <f t="shared" si="191"/>
        <v>64</v>
      </c>
      <c r="W573" s="18">
        <v>3</v>
      </c>
      <c r="X573" s="18"/>
      <c r="Y573" s="18">
        <f t="shared" si="178"/>
        <v>3</v>
      </c>
      <c r="Z573" s="31">
        <f t="shared" si="192"/>
        <v>166.66666666666666</v>
      </c>
      <c r="AA573" s="18">
        <v>0</v>
      </c>
      <c r="AB573" s="18" t="s">
        <v>330</v>
      </c>
      <c r="AC573" s="18" t="s">
        <v>333</v>
      </c>
      <c r="AD573" s="18" t="s">
        <v>334</v>
      </c>
      <c r="AE573" s="18">
        <v>20</v>
      </c>
      <c r="AF573" s="18">
        <v>18.5</v>
      </c>
      <c r="AG573" s="18" t="s">
        <v>29</v>
      </c>
      <c r="AH573" s="18" t="s">
        <v>29</v>
      </c>
      <c r="AI573" s="18" t="str">
        <f>+VLOOKUP(AH573,Leyenda!$O$4:$U$10,6,FALSE)</f>
        <v>0,25-0,35</v>
      </c>
      <c r="AJ573" s="18" t="str">
        <f>+VLOOKUP(AG573,Leyenda!$O$4:$U$10,7,FALSE)</f>
        <v>No Blasting need</v>
      </c>
      <c r="AK573" s="18">
        <f>+VLOOKUP(AJ573,Leyenda!$U$4:$V$10,2,FALSE)</f>
        <v>2</v>
      </c>
      <c r="AL573" s="18" t="s">
        <v>27</v>
      </c>
      <c r="AM573" s="18" t="s">
        <v>27</v>
      </c>
      <c r="AN573" s="18" t="s">
        <v>64</v>
      </c>
      <c r="AO573" s="18" t="s">
        <v>77</v>
      </c>
      <c r="AP573" s="18" t="s">
        <v>96</v>
      </c>
      <c r="AQ573" s="18" t="s">
        <v>107</v>
      </c>
      <c r="AR573" s="18" t="s">
        <v>118</v>
      </c>
      <c r="AS573" s="18" t="s">
        <v>267</v>
      </c>
      <c r="AT573" s="18" t="s">
        <v>205</v>
      </c>
      <c r="AU573" s="18"/>
      <c r="AV573" s="18">
        <f>+VLOOKUP(AN573,Leyenda!$B$30:$E$34,3,FALSE)</f>
        <v>2</v>
      </c>
      <c r="AW573" s="36">
        <f>+VLOOKUP('2. Logging Brejo Seco'!AO573,Meteorizacion,3,FALSE)</f>
        <v>3</v>
      </c>
      <c r="AX573" s="36">
        <f>+VLOOKUP('2. Logging Brejo Seco'!AP573,Apertura,3,FALSE)</f>
        <v>1</v>
      </c>
      <c r="AY573" s="36">
        <f>+VLOOKUP('2. Logging Brejo Seco'!AQ573,Leyenda!$B$55:$D$59,3,FALSE)</f>
        <v>3</v>
      </c>
      <c r="AZ573" s="36">
        <f>+VLOOKUP('2. Logging Brejo Seco'!AR573,Relleno,3,FALSE)</f>
        <v>2</v>
      </c>
      <c r="BA573" s="36">
        <f t="shared" si="193"/>
        <v>11</v>
      </c>
      <c r="BB573" s="49">
        <f t="shared" si="197"/>
        <v>13</v>
      </c>
      <c r="BC573" s="49">
        <f>VLOOKUP(AH573,Leyenda!$B$4:$D$10,3,FALSE)</f>
        <v>2</v>
      </c>
      <c r="BD573" s="50">
        <f t="shared" si="181"/>
        <v>9</v>
      </c>
      <c r="BE573" s="49">
        <f t="shared" si="186"/>
        <v>11</v>
      </c>
      <c r="BF573" s="49">
        <f>VLOOKUP(AS573,Leyenda!$B$70:$D$75,3,FALSE)</f>
        <v>15</v>
      </c>
      <c r="BG573" s="67">
        <f t="shared" si="198"/>
        <v>48.5</v>
      </c>
      <c r="BH573" s="67">
        <f>VLOOKUP(AG573,Leyenda!$B$4:$E$10,4,FALSE)</f>
        <v>2</v>
      </c>
      <c r="BI573" s="67">
        <f t="shared" si="182"/>
        <v>11</v>
      </c>
      <c r="BJ573" s="67">
        <f t="shared" si="199"/>
        <v>13</v>
      </c>
      <c r="BK573" s="67">
        <f>+VLOOKUP('2. Logging Brejo Seco'!AP573,Leyenda!$B$47:$E$51,4,FALSE)</f>
        <v>1</v>
      </c>
      <c r="BL573" s="67">
        <f>+VLOOKUP('2. Logging Brejo Seco'!AQ573,Leyenda!$B$55:$E$59,4,FALSE)</f>
        <v>3</v>
      </c>
      <c r="BM573" s="67">
        <f>+VLOOKUP('2. Logging Brejo Seco'!AR573,Leyenda!$B$63:$E$67,3,FALSE)</f>
        <v>2</v>
      </c>
      <c r="BN573" s="67">
        <f>+VLOOKUP('2. Logging Brejo Seco'!AO573,Leyenda!$B$39:$E$43,4,FALSE)</f>
        <v>3</v>
      </c>
      <c r="BO573" s="67">
        <f>+VLOOKUP('2. Logging Brejo Seco'!AN573,Leyenda!$B$30:$E$34,4,FALSE)</f>
        <v>3</v>
      </c>
      <c r="BP573" s="67">
        <f>VLOOKUP(AS573,Leyenda!$B$71:$E$75,4,FALSE)</f>
        <v>10</v>
      </c>
      <c r="BQ573" s="125">
        <f t="shared" si="187"/>
        <v>48</v>
      </c>
      <c r="BR573" s="85">
        <f t="shared" si="188"/>
        <v>50</v>
      </c>
      <c r="BS573" s="240">
        <f t="shared" si="183"/>
        <v>0.26</v>
      </c>
      <c r="BT573" s="18"/>
    </row>
    <row r="574" spans="1:72" x14ac:dyDescent="0.25">
      <c r="A574" s="18" t="s">
        <v>6</v>
      </c>
      <c r="B574" s="18">
        <v>2024</v>
      </c>
      <c r="C574" s="18" t="s">
        <v>138</v>
      </c>
      <c r="D574" s="18" t="s">
        <v>266</v>
      </c>
      <c r="E574" s="18">
        <v>40</v>
      </c>
      <c r="F574" s="18">
        <v>40</v>
      </c>
      <c r="G574" s="18" t="s">
        <v>153</v>
      </c>
      <c r="H574" s="248">
        <f t="shared" si="190"/>
        <v>40</v>
      </c>
      <c r="I574" s="135"/>
      <c r="J574" s="18" t="s">
        <v>299</v>
      </c>
      <c r="K574" s="31">
        <f t="shared" si="179"/>
        <v>33</v>
      </c>
      <c r="L574" s="31">
        <f t="shared" si="180"/>
        <v>33.5</v>
      </c>
      <c r="M574" s="4">
        <f t="shared" si="189"/>
        <v>0.5</v>
      </c>
      <c r="N574" s="32">
        <v>0.46</v>
      </c>
      <c r="O574" s="5">
        <f t="shared" si="200"/>
        <v>0.54</v>
      </c>
      <c r="P574" s="31">
        <f t="shared" si="184"/>
        <v>0.23</v>
      </c>
      <c r="Q574" s="18">
        <f t="shared" si="185"/>
        <v>0.23</v>
      </c>
      <c r="R574" s="18">
        <v>11.5</v>
      </c>
      <c r="S574" s="18">
        <v>20</v>
      </c>
      <c r="T574" s="18">
        <v>0.15</v>
      </c>
      <c r="U574" s="18">
        <v>0.1</v>
      </c>
      <c r="V574" s="65">
        <f t="shared" si="191"/>
        <v>20</v>
      </c>
      <c r="W574" s="18">
        <v>2</v>
      </c>
      <c r="X574" s="18"/>
      <c r="Y574" s="18">
        <v>5</v>
      </c>
      <c r="Z574" s="31">
        <f t="shared" si="192"/>
        <v>100</v>
      </c>
      <c r="AA574" s="18">
        <v>0</v>
      </c>
      <c r="AB574" s="18" t="s">
        <v>330</v>
      </c>
      <c r="AC574" s="18" t="s">
        <v>333</v>
      </c>
      <c r="AD574" s="18" t="s">
        <v>334</v>
      </c>
      <c r="AE574" s="18">
        <v>20</v>
      </c>
      <c r="AF574" s="18">
        <v>11.5</v>
      </c>
      <c r="AG574" s="18" t="s">
        <v>29</v>
      </c>
      <c r="AH574" s="18" t="s">
        <v>29</v>
      </c>
      <c r="AI574" s="18" t="str">
        <f>+VLOOKUP(AH574,Leyenda!$O$4:$U$10,6,FALSE)</f>
        <v>0,25-0,35</v>
      </c>
      <c r="AJ574" s="18" t="str">
        <f>+VLOOKUP(AG574,Leyenda!$O$4:$U$10,7,FALSE)</f>
        <v>No Blasting need</v>
      </c>
      <c r="AK574" s="18">
        <f>+VLOOKUP(AJ574,Leyenda!$U$4:$V$10,2,FALSE)</f>
        <v>2</v>
      </c>
      <c r="AL574" s="18" t="s">
        <v>29</v>
      </c>
      <c r="AM574" s="18" t="s">
        <v>29</v>
      </c>
      <c r="AN574" s="18" t="s">
        <v>64</v>
      </c>
      <c r="AO574" s="18" t="s">
        <v>79</v>
      </c>
      <c r="AP574" s="18" t="s">
        <v>96</v>
      </c>
      <c r="AQ574" s="18" t="s">
        <v>107</v>
      </c>
      <c r="AR574" s="18" t="s">
        <v>120</v>
      </c>
      <c r="AS574" s="18" t="s">
        <v>267</v>
      </c>
      <c r="AT574" s="18"/>
      <c r="AU574" s="18"/>
      <c r="AV574" s="18">
        <f>+VLOOKUP(AN574,Leyenda!$B$30:$E$34,3,FALSE)</f>
        <v>2</v>
      </c>
      <c r="AW574" s="36">
        <f>+VLOOKUP('2. Logging Brejo Seco'!AO574,Meteorizacion,3,FALSE)</f>
        <v>1</v>
      </c>
      <c r="AX574" s="36">
        <f>+VLOOKUP('2. Logging Brejo Seco'!AP574,Apertura,3,FALSE)</f>
        <v>1</v>
      </c>
      <c r="AY574" s="36">
        <f>+VLOOKUP('2. Logging Brejo Seco'!AQ574,Leyenda!$B$55:$D$59,3,FALSE)</f>
        <v>3</v>
      </c>
      <c r="AZ574" s="36">
        <f>+VLOOKUP('2. Logging Brejo Seco'!AR574,Relleno,3,FALSE)</f>
        <v>2</v>
      </c>
      <c r="BA574" s="36">
        <f t="shared" si="193"/>
        <v>9</v>
      </c>
      <c r="BB574" s="49">
        <f t="shared" si="197"/>
        <v>4</v>
      </c>
      <c r="BC574" s="49">
        <f>VLOOKUP(AH574,Leyenda!$B$4:$D$10,3,FALSE)</f>
        <v>2</v>
      </c>
      <c r="BD574" s="50">
        <f t="shared" si="181"/>
        <v>7</v>
      </c>
      <c r="BE574" s="49">
        <f t="shared" si="186"/>
        <v>9</v>
      </c>
      <c r="BF574" s="49">
        <f>VLOOKUP(AS574,Leyenda!$B$70:$D$75,3,FALSE)</f>
        <v>15</v>
      </c>
      <c r="BG574" s="67">
        <f t="shared" si="198"/>
        <v>23.5</v>
      </c>
      <c r="BH574" s="67">
        <f>VLOOKUP(AG574,Leyenda!$B$4:$E$10,4,FALSE)</f>
        <v>2</v>
      </c>
      <c r="BI574" s="67">
        <f t="shared" si="182"/>
        <v>8</v>
      </c>
      <c r="BJ574" s="67">
        <f t="shared" si="199"/>
        <v>4</v>
      </c>
      <c r="BK574" s="67">
        <f>+VLOOKUP('2. Logging Brejo Seco'!AP574,Leyenda!$B$47:$E$51,4,FALSE)</f>
        <v>1</v>
      </c>
      <c r="BL574" s="67">
        <f>+VLOOKUP('2. Logging Brejo Seco'!AQ574,Leyenda!$B$55:$E$59,4,FALSE)</f>
        <v>3</v>
      </c>
      <c r="BM574" s="67">
        <f>+VLOOKUP('2. Logging Brejo Seco'!AR574,Leyenda!$B$63:$E$67,3,FALSE)</f>
        <v>2</v>
      </c>
      <c r="BN574" s="67">
        <f>+VLOOKUP('2. Logging Brejo Seco'!AO574,Leyenda!$B$39:$E$43,4,FALSE)</f>
        <v>1</v>
      </c>
      <c r="BO574" s="67">
        <f>+VLOOKUP('2. Logging Brejo Seco'!AN574,Leyenda!$B$30:$E$34,4,FALSE)</f>
        <v>3</v>
      </c>
      <c r="BP574" s="67">
        <f>VLOOKUP(AS574,Leyenda!$B$71:$E$75,4,FALSE)</f>
        <v>10</v>
      </c>
      <c r="BQ574" s="125">
        <f t="shared" si="187"/>
        <v>34</v>
      </c>
      <c r="BR574" s="85">
        <f t="shared" si="188"/>
        <v>37</v>
      </c>
      <c r="BS574" s="240">
        <f t="shared" si="183"/>
        <v>0.54</v>
      </c>
      <c r="BT574" s="18"/>
    </row>
    <row r="575" spans="1:72" x14ac:dyDescent="0.25">
      <c r="A575" s="18" t="s">
        <v>6</v>
      </c>
      <c r="B575" s="18">
        <v>2024</v>
      </c>
      <c r="C575" s="18" t="s">
        <v>138</v>
      </c>
      <c r="D575" s="18" t="s">
        <v>266</v>
      </c>
      <c r="E575" s="18">
        <v>40</v>
      </c>
      <c r="F575" s="18">
        <v>40</v>
      </c>
      <c r="G575" s="18" t="s">
        <v>153</v>
      </c>
      <c r="H575" s="248">
        <f t="shared" si="190"/>
        <v>40</v>
      </c>
      <c r="I575" s="135"/>
      <c r="J575" s="18" t="s">
        <v>299</v>
      </c>
      <c r="K575" s="31">
        <f t="shared" ref="K575:K587" si="201">+L574</f>
        <v>33.5</v>
      </c>
      <c r="L575" s="31">
        <f t="shared" ref="L575:L587" si="202">+K575+0.5</f>
        <v>34</v>
      </c>
      <c r="M575" s="4">
        <f t="shared" si="189"/>
        <v>0.5</v>
      </c>
      <c r="N575" s="32">
        <v>0.52</v>
      </c>
      <c r="O575" s="5">
        <f t="shared" si="200"/>
        <v>0.48</v>
      </c>
      <c r="P575" s="31">
        <f t="shared" si="184"/>
        <v>0.26</v>
      </c>
      <c r="Q575" s="18">
        <f t="shared" si="185"/>
        <v>0.26</v>
      </c>
      <c r="R575" s="18">
        <v>13</v>
      </c>
      <c r="S575" s="18">
        <v>20</v>
      </c>
      <c r="T575" s="18">
        <f>0.06+0.13</f>
        <v>0.19</v>
      </c>
      <c r="U575" s="18">
        <v>0</v>
      </c>
      <c r="V575" s="65">
        <f t="shared" si="191"/>
        <v>0</v>
      </c>
      <c r="W575" s="18">
        <v>10</v>
      </c>
      <c r="X575" s="18"/>
      <c r="Y575" s="18">
        <f t="shared" si="178"/>
        <v>10</v>
      </c>
      <c r="Z575" s="31">
        <f t="shared" si="192"/>
        <v>50</v>
      </c>
      <c r="AA575" s="18">
        <v>0</v>
      </c>
      <c r="AB575" s="18" t="s">
        <v>330</v>
      </c>
      <c r="AC575" s="18" t="s">
        <v>333</v>
      </c>
      <c r="AD575" s="18" t="s">
        <v>334</v>
      </c>
      <c r="AE575" s="18">
        <v>20</v>
      </c>
      <c r="AF575" s="18">
        <v>13</v>
      </c>
      <c r="AG575" s="18" t="s">
        <v>29</v>
      </c>
      <c r="AH575" s="18" t="s">
        <v>29</v>
      </c>
      <c r="AI575" s="18" t="str">
        <f>+VLOOKUP(AH575,Leyenda!$O$4:$U$10,6,FALSE)</f>
        <v>0,25-0,35</v>
      </c>
      <c r="AJ575" s="18" t="str">
        <f>+VLOOKUP(AG575,Leyenda!$O$4:$U$10,7,FALSE)</f>
        <v>No Blasting need</v>
      </c>
      <c r="AK575" s="18">
        <f>+VLOOKUP(AJ575,Leyenda!$U$4:$V$10,2,FALSE)</f>
        <v>2</v>
      </c>
      <c r="AL575" s="18" t="s">
        <v>34</v>
      </c>
      <c r="AM575" s="18" t="s">
        <v>34</v>
      </c>
      <c r="AN575" s="18" t="s">
        <v>66</v>
      </c>
      <c r="AO575" s="18" t="s">
        <v>81</v>
      </c>
      <c r="AP575" s="18" t="s">
        <v>96</v>
      </c>
      <c r="AQ575" s="18" t="s">
        <v>107</v>
      </c>
      <c r="AR575" s="18" t="s">
        <v>122</v>
      </c>
      <c r="AS575" s="18" t="s">
        <v>267</v>
      </c>
      <c r="AT575" s="18"/>
      <c r="AU575" s="18"/>
      <c r="AV575" s="18">
        <f>+VLOOKUP(AN575,Leyenda!$B$30:$E$34,3,FALSE)</f>
        <v>1</v>
      </c>
      <c r="AW575" s="36">
        <f>+VLOOKUP('2. Logging Brejo Seco'!AO575,Meteorizacion,3,FALSE)</f>
        <v>0</v>
      </c>
      <c r="AX575" s="36">
        <f>+VLOOKUP('2. Logging Brejo Seco'!AP575,Apertura,3,FALSE)</f>
        <v>1</v>
      </c>
      <c r="AY575" s="36">
        <f>+VLOOKUP('2. Logging Brejo Seco'!AQ575,Leyenda!$B$55:$D$59,3,FALSE)</f>
        <v>3</v>
      </c>
      <c r="AZ575" s="36">
        <f>+VLOOKUP('2. Logging Brejo Seco'!AR575,Relleno,3,FALSE)</f>
        <v>0</v>
      </c>
      <c r="BA575" s="36">
        <f t="shared" si="193"/>
        <v>5</v>
      </c>
      <c r="BB575" s="49">
        <f t="shared" si="197"/>
        <v>0</v>
      </c>
      <c r="BC575" s="49">
        <f>VLOOKUP(AH575,Leyenda!$B$4:$D$10,3,FALSE)</f>
        <v>2</v>
      </c>
      <c r="BD575" s="50">
        <f t="shared" si="181"/>
        <v>6</v>
      </c>
      <c r="BE575" s="49">
        <f t="shared" si="186"/>
        <v>5</v>
      </c>
      <c r="BF575" s="49">
        <f>VLOOKUP(AS575,Leyenda!$B$70:$D$75,3,FALSE)</f>
        <v>15</v>
      </c>
      <c r="BG575" s="67">
        <f t="shared" si="198"/>
        <v>7.5</v>
      </c>
      <c r="BH575" s="67">
        <f>VLOOKUP(AG575,Leyenda!$B$4:$E$10,4,FALSE)</f>
        <v>2</v>
      </c>
      <c r="BI575" s="67">
        <f t="shared" si="182"/>
        <v>5</v>
      </c>
      <c r="BJ575" s="67">
        <f t="shared" si="199"/>
        <v>0</v>
      </c>
      <c r="BK575" s="67">
        <f>+VLOOKUP('2. Logging Brejo Seco'!AP575,Leyenda!$B$47:$E$51,4,FALSE)</f>
        <v>1</v>
      </c>
      <c r="BL575" s="67">
        <f>+VLOOKUP('2. Logging Brejo Seco'!AQ575,Leyenda!$B$55:$E$59,4,FALSE)</f>
        <v>3</v>
      </c>
      <c r="BM575" s="67">
        <f>+VLOOKUP('2. Logging Brejo Seco'!AR575,Leyenda!$B$63:$E$67,3,FALSE)</f>
        <v>0</v>
      </c>
      <c r="BN575" s="67">
        <f>+VLOOKUP('2. Logging Brejo Seco'!AO575,Leyenda!$B$39:$E$43,4,FALSE)</f>
        <v>0</v>
      </c>
      <c r="BO575" s="67">
        <f>+VLOOKUP('2. Logging Brejo Seco'!AN575,Leyenda!$B$30:$E$34,4,FALSE)</f>
        <v>1</v>
      </c>
      <c r="BP575" s="67">
        <f>VLOOKUP(AS575,Leyenda!$B$71:$E$75,4,FALSE)</f>
        <v>10</v>
      </c>
      <c r="BQ575" s="125">
        <f t="shared" si="187"/>
        <v>22</v>
      </c>
      <c r="BR575" s="85">
        <f t="shared" si="188"/>
        <v>28</v>
      </c>
      <c r="BS575" s="240">
        <f t="shared" si="183"/>
        <v>0.48</v>
      </c>
      <c r="BT575" s="18"/>
    </row>
    <row r="576" spans="1:72" x14ac:dyDescent="0.25">
      <c r="A576" s="18" t="s">
        <v>6</v>
      </c>
      <c r="B576" s="18">
        <v>2024</v>
      </c>
      <c r="C576" s="18" t="s">
        <v>138</v>
      </c>
      <c r="D576" s="18" t="s">
        <v>266</v>
      </c>
      <c r="E576" s="18">
        <v>40</v>
      </c>
      <c r="F576" s="18">
        <v>40</v>
      </c>
      <c r="G576" s="18" t="s">
        <v>153</v>
      </c>
      <c r="H576" s="248">
        <f t="shared" si="190"/>
        <v>40</v>
      </c>
      <c r="I576" s="135"/>
      <c r="J576" s="18" t="s">
        <v>299</v>
      </c>
      <c r="K576" s="31">
        <f t="shared" si="201"/>
        <v>34</v>
      </c>
      <c r="L576" s="31">
        <f t="shared" si="202"/>
        <v>34.5</v>
      </c>
      <c r="M576" s="4">
        <f t="shared" si="189"/>
        <v>0.5</v>
      </c>
      <c r="N576" s="32">
        <v>0.48</v>
      </c>
      <c r="O576" s="5">
        <f t="shared" si="200"/>
        <v>0.52</v>
      </c>
      <c r="P576" s="31">
        <f t="shared" si="184"/>
        <v>0.24</v>
      </c>
      <c r="Q576" s="18">
        <f t="shared" si="185"/>
        <v>0.24</v>
      </c>
      <c r="R576" s="18">
        <v>12</v>
      </c>
      <c r="S576" s="18">
        <v>20</v>
      </c>
      <c r="T576" s="18">
        <v>0.21</v>
      </c>
      <c r="U576" s="18">
        <v>0.11</v>
      </c>
      <c r="V576" s="65">
        <f t="shared" si="191"/>
        <v>22</v>
      </c>
      <c r="W576" s="18">
        <v>5</v>
      </c>
      <c r="X576" s="18"/>
      <c r="Y576" s="18">
        <f t="shared" si="178"/>
        <v>5</v>
      </c>
      <c r="Z576" s="31">
        <f t="shared" si="192"/>
        <v>100</v>
      </c>
      <c r="AA576" s="18">
        <v>0</v>
      </c>
      <c r="AB576" s="18" t="s">
        <v>330</v>
      </c>
      <c r="AC576" s="18" t="s">
        <v>333</v>
      </c>
      <c r="AD576" s="18" t="s">
        <v>334</v>
      </c>
      <c r="AE576" s="18">
        <v>20</v>
      </c>
      <c r="AF576" s="18">
        <v>12</v>
      </c>
      <c r="AG576" s="18" t="s">
        <v>29</v>
      </c>
      <c r="AH576" s="18" t="s">
        <v>29</v>
      </c>
      <c r="AI576" s="18" t="str">
        <f>+VLOOKUP(AH576,Leyenda!$O$4:$U$10,6,FALSE)</f>
        <v>0,25-0,35</v>
      </c>
      <c r="AJ576" s="18" t="str">
        <f>+VLOOKUP(AG576,Leyenda!$O$4:$U$10,7,FALSE)</f>
        <v>No Blasting need</v>
      </c>
      <c r="AK576" s="18">
        <f>+VLOOKUP(AJ576,Leyenda!$U$4:$V$10,2,FALSE)</f>
        <v>2</v>
      </c>
      <c r="AL576" s="18" t="s">
        <v>34</v>
      </c>
      <c r="AM576" s="18" t="s">
        <v>34</v>
      </c>
      <c r="AN576" s="18" t="s">
        <v>69</v>
      </c>
      <c r="AO576" s="18" t="s">
        <v>81</v>
      </c>
      <c r="AP576" s="18" t="s">
        <v>100</v>
      </c>
      <c r="AQ576" s="18" t="s">
        <v>109</v>
      </c>
      <c r="AR576" s="18" t="s">
        <v>122</v>
      </c>
      <c r="AS576" s="18" t="s">
        <v>126</v>
      </c>
      <c r="AT576" s="18" t="s">
        <v>280</v>
      </c>
      <c r="AU576" s="18"/>
      <c r="AV576" s="18">
        <f>+VLOOKUP(AN576,Leyenda!$B$30:$E$34,3,FALSE)</f>
        <v>0</v>
      </c>
      <c r="AW576" s="36">
        <f>+VLOOKUP('2. Logging Brejo Seco'!AO576,Meteorizacion,3,FALSE)</f>
        <v>0</v>
      </c>
      <c r="AX576" s="36">
        <f>+VLOOKUP('2. Logging Brejo Seco'!AP576,Apertura,3,FALSE)</f>
        <v>0</v>
      </c>
      <c r="AY576" s="36">
        <f>+VLOOKUP('2. Logging Brejo Seco'!AQ576,Leyenda!$B$55:$D$59,3,FALSE)</f>
        <v>1</v>
      </c>
      <c r="AZ576" s="36">
        <f>+VLOOKUP('2. Logging Brejo Seco'!AR576,Relleno,3,FALSE)</f>
        <v>0</v>
      </c>
      <c r="BA576" s="36">
        <f t="shared" si="193"/>
        <v>1</v>
      </c>
      <c r="BB576" s="49">
        <f t="shared" si="197"/>
        <v>5</v>
      </c>
      <c r="BC576" s="49">
        <f>VLOOKUP(AH576,Leyenda!$B$4:$D$10,3,FALSE)</f>
        <v>2</v>
      </c>
      <c r="BD576" s="50">
        <f t="shared" si="181"/>
        <v>7</v>
      </c>
      <c r="BE576" s="49">
        <f t="shared" si="186"/>
        <v>1</v>
      </c>
      <c r="BF576" s="49">
        <f>VLOOKUP(AS576,Leyenda!$B$70:$D$75,3,FALSE)</f>
        <v>10</v>
      </c>
      <c r="BG576" s="67">
        <f t="shared" si="198"/>
        <v>12.5</v>
      </c>
      <c r="BH576" s="67">
        <f>VLOOKUP(AG576,Leyenda!$B$4:$E$10,4,FALSE)</f>
        <v>2</v>
      </c>
      <c r="BI576" s="67">
        <f t="shared" si="182"/>
        <v>8</v>
      </c>
      <c r="BJ576" s="67">
        <f t="shared" si="199"/>
        <v>5</v>
      </c>
      <c r="BK576" s="67">
        <f>+VLOOKUP('2. Logging Brejo Seco'!AP576,Leyenda!$B$47:$E$51,4,FALSE)</f>
        <v>0</v>
      </c>
      <c r="BL576" s="67">
        <f>+VLOOKUP('2. Logging Brejo Seco'!AQ576,Leyenda!$B$55:$E$59,4,FALSE)</f>
        <v>1</v>
      </c>
      <c r="BM576" s="67">
        <f>+VLOOKUP('2. Logging Brejo Seco'!AR576,Leyenda!$B$63:$E$67,3,FALSE)</f>
        <v>0</v>
      </c>
      <c r="BN576" s="67">
        <f>+VLOOKUP('2. Logging Brejo Seco'!AO576,Leyenda!$B$39:$E$43,4,FALSE)</f>
        <v>0</v>
      </c>
      <c r="BO576" s="67">
        <f>+VLOOKUP('2. Logging Brejo Seco'!AN576,Leyenda!$B$30:$E$34,4,FALSE)</f>
        <v>0</v>
      </c>
      <c r="BP576" s="67">
        <f>VLOOKUP(AS576,Leyenda!$B$71:$E$75,4,FALSE)</f>
        <v>7</v>
      </c>
      <c r="BQ576" s="125">
        <f t="shared" si="187"/>
        <v>23</v>
      </c>
      <c r="BR576" s="85">
        <f t="shared" si="188"/>
        <v>25</v>
      </c>
      <c r="BS576" s="240">
        <f t="shared" si="183"/>
        <v>0.52</v>
      </c>
      <c r="BT576" s="18"/>
    </row>
    <row r="577" spans="1:72" x14ac:dyDescent="0.25">
      <c r="A577" s="18" t="s">
        <v>6</v>
      </c>
      <c r="B577" s="18">
        <v>2024</v>
      </c>
      <c r="C577" s="18" t="s">
        <v>138</v>
      </c>
      <c r="D577" s="18" t="s">
        <v>266</v>
      </c>
      <c r="E577" s="18">
        <v>40</v>
      </c>
      <c r="F577" s="18">
        <v>40</v>
      </c>
      <c r="G577" s="18" t="s">
        <v>153</v>
      </c>
      <c r="H577" s="248">
        <f t="shared" si="190"/>
        <v>40</v>
      </c>
      <c r="I577" s="135"/>
      <c r="J577" s="18" t="s">
        <v>299</v>
      </c>
      <c r="K577" s="31">
        <f t="shared" si="201"/>
        <v>34.5</v>
      </c>
      <c r="L577" s="31">
        <f t="shared" si="202"/>
        <v>35</v>
      </c>
      <c r="M577" s="4">
        <f t="shared" si="189"/>
        <v>0.5</v>
      </c>
      <c r="N577" s="32">
        <v>0.6</v>
      </c>
      <c r="O577" s="5">
        <f t="shared" si="200"/>
        <v>0.4</v>
      </c>
      <c r="P577" s="31">
        <f t="shared" si="184"/>
        <v>0.3</v>
      </c>
      <c r="Q577" s="18">
        <f t="shared" si="185"/>
        <v>0.3</v>
      </c>
      <c r="R577" s="18">
        <v>15</v>
      </c>
      <c r="S577" s="18">
        <v>20</v>
      </c>
      <c r="T577" s="18">
        <v>0.27</v>
      </c>
      <c r="U577" s="18">
        <v>0</v>
      </c>
      <c r="V577" s="65">
        <f t="shared" si="191"/>
        <v>0</v>
      </c>
      <c r="W577" s="18">
        <v>4</v>
      </c>
      <c r="X577" s="18"/>
      <c r="Y577" s="18">
        <f t="shared" si="178"/>
        <v>4</v>
      </c>
      <c r="Z577" s="31">
        <f t="shared" si="192"/>
        <v>125</v>
      </c>
      <c r="AA577" s="18">
        <v>0</v>
      </c>
      <c r="AB577" s="18" t="s">
        <v>330</v>
      </c>
      <c r="AC577" s="18" t="s">
        <v>333</v>
      </c>
      <c r="AD577" s="18" t="s">
        <v>334</v>
      </c>
      <c r="AE577" s="18">
        <v>20</v>
      </c>
      <c r="AF577" s="18">
        <v>15</v>
      </c>
      <c r="AG577" s="18" t="s">
        <v>29</v>
      </c>
      <c r="AH577" s="18" t="s">
        <v>29</v>
      </c>
      <c r="AI577" s="18" t="str">
        <f>+VLOOKUP(AH577,Leyenda!$O$4:$U$10,6,FALSE)</f>
        <v>0,25-0,35</v>
      </c>
      <c r="AJ577" s="18" t="str">
        <f>+VLOOKUP(AG577,Leyenda!$O$4:$U$10,7,FALSE)</f>
        <v>No Blasting need</v>
      </c>
      <c r="AK577" s="18">
        <f>+VLOOKUP(AJ577,Leyenda!$U$4:$V$10,2,FALSE)</f>
        <v>2</v>
      </c>
      <c r="AL577" s="18" t="s">
        <v>34</v>
      </c>
      <c r="AM577" s="18" t="s">
        <v>34</v>
      </c>
      <c r="AN577" s="18" t="s">
        <v>69</v>
      </c>
      <c r="AO577" s="18" t="s">
        <v>81</v>
      </c>
      <c r="AP577" s="18" t="s">
        <v>100</v>
      </c>
      <c r="AQ577" s="18" t="s">
        <v>109</v>
      </c>
      <c r="AR577" s="18" t="s">
        <v>122</v>
      </c>
      <c r="AS577" s="18" t="s">
        <v>126</v>
      </c>
      <c r="AT577" s="18"/>
      <c r="AU577" s="18"/>
      <c r="AV577" s="18">
        <f>+VLOOKUP(AN577,Leyenda!$B$30:$E$34,3,FALSE)</f>
        <v>0</v>
      </c>
      <c r="AW577" s="36">
        <f>+VLOOKUP('2. Logging Brejo Seco'!AO577,Meteorizacion,3,FALSE)</f>
        <v>0</v>
      </c>
      <c r="AX577" s="36">
        <f>+VLOOKUP('2. Logging Brejo Seco'!AP577,Apertura,3,FALSE)</f>
        <v>0</v>
      </c>
      <c r="AY577" s="36">
        <f>+VLOOKUP('2. Logging Brejo Seco'!AQ577,Leyenda!$B$55:$D$59,3,FALSE)</f>
        <v>1</v>
      </c>
      <c r="AZ577" s="36">
        <f>+VLOOKUP('2. Logging Brejo Seco'!AR577,Relleno,3,FALSE)</f>
        <v>0</v>
      </c>
      <c r="BA577" s="36">
        <f t="shared" si="193"/>
        <v>1</v>
      </c>
      <c r="BB577" s="49">
        <f t="shared" si="197"/>
        <v>0</v>
      </c>
      <c r="BC577" s="49">
        <f>VLOOKUP(AH577,Leyenda!$B$4:$D$10,3,FALSE)</f>
        <v>2</v>
      </c>
      <c r="BD577" s="50">
        <f t="shared" si="181"/>
        <v>8</v>
      </c>
      <c r="BE577" s="49">
        <f t="shared" si="186"/>
        <v>1</v>
      </c>
      <c r="BF577" s="49">
        <f>VLOOKUP(AS577,Leyenda!$B$70:$D$75,3,FALSE)</f>
        <v>10</v>
      </c>
      <c r="BG577" s="67">
        <f t="shared" si="198"/>
        <v>1.5</v>
      </c>
      <c r="BH577" s="67">
        <f>VLOOKUP(AG577,Leyenda!$B$4:$E$10,4,FALSE)</f>
        <v>2</v>
      </c>
      <c r="BI577" s="67">
        <f t="shared" si="182"/>
        <v>10</v>
      </c>
      <c r="BJ577" s="67">
        <f t="shared" si="199"/>
        <v>0</v>
      </c>
      <c r="BK577" s="67">
        <f>+VLOOKUP('2. Logging Brejo Seco'!AP577,Leyenda!$B$47:$E$51,4,FALSE)</f>
        <v>0</v>
      </c>
      <c r="BL577" s="67">
        <f>+VLOOKUP('2. Logging Brejo Seco'!AQ577,Leyenda!$B$55:$E$59,4,FALSE)</f>
        <v>1</v>
      </c>
      <c r="BM577" s="67">
        <f>+VLOOKUP('2. Logging Brejo Seco'!AR577,Leyenda!$B$63:$E$67,3,FALSE)</f>
        <v>0</v>
      </c>
      <c r="BN577" s="67">
        <f>+VLOOKUP('2. Logging Brejo Seco'!AO577,Leyenda!$B$39:$E$43,4,FALSE)</f>
        <v>0</v>
      </c>
      <c r="BO577" s="67">
        <f>+VLOOKUP('2. Logging Brejo Seco'!AN577,Leyenda!$B$30:$E$34,4,FALSE)</f>
        <v>0</v>
      </c>
      <c r="BP577" s="67">
        <f>VLOOKUP(AS577,Leyenda!$B$71:$E$75,4,FALSE)</f>
        <v>7</v>
      </c>
      <c r="BQ577" s="125">
        <f t="shared" si="187"/>
        <v>20</v>
      </c>
      <c r="BR577" s="85">
        <f t="shared" si="188"/>
        <v>21</v>
      </c>
      <c r="BS577" s="240">
        <f t="shared" si="183"/>
        <v>0.4</v>
      </c>
      <c r="BT577" s="18"/>
    </row>
    <row r="578" spans="1:72" x14ac:dyDescent="0.25">
      <c r="A578" s="18" t="s">
        <v>6</v>
      </c>
      <c r="B578" s="18">
        <v>2024</v>
      </c>
      <c r="C578" s="18" t="s">
        <v>138</v>
      </c>
      <c r="D578" s="18" t="s">
        <v>266</v>
      </c>
      <c r="E578" s="18">
        <v>40</v>
      </c>
      <c r="F578" s="18">
        <v>40</v>
      </c>
      <c r="G578" s="18" t="s">
        <v>153</v>
      </c>
      <c r="H578" s="248">
        <f t="shared" si="190"/>
        <v>40</v>
      </c>
      <c r="I578" s="135"/>
      <c r="J578" s="18" t="s">
        <v>299</v>
      </c>
      <c r="K578" s="31">
        <f t="shared" si="201"/>
        <v>35</v>
      </c>
      <c r="L578" s="31">
        <f t="shared" si="202"/>
        <v>35.5</v>
      </c>
      <c r="M578" s="4">
        <f t="shared" si="189"/>
        <v>0.5</v>
      </c>
      <c r="N578" s="32">
        <v>0.7</v>
      </c>
      <c r="O578" s="5">
        <f t="shared" si="200"/>
        <v>0.30000000000000004</v>
      </c>
      <c r="P578" s="31">
        <f t="shared" si="184"/>
        <v>0.35</v>
      </c>
      <c r="Q578" s="18">
        <f t="shared" si="185"/>
        <v>0.35</v>
      </c>
      <c r="R578" s="18">
        <v>17.5</v>
      </c>
      <c r="S578" s="18">
        <v>20</v>
      </c>
      <c r="T578" s="18">
        <v>0.32</v>
      </c>
      <c r="U578" s="18">
        <v>0</v>
      </c>
      <c r="V578" s="65">
        <f t="shared" si="191"/>
        <v>0</v>
      </c>
      <c r="W578" s="18">
        <v>8</v>
      </c>
      <c r="X578" s="18"/>
      <c r="Y578" s="18">
        <f t="shared" si="178"/>
        <v>8</v>
      </c>
      <c r="Z578" s="31">
        <f t="shared" si="192"/>
        <v>62.5</v>
      </c>
      <c r="AA578" s="18">
        <v>0</v>
      </c>
      <c r="AB578" s="18" t="s">
        <v>330</v>
      </c>
      <c r="AC578" s="18" t="s">
        <v>333</v>
      </c>
      <c r="AD578" s="18" t="s">
        <v>334</v>
      </c>
      <c r="AE578" s="18">
        <v>20</v>
      </c>
      <c r="AF578" s="18">
        <v>17.5</v>
      </c>
      <c r="AG578" s="18" t="s">
        <v>29</v>
      </c>
      <c r="AH578" s="18" t="s">
        <v>29</v>
      </c>
      <c r="AI578" s="18" t="str">
        <f>+VLOOKUP(AH578,Leyenda!$O$4:$U$10,6,FALSE)</f>
        <v>0,25-0,35</v>
      </c>
      <c r="AJ578" s="18" t="str">
        <f>+VLOOKUP(AG578,Leyenda!$O$4:$U$10,7,FALSE)</f>
        <v>No Blasting need</v>
      </c>
      <c r="AK578" s="18">
        <f>+VLOOKUP(AJ578,Leyenda!$U$4:$V$10,2,FALSE)</f>
        <v>2</v>
      </c>
      <c r="AL578" s="18" t="s">
        <v>32</v>
      </c>
      <c r="AM578" s="18" t="s">
        <v>32</v>
      </c>
      <c r="AN578" s="18" t="s">
        <v>66</v>
      </c>
      <c r="AO578" s="18" t="s">
        <v>79</v>
      </c>
      <c r="AP578" s="18" t="s">
        <v>100</v>
      </c>
      <c r="AQ578" s="18" t="s">
        <v>107</v>
      </c>
      <c r="AR578" s="18" t="s">
        <v>120</v>
      </c>
      <c r="AS578" s="18" t="s">
        <v>267</v>
      </c>
      <c r="AT578" s="18"/>
      <c r="AU578" s="18"/>
      <c r="AV578" s="18">
        <f>+VLOOKUP(AN578,Leyenda!$B$30:$E$34,3,FALSE)</f>
        <v>1</v>
      </c>
      <c r="AW578" s="36">
        <f>+VLOOKUP('2. Logging Brejo Seco'!AO578,Meteorizacion,3,FALSE)</f>
        <v>1</v>
      </c>
      <c r="AX578" s="36">
        <f>+VLOOKUP('2. Logging Brejo Seco'!AP578,Apertura,3,FALSE)</f>
        <v>0</v>
      </c>
      <c r="AY578" s="36">
        <f>+VLOOKUP('2. Logging Brejo Seco'!AQ578,Leyenda!$B$55:$D$59,3,FALSE)</f>
        <v>3</v>
      </c>
      <c r="AZ578" s="36">
        <f>+VLOOKUP('2. Logging Brejo Seco'!AR578,Relleno,3,FALSE)</f>
        <v>2</v>
      </c>
      <c r="BA578" s="36">
        <f t="shared" si="193"/>
        <v>7</v>
      </c>
      <c r="BB578" s="49">
        <f t="shared" si="197"/>
        <v>0</v>
      </c>
      <c r="BC578" s="49">
        <f>VLOOKUP(AH578,Leyenda!$B$4:$D$10,3,FALSE)</f>
        <v>2</v>
      </c>
      <c r="BD578" s="50">
        <f t="shared" si="181"/>
        <v>6</v>
      </c>
      <c r="BE578" s="49">
        <f t="shared" si="186"/>
        <v>7</v>
      </c>
      <c r="BF578" s="49">
        <f>VLOOKUP(AS578,Leyenda!$B$70:$D$75,3,FALSE)</f>
        <v>15</v>
      </c>
      <c r="BG578" s="67">
        <f t="shared" si="198"/>
        <v>10.5</v>
      </c>
      <c r="BH578" s="67">
        <f>VLOOKUP(AG578,Leyenda!$B$4:$E$10,4,FALSE)</f>
        <v>2</v>
      </c>
      <c r="BI578" s="67">
        <f t="shared" si="182"/>
        <v>5</v>
      </c>
      <c r="BJ578" s="67">
        <f t="shared" si="199"/>
        <v>0</v>
      </c>
      <c r="BK578" s="67">
        <f>+VLOOKUP('2. Logging Brejo Seco'!AP578,Leyenda!$B$47:$E$51,4,FALSE)</f>
        <v>0</v>
      </c>
      <c r="BL578" s="67">
        <f>+VLOOKUP('2. Logging Brejo Seco'!AQ578,Leyenda!$B$55:$E$59,4,FALSE)</f>
        <v>3</v>
      </c>
      <c r="BM578" s="67">
        <f>+VLOOKUP('2. Logging Brejo Seco'!AR578,Leyenda!$B$63:$E$67,3,FALSE)</f>
        <v>2</v>
      </c>
      <c r="BN578" s="67">
        <f>+VLOOKUP('2. Logging Brejo Seco'!AO578,Leyenda!$B$39:$E$43,4,FALSE)</f>
        <v>1</v>
      </c>
      <c r="BO578" s="67">
        <f>+VLOOKUP('2. Logging Brejo Seco'!AN578,Leyenda!$B$30:$E$34,4,FALSE)</f>
        <v>1</v>
      </c>
      <c r="BP578" s="67">
        <f>VLOOKUP(AS578,Leyenda!$B$71:$E$75,4,FALSE)</f>
        <v>10</v>
      </c>
      <c r="BQ578" s="125">
        <f t="shared" si="187"/>
        <v>24</v>
      </c>
      <c r="BR578" s="85">
        <f t="shared" si="188"/>
        <v>30</v>
      </c>
      <c r="BS578" s="240">
        <f t="shared" si="183"/>
        <v>0.30000000000000004</v>
      </c>
      <c r="BT578" s="18"/>
    </row>
    <row r="579" spans="1:72" x14ac:dyDescent="0.25">
      <c r="A579" s="18" t="s">
        <v>6</v>
      </c>
      <c r="B579" s="18">
        <v>2024</v>
      </c>
      <c r="C579" s="18" t="s">
        <v>138</v>
      </c>
      <c r="D579" s="18" t="s">
        <v>266</v>
      </c>
      <c r="E579" s="18">
        <v>40</v>
      </c>
      <c r="F579" s="18">
        <v>40</v>
      </c>
      <c r="G579" s="18" t="s">
        <v>153</v>
      </c>
      <c r="H579" s="248">
        <f t="shared" si="190"/>
        <v>40</v>
      </c>
      <c r="I579" s="135"/>
      <c r="J579" s="18" t="s">
        <v>299</v>
      </c>
      <c r="K579" s="31">
        <f t="shared" si="201"/>
        <v>35.5</v>
      </c>
      <c r="L579" s="31">
        <f t="shared" si="202"/>
        <v>36</v>
      </c>
      <c r="M579" s="4">
        <f t="shared" si="189"/>
        <v>0.5</v>
      </c>
      <c r="N579" s="32">
        <v>0.34</v>
      </c>
      <c r="O579" s="5">
        <f t="shared" si="200"/>
        <v>0.65999999999999992</v>
      </c>
      <c r="P579" s="31">
        <f t="shared" si="184"/>
        <v>0.17</v>
      </c>
      <c r="Q579" s="18">
        <f t="shared" si="185"/>
        <v>0.17</v>
      </c>
      <c r="R579" s="18">
        <v>8.5</v>
      </c>
      <c r="S579" s="18">
        <v>20</v>
      </c>
      <c r="T579" s="18">
        <v>0.17</v>
      </c>
      <c r="U579" s="18">
        <v>0</v>
      </c>
      <c r="V579" s="65">
        <f t="shared" si="191"/>
        <v>0</v>
      </c>
      <c r="W579" s="18">
        <v>5</v>
      </c>
      <c r="X579" s="18"/>
      <c r="Y579" s="18">
        <f t="shared" si="178"/>
        <v>5</v>
      </c>
      <c r="Z579" s="31">
        <f t="shared" si="192"/>
        <v>100</v>
      </c>
      <c r="AA579" s="18">
        <v>0</v>
      </c>
      <c r="AB579" s="18" t="s">
        <v>330</v>
      </c>
      <c r="AC579" s="18" t="s">
        <v>333</v>
      </c>
      <c r="AD579" s="18" t="s">
        <v>334</v>
      </c>
      <c r="AE579" s="18">
        <v>20</v>
      </c>
      <c r="AF579" s="18">
        <v>8.5</v>
      </c>
      <c r="AG579" s="18" t="s">
        <v>29</v>
      </c>
      <c r="AH579" s="18" t="s">
        <v>29</v>
      </c>
      <c r="AI579" s="18" t="str">
        <f>+VLOOKUP(AH579,Leyenda!$O$4:$U$10,6,FALSE)</f>
        <v>0,25-0,35</v>
      </c>
      <c r="AJ579" s="18" t="str">
        <f>+VLOOKUP(AG579,Leyenda!$O$4:$U$10,7,FALSE)</f>
        <v>No Blasting need</v>
      </c>
      <c r="AK579" s="18">
        <f>+VLOOKUP(AJ579,Leyenda!$U$4:$V$10,2,FALSE)</f>
        <v>2</v>
      </c>
      <c r="AL579" s="18" t="s">
        <v>32</v>
      </c>
      <c r="AM579" s="18" t="s">
        <v>32</v>
      </c>
      <c r="AN579" s="18" t="s">
        <v>66</v>
      </c>
      <c r="AO579" s="18" t="s">
        <v>79</v>
      </c>
      <c r="AP579" s="18" t="s">
        <v>100</v>
      </c>
      <c r="AQ579" s="18" t="s">
        <v>107</v>
      </c>
      <c r="AR579" s="18" t="s">
        <v>120</v>
      </c>
      <c r="AS579" s="18" t="s">
        <v>267</v>
      </c>
      <c r="AT579" s="18"/>
      <c r="AU579" s="18"/>
      <c r="AV579" s="18">
        <f>+VLOOKUP(AN579,Leyenda!$B$30:$E$34,3,FALSE)</f>
        <v>1</v>
      </c>
      <c r="AW579" s="36">
        <f>+VLOOKUP('2. Logging Brejo Seco'!AO579,Meteorizacion,3,FALSE)</f>
        <v>1</v>
      </c>
      <c r="AX579" s="36">
        <f>+VLOOKUP('2. Logging Brejo Seco'!AP579,Apertura,3,FALSE)</f>
        <v>0</v>
      </c>
      <c r="AY579" s="36">
        <f>+VLOOKUP('2. Logging Brejo Seco'!AQ579,Leyenda!$B$55:$D$59,3,FALSE)</f>
        <v>3</v>
      </c>
      <c r="AZ579" s="36">
        <f>+VLOOKUP('2. Logging Brejo Seco'!AR579,Relleno,3,FALSE)</f>
        <v>2</v>
      </c>
      <c r="BA579" s="36">
        <f t="shared" si="193"/>
        <v>7</v>
      </c>
      <c r="BB579" s="49">
        <f t="shared" si="197"/>
        <v>0</v>
      </c>
      <c r="BC579" s="49">
        <f>VLOOKUP(AH579,Leyenda!$B$4:$D$10,3,FALSE)</f>
        <v>2</v>
      </c>
      <c r="BD579" s="50">
        <f t="shared" si="181"/>
        <v>7</v>
      </c>
      <c r="BE579" s="49">
        <f t="shared" si="186"/>
        <v>7</v>
      </c>
      <c r="BF579" s="49">
        <f>VLOOKUP(AS579,Leyenda!$B$70:$D$75,3,FALSE)</f>
        <v>15</v>
      </c>
      <c r="BG579" s="67">
        <f t="shared" si="198"/>
        <v>10.5</v>
      </c>
      <c r="BH579" s="67">
        <f>VLOOKUP(AG579,Leyenda!$B$4:$E$10,4,FALSE)</f>
        <v>2</v>
      </c>
      <c r="BI579" s="67">
        <f t="shared" si="182"/>
        <v>8</v>
      </c>
      <c r="BJ579" s="67">
        <f t="shared" si="199"/>
        <v>0</v>
      </c>
      <c r="BK579" s="67">
        <f>+VLOOKUP('2. Logging Brejo Seco'!AP579,Leyenda!$B$47:$E$51,4,FALSE)</f>
        <v>0</v>
      </c>
      <c r="BL579" s="67">
        <f>+VLOOKUP('2. Logging Brejo Seco'!AQ579,Leyenda!$B$55:$E$59,4,FALSE)</f>
        <v>3</v>
      </c>
      <c r="BM579" s="67">
        <f>+VLOOKUP('2. Logging Brejo Seco'!AR579,Leyenda!$B$63:$E$67,3,FALSE)</f>
        <v>2</v>
      </c>
      <c r="BN579" s="67">
        <f>+VLOOKUP('2. Logging Brejo Seco'!AO579,Leyenda!$B$39:$E$43,4,FALSE)</f>
        <v>1</v>
      </c>
      <c r="BO579" s="67">
        <f>+VLOOKUP('2. Logging Brejo Seco'!AN579,Leyenda!$B$30:$E$34,4,FALSE)</f>
        <v>1</v>
      </c>
      <c r="BP579" s="67">
        <f>VLOOKUP(AS579,Leyenda!$B$71:$E$75,4,FALSE)</f>
        <v>10</v>
      </c>
      <c r="BQ579" s="125">
        <f t="shared" si="187"/>
        <v>27</v>
      </c>
      <c r="BR579" s="85">
        <f t="shared" si="188"/>
        <v>31</v>
      </c>
      <c r="BS579" s="240">
        <f t="shared" si="183"/>
        <v>0.65999999999999992</v>
      </c>
      <c r="BT579" s="18"/>
    </row>
    <row r="580" spans="1:72" x14ac:dyDescent="0.25">
      <c r="A580" s="18" t="s">
        <v>6</v>
      </c>
      <c r="B580" s="18">
        <v>2024</v>
      </c>
      <c r="C580" s="18" t="s">
        <v>138</v>
      </c>
      <c r="D580" s="18" t="s">
        <v>266</v>
      </c>
      <c r="E580" s="18">
        <v>40</v>
      </c>
      <c r="F580" s="18">
        <v>40</v>
      </c>
      <c r="G580" s="18" t="s">
        <v>153</v>
      </c>
      <c r="H580" s="248">
        <f t="shared" si="190"/>
        <v>40</v>
      </c>
      <c r="I580" s="135"/>
      <c r="J580" s="18" t="s">
        <v>299</v>
      </c>
      <c r="K580" s="31">
        <f t="shared" si="201"/>
        <v>36</v>
      </c>
      <c r="L580" s="31">
        <f t="shared" si="202"/>
        <v>36.5</v>
      </c>
      <c r="M580" s="4">
        <f t="shared" si="189"/>
        <v>0.5</v>
      </c>
      <c r="N580" s="32">
        <v>0.24</v>
      </c>
      <c r="O580" s="5">
        <f t="shared" si="200"/>
        <v>0.76</v>
      </c>
      <c r="P580" s="31">
        <f t="shared" si="184"/>
        <v>0.12</v>
      </c>
      <c r="Q580" s="18">
        <f t="shared" si="185"/>
        <v>0.12</v>
      </c>
      <c r="R580" s="18">
        <v>6</v>
      </c>
      <c r="S580" s="18">
        <v>20</v>
      </c>
      <c r="T580" s="18">
        <v>0.1</v>
      </c>
      <c r="U580" s="18">
        <v>0</v>
      </c>
      <c r="V580" s="65">
        <f t="shared" si="191"/>
        <v>0</v>
      </c>
      <c r="W580" s="18">
        <v>10</v>
      </c>
      <c r="X580" s="18"/>
      <c r="Y580" s="18">
        <f t="shared" si="178"/>
        <v>10</v>
      </c>
      <c r="Z580" s="31">
        <f t="shared" si="192"/>
        <v>50</v>
      </c>
      <c r="AA580" s="18">
        <v>0</v>
      </c>
      <c r="AB580" s="18" t="s">
        <v>330</v>
      </c>
      <c r="AC580" s="18" t="s">
        <v>333</v>
      </c>
      <c r="AD580" s="18" t="s">
        <v>334</v>
      </c>
      <c r="AE580" s="18">
        <v>20</v>
      </c>
      <c r="AF580" s="18">
        <v>6</v>
      </c>
      <c r="AG580" s="18" t="s">
        <v>29</v>
      </c>
      <c r="AH580" s="18" t="s">
        <v>29</v>
      </c>
      <c r="AI580" s="18" t="str">
        <f>+VLOOKUP(AH580,Leyenda!$O$4:$U$10,6,FALSE)</f>
        <v>0,25-0,35</v>
      </c>
      <c r="AJ580" s="18" t="str">
        <f>+VLOOKUP(AG580,Leyenda!$O$4:$U$10,7,FALSE)</f>
        <v>No Blasting need</v>
      </c>
      <c r="AK580" s="18">
        <f>+VLOOKUP(AJ580,Leyenda!$U$4:$V$10,2,FALSE)</f>
        <v>2</v>
      </c>
      <c r="AL580" s="18" t="s">
        <v>34</v>
      </c>
      <c r="AM580" s="18" t="s">
        <v>34</v>
      </c>
      <c r="AN580" s="18" t="s">
        <v>69</v>
      </c>
      <c r="AO580" s="18" t="s">
        <v>81</v>
      </c>
      <c r="AP580" s="18" t="s">
        <v>100</v>
      </c>
      <c r="AQ580" s="18" t="s">
        <v>109</v>
      </c>
      <c r="AR580" s="18" t="s">
        <v>122</v>
      </c>
      <c r="AS580" s="18" t="s">
        <v>126</v>
      </c>
      <c r="AT580" s="18"/>
      <c r="AU580" s="18"/>
      <c r="AV580" s="18">
        <f>+VLOOKUP(AN580,Leyenda!$B$30:$E$34,3,FALSE)</f>
        <v>0</v>
      </c>
      <c r="AW580" s="36">
        <f>+VLOOKUP('2. Logging Brejo Seco'!AO580,Meteorizacion,3,FALSE)</f>
        <v>0</v>
      </c>
      <c r="AX580" s="36">
        <f>+VLOOKUP('2. Logging Brejo Seco'!AP580,Apertura,3,FALSE)</f>
        <v>0</v>
      </c>
      <c r="AY580" s="36">
        <f>+VLOOKUP('2. Logging Brejo Seco'!AQ580,Leyenda!$B$55:$D$59,3,FALSE)</f>
        <v>1</v>
      </c>
      <c r="AZ580" s="36">
        <f>+VLOOKUP('2. Logging Brejo Seco'!AR580,Relleno,3,FALSE)</f>
        <v>0</v>
      </c>
      <c r="BA580" s="36">
        <f t="shared" si="193"/>
        <v>1</v>
      </c>
      <c r="BB580" s="49">
        <f t="shared" si="197"/>
        <v>0</v>
      </c>
      <c r="BC580" s="49">
        <f>VLOOKUP(AH580,Leyenda!$B$4:$D$10,3,FALSE)</f>
        <v>2</v>
      </c>
      <c r="BD580" s="50">
        <f t="shared" ref="BD580:BD643" si="203">IF(Z580="",ROUND((IF(Z580&lt;=400,1.5478*POWER(Z580,0.3351),-2*POWER(10,-6)*POWER(Z580,2)+0.0091*Z580+8.1704)),0),ROUND((IF(Z580&lt;=400,1.5478*POWER(Z580,0.3351),-2*POWER(10,-6)*POWER(Z580,2)+0.0091*Z580+8.1704)),0))</f>
        <v>6</v>
      </c>
      <c r="BE580" s="49">
        <f t="shared" si="186"/>
        <v>1</v>
      </c>
      <c r="BF580" s="49">
        <f>VLOOKUP(AS580,Leyenda!$B$70:$D$75,3,FALSE)</f>
        <v>10</v>
      </c>
      <c r="BG580" s="67">
        <f t="shared" si="198"/>
        <v>1.5</v>
      </c>
      <c r="BH580" s="67">
        <f>VLOOKUP(AG580,Leyenda!$B$4:$E$10,4,FALSE)</f>
        <v>2</v>
      </c>
      <c r="BI580" s="67">
        <f t="shared" ref="BI580:BI643" si="204">IF(Z580="",ROUND(IF(Z580&lt;=50,5,IF(Z580&gt;=3000,30,6.038*LN(Z580)-19.63)),0),ROUND(IF(Z580&lt;=50,5,IF(Z580&gt;=3000,30,6.038*LN(Z580)-19.63)),0))</f>
        <v>5</v>
      </c>
      <c r="BJ580" s="67">
        <f t="shared" si="199"/>
        <v>0</v>
      </c>
      <c r="BK580" s="67">
        <f>+VLOOKUP('2. Logging Brejo Seco'!AP580,Leyenda!$B$47:$E$51,4,FALSE)</f>
        <v>0</v>
      </c>
      <c r="BL580" s="67">
        <f>+VLOOKUP('2. Logging Brejo Seco'!AQ580,Leyenda!$B$55:$E$59,4,FALSE)</f>
        <v>1</v>
      </c>
      <c r="BM580" s="67">
        <f>+VLOOKUP('2. Logging Brejo Seco'!AR580,Leyenda!$B$63:$E$67,3,FALSE)</f>
        <v>0</v>
      </c>
      <c r="BN580" s="67">
        <f>+VLOOKUP('2. Logging Brejo Seco'!AO580,Leyenda!$B$39:$E$43,4,FALSE)</f>
        <v>0</v>
      </c>
      <c r="BO580" s="67">
        <f>+VLOOKUP('2. Logging Brejo Seco'!AN580,Leyenda!$B$30:$E$34,4,FALSE)</f>
        <v>0</v>
      </c>
      <c r="BP580" s="67">
        <f>VLOOKUP(AS580,Leyenda!$B$71:$E$75,4,FALSE)</f>
        <v>7</v>
      </c>
      <c r="BQ580" s="125">
        <f t="shared" si="187"/>
        <v>15</v>
      </c>
      <c r="BR580" s="85">
        <f t="shared" si="188"/>
        <v>19</v>
      </c>
      <c r="BS580" s="240">
        <f t="shared" ref="BS580:BS643" si="205">1-N580</f>
        <v>0.76</v>
      </c>
      <c r="BT580" s="18"/>
    </row>
    <row r="581" spans="1:72" x14ac:dyDescent="0.25">
      <c r="A581" s="18" t="s">
        <v>6</v>
      </c>
      <c r="B581" s="18">
        <v>2024</v>
      </c>
      <c r="C581" s="18" t="s">
        <v>138</v>
      </c>
      <c r="D581" s="18" t="s">
        <v>266</v>
      </c>
      <c r="E581" s="18">
        <v>40</v>
      </c>
      <c r="F581" s="18">
        <v>40</v>
      </c>
      <c r="G581" s="18" t="s">
        <v>153</v>
      </c>
      <c r="H581" s="248">
        <f t="shared" si="190"/>
        <v>40</v>
      </c>
      <c r="I581" s="135"/>
      <c r="J581" s="18" t="s">
        <v>299</v>
      </c>
      <c r="K581" s="31">
        <f t="shared" si="201"/>
        <v>36.5</v>
      </c>
      <c r="L581" s="31">
        <f t="shared" si="202"/>
        <v>37</v>
      </c>
      <c r="M581" s="4">
        <f t="shared" si="189"/>
        <v>0.5</v>
      </c>
      <c r="N581" s="32">
        <v>0.3</v>
      </c>
      <c r="O581" s="5">
        <f t="shared" si="200"/>
        <v>0.7</v>
      </c>
      <c r="P581" s="31">
        <f t="shared" si="184"/>
        <v>0.15</v>
      </c>
      <c r="Q581" s="18">
        <f t="shared" si="185"/>
        <v>0.15</v>
      </c>
      <c r="R581" s="18">
        <v>7.5</v>
      </c>
      <c r="S581" s="18">
        <v>20</v>
      </c>
      <c r="T581" s="18">
        <v>0.12</v>
      </c>
      <c r="U581" s="18">
        <v>0</v>
      </c>
      <c r="V581" s="65">
        <f t="shared" si="191"/>
        <v>0</v>
      </c>
      <c r="W581" s="18">
        <v>10</v>
      </c>
      <c r="X581" s="18"/>
      <c r="Y581" s="18">
        <f t="shared" si="178"/>
        <v>10</v>
      </c>
      <c r="Z581" s="31">
        <f t="shared" si="192"/>
        <v>50</v>
      </c>
      <c r="AA581" s="18">
        <v>0</v>
      </c>
      <c r="AB581" s="18" t="s">
        <v>330</v>
      </c>
      <c r="AC581" s="18" t="s">
        <v>333</v>
      </c>
      <c r="AD581" s="18" t="s">
        <v>334</v>
      </c>
      <c r="AE581" s="18">
        <v>20</v>
      </c>
      <c r="AF581" s="18">
        <v>7.5</v>
      </c>
      <c r="AG581" s="18" t="s">
        <v>29</v>
      </c>
      <c r="AH581" s="18" t="s">
        <v>29</v>
      </c>
      <c r="AI581" s="18" t="str">
        <f>+VLOOKUP(AH581,Leyenda!$O$4:$U$10,6,FALSE)</f>
        <v>0,25-0,35</v>
      </c>
      <c r="AJ581" s="18" t="str">
        <f>+VLOOKUP(AG581,Leyenda!$O$4:$U$10,7,FALSE)</f>
        <v>No Blasting need</v>
      </c>
      <c r="AK581" s="18">
        <f>+VLOOKUP(AJ581,Leyenda!$U$4:$V$10,2,FALSE)</f>
        <v>2</v>
      </c>
      <c r="AL581" s="18" t="s">
        <v>34</v>
      </c>
      <c r="AM581" s="18" t="s">
        <v>34</v>
      </c>
      <c r="AN581" s="18" t="s">
        <v>69</v>
      </c>
      <c r="AO581" s="18" t="s">
        <v>81</v>
      </c>
      <c r="AP581" s="18" t="s">
        <v>100</v>
      </c>
      <c r="AQ581" s="18" t="s">
        <v>109</v>
      </c>
      <c r="AR581" s="18" t="s">
        <v>122</v>
      </c>
      <c r="AS581" s="18" t="s">
        <v>126</v>
      </c>
      <c r="AT581" s="18"/>
      <c r="AU581" s="18"/>
      <c r="AV581" s="18">
        <f>+VLOOKUP(AN581,Leyenda!$B$30:$E$34,3,FALSE)</f>
        <v>0</v>
      </c>
      <c r="AW581" s="36">
        <f>+VLOOKUP('2. Logging Brejo Seco'!AO581,Meteorizacion,3,FALSE)</f>
        <v>0</v>
      </c>
      <c r="AX581" s="36">
        <f>+VLOOKUP('2. Logging Brejo Seco'!AP581,Apertura,3,FALSE)</f>
        <v>0</v>
      </c>
      <c r="AY581" s="36">
        <f>+VLOOKUP('2. Logging Brejo Seco'!AQ581,Leyenda!$B$55:$D$59,3,FALSE)</f>
        <v>1</v>
      </c>
      <c r="AZ581" s="36">
        <f>+VLOOKUP('2. Logging Brejo Seco'!AR581,Relleno,3,FALSE)</f>
        <v>0</v>
      </c>
      <c r="BA581" s="36">
        <f t="shared" si="193"/>
        <v>1</v>
      </c>
      <c r="BB581" s="49">
        <f t="shared" si="197"/>
        <v>0</v>
      </c>
      <c r="BC581" s="49">
        <f>VLOOKUP(AH581,Leyenda!$B$4:$D$10,3,FALSE)</f>
        <v>2</v>
      </c>
      <c r="BD581" s="50">
        <f t="shared" si="203"/>
        <v>6</v>
      </c>
      <c r="BE581" s="49">
        <f t="shared" si="186"/>
        <v>1</v>
      </c>
      <c r="BF581" s="49">
        <f>VLOOKUP(AS581,Leyenda!$B$70:$D$75,3,FALSE)</f>
        <v>10</v>
      </c>
      <c r="BG581" s="67">
        <f t="shared" si="198"/>
        <v>1.5</v>
      </c>
      <c r="BH581" s="67">
        <f>VLOOKUP(AG581,Leyenda!$B$4:$E$10,4,FALSE)</f>
        <v>2</v>
      </c>
      <c r="BI581" s="67">
        <f t="shared" si="204"/>
        <v>5</v>
      </c>
      <c r="BJ581" s="67">
        <f t="shared" si="199"/>
        <v>0</v>
      </c>
      <c r="BK581" s="67">
        <f>+VLOOKUP('2. Logging Brejo Seco'!AP581,Leyenda!$B$47:$E$51,4,FALSE)</f>
        <v>0</v>
      </c>
      <c r="BL581" s="67">
        <f>+VLOOKUP('2. Logging Brejo Seco'!AQ581,Leyenda!$B$55:$E$59,4,FALSE)</f>
        <v>1</v>
      </c>
      <c r="BM581" s="67">
        <f>+VLOOKUP('2. Logging Brejo Seco'!AR581,Leyenda!$B$63:$E$67,3,FALSE)</f>
        <v>0</v>
      </c>
      <c r="BN581" s="67">
        <f>+VLOOKUP('2. Logging Brejo Seco'!AO581,Leyenda!$B$39:$E$43,4,FALSE)</f>
        <v>0</v>
      </c>
      <c r="BO581" s="67">
        <f>+VLOOKUP('2. Logging Brejo Seco'!AN581,Leyenda!$B$30:$E$34,4,FALSE)</f>
        <v>0</v>
      </c>
      <c r="BP581" s="67">
        <f>VLOOKUP(AS581,Leyenda!$B$71:$E$75,4,FALSE)</f>
        <v>7</v>
      </c>
      <c r="BQ581" s="125">
        <f t="shared" si="187"/>
        <v>15</v>
      </c>
      <c r="BR581" s="85">
        <f t="shared" si="188"/>
        <v>19</v>
      </c>
      <c r="BS581" s="240">
        <f t="shared" si="205"/>
        <v>0.7</v>
      </c>
      <c r="BT581" s="18"/>
    </row>
    <row r="582" spans="1:72" x14ac:dyDescent="0.25">
      <c r="A582" s="18" t="s">
        <v>6</v>
      </c>
      <c r="B582" s="18">
        <v>2024</v>
      </c>
      <c r="C582" s="18" t="s">
        <v>138</v>
      </c>
      <c r="D582" s="18" t="s">
        <v>266</v>
      </c>
      <c r="E582" s="18">
        <v>40</v>
      </c>
      <c r="F582" s="18">
        <v>40</v>
      </c>
      <c r="G582" s="18" t="s">
        <v>153</v>
      </c>
      <c r="H582" s="248">
        <f t="shared" si="190"/>
        <v>40</v>
      </c>
      <c r="I582" s="135"/>
      <c r="J582" s="18" t="s">
        <v>299</v>
      </c>
      <c r="K582" s="31">
        <f t="shared" si="201"/>
        <v>37</v>
      </c>
      <c r="L582" s="31">
        <f t="shared" si="202"/>
        <v>37.5</v>
      </c>
      <c r="M582" s="4">
        <f t="shared" si="189"/>
        <v>0.5</v>
      </c>
      <c r="N582" s="32">
        <v>0.78</v>
      </c>
      <c r="O582" s="5">
        <f t="shared" si="200"/>
        <v>0.21999999999999997</v>
      </c>
      <c r="P582" s="31">
        <f t="shared" ref="P582:P587" si="206">+M582*N582</f>
        <v>0.39</v>
      </c>
      <c r="Q582" s="18">
        <f t="shared" ref="Q582:Q585" si="207">+N582*M582</f>
        <v>0.39</v>
      </c>
      <c r="R582" s="18">
        <v>19.5</v>
      </c>
      <c r="S582" s="18">
        <v>20</v>
      </c>
      <c r="T582" s="18">
        <v>0.36</v>
      </c>
      <c r="U582" s="18">
        <v>0</v>
      </c>
      <c r="V582" s="65">
        <f t="shared" si="191"/>
        <v>0</v>
      </c>
      <c r="W582" s="18">
        <v>5</v>
      </c>
      <c r="X582" s="18"/>
      <c r="Y582" s="18">
        <f t="shared" si="178"/>
        <v>5</v>
      </c>
      <c r="Z582" s="31">
        <f t="shared" si="192"/>
        <v>100</v>
      </c>
      <c r="AA582" s="18">
        <v>0</v>
      </c>
      <c r="AB582" s="18" t="s">
        <v>330</v>
      </c>
      <c r="AC582" s="18" t="s">
        <v>333</v>
      </c>
      <c r="AD582" s="18" t="s">
        <v>334</v>
      </c>
      <c r="AE582" s="18">
        <v>20</v>
      </c>
      <c r="AF582" s="18">
        <v>19.5</v>
      </c>
      <c r="AG582" s="18" t="s">
        <v>29</v>
      </c>
      <c r="AH582" s="18" t="s">
        <v>29</v>
      </c>
      <c r="AI582" s="18" t="str">
        <f>+VLOOKUP(AH582,Leyenda!$O$4:$U$10,6,FALSE)</f>
        <v>0,25-0,35</v>
      </c>
      <c r="AJ582" s="18" t="str">
        <f>+VLOOKUP(AG582,Leyenda!$O$4:$U$10,7,FALSE)</f>
        <v>No Blasting need</v>
      </c>
      <c r="AK582" s="18">
        <f>+VLOOKUP(AJ582,Leyenda!$U$4:$V$10,2,FALSE)</f>
        <v>2</v>
      </c>
      <c r="AL582" s="18" t="s">
        <v>27</v>
      </c>
      <c r="AM582" s="18" t="s">
        <v>27</v>
      </c>
      <c r="AN582" s="18" t="s">
        <v>64</v>
      </c>
      <c r="AO582" s="18" t="s">
        <v>79</v>
      </c>
      <c r="AP582" s="18" t="s">
        <v>96</v>
      </c>
      <c r="AQ582" s="18" t="s">
        <v>107</v>
      </c>
      <c r="AR582" s="18" t="s">
        <v>120</v>
      </c>
      <c r="AS582" s="18" t="s">
        <v>267</v>
      </c>
      <c r="AT582" s="18"/>
      <c r="AU582" s="18"/>
      <c r="AV582" s="18">
        <f>+VLOOKUP(AN582,Leyenda!$B$30:$E$34,3,FALSE)</f>
        <v>2</v>
      </c>
      <c r="AW582" s="36">
        <f>+VLOOKUP('2. Logging Brejo Seco'!AO582,Meteorizacion,3,FALSE)</f>
        <v>1</v>
      </c>
      <c r="AX582" s="36">
        <f>+VLOOKUP('2. Logging Brejo Seco'!AP582,Apertura,3,FALSE)</f>
        <v>1</v>
      </c>
      <c r="AY582" s="36">
        <f>+VLOOKUP('2. Logging Brejo Seco'!AQ582,Leyenda!$B$55:$D$59,3,FALSE)</f>
        <v>3</v>
      </c>
      <c r="AZ582" s="36">
        <f>+VLOOKUP('2. Logging Brejo Seco'!AR582,Relleno,3,FALSE)</f>
        <v>2</v>
      </c>
      <c r="BA582" s="36">
        <f t="shared" si="193"/>
        <v>9</v>
      </c>
      <c r="BB582" s="49">
        <f t="shared" si="197"/>
        <v>0</v>
      </c>
      <c r="BC582" s="49">
        <f>VLOOKUP(AH582,Leyenda!$B$4:$D$10,3,FALSE)</f>
        <v>2</v>
      </c>
      <c r="BD582" s="50">
        <f t="shared" si="203"/>
        <v>7</v>
      </c>
      <c r="BE582" s="49">
        <f t="shared" ref="BE582:BE587" si="208">+BA582</f>
        <v>9</v>
      </c>
      <c r="BF582" s="49">
        <f>VLOOKUP(AS582,Leyenda!$B$70:$D$75,3,FALSE)</f>
        <v>15</v>
      </c>
      <c r="BG582" s="67">
        <f t="shared" si="198"/>
        <v>13.5</v>
      </c>
      <c r="BH582" s="67">
        <f>VLOOKUP(AG582,Leyenda!$B$4:$E$10,4,FALSE)</f>
        <v>2</v>
      </c>
      <c r="BI582" s="67">
        <f t="shared" si="204"/>
        <v>8</v>
      </c>
      <c r="BJ582" s="67">
        <f t="shared" si="199"/>
        <v>0</v>
      </c>
      <c r="BK582" s="67">
        <f>+VLOOKUP('2. Logging Brejo Seco'!AP582,Leyenda!$B$47:$E$51,4,FALSE)</f>
        <v>1</v>
      </c>
      <c r="BL582" s="67">
        <f>+VLOOKUP('2. Logging Brejo Seco'!AQ582,Leyenda!$B$55:$E$59,4,FALSE)</f>
        <v>3</v>
      </c>
      <c r="BM582" s="67">
        <f>+VLOOKUP('2. Logging Brejo Seco'!AR582,Leyenda!$B$63:$E$67,3,FALSE)</f>
        <v>2</v>
      </c>
      <c r="BN582" s="67">
        <f>+VLOOKUP('2. Logging Brejo Seco'!AO582,Leyenda!$B$39:$E$43,4,FALSE)</f>
        <v>1</v>
      </c>
      <c r="BO582" s="67">
        <f>+VLOOKUP('2. Logging Brejo Seco'!AN582,Leyenda!$B$30:$E$34,4,FALSE)</f>
        <v>3</v>
      </c>
      <c r="BP582" s="67">
        <f>VLOOKUP(AS582,Leyenda!$B$71:$E$75,4,FALSE)</f>
        <v>10</v>
      </c>
      <c r="BQ582" s="125">
        <f t="shared" ref="BQ582:BQ587" si="209">+BH582+BI582+BJ582+BK582+BL582+BM582+BN582+BO582+BP582</f>
        <v>30</v>
      </c>
      <c r="BR582" s="85">
        <f t="shared" ref="BR582:BR587" si="210">+BC582+BD582+BB582+BE582+BF582</f>
        <v>33</v>
      </c>
      <c r="BS582" s="240">
        <f t="shared" si="205"/>
        <v>0.21999999999999997</v>
      </c>
      <c r="BT582" s="18"/>
    </row>
    <row r="583" spans="1:72" x14ac:dyDescent="0.25">
      <c r="A583" s="18" t="s">
        <v>6</v>
      </c>
      <c r="B583" s="18">
        <v>2024</v>
      </c>
      <c r="C583" s="18" t="s">
        <v>138</v>
      </c>
      <c r="D583" s="18" t="s">
        <v>266</v>
      </c>
      <c r="E583" s="18">
        <v>40</v>
      </c>
      <c r="F583" s="18">
        <v>40</v>
      </c>
      <c r="G583" s="18" t="s">
        <v>153</v>
      </c>
      <c r="H583" s="248">
        <f t="shared" si="190"/>
        <v>40</v>
      </c>
      <c r="I583" s="135"/>
      <c r="J583" s="18" t="s">
        <v>299</v>
      </c>
      <c r="K583" s="31">
        <f t="shared" si="201"/>
        <v>37.5</v>
      </c>
      <c r="L583" s="31">
        <f t="shared" si="202"/>
        <v>38</v>
      </c>
      <c r="M583" s="4">
        <f>+L583-K583</f>
        <v>0.5</v>
      </c>
      <c r="N583" s="113">
        <v>1</v>
      </c>
      <c r="O583" s="5">
        <f t="shared" si="200"/>
        <v>0</v>
      </c>
      <c r="P583" s="31">
        <f t="shared" si="206"/>
        <v>0.5</v>
      </c>
      <c r="Q583" s="18">
        <f t="shared" si="207"/>
        <v>0.5</v>
      </c>
      <c r="R583" s="18">
        <v>25</v>
      </c>
      <c r="S583" s="18">
        <v>20</v>
      </c>
      <c r="T583" s="18">
        <v>0.4</v>
      </c>
      <c r="U583" s="18">
        <v>0.24</v>
      </c>
      <c r="V583" s="65">
        <f t="shared" si="191"/>
        <v>48</v>
      </c>
      <c r="W583" s="18">
        <v>3</v>
      </c>
      <c r="X583" s="18"/>
      <c r="Y583" s="18">
        <f t="shared" si="178"/>
        <v>3</v>
      </c>
      <c r="Z583" s="31">
        <f t="shared" si="192"/>
        <v>166.66666666666666</v>
      </c>
      <c r="AA583" s="18">
        <v>0</v>
      </c>
      <c r="AB583" s="18" t="s">
        <v>330</v>
      </c>
      <c r="AC583" s="18" t="s">
        <v>333</v>
      </c>
      <c r="AD583" s="18" t="s">
        <v>334</v>
      </c>
      <c r="AE583" s="18">
        <v>20</v>
      </c>
      <c r="AF583" s="18">
        <v>25</v>
      </c>
      <c r="AG583" s="18" t="s">
        <v>24</v>
      </c>
      <c r="AH583" s="18" t="s">
        <v>24</v>
      </c>
      <c r="AI583" s="18" t="str">
        <f>+VLOOKUP(AH583,Leyenda!$O$4:$U$10,6,FALSE)</f>
        <v>0,50-0,80</v>
      </c>
      <c r="AJ583" s="18" t="str">
        <f>+VLOOKUP(AG583,Leyenda!$O$4:$U$10,7,FALSE)</f>
        <v>Fairly easy to blast</v>
      </c>
      <c r="AK583" s="18">
        <f>+VLOOKUP(AJ583,Leyenda!$U$4:$V$10,2,FALSE)</f>
        <v>4</v>
      </c>
      <c r="AL583" s="18" t="s">
        <v>32</v>
      </c>
      <c r="AM583" s="18" t="s">
        <v>32</v>
      </c>
      <c r="AN583" s="18" t="s">
        <v>66</v>
      </c>
      <c r="AO583" s="18" t="s">
        <v>81</v>
      </c>
      <c r="AP583" s="18" t="s">
        <v>100</v>
      </c>
      <c r="AQ583" s="18" t="s">
        <v>107</v>
      </c>
      <c r="AR583" s="18" t="s">
        <v>122</v>
      </c>
      <c r="AS583" s="18" t="s">
        <v>267</v>
      </c>
      <c r="AT583" s="18"/>
      <c r="AU583" s="18"/>
      <c r="AV583" s="18">
        <f>+VLOOKUP(AN583,Leyenda!$B$30:$E$34,3,FALSE)</f>
        <v>1</v>
      </c>
      <c r="AW583" s="36">
        <f>+VLOOKUP('2. Logging Brejo Seco'!AO583,Meteorizacion,3,FALSE)</f>
        <v>0</v>
      </c>
      <c r="AX583" s="36">
        <f>+VLOOKUP('2. Logging Brejo Seco'!AP583,Apertura,3,FALSE)</f>
        <v>0</v>
      </c>
      <c r="AY583" s="36">
        <f>+VLOOKUP('2. Logging Brejo Seco'!AQ583,Leyenda!$B$55:$D$59,3,FALSE)</f>
        <v>3</v>
      </c>
      <c r="AZ583" s="36">
        <f>+VLOOKUP('2. Logging Brejo Seco'!AR583,Relleno,3,FALSE)</f>
        <v>0</v>
      </c>
      <c r="BA583" s="36">
        <f t="shared" si="193"/>
        <v>4</v>
      </c>
      <c r="BB583" s="49">
        <f t="shared" si="197"/>
        <v>10</v>
      </c>
      <c r="BC583" s="49">
        <f>VLOOKUP(AH583,Leyenda!$B$4:$D$10,3,FALSE)</f>
        <v>7</v>
      </c>
      <c r="BD583" s="50">
        <f t="shared" si="203"/>
        <v>9</v>
      </c>
      <c r="BE583" s="49">
        <f t="shared" si="208"/>
        <v>4</v>
      </c>
      <c r="BF583" s="49">
        <f>VLOOKUP(AS583,Leyenda!$B$70:$D$75,3,FALSE)</f>
        <v>15</v>
      </c>
      <c r="BG583" s="67">
        <f t="shared" si="198"/>
        <v>30</v>
      </c>
      <c r="BH583" s="67">
        <f>VLOOKUP(AG583,Leyenda!$B$4:$E$10,4,FALSE)</f>
        <v>7</v>
      </c>
      <c r="BI583" s="67">
        <f t="shared" si="204"/>
        <v>11</v>
      </c>
      <c r="BJ583" s="67">
        <f t="shared" si="199"/>
        <v>10</v>
      </c>
      <c r="BK583" s="67">
        <f>+VLOOKUP('2. Logging Brejo Seco'!AP583,Leyenda!$B$47:$E$51,4,FALSE)</f>
        <v>0</v>
      </c>
      <c r="BL583" s="67">
        <f>+VLOOKUP('2. Logging Brejo Seco'!AQ583,Leyenda!$B$55:$E$59,4,FALSE)</f>
        <v>3</v>
      </c>
      <c r="BM583" s="67">
        <f>+VLOOKUP('2. Logging Brejo Seco'!AR583,Leyenda!$B$63:$E$67,3,FALSE)</f>
        <v>0</v>
      </c>
      <c r="BN583" s="67">
        <f>+VLOOKUP('2. Logging Brejo Seco'!AO583,Leyenda!$B$39:$E$43,4,FALSE)</f>
        <v>0</v>
      </c>
      <c r="BO583" s="67">
        <f>+VLOOKUP('2. Logging Brejo Seco'!AN583,Leyenda!$B$30:$E$34,4,FALSE)</f>
        <v>1</v>
      </c>
      <c r="BP583" s="67">
        <f>VLOOKUP(AS583,Leyenda!$B$71:$E$75,4,FALSE)</f>
        <v>10</v>
      </c>
      <c r="BQ583" s="125">
        <f t="shared" si="209"/>
        <v>42</v>
      </c>
      <c r="BR583" s="85">
        <f t="shared" si="210"/>
        <v>45</v>
      </c>
      <c r="BS583" s="240">
        <f t="shared" si="205"/>
        <v>0</v>
      </c>
      <c r="BT583" s="18"/>
    </row>
    <row r="584" spans="1:72" x14ac:dyDescent="0.25">
      <c r="A584" s="18" t="s">
        <v>6</v>
      </c>
      <c r="B584" s="18">
        <v>2024</v>
      </c>
      <c r="C584" s="18" t="s">
        <v>138</v>
      </c>
      <c r="D584" s="18" t="s">
        <v>266</v>
      </c>
      <c r="E584" s="18">
        <v>40</v>
      </c>
      <c r="F584" s="18">
        <v>40</v>
      </c>
      <c r="G584" s="18" t="s">
        <v>153</v>
      </c>
      <c r="H584" s="248">
        <f t="shared" si="190"/>
        <v>40</v>
      </c>
      <c r="I584" s="135"/>
      <c r="J584" s="18" t="s">
        <v>299</v>
      </c>
      <c r="K584" s="31">
        <f t="shared" si="201"/>
        <v>38</v>
      </c>
      <c r="L584" s="31">
        <f t="shared" si="202"/>
        <v>38.5</v>
      </c>
      <c r="M584" s="4">
        <f>+L584-K584</f>
        <v>0.5</v>
      </c>
      <c r="N584" s="113">
        <v>1</v>
      </c>
      <c r="O584" s="5">
        <f t="shared" si="200"/>
        <v>0</v>
      </c>
      <c r="P584" s="31">
        <f t="shared" si="206"/>
        <v>0.5</v>
      </c>
      <c r="Q584" s="18">
        <f t="shared" si="207"/>
        <v>0.5</v>
      </c>
      <c r="R584" s="18">
        <v>25</v>
      </c>
      <c r="S584" s="18">
        <v>20</v>
      </c>
      <c r="T584" s="18">
        <v>0.46</v>
      </c>
      <c r="U584" s="18">
        <v>0</v>
      </c>
      <c r="V584" s="65">
        <f t="shared" si="191"/>
        <v>0</v>
      </c>
      <c r="W584" s="18">
        <v>4</v>
      </c>
      <c r="X584" s="18"/>
      <c r="Y584" s="18">
        <f t="shared" si="178"/>
        <v>4</v>
      </c>
      <c r="Z584" s="31">
        <f t="shared" si="192"/>
        <v>125</v>
      </c>
      <c r="AA584" s="18">
        <v>0</v>
      </c>
      <c r="AB584" s="18" t="s">
        <v>330</v>
      </c>
      <c r="AC584" s="18" t="s">
        <v>333</v>
      </c>
      <c r="AD584" s="18" t="s">
        <v>334</v>
      </c>
      <c r="AE584" s="18">
        <v>20</v>
      </c>
      <c r="AF584" s="18">
        <v>25</v>
      </c>
      <c r="AG584" s="18" t="s">
        <v>29</v>
      </c>
      <c r="AH584" s="18" t="s">
        <v>29</v>
      </c>
      <c r="AI584" s="18" t="str">
        <f>+VLOOKUP(AH584,Leyenda!$O$4:$U$10,6,FALSE)</f>
        <v>0,25-0,35</v>
      </c>
      <c r="AJ584" s="18" t="str">
        <f>+VLOOKUP(AG584,Leyenda!$O$4:$U$10,7,FALSE)</f>
        <v>No Blasting need</v>
      </c>
      <c r="AK584" s="18">
        <f>+VLOOKUP(AJ584,Leyenda!$U$4:$V$10,2,FALSE)</f>
        <v>2</v>
      </c>
      <c r="AL584" s="18" t="s">
        <v>34</v>
      </c>
      <c r="AM584" s="18" t="s">
        <v>34</v>
      </c>
      <c r="AN584" s="18" t="s">
        <v>69</v>
      </c>
      <c r="AO584" s="18" t="s">
        <v>81</v>
      </c>
      <c r="AP584" s="18" t="s">
        <v>100</v>
      </c>
      <c r="AQ584" s="18" t="s">
        <v>109</v>
      </c>
      <c r="AR584" s="18" t="s">
        <v>122</v>
      </c>
      <c r="AS584" s="18" t="s">
        <v>126</v>
      </c>
      <c r="AT584" s="18"/>
      <c r="AU584" s="18"/>
      <c r="AV584" s="18">
        <f>+VLOOKUP(AN584,Leyenda!$B$30:$E$34,3,FALSE)</f>
        <v>0</v>
      </c>
      <c r="AW584" s="36">
        <f>+VLOOKUP('2. Logging Brejo Seco'!AO584,Meteorizacion,3,FALSE)</f>
        <v>0</v>
      </c>
      <c r="AX584" s="36">
        <f>+VLOOKUP('2. Logging Brejo Seco'!AP584,Apertura,3,FALSE)</f>
        <v>0</v>
      </c>
      <c r="AY584" s="36">
        <f>+VLOOKUP('2. Logging Brejo Seco'!AQ584,Leyenda!$B$55:$D$59,3,FALSE)</f>
        <v>1</v>
      </c>
      <c r="AZ584" s="36">
        <f>+VLOOKUP('2. Logging Brejo Seco'!AR584,Relleno,3,FALSE)</f>
        <v>0</v>
      </c>
      <c r="BA584" s="36">
        <f t="shared" si="193"/>
        <v>1</v>
      </c>
      <c r="BB584" s="49">
        <f t="shared" si="197"/>
        <v>0</v>
      </c>
      <c r="BC584" s="49">
        <f>VLOOKUP(AH584,Leyenda!$B$4:$D$10,3,FALSE)</f>
        <v>2</v>
      </c>
      <c r="BD584" s="50">
        <f t="shared" si="203"/>
        <v>8</v>
      </c>
      <c r="BE584" s="49">
        <f t="shared" si="208"/>
        <v>1</v>
      </c>
      <c r="BF584" s="49">
        <f>VLOOKUP(AS584,Leyenda!$B$70:$D$75,3,FALSE)</f>
        <v>10</v>
      </c>
      <c r="BG584" s="67">
        <f t="shared" si="198"/>
        <v>1.5</v>
      </c>
      <c r="BH584" s="67">
        <f>VLOOKUP(AG584,Leyenda!$B$4:$E$10,4,FALSE)</f>
        <v>2</v>
      </c>
      <c r="BI584" s="67">
        <f t="shared" si="204"/>
        <v>10</v>
      </c>
      <c r="BJ584" s="67">
        <f t="shared" si="199"/>
        <v>0</v>
      </c>
      <c r="BK584" s="67">
        <f>+VLOOKUP('2. Logging Brejo Seco'!AP584,Leyenda!$B$47:$E$51,4,FALSE)</f>
        <v>0</v>
      </c>
      <c r="BL584" s="67">
        <f>+VLOOKUP('2. Logging Brejo Seco'!AQ584,Leyenda!$B$55:$E$59,4,FALSE)</f>
        <v>1</v>
      </c>
      <c r="BM584" s="67">
        <f>+VLOOKUP('2. Logging Brejo Seco'!AR584,Leyenda!$B$63:$E$67,3,FALSE)</f>
        <v>0</v>
      </c>
      <c r="BN584" s="67">
        <f>+VLOOKUP('2. Logging Brejo Seco'!AO584,Leyenda!$B$39:$E$43,4,FALSE)</f>
        <v>0</v>
      </c>
      <c r="BO584" s="67">
        <f>+VLOOKUP('2. Logging Brejo Seco'!AN584,Leyenda!$B$30:$E$34,4,FALSE)</f>
        <v>0</v>
      </c>
      <c r="BP584" s="67">
        <f>VLOOKUP(AS584,Leyenda!$B$71:$E$75,4,FALSE)</f>
        <v>7</v>
      </c>
      <c r="BQ584" s="125">
        <f t="shared" si="209"/>
        <v>20</v>
      </c>
      <c r="BR584" s="85">
        <f t="shared" si="210"/>
        <v>21</v>
      </c>
      <c r="BS584" s="240">
        <f t="shared" si="205"/>
        <v>0</v>
      </c>
      <c r="BT584" s="18"/>
    </row>
    <row r="585" spans="1:72" x14ac:dyDescent="0.25">
      <c r="A585" s="18" t="s">
        <v>6</v>
      </c>
      <c r="B585" s="18">
        <v>2024</v>
      </c>
      <c r="C585" s="18" t="s">
        <v>138</v>
      </c>
      <c r="D585" s="18" t="s">
        <v>266</v>
      </c>
      <c r="E585" s="18">
        <v>40</v>
      </c>
      <c r="F585" s="18">
        <v>40</v>
      </c>
      <c r="G585" s="18" t="s">
        <v>153</v>
      </c>
      <c r="H585" s="248">
        <f t="shared" si="190"/>
        <v>40</v>
      </c>
      <c r="I585" s="135"/>
      <c r="J585" s="18" t="s">
        <v>299</v>
      </c>
      <c r="K585" s="31">
        <f t="shared" si="201"/>
        <v>38.5</v>
      </c>
      <c r="L585" s="31">
        <f t="shared" si="202"/>
        <v>39</v>
      </c>
      <c r="M585" s="4">
        <f>+L585-K585</f>
        <v>0.5</v>
      </c>
      <c r="N585" s="113">
        <v>1</v>
      </c>
      <c r="O585" s="5">
        <f t="shared" si="200"/>
        <v>0</v>
      </c>
      <c r="P585" s="31">
        <f t="shared" si="206"/>
        <v>0.5</v>
      </c>
      <c r="Q585" s="18">
        <f t="shared" si="207"/>
        <v>0.5</v>
      </c>
      <c r="R585" s="18">
        <v>25</v>
      </c>
      <c r="S585" s="18">
        <v>20</v>
      </c>
      <c r="T585" s="18">
        <v>0.43</v>
      </c>
      <c r="U585" s="18">
        <v>0.18</v>
      </c>
      <c r="V585" s="65">
        <f t="shared" si="191"/>
        <v>36</v>
      </c>
      <c r="W585" s="18">
        <v>4</v>
      </c>
      <c r="X585" s="18"/>
      <c r="Y585" s="18">
        <f t="shared" si="178"/>
        <v>4</v>
      </c>
      <c r="Z585" s="31">
        <f t="shared" si="192"/>
        <v>125</v>
      </c>
      <c r="AA585" s="18">
        <v>0</v>
      </c>
      <c r="AB585" s="18" t="s">
        <v>330</v>
      </c>
      <c r="AC585" s="18" t="s">
        <v>333</v>
      </c>
      <c r="AD585" s="18" t="s">
        <v>334</v>
      </c>
      <c r="AE585" s="18">
        <v>20</v>
      </c>
      <c r="AF585" s="18">
        <v>25</v>
      </c>
      <c r="AG585" s="18" t="s">
        <v>29</v>
      </c>
      <c r="AH585" s="18" t="s">
        <v>29</v>
      </c>
      <c r="AI585" s="18" t="str">
        <f>+VLOOKUP(AH585,Leyenda!$O$4:$U$10,6,FALSE)</f>
        <v>0,25-0,35</v>
      </c>
      <c r="AJ585" s="18" t="str">
        <f>+VLOOKUP(AG585,Leyenda!$O$4:$U$10,7,FALSE)</f>
        <v>No Blasting need</v>
      </c>
      <c r="AK585" s="18">
        <f>+VLOOKUP(AJ585,Leyenda!$U$4:$V$10,2,FALSE)</f>
        <v>2</v>
      </c>
      <c r="AL585" s="18" t="s">
        <v>32</v>
      </c>
      <c r="AM585" s="18" t="s">
        <v>32</v>
      </c>
      <c r="AN585" s="18" t="s">
        <v>66</v>
      </c>
      <c r="AO585" s="18" t="s">
        <v>79</v>
      </c>
      <c r="AP585" s="18" t="s">
        <v>96</v>
      </c>
      <c r="AQ585" s="18" t="s">
        <v>109</v>
      </c>
      <c r="AR585" s="18" t="s">
        <v>120</v>
      </c>
      <c r="AS585" s="18" t="s">
        <v>267</v>
      </c>
      <c r="AT585" s="18"/>
      <c r="AU585" s="18"/>
      <c r="AV585" s="18">
        <f>+VLOOKUP(AN585,Leyenda!$B$30:$E$34,3,FALSE)</f>
        <v>1</v>
      </c>
      <c r="AW585" s="36">
        <f>+VLOOKUP('2. Logging Brejo Seco'!AO585,Meteorizacion,3,FALSE)</f>
        <v>1</v>
      </c>
      <c r="AX585" s="36">
        <f>+VLOOKUP('2. Logging Brejo Seco'!AP585,Apertura,3,FALSE)</f>
        <v>1</v>
      </c>
      <c r="AY585" s="36">
        <f>+VLOOKUP('2. Logging Brejo Seco'!AQ585,Leyenda!$B$55:$D$59,3,FALSE)</f>
        <v>1</v>
      </c>
      <c r="AZ585" s="36">
        <f>+VLOOKUP('2. Logging Brejo Seco'!AR585,Relleno,3,FALSE)</f>
        <v>2</v>
      </c>
      <c r="BA585" s="36">
        <f t="shared" si="193"/>
        <v>6</v>
      </c>
      <c r="BB585" s="49">
        <f t="shared" si="197"/>
        <v>8</v>
      </c>
      <c r="BC585" s="49">
        <f>VLOOKUP(AH585,Leyenda!$B$4:$D$10,3,FALSE)</f>
        <v>2</v>
      </c>
      <c r="BD585" s="50">
        <f t="shared" si="203"/>
        <v>8</v>
      </c>
      <c r="BE585" s="49">
        <f t="shared" si="208"/>
        <v>6</v>
      </c>
      <c r="BF585" s="49">
        <f>VLOOKUP(AS585,Leyenda!$B$70:$D$75,3,FALSE)</f>
        <v>15</v>
      </c>
      <c r="BG585" s="67">
        <f t="shared" si="198"/>
        <v>27</v>
      </c>
      <c r="BH585" s="67">
        <f>VLOOKUP(AG585,Leyenda!$B$4:$E$10,4,FALSE)</f>
        <v>2</v>
      </c>
      <c r="BI585" s="67">
        <f t="shared" si="204"/>
        <v>10</v>
      </c>
      <c r="BJ585" s="67">
        <f t="shared" si="199"/>
        <v>8</v>
      </c>
      <c r="BK585" s="67">
        <f>+VLOOKUP('2. Logging Brejo Seco'!AP585,Leyenda!$B$47:$E$51,4,FALSE)</f>
        <v>1</v>
      </c>
      <c r="BL585" s="67">
        <f>+VLOOKUP('2. Logging Brejo Seco'!AQ585,Leyenda!$B$55:$E$59,4,FALSE)</f>
        <v>1</v>
      </c>
      <c r="BM585" s="67">
        <f>+VLOOKUP('2. Logging Brejo Seco'!AR585,Leyenda!$B$63:$E$67,3,FALSE)</f>
        <v>2</v>
      </c>
      <c r="BN585" s="67">
        <f>+VLOOKUP('2. Logging Brejo Seco'!AO585,Leyenda!$B$39:$E$43,4,FALSE)</f>
        <v>1</v>
      </c>
      <c r="BO585" s="67">
        <f>+VLOOKUP('2. Logging Brejo Seco'!AN585,Leyenda!$B$30:$E$34,4,FALSE)</f>
        <v>1</v>
      </c>
      <c r="BP585" s="67">
        <f>VLOOKUP(AS585,Leyenda!$B$71:$E$75,4,FALSE)</f>
        <v>10</v>
      </c>
      <c r="BQ585" s="125">
        <f t="shared" si="209"/>
        <v>36</v>
      </c>
      <c r="BR585" s="85">
        <f t="shared" si="210"/>
        <v>39</v>
      </c>
      <c r="BS585" s="240">
        <f t="shared" si="205"/>
        <v>0</v>
      </c>
      <c r="BT585" s="18"/>
    </row>
    <row r="586" spans="1:72" x14ac:dyDescent="0.25">
      <c r="A586" s="36" t="s">
        <v>6</v>
      </c>
      <c r="B586" s="36">
        <v>2024</v>
      </c>
      <c r="C586" s="36" t="s">
        <v>138</v>
      </c>
      <c r="D586" s="36" t="s">
        <v>266</v>
      </c>
      <c r="E586" s="18">
        <v>40</v>
      </c>
      <c r="F586" s="18">
        <v>40</v>
      </c>
      <c r="G586" s="18" t="s">
        <v>153</v>
      </c>
      <c r="H586" s="248">
        <f t="shared" ref="H586" si="211">+F586</f>
        <v>40</v>
      </c>
      <c r="I586" s="135"/>
      <c r="J586" s="18" t="s">
        <v>299</v>
      </c>
      <c r="K586" s="31">
        <f t="shared" si="201"/>
        <v>39</v>
      </c>
      <c r="L586" s="31">
        <f t="shared" si="202"/>
        <v>39.5</v>
      </c>
      <c r="M586" s="4">
        <f>+L586-K586</f>
        <v>0.5</v>
      </c>
      <c r="N586" s="113">
        <v>0.96</v>
      </c>
      <c r="O586" s="5">
        <f t="shared" si="200"/>
        <v>4.0000000000000036E-2</v>
      </c>
      <c r="P586" s="31">
        <f t="shared" si="206"/>
        <v>0.48</v>
      </c>
      <c r="Q586" s="31">
        <f t="shared" ref="Q586:Q588" si="212">+N586*P586</f>
        <v>0.46079999999999999</v>
      </c>
      <c r="R586" s="31">
        <f t="shared" ref="R586:R588" si="213">+P586*Q586</f>
        <v>0.22118399999999999</v>
      </c>
      <c r="S586" s="31">
        <f t="shared" ref="S586:S588" si="214">+Q586*R586</f>
        <v>0.1019215872</v>
      </c>
      <c r="T586" s="31">
        <v>0.46</v>
      </c>
      <c r="U586" s="31">
        <f t="shared" ref="U586:U588" si="215">+S586*T586</f>
        <v>4.6883930112000004E-2</v>
      </c>
      <c r="V586" s="65">
        <f t="shared" si="191"/>
        <v>9.376786022400001</v>
      </c>
      <c r="W586" s="31"/>
      <c r="X586" s="31"/>
      <c r="Y586" s="31">
        <v>15</v>
      </c>
      <c r="Z586" s="31">
        <f t="shared" si="192"/>
        <v>33.333333333333336</v>
      </c>
      <c r="AA586" s="31">
        <f t="shared" ref="AA586:AA588" si="216">+Y586*Z586</f>
        <v>500.00000000000006</v>
      </c>
      <c r="AB586" s="31">
        <f t="shared" ref="AB586:AB588" si="217">+Z586*AA586</f>
        <v>16666.666666666672</v>
      </c>
      <c r="AC586" s="31">
        <f t="shared" ref="AC586:AC588" si="218">+AA586*AB586</f>
        <v>8333333.3333333367</v>
      </c>
      <c r="AD586" s="31">
        <f t="shared" ref="AD586:AD588" si="219">+AB586*AC586</f>
        <v>138888888888.88898</v>
      </c>
      <c r="AE586" s="18">
        <v>20</v>
      </c>
      <c r="AF586" s="18">
        <v>24</v>
      </c>
      <c r="AG586" s="18" t="s">
        <v>29</v>
      </c>
      <c r="AH586" s="18" t="s">
        <v>29</v>
      </c>
      <c r="AI586" s="18" t="str">
        <f>+VLOOKUP(AH586,Leyenda!$O$4:$U$10,6,FALSE)</f>
        <v>0,25-0,35</v>
      </c>
      <c r="AJ586" s="18" t="str">
        <f>+VLOOKUP(AG586,Leyenda!$O$4:$U$10,7,FALSE)</f>
        <v>No Blasting need</v>
      </c>
      <c r="AK586" s="18">
        <f>+VLOOKUP(AJ586,Leyenda!$U$4:$V$10,2,FALSE)</f>
        <v>2</v>
      </c>
      <c r="AL586" s="18" t="s">
        <v>32</v>
      </c>
      <c r="AM586" s="18" t="s">
        <v>32</v>
      </c>
      <c r="AN586" s="18" t="s">
        <v>66</v>
      </c>
      <c r="AO586" s="18" t="s">
        <v>79</v>
      </c>
      <c r="AP586" s="18" t="s">
        <v>96</v>
      </c>
      <c r="AQ586" s="18" t="s">
        <v>109</v>
      </c>
      <c r="AR586" s="18" t="s">
        <v>120</v>
      </c>
      <c r="AS586" s="18" t="s">
        <v>267</v>
      </c>
      <c r="AT586" s="36"/>
      <c r="AU586" s="36"/>
      <c r="AV586" s="18">
        <f>+VLOOKUP(AN586,Leyenda!$B$30:$E$34,3,FALSE)</f>
        <v>1</v>
      </c>
      <c r="AW586" s="36">
        <f>+VLOOKUP('2. Logging Brejo Seco'!AO586,Meteorizacion,3,FALSE)</f>
        <v>1</v>
      </c>
      <c r="AX586" s="36">
        <f>+VLOOKUP('2. Logging Brejo Seco'!AP586,Apertura,3,FALSE)</f>
        <v>1</v>
      </c>
      <c r="AY586" s="36">
        <f>+VLOOKUP('2. Logging Brejo Seco'!AQ586,Leyenda!$B$55:$D$59,3,FALSE)</f>
        <v>1</v>
      </c>
      <c r="AZ586" s="36">
        <f>+VLOOKUP('2. Logging Brejo Seco'!AR586,Relleno,3,FALSE)</f>
        <v>2</v>
      </c>
      <c r="BA586" s="36">
        <f t="shared" si="193"/>
        <v>6</v>
      </c>
      <c r="BB586" s="49">
        <f t="shared" si="197"/>
        <v>2</v>
      </c>
      <c r="BC586" s="49">
        <f>VLOOKUP(AH586,Leyenda!$B$4:$D$10,3,FALSE)</f>
        <v>2</v>
      </c>
      <c r="BD586" s="50">
        <f t="shared" si="203"/>
        <v>5</v>
      </c>
      <c r="BE586" s="49">
        <f t="shared" si="208"/>
        <v>6</v>
      </c>
      <c r="BF586" s="49">
        <f>VLOOKUP(AS586,Leyenda!$B$70:$D$75,3,FALSE)</f>
        <v>15</v>
      </c>
      <c r="BG586" s="67">
        <f t="shared" si="198"/>
        <v>13.688393011200001</v>
      </c>
      <c r="BH586" s="67">
        <f>VLOOKUP(AG586,Leyenda!$B$4:$E$10,4,FALSE)</f>
        <v>2</v>
      </c>
      <c r="BI586" s="67">
        <f t="shared" si="204"/>
        <v>5</v>
      </c>
      <c r="BJ586" s="67">
        <f t="shared" si="199"/>
        <v>2</v>
      </c>
      <c r="BK586" s="67">
        <f>+VLOOKUP('2. Logging Brejo Seco'!AP586,Leyenda!$B$47:$E$51,4,FALSE)</f>
        <v>1</v>
      </c>
      <c r="BL586" s="67">
        <f>+VLOOKUP('2. Logging Brejo Seco'!AQ586,Leyenda!$B$55:$E$59,4,FALSE)</f>
        <v>1</v>
      </c>
      <c r="BM586" s="67">
        <f>+VLOOKUP('2. Logging Brejo Seco'!AR586,Leyenda!$B$63:$E$67,3,FALSE)</f>
        <v>2</v>
      </c>
      <c r="BN586" s="67">
        <f>+VLOOKUP('2. Logging Brejo Seco'!AO586,Leyenda!$B$39:$E$43,4,FALSE)</f>
        <v>1</v>
      </c>
      <c r="BO586" s="67">
        <f>+VLOOKUP('2. Logging Brejo Seco'!AN586,Leyenda!$B$30:$E$34,4,FALSE)</f>
        <v>1</v>
      </c>
      <c r="BP586" s="67">
        <f>VLOOKUP(AS586,Leyenda!$B$71:$E$75,4,FALSE)</f>
        <v>10</v>
      </c>
      <c r="BQ586" s="125">
        <f t="shared" si="209"/>
        <v>25</v>
      </c>
      <c r="BR586" s="85">
        <f t="shared" si="210"/>
        <v>30</v>
      </c>
      <c r="BS586" s="240">
        <f t="shared" si="205"/>
        <v>4.0000000000000036E-2</v>
      </c>
      <c r="BT586" s="18"/>
    </row>
    <row r="587" spans="1:72" x14ac:dyDescent="0.25">
      <c r="A587" s="36" t="s">
        <v>6</v>
      </c>
      <c r="B587" s="36">
        <v>2024</v>
      </c>
      <c r="C587" s="36" t="s">
        <v>138</v>
      </c>
      <c r="D587" s="36" t="s">
        <v>266</v>
      </c>
      <c r="E587" s="36">
        <v>40</v>
      </c>
      <c r="F587" s="36">
        <v>40</v>
      </c>
      <c r="G587" s="36" t="s">
        <v>153</v>
      </c>
      <c r="H587" s="248">
        <f>+F587</f>
        <v>40</v>
      </c>
      <c r="I587" s="247"/>
      <c r="J587" s="36" t="s">
        <v>299</v>
      </c>
      <c r="K587" s="106">
        <f t="shared" si="201"/>
        <v>39.5</v>
      </c>
      <c r="L587" s="106">
        <f t="shared" si="202"/>
        <v>40</v>
      </c>
      <c r="M587" s="107">
        <f>+L587-K587</f>
        <v>0.5</v>
      </c>
      <c r="N587" s="113">
        <v>1</v>
      </c>
      <c r="O587" s="5">
        <f t="shared" si="200"/>
        <v>0</v>
      </c>
      <c r="P587" s="106">
        <f t="shared" si="206"/>
        <v>0.5</v>
      </c>
      <c r="Q587" s="106">
        <f t="shared" si="212"/>
        <v>0.5</v>
      </c>
      <c r="R587" s="106">
        <f t="shared" si="213"/>
        <v>0.25</v>
      </c>
      <c r="S587" s="106">
        <f t="shared" si="214"/>
        <v>0.125</v>
      </c>
      <c r="T587" s="106">
        <v>0.5</v>
      </c>
      <c r="U587" s="106">
        <f t="shared" si="215"/>
        <v>6.25E-2</v>
      </c>
      <c r="V587" s="65">
        <f t="shared" si="191"/>
        <v>12.5</v>
      </c>
      <c r="W587" s="31">
        <f t="shared" ref="W587:W588" si="220">+U587*V587</f>
        <v>0.78125</v>
      </c>
      <c r="X587" s="31">
        <f t="shared" ref="X587:X588" si="221">+V587*W587</f>
        <v>9.765625</v>
      </c>
      <c r="Y587" s="31">
        <f t="shared" ref="Y587" si="222">+W587*X587</f>
        <v>7.62939453125</v>
      </c>
      <c r="Z587" s="31">
        <f t="shared" si="192"/>
        <v>65.536000000000001</v>
      </c>
      <c r="AA587" s="106">
        <f t="shared" si="216"/>
        <v>500</v>
      </c>
      <c r="AB587" s="106">
        <f t="shared" si="217"/>
        <v>32768</v>
      </c>
      <c r="AC587" s="106">
        <f t="shared" si="218"/>
        <v>16384000</v>
      </c>
      <c r="AD587" s="106">
        <f t="shared" si="219"/>
        <v>536870912000</v>
      </c>
      <c r="AE587" s="36">
        <v>20</v>
      </c>
      <c r="AF587" s="36">
        <v>25</v>
      </c>
      <c r="AG587" s="36" t="s">
        <v>29</v>
      </c>
      <c r="AH587" s="36" t="s">
        <v>29</v>
      </c>
      <c r="AI587" s="18" t="str">
        <f>+VLOOKUP(AH587,Leyenda!$O$4:$U$10,6,FALSE)</f>
        <v>0,25-0,35</v>
      </c>
      <c r="AJ587" s="18" t="str">
        <f>+VLOOKUP(AG587,Leyenda!$O$4:$U$10,7,FALSE)</f>
        <v>No Blasting need</v>
      </c>
      <c r="AK587" s="18">
        <f>+VLOOKUP(AJ587,Leyenda!$U$4:$V$10,2,FALSE)</f>
        <v>2</v>
      </c>
      <c r="AL587" s="36" t="s">
        <v>32</v>
      </c>
      <c r="AM587" s="36" t="s">
        <v>32</v>
      </c>
      <c r="AN587" s="36" t="s">
        <v>66</v>
      </c>
      <c r="AO587" s="36" t="s">
        <v>79</v>
      </c>
      <c r="AP587" s="36" t="s">
        <v>96</v>
      </c>
      <c r="AQ587" s="36" t="s">
        <v>109</v>
      </c>
      <c r="AR587" s="36" t="s">
        <v>120</v>
      </c>
      <c r="AS587" s="36" t="s">
        <v>267</v>
      </c>
      <c r="AT587" s="36"/>
      <c r="AU587" s="36"/>
      <c r="AV587" s="36">
        <f>+VLOOKUP(AN587,Leyenda!$B$30:$E$34,3,FALSE)</f>
        <v>1</v>
      </c>
      <c r="AW587" s="36">
        <f>+VLOOKUP('2. Logging Brejo Seco'!AO587,Meteorizacion,3,FALSE)</f>
        <v>1</v>
      </c>
      <c r="AX587" s="36">
        <f>+VLOOKUP('2. Logging Brejo Seco'!AP587,Apertura,3,FALSE)</f>
        <v>1</v>
      </c>
      <c r="AY587" s="36">
        <f>+VLOOKUP('2. Logging Brejo Seco'!AQ587,Leyenda!$B$55:$D$59,3,FALSE)</f>
        <v>1</v>
      </c>
      <c r="AZ587" s="36">
        <f>+VLOOKUP('2. Logging Brejo Seco'!AR587,Relleno,3,FALSE)</f>
        <v>2</v>
      </c>
      <c r="BA587" s="36">
        <f t="shared" si="193"/>
        <v>6</v>
      </c>
      <c r="BB587" s="50">
        <f t="shared" si="197"/>
        <v>3</v>
      </c>
      <c r="BC587" s="49">
        <f>VLOOKUP(AH587,Leyenda!$B$4:$D$10,3,FALSE)</f>
        <v>2</v>
      </c>
      <c r="BD587" s="50">
        <f t="shared" si="203"/>
        <v>6</v>
      </c>
      <c r="BE587" s="50">
        <f t="shared" si="208"/>
        <v>6</v>
      </c>
      <c r="BF587" s="50">
        <f>VLOOKUP(AS587,Leyenda!$B$70:$D$75,3,FALSE)</f>
        <v>15</v>
      </c>
      <c r="BG587" s="110">
        <f t="shared" si="198"/>
        <v>15.25</v>
      </c>
      <c r="BH587" s="110">
        <f>VLOOKUP(AG587,Leyenda!$B$4:$E$10,4,FALSE)</f>
        <v>2</v>
      </c>
      <c r="BI587" s="67">
        <f t="shared" si="204"/>
        <v>6</v>
      </c>
      <c r="BJ587" s="110">
        <f t="shared" si="199"/>
        <v>3</v>
      </c>
      <c r="BK587" s="110">
        <f>+VLOOKUP('2. Logging Brejo Seco'!AP587,Leyenda!$B$47:$E$51,4,FALSE)</f>
        <v>1</v>
      </c>
      <c r="BL587" s="110">
        <f>+VLOOKUP('2. Logging Brejo Seco'!AQ587,Leyenda!$B$55:$E$59,4,FALSE)</f>
        <v>1</v>
      </c>
      <c r="BM587" s="110">
        <f>+VLOOKUP('2. Logging Brejo Seco'!AR587,Leyenda!$B$63:$E$67,3,FALSE)</f>
        <v>2</v>
      </c>
      <c r="BN587" s="110">
        <f>+VLOOKUP('2. Logging Brejo Seco'!AO587,Leyenda!$B$39:$E$43,4,FALSE)</f>
        <v>1</v>
      </c>
      <c r="BO587" s="110">
        <f>+VLOOKUP('2. Logging Brejo Seco'!AN587,Leyenda!$B$30:$E$34,4,FALSE)</f>
        <v>1</v>
      </c>
      <c r="BP587" s="110">
        <f>VLOOKUP(AS587,Leyenda!$B$71:$E$75,4,FALSE)</f>
        <v>10</v>
      </c>
      <c r="BQ587" s="241">
        <f t="shared" si="209"/>
        <v>27</v>
      </c>
      <c r="BR587" s="242">
        <f t="shared" si="210"/>
        <v>32</v>
      </c>
      <c r="BS587" s="240">
        <f t="shared" si="205"/>
        <v>0</v>
      </c>
      <c r="BT587" s="36"/>
    </row>
    <row r="588" spans="1:72" x14ac:dyDescent="0.25">
      <c r="A588" s="18" t="s">
        <v>6</v>
      </c>
      <c r="B588" s="18">
        <v>2024</v>
      </c>
      <c r="C588" s="18" t="s">
        <v>138</v>
      </c>
      <c r="D588" s="18" t="s">
        <v>657</v>
      </c>
      <c r="E588" s="3">
        <v>60</v>
      </c>
      <c r="F588" s="191">
        <v>60</v>
      </c>
      <c r="G588" s="3" t="s">
        <v>136</v>
      </c>
      <c r="H588" s="3">
        <v>50</v>
      </c>
      <c r="I588" s="3" t="s">
        <v>756</v>
      </c>
      <c r="J588" s="3"/>
      <c r="K588" s="18">
        <v>0</v>
      </c>
      <c r="L588" s="18">
        <v>0.5</v>
      </c>
      <c r="M588" s="107">
        <f t="shared" ref="M588:M652" si="223">+L588-K588</f>
        <v>0.5</v>
      </c>
      <c r="N588" s="113">
        <f>+P588/M588</f>
        <v>0.78</v>
      </c>
      <c r="O588" s="5">
        <f t="shared" si="200"/>
        <v>0.21999999999999997</v>
      </c>
      <c r="P588" s="3">
        <v>0.39</v>
      </c>
      <c r="Q588" s="6">
        <f t="shared" si="212"/>
        <v>0.30420000000000003</v>
      </c>
      <c r="R588" s="6">
        <f t="shared" si="213"/>
        <v>0.11863800000000001</v>
      </c>
      <c r="S588" s="6">
        <f t="shared" si="214"/>
        <v>3.6089679600000008E-2</v>
      </c>
      <c r="T588" s="106">
        <v>0.39</v>
      </c>
      <c r="U588" s="106">
        <f t="shared" si="215"/>
        <v>1.4074975044000003E-2</v>
      </c>
      <c r="V588" s="65">
        <f t="shared" ref="V588" si="224">+U588/M588*100</f>
        <v>2.8149950088000009</v>
      </c>
      <c r="W588" s="31">
        <f t="shared" si="220"/>
        <v>3.9620984497844583E-2</v>
      </c>
      <c r="X588" s="31">
        <f t="shared" si="221"/>
        <v>0.11153287360517471</v>
      </c>
      <c r="Y588" s="31">
        <v>20</v>
      </c>
      <c r="Z588" s="31">
        <f t="shared" ref="Z588:Z651" si="225">+IF(M588=0,"",(M588*1000)/Y588)</f>
        <v>25</v>
      </c>
      <c r="AA588" s="6">
        <f t="shared" si="216"/>
        <v>500</v>
      </c>
      <c r="AB588" s="6">
        <f t="shared" si="217"/>
        <v>12500</v>
      </c>
      <c r="AC588" s="6">
        <f t="shared" si="218"/>
        <v>6250000</v>
      </c>
      <c r="AD588" s="6">
        <f t="shared" si="219"/>
        <v>78125000000</v>
      </c>
      <c r="AE588" s="3"/>
      <c r="AF588" s="3"/>
      <c r="AG588" s="3" t="str">
        <f>+AM588</f>
        <v>R0</v>
      </c>
      <c r="AH588" s="3" t="s">
        <v>34</v>
      </c>
      <c r="AI588" s="18">
        <f>+VLOOKUP(AH588,Leyenda!$O$4:$U$10,6,FALSE)</f>
        <v>0</v>
      </c>
      <c r="AJ588" s="18" t="str">
        <f>+VLOOKUP(AG588,Leyenda!$O$4:$U$10,7,FALSE)</f>
        <v>No Blasting need</v>
      </c>
      <c r="AK588" s="18">
        <f>+VLOOKUP(AJ588,Leyenda!$U$4:$V$10,2,FALSE)</f>
        <v>2</v>
      </c>
      <c r="AL588" s="3"/>
      <c r="AM588" s="3" t="s">
        <v>34</v>
      </c>
      <c r="AN588" s="3" t="s">
        <v>69</v>
      </c>
      <c r="AO588" s="3" t="s">
        <v>81</v>
      </c>
      <c r="AP588" s="3" t="s">
        <v>100</v>
      </c>
      <c r="AQ588" s="3" t="s">
        <v>111</v>
      </c>
      <c r="AR588" s="3" t="s">
        <v>120</v>
      </c>
      <c r="AS588" s="3" t="s">
        <v>267</v>
      </c>
      <c r="AT588" s="18"/>
      <c r="AU588" s="6"/>
      <c r="AV588" s="36">
        <f>+VLOOKUP(AN588,Leyenda!$B$30:$E$34,3,FALSE)</f>
        <v>0</v>
      </c>
      <c r="AW588" s="36">
        <f>+VLOOKUP('2. Logging Brejo Seco'!AO588,Meteorizacion,3,FALSE)</f>
        <v>0</v>
      </c>
      <c r="AX588" s="36">
        <f>+VLOOKUP('2. Logging Brejo Seco'!AP588,Apertura,3,FALSE)</f>
        <v>0</v>
      </c>
      <c r="AY588" s="36">
        <f>+VLOOKUP('2. Logging Brejo Seco'!AQ588,Leyenda!$B$55:$D$59,3,FALSE)</f>
        <v>0</v>
      </c>
      <c r="AZ588" s="36">
        <f>+VLOOKUP('2. Logging Brejo Seco'!AR588,Relleno,3,FALSE)</f>
        <v>2</v>
      </c>
      <c r="BA588" s="36">
        <f t="shared" ref="BA588:BA603" si="226">+SUM(AV588:AZ588)</f>
        <v>2</v>
      </c>
      <c r="BB588" s="50">
        <f t="shared" ref="BB588:BB603" si="227">ROUND(-0.0002*POWER(V588,2)+0.2197*V588,0)</f>
        <v>1</v>
      </c>
      <c r="BC588" s="49">
        <f>VLOOKUP(AH588,Leyenda!$B$4:$D$10,3,FALSE)</f>
        <v>0</v>
      </c>
      <c r="BD588" s="50">
        <f t="shared" si="203"/>
        <v>5</v>
      </c>
      <c r="BE588" s="50">
        <f t="shared" ref="BE588:BE603" si="228">+BA588</f>
        <v>2</v>
      </c>
      <c r="BF588" s="50">
        <f>VLOOKUP(AS588,Leyenda!$B$70:$D$75,3,FALSE)</f>
        <v>15</v>
      </c>
      <c r="BG588" s="110">
        <f t="shared" ref="BG588:BG603" si="229">1.5*BA588+(V588*0.5)</f>
        <v>4.4074975044000002</v>
      </c>
      <c r="BH588" s="110">
        <f>VLOOKUP(AG588,Leyenda!$B$4:$E$10,4,FALSE)</f>
        <v>0</v>
      </c>
      <c r="BI588" s="67">
        <f t="shared" si="204"/>
        <v>5</v>
      </c>
      <c r="BJ588" s="110">
        <f t="shared" ref="BJ588:BJ603" si="230">ROUND(-0.0002*POWER(V588,2)+0.2197*V588,0)</f>
        <v>1</v>
      </c>
      <c r="BK588" s="110">
        <f>+VLOOKUP('2. Logging Brejo Seco'!AP588,Leyenda!$B$47:$E$51,4,FALSE)</f>
        <v>0</v>
      </c>
      <c r="BL588" s="110">
        <f>+VLOOKUP('2. Logging Brejo Seco'!AQ588,Leyenda!$B$55:$E$59,4,FALSE)</f>
        <v>0</v>
      </c>
      <c r="BM588" s="110">
        <f>+VLOOKUP('2. Logging Brejo Seco'!AR588,Leyenda!$B$63:$E$67,3,FALSE)</f>
        <v>2</v>
      </c>
      <c r="BN588" s="110">
        <f>+VLOOKUP('2. Logging Brejo Seco'!AO588,Leyenda!$B$39:$E$43,4,FALSE)</f>
        <v>0</v>
      </c>
      <c r="BO588" s="110">
        <f>+VLOOKUP('2. Logging Brejo Seco'!AN588,Leyenda!$B$30:$E$34,4,FALSE)</f>
        <v>0</v>
      </c>
      <c r="BP588" s="110">
        <f>VLOOKUP(AS588,Leyenda!$B$71:$E$75,4,FALSE)</f>
        <v>10</v>
      </c>
      <c r="BQ588" s="110">
        <f t="shared" ref="BQ588:BQ603" si="231">+BH588+BI588+BJ588+BK588+BL588+BM588+BN588+BO588+BP588</f>
        <v>18</v>
      </c>
      <c r="BR588" s="36">
        <f t="shared" ref="BR588:BR603" si="232">+BC588+BD588+BB588+BE588+BF588</f>
        <v>23</v>
      </c>
      <c r="BS588" s="240">
        <f t="shared" si="205"/>
        <v>0.21999999999999997</v>
      </c>
      <c r="BT588" s="6"/>
    </row>
    <row r="589" spans="1:72" x14ac:dyDescent="0.25">
      <c r="A589" s="18" t="s">
        <v>6</v>
      </c>
      <c r="B589" s="18">
        <v>2024</v>
      </c>
      <c r="C589" s="18" t="s">
        <v>138</v>
      </c>
      <c r="D589" s="18" t="s">
        <v>657</v>
      </c>
      <c r="E589" s="3">
        <v>60</v>
      </c>
      <c r="F589" s="191">
        <v>60</v>
      </c>
      <c r="G589" s="3" t="s">
        <v>136</v>
      </c>
      <c r="H589" s="3">
        <v>50</v>
      </c>
      <c r="I589" s="3" t="s">
        <v>756</v>
      </c>
      <c r="J589" s="3"/>
      <c r="K589" s="18">
        <v>0.5</v>
      </c>
      <c r="L589" s="18">
        <v>1.1000000000000001</v>
      </c>
      <c r="M589" s="107">
        <f t="shared" si="223"/>
        <v>0.60000000000000009</v>
      </c>
      <c r="N589" s="113">
        <f t="shared" ref="N589:N652" si="233">+P589/M589</f>
        <v>0.64999999999999991</v>
      </c>
      <c r="O589" s="5">
        <f t="shared" si="200"/>
        <v>0.35000000000000009</v>
      </c>
      <c r="P589" s="3">
        <v>0.39</v>
      </c>
      <c r="Q589" s="6"/>
      <c r="R589" s="6"/>
      <c r="S589" s="6"/>
      <c r="T589" s="3"/>
      <c r="U589" s="3"/>
      <c r="V589" s="3">
        <v>0</v>
      </c>
      <c r="W589" s="3"/>
      <c r="X589" s="3"/>
      <c r="Y589" s="3">
        <v>30</v>
      </c>
      <c r="Z589" s="31">
        <f t="shared" si="225"/>
        <v>20.000000000000004</v>
      </c>
      <c r="AA589" s="6"/>
      <c r="AB589" s="6"/>
      <c r="AC589" s="6"/>
      <c r="AD589" s="6"/>
      <c r="AE589" s="3"/>
      <c r="AF589" s="3"/>
      <c r="AG589" s="3" t="str">
        <f t="shared" ref="AG589:AG601" si="234">+AM589</f>
        <v>R0</v>
      </c>
      <c r="AH589" s="3" t="s">
        <v>34</v>
      </c>
      <c r="AI589" s="18">
        <f>+VLOOKUP(AH589,Leyenda!$O$4:$U$10,6,FALSE)</f>
        <v>0</v>
      </c>
      <c r="AJ589" s="18" t="str">
        <f>+VLOOKUP(AG589,Leyenda!$O$4:$U$10,7,FALSE)</f>
        <v>No Blasting need</v>
      </c>
      <c r="AK589" s="18">
        <f>+VLOOKUP(AJ589,Leyenda!$U$4:$V$10,2,FALSE)</f>
        <v>2</v>
      </c>
      <c r="AL589" s="3"/>
      <c r="AM589" s="3" t="s">
        <v>34</v>
      </c>
      <c r="AN589" s="3" t="s">
        <v>69</v>
      </c>
      <c r="AO589" s="3" t="s">
        <v>81</v>
      </c>
      <c r="AP589" s="3" t="s">
        <v>100</v>
      </c>
      <c r="AQ589" s="3" t="s">
        <v>111</v>
      </c>
      <c r="AR589" s="3" t="s">
        <v>120</v>
      </c>
      <c r="AS589" s="3" t="s">
        <v>267</v>
      </c>
      <c r="AT589" s="18"/>
      <c r="AU589" s="6"/>
      <c r="AV589" s="36">
        <f>+VLOOKUP(AN589,Leyenda!$B$30:$E$34,3,FALSE)</f>
        <v>0</v>
      </c>
      <c r="AW589" s="36">
        <f>+VLOOKUP('2. Logging Brejo Seco'!AO589,Meteorizacion,3,FALSE)</f>
        <v>0</v>
      </c>
      <c r="AX589" s="36">
        <f>+VLOOKUP('2. Logging Brejo Seco'!AP589,Apertura,3,FALSE)</f>
        <v>0</v>
      </c>
      <c r="AY589" s="36">
        <f>+VLOOKUP('2. Logging Brejo Seco'!AQ589,Leyenda!$B$55:$D$59,3,FALSE)</f>
        <v>0</v>
      </c>
      <c r="AZ589" s="36">
        <f>+VLOOKUP('2. Logging Brejo Seco'!AR589,Relleno,3,FALSE)</f>
        <v>2</v>
      </c>
      <c r="BA589" s="36">
        <f t="shared" si="226"/>
        <v>2</v>
      </c>
      <c r="BB589" s="50">
        <f t="shared" si="227"/>
        <v>0</v>
      </c>
      <c r="BC589" s="49">
        <f>VLOOKUP(AH589,Leyenda!$B$4:$D$10,3,FALSE)</f>
        <v>0</v>
      </c>
      <c r="BD589" s="50">
        <f t="shared" si="203"/>
        <v>4</v>
      </c>
      <c r="BE589" s="50">
        <f t="shared" si="228"/>
        <v>2</v>
      </c>
      <c r="BF589" s="50">
        <f>VLOOKUP(AS589,Leyenda!$B$70:$D$75,3,FALSE)</f>
        <v>15</v>
      </c>
      <c r="BG589" s="110">
        <f t="shared" si="229"/>
        <v>3</v>
      </c>
      <c r="BH589" s="110">
        <f>VLOOKUP(AG589,Leyenda!$B$4:$E$10,4,FALSE)</f>
        <v>0</v>
      </c>
      <c r="BI589" s="67">
        <f t="shared" si="204"/>
        <v>5</v>
      </c>
      <c r="BJ589" s="110">
        <f t="shared" si="230"/>
        <v>0</v>
      </c>
      <c r="BK589" s="110">
        <f>+VLOOKUP('2. Logging Brejo Seco'!AP589,Leyenda!$B$47:$E$51,4,FALSE)</f>
        <v>0</v>
      </c>
      <c r="BL589" s="110">
        <f>+VLOOKUP('2. Logging Brejo Seco'!AQ589,Leyenda!$B$55:$E$59,4,FALSE)</f>
        <v>0</v>
      </c>
      <c r="BM589" s="110">
        <f>+VLOOKUP('2. Logging Brejo Seco'!AR589,Leyenda!$B$63:$E$67,3,FALSE)</f>
        <v>2</v>
      </c>
      <c r="BN589" s="110">
        <f>+VLOOKUP('2. Logging Brejo Seco'!AO589,Leyenda!$B$39:$E$43,4,FALSE)</f>
        <v>0</v>
      </c>
      <c r="BO589" s="110">
        <f>+VLOOKUP('2. Logging Brejo Seco'!AN589,Leyenda!$B$30:$E$34,4,FALSE)</f>
        <v>0</v>
      </c>
      <c r="BP589" s="110">
        <f>VLOOKUP(AS589,Leyenda!$B$71:$E$75,4,FALSE)</f>
        <v>10</v>
      </c>
      <c r="BQ589" s="110">
        <f t="shared" si="231"/>
        <v>17</v>
      </c>
      <c r="BR589" s="36">
        <f t="shared" si="232"/>
        <v>21</v>
      </c>
      <c r="BS589" s="240">
        <f t="shared" si="205"/>
        <v>0.35000000000000009</v>
      </c>
      <c r="BT589" s="6"/>
    </row>
    <row r="590" spans="1:72" x14ac:dyDescent="0.25">
      <c r="A590" s="18" t="s">
        <v>6</v>
      </c>
      <c r="B590" s="18">
        <v>2024</v>
      </c>
      <c r="C590" s="18" t="s">
        <v>138</v>
      </c>
      <c r="D590" s="18" t="s">
        <v>657</v>
      </c>
      <c r="E590" s="3">
        <v>60</v>
      </c>
      <c r="F590" s="191">
        <v>60</v>
      </c>
      <c r="G590" s="3" t="s">
        <v>136</v>
      </c>
      <c r="H590" s="3">
        <v>50</v>
      </c>
      <c r="I590" s="3" t="s">
        <v>756</v>
      </c>
      <c r="J590" s="3"/>
      <c r="K590" s="18">
        <f t="shared" ref="K590:K606" si="235">+L589</f>
        <v>1.1000000000000001</v>
      </c>
      <c r="L590" s="18">
        <v>1.7</v>
      </c>
      <c r="M590" s="107">
        <f t="shared" si="223"/>
        <v>0.59999999999999987</v>
      </c>
      <c r="N590" s="113">
        <f t="shared" si="233"/>
        <v>0.63333333333333353</v>
      </c>
      <c r="O590" s="5">
        <f t="shared" si="200"/>
        <v>0.36666666666666647</v>
      </c>
      <c r="P590" s="3">
        <v>0.38</v>
      </c>
      <c r="Q590" s="6"/>
      <c r="R590" s="6"/>
      <c r="S590" s="6"/>
      <c r="T590" s="3"/>
      <c r="U590" s="3"/>
      <c r="V590" s="3">
        <v>0</v>
      </c>
      <c r="W590" s="3"/>
      <c r="X590" s="3"/>
      <c r="Y590" s="3">
        <v>30</v>
      </c>
      <c r="Z590" s="31">
        <f t="shared" si="225"/>
        <v>19.999999999999996</v>
      </c>
      <c r="AA590" s="6"/>
      <c r="AB590" s="6"/>
      <c r="AC590" s="6"/>
      <c r="AD590" s="6"/>
      <c r="AE590" s="3"/>
      <c r="AF590" s="3"/>
      <c r="AG590" s="3" t="str">
        <f t="shared" si="234"/>
        <v>R0</v>
      </c>
      <c r="AH590" s="3" t="s">
        <v>34</v>
      </c>
      <c r="AI590" s="18">
        <f>+VLOOKUP(AH590,Leyenda!$O$4:$U$10,6,FALSE)</f>
        <v>0</v>
      </c>
      <c r="AJ590" s="18" t="str">
        <f>+VLOOKUP(AG590,Leyenda!$O$4:$U$10,7,FALSE)</f>
        <v>No Blasting need</v>
      </c>
      <c r="AK590" s="18">
        <f>+VLOOKUP(AJ590,Leyenda!$U$4:$V$10,2,FALSE)</f>
        <v>2</v>
      </c>
      <c r="AL590" s="3"/>
      <c r="AM590" s="3" t="s">
        <v>34</v>
      </c>
      <c r="AN590" s="3" t="s">
        <v>69</v>
      </c>
      <c r="AO590" s="3" t="s">
        <v>81</v>
      </c>
      <c r="AP590" s="3" t="s">
        <v>100</v>
      </c>
      <c r="AQ590" s="3" t="s">
        <v>111</v>
      </c>
      <c r="AR590" s="3" t="s">
        <v>120</v>
      </c>
      <c r="AS590" s="3" t="s">
        <v>267</v>
      </c>
      <c r="AT590" s="18"/>
      <c r="AU590" s="6"/>
      <c r="AV590" s="36">
        <f>+VLOOKUP(AN590,Leyenda!$B$30:$E$34,3,FALSE)</f>
        <v>0</v>
      </c>
      <c r="AW590" s="36">
        <f>+VLOOKUP('2. Logging Brejo Seco'!AO590,Meteorizacion,3,FALSE)</f>
        <v>0</v>
      </c>
      <c r="AX590" s="36">
        <f>+VLOOKUP('2. Logging Brejo Seco'!AP590,Apertura,3,FALSE)</f>
        <v>0</v>
      </c>
      <c r="AY590" s="36">
        <f>+VLOOKUP('2. Logging Brejo Seco'!AQ590,Leyenda!$B$55:$D$59,3,FALSE)</f>
        <v>0</v>
      </c>
      <c r="AZ590" s="36">
        <f>+VLOOKUP('2. Logging Brejo Seco'!AR590,Relleno,3,FALSE)</f>
        <v>2</v>
      </c>
      <c r="BA590" s="36">
        <f t="shared" si="226"/>
        <v>2</v>
      </c>
      <c r="BB590" s="50">
        <f t="shared" si="227"/>
        <v>0</v>
      </c>
      <c r="BC590" s="49">
        <f>VLOOKUP(AH590,Leyenda!$B$4:$D$10,3,FALSE)</f>
        <v>0</v>
      </c>
      <c r="BD590" s="50">
        <f t="shared" si="203"/>
        <v>4</v>
      </c>
      <c r="BE590" s="50">
        <f t="shared" si="228"/>
        <v>2</v>
      </c>
      <c r="BF590" s="50">
        <f>VLOOKUP(AS590,Leyenda!$B$70:$D$75,3,FALSE)</f>
        <v>15</v>
      </c>
      <c r="BG590" s="110">
        <f t="shared" si="229"/>
        <v>3</v>
      </c>
      <c r="BH590" s="110">
        <f>VLOOKUP(AG590,Leyenda!$B$4:$E$10,4,FALSE)</f>
        <v>0</v>
      </c>
      <c r="BI590" s="67">
        <f t="shared" si="204"/>
        <v>5</v>
      </c>
      <c r="BJ590" s="110">
        <f t="shared" si="230"/>
        <v>0</v>
      </c>
      <c r="BK590" s="110">
        <f>+VLOOKUP('2. Logging Brejo Seco'!AP590,Leyenda!$B$47:$E$51,4,FALSE)</f>
        <v>0</v>
      </c>
      <c r="BL590" s="110">
        <f>+VLOOKUP('2. Logging Brejo Seco'!AQ590,Leyenda!$B$55:$E$59,4,FALSE)</f>
        <v>0</v>
      </c>
      <c r="BM590" s="110">
        <f>+VLOOKUP('2. Logging Brejo Seco'!AR590,Leyenda!$B$63:$E$67,3,FALSE)</f>
        <v>2</v>
      </c>
      <c r="BN590" s="110">
        <f>+VLOOKUP('2. Logging Brejo Seco'!AO590,Leyenda!$B$39:$E$43,4,FALSE)</f>
        <v>0</v>
      </c>
      <c r="BO590" s="110">
        <f>+VLOOKUP('2. Logging Brejo Seco'!AN590,Leyenda!$B$30:$E$34,4,FALSE)</f>
        <v>0</v>
      </c>
      <c r="BP590" s="110">
        <f>VLOOKUP(AS590,Leyenda!$B$71:$E$75,4,FALSE)</f>
        <v>10</v>
      </c>
      <c r="BQ590" s="110">
        <f t="shared" si="231"/>
        <v>17</v>
      </c>
      <c r="BR590" s="36">
        <f t="shared" si="232"/>
        <v>21</v>
      </c>
      <c r="BS590" s="240">
        <f t="shared" si="205"/>
        <v>0.36666666666666647</v>
      </c>
      <c r="BT590" s="6"/>
    </row>
    <row r="591" spans="1:72" x14ac:dyDescent="0.25">
      <c r="A591" s="18" t="s">
        <v>6</v>
      </c>
      <c r="B591" s="18">
        <v>2024</v>
      </c>
      <c r="C591" s="18" t="s">
        <v>138</v>
      </c>
      <c r="D591" s="18" t="s">
        <v>657</v>
      </c>
      <c r="E591" s="3">
        <v>60</v>
      </c>
      <c r="F591" s="191">
        <v>60</v>
      </c>
      <c r="G591" s="3" t="s">
        <v>136</v>
      </c>
      <c r="H591" s="3">
        <v>50</v>
      </c>
      <c r="I591" s="3" t="s">
        <v>756</v>
      </c>
      <c r="J591" s="3"/>
      <c r="K591" s="18">
        <f t="shared" si="235"/>
        <v>1.7</v>
      </c>
      <c r="L591" s="18">
        <v>2.15</v>
      </c>
      <c r="M591" s="107">
        <f t="shared" si="223"/>
        <v>0.44999999999999996</v>
      </c>
      <c r="N591" s="113">
        <f t="shared" si="233"/>
        <v>0.68888888888888899</v>
      </c>
      <c r="O591" s="5">
        <f t="shared" si="200"/>
        <v>0.31111111111111101</v>
      </c>
      <c r="P591" s="3">
        <v>0.31</v>
      </c>
      <c r="Q591" s="6"/>
      <c r="R591" s="6"/>
      <c r="S591" s="6"/>
      <c r="T591" s="3"/>
      <c r="U591" s="3"/>
      <c r="V591" s="3">
        <v>0</v>
      </c>
      <c r="W591" s="3"/>
      <c r="X591" s="3"/>
      <c r="Y591" s="3">
        <v>30</v>
      </c>
      <c r="Z591" s="31">
        <f t="shared" si="225"/>
        <v>14.999999999999998</v>
      </c>
      <c r="AA591" s="6"/>
      <c r="AB591" s="6"/>
      <c r="AC591" s="6"/>
      <c r="AD591" s="6"/>
      <c r="AE591" s="3"/>
      <c r="AF591" s="3"/>
      <c r="AG591" s="3" t="str">
        <f t="shared" si="234"/>
        <v>R0</v>
      </c>
      <c r="AH591" s="3" t="s">
        <v>34</v>
      </c>
      <c r="AI591" s="18">
        <f>+VLOOKUP(AH591,Leyenda!$O$4:$U$10,6,FALSE)</f>
        <v>0</v>
      </c>
      <c r="AJ591" s="18" t="str">
        <f>+VLOOKUP(AG591,Leyenda!$O$4:$U$10,7,FALSE)</f>
        <v>No Blasting need</v>
      </c>
      <c r="AK591" s="18">
        <f>+VLOOKUP(AJ591,Leyenda!$U$4:$V$10,2,FALSE)</f>
        <v>2</v>
      </c>
      <c r="AL591" s="3"/>
      <c r="AM591" s="3" t="s">
        <v>34</v>
      </c>
      <c r="AN591" s="3" t="s">
        <v>69</v>
      </c>
      <c r="AO591" s="3" t="s">
        <v>81</v>
      </c>
      <c r="AP591" s="3" t="s">
        <v>100</v>
      </c>
      <c r="AQ591" s="3" t="s">
        <v>111</v>
      </c>
      <c r="AR591" s="3" t="s">
        <v>120</v>
      </c>
      <c r="AS591" s="3" t="s">
        <v>267</v>
      </c>
      <c r="AT591" s="18"/>
      <c r="AU591" s="6"/>
      <c r="AV591" s="36">
        <f>+VLOOKUP(AN591,Leyenda!$B$30:$E$34,3,FALSE)</f>
        <v>0</v>
      </c>
      <c r="AW591" s="36">
        <f>+VLOOKUP('2. Logging Brejo Seco'!AO591,Meteorizacion,3,FALSE)</f>
        <v>0</v>
      </c>
      <c r="AX591" s="36">
        <f>+VLOOKUP('2. Logging Brejo Seco'!AP591,Apertura,3,FALSE)</f>
        <v>0</v>
      </c>
      <c r="AY591" s="36">
        <f>+VLOOKUP('2. Logging Brejo Seco'!AQ591,Leyenda!$B$55:$D$59,3,FALSE)</f>
        <v>0</v>
      </c>
      <c r="AZ591" s="36">
        <f>+VLOOKUP('2. Logging Brejo Seco'!AR591,Relleno,3,FALSE)</f>
        <v>2</v>
      </c>
      <c r="BA591" s="36">
        <f t="shared" si="226"/>
        <v>2</v>
      </c>
      <c r="BB591" s="50">
        <f t="shared" si="227"/>
        <v>0</v>
      </c>
      <c r="BC591" s="49">
        <f>VLOOKUP(AH591,Leyenda!$B$4:$D$10,3,FALSE)</f>
        <v>0</v>
      </c>
      <c r="BD591" s="50">
        <f t="shared" si="203"/>
        <v>4</v>
      </c>
      <c r="BE591" s="50">
        <f t="shared" si="228"/>
        <v>2</v>
      </c>
      <c r="BF591" s="50">
        <f>VLOOKUP(AS591,Leyenda!$B$70:$D$75,3,FALSE)</f>
        <v>15</v>
      </c>
      <c r="BG591" s="110">
        <f t="shared" si="229"/>
        <v>3</v>
      </c>
      <c r="BH591" s="110">
        <f>VLOOKUP(AG591,Leyenda!$B$4:$E$10,4,FALSE)</f>
        <v>0</v>
      </c>
      <c r="BI591" s="67">
        <f t="shared" si="204"/>
        <v>5</v>
      </c>
      <c r="BJ591" s="110">
        <f t="shared" si="230"/>
        <v>0</v>
      </c>
      <c r="BK591" s="110">
        <f>+VLOOKUP('2. Logging Brejo Seco'!AP591,Leyenda!$B$47:$E$51,4,FALSE)</f>
        <v>0</v>
      </c>
      <c r="BL591" s="110">
        <f>+VLOOKUP('2. Logging Brejo Seco'!AQ591,Leyenda!$B$55:$E$59,4,FALSE)</f>
        <v>0</v>
      </c>
      <c r="BM591" s="110">
        <f>+VLOOKUP('2. Logging Brejo Seco'!AR591,Leyenda!$B$63:$E$67,3,FALSE)</f>
        <v>2</v>
      </c>
      <c r="BN591" s="110">
        <f>+VLOOKUP('2. Logging Brejo Seco'!AO591,Leyenda!$B$39:$E$43,4,FALSE)</f>
        <v>0</v>
      </c>
      <c r="BO591" s="110">
        <f>+VLOOKUP('2. Logging Brejo Seco'!AN591,Leyenda!$B$30:$E$34,4,FALSE)</f>
        <v>0</v>
      </c>
      <c r="BP591" s="110">
        <f>VLOOKUP(AS591,Leyenda!$B$71:$E$75,4,FALSE)</f>
        <v>10</v>
      </c>
      <c r="BQ591" s="110">
        <f t="shared" si="231"/>
        <v>17</v>
      </c>
      <c r="BR591" s="36">
        <f t="shared" si="232"/>
        <v>21</v>
      </c>
      <c r="BS591" s="240">
        <f t="shared" si="205"/>
        <v>0.31111111111111101</v>
      </c>
      <c r="BT591" s="6"/>
    </row>
    <row r="592" spans="1:72" x14ac:dyDescent="0.25">
      <c r="A592" s="18" t="s">
        <v>6</v>
      </c>
      <c r="B592" s="18">
        <v>2024</v>
      </c>
      <c r="C592" s="18" t="s">
        <v>138</v>
      </c>
      <c r="D592" s="18" t="s">
        <v>657</v>
      </c>
      <c r="E592" s="3">
        <v>60</v>
      </c>
      <c r="F592" s="191">
        <v>60</v>
      </c>
      <c r="G592" s="3" t="s">
        <v>136</v>
      </c>
      <c r="H592" s="3">
        <v>50</v>
      </c>
      <c r="I592" s="3" t="s">
        <v>756</v>
      </c>
      <c r="J592" s="3"/>
      <c r="K592" s="18">
        <f t="shared" si="235"/>
        <v>2.15</v>
      </c>
      <c r="L592" s="18">
        <v>2.8</v>
      </c>
      <c r="M592" s="107">
        <f t="shared" si="223"/>
        <v>0.64999999999999991</v>
      </c>
      <c r="N592" s="113">
        <f t="shared" si="233"/>
        <v>0.66153846153846163</v>
      </c>
      <c r="O592" s="5">
        <f t="shared" si="200"/>
        <v>0.33846153846153837</v>
      </c>
      <c r="P592" s="3">
        <v>0.43</v>
      </c>
      <c r="Q592" s="6"/>
      <c r="R592" s="6"/>
      <c r="S592" s="6"/>
      <c r="T592" s="3"/>
      <c r="U592" s="3"/>
      <c r="V592" s="3">
        <v>0</v>
      </c>
      <c r="W592" s="3"/>
      <c r="X592" s="3"/>
      <c r="Y592" s="3">
        <v>30</v>
      </c>
      <c r="Z592" s="31">
        <f t="shared" si="225"/>
        <v>21.666666666666664</v>
      </c>
      <c r="AA592" s="6"/>
      <c r="AB592" s="6"/>
      <c r="AC592" s="6"/>
      <c r="AD592" s="6"/>
      <c r="AE592" s="3"/>
      <c r="AF592" s="3"/>
      <c r="AG592" s="3" t="str">
        <f t="shared" si="234"/>
        <v>R0</v>
      </c>
      <c r="AH592" s="3" t="s">
        <v>34</v>
      </c>
      <c r="AI592" s="18">
        <f>+VLOOKUP(AH592,Leyenda!$O$4:$U$10,6,FALSE)</f>
        <v>0</v>
      </c>
      <c r="AJ592" s="18" t="str">
        <f>+VLOOKUP(AG592,Leyenda!$O$4:$U$10,7,FALSE)</f>
        <v>No Blasting need</v>
      </c>
      <c r="AK592" s="18">
        <f>+VLOOKUP(AJ592,Leyenda!$U$4:$V$10,2,FALSE)</f>
        <v>2</v>
      </c>
      <c r="AL592" s="3"/>
      <c r="AM592" s="3" t="s">
        <v>34</v>
      </c>
      <c r="AN592" s="3" t="s">
        <v>69</v>
      </c>
      <c r="AO592" s="3" t="s">
        <v>81</v>
      </c>
      <c r="AP592" s="3" t="s">
        <v>100</v>
      </c>
      <c r="AQ592" s="3" t="s">
        <v>111</v>
      </c>
      <c r="AR592" s="3" t="s">
        <v>120</v>
      </c>
      <c r="AS592" s="3" t="s">
        <v>267</v>
      </c>
      <c r="AT592" s="18"/>
      <c r="AU592" s="6"/>
      <c r="AV592" s="36">
        <f>+VLOOKUP(AN592,Leyenda!$B$30:$E$34,3,FALSE)</f>
        <v>0</v>
      </c>
      <c r="AW592" s="36">
        <f>+VLOOKUP('2. Logging Brejo Seco'!AO592,Meteorizacion,3,FALSE)</f>
        <v>0</v>
      </c>
      <c r="AX592" s="36">
        <f>+VLOOKUP('2. Logging Brejo Seco'!AP592,Apertura,3,FALSE)</f>
        <v>0</v>
      </c>
      <c r="AY592" s="36">
        <f>+VLOOKUP('2. Logging Brejo Seco'!AQ592,Leyenda!$B$55:$D$59,3,FALSE)</f>
        <v>0</v>
      </c>
      <c r="AZ592" s="36">
        <f>+VLOOKUP('2. Logging Brejo Seco'!AR592,Relleno,3,FALSE)</f>
        <v>2</v>
      </c>
      <c r="BA592" s="36">
        <f t="shared" si="226"/>
        <v>2</v>
      </c>
      <c r="BB592" s="50">
        <f t="shared" si="227"/>
        <v>0</v>
      </c>
      <c r="BC592" s="49">
        <f>VLOOKUP(AH592,Leyenda!$B$4:$D$10,3,FALSE)</f>
        <v>0</v>
      </c>
      <c r="BD592" s="50">
        <f t="shared" si="203"/>
        <v>4</v>
      </c>
      <c r="BE592" s="50">
        <f t="shared" si="228"/>
        <v>2</v>
      </c>
      <c r="BF592" s="50">
        <f>VLOOKUP(AS592,Leyenda!$B$70:$D$75,3,FALSE)</f>
        <v>15</v>
      </c>
      <c r="BG592" s="110">
        <f t="shared" si="229"/>
        <v>3</v>
      </c>
      <c r="BH592" s="110">
        <f>VLOOKUP(AG592,Leyenda!$B$4:$E$10,4,FALSE)</f>
        <v>0</v>
      </c>
      <c r="BI592" s="67">
        <f t="shared" si="204"/>
        <v>5</v>
      </c>
      <c r="BJ592" s="110">
        <f t="shared" si="230"/>
        <v>0</v>
      </c>
      <c r="BK592" s="110">
        <f>+VLOOKUP('2. Logging Brejo Seco'!AP592,Leyenda!$B$47:$E$51,4,FALSE)</f>
        <v>0</v>
      </c>
      <c r="BL592" s="110">
        <f>+VLOOKUP('2. Logging Brejo Seco'!AQ592,Leyenda!$B$55:$E$59,4,FALSE)</f>
        <v>0</v>
      </c>
      <c r="BM592" s="110">
        <f>+VLOOKUP('2. Logging Brejo Seco'!AR592,Leyenda!$B$63:$E$67,3,FALSE)</f>
        <v>2</v>
      </c>
      <c r="BN592" s="110">
        <f>+VLOOKUP('2. Logging Brejo Seco'!AO592,Leyenda!$B$39:$E$43,4,FALSE)</f>
        <v>0</v>
      </c>
      <c r="BO592" s="110">
        <f>+VLOOKUP('2. Logging Brejo Seco'!AN592,Leyenda!$B$30:$E$34,4,FALSE)</f>
        <v>0</v>
      </c>
      <c r="BP592" s="110">
        <f>VLOOKUP(AS592,Leyenda!$B$71:$E$75,4,FALSE)</f>
        <v>10</v>
      </c>
      <c r="BQ592" s="110">
        <f t="shared" si="231"/>
        <v>17</v>
      </c>
      <c r="BR592" s="36">
        <f t="shared" si="232"/>
        <v>21</v>
      </c>
      <c r="BS592" s="240">
        <f t="shared" si="205"/>
        <v>0.33846153846153837</v>
      </c>
      <c r="BT592" s="6"/>
    </row>
    <row r="593" spans="1:72" x14ac:dyDescent="0.25">
      <c r="A593" s="18" t="s">
        <v>6</v>
      </c>
      <c r="B593" s="18">
        <v>2024</v>
      </c>
      <c r="C593" s="18" t="s">
        <v>138</v>
      </c>
      <c r="D593" s="18" t="s">
        <v>657</v>
      </c>
      <c r="E593" s="3">
        <v>40</v>
      </c>
      <c r="F593" s="191">
        <v>40</v>
      </c>
      <c r="G593" s="36" t="s">
        <v>153</v>
      </c>
      <c r="H593" s="3">
        <v>50</v>
      </c>
      <c r="I593" s="3" t="s">
        <v>756</v>
      </c>
      <c r="J593" s="3"/>
      <c r="K593" s="18">
        <f t="shared" si="235"/>
        <v>2.8</v>
      </c>
      <c r="L593" s="18">
        <v>3.3</v>
      </c>
      <c r="M593" s="107">
        <f t="shared" si="223"/>
        <v>0.5</v>
      </c>
      <c r="N593" s="113">
        <f t="shared" si="233"/>
        <v>0.72</v>
      </c>
      <c r="O593" s="5">
        <f t="shared" si="200"/>
        <v>0.28000000000000003</v>
      </c>
      <c r="P593" s="3">
        <v>0.36</v>
      </c>
      <c r="Q593" s="6"/>
      <c r="R593" s="6"/>
      <c r="S593" s="6"/>
      <c r="T593" s="3"/>
      <c r="U593" s="3"/>
      <c r="V593" s="3">
        <v>0</v>
      </c>
      <c r="W593" s="3"/>
      <c r="X593" s="3"/>
      <c r="Y593" s="3">
        <v>30</v>
      </c>
      <c r="Z593" s="31">
        <f t="shared" si="225"/>
        <v>16.666666666666668</v>
      </c>
      <c r="AA593" s="6"/>
      <c r="AB593" s="6"/>
      <c r="AC593" s="6"/>
      <c r="AD593" s="6"/>
      <c r="AE593" s="3"/>
      <c r="AF593" s="3"/>
      <c r="AG593" s="3" t="str">
        <f t="shared" si="234"/>
        <v>R0</v>
      </c>
      <c r="AH593" s="3" t="s">
        <v>34</v>
      </c>
      <c r="AI593" s="18">
        <f>+VLOOKUP(AH593,Leyenda!$O$4:$U$10,6,FALSE)</f>
        <v>0</v>
      </c>
      <c r="AJ593" s="18" t="str">
        <f>+VLOOKUP(AG593,Leyenda!$O$4:$U$10,7,FALSE)</f>
        <v>No Blasting need</v>
      </c>
      <c r="AK593" s="18">
        <f>+VLOOKUP(AJ593,Leyenda!$U$4:$V$10,2,FALSE)</f>
        <v>2</v>
      </c>
      <c r="AL593" s="3"/>
      <c r="AM593" s="3" t="s">
        <v>34</v>
      </c>
      <c r="AN593" s="3" t="s">
        <v>69</v>
      </c>
      <c r="AO593" s="3" t="s">
        <v>81</v>
      </c>
      <c r="AP593" s="3" t="s">
        <v>100</v>
      </c>
      <c r="AQ593" s="3" t="s">
        <v>111</v>
      </c>
      <c r="AR593" s="3" t="s">
        <v>120</v>
      </c>
      <c r="AS593" s="3" t="s">
        <v>267</v>
      </c>
      <c r="AT593" s="18"/>
      <c r="AU593" s="6"/>
      <c r="AV593" s="36">
        <f>+VLOOKUP(AN593,Leyenda!$B$30:$E$34,3,FALSE)</f>
        <v>0</v>
      </c>
      <c r="AW593" s="36">
        <f>+VLOOKUP('2. Logging Brejo Seco'!AO593,Meteorizacion,3,FALSE)</f>
        <v>0</v>
      </c>
      <c r="AX593" s="36">
        <f>+VLOOKUP('2. Logging Brejo Seco'!AP593,Apertura,3,FALSE)</f>
        <v>0</v>
      </c>
      <c r="AY593" s="36">
        <f>+VLOOKUP('2. Logging Brejo Seco'!AQ593,Leyenda!$B$55:$D$59,3,FALSE)</f>
        <v>0</v>
      </c>
      <c r="AZ593" s="36">
        <f>+VLOOKUP('2. Logging Brejo Seco'!AR593,Relleno,3,FALSE)</f>
        <v>2</v>
      </c>
      <c r="BA593" s="36">
        <f t="shared" si="226"/>
        <v>2</v>
      </c>
      <c r="BB593" s="50">
        <f t="shared" si="227"/>
        <v>0</v>
      </c>
      <c r="BC593" s="49">
        <f>VLOOKUP(AH593,Leyenda!$B$4:$D$10,3,FALSE)</f>
        <v>0</v>
      </c>
      <c r="BD593" s="50">
        <f t="shared" si="203"/>
        <v>4</v>
      </c>
      <c r="BE593" s="50">
        <f t="shared" si="228"/>
        <v>2</v>
      </c>
      <c r="BF593" s="50">
        <f>VLOOKUP(AS593,Leyenda!$B$70:$D$75,3,FALSE)</f>
        <v>15</v>
      </c>
      <c r="BG593" s="110">
        <f t="shared" si="229"/>
        <v>3</v>
      </c>
      <c r="BH593" s="110">
        <f>VLOOKUP(AG593,Leyenda!$B$4:$E$10,4,FALSE)</f>
        <v>0</v>
      </c>
      <c r="BI593" s="67">
        <f t="shared" si="204"/>
        <v>5</v>
      </c>
      <c r="BJ593" s="110">
        <f t="shared" si="230"/>
        <v>0</v>
      </c>
      <c r="BK593" s="110">
        <f>+VLOOKUP('2. Logging Brejo Seco'!AP593,Leyenda!$B$47:$E$51,4,FALSE)</f>
        <v>0</v>
      </c>
      <c r="BL593" s="110">
        <f>+VLOOKUP('2. Logging Brejo Seco'!AQ593,Leyenda!$B$55:$E$59,4,FALSE)</f>
        <v>0</v>
      </c>
      <c r="BM593" s="110">
        <f>+VLOOKUP('2. Logging Brejo Seco'!AR593,Leyenda!$B$63:$E$67,3,FALSE)</f>
        <v>2</v>
      </c>
      <c r="BN593" s="110">
        <f>+VLOOKUP('2. Logging Brejo Seco'!AO593,Leyenda!$B$39:$E$43,4,FALSE)</f>
        <v>0</v>
      </c>
      <c r="BO593" s="110">
        <f>+VLOOKUP('2. Logging Brejo Seco'!AN593,Leyenda!$B$30:$E$34,4,FALSE)</f>
        <v>0</v>
      </c>
      <c r="BP593" s="110">
        <f>VLOOKUP(AS593,Leyenda!$B$71:$E$75,4,FALSE)</f>
        <v>10</v>
      </c>
      <c r="BQ593" s="110">
        <f t="shared" si="231"/>
        <v>17</v>
      </c>
      <c r="BR593" s="36">
        <f t="shared" si="232"/>
        <v>21</v>
      </c>
      <c r="BS593" s="240">
        <f t="shared" si="205"/>
        <v>0.28000000000000003</v>
      </c>
      <c r="BT593" s="6"/>
    </row>
    <row r="594" spans="1:72" x14ac:dyDescent="0.25">
      <c r="A594" s="18" t="s">
        <v>6</v>
      </c>
      <c r="B594" s="18">
        <v>2024</v>
      </c>
      <c r="C594" s="18" t="s">
        <v>138</v>
      </c>
      <c r="D594" s="18" t="s">
        <v>657</v>
      </c>
      <c r="E594" s="3">
        <v>40</v>
      </c>
      <c r="F594" s="191">
        <v>40</v>
      </c>
      <c r="G594" s="36" t="s">
        <v>153</v>
      </c>
      <c r="H594" s="3">
        <v>50</v>
      </c>
      <c r="I594" s="3" t="s">
        <v>756</v>
      </c>
      <c r="J594" s="3"/>
      <c r="K594" s="18">
        <f t="shared" si="235"/>
        <v>3.3</v>
      </c>
      <c r="L594" s="18">
        <v>3.9</v>
      </c>
      <c r="M594" s="107">
        <f t="shared" si="223"/>
        <v>0.60000000000000009</v>
      </c>
      <c r="N594" s="113">
        <f t="shared" si="233"/>
        <v>0</v>
      </c>
      <c r="O594" s="5">
        <f t="shared" si="200"/>
        <v>1</v>
      </c>
      <c r="P594" s="3">
        <v>0</v>
      </c>
      <c r="Q594" s="6"/>
      <c r="R594" s="6"/>
      <c r="S594" s="6"/>
      <c r="T594" s="3"/>
      <c r="U594" s="3"/>
      <c r="V594" s="3">
        <v>0</v>
      </c>
      <c r="W594" s="3"/>
      <c r="X594" s="3"/>
      <c r="Y594" s="3">
        <v>30</v>
      </c>
      <c r="Z594" s="31">
        <f t="shared" si="225"/>
        <v>20.000000000000004</v>
      </c>
      <c r="AA594" s="6"/>
      <c r="AB594" s="6"/>
      <c r="AC594" s="6"/>
      <c r="AD594" s="6"/>
      <c r="AE594" s="3"/>
      <c r="AF594" s="3"/>
      <c r="AG594" s="3" t="str">
        <f t="shared" si="234"/>
        <v>R0</v>
      </c>
      <c r="AH594" s="3" t="s">
        <v>34</v>
      </c>
      <c r="AI594" s="18">
        <f>+VLOOKUP(AH594,Leyenda!$O$4:$U$10,6,FALSE)</f>
        <v>0</v>
      </c>
      <c r="AJ594" s="18" t="str">
        <f>+VLOOKUP(AG594,Leyenda!$O$4:$U$10,7,FALSE)</f>
        <v>No Blasting need</v>
      </c>
      <c r="AK594" s="18">
        <f>+VLOOKUP(AJ594,Leyenda!$U$4:$V$10,2,FALSE)</f>
        <v>2</v>
      </c>
      <c r="AL594" s="3"/>
      <c r="AM594" s="3" t="s">
        <v>34</v>
      </c>
      <c r="AN594" s="3" t="s">
        <v>69</v>
      </c>
      <c r="AO594" s="3" t="s">
        <v>81</v>
      </c>
      <c r="AP594" s="3" t="s">
        <v>100</v>
      </c>
      <c r="AQ594" s="3" t="s">
        <v>111</v>
      </c>
      <c r="AR594" s="3" t="s">
        <v>120</v>
      </c>
      <c r="AS594" s="3" t="s">
        <v>267</v>
      </c>
      <c r="AT594" s="18"/>
      <c r="AU594" s="6"/>
      <c r="AV594" s="36">
        <f>+VLOOKUP(AN594,Leyenda!$B$30:$E$34,3,FALSE)</f>
        <v>0</v>
      </c>
      <c r="AW594" s="36">
        <f>+VLOOKUP('2. Logging Brejo Seco'!AO594,Meteorizacion,3,FALSE)</f>
        <v>0</v>
      </c>
      <c r="AX594" s="36">
        <f>+VLOOKUP('2. Logging Brejo Seco'!AP594,Apertura,3,FALSE)</f>
        <v>0</v>
      </c>
      <c r="AY594" s="36">
        <f>+VLOOKUP('2. Logging Brejo Seco'!AQ594,Leyenda!$B$55:$D$59,3,FALSE)</f>
        <v>0</v>
      </c>
      <c r="AZ594" s="36">
        <f>+VLOOKUP('2. Logging Brejo Seco'!AR594,Relleno,3,FALSE)</f>
        <v>2</v>
      </c>
      <c r="BA594" s="36">
        <f t="shared" si="226"/>
        <v>2</v>
      </c>
      <c r="BB594" s="50">
        <f t="shared" si="227"/>
        <v>0</v>
      </c>
      <c r="BC594" s="49">
        <f>VLOOKUP(AH594,Leyenda!$B$4:$D$10,3,FALSE)</f>
        <v>0</v>
      </c>
      <c r="BD594" s="50">
        <f t="shared" si="203"/>
        <v>4</v>
      </c>
      <c r="BE594" s="50">
        <f t="shared" si="228"/>
        <v>2</v>
      </c>
      <c r="BF594" s="50">
        <f>VLOOKUP(AS594,Leyenda!$B$70:$D$75,3,FALSE)</f>
        <v>15</v>
      </c>
      <c r="BG594" s="110">
        <f t="shared" si="229"/>
        <v>3</v>
      </c>
      <c r="BH594" s="110">
        <f>VLOOKUP(AG594,Leyenda!$B$4:$E$10,4,FALSE)</f>
        <v>0</v>
      </c>
      <c r="BI594" s="67">
        <f t="shared" si="204"/>
        <v>5</v>
      </c>
      <c r="BJ594" s="110">
        <f t="shared" si="230"/>
        <v>0</v>
      </c>
      <c r="BK594" s="110">
        <f>+VLOOKUP('2. Logging Brejo Seco'!AP594,Leyenda!$B$47:$E$51,4,FALSE)</f>
        <v>0</v>
      </c>
      <c r="BL594" s="110">
        <f>+VLOOKUP('2. Logging Brejo Seco'!AQ594,Leyenda!$B$55:$E$59,4,FALSE)</f>
        <v>0</v>
      </c>
      <c r="BM594" s="110">
        <f>+VLOOKUP('2. Logging Brejo Seco'!AR594,Leyenda!$B$63:$E$67,3,FALSE)</f>
        <v>2</v>
      </c>
      <c r="BN594" s="110">
        <f>+VLOOKUP('2. Logging Brejo Seco'!AO594,Leyenda!$B$39:$E$43,4,FALSE)</f>
        <v>0</v>
      </c>
      <c r="BO594" s="110">
        <f>+VLOOKUP('2. Logging Brejo Seco'!AN594,Leyenda!$B$30:$E$34,4,FALSE)</f>
        <v>0</v>
      </c>
      <c r="BP594" s="110">
        <f>VLOOKUP(AS594,Leyenda!$B$71:$E$75,4,FALSE)</f>
        <v>10</v>
      </c>
      <c r="BQ594" s="110">
        <f t="shared" si="231"/>
        <v>17</v>
      </c>
      <c r="BR594" s="36">
        <f t="shared" si="232"/>
        <v>21</v>
      </c>
      <c r="BS594" s="240">
        <f t="shared" si="205"/>
        <v>1</v>
      </c>
      <c r="BT594" s="6"/>
    </row>
    <row r="595" spans="1:72" x14ac:dyDescent="0.25">
      <c r="A595" s="18" t="s">
        <v>6</v>
      </c>
      <c r="B595" s="18">
        <v>2024</v>
      </c>
      <c r="C595" s="18" t="s">
        <v>138</v>
      </c>
      <c r="D595" s="18" t="s">
        <v>657</v>
      </c>
      <c r="E595" s="3">
        <v>40</v>
      </c>
      <c r="F595" s="191">
        <v>40</v>
      </c>
      <c r="G595" s="36" t="s">
        <v>153</v>
      </c>
      <c r="H595" s="3">
        <v>50</v>
      </c>
      <c r="I595" s="3" t="s">
        <v>756</v>
      </c>
      <c r="J595" s="3"/>
      <c r="K595" s="18">
        <f t="shared" si="235"/>
        <v>3.9</v>
      </c>
      <c r="L595" s="18">
        <v>4.5</v>
      </c>
      <c r="M595" s="107">
        <f t="shared" si="223"/>
        <v>0.60000000000000009</v>
      </c>
      <c r="N595" s="113">
        <f t="shared" si="233"/>
        <v>0</v>
      </c>
      <c r="O595" s="5">
        <f t="shared" si="200"/>
        <v>1</v>
      </c>
      <c r="P595" s="3">
        <v>0</v>
      </c>
      <c r="Q595" s="6"/>
      <c r="R595" s="6"/>
      <c r="S595" s="6"/>
      <c r="T595" s="3"/>
      <c r="U595" s="3"/>
      <c r="V595" s="3">
        <v>0</v>
      </c>
      <c r="W595" s="3"/>
      <c r="X595" s="3"/>
      <c r="Y595" s="3">
        <v>30</v>
      </c>
      <c r="Z595" s="31">
        <f t="shared" si="225"/>
        <v>20.000000000000004</v>
      </c>
      <c r="AA595" s="6"/>
      <c r="AB595" s="6"/>
      <c r="AC595" s="6"/>
      <c r="AD595" s="6"/>
      <c r="AE595" s="3"/>
      <c r="AF595" s="3"/>
      <c r="AG595" s="3" t="str">
        <f t="shared" si="234"/>
        <v>R0</v>
      </c>
      <c r="AH595" s="3" t="s">
        <v>34</v>
      </c>
      <c r="AI595" s="18">
        <f>+VLOOKUP(AH595,Leyenda!$O$4:$U$10,6,FALSE)</f>
        <v>0</v>
      </c>
      <c r="AJ595" s="18" t="str">
        <f>+VLOOKUP(AG595,Leyenda!$O$4:$U$10,7,FALSE)</f>
        <v>No Blasting need</v>
      </c>
      <c r="AK595" s="18">
        <f>+VLOOKUP(AJ595,Leyenda!$U$4:$V$10,2,FALSE)</f>
        <v>2</v>
      </c>
      <c r="AL595" s="3"/>
      <c r="AM595" s="3" t="s">
        <v>34</v>
      </c>
      <c r="AN595" s="3" t="s">
        <v>69</v>
      </c>
      <c r="AO595" s="3" t="s">
        <v>81</v>
      </c>
      <c r="AP595" s="3" t="s">
        <v>100</v>
      </c>
      <c r="AQ595" s="3" t="s">
        <v>111</v>
      </c>
      <c r="AR595" s="3" t="s">
        <v>120</v>
      </c>
      <c r="AS595" s="3" t="s">
        <v>267</v>
      </c>
      <c r="AT595" s="18"/>
      <c r="AU595" s="6"/>
      <c r="AV595" s="36">
        <f>+VLOOKUP(AN595,Leyenda!$B$30:$E$34,3,FALSE)</f>
        <v>0</v>
      </c>
      <c r="AW595" s="36">
        <f>+VLOOKUP('2. Logging Brejo Seco'!AO595,Meteorizacion,3,FALSE)</f>
        <v>0</v>
      </c>
      <c r="AX595" s="36">
        <f>+VLOOKUP('2. Logging Brejo Seco'!AP595,Apertura,3,FALSE)</f>
        <v>0</v>
      </c>
      <c r="AY595" s="36">
        <f>+VLOOKUP('2. Logging Brejo Seco'!AQ595,Leyenda!$B$55:$D$59,3,FALSE)</f>
        <v>0</v>
      </c>
      <c r="AZ595" s="36">
        <f>+VLOOKUP('2. Logging Brejo Seco'!AR595,Relleno,3,FALSE)</f>
        <v>2</v>
      </c>
      <c r="BA595" s="36">
        <f t="shared" si="226"/>
        <v>2</v>
      </c>
      <c r="BB595" s="50">
        <f t="shared" si="227"/>
        <v>0</v>
      </c>
      <c r="BC595" s="49">
        <f>VLOOKUP(AH595,Leyenda!$B$4:$D$10,3,FALSE)</f>
        <v>0</v>
      </c>
      <c r="BD595" s="50">
        <f t="shared" si="203"/>
        <v>4</v>
      </c>
      <c r="BE595" s="50">
        <f t="shared" si="228"/>
        <v>2</v>
      </c>
      <c r="BF595" s="50">
        <f>VLOOKUP(AS595,Leyenda!$B$70:$D$75,3,FALSE)</f>
        <v>15</v>
      </c>
      <c r="BG595" s="110">
        <f t="shared" si="229"/>
        <v>3</v>
      </c>
      <c r="BH595" s="110">
        <f>VLOOKUP(AG595,Leyenda!$B$4:$E$10,4,FALSE)</f>
        <v>0</v>
      </c>
      <c r="BI595" s="67">
        <f t="shared" si="204"/>
        <v>5</v>
      </c>
      <c r="BJ595" s="110">
        <f t="shared" si="230"/>
        <v>0</v>
      </c>
      <c r="BK595" s="110">
        <f>+VLOOKUP('2. Logging Brejo Seco'!AP595,Leyenda!$B$47:$E$51,4,FALSE)</f>
        <v>0</v>
      </c>
      <c r="BL595" s="110">
        <f>+VLOOKUP('2. Logging Brejo Seco'!AQ595,Leyenda!$B$55:$E$59,4,FALSE)</f>
        <v>0</v>
      </c>
      <c r="BM595" s="110">
        <f>+VLOOKUP('2. Logging Brejo Seco'!AR595,Leyenda!$B$63:$E$67,3,FALSE)</f>
        <v>2</v>
      </c>
      <c r="BN595" s="110">
        <f>+VLOOKUP('2. Logging Brejo Seco'!AO595,Leyenda!$B$39:$E$43,4,FALSE)</f>
        <v>0</v>
      </c>
      <c r="BO595" s="110">
        <f>+VLOOKUP('2. Logging Brejo Seco'!AN595,Leyenda!$B$30:$E$34,4,FALSE)</f>
        <v>0</v>
      </c>
      <c r="BP595" s="110">
        <f>VLOOKUP(AS595,Leyenda!$B$71:$E$75,4,FALSE)</f>
        <v>10</v>
      </c>
      <c r="BQ595" s="110">
        <f t="shared" si="231"/>
        <v>17</v>
      </c>
      <c r="BR595" s="36">
        <f t="shared" si="232"/>
        <v>21</v>
      </c>
      <c r="BS595" s="240">
        <f t="shared" si="205"/>
        <v>1</v>
      </c>
      <c r="BT595" s="6"/>
    </row>
    <row r="596" spans="1:72" x14ac:dyDescent="0.25">
      <c r="A596" s="18" t="s">
        <v>6</v>
      </c>
      <c r="B596" s="18">
        <v>2024</v>
      </c>
      <c r="C596" s="18" t="s">
        <v>138</v>
      </c>
      <c r="D596" s="18" t="s">
        <v>657</v>
      </c>
      <c r="E596" s="3">
        <v>40</v>
      </c>
      <c r="F596" s="191">
        <v>40</v>
      </c>
      <c r="G596" s="36" t="s">
        <v>153</v>
      </c>
      <c r="H596" s="3">
        <v>50</v>
      </c>
      <c r="I596" s="3" t="s">
        <v>756</v>
      </c>
      <c r="J596" s="3"/>
      <c r="K596" s="18">
        <f t="shared" si="235"/>
        <v>4.5</v>
      </c>
      <c r="L596" s="18">
        <v>6.15</v>
      </c>
      <c r="M596" s="107">
        <f t="shared" si="223"/>
        <v>1.6500000000000004</v>
      </c>
      <c r="N596" s="113">
        <f t="shared" si="233"/>
        <v>0.18787878787878784</v>
      </c>
      <c r="O596" s="5">
        <f t="shared" si="200"/>
        <v>0.81212121212121213</v>
      </c>
      <c r="P596" s="3">
        <v>0.31</v>
      </c>
      <c r="Q596" s="6"/>
      <c r="R596" s="6"/>
      <c r="S596" s="6"/>
      <c r="T596" s="3"/>
      <c r="U596" s="3"/>
      <c r="V596" s="3">
        <v>0</v>
      </c>
      <c r="W596" s="3"/>
      <c r="X596" s="3"/>
      <c r="Y596" s="3">
        <v>30</v>
      </c>
      <c r="Z596" s="31">
        <f t="shared" si="225"/>
        <v>55.000000000000014</v>
      </c>
      <c r="AA596" s="6"/>
      <c r="AB596" s="6"/>
      <c r="AC596" s="6"/>
      <c r="AD596" s="6"/>
      <c r="AE596" s="3"/>
      <c r="AF596" s="3"/>
      <c r="AG596" s="3" t="str">
        <f t="shared" si="234"/>
        <v>R0</v>
      </c>
      <c r="AH596" s="3" t="s">
        <v>34</v>
      </c>
      <c r="AI596" s="18">
        <f>+VLOOKUP(AH596,Leyenda!$O$4:$U$10,6,FALSE)</f>
        <v>0</v>
      </c>
      <c r="AJ596" s="18" t="str">
        <f>+VLOOKUP(AG596,Leyenda!$O$4:$U$10,7,FALSE)</f>
        <v>No Blasting need</v>
      </c>
      <c r="AK596" s="18">
        <f>+VLOOKUP(AJ596,Leyenda!$U$4:$V$10,2,FALSE)</f>
        <v>2</v>
      </c>
      <c r="AL596" s="3"/>
      <c r="AM596" s="3" t="s">
        <v>34</v>
      </c>
      <c r="AN596" s="3" t="s">
        <v>69</v>
      </c>
      <c r="AO596" s="3" t="s">
        <v>81</v>
      </c>
      <c r="AP596" s="3" t="s">
        <v>100</v>
      </c>
      <c r="AQ596" s="3" t="s">
        <v>111</v>
      </c>
      <c r="AR596" s="3" t="s">
        <v>120</v>
      </c>
      <c r="AS596" s="3" t="s">
        <v>267</v>
      </c>
      <c r="AT596" s="18"/>
      <c r="AU596" s="6"/>
      <c r="AV596" s="36">
        <f>+VLOOKUP(AN596,Leyenda!$B$30:$E$34,3,FALSE)</f>
        <v>0</v>
      </c>
      <c r="AW596" s="36">
        <f>+VLOOKUP('2. Logging Brejo Seco'!AO596,Meteorizacion,3,FALSE)</f>
        <v>0</v>
      </c>
      <c r="AX596" s="36">
        <f>+VLOOKUP('2. Logging Brejo Seco'!AP596,Apertura,3,FALSE)</f>
        <v>0</v>
      </c>
      <c r="AY596" s="36">
        <f>+VLOOKUP('2. Logging Brejo Seco'!AQ596,Leyenda!$B$55:$D$59,3,FALSE)</f>
        <v>0</v>
      </c>
      <c r="AZ596" s="36">
        <f>+VLOOKUP('2. Logging Brejo Seco'!AR596,Relleno,3,FALSE)</f>
        <v>2</v>
      </c>
      <c r="BA596" s="36">
        <f t="shared" si="226"/>
        <v>2</v>
      </c>
      <c r="BB596" s="50">
        <f t="shared" si="227"/>
        <v>0</v>
      </c>
      <c r="BC596" s="49">
        <f>VLOOKUP(AH596,Leyenda!$B$4:$D$10,3,FALSE)</f>
        <v>0</v>
      </c>
      <c r="BD596" s="50">
        <f t="shared" si="203"/>
        <v>6</v>
      </c>
      <c r="BE596" s="50">
        <f t="shared" si="228"/>
        <v>2</v>
      </c>
      <c r="BF596" s="50">
        <f>VLOOKUP(AS596,Leyenda!$B$70:$D$75,3,FALSE)</f>
        <v>15</v>
      </c>
      <c r="BG596" s="110">
        <f t="shared" si="229"/>
        <v>3</v>
      </c>
      <c r="BH596" s="110">
        <f>VLOOKUP(AG596,Leyenda!$B$4:$E$10,4,FALSE)</f>
        <v>0</v>
      </c>
      <c r="BI596" s="67">
        <f t="shared" si="204"/>
        <v>5</v>
      </c>
      <c r="BJ596" s="110">
        <f t="shared" si="230"/>
        <v>0</v>
      </c>
      <c r="BK596" s="110">
        <f>+VLOOKUP('2. Logging Brejo Seco'!AP596,Leyenda!$B$47:$E$51,4,FALSE)</f>
        <v>0</v>
      </c>
      <c r="BL596" s="110">
        <f>+VLOOKUP('2. Logging Brejo Seco'!AQ596,Leyenda!$B$55:$E$59,4,FALSE)</f>
        <v>0</v>
      </c>
      <c r="BM596" s="110">
        <f>+VLOOKUP('2. Logging Brejo Seco'!AR596,Leyenda!$B$63:$E$67,3,FALSE)</f>
        <v>2</v>
      </c>
      <c r="BN596" s="110">
        <f>+VLOOKUP('2. Logging Brejo Seco'!AO596,Leyenda!$B$39:$E$43,4,FALSE)</f>
        <v>0</v>
      </c>
      <c r="BO596" s="110">
        <f>+VLOOKUP('2. Logging Brejo Seco'!AN596,Leyenda!$B$30:$E$34,4,FALSE)</f>
        <v>0</v>
      </c>
      <c r="BP596" s="110">
        <f>VLOOKUP(AS596,Leyenda!$B$71:$E$75,4,FALSE)</f>
        <v>10</v>
      </c>
      <c r="BQ596" s="110">
        <f t="shared" si="231"/>
        <v>17</v>
      </c>
      <c r="BR596" s="36">
        <f t="shared" si="232"/>
        <v>23</v>
      </c>
      <c r="BS596" s="240">
        <f t="shared" si="205"/>
        <v>0.81212121212121213</v>
      </c>
      <c r="BT596" s="6"/>
    </row>
    <row r="597" spans="1:72" x14ac:dyDescent="0.25">
      <c r="A597" s="18" t="s">
        <v>6</v>
      </c>
      <c r="B597" s="18">
        <v>2024</v>
      </c>
      <c r="C597" s="18" t="s">
        <v>138</v>
      </c>
      <c r="D597" s="18" t="s">
        <v>657</v>
      </c>
      <c r="E597" s="3">
        <v>40</v>
      </c>
      <c r="F597" s="191">
        <v>40</v>
      </c>
      <c r="G597" s="36" t="s">
        <v>153</v>
      </c>
      <c r="H597" s="3">
        <v>40</v>
      </c>
      <c r="I597" s="3" t="s">
        <v>757</v>
      </c>
      <c r="J597" s="3"/>
      <c r="K597" s="18">
        <f t="shared" si="235"/>
        <v>6.15</v>
      </c>
      <c r="L597" s="18">
        <v>7.05</v>
      </c>
      <c r="M597" s="107">
        <f t="shared" si="223"/>
        <v>0.89999999999999947</v>
      </c>
      <c r="N597" s="113">
        <f t="shared" si="233"/>
        <v>0.41111111111111137</v>
      </c>
      <c r="O597" s="5">
        <f t="shared" si="200"/>
        <v>0.58888888888888857</v>
      </c>
      <c r="P597" s="3">
        <v>0.37</v>
      </c>
      <c r="Q597" s="6"/>
      <c r="R597" s="6"/>
      <c r="S597" s="6"/>
      <c r="T597" s="3"/>
      <c r="U597" s="3"/>
      <c r="V597" s="3">
        <v>0</v>
      </c>
      <c r="W597" s="3"/>
      <c r="X597" s="3"/>
      <c r="Y597" s="3">
        <v>30</v>
      </c>
      <c r="Z597" s="31">
        <f t="shared" si="225"/>
        <v>29.999999999999982</v>
      </c>
      <c r="AA597" s="6"/>
      <c r="AB597" s="6"/>
      <c r="AC597" s="6"/>
      <c r="AD597" s="6"/>
      <c r="AE597" s="3"/>
      <c r="AF597" s="3"/>
      <c r="AG597" s="3" t="s">
        <v>27</v>
      </c>
      <c r="AH597" s="3" t="s">
        <v>27</v>
      </c>
      <c r="AI597" s="18" t="str">
        <f>+VLOOKUP(AH597,Leyenda!$O$4:$U$10,6,FALSE)</f>
        <v>0,35-0,50</v>
      </c>
      <c r="AJ597" s="18" t="str">
        <f>+VLOOKUP(AG597,Leyenda!$O$4:$U$10,7,FALSE)</f>
        <v>Easy to blast</v>
      </c>
      <c r="AK597" s="18">
        <f>+VLOOKUP(AJ597,Leyenda!$U$4:$V$10,2,FALSE)</f>
        <v>3</v>
      </c>
      <c r="AL597" s="3"/>
      <c r="AM597" s="3" t="s">
        <v>34</v>
      </c>
      <c r="AN597" s="3" t="s">
        <v>69</v>
      </c>
      <c r="AO597" s="3" t="s">
        <v>81</v>
      </c>
      <c r="AP597" s="3" t="s">
        <v>100</v>
      </c>
      <c r="AQ597" s="3" t="s">
        <v>111</v>
      </c>
      <c r="AR597" s="3" t="s">
        <v>120</v>
      </c>
      <c r="AS597" s="3" t="s">
        <v>267</v>
      </c>
      <c r="AT597" s="18"/>
      <c r="AU597" s="6"/>
      <c r="AV597" s="36">
        <f>+VLOOKUP(AN597,Leyenda!$B$30:$E$34,3,FALSE)</f>
        <v>0</v>
      </c>
      <c r="AW597" s="36">
        <f>+VLOOKUP('2. Logging Brejo Seco'!AO597,Meteorizacion,3,FALSE)</f>
        <v>0</v>
      </c>
      <c r="AX597" s="36">
        <f>+VLOOKUP('2. Logging Brejo Seco'!AP597,Apertura,3,FALSE)</f>
        <v>0</v>
      </c>
      <c r="AY597" s="36">
        <f>+VLOOKUP('2. Logging Brejo Seco'!AQ597,Leyenda!$B$55:$D$59,3,FALSE)</f>
        <v>0</v>
      </c>
      <c r="AZ597" s="36">
        <f>+VLOOKUP('2. Logging Brejo Seco'!AR597,Relleno,3,FALSE)</f>
        <v>2</v>
      </c>
      <c r="BA597" s="36">
        <f t="shared" si="226"/>
        <v>2</v>
      </c>
      <c r="BB597" s="50">
        <f t="shared" si="227"/>
        <v>0</v>
      </c>
      <c r="BC597" s="49">
        <f>VLOOKUP(AH597,Leyenda!$B$4:$D$10,3,FALSE)</f>
        <v>4</v>
      </c>
      <c r="BD597" s="50">
        <f t="shared" si="203"/>
        <v>5</v>
      </c>
      <c r="BE597" s="50">
        <f t="shared" si="228"/>
        <v>2</v>
      </c>
      <c r="BF597" s="50">
        <f>VLOOKUP(AS597,Leyenda!$B$70:$D$75,3,FALSE)</f>
        <v>15</v>
      </c>
      <c r="BG597" s="110">
        <f t="shared" si="229"/>
        <v>3</v>
      </c>
      <c r="BH597" s="110">
        <f>VLOOKUP(AG597,Leyenda!$B$4:$E$10,4,FALSE)</f>
        <v>4</v>
      </c>
      <c r="BI597" s="67">
        <f t="shared" si="204"/>
        <v>5</v>
      </c>
      <c r="BJ597" s="110">
        <f t="shared" si="230"/>
        <v>0</v>
      </c>
      <c r="BK597" s="110">
        <f>+VLOOKUP('2. Logging Brejo Seco'!AP597,Leyenda!$B$47:$E$51,4,FALSE)</f>
        <v>0</v>
      </c>
      <c r="BL597" s="110">
        <f>+VLOOKUP('2. Logging Brejo Seco'!AQ597,Leyenda!$B$55:$E$59,4,FALSE)</f>
        <v>0</v>
      </c>
      <c r="BM597" s="110">
        <f>+VLOOKUP('2. Logging Brejo Seco'!AR597,Leyenda!$B$63:$E$67,3,FALSE)</f>
        <v>2</v>
      </c>
      <c r="BN597" s="110">
        <f>+VLOOKUP('2. Logging Brejo Seco'!AO597,Leyenda!$B$39:$E$43,4,FALSE)</f>
        <v>0</v>
      </c>
      <c r="BO597" s="110">
        <f>+VLOOKUP('2. Logging Brejo Seco'!AN597,Leyenda!$B$30:$E$34,4,FALSE)</f>
        <v>0</v>
      </c>
      <c r="BP597" s="110">
        <f>VLOOKUP(AS597,Leyenda!$B$71:$E$75,4,FALSE)</f>
        <v>10</v>
      </c>
      <c r="BQ597" s="110">
        <f t="shared" si="231"/>
        <v>21</v>
      </c>
      <c r="BR597" s="36">
        <f t="shared" si="232"/>
        <v>26</v>
      </c>
      <c r="BS597" s="240">
        <f t="shared" si="205"/>
        <v>0.58888888888888857</v>
      </c>
      <c r="BT597" s="6"/>
    </row>
    <row r="598" spans="1:72" x14ac:dyDescent="0.25">
      <c r="A598" s="18" t="s">
        <v>6</v>
      </c>
      <c r="B598" s="18">
        <v>2024</v>
      </c>
      <c r="C598" s="18" t="s">
        <v>138</v>
      </c>
      <c r="D598" s="18" t="s">
        <v>657</v>
      </c>
      <c r="E598" s="3">
        <v>40</v>
      </c>
      <c r="F598" s="191">
        <v>40</v>
      </c>
      <c r="G598" s="36" t="s">
        <v>153</v>
      </c>
      <c r="H598" s="3">
        <v>40</v>
      </c>
      <c r="I598" s="3" t="s">
        <v>757</v>
      </c>
      <c r="J598" s="3"/>
      <c r="K598" s="18">
        <f t="shared" si="235"/>
        <v>7.05</v>
      </c>
      <c r="L598" s="18">
        <v>7.65</v>
      </c>
      <c r="M598" s="107">
        <f t="shared" si="223"/>
        <v>0.60000000000000053</v>
      </c>
      <c r="N598" s="113">
        <f t="shared" si="233"/>
        <v>0.64999999999999947</v>
      </c>
      <c r="O598" s="5">
        <f t="shared" si="200"/>
        <v>0.35000000000000053</v>
      </c>
      <c r="P598" s="3">
        <v>0.39</v>
      </c>
      <c r="Q598" s="6"/>
      <c r="R598" s="6"/>
      <c r="S598" s="6"/>
      <c r="T598" s="18">
        <v>0.39</v>
      </c>
      <c r="U598" s="18">
        <v>0.14000000000000001</v>
      </c>
      <c r="V598" s="187">
        <f>+U598/M598*100</f>
        <v>23.333333333333314</v>
      </c>
      <c r="W598" s="18">
        <v>2</v>
      </c>
      <c r="X598" s="18">
        <v>4</v>
      </c>
      <c r="Y598" s="18">
        <v>6</v>
      </c>
      <c r="Z598" s="31">
        <f t="shared" si="225"/>
        <v>100.0000000000001</v>
      </c>
      <c r="AA598" s="6"/>
      <c r="AB598" s="6"/>
      <c r="AC598" s="6"/>
      <c r="AD598" s="6"/>
      <c r="AE598" s="3"/>
      <c r="AF598" s="3"/>
      <c r="AG598" s="3" t="str">
        <f t="shared" si="234"/>
        <v>R3</v>
      </c>
      <c r="AH598" s="3" t="s">
        <v>27</v>
      </c>
      <c r="AI598" s="18" t="str">
        <f>+VLOOKUP(AH598,Leyenda!$O$4:$U$10,6,FALSE)</f>
        <v>0,35-0,50</v>
      </c>
      <c r="AJ598" s="18" t="str">
        <f>+VLOOKUP(AG598,Leyenda!$O$4:$U$10,7,FALSE)</f>
        <v>Easy to blast</v>
      </c>
      <c r="AK598" s="18">
        <f>+VLOOKUP(AJ598,Leyenda!$U$4:$V$10,2,FALSE)</f>
        <v>3</v>
      </c>
      <c r="AL598" s="3"/>
      <c r="AM598" s="3" t="s">
        <v>27</v>
      </c>
      <c r="AN598" s="3" t="s">
        <v>62</v>
      </c>
      <c r="AO598" s="3" t="s">
        <v>79</v>
      </c>
      <c r="AP598" s="3" t="s">
        <v>96</v>
      </c>
      <c r="AQ598" s="3" t="s">
        <v>107</v>
      </c>
      <c r="AR598" s="3" t="s">
        <v>120</v>
      </c>
      <c r="AS598" s="3" t="s">
        <v>267</v>
      </c>
      <c r="AT598" s="18"/>
      <c r="AU598" s="6"/>
      <c r="AV598" s="36">
        <f>+VLOOKUP(AN598,Leyenda!$B$30:$E$34,3,FALSE)</f>
        <v>4</v>
      </c>
      <c r="AW598" s="36">
        <f>+VLOOKUP('2. Logging Brejo Seco'!AO598,Meteorizacion,3,FALSE)</f>
        <v>1</v>
      </c>
      <c r="AX598" s="36">
        <f>+VLOOKUP('2. Logging Brejo Seco'!AP598,Apertura,3,FALSE)</f>
        <v>1</v>
      </c>
      <c r="AY598" s="36">
        <f>+VLOOKUP('2. Logging Brejo Seco'!AQ598,Leyenda!$B$55:$D$59,3,FALSE)</f>
        <v>3</v>
      </c>
      <c r="AZ598" s="36">
        <f>+VLOOKUP('2. Logging Brejo Seco'!AR598,Relleno,3,FALSE)</f>
        <v>2</v>
      </c>
      <c r="BA598" s="36">
        <f t="shared" si="226"/>
        <v>11</v>
      </c>
      <c r="BB598" s="50">
        <f t="shared" si="227"/>
        <v>5</v>
      </c>
      <c r="BC598" s="49">
        <f>VLOOKUP(AH598,Leyenda!$B$4:$D$10,3,FALSE)</f>
        <v>4</v>
      </c>
      <c r="BD598" s="50">
        <f t="shared" si="203"/>
        <v>7</v>
      </c>
      <c r="BE598" s="50">
        <f t="shared" si="228"/>
        <v>11</v>
      </c>
      <c r="BF598" s="50">
        <f>VLOOKUP(AS598,Leyenda!$B$70:$D$75,3,FALSE)</f>
        <v>15</v>
      </c>
      <c r="BG598" s="110">
        <f t="shared" si="229"/>
        <v>28.166666666666657</v>
      </c>
      <c r="BH598" s="110">
        <f>VLOOKUP(AG598,Leyenda!$B$4:$E$10,4,FALSE)</f>
        <v>4</v>
      </c>
      <c r="BI598" s="67">
        <f t="shared" si="204"/>
        <v>8</v>
      </c>
      <c r="BJ598" s="110">
        <f t="shared" si="230"/>
        <v>5</v>
      </c>
      <c r="BK598" s="110">
        <f>+VLOOKUP('2. Logging Brejo Seco'!AP598,Leyenda!$B$47:$E$51,4,FALSE)</f>
        <v>1</v>
      </c>
      <c r="BL598" s="110">
        <f>+VLOOKUP('2. Logging Brejo Seco'!AQ598,Leyenda!$B$55:$E$59,4,FALSE)</f>
        <v>3</v>
      </c>
      <c r="BM598" s="110">
        <f>+VLOOKUP('2. Logging Brejo Seco'!AR598,Leyenda!$B$63:$E$67,3,FALSE)</f>
        <v>2</v>
      </c>
      <c r="BN598" s="110">
        <f>+VLOOKUP('2. Logging Brejo Seco'!AO598,Leyenda!$B$39:$E$43,4,FALSE)</f>
        <v>1</v>
      </c>
      <c r="BO598" s="110">
        <f>+VLOOKUP('2. Logging Brejo Seco'!AN598,Leyenda!$B$30:$E$34,4,FALSE)</f>
        <v>4</v>
      </c>
      <c r="BP598" s="110">
        <f>VLOOKUP(AS598,Leyenda!$B$71:$E$75,4,FALSE)</f>
        <v>10</v>
      </c>
      <c r="BQ598" s="110">
        <f t="shared" si="231"/>
        <v>38</v>
      </c>
      <c r="BR598" s="36">
        <f t="shared" si="232"/>
        <v>42</v>
      </c>
      <c r="BS598" s="240">
        <f t="shared" si="205"/>
        <v>0.35000000000000053</v>
      </c>
      <c r="BT598" s="6"/>
    </row>
    <row r="599" spans="1:72" x14ac:dyDescent="0.25">
      <c r="A599" s="18" t="s">
        <v>6</v>
      </c>
      <c r="B599" s="18">
        <v>2024</v>
      </c>
      <c r="C599" s="18" t="s">
        <v>138</v>
      </c>
      <c r="D599" s="18" t="s">
        <v>657</v>
      </c>
      <c r="E599" s="3">
        <v>40</v>
      </c>
      <c r="F599" s="191">
        <v>40</v>
      </c>
      <c r="G599" s="36" t="s">
        <v>153</v>
      </c>
      <c r="H599" s="3">
        <v>40</v>
      </c>
      <c r="I599" s="3" t="s">
        <v>757</v>
      </c>
      <c r="J599" s="3"/>
      <c r="K599" s="18">
        <f t="shared" si="235"/>
        <v>7.65</v>
      </c>
      <c r="L599" s="18">
        <v>8.3000000000000007</v>
      </c>
      <c r="M599" s="107">
        <f t="shared" si="223"/>
        <v>0.65000000000000036</v>
      </c>
      <c r="N599" s="113">
        <f t="shared" si="233"/>
        <v>0.92307692307692257</v>
      </c>
      <c r="O599" s="5">
        <f t="shared" si="200"/>
        <v>7.6923076923077427E-2</v>
      </c>
      <c r="P599" s="3">
        <v>0.6</v>
      </c>
      <c r="Q599" s="6"/>
      <c r="R599" s="6"/>
      <c r="S599" s="6"/>
      <c r="T599" s="18">
        <v>0.4</v>
      </c>
      <c r="U599" s="18">
        <v>0.13</v>
      </c>
      <c r="V599" s="187">
        <f t="shared" ref="V599:V662" si="236">+U599/M599*100</f>
        <v>19.999999999999989</v>
      </c>
      <c r="W599" s="18"/>
      <c r="X599" s="18">
        <v>4</v>
      </c>
      <c r="Y599" s="18">
        <v>4</v>
      </c>
      <c r="Z599" s="31">
        <f t="shared" si="225"/>
        <v>162.50000000000009</v>
      </c>
      <c r="AA599" s="6"/>
      <c r="AB599" s="6"/>
      <c r="AC599" s="6"/>
      <c r="AD599" s="6"/>
      <c r="AE599" s="3"/>
      <c r="AF599" s="3"/>
      <c r="AG599" s="3" t="str">
        <f t="shared" si="234"/>
        <v>R3</v>
      </c>
      <c r="AH599" s="3" t="s">
        <v>27</v>
      </c>
      <c r="AI599" s="18" t="str">
        <f>+VLOOKUP(AH599,Leyenda!$O$4:$U$10,6,FALSE)</f>
        <v>0,35-0,50</v>
      </c>
      <c r="AJ599" s="18" t="str">
        <f>+VLOOKUP(AG599,Leyenda!$O$4:$U$10,7,FALSE)</f>
        <v>Easy to blast</v>
      </c>
      <c r="AK599" s="18">
        <f>+VLOOKUP(AJ599,Leyenda!$U$4:$V$10,2,FALSE)</f>
        <v>3</v>
      </c>
      <c r="AL599" s="3"/>
      <c r="AM599" s="3" t="s">
        <v>27</v>
      </c>
      <c r="AN599" s="3" t="s">
        <v>62</v>
      </c>
      <c r="AO599" s="3" t="s">
        <v>79</v>
      </c>
      <c r="AP599" s="3" t="s">
        <v>96</v>
      </c>
      <c r="AQ599" s="3" t="s">
        <v>107</v>
      </c>
      <c r="AR599" s="3" t="s">
        <v>120</v>
      </c>
      <c r="AS599" s="3" t="s">
        <v>267</v>
      </c>
      <c r="AT599" s="18"/>
      <c r="AU599" s="6"/>
      <c r="AV599" s="36">
        <f>+VLOOKUP(AN599,Leyenda!$B$30:$E$34,3,FALSE)</f>
        <v>4</v>
      </c>
      <c r="AW599" s="36">
        <f>+VLOOKUP('2. Logging Brejo Seco'!AO599,Meteorizacion,3,FALSE)</f>
        <v>1</v>
      </c>
      <c r="AX599" s="36">
        <f>+VLOOKUP('2. Logging Brejo Seco'!AP599,Apertura,3,FALSE)</f>
        <v>1</v>
      </c>
      <c r="AY599" s="36">
        <f>+VLOOKUP('2. Logging Brejo Seco'!AQ599,Leyenda!$B$55:$D$59,3,FALSE)</f>
        <v>3</v>
      </c>
      <c r="AZ599" s="36">
        <f>+VLOOKUP('2. Logging Brejo Seco'!AR599,Relleno,3,FALSE)</f>
        <v>2</v>
      </c>
      <c r="BA599" s="36">
        <f t="shared" si="226"/>
        <v>11</v>
      </c>
      <c r="BB599" s="50">
        <f t="shared" si="227"/>
        <v>4</v>
      </c>
      <c r="BC599" s="49">
        <f>VLOOKUP(AH599,Leyenda!$B$4:$D$10,3,FALSE)</f>
        <v>4</v>
      </c>
      <c r="BD599" s="50">
        <f t="shared" si="203"/>
        <v>9</v>
      </c>
      <c r="BE599" s="50">
        <f t="shared" si="228"/>
        <v>11</v>
      </c>
      <c r="BF599" s="50">
        <f>VLOOKUP(AS599,Leyenda!$B$70:$D$75,3,FALSE)</f>
        <v>15</v>
      </c>
      <c r="BG599" s="110">
        <f t="shared" si="229"/>
        <v>26.499999999999993</v>
      </c>
      <c r="BH599" s="110">
        <f>VLOOKUP(AG599,Leyenda!$B$4:$E$10,4,FALSE)</f>
        <v>4</v>
      </c>
      <c r="BI599" s="67">
        <f t="shared" si="204"/>
        <v>11</v>
      </c>
      <c r="BJ599" s="110">
        <f t="shared" si="230"/>
        <v>4</v>
      </c>
      <c r="BK599" s="110">
        <f>+VLOOKUP('2. Logging Brejo Seco'!AP599,Leyenda!$B$47:$E$51,4,FALSE)</f>
        <v>1</v>
      </c>
      <c r="BL599" s="110">
        <f>+VLOOKUP('2. Logging Brejo Seco'!AQ599,Leyenda!$B$55:$E$59,4,FALSE)</f>
        <v>3</v>
      </c>
      <c r="BM599" s="110">
        <f>+VLOOKUP('2. Logging Brejo Seco'!AR599,Leyenda!$B$63:$E$67,3,FALSE)</f>
        <v>2</v>
      </c>
      <c r="BN599" s="110">
        <f>+VLOOKUP('2. Logging Brejo Seco'!AO599,Leyenda!$B$39:$E$43,4,FALSE)</f>
        <v>1</v>
      </c>
      <c r="BO599" s="110">
        <f>+VLOOKUP('2. Logging Brejo Seco'!AN599,Leyenda!$B$30:$E$34,4,FALSE)</f>
        <v>4</v>
      </c>
      <c r="BP599" s="110">
        <f>VLOOKUP(AS599,Leyenda!$B$71:$E$75,4,FALSE)</f>
        <v>10</v>
      </c>
      <c r="BQ599" s="110">
        <f t="shared" si="231"/>
        <v>40</v>
      </c>
      <c r="BR599" s="36">
        <f t="shared" si="232"/>
        <v>43</v>
      </c>
      <c r="BS599" s="240">
        <f t="shared" si="205"/>
        <v>7.6923076923077427E-2</v>
      </c>
      <c r="BT599" s="6"/>
    </row>
    <row r="600" spans="1:72" x14ac:dyDescent="0.25">
      <c r="A600" s="18" t="s">
        <v>6</v>
      </c>
      <c r="B600" s="18">
        <v>2024</v>
      </c>
      <c r="C600" s="18" t="s">
        <v>138</v>
      </c>
      <c r="D600" s="18" t="s">
        <v>657</v>
      </c>
      <c r="E600" s="3">
        <v>40</v>
      </c>
      <c r="F600" s="191">
        <v>40</v>
      </c>
      <c r="G600" s="36" t="s">
        <v>153</v>
      </c>
      <c r="H600" s="3">
        <v>40</v>
      </c>
      <c r="I600" s="3" t="s">
        <v>757</v>
      </c>
      <c r="J600" s="3"/>
      <c r="K600" s="18">
        <f t="shared" si="235"/>
        <v>8.3000000000000007</v>
      </c>
      <c r="L600" s="18">
        <v>8.6999999999999993</v>
      </c>
      <c r="M600" s="107">
        <f t="shared" si="223"/>
        <v>0.39999999999999858</v>
      </c>
      <c r="N600" s="113">
        <f t="shared" si="233"/>
        <v>0.75000000000000266</v>
      </c>
      <c r="O600" s="5">
        <f t="shared" si="200"/>
        <v>0.24999999999999734</v>
      </c>
      <c r="P600" s="3">
        <v>0.3</v>
      </c>
      <c r="Q600" s="6"/>
      <c r="R600" s="6"/>
      <c r="S600" s="6"/>
      <c r="T600" s="18">
        <v>0.3</v>
      </c>
      <c r="U600" s="18">
        <v>0</v>
      </c>
      <c r="V600" s="187">
        <f t="shared" si="236"/>
        <v>0</v>
      </c>
      <c r="W600" s="18"/>
      <c r="X600" s="18"/>
      <c r="Y600" s="18">
        <v>20</v>
      </c>
      <c r="Z600" s="31">
        <f t="shared" si="225"/>
        <v>19.999999999999929</v>
      </c>
      <c r="AA600" s="6"/>
      <c r="AB600" s="6"/>
      <c r="AC600" s="6"/>
      <c r="AD600" s="6"/>
      <c r="AE600" s="3"/>
      <c r="AF600" s="3"/>
      <c r="AG600" s="3" t="str">
        <f t="shared" si="234"/>
        <v>R1</v>
      </c>
      <c r="AH600" s="3" t="s">
        <v>32</v>
      </c>
      <c r="AI600" s="18" t="str">
        <f>+VLOOKUP(AH600,Leyenda!$O$4:$U$10,6,FALSE)</f>
        <v>0,15-0,25</v>
      </c>
      <c r="AJ600" s="18" t="str">
        <f>+VLOOKUP(AG600,Leyenda!$O$4:$U$10,7,FALSE)</f>
        <v>No Blasting need</v>
      </c>
      <c r="AK600" s="18">
        <f>+VLOOKUP(AJ600,Leyenda!$U$4:$V$10,2,FALSE)</f>
        <v>2</v>
      </c>
      <c r="AL600" s="3"/>
      <c r="AM600" s="3" t="s">
        <v>32</v>
      </c>
      <c r="AN600" s="3" t="s">
        <v>66</v>
      </c>
      <c r="AO600" s="3" t="s">
        <v>79</v>
      </c>
      <c r="AP600" s="3" t="s">
        <v>96</v>
      </c>
      <c r="AQ600" s="3" t="s">
        <v>107</v>
      </c>
      <c r="AR600" s="3" t="s">
        <v>120</v>
      </c>
      <c r="AS600" s="3" t="s">
        <v>267</v>
      </c>
      <c r="AT600" s="18"/>
      <c r="AU600" s="6"/>
      <c r="AV600" s="36">
        <f>+VLOOKUP(AN600,Leyenda!$B$30:$E$34,3,FALSE)</f>
        <v>1</v>
      </c>
      <c r="AW600" s="36">
        <f>+VLOOKUP('2. Logging Brejo Seco'!AO600,Meteorizacion,3,FALSE)</f>
        <v>1</v>
      </c>
      <c r="AX600" s="36">
        <f>+VLOOKUP('2. Logging Brejo Seco'!AP600,Apertura,3,FALSE)</f>
        <v>1</v>
      </c>
      <c r="AY600" s="36">
        <f>+VLOOKUP('2. Logging Brejo Seco'!AQ600,Leyenda!$B$55:$D$59,3,FALSE)</f>
        <v>3</v>
      </c>
      <c r="AZ600" s="36">
        <f>+VLOOKUP('2. Logging Brejo Seco'!AR600,Relleno,3,FALSE)</f>
        <v>2</v>
      </c>
      <c r="BA600" s="36">
        <f t="shared" si="226"/>
        <v>8</v>
      </c>
      <c r="BB600" s="50">
        <f t="shared" si="227"/>
        <v>0</v>
      </c>
      <c r="BC600" s="49">
        <f>VLOOKUP(AH600,Leyenda!$B$4:$D$10,3,FALSE)</f>
        <v>1</v>
      </c>
      <c r="BD600" s="50">
        <f t="shared" si="203"/>
        <v>4</v>
      </c>
      <c r="BE600" s="50">
        <f t="shared" si="228"/>
        <v>8</v>
      </c>
      <c r="BF600" s="50">
        <f>VLOOKUP(AS600,Leyenda!$B$70:$D$75,3,FALSE)</f>
        <v>15</v>
      </c>
      <c r="BG600" s="110">
        <f t="shared" si="229"/>
        <v>12</v>
      </c>
      <c r="BH600" s="110">
        <f>VLOOKUP(AG600,Leyenda!$B$4:$E$10,4,FALSE)</f>
        <v>1</v>
      </c>
      <c r="BI600" s="67">
        <f t="shared" si="204"/>
        <v>5</v>
      </c>
      <c r="BJ600" s="110">
        <f t="shared" si="230"/>
        <v>0</v>
      </c>
      <c r="BK600" s="110">
        <f>+VLOOKUP('2. Logging Brejo Seco'!AP600,Leyenda!$B$47:$E$51,4,FALSE)</f>
        <v>1</v>
      </c>
      <c r="BL600" s="110">
        <f>+VLOOKUP('2. Logging Brejo Seco'!AQ600,Leyenda!$B$55:$E$59,4,FALSE)</f>
        <v>3</v>
      </c>
      <c r="BM600" s="110">
        <f>+VLOOKUP('2. Logging Brejo Seco'!AR600,Leyenda!$B$63:$E$67,3,FALSE)</f>
        <v>2</v>
      </c>
      <c r="BN600" s="110">
        <f>+VLOOKUP('2. Logging Brejo Seco'!AO600,Leyenda!$B$39:$E$43,4,FALSE)</f>
        <v>1</v>
      </c>
      <c r="BO600" s="110">
        <f>+VLOOKUP('2. Logging Brejo Seco'!AN600,Leyenda!$B$30:$E$34,4,FALSE)</f>
        <v>1</v>
      </c>
      <c r="BP600" s="110">
        <f>VLOOKUP(AS600,Leyenda!$B$71:$E$75,4,FALSE)</f>
        <v>10</v>
      </c>
      <c r="BQ600" s="110">
        <f t="shared" si="231"/>
        <v>24</v>
      </c>
      <c r="BR600" s="36">
        <f t="shared" si="232"/>
        <v>28</v>
      </c>
      <c r="BS600" s="240">
        <f t="shared" si="205"/>
        <v>0.24999999999999734</v>
      </c>
      <c r="BT600" s="6"/>
    </row>
    <row r="601" spans="1:72" x14ac:dyDescent="0.25">
      <c r="A601" s="18" t="s">
        <v>6</v>
      </c>
      <c r="B601" s="18">
        <v>2024</v>
      </c>
      <c r="C601" s="18" t="s">
        <v>138</v>
      </c>
      <c r="D601" s="18" t="s">
        <v>657</v>
      </c>
      <c r="E601" s="3">
        <v>40</v>
      </c>
      <c r="F601" s="191">
        <v>40</v>
      </c>
      <c r="G601" s="36" t="s">
        <v>153</v>
      </c>
      <c r="H601" s="3">
        <v>40</v>
      </c>
      <c r="I601" s="3" t="s">
        <v>757</v>
      </c>
      <c r="J601" s="3"/>
      <c r="K601" s="18">
        <f t="shared" si="235"/>
        <v>8.6999999999999993</v>
      </c>
      <c r="L601" s="18">
        <v>8.9</v>
      </c>
      <c r="M601" s="107">
        <f t="shared" si="223"/>
        <v>0.20000000000000107</v>
      </c>
      <c r="N601" s="113">
        <f t="shared" si="233"/>
        <v>0.99999999999999467</v>
      </c>
      <c r="O601" s="5">
        <f t="shared" si="200"/>
        <v>5.3290705182007514E-15</v>
      </c>
      <c r="P601" s="3">
        <v>0.2</v>
      </c>
      <c r="Q601" s="6"/>
      <c r="R601" s="6"/>
      <c r="S601" s="6"/>
      <c r="T601" s="18">
        <v>0.16</v>
      </c>
      <c r="U601" s="18">
        <v>0</v>
      </c>
      <c r="V601" s="187">
        <f t="shared" si="236"/>
        <v>0</v>
      </c>
      <c r="W601" s="18"/>
      <c r="X601" s="18">
        <v>5</v>
      </c>
      <c r="Y601" s="18">
        <v>20</v>
      </c>
      <c r="Z601" s="31">
        <f t="shared" si="225"/>
        <v>10.000000000000053</v>
      </c>
      <c r="AA601" s="6"/>
      <c r="AB601" s="6"/>
      <c r="AC601" s="6"/>
      <c r="AD601" s="6"/>
      <c r="AE601" s="3"/>
      <c r="AF601" s="3"/>
      <c r="AG601" s="3" t="str">
        <f t="shared" si="234"/>
        <v>R2</v>
      </c>
      <c r="AH601" s="3" t="s">
        <v>29</v>
      </c>
      <c r="AI601" s="18" t="str">
        <f>+VLOOKUP(AH601,Leyenda!$O$4:$U$10,6,FALSE)</f>
        <v>0,25-0,35</v>
      </c>
      <c r="AJ601" s="18" t="str">
        <f>+VLOOKUP(AG601,Leyenda!$O$4:$U$10,7,FALSE)</f>
        <v>No Blasting need</v>
      </c>
      <c r="AK601" s="18">
        <f>+VLOOKUP(AJ601,Leyenda!$U$4:$V$10,2,FALSE)</f>
        <v>2</v>
      </c>
      <c r="AL601" s="3"/>
      <c r="AM601" s="3" t="s">
        <v>29</v>
      </c>
      <c r="AN601" s="3" t="s">
        <v>66</v>
      </c>
      <c r="AO601" s="3" t="s">
        <v>79</v>
      </c>
      <c r="AP601" s="3" t="s">
        <v>100</v>
      </c>
      <c r="AQ601" s="3" t="s">
        <v>107</v>
      </c>
      <c r="AR601" s="3" t="s">
        <v>120</v>
      </c>
      <c r="AS601" s="3" t="s">
        <v>267</v>
      </c>
      <c r="AT601" s="18"/>
      <c r="AU601" s="6"/>
      <c r="AV601" s="36">
        <f>+VLOOKUP(AN601,Leyenda!$B$30:$E$34,3,FALSE)</f>
        <v>1</v>
      </c>
      <c r="AW601" s="36">
        <f>+VLOOKUP('2. Logging Brejo Seco'!AO601,Meteorizacion,3,FALSE)</f>
        <v>1</v>
      </c>
      <c r="AX601" s="36">
        <f>+VLOOKUP('2. Logging Brejo Seco'!AP601,Apertura,3,FALSE)</f>
        <v>0</v>
      </c>
      <c r="AY601" s="36">
        <f>+VLOOKUP('2. Logging Brejo Seco'!AQ601,Leyenda!$B$55:$D$59,3,FALSE)</f>
        <v>3</v>
      </c>
      <c r="AZ601" s="36">
        <f>+VLOOKUP('2. Logging Brejo Seco'!AR601,Relleno,3,FALSE)</f>
        <v>2</v>
      </c>
      <c r="BA601" s="36">
        <f t="shared" si="226"/>
        <v>7</v>
      </c>
      <c r="BB601" s="50">
        <f t="shared" si="227"/>
        <v>0</v>
      </c>
      <c r="BC601" s="49">
        <f>VLOOKUP(AH601,Leyenda!$B$4:$D$10,3,FALSE)</f>
        <v>2</v>
      </c>
      <c r="BD601" s="50">
        <f t="shared" si="203"/>
        <v>3</v>
      </c>
      <c r="BE601" s="50">
        <f t="shared" si="228"/>
        <v>7</v>
      </c>
      <c r="BF601" s="50">
        <f>VLOOKUP(AS601,Leyenda!$B$70:$D$75,3,FALSE)</f>
        <v>15</v>
      </c>
      <c r="BG601" s="110">
        <f t="shared" si="229"/>
        <v>10.5</v>
      </c>
      <c r="BH601" s="110">
        <f>VLOOKUP(AG601,Leyenda!$B$4:$E$10,4,FALSE)</f>
        <v>2</v>
      </c>
      <c r="BI601" s="67">
        <f t="shared" si="204"/>
        <v>5</v>
      </c>
      <c r="BJ601" s="110">
        <f t="shared" si="230"/>
        <v>0</v>
      </c>
      <c r="BK601" s="110">
        <f>+VLOOKUP('2. Logging Brejo Seco'!AP601,Leyenda!$B$47:$E$51,4,FALSE)</f>
        <v>0</v>
      </c>
      <c r="BL601" s="110">
        <f>+VLOOKUP('2. Logging Brejo Seco'!AQ601,Leyenda!$B$55:$E$59,4,FALSE)</f>
        <v>3</v>
      </c>
      <c r="BM601" s="110">
        <f>+VLOOKUP('2. Logging Brejo Seco'!AR601,Leyenda!$B$63:$E$67,3,FALSE)</f>
        <v>2</v>
      </c>
      <c r="BN601" s="110">
        <f>+VLOOKUP('2. Logging Brejo Seco'!AO601,Leyenda!$B$39:$E$43,4,FALSE)</f>
        <v>1</v>
      </c>
      <c r="BO601" s="110">
        <f>+VLOOKUP('2. Logging Brejo Seco'!AN601,Leyenda!$B$30:$E$34,4,FALSE)</f>
        <v>1</v>
      </c>
      <c r="BP601" s="110">
        <f>VLOOKUP(AS601,Leyenda!$B$71:$E$75,4,FALSE)</f>
        <v>10</v>
      </c>
      <c r="BQ601" s="110">
        <f t="shared" si="231"/>
        <v>24</v>
      </c>
      <c r="BR601" s="36">
        <f t="shared" si="232"/>
        <v>27</v>
      </c>
      <c r="BS601" s="240">
        <f t="shared" si="205"/>
        <v>5.3290705182007514E-15</v>
      </c>
      <c r="BT601" s="6"/>
    </row>
    <row r="602" spans="1:72" x14ac:dyDescent="0.25">
      <c r="A602" s="18" t="s">
        <v>6</v>
      </c>
      <c r="B602" s="18">
        <v>2024</v>
      </c>
      <c r="C602" s="18" t="s">
        <v>138</v>
      </c>
      <c r="D602" s="18" t="s">
        <v>657</v>
      </c>
      <c r="E602" s="3">
        <v>40</v>
      </c>
      <c r="F602" s="191">
        <v>40</v>
      </c>
      <c r="G602" s="36" t="s">
        <v>153</v>
      </c>
      <c r="H602" s="3">
        <v>40</v>
      </c>
      <c r="I602" s="3" t="s">
        <v>757</v>
      </c>
      <c r="J602" s="3"/>
      <c r="K602" s="18">
        <f t="shared" si="235"/>
        <v>8.9</v>
      </c>
      <c r="L602" s="18">
        <v>9.35</v>
      </c>
      <c r="M602" s="107">
        <f t="shared" si="223"/>
        <v>0.44999999999999929</v>
      </c>
      <c r="N602" s="113">
        <f t="shared" si="233"/>
        <v>0.62222222222222323</v>
      </c>
      <c r="O602" s="5">
        <f t="shared" si="200"/>
        <v>0.37777777777777677</v>
      </c>
      <c r="P602" s="3">
        <v>0.28000000000000003</v>
      </c>
      <c r="Q602" s="6"/>
      <c r="R602" s="6"/>
      <c r="S602" s="6"/>
      <c r="T602" s="18">
        <v>0.27</v>
      </c>
      <c r="U602" s="18">
        <v>0</v>
      </c>
      <c r="V602" s="187">
        <f t="shared" si="236"/>
        <v>0</v>
      </c>
      <c r="W602" s="18"/>
      <c r="X602" s="18"/>
      <c r="Y602" s="18">
        <v>20</v>
      </c>
      <c r="Z602" s="31">
        <f t="shared" si="225"/>
        <v>22.499999999999964</v>
      </c>
      <c r="AA602" s="6"/>
      <c r="AB602" s="6"/>
      <c r="AC602" s="6"/>
      <c r="AD602" s="6"/>
      <c r="AE602" s="3"/>
      <c r="AF602" s="3"/>
      <c r="AG602" s="3" t="s">
        <v>32</v>
      </c>
      <c r="AH602" s="3" t="s">
        <v>32</v>
      </c>
      <c r="AI602" s="18" t="str">
        <f>+VLOOKUP(AH602,Leyenda!$O$4:$U$10,6,FALSE)</f>
        <v>0,15-0,25</v>
      </c>
      <c r="AJ602" s="18" t="str">
        <f>+VLOOKUP(AG602,Leyenda!$O$4:$U$10,7,FALSE)</f>
        <v>No Blasting need</v>
      </c>
      <c r="AK602" s="18">
        <f>+VLOOKUP(AJ602,Leyenda!$U$4:$V$10,2,FALSE)</f>
        <v>2</v>
      </c>
      <c r="AL602" s="3"/>
      <c r="AM602" s="3" t="s">
        <v>32</v>
      </c>
      <c r="AN602" s="3" t="s">
        <v>66</v>
      </c>
      <c r="AO602" s="3" t="s">
        <v>79</v>
      </c>
      <c r="AP602" s="3" t="s">
        <v>100</v>
      </c>
      <c r="AQ602" s="3" t="s">
        <v>107</v>
      </c>
      <c r="AR602" s="3" t="s">
        <v>120</v>
      </c>
      <c r="AS602" s="3" t="s">
        <v>267</v>
      </c>
      <c r="AT602" s="18"/>
      <c r="AU602" s="6"/>
      <c r="AV602" s="36">
        <f>+VLOOKUP(AN602,Leyenda!$B$30:$E$34,3,FALSE)</f>
        <v>1</v>
      </c>
      <c r="AW602" s="36">
        <f>+VLOOKUP('2. Logging Brejo Seco'!AO602,Meteorizacion,3,FALSE)</f>
        <v>1</v>
      </c>
      <c r="AX602" s="36">
        <f>+VLOOKUP('2. Logging Brejo Seco'!AP602,Apertura,3,FALSE)</f>
        <v>0</v>
      </c>
      <c r="AY602" s="36">
        <f>+VLOOKUP('2. Logging Brejo Seco'!AQ602,Leyenda!$B$55:$D$59,3,FALSE)</f>
        <v>3</v>
      </c>
      <c r="AZ602" s="36">
        <f>+VLOOKUP('2. Logging Brejo Seco'!AR602,Relleno,3,FALSE)</f>
        <v>2</v>
      </c>
      <c r="BA602" s="36">
        <f t="shared" si="226"/>
        <v>7</v>
      </c>
      <c r="BB602" s="50">
        <f t="shared" si="227"/>
        <v>0</v>
      </c>
      <c r="BC602" s="49">
        <f>VLOOKUP(AH602,Leyenda!$B$4:$D$10,3,FALSE)</f>
        <v>1</v>
      </c>
      <c r="BD602" s="50">
        <f t="shared" si="203"/>
        <v>4</v>
      </c>
      <c r="BE602" s="50">
        <f t="shared" si="228"/>
        <v>7</v>
      </c>
      <c r="BF602" s="50">
        <f>VLOOKUP(AS602,Leyenda!$B$70:$D$75,3,FALSE)</f>
        <v>15</v>
      </c>
      <c r="BG602" s="110">
        <f t="shared" si="229"/>
        <v>10.5</v>
      </c>
      <c r="BH602" s="110">
        <f>VLOOKUP(AG602,Leyenda!$B$4:$E$10,4,FALSE)</f>
        <v>1</v>
      </c>
      <c r="BI602" s="67">
        <f t="shared" si="204"/>
        <v>5</v>
      </c>
      <c r="BJ602" s="110">
        <f t="shared" si="230"/>
        <v>0</v>
      </c>
      <c r="BK602" s="110">
        <f>+VLOOKUP('2. Logging Brejo Seco'!AP602,Leyenda!$B$47:$E$51,4,FALSE)</f>
        <v>0</v>
      </c>
      <c r="BL602" s="110">
        <f>+VLOOKUP('2. Logging Brejo Seco'!AQ602,Leyenda!$B$55:$E$59,4,FALSE)</f>
        <v>3</v>
      </c>
      <c r="BM602" s="110">
        <f>+VLOOKUP('2. Logging Brejo Seco'!AR602,Leyenda!$B$63:$E$67,3,FALSE)</f>
        <v>2</v>
      </c>
      <c r="BN602" s="110">
        <f>+VLOOKUP('2. Logging Brejo Seco'!AO602,Leyenda!$B$39:$E$43,4,FALSE)</f>
        <v>1</v>
      </c>
      <c r="BO602" s="110">
        <f>+VLOOKUP('2. Logging Brejo Seco'!AN602,Leyenda!$B$30:$E$34,4,FALSE)</f>
        <v>1</v>
      </c>
      <c r="BP602" s="110">
        <f>VLOOKUP(AS602,Leyenda!$B$71:$E$75,4,FALSE)</f>
        <v>10</v>
      </c>
      <c r="BQ602" s="110">
        <f t="shared" si="231"/>
        <v>23</v>
      </c>
      <c r="BR602" s="36">
        <f t="shared" si="232"/>
        <v>27</v>
      </c>
      <c r="BS602" s="240">
        <f t="shared" si="205"/>
        <v>0.37777777777777677</v>
      </c>
      <c r="BT602" s="6"/>
    </row>
    <row r="603" spans="1:72" x14ac:dyDescent="0.25">
      <c r="A603" s="18" t="s">
        <v>6</v>
      </c>
      <c r="B603" s="18">
        <v>2024</v>
      </c>
      <c r="C603" s="18" t="s">
        <v>138</v>
      </c>
      <c r="D603" s="18" t="s">
        <v>657</v>
      </c>
      <c r="E603" s="3">
        <v>40</v>
      </c>
      <c r="F603" s="191">
        <v>40</v>
      </c>
      <c r="G603" s="36" t="s">
        <v>153</v>
      </c>
      <c r="H603" s="3">
        <v>40</v>
      </c>
      <c r="I603" s="3" t="s">
        <v>757</v>
      </c>
      <c r="J603" s="3"/>
      <c r="K603" s="18">
        <f t="shared" si="235"/>
        <v>9.35</v>
      </c>
      <c r="L603" s="18">
        <v>9.8000000000000007</v>
      </c>
      <c r="M603" s="107">
        <f t="shared" si="223"/>
        <v>0.45000000000000107</v>
      </c>
      <c r="N603" s="113">
        <f t="shared" si="233"/>
        <v>0.33333333333333254</v>
      </c>
      <c r="O603" s="5">
        <f t="shared" si="200"/>
        <v>0.66666666666666741</v>
      </c>
      <c r="P603" s="3">
        <v>0.15</v>
      </c>
      <c r="Q603" s="6"/>
      <c r="R603" s="6"/>
      <c r="S603" s="6"/>
      <c r="T603" s="18">
        <v>0.28999999999999998</v>
      </c>
      <c r="U603" s="18">
        <v>0.24</v>
      </c>
      <c r="V603" s="187">
        <f t="shared" si="236"/>
        <v>53.333333333333208</v>
      </c>
      <c r="W603" s="18"/>
      <c r="X603" s="18"/>
      <c r="Y603" s="18">
        <v>4</v>
      </c>
      <c r="Z603" s="31">
        <f t="shared" si="225"/>
        <v>112.50000000000027</v>
      </c>
      <c r="AA603" s="6"/>
      <c r="AB603" s="6"/>
      <c r="AC603" s="6"/>
      <c r="AD603" s="6"/>
      <c r="AE603" s="3"/>
      <c r="AF603" s="3"/>
      <c r="AG603" s="3" t="s">
        <v>27</v>
      </c>
      <c r="AH603" s="3" t="s">
        <v>27</v>
      </c>
      <c r="AI603" s="18" t="str">
        <f>+VLOOKUP(AH603,Leyenda!$O$4:$U$10,6,FALSE)</f>
        <v>0,35-0,50</v>
      </c>
      <c r="AJ603" s="18" t="str">
        <f>+VLOOKUP(AG603,Leyenda!$O$4:$U$10,7,FALSE)</f>
        <v>Easy to blast</v>
      </c>
      <c r="AK603" s="18">
        <f>+VLOOKUP(AJ603,Leyenda!$U$4:$V$10,2,FALSE)</f>
        <v>3</v>
      </c>
      <c r="AL603" s="3"/>
      <c r="AM603" s="3" t="s">
        <v>32</v>
      </c>
      <c r="AN603" s="3" t="s">
        <v>66</v>
      </c>
      <c r="AO603" s="3" t="s">
        <v>77</v>
      </c>
      <c r="AP603" s="3" t="s">
        <v>96</v>
      </c>
      <c r="AQ603" s="3" t="s">
        <v>107</v>
      </c>
      <c r="AR603" s="3" t="s">
        <v>118</v>
      </c>
      <c r="AS603" s="3" t="s">
        <v>267</v>
      </c>
      <c r="AT603" s="18"/>
      <c r="AU603" s="6"/>
      <c r="AV603" s="18">
        <f>+VLOOKUP(AN603,Leyenda!$B$30:$E$34,3,FALSE)</f>
        <v>1</v>
      </c>
      <c r="AW603" s="18">
        <f>+VLOOKUP('2. Logging Brejo Seco'!AO603,Meteorizacion,3,FALSE)</f>
        <v>3</v>
      </c>
      <c r="AX603" s="18">
        <f>+VLOOKUP('2. Logging Brejo Seco'!AP603,Apertura,3,FALSE)</f>
        <v>1</v>
      </c>
      <c r="AY603" s="18">
        <f>+VLOOKUP('2. Logging Brejo Seco'!AQ603,Leyenda!$B$55:$D$59,3,FALSE)</f>
        <v>3</v>
      </c>
      <c r="AZ603" s="18">
        <f>+VLOOKUP('2. Logging Brejo Seco'!AR603,Relleno,3,FALSE)</f>
        <v>2</v>
      </c>
      <c r="BA603" s="18">
        <f t="shared" si="226"/>
        <v>10</v>
      </c>
      <c r="BB603" s="49">
        <f t="shared" si="227"/>
        <v>11</v>
      </c>
      <c r="BC603" s="49">
        <f>VLOOKUP(AH603,Leyenda!$B$4:$D$10,3,FALSE)</f>
        <v>4</v>
      </c>
      <c r="BD603" s="49">
        <f t="shared" si="203"/>
        <v>8</v>
      </c>
      <c r="BE603" s="49">
        <f t="shared" si="228"/>
        <v>10</v>
      </c>
      <c r="BF603" s="49">
        <f>VLOOKUP(AS603,Leyenda!$B$70:$D$75,3,FALSE)</f>
        <v>15</v>
      </c>
      <c r="BG603" s="67">
        <f t="shared" si="229"/>
        <v>41.6666666666666</v>
      </c>
      <c r="BH603" s="67">
        <f>VLOOKUP(AG603,Leyenda!$B$4:$E$10,4,FALSE)</f>
        <v>4</v>
      </c>
      <c r="BI603" s="67">
        <f t="shared" si="204"/>
        <v>9</v>
      </c>
      <c r="BJ603" s="67">
        <f t="shared" si="230"/>
        <v>11</v>
      </c>
      <c r="BK603" s="67">
        <f>+VLOOKUP('2. Logging Brejo Seco'!AP603,Leyenda!$B$47:$E$51,4,FALSE)</f>
        <v>1</v>
      </c>
      <c r="BL603" s="67">
        <f>+VLOOKUP('2. Logging Brejo Seco'!AQ603,Leyenda!$B$55:$E$59,4,FALSE)</f>
        <v>3</v>
      </c>
      <c r="BM603" s="67">
        <f>+VLOOKUP('2. Logging Brejo Seco'!AR603,Leyenda!$B$63:$E$67,3,FALSE)</f>
        <v>2</v>
      </c>
      <c r="BN603" s="67">
        <f>+VLOOKUP('2. Logging Brejo Seco'!AO603,Leyenda!$B$39:$E$43,4,FALSE)</f>
        <v>3</v>
      </c>
      <c r="BO603" s="67">
        <f>+VLOOKUP('2. Logging Brejo Seco'!AN603,Leyenda!$B$30:$E$34,4,FALSE)</f>
        <v>1</v>
      </c>
      <c r="BP603" s="67">
        <f>VLOOKUP(AS603,Leyenda!$B$71:$E$75,4,FALSE)</f>
        <v>10</v>
      </c>
      <c r="BQ603" s="67">
        <f t="shared" si="231"/>
        <v>44</v>
      </c>
      <c r="BR603" s="18">
        <f t="shared" si="232"/>
        <v>48</v>
      </c>
      <c r="BS603" s="240">
        <f t="shared" si="205"/>
        <v>0.66666666666666741</v>
      </c>
      <c r="BT603" s="6"/>
    </row>
    <row r="604" spans="1:72" x14ac:dyDescent="0.25">
      <c r="A604" s="18" t="s">
        <v>6</v>
      </c>
      <c r="B604" s="18">
        <v>2024</v>
      </c>
      <c r="C604" s="18" t="s">
        <v>138</v>
      </c>
      <c r="D604" s="18" t="s">
        <v>657</v>
      </c>
      <c r="E604" s="3">
        <v>40</v>
      </c>
      <c r="F604" s="191">
        <v>40</v>
      </c>
      <c r="G604" s="36" t="s">
        <v>153</v>
      </c>
      <c r="H604" s="3">
        <v>40</v>
      </c>
      <c r="I604" s="3" t="s">
        <v>757</v>
      </c>
      <c r="J604" s="3"/>
      <c r="K604" s="18">
        <f t="shared" si="235"/>
        <v>9.8000000000000007</v>
      </c>
      <c r="L604" s="18">
        <v>10.7</v>
      </c>
      <c r="M604" s="107">
        <f t="shared" si="223"/>
        <v>0.89999999999999858</v>
      </c>
      <c r="N604" s="113">
        <f t="shared" si="233"/>
        <v>0.33333333333333387</v>
      </c>
      <c r="O604" s="5">
        <f t="shared" si="200"/>
        <v>0.66666666666666607</v>
      </c>
      <c r="P604" s="3">
        <v>0.3</v>
      </c>
      <c r="Q604" s="6"/>
      <c r="R604" s="6"/>
      <c r="S604" s="6"/>
      <c r="T604" s="18">
        <v>0.3</v>
      </c>
      <c r="U604" s="18">
        <v>0.15</v>
      </c>
      <c r="V604" s="187">
        <f t="shared" si="236"/>
        <v>16.666666666666693</v>
      </c>
      <c r="W604" s="18">
        <v>3</v>
      </c>
      <c r="X604" s="18">
        <v>4</v>
      </c>
      <c r="Y604" s="18">
        <v>7</v>
      </c>
      <c r="Z604" s="31">
        <f t="shared" si="225"/>
        <v>128.57142857142838</v>
      </c>
      <c r="AA604" s="6"/>
      <c r="AB604" s="6"/>
      <c r="AC604" s="6"/>
      <c r="AD604" s="6"/>
      <c r="AE604" s="3"/>
      <c r="AF604" s="3"/>
      <c r="AG604" s="3" t="s">
        <v>27</v>
      </c>
      <c r="AH604" s="3" t="s">
        <v>27</v>
      </c>
      <c r="AI604" s="18" t="str">
        <f>+VLOOKUP(AH604,Leyenda!$O$4:$U$10,6,FALSE)</f>
        <v>0,35-0,50</v>
      </c>
      <c r="AJ604" s="18" t="str">
        <f>+VLOOKUP(AG604,Leyenda!$O$4:$U$10,7,FALSE)</f>
        <v>Easy to blast</v>
      </c>
      <c r="AK604" s="18">
        <f>+VLOOKUP(AJ604,Leyenda!$U$4:$V$10,2,FALSE)</f>
        <v>3</v>
      </c>
      <c r="AL604" s="3"/>
      <c r="AM604" s="3" t="s">
        <v>27</v>
      </c>
      <c r="AN604" s="3" t="s">
        <v>64</v>
      </c>
      <c r="AO604" s="3" t="s">
        <v>77</v>
      </c>
      <c r="AP604" s="3" t="s">
        <v>96</v>
      </c>
      <c r="AQ604" s="3" t="s">
        <v>107</v>
      </c>
      <c r="AR604" s="3" t="s">
        <v>118</v>
      </c>
      <c r="AS604" s="3" t="s">
        <v>267</v>
      </c>
      <c r="AT604" s="18"/>
      <c r="AU604" s="6"/>
      <c r="AV604" s="18">
        <f>+VLOOKUP(AN604,Leyenda!$B$30:$E$34,3,FALSE)</f>
        <v>2</v>
      </c>
      <c r="AW604" s="18">
        <f>+VLOOKUP('2. Logging Brejo Seco'!AO604,Meteorizacion,3,FALSE)</f>
        <v>3</v>
      </c>
      <c r="AX604" s="18">
        <f>+VLOOKUP('2. Logging Brejo Seco'!AP604,Apertura,3,FALSE)</f>
        <v>1</v>
      </c>
      <c r="AY604" s="18">
        <f>+VLOOKUP('2. Logging Brejo Seco'!AQ604,Leyenda!$B$55:$D$59,3,FALSE)</f>
        <v>3</v>
      </c>
      <c r="AZ604" s="18">
        <f>+VLOOKUP('2. Logging Brejo Seco'!AR604,Relleno,3,FALSE)</f>
        <v>2</v>
      </c>
      <c r="BA604" s="18">
        <f t="shared" ref="BA604:BA643" si="237">+SUM(AV604:AZ604)</f>
        <v>11</v>
      </c>
      <c r="BB604" s="49">
        <f t="shared" ref="BB604:BB643" si="238">ROUND(-0.0002*POWER(V604,2)+0.2197*V604,0)</f>
        <v>4</v>
      </c>
      <c r="BC604" s="49">
        <f>VLOOKUP(AH604,Leyenda!$B$4:$D$10,3,FALSE)</f>
        <v>4</v>
      </c>
      <c r="BD604" s="49">
        <f t="shared" si="203"/>
        <v>8</v>
      </c>
      <c r="BE604" s="49">
        <f t="shared" ref="BE604:BE643" si="239">+BA604</f>
        <v>11</v>
      </c>
      <c r="BF604" s="49">
        <f>VLOOKUP(AS604,Leyenda!$B$70:$D$75,3,FALSE)</f>
        <v>15</v>
      </c>
      <c r="BG604" s="67">
        <f t="shared" ref="BG604:BG643" si="240">1.5*BA604+(V604*0.5)</f>
        <v>24.833333333333346</v>
      </c>
      <c r="BH604" s="67">
        <f>VLOOKUP(AG604,Leyenda!$B$4:$E$10,4,FALSE)</f>
        <v>4</v>
      </c>
      <c r="BI604" s="67">
        <f t="shared" si="204"/>
        <v>10</v>
      </c>
      <c r="BJ604" s="67">
        <f t="shared" ref="BJ604:BJ643" si="241">ROUND(-0.0002*POWER(V604,2)+0.2197*V604,0)</f>
        <v>4</v>
      </c>
      <c r="BK604" s="67">
        <f>+VLOOKUP('2. Logging Brejo Seco'!AP604,Leyenda!$B$47:$E$51,4,FALSE)</f>
        <v>1</v>
      </c>
      <c r="BL604" s="67">
        <f>+VLOOKUP('2. Logging Brejo Seco'!AQ604,Leyenda!$B$55:$E$59,4,FALSE)</f>
        <v>3</v>
      </c>
      <c r="BM604" s="67">
        <f>+VLOOKUP('2. Logging Brejo Seco'!AR604,Leyenda!$B$63:$E$67,3,FALSE)</f>
        <v>2</v>
      </c>
      <c r="BN604" s="67">
        <f>+VLOOKUP('2. Logging Brejo Seco'!AO604,Leyenda!$B$39:$E$43,4,FALSE)</f>
        <v>3</v>
      </c>
      <c r="BO604" s="67">
        <f>+VLOOKUP('2. Logging Brejo Seco'!AN604,Leyenda!$B$30:$E$34,4,FALSE)</f>
        <v>3</v>
      </c>
      <c r="BP604" s="67">
        <f>VLOOKUP(AS604,Leyenda!$B$71:$E$75,4,FALSE)</f>
        <v>10</v>
      </c>
      <c r="BQ604" s="67">
        <f t="shared" ref="BQ604:BQ643" si="242">+BH604+BI604+BJ604+BK604+BL604+BM604+BN604+BO604+BP604</f>
        <v>40</v>
      </c>
      <c r="BR604" s="18">
        <f t="shared" ref="BR604:BR643" si="243">+BC604+BD604+BB604+BE604+BF604</f>
        <v>42</v>
      </c>
      <c r="BS604" s="240">
        <f t="shared" si="205"/>
        <v>0.66666666666666607</v>
      </c>
      <c r="BT604" s="6"/>
    </row>
    <row r="605" spans="1:72" x14ac:dyDescent="0.25">
      <c r="A605" s="18" t="s">
        <v>6</v>
      </c>
      <c r="B605" s="18">
        <v>2024</v>
      </c>
      <c r="C605" s="18" t="s">
        <v>138</v>
      </c>
      <c r="D605" s="18" t="s">
        <v>657</v>
      </c>
      <c r="E605" s="3">
        <v>40</v>
      </c>
      <c r="F605" s="191">
        <v>40</v>
      </c>
      <c r="G605" s="36" t="s">
        <v>153</v>
      </c>
      <c r="H605" s="3">
        <v>40</v>
      </c>
      <c r="I605" s="3" t="s">
        <v>757</v>
      </c>
      <c r="J605" s="3"/>
      <c r="K605" s="18">
        <f t="shared" si="235"/>
        <v>10.7</v>
      </c>
      <c r="L605" s="18">
        <v>11.1</v>
      </c>
      <c r="M605" s="107">
        <f t="shared" si="223"/>
        <v>0.40000000000000036</v>
      </c>
      <c r="N605" s="113">
        <f t="shared" si="233"/>
        <v>0.82499999999999929</v>
      </c>
      <c r="O605" s="5">
        <f t="shared" si="200"/>
        <v>0.17500000000000071</v>
      </c>
      <c r="P605" s="3">
        <v>0.33</v>
      </c>
      <c r="Q605" s="6"/>
      <c r="R605" s="6"/>
      <c r="S605" s="6"/>
      <c r="T605" s="18">
        <v>0.33</v>
      </c>
      <c r="U605" s="18">
        <v>0.11</v>
      </c>
      <c r="V605" s="187">
        <f t="shared" si="236"/>
        <v>27.499999999999975</v>
      </c>
      <c r="W605" s="18">
        <v>5</v>
      </c>
      <c r="X605" s="18">
        <v>0</v>
      </c>
      <c r="Y605" s="18">
        <v>5</v>
      </c>
      <c r="Z605" s="31">
        <f t="shared" si="225"/>
        <v>80.000000000000071</v>
      </c>
      <c r="AA605" s="6"/>
      <c r="AB605" s="6"/>
      <c r="AC605" s="6"/>
      <c r="AD605" s="6"/>
      <c r="AE605" s="3"/>
      <c r="AF605" s="3"/>
      <c r="AG605" s="3" t="s">
        <v>27</v>
      </c>
      <c r="AH605" s="3" t="s">
        <v>27</v>
      </c>
      <c r="AI605" s="18" t="str">
        <f>+VLOOKUP(AH605,Leyenda!$O$4:$U$10,6,FALSE)</f>
        <v>0,35-0,50</v>
      </c>
      <c r="AJ605" s="18" t="str">
        <f>+VLOOKUP(AG605,Leyenda!$O$4:$U$10,7,FALSE)</f>
        <v>Easy to blast</v>
      </c>
      <c r="AK605" s="18">
        <f>+VLOOKUP(AJ605,Leyenda!$U$4:$V$10,2,FALSE)</f>
        <v>3</v>
      </c>
      <c r="AL605" s="3"/>
      <c r="AM605" s="3" t="s">
        <v>27</v>
      </c>
      <c r="AN605" s="3" t="s">
        <v>64</v>
      </c>
      <c r="AO605" s="3" t="s">
        <v>77</v>
      </c>
      <c r="AP605" s="3" t="s">
        <v>96</v>
      </c>
      <c r="AQ605" s="3" t="s">
        <v>107</v>
      </c>
      <c r="AR605" s="3" t="s">
        <v>118</v>
      </c>
      <c r="AS605" s="3" t="s">
        <v>267</v>
      </c>
      <c r="AT605" s="18"/>
      <c r="AU605" s="6"/>
      <c r="AV605" s="18">
        <f>+VLOOKUP(AN605,Leyenda!$B$30:$E$34,3,FALSE)</f>
        <v>2</v>
      </c>
      <c r="AW605" s="18">
        <f>+VLOOKUP('2. Logging Brejo Seco'!AO605,Meteorizacion,3,FALSE)</f>
        <v>3</v>
      </c>
      <c r="AX605" s="18">
        <f>+VLOOKUP('2. Logging Brejo Seco'!AP605,Apertura,3,FALSE)</f>
        <v>1</v>
      </c>
      <c r="AY605" s="18">
        <f>+VLOOKUP('2. Logging Brejo Seco'!AQ605,Leyenda!$B$55:$D$59,3,FALSE)</f>
        <v>3</v>
      </c>
      <c r="AZ605" s="18">
        <f>+VLOOKUP('2. Logging Brejo Seco'!AR605,Relleno,3,FALSE)</f>
        <v>2</v>
      </c>
      <c r="BA605" s="18">
        <f t="shared" si="237"/>
        <v>11</v>
      </c>
      <c r="BB605" s="49">
        <f t="shared" si="238"/>
        <v>6</v>
      </c>
      <c r="BC605" s="49">
        <f>VLOOKUP(AH605,Leyenda!$B$4:$D$10,3,FALSE)</f>
        <v>4</v>
      </c>
      <c r="BD605" s="49">
        <f t="shared" si="203"/>
        <v>7</v>
      </c>
      <c r="BE605" s="49">
        <f t="shared" si="239"/>
        <v>11</v>
      </c>
      <c r="BF605" s="49">
        <f>VLOOKUP(AS605,Leyenda!$B$70:$D$75,3,FALSE)</f>
        <v>15</v>
      </c>
      <c r="BG605" s="67">
        <f t="shared" si="240"/>
        <v>30.249999999999986</v>
      </c>
      <c r="BH605" s="67">
        <f>VLOOKUP(AG605,Leyenda!$B$4:$E$10,4,FALSE)</f>
        <v>4</v>
      </c>
      <c r="BI605" s="67">
        <f t="shared" si="204"/>
        <v>7</v>
      </c>
      <c r="BJ605" s="67">
        <f t="shared" si="241"/>
        <v>6</v>
      </c>
      <c r="BK605" s="67">
        <f>+VLOOKUP('2. Logging Brejo Seco'!AP605,Leyenda!$B$47:$E$51,4,FALSE)</f>
        <v>1</v>
      </c>
      <c r="BL605" s="67">
        <f>+VLOOKUP('2. Logging Brejo Seco'!AQ605,Leyenda!$B$55:$E$59,4,FALSE)</f>
        <v>3</v>
      </c>
      <c r="BM605" s="67">
        <f>+VLOOKUP('2. Logging Brejo Seco'!AR605,Leyenda!$B$63:$E$67,3,FALSE)</f>
        <v>2</v>
      </c>
      <c r="BN605" s="67">
        <f>+VLOOKUP('2. Logging Brejo Seco'!AO605,Leyenda!$B$39:$E$43,4,FALSE)</f>
        <v>3</v>
      </c>
      <c r="BO605" s="67">
        <f>+VLOOKUP('2. Logging Brejo Seco'!AN605,Leyenda!$B$30:$E$34,4,FALSE)</f>
        <v>3</v>
      </c>
      <c r="BP605" s="67">
        <f>VLOOKUP(AS605,Leyenda!$B$71:$E$75,4,FALSE)</f>
        <v>10</v>
      </c>
      <c r="BQ605" s="67">
        <f t="shared" si="242"/>
        <v>39</v>
      </c>
      <c r="BR605" s="18">
        <f t="shared" si="243"/>
        <v>43</v>
      </c>
      <c r="BS605" s="240">
        <f t="shared" si="205"/>
        <v>0.17500000000000071</v>
      </c>
      <c r="BT605" s="6"/>
    </row>
    <row r="606" spans="1:72" x14ac:dyDescent="0.25">
      <c r="A606" s="18" t="s">
        <v>6</v>
      </c>
      <c r="B606" s="18">
        <v>2024</v>
      </c>
      <c r="C606" s="18" t="s">
        <v>138</v>
      </c>
      <c r="D606" s="18" t="s">
        <v>657</v>
      </c>
      <c r="E606" s="3">
        <v>50</v>
      </c>
      <c r="F606" s="191">
        <v>50</v>
      </c>
      <c r="G606" s="18" t="s">
        <v>154</v>
      </c>
      <c r="H606" s="3">
        <v>40</v>
      </c>
      <c r="I606" s="3" t="s">
        <v>757</v>
      </c>
      <c r="J606" s="3"/>
      <c r="K606" s="18">
        <f t="shared" si="235"/>
        <v>11.1</v>
      </c>
      <c r="L606" s="18">
        <v>11.35</v>
      </c>
      <c r="M606" s="107">
        <f t="shared" si="223"/>
        <v>0.25</v>
      </c>
      <c r="N606" s="113">
        <f t="shared" si="233"/>
        <v>1</v>
      </c>
      <c r="O606" s="5">
        <f t="shared" si="200"/>
        <v>0</v>
      </c>
      <c r="P606" s="3">
        <v>0.25</v>
      </c>
      <c r="Q606" s="6"/>
      <c r="R606" s="6"/>
      <c r="S606" s="6"/>
      <c r="T606" s="18">
        <v>0.18</v>
      </c>
      <c r="U606" s="18">
        <v>0.1</v>
      </c>
      <c r="V606" s="187">
        <f t="shared" si="236"/>
        <v>40</v>
      </c>
      <c r="W606" s="18">
        <v>3</v>
      </c>
      <c r="X606" s="18"/>
      <c r="Y606" s="18">
        <v>3</v>
      </c>
      <c r="Z606" s="31">
        <f t="shared" si="225"/>
        <v>83.333333333333329</v>
      </c>
      <c r="AA606" s="6"/>
      <c r="AB606" s="6"/>
      <c r="AC606" s="6"/>
      <c r="AD606" s="6"/>
      <c r="AE606" s="3"/>
      <c r="AF606" s="3"/>
      <c r="AG606" s="3" t="s">
        <v>27</v>
      </c>
      <c r="AH606" s="3" t="s">
        <v>27</v>
      </c>
      <c r="AI606" s="18" t="str">
        <f>+VLOOKUP(AH606,Leyenda!$O$4:$U$10,6,FALSE)</f>
        <v>0,35-0,50</v>
      </c>
      <c r="AJ606" s="18" t="str">
        <f>+VLOOKUP(AG606,Leyenda!$O$4:$U$10,7,FALSE)</f>
        <v>Easy to blast</v>
      </c>
      <c r="AK606" s="18">
        <f>+VLOOKUP(AJ606,Leyenda!$U$4:$V$10,2,FALSE)</f>
        <v>3</v>
      </c>
      <c r="AL606" s="3"/>
      <c r="AM606" s="3" t="s">
        <v>27</v>
      </c>
      <c r="AN606" s="3" t="s">
        <v>64</v>
      </c>
      <c r="AO606" s="3" t="s">
        <v>77</v>
      </c>
      <c r="AP606" s="3" t="s">
        <v>96</v>
      </c>
      <c r="AQ606" s="3" t="s">
        <v>107</v>
      </c>
      <c r="AR606" s="3" t="s">
        <v>118</v>
      </c>
      <c r="AS606" s="3" t="s">
        <v>267</v>
      </c>
      <c r="AT606" s="18"/>
      <c r="AU606" s="6"/>
      <c r="AV606" s="36">
        <f>+VLOOKUP(AN606,Leyenda!$B$30:$E$34,3,FALSE)</f>
        <v>2</v>
      </c>
      <c r="AW606" s="36">
        <f>+VLOOKUP('2. Logging Brejo Seco'!AO606,Meteorizacion,3,FALSE)</f>
        <v>3</v>
      </c>
      <c r="AX606" s="36">
        <f>+VLOOKUP('2. Logging Brejo Seco'!AP606,Apertura,3,FALSE)</f>
        <v>1</v>
      </c>
      <c r="AY606" s="36">
        <f>+VLOOKUP('2. Logging Brejo Seco'!AQ606,Leyenda!$B$55:$D$59,3,FALSE)</f>
        <v>3</v>
      </c>
      <c r="AZ606" s="36">
        <f>+VLOOKUP('2. Logging Brejo Seco'!AR606,Relleno,3,FALSE)</f>
        <v>2</v>
      </c>
      <c r="BA606" s="36">
        <f t="shared" si="237"/>
        <v>11</v>
      </c>
      <c r="BB606" s="50">
        <f t="shared" si="238"/>
        <v>8</v>
      </c>
      <c r="BC606" s="49">
        <f>VLOOKUP(AH606,Leyenda!$B$4:$D$10,3,FALSE)</f>
        <v>4</v>
      </c>
      <c r="BD606" s="50">
        <f t="shared" si="203"/>
        <v>7</v>
      </c>
      <c r="BE606" s="50">
        <f t="shared" si="239"/>
        <v>11</v>
      </c>
      <c r="BF606" s="50">
        <f>VLOOKUP(AS606,Leyenda!$B$70:$D$75,3,FALSE)</f>
        <v>15</v>
      </c>
      <c r="BG606" s="110">
        <f t="shared" si="240"/>
        <v>36.5</v>
      </c>
      <c r="BH606" s="110">
        <f>VLOOKUP(AG606,Leyenda!$B$4:$E$10,4,FALSE)</f>
        <v>4</v>
      </c>
      <c r="BI606" s="67">
        <f t="shared" si="204"/>
        <v>7</v>
      </c>
      <c r="BJ606" s="110">
        <f t="shared" si="241"/>
        <v>8</v>
      </c>
      <c r="BK606" s="110">
        <f>+VLOOKUP('2. Logging Brejo Seco'!AP606,Leyenda!$B$47:$E$51,4,FALSE)</f>
        <v>1</v>
      </c>
      <c r="BL606" s="110">
        <f>+VLOOKUP('2. Logging Brejo Seco'!AQ606,Leyenda!$B$55:$E$59,4,FALSE)</f>
        <v>3</v>
      </c>
      <c r="BM606" s="110">
        <f>+VLOOKUP('2. Logging Brejo Seco'!AR606,Leyenda!$B$63:$E$67,3,FALSE)</f>
        <v>2</v>
      </c>
      <c r="BN606" s="110">
        <f>+VLOOKUP('2. Logging Brejo Seco'!AO606,Leyenda!$B$39:$E$43,4,FALSE)</f>
        <v>3</v>
      </c>
      <c r="BO606" s="110">
        <f>+VLOOKUP('2. Logging Brejo Seco'!AN606,Leyenda!$B$30:$E$34,4,FALSE)</f>
        <v>3</v>
      </c>
      <c r="BP606" s="110">
        <f>VLOOKUP(AS606,Leyenda!$B$71:$E$75,4,FALSE)</f>
        <v>10</v>
      </c>
      <c r="BQ606" s="110">
        <f t="shared" si="242"/>
        <v>41</v>
      </c>
      <c r="BR606" s="36">
        <f t="shared" si="243"/>
        <v>45</v>
      </c>
      <c r="BS606" s="240">
        <f t="shared" si="205"/>
        <v>0</v>
      </c>
      <c r="BT606" s="6"/>
    </row>
    <row r="607" spans="1:72" x14ac:dyDescent="0.25">
      <c r="A607" s="18" t="s">
        <v>6</v>
      </c>
      <c r="B607" s="18">
        <v>2024</v>
      </c>
      <c r="C607" s="18" t="s">
        <v>138</v>
      </c>
      <c r="D607" s="18" t="s">
        <v>657</v>
      </c>
      <c r="E607" s="3">
        <v>50</v>
      </c>
      <c r="F607" s="191">
        <v>50</v>
      </c>
      <c r="G607" s="18" t="s">
        <v>154</v>
      </c>
      <c r="H607" s="3">
        <v>40</v>
      </c>
      <c r="I607" s="3" t="s">
        <v>757</v>
      </c>
      <c r="J607" s="3"/>
      <c r="K607" s="18">
        <f>+L606</f>
        <v>11.35</v>
      </c>
      <c r="L607" s="18">
        <v>11.8</v>
      </c>
      <c r="M607" s="107">
        <f t="shared" si="223"/>
        <v>0.45000000000000107</v>
      </c>
      <c r="N607" s="113">
        <f t="shared" si="233"/>
        <v>0.71111111111110947</v>
      </c>
      <c r="O607" s="5">
        <f t="shared" si="200"/>
        <v>0.28888888888889053</v>
      </c>
      <c r="P607" s="3">
        <v>0.32</v>
      </c>
      <c r="Q607" s="6"/>
      <c r="R607" s="6"/>
      <c r="S607" s="6"/>
      <c r="T607" s="18">
        <v>0.32</v>
      </c>
      <c r="U607" s="18">
        <v>0</v>
      </c>
      <c r="V607" s="187">
        <f t="shared" si="236"/>
        <v>0</v>
      </c>
      <c r="W607" s="18">
        <v>8</v>
      </c>
      <c r="X607" s="18"/>
      <c r="Y607" s="18">
        <v>20</v>
      </c>
      <c r="Z607" s="31">
        <f t="shared" si="225"/>
        <v>22.500000000000053</v>
      </c>
      <c r="AA607" s="6"/>
      <c r="AB607" s="6"/>
      <c r="AC607" s="6"/>
      <c r="AD607" s="6"/>
      <c r="AE607" s="3"/>
      <c r="AF607" s="3"/>
      <c r="AG607" s="3" t="s">
        <v>29</v>
      </c>
      <c r="AH607" s="3" t="s">
        <v>29</v>
      </c>
      <c r="AI607" s="18" t="str">
        <f>+VLOOKUP(AH607,Leyenda!$O$4:$U$10,6,FALSE)</f>
        <v>0,25-0,35</v>
      </c>
      <c r="AJ607" s="18" t="str">
        <f>+VLOOKUP(AG607,Leyenda!$O$4:$U$10,7,FALSE)</f>
        <v>No Blasting need</v>
      </c>
      <c r="AK607" s="18">
        <f>+VLOOKUP(AJ607,Leyenda!$U$4:$V$10,2,FALSE)</f>
        <v>2</v>
      </c>
      <c r="AL607" s="3"/>
      <c r="AM607" s="3" t="s">
        <v>29</v>
      </c>
      <c r="AN607" s="3" t="s">
        <v>66</v>
      </c>
      <c r="AO607" s="3" t="s">
        <v>79</v>
      </c>
      <c r="AP607" s="3" t="s">
        <v>100</v>
      </c>
      <c r="AQ607" s="3" t="s">
        <v>107</v>
      </c>
      <c r="AR607" s="3" t="s">
        <v>118</v>
      </c>
      <c r="AS607" s="3" t="s">
        <v>267</v>
      </c>
      <c r="AT607" s="18"/>
      <c r="AU607" s="6"/>
      <c r="AV607" s="36">
        <f>+VLOOKUP(AN607,Leyenda!$B$30:$E$34,3,FALSE)</f>
        <v>1</v>
      </c>
      <c r="AW607" s="36">
        <f>+VLOOKUP('2. Logging Brejo Seco'!AO607,Meteorizacion,3,FALSE)</f>
        <v>1</v>
      </c>
      <c r="AX607" s="36">
        <f>+VLOOKUP('2. Logging Brejo Seco'!AP607,Apertura,3,FALSE)</f>
        <v>0</v>
      </c>
      <c r="AY607" s="36">
        <f>+VLOOKUP('2. Logging Brejo Seco'!AQ607,Leyenda!$B$55:$D$59,3,FALSE)</f>
        <v>3</v>
      </c>
      <c r="AZ607" s="36">
        <f>+VLOOKUP('2. Logging Brejo Seco'!AR607,Relleno,3,FALSE)</f>
        <v>2</v>
      </c>
      <c r="BA607" s="36">
        <f t="shared" si="237"/>
        <v>7</v>
      </c>
      <c r="BB607" s="50">
        <f t="shared" si="238"/>
        <v>0</v>
      </c>
      <c r="BC607" s="49">
        <f>VLOOKUP(AH607,Leyenda!$B$4:$D$10,3,FALSE)</f>
        <v>2</v>
      </c>
      <c r="BD607" s="50">
        <f t="shared" si="203"/>
        <v>4</v>
      </c>
      <c r="BE607" s="50">
        <f t="shared" si="239"/>
        <v>7</v>
      </c>
      <c r="BF607" s="50">
        <f>VLOOKUP(AS607,Leyenda!$B$70:$D$75,3,FALSE)</f>
        <v>15</v>
      </c>
      <c r="BG607" s="110">
        <f t="shared" si="240"/>
        <v>10.5</v>
      </c>
      <c r="BH607" s="110">
        <f>VLOOKUP(AG607,Leyenda!$B$4:$E$10,4,FALSE)</f>
        <v>2</v>
      </c>
      <c r="BI607" s="67">
        <f t="shared" si="204"/>
        <v>5</v>
      </c>
      <c r="BJ607" s="110">
        <f t="shared" si="241"/>
        <v>0</v>
      </c>
      <c r="BK607" s="110">
        <f>+VLOOKUP('2. Logging Brejo Seco'!AP607,Leyenda!$B$47:$E$51,4,FALSE)</f>
        <v>0</v>
      </c>
      <c r="BL607" s="110">
        <f>+VLOOKUP('2. Logging Brejo Seco'!AQ607,Leyenda!$B$55:$E$59,4,FALSE)</f>
        <v>3</v>
      </c>
      <c r="BM607" s="110">
        <f>+VLOOKUP('2. Logging Brejo Seco'!AR607,Leyenda!$B$63:$E$67,3,FALSE)</f>
        <v>2</v>
      </c>
      <c r="BN607" s="110">
        <f>+VLOOKUP('2. Logging Brejo Seco'!AO607,Leyenda!$B$39:$E$43,4,FALSE)</f>
        <v>1</v>
      </c>
      <c r="BO607" s="110">
        <f>+VLOOKUP('2. Logging Brejo Seco'!AN607,Leyenda!$B$30:$E$34,4,FALSE)</f>
        <v>1</v>
      </c>
      <c r="BP607" s="110">
        <f>VLOOKUP(AS607,Leyenda!$B$71:$E$75,4,FALSE)</f>
        <v>10</v>
      </c>
      <c r="BQ607" s="110">
        <f t="shared" si="242"/>
        <v>24</v>
      </c>
      <c r="BR607" s="36">
        <f t="shared" si="243"/>
        <v>28</v>
      </c>
      <c r="BS607" s="240">
        <f t="shared" si="205"/>
        <v>0.28888888888889053</v>
      </c>
      <c r="BT607" s="6"/>
    </row>
    <row r="608" spans="1:72" x14ac:dyDescent="0.25">
      <c r="A608" s="18" t="s">
        <v>6</v>
      </c>
      <c r="B608" s="18">
        <v>2024</v>
      </c>
      <c r="C608" s="18" t="s">
        <v>138</v>
      </c>
      <c r="D608" s="18" t="s">
        <v>657</v>
      </c>
      <c r="E608" s="3">
        <v>50</v>
      </c>
      <c r="F608" s="191">
        <v>50</v>
      </c>
      <c r="G608" s="18" t="s">
        <v>154</v>
      </c>
      <c r="H608" s="3">
        <v>40</v>
      </c>
      <c r="I608" s="3" t="s">
        <v>757</v>
      </c>
      <c r="J608" s="3"/>
      <c r="K608" s="18">
        <f>+L607</f>
        <v>11.8</v>
      </c>
      <c r="L608" s="18">
        <v>12.3</v>
      </c>
      <c r="M608" s="107">
        <f t="shared" si="223"/>
        <v>0.5</v>
      </c>
      <c r="N608" s="113">
        <f t="shared" si="233"/>
        <v>0.64</v>
      </c>
      <c r="O608" s="5">
        <f t="shared" si="200"/>
        <v>0.36</v>
      </c>
      <c r="P608" s="3">
        <v>0.32</v>
      </c>
      <c r="Q608" s="6"/>
      <c r="R608" s="6"/>
      <c r="S608" s="6"/>
      <c r="T608" s="18">
        <v>0.32</v>
      </c>
      <c r="U608" s="18">
        <v>0.15</v>
      </c>
      <c r="V608" s="187">
        <f t="shared" si="236"/>
        <v>30</v>
      </c>
      <c r="W608" s="18">
        <v>5</v>
      </c>
      <c r="X608" s="18"/>
      <c r="Y608" s="18">
        <v>5</v>
      </c>
      <c r="Z608" s="31">
        <f t="shared" si="225"/>
        <v>100</v>
      </c>
      <c r="AA608" s="6"/>
      <c r="AB608" s="6"/>
      <c r="AC608" s="6"/>
      <c r="AD608" s="6"/>
      <c r="AE608" s="3"/>
      <c r="AF608" s="3"/>
      <c r="AG608" s="3" t="s">
        <v>24</v>
      </c>
      <c r="AH608" s="3" t="s">
        <v>24</v>
      </c>
      <c r="AI608" s="18" t="str">
        <f>+VLOOKUP(AH608,Leyenda!$O$4:$U$10,6,FALSE)</f>
        <v>0,50-0,80</v>
      </c>
      <c r="AJ608" s="18" t="str">
        <f>+VLOOKUP(AG608,Leyenda!$O$4:$U$10,7,FALSE)</f>
        <v>Fairly easy to blast</v>
      </c>
      <c r="AK608" s="18">
        <f>+VLOOKUP(AJ608,Leyenda!$U$4:$V$10,2,FALSE)</f>
        <v>4</v>
      </c>
      <c r="AL608" s="3"/>
      <c r="AM608" s="3" t="s">
        <v>24</v>
      </c>
      <c r="AN608" s="3" t="s">
        <v>64</v>
      </c>
      <c r="AO608" s="3" t="s">
        <v>77</v>
      </c>
      <c r="AP608" s="3" t="s">
        <v>92</v>
      </c>
      <c r="AQ608" s="3" t="s">
        <v>107</v>
      </c>
      <c r="AR608" s="3" t="s">
        <v>120</v>
      </c>
      <c r="AS608" s="3" t="s">
        <v>267</v>
      </c>
      <c r="AT608" s="18"/>
      <c r="AU608" s="6"/>
      <c r="AV608" s="36">
        <f>+VLOOKUP(AN608,Leyenda!$B$30:$E$34,3,FALSE)</f>
        <v>2</v>
      </c>
      <c r="AW608" s="36">
        <f>+VLOOKUP('2. Logging Brejo Seco'!AO608,Meteorizacion,3,FALSE)</f>
        <v>3</v>
      </c>
      <c r="AX608" s="36">
        <f>+VLOOKUP('2. Logging Brejo Seco'!AP608,Apertura,3,FALSE)</f>
        <v>3</v>
      </c>
      <c r="AY608" s="36">
        <f>+VLOOKUP('2. Logging Brejo Seco'!AQ608,Leyenda!$B$55:$D$59,3,FALSE)</f>
        <v>3</v>
      </c>
      <c r="AZ608" s="36">
        <f>+VLOOKUP('2. Logging Brejo Seco'!AR608,Relleno,3,FALSE)</f>
        <v>2</v>
      </c>
      <c r="BA608" s="36">
        <f t="shared" si="237"/>
        <v>13</v>
      </c>
      <c r="BB608" s="50">
        <f t="shared" si="238"/>
        <v>6</v>
      </c>
      <c r="BC608" s="49">
        <f>VLOOKUP(AH608,Leyenda!$B$4:$D$10,3,FALSE)</f>
        <v>7</v>
      </c>
      <c r="BD608" s="50">
        <f t="shared" si="203"/>
        <v>7</v>
      </c>
      <c r="BE608" s="50">
        <f t="shared" si="239"/>
        <v>13</v>
      </c>
      <c r="BF608" s="50">
        <f>VLOOKUP(AS608,Leyenda!$B$70:$D$75,3,FALSE)</f>
        <v>15</v>
      </c>
      <c r="BG608" s="110">
        <f t="shared" si="240"/>
        <v>34.5</v>
      </c>
      <c r="BH608" s="110">
        <f>VLOOKUP(AG608,Leyenda!$B$4:$E$10,4,FALSE)</f>
        <v>7</v>
      </c>
      <c r="BI608" s="67">
        <f t="shared" si="204"/>
        <v>8</v>
      </c>
      <c r="BJ608" s="110">
        <f t="shared" si="241"/>
        <v>6</v>
      </c>
      <c r="BK608" s="110">
        <f>+VLOOKUP('2. Logging Brejo Seco'!AP608,Leyenda!$B$47:$E$51,4,FALSE)</f>
        <v>3</v>
      </c>
      <c r="BL608" s="110">
        <f>+VLOOKUP('2. Logging Brejo Seco'!AQ608,Leyenda!$B$55:$E$59,4,FALSE)</f>
        <v>3</v>
      </c>
      <c r="BM608" s="110">
        <f>+VLOOKUP('2. Logging Brejo Seco'!AR608,Leyenda!$B$63:$E$67,3,FALSE)</f>
        <v>2</v>
      </c>
      <c r="BN608" s="110">
        <f>+VLOOKUP('2. Logging Brejo Seco'!AO608,Leyenda!$B$39:$E$43,4,FALSE)</f>
        <v>3</v>
      </c>
      <c r="BO608" s="110">
        <f>+VLOOKUP('2. Logging Brejo Seco'!AN608,Leyenda!$B$30:$E$34,4,FALSE)</f>
        <v>3</v>
      </c>
      <c r="BP608" s="110">
        <f>VLOOKUP(AS608,Leyenda!$B$71:$E$75,4,FALSE)</f>
        <v>10</v>
      </c>
      <c r="BQ608" s="110">
        <f t="shared" si="242"/>
        <v>45</v>
      </c>
      <c r="BR608" s="36">
        <f t="shared" si="243"/>
        <v>48</v>
      </c>
      <c r="BS608" s="240">
        <f t="shared" si="205"/>
        <v>0.36</v>
      </c>
      <c r="BT608" s="6"/>
    </row>
    <row r="609" spans="1:72" x14ac:dyDescent="0.25">
      <c r="A609" s="18" t="s">
        <v>6</v>
      </c>
      <c r="B609" s="18">
        <v>2024</v>
      </c>
      <c r="C609" s="18" t="s">
        <v>138</v>
      </c>
      <c r="D609" s="18" t="s">
        <v>657</v>
      </c>
      <c r="E609" s="3">
        <v>50</v>
      </c>
      <c r="F609" s="191">
        <v>50</v>
      </c>
      <c r="G609" s="18" t="s">
        <v>154</v>
      </c>
      <c r="H609" s="3">
        <v>40</v>
      </c>
      <c r="I609" s="3" t="s">
        <v>757</v>
      </c>
      <c r="J609" s="3"/>
      <c r="K609" s="18">
        <f t="shared" ref="K609:K661" si="244">+L608</f>
        <v>12.3</v>
      </c>
      <c r="L609" s="18">
        <v>12.9</v>
      </c>
      <c r="M609" s="107">
        <f t="shared" si="223"/>
        <v>0.59999999999999964</v>
      </c>
      <c r="N609" s="113">
        <f t="shared" si="233"/>
        <v>0.36666666666666686</v>
      </c>
      <c r="O609" s="5">
        <f t="shared" si="200"/>
        <v>0.63333333333333308</v>
      </c>
      <c r="P609" s="3">
        <v>0.22</v>
      </c>
      <c r="Q609" s="6"/>
      <c r="R609" s="6"/>
      <c r="S609" s="6"/>
      <c r="T609" s="18">
        <v>0.24</v>
      </c>
      <c r="U609" s="18">
        <v>0</v>
      </c>
      <c r="V609" s="187">
        <f t="shared" si="236"/>
        <v>0</v>
      </c>
      <c r="W609" s="18">
        <v>5</v>
      </c>
      <c r="X609" s="18"/>
      <c r="Y609" s="18">
        <v>20</v>
      </c>
      <c r="Z609" s="31">
        <f t="shared" si="225"/>
        <v>29.999999999999982</v>
      </c>
      <c r="AA609" s="6"/>
      <c r="AB609" s="6"/>
      <c r="AC609" s="6"/>
      <c r="AD609" s="6"/>
      <c r="AE609" s="3"/>
      <c r="AF609" s="3"/>
      <c r="AG609" s="3" t="s">
        <v>27</v>
      </c>
      <c r="AH609" s="3" t="s">
        <v>27</v>
      </c>
      <c r="AI609" s="18" t="str">
        <f>+VLOOKUP(AH609,Leyenda!$O$4:$U$10,6,FALSE)</f>
        <v>0,35-0,50</v>
      </c>
      <c r="AJ609" s="18" t="str">
        <f>+VLOOKUP(AG609,Leyenda!$O$4:$U$10,7,FALSE)</f>
        <v>Easy to blast</v>
      </c>
      <c r="AK609" s="18">
        <f>+VLOOKUP(AJ609,Leyenda!$U$4:$V$10,2,FALSE)</f>
        <v>3</v>
      </c>
      <c r="AL609" s="3"/>
      <c r="AM609" s="3" t="s">
        <v>27</v>
      </c>
      <c r="AN609" s="3" t="s">
        <v>64</v>
      </c>
      <c r="AO609" s="3" t="s">
        <v>77</v>
      </c>
      <c r="AP609" s="3" t="s">
        <v>96</v>
      </c>
      <c r="AQ609" s="3" t="s">
        <v>109</v>
      </c>
      <c r="AR609" s="3" t="s">
        <v>120</v>
      </c>
      <c r="AS609" s="3" t="s">
        <v>267</v>
      </c>
      <c r="AT609" s="18"/>
      <c r="AU609" s="6"/>
      <c r="AV609" s="36">
        <f>+VLOOKUP(AN609,Leyenda!$B$30:$E$34,3,FALSE)</f>
        <v>2</v>
      </c>
      <c r="AW609" s="36">
        <f>+VLOOKUP('2. Logging Brejo Seco'!AO609,Meteorizacion,3,FALSE)</f>
        <v>3</v>
      </c>
      <c r="AX609" s="36">
        <f>+VLOOKUP('2. Logging Brejo Seco'!AP609,Apertura,3,FALSE)</f>
        <v>1</v>
      </c>
      <c r="AY609" s="36">
        <f>+VLOOKUP('2. Logging Brejo Seco'!AQ609,Leyenda!$B$55:$D$59,3,FALSE)</f>
        <v>1</v>
      </c>
      <c r="AZ609" s="36">
        <f>+VLOOKUP('2. Logging Brejo Seco'!AR609,Relleno,3,FALSE)</f>
        <v>2</v>
      </c>
      <c r="BA609" s="36">
        <f t="shared" si="237"/>
        <v>9</v>
      </c>
      <c r="BB609" s="50">
        <f t="shared" si="238"/>
        <v>0</v>
      </c>
      <c r="BC609" s="49">
        <f>VLOOKUP(AH609,Leyenda!$B$4:$D$10,3,FALSE)</f>
        <v>4</v>
      </c>
      <c r="BD609" s="50">
        <f t="shared" si="203"/>
        <v>5</v>
      </c>
      <c r="BE609" s="50">
        <f t="shared" si="239"/>
        <v>9</v>
      </c>
      <c r="BF609" s="50">
        <f>VLOOKUP(AS609,Leyenda!$B$70:$D$75,3,FALSE)</f>
        <v>15</v>
      </c>
      <c r="BG609" s="110">
        <f t="shared" si="240"/>
        <v>13.5</v>
      </c>
      <c r="BH609" s="110">
        <f>VLOOKUP(AG609,Leyenda!$B$4:$E$10,4,FALSE)</f>
        <v>4</v>
      </c>
      <c r="BI609" s="67">
        <f t="shared" si="204"/>
        <v>5</v>
      </c>
      <c r="BJ609" s="110">
        <f t="shared" si="241"/>
        <v>0</v>
      </c>
      <c r="BK609" s="110">
        <f>+VLOOKUP('2. Logging Brejo Seco'!AP609,Leyenda!$B$47:$E$51,4,FALSE)</f>
        <v>1</v>
      </c>
      <c r="BL609" s="110">
        <f>+VLOOKUP('2. Logging Brejo Seco'!AQ609,Leyenda!$B$55:$E$59,4,FALSE)</f>
        <v>1</v>
      </c>
      <c r="BM609" s="110">
        <f>+VLOOKUP('2. Logging Brejo Seco'!AR609,Leyenda!$B$63:$E$67,3,FALSE)</f>
        <v>2</v>
      </c>
      <c r="BN609" s="110">
        <f>+VLOOKUP('2. Logging Brejo Seco'!AO609,Leyenda!$B$39:$E$43,4,FALSE)</f>
        <v>3</v>
      </c>
      <c r="BO609" s="110">
        <f>+VLOOKUP('2. Logging Brejo Seco'!AN609,Leyenda!$B$30:$E$34,4,FALSE)</f>
        <v>3</v>
      </c>
      <c r="BP609" s="110">
        <f>VLOOKUP(AS609,Leyenda!$B$71:$E$75,4,FALSE)</f>
        <v>10</v>
      </c>
      <c r="BQ609" s="110">
        <f t="shared" si="242"/>
        <v>29</v>
      </c>
      <c r="BR609" s="36">
        <f t="shared" si="243"/>
        <v>33</v>
      </c>
      <c r="BS609" s="240">
        <f t="shared" si="205"/>
        <v>0.63333333333333308</v>
      </c>
      <c r="BT609" s="6"/>
    </row>
    <row r="610" spans="1:72" x14ac:dyDescent="0.25">
      <c r="A610" s="18" t="s">
        <v>6</v>
      </c>
      <c r="B610" s="18">
        <v>2024</v>
      </c>
      <c r="C610" s="18" t="s">
        <v>138</v>
      </c>
      <c r="D610" s="18" t="s">
        <v>657</v>
      </c>
      <c r="E610" s="3">
        <v>50</v>
      </c>
      <c r="F610" s="191">
        <v>50</v>
      </c>
      <c r="G610" s="18" t="s">
        <v>154</v>
      </c>
      <c r="H610" s="3">
        <v>40</v>
      </c>
      <c r="I610" s="3" t="s">
        <v>757</v>
      </c>
      <c r="J610" s="3"/>
      <c r="K610" s="18">
        <f t="shared" si="244"/>
        <v>12.9</v>
      </c>
      <c r="L610" s="18">
        <v>13.2</v>
      </c>
      <c r="M610" s="107">
        <f t="shared" si="223"/>
        <v>0.29999999999999893</v>
      </c>
      <c r="N610" s="113">
        <f t="shared" si="233"/>
        <v>0.46666666666666839</v>
      </c>
      <c r="O610" s="5">
        <f t="shared" si="200"/>
        <v>0.53333333333333166</v>
      </c>
      <c r="P610" s="3">
        <v>0.14000000000000001</v>
      </c>
      <c r="Q610" s="6"/>
      <c r="R610" s="6"/>
      <c r="S610" s="6"/>
      <c r="T610" s="18">
        <v>0.18</v>
      </c>
      <c r="U610" s="18">
        <v>0</v>
      </c>
      <c r="V610" s="187">
        <f t="shared" si="236"/>
        <v>0</v>
      </c>
      <c r="W610" s="18">
        <v>5</v>
      </c>
      <c r="X610" s="18"/>
      <c r="Y610" s="18">
        <v>20</v>
      </c>
      <c r="Z610" s="31">
        <f t="shared" si="225"/>
        <v>14.999999999999947</v>
      </c>
      <c r="AA610" s="6"/>
      <c r="AB610" s="6"/>
      <c r="AC610" s="6"/>
      <c r="AD610" s="6"/>
      <c r="AE610" s="3"/>
      <c r="AF610" s="18"/>
      <c r="AG610" s="18" t="s">
        <v>29</v>
      </c>
      <c r="AH610" s="18" t="s">
        <v>29</v>
      </c>
      <c r="AI610" s="18" t="str">
        <f>+VLOOKUP(AH610,Leyenda!$O$4:$U$10,6,FALSE)</f>
        <v>0,25-0,35</v>
      </c>
      <c r="AJ610" s="18" t="str">
        <f>+VLOOKUP(AG610,Leyenda!$O$4:$U$10,7,FALSE)</f>
        <v>No Blasting need</v>
      </c>
      <c r="AK610" s="18">
        <f>+VLOOKUP(AJ610,Leyenda!$U$4:$V$10,2,FALSE)</f>
        <v>2</v>
      </c>
      <c r="AL610" s="18"/>
      <c r="AM610" s="18" t="s">
        <v>29</v>
      </c>
      <c r="AN610" s="18" t="s">
        <v>66</v>
      </c>
      <c r="AO610" s="18" t="s">
        <v>79</v>
      </c>
      <c r="AP610" s="18" t="s">
        <v>96</v>
      </c>
      <c r="AQ610" s="18" t="s">
        <v>109</v>
      </c>
      <c r="AR610" s="3" t="s">
        <v>120</v>
      </c>
      <c r="AS610" s="3" t="s">
        <v>267</v>
      </c>
      <c r="AT610" s="18"/>
      <c r="AU610" s="6"/>
      <c r="AV610" s="36">
        <f>+VLOOKUP(AN610,Leyenda!$B$30:$E$34,3,FALSE)</f>
        <v>1</v>
      </c>
      <c r="AW610" s="36">
        <f>+VLOOKUP('2. Logging Brejo Seco'!AO610,Meteorizacion,3,FALSE)</f>
        <v>1</v>
      </c>
      <c r="AX610" s="36">
        <f>+VLOOKUP('2. Logging Brejo Seco'!AP610,Apertura,3,FALSE)</f>
        <v>1</v>
      </c>
      <c r="AY610" s="36">
        <f>+VLOOKUP('2. Logging Brejo Seco'!AQ610,Leyenda!$B$55:$D$59,3,FALSE)</f>
        <v>1</v>
      </c>
      <c r="AZ610" s="36">
        <f>+VLOOKUP('2. Logging Brejo Seco'!AR610,Relleno,3,FALSE)</f>
        <v>2</v>
      </c>
      <c r="BA610" s="36">
        <f t="shared" si="237"/>
        <v>6</v>
      </c>
      <c r="BB610" s="50">
        <f t="shared" si="238"/>
        <v>0</v>
      </c>
      <c r="BC610" s="49">
        <f>VLOOKUP(AH610,Leyenda!$B$4:$D$10,3,FALSE)</f>
        <v>2</v>
      </c>
      <c r="BD610" s="50">
        <f t="shared" si="203"/>
        <v>4</v>
      </c>
      <c r="BE610" s="50">
        <f t="shared" si="239"/>
        <v>6</v>
      </c>
      <c r="BF610" s="50">
        <f>VLOOKUP(AS610,Leyenda!$B$70:$D$75,3,FALSE)</f>
        <v>15</v>
      </c>
      <c r="BG610" s="110">
        <f t="shared" si="240"/>
        <v>9</v>
      </c>
      <c r="BH610" s="110">
        <f>VLOOKUP(AG610,Leyenda!$B$4:$E$10,4,FALSE)</f>
        <v>2</v>
      </c>
      <c r="BI610" s="67">
        <f t="shared" si="204"/>
        <v>5</v>
      </c>
      <c r="BJ610" s="110">
        <f t="shared" si="241"/>
        <v>0</v>
      </c>
      <c r="BK610" s="110">
        <f>+VLOOKUP('2. Logging Brejo Seco'!AP610,Leyenda!$B$47:$E$51,4,FALSE)</f>
        <v>1</v>
      </c>
      <c r="BL610" s="110">
        <f>+VLOOKUP('2. Logging Brejo Seco'!AQ610,Leyenda!$B$55:$E$59,4,FALSE)</f>
        <v>1</v>
      </c>
      <c r="BM610" s="110">
        <f>+VLOOKUP('2. Logging Brejo Seco'!AR610,Leyenda!$B$63:$E$67,3,FALSE)</f>
        <v>2</v>
      </c>
      <c r="BN610" s="110">
        <f>+VLOOKUP('2. Logging Brejo Seco'!AO610,Leyenda!$B$39:$E$43,4,FALSE)</f>
        <v>1</v>
      </c>
      <c r="BO610" s="110">
        <f>+VLOOKUP('2. Logging Brejo Seco'!AN610,Leyenda!$B$30:$E$34,4,FALSE)</f>
        <v>1</v>
      </c>
      <c r="BP610" s="110">
        <f>VLOOKUP(AS610,Leyenda!$B$71:$E$75,4,FALSE)</f>
        <v>10</v>
      </c>
      <c r="BQ610" s="110">
        <f t="shared" si="242"/>
        <v>23</v>
      </c>
      <c r="BR610" s="36">
        <f t="shared" si="243"/>
        <v>27</v>
      </c>
      <c r="BS610" s="240">
        <f t="shared" si="205"/>
        <v>0.53333333333333166</v>
      </c>
      <c r="BT610" s="6"/>
    </row>
    <row r="611" spans="1:72" x14ac:dyDescent="0.25">
      <c r="A611" s="18" t="s">
        <v>6</v>
      </c>
      <c r="B611" s="18">
        <v>2024</v>
      </c>
      <c r="C611" s="18" t="s">
        <v>138</v>
      </c>
      <c r="D611" s="18" t="s">
        <v>657</v>
      </c>
      <c r="E611" s="3">
        <v>50</v>
      </c>
      <c r="F611" s="191">
        <v>50</v>
      </c>
      <c r="G611" s="18" t="s">
        <v>154</v>
      </c>
      <c r="H611" s="3">
        <v>40</v>
      </c>
      <c r="I611" s="3" t="s">
        <v>757</v>
      </c>
      <c r="J611" s="3"/>
      <c r="K611" s="18">
        <f t="shared" si="244"/>
        <v>13.2</v>
      </c>
      <c r="L611" s="18">
        <v>13.45</v>
      </c>
      <c r="M611" s="106">
        <f t="shared" si="223"/>
        <v>0.25</v>
      </c>
      <c r="N611" s="113">
        <f t="shared" si="233"/>
        <v>0.4</v>
      </c>
      <c r="O611" s="5">
        <f t="shared" si="200"/>
        <v>0.6</v>
      </c>
      <c r="P611" s="3">
        <v>0.1</v>
      </c>
      <c r="Q611" s="6"/>
      <c r="R611" s="6"/>
      <c r="S611" s="6"/>
      <c r="T611" s="18">
        <v>0.1</v>
      </c>
      <c r="U611" s="18">
        <v>0</v>
      </c>
      <c r="V611" s="187">
        <f t="shared" si="236"/>
        <v>0</v>
      </c>
      <c r="W611" s="18"/>
      <c r="X611" s="18"/>
      <c r="Y611" s="18">
        <v>20</v>
      </c>
      <c r="Z611" s="31">
        <f t="shared" si="225"/>
        <v>12.5</v>
      </c>
      <c r="AA611" s="6"/>
      <c r="AB611" s="6"/>
      <c r="AC611" s="6"/>
      <c r="AD611" s="6"/>
      <c r="AE611" s="3"/>
      <c r="AF611" s="18"/>
      <c r="AG611" s="18" t="s">
        <v>29</v>
      </c>
      <c r="AH611" s="18" t="s">
        <v>29</v>
      </c>
      <c r="AI611" s="18" t="str">
        <f>+VLOOKUP(AH611,Leyenda!$O$4:$U$10,6,FALSE)</f>
        <v>0,25-0,35</v>
      </c>
      <c r="AJ611" s="18" t="str">
        <f>+VLOOKUP(AG611,Leyenda!$O$4:$U$10,7,FALSE)</f>
        <v>No Blasting need</v>
      </c>
      <c r="AK611" s="18">
        <f>+VLOOKUP(AJ611,Leyenda!$U$4:$V$10,2,FALSE)</f>
        <v>2</v>
      </c>
      <c r="AL611" s="18"/>
      <c r="AM611" s="18" t="s">
        <v>29</v>
      </c>
      <c r="AN611" s="18" t="s">
        <v>66</v>
      </c>
      <c r="AO611" s="18" t="s">
        <v>79</v>
      </c>
      <c r="AP611" s="18" t="s">
        <v>96</v>
      </c>
      <c r="AQ611" s="18" t="s">
        <v>109</v>
      </c>
      <c r="AR611" s="3" t="s">
        <v>120</v>
      </c>
      <c r="AS611" s="3" t="s">
        <v>267</v>
      </c>
      <c r="AT611" s="18"/>
      <c r="AU611" s="6"/>
      <c r="AV611" s="36">
        <f>+VLOOKUP(AN611,Leyenda!$B$30:$E$34,3,FALSE)</f>
        <v>1</v>
      </c>
      <c r="AW611" s="36">
        <f>+VLOOKUP('2. Logging Brejo Seco'!AO611,Meteorizacion,3,FALSE)</f>
        <v>1</v>
      </c>
      <c r="AX611" s="36">
        <f>+VLOOKUP('2. Logging Brejo Seco'!AP611,Apertura,3,FALSE)</f>
        <v>1</v>
      </c>
      <c r="AY611" s="36">
        <f>+VLOOKUP('2. Logging Brejo Seco'!AQ611,Leyenda!$B$55:$D$59,3,FALSE)</f>
        <v>1</v>
      </c>
      <c r="AZ611" s="36">
        <f>+VLOOKUP('2. Logging Brejo Seco'!AR611,Relleno,3,FALSE)</f>
        <v>2</v>
      </c>
      <c r="BA611" s="36">
        <f t="shared" si="237"/>
        <v>6</v>
      </c>
      <c r="BB611" s="50">
        <f t="shared" si="238"/>
        <v>0</v>
      </c>
      <c r="BC611" s="49">
        <f>VLOOKUP(AH611,Leyenda!$B$4:$D$10,3,FALSE)</f>
        <v>2</v>
      </c>
      <c r="BD611" s="50">
        <f t="shared" si="203"/>
        <v>4</v>
      </c>
      <c r="BE611" s="50">
        <f t="shared" si="239"/>
        <v>6</v>
      </c>
      <c r="BF611" s="50">
        <f>VLOOKUP(AS611,Leyenda!$B$70:$D$75,3,FALSE)</f>
        <v>15</v>
      </c>
      <c r="BG611" s="110">
        <f t="shared" si="240"/>
        <v>9</v>
      </c>
      <c r="BH611" s="110">
        <f>VLOOKUP(AG611,Leyenda!$B$4:$E$10,4,FALSE)</f>
        <v>2</v>
      </c>
      <c r="BI611" s="67">
        <f t="shared" si="204"/>
        <v>5</v>
      </c>
      <c r="BJ611" s="110">
        <f t="shared" si="241"/>
        <v>0</v>
      </c>
      <c r="BK611" s="110">
        <f>+VLOOKUP('2. Logging Brejo Seco'!AP611,Leyenda!$B$47:$E$51,4,FALSE)</f>
        <v>1</v>
      </c>
      <c r="BL611" s="110">
        <f>+VLOOKUP('2. Logging Brejo Seco'!AQ611,Leyenda!$B$55:$E$59,4,FALSE)</f>
        <v>1</v>
      </c>
      <c r="BM611" s="110">
        <f>+VLOOKUP('2. Logging Brejo Seco'!AR611,Leyenda!$B$63:$E$67,3,FALSE)</f>
        <v>2</v>
      </c>
      <c r="BN611" s="110">
        <f>+VLOOKUP('2. Logging Brejo Seco'!AO611,Leyenda!$B$39:$E$43,4,FALSE)</f>
        <v>1</v>
      </c>
      <c r="BO611" s="110">
        <f>+VLOOKUP('2. Logging Brejo Seco'!AN611,Leyenda!$B$30:$E$34,4,FALSE)</f>
        <v>1</v>
      </c>
      <c r="BP611" s="110">
        <f>VLOOKUP(AS611,Leyenda!$B$71:$E$75,4,FALSE)</f>
        <v>10</v>
      </c>
      <c r="BQ611" s="110">
        <f t="shared" si="242"/>
        <v>23</v>
      </c>
      <c r="BR611" s="36">
        <f t="shared" si="243"/>
        <v>27</v>
      </c>
      <c r="BS611" s="240">
        <f t="shared" si="205"/>
        <v>0.6</v>
      </c>
      <c r="BT611" s="6"/>
    </row>
    <row r="612" spans="1:72" x14ac:dyDescent="0.25">
      <c r="A612" s="18" t="s">
        <v>6</v>
      </c>
      <c r="B612" s="18">
        <v>2024</v>
      </c>
      <c r="C612" s="18" t="s">
        <v>138</v>
      </c>
      <c r="D612" s="18" t="s">
        <v>657</v>
      </c>
      <c r="E612" s="3">
        <v>50</v>
      </c>
      <c r="F612" s="191">
        <v>50</v>
      </c>
      <c r="G612" s="18" t="s">
        <v>154</v>
      </c>
      <c r="H612" s="3">
        <v>40</v>
      </c>
      <c r="I612" s="3" t="s">
        <v>757</v>
      </c>
      <c r="J612" s="3"/>
      <c r="K612" s="18">
        <f t="shared" si="244"/>
        <v>13.45</v>
      </c>
      <c r="L612" s="18">
        <v>13.75</v>
      </c>
      <c r="M612" s="107">
        <f t="shared" si="223"/>
        <v>0.30000000000000071</v>
      </c>
      <c r="N612" s="113">
        <f t="shared" si="233"/>
        <v>0.49999999999999878</v>
      </c>
      <c r="O612" s="5">
        <f t="shared" si="200"/>
        <v>0.50000000000000122</v>
      </c>
      <c r="P612" s="3">
        <v>0.15</v>
      </c>
      <c r="Q612" s="6"/>
      <c r="R612" s="6"/>
      <c r="S612" s="6"/>
      <c r="T612" s="18">
        <v>0.16</v>
      </c>
      <c r="U612" s="18">
        <v>0</v>
      </c>
      <c r="V612" s="187">
        <f t="shared" si="236"/>
        <v>0</v>
      </c>
      <c r="W612" s="18"/>
      <c r="X612" s="18"/>
      <c r="Y612" s="18">
        <v>20</v>
      </c>
      <c r="Z612" s="31">
        <f t="shared" si="225"/>
        <v>15.000000000000034</v>
      </c>
      <c r="AA612" s="6"/>
      <c r="AB612" s="6"/>
      <c r="AC612" s="6"/>
      <c r="AD612" s="6"/>
      <c r="AE612" s="3"/>
      <c r="AF612" s="18"/>
      <c r="AG612" s="18" t="s">
        <v>29</v>
      </c>
      <c r="AH612" s="18" t="s">
        <v>29</v>
      </c>
      <c r="AI612" s="18" t="str">
        <f>+VLOOKUP(AH612,Leyenda!$O$4:$U$10,6,FALSE)</f>
        <v>0,25-0,35</v>
      </c>
      <c r="AJ612" s="18" t="str">
        <f>+VLOOKUP(AG612,Leyenda!$O$4:$U$10,7,FALSE)</f>
        <v>No Blasting need</v>
      </c>
      <c r="AK612" s="18">
        <f>+VLOOKUP(AJ612,Leyenda!$U$4:$V$10,2,FALSE)</f>
        <v>2</v>
      </c>
      <c r="AL612" s="18"/>
      <c r="AM612" s="18" t="s">
        <v>29</v>
      </c>
      <c r="AN612" s="18" t="s">
        <v>66</v>
      </c>
      <c r="AO612" s="18" t="s">
        <v>79</v>
      </c>
      <c r="AP612" s="18" t="s">
        <v>96</v>
      </c>
      <c r="AQ612" s="18" t="s">
        <v>109</v>
      </c>
      <c r="AR612" s="3" t="s">
        <v>120</v>
      </c>
      <c r="AS612" s="3" t="s">
        <v>267</v>
      </c>
      <c r="AT612" s="18"/>
      <c r="AU612" s="6"/>
      <c r="AV612" s="36">
        <f>+VLOOKUP(AN612,Leyenda!$B$30:$E$34,3,FALSE)</f>
        <v>1</v>
      </c>
      <c r="AW612" s="36">
        <f>+VLOOKUP('2. Logging Brejo Seco'!AO612,Meteorizacion,3,FALSE)</f>
        <v>1</v>
      </c>
      <c r="AX612" s="36">
        <f>+VLOOKUP('2. Logging Brejo Seco'!AP612,Apertura,3,FALSE)</f>
        <v>1</v>
      </c>
      <c r="AY612" s="36">
        <f>+VLOOKUP('2. Logging Brejo Seco'!AQ612,Leyenda!$B$55:$D$59,3,FALSE)</f>
        <v>1</v>
      </c>
      <c r="AZ612" s="36">
        <f>+VLOOKUP('2. Logging Brejo Seco'!AR612,Relleno,3,FALSE)</f>
        <v>2</v>
      </c>
      <c r="BA612" s="36">
        <f t="shared" si="237"/>
        <v>6</v>
      </c>
      <c r="BB612" s="50">
        <f t="shared" si="238"/>
        <v>0</v>
      </c>
      <c r="BC612" s="49">
        <f>VLOOKUP(AH612,Leyenda!$B$4:$D$10,3,FALSE)</f>
        <v>2</v>
      </c>
      <c r="BD612" s="50">
        <f t="shared" si="203"/>
        <v>4</v>
      </c>
      <c r="BE612" s="50">
        <f t="shared" si="239"/>
        <v>6</v>
      </c>
      <c r="BF612" s="50">
        <f>VLOOKUP(AS612,Leyenda!$B$70:$D$75,3,FALSE)</f>
        <v>15</v>
      </c>
      <c r="BG612" s="110">
        <f t="shared" si="240"/>
        <v>9</v>
      </c>
      <c r="BH612" s="110">
        <f>VLOOKUP(AG612,Leyenda!$B$4:$E$10,4,FALSE)</f>
        <v>2</v>
      </c>
      <c r="BI612" s="67">
        <f t="shared" si="204"/>
        <v>5</v>
      </c>
      <c r="BJ612" s="110">
        <f t="shared" si="241"/>
        <v>0</v>
      </c>
      <c r="BK612" s="110">
        <f>+VLOOKUP('2. Logging Brejo Seco'!AP612,Leyenda!$B$47:$E$51,4,FALSE)</f>
        <v>1</v>
      </c>
      <c r="BL612" s="110">
        <f>+VLOOKUP('2. Logging Brejo Seco'!AQ612,Leyenda!$B$55:$E$59,4,FALSE)</f>
        <v>1</v>
      </c>
      <c r="BM612" s="110">
        <f>+VLOOKUP('2. Logging Brejo Seco'!AR612,Leyenda!$B$63:$E$67,3,FALSE)</f>
        <v>2</v>
      </c>
      <c r="BN612" s="110">
        <f>+VLOOKUP('2. Logging Brejo Seco'!AO612,Leyenda!$B$39:$E$43,4,FALSE)</f>
        <v>1</v>
      </c>
      <c r="BO612" s="110">
        <f>+VLOOKUP('2. Logging Brejo Seco'!AN612,Leyenda!$B$30:$E$34,4,FALSE)</f>
        <v>1</v>
      </c>
      <c r="BP612" s="110">
        <f>VLOOKUP(AS612,Leyenda!$B$71:$E$75,4,FALSE)</f>
        <v>10</v>
      </c>
      <c r="BQ612" s="110">
        <f t="shared" si="242"/>
        <v>23</v>
      </c>
      <c r="BR612" s="36">
        <f t="shared" si="243"/>
        <v>27</v>
      </c>
      <c r="BS612" s="240">
        <f t="shared" si="205"/>
        <v>0.50000000000000122</v>
      </c>
      <c r="BT612" s="6"/>
    </row>
    <row r="613" spans="1:72" x14ac:dyDescent="0.25">
      <c r="A613" s="18" t="s">
        <v>6</v>
      </c>
      <c r="B613" s="18">
        <v>2024</v>
      </c>
      <c r="C613" s="18" t="s">
        <v>138</v>
      </c>
      <c r="D613" s="18" t="s">
        <v>657</v>
      </c>
      <c r="E613" s="3">
        <v>50</v>
      </c>
      <c r="F613" s="191">
        <v>50</v>
      </c>
      <c r="G613" s="18" t="s">
        <v>154</v>
      </c>
      <c r="H613" s="244">
        <v>50</v>
      </c>
      <c r="I613" s="244" t="s">
        <v>756</v>
      </c>
      <c r="J613" s="244"/>
      <c r="K613" s="18">
        <f t="shared" si="244"/>
        <v>13.75</v>
      </c>
      <c r="L613" s="18">
        <v>14.75</v>
      </c>
      <c r="M613" s="107">
        <f t="shared" si="223"/>
        <v>1</v>
      </c>
      <c r="N613" s="113">
        <f t="shared" si="233"/>
        <v>0.67</v>
      </c>
      <c r="O613" s="5">
        <f t="shared" si="200"/>
        <v>0.32999999999999996</v>
      </c>
      <c r="P613" s="3">
        <f>0.53+0.14</f>
        <v>0.67</v>
      </c>
      <c r="Q613" s="6"/>
      <c r="R613" s="6"/>
      <c r="S613" s="6"/>
      <c r="T613" s="18">
        <v>0.51</v>
      </c>
      <c r="U613" s="18">
        <v>0</v>
      </c>
      <c r="V613" s="187">
        <f t="shared" si="236"/>
        <v>0</v>
      </c>
      <c r="W613" s="18"/>
      <c r="X613" s="18"/>
      <c r="Y613" s="18">
        <v>20</v>
      </c>
      <c r="Z613" s="31">
        <f t="shared" si="225"/>
        <v>50</v>
      </c>
      <c r="AA613" s="6"/>
      <c r="AB613" s="6"/>
      <c r="AC613" s="6"/>
      <c r="AD613" s="6"/>
      <c r="AE613" s="3"/>
      <c r="AF613" s="18"/>
      <c r="AG613" s="18" t="s">
        <v>32</v>
      </c>
      <c r="AH613" s="18" t="s">
        <v>32</v>
      </c>
      <c r="AI613" s="18" t="str">
        <f>+VLOOKUP(AH613,Leyenda!$O$4:$U$10,6,FALSE)</f>
        <v>0,15-0,25</v>
      </c>
      <c r="AJ613" s="18" t="str">
        <f>+VLOOKUP(AG613,Leyenda!$O$4:$U$10,7,FALSE)</f>
        <v>No Blasting need</v>
      </c>
      <c r="AK613" s="18">
        <f>+VLOOKUP(AJ613,Leyenda!$U$4:$V$10,2,FALSE)</f>
        <v>2</v>
      </c>
      <c r="AL613" s="18"/>
      <c r="AM613" s="18" t="s">
        <v>32</v>
      </c>
      <c r="AN613" s="18" t="s">
        <v>66</v>
      </c>
      <c r="AO613" s="18" t="s">
        <v>81</v>
      </c>
      <c r="AP613" s="18" t="s">
        <v>100</v>
      </c>
      <c r="AQ613" s="18" t="s">
        <v>109</v>
      </c>
      <c r="AR613" s="3" t="s">
        <v>122</v>
      </c>
      <c r="AS613" s="3" t="s">
        <v>267</v>
      </c>
      <c r="AT613" s="18"/>
      <c r="AU613" s="6"/>
      <c r="AV613" s="36">
        <f>+VLOOKUP(AN613,Leyenda!$B$30:$E$34,3,FALSE)</f>
        <v>1</v>
      </c>
      <c r="AW613" s="36">
        <f>+VLOOKUP('2. Logging Brejo Seco'!AO613,Meteorizacion,3,FALSE)</f>
        <v>0</v>
      </c>
      <c r="AX613" s="36">
        <f>+VLOOKUP('2. Logging Brejo Seco'!AP613,Apertura,3,FALSE)</f>
        <v>0</v>
      </c>
      <c r="AY613" s="36">
        <f>+VLOOKUP('2. Logging Brejo Seco'!AQ613,Leyenda!$B$55:$D$59,3,FALSE)</f>
        <v>1</v>
      </c>
      <c r="AZ613" s="36">
        <f>+VLOOKUP('2. Logging Brejo Seco'!AR613,Relleno,3,FALSE)</f>
        <v>0</v>
      </c>
      <c r="BA613" s="36">
        <f t="shared" si="237"/>
        <v>2</v>
      </c>
      <c r="BB613" s="50">
        <f t="shared" si="238"/>
        <v>0</v>
      </c>
      <c r="BC613" s="49">
        <f>VLOOKUP(AH613,Leyenda!$B$4:$D$10,3,FALSE)</f>
        <v>1</v>
      </c>
      <c r="BD613" s="50">
        <f t="shared" si="203"/>
        <v>6</v>
      </c>
      <c r="BE613" s="50">
        <f t="shared" si="239"/>
        <v>2</v>
      </c>
      <c r="BF613" s="50">
        <f>VLOOKUP(AS613,Leyenda!$B$70:$D$75,3,FALSE)</f>
        <v>15</v>
      </c>
      <c r="BG613" s="110">
        <f t="shared" si="240"/>
        <v>3</v>
      </c>
      <c r="BH613" s="110">
        <f>VLOOKUP(AG613,Leyenda!$B$4:$E$10,4,FALSE)</f>
        <v>1</v>
      </c>
      <c r="BI613" s="67">
        <f t="shared" si="204"/>
        <v>5</v>
      </c>
      <c r="BJ613" s="110">
        <f t="shared" si="241"/>
        <v>0</v>
      </c>
      <c r="BK613" s="110">
        <f>+VLOOKUP('2. Logging Brejo Seco'!AP613,Leyenda!$B$47:$E$51,4,FALSE)</f>
        <v>0</v>
      </c>
      <c r="BL613" s="110">
        <f>+VLOOKUP('2. Logging Brejo Seco'!AQ613,Leyenda!$B$55:$E$59,4,FALSE)</f>
        <v>1</v>
      </c>
      <c r="BM613" s="110">
        <f>+VLOOKUP('2. Logging Brejo Seco'!AR613,Leyenda!$B$63:$E$67,3,FALSE)</f>
        <v>0</v>
      </c>
      <c r="BN613" s="110">
        <f>+VLOOKUP('2. Logging Brejo Seco'!AO613,Leyenda!$B$39:$E$43,4,FALSE)</f>
        <v>0</v>
      </c>
      <c r="BO613" s="110">
        <f>+VLOOKUP('2. Logging Brejo Seco'!AN613,Leyenda!$B$30:$E$34,4,FALSE)</f>
        <v>1</v>
      </c>
      <c r="BP613" s="110">
        <f>VLOOKUP(AS613,Leyenda!$B$71:$E$75,4,FALSE)</f>
        <v>10</v>
      </c>
      <c r="BQ613" s="110">
        <f t="shared" si="242"/>
        <v>18</v>
      </c>
      <c r="BR613" s="36">
        <f t="shared" si="243"/>
        <v>24</v>
      </c>
      <c r="BS613" s="240">
        <f t="shared" si="205"/>
        <v>0.32999999999999996</v>
      </c>
      <c r="BT613" s="6"/>
    </row>
    <row r="614" spans="1:72" x14ac:dyDescent="0.25">
      <c r="A614" s="18" t="s">
        <v>6</v>
      </c>
      <c r="B614" s="18">
        <v>2024</v>
      </c>
      <c r="C614" s="18" t="s">
        <v>138</v>
      </c>
      <c r="D614" s="18" t="s">
        <v>657</v>
      </c>
      <c r="E614" s="3">
        <v>50</v>
      </c>
      <c r="F614" s="191">
        <v>50</v>
      </c>
      <c r="G614" s="18" t="s">
        <v>154</v>
      </c>
      <c r="H614" s="3">
        <v>70</v>
      </c>
      <c r="I614" s="3" t="s">
        <v>758</v>
      </c>
      <c r="J614" s="3"/>
      <c r="K614" s="18">
        <f t="shared" si="244"/>
        <v>14.75</v>
      </c>
      <c r="L614" s="18">
        <v>15.4</v>
      </c>
      <c r="M614" s="107">
        <f t="shared" si="223"/>
        <v>0.65000000000000036</v>
      </c>
      <c r="N614" s="113">
        <f t="shared" si="233"/>
        <v>0.90769230769230713</v>
      </c>
      <c r="O614" s="5">
        <f t="shared" si="200"/>
        <v>9.2307692307692868E-2</v>
      </c>
      <c r="P614" s="3">
        <v>0.59</v>
      </c>
      <c r="Q614" s="6"/>
      <c r="R614" s="6"/>
      <c r="S614" s="6"/>
      <c r="T614" s="18">
        <v>0.59</v>
      </c>
      <c r="U614" s="18">
        <v>0</v>
      </c>
      <c r="V614" s="187">
        <f t="shared" si="236"/>
        <v>0</v>
      </c>
      <c r="W614" s="18"/>
      <c r="X614" s="18"/>
      <c r="Y614" s="18">
        <v>20</v>
      </c>
      <c r="Z614" s="31">
        <f t="shared" si="225"/>
        <v>32.500000000000014</v>
      </c>
      <c r="AA614" s="6"/>
      <c r="AB614" s="6"/>
      <c r="AC614" s="6"/>
      <c r="AD614" s="6"/>
      <c r="AE614" s="3"/>
      <c r="AF614" s="18"/>
      <c r="AG614" s="18" t="s">
        <v>32</v>
      </c>
      <c r="AH614" s="18" t="s">
        <v>32</v>
      </c>
      <c r="AI614" s="18" t="str">
        <f>+VLOOKUP(AH614,Leyenda!$O$4:$U$10,6,FALSE)</f>
        <v>0,15-0,25</v>
      </c>
      <c r="AJ614" s="18" t="str">
        <f>+VLOOKUP(AG614,Leyenda!$O$4:$U$10,7,FALSE)</f>
        <v>No Blasting need</v>
      </c>
      <c r="AK614" s="18">
        <f>+VLOOKUP(AJ614,Leyenda!$U$4:$V$10,2,FALSE)</f>
        <v>2</v>
      </c>
      <c r="AL614" s="18"/>
      <c r="AM614" s="18" t="s">
        <v>32</v>
      </c>
      <c r="AN614" s="18" t="s">
        <v>66</v>
      </c>
      <c r="AO614" s="18" t="s">
        <v>81</v>
      </c>
      <c r="AP614" s="18" t="s">
        <v>100</v>
      </c>
      <c r="AQ614" s="18" t="s">
        <v>109</v>
      </c>
      <c r="AR614" s="3" t="s">
        <v>122</v>
      </c>
      <c r="AS614" s="3" t="s">
        <v>267</v>
      </c>
      <c r="AT614" s="18"/>
      <c r="AU614" s="6"/>
      <c r="AV614" s="36">
        <f>+VLOOKUP(AN614,Leyenda!$B$30:$E$34,3,FALSE)</f>
        <v>1</v>
      </c>
      <c r="AW614" s="36">
        <f>+VLOOKUP('2. Logging Brejo Seco'!AO614,Meteorizacion,3,FALSE)</f>
        <v>0</v>
      </c>
      <c r="AX614" s="36">
        <f>+VLOOKUP('2. Logging Brejo Seco'!AP614,Apertura,3,FALSE)</f>
        <v>0</v>
      </c>
      <c r="AY614" s="36">
        <f>+VLOOKUP('2. Logging Brejo Seco'!AQ614,Leyenda!$B$55:$D$59,3,FALSE)</f>
        <v>1</v>
      </c>
      <c r="AZ614" s="36">
        <f>+VLOOKUP('2. Logging Brejo Seco'!AR614,Relleno,3,FALSE)</f>
        <v>0</v>
      </c>
      <c r="BA614" s="36">
        <f t="shared" si="237"/>
        <v>2</v>
      </c>
      <c r="BB614" s="50">
        <f t="shared" si="238"/>
        <v>0</v>
      </c>
      <c r="BC614" s="49">
        <f>VLOOKUP(AH614,Leyenda!$B$4:$D$10,3,FALSE)</f>
        <v>1</v>
      </c>
      <c r="BD614" s="50">
        <f t="shared" si="203"/>
        <v>5</v>
      </c>
      <c r="BE614" s="50">
        <f t="shared" si="239"/>
        <v>2</v>
      </c>
      <c r="BF614" s="50">
        <f>VLOOKUP(AS614,Leyenda!$B$70:$D$75,3,FALSE)</f>
        <v>15</v>
      </c>
      <c r="BG614" s="110">
        <f t="shared" si="240"/>
        <v>3</v>
      </c>
      <c r="BH614" s="110">
        <f>VLOOKUP(AG614,Leyenda!$B$4:$E$10,4,FALSE)</f>
        <v>1</v>
      </c>
      <c r="BI614" s="67">
        <f t="shared" si="204"/>
        <v>5</v>
      </c>
      <c r="BJ614" s="110">
        <f t="shared" si="241"/>
        <v>0</v>
      </c>
      <c r="BK614" s="110">
        <f>+VLOOKUP('2. Logging Brejo Seco'!AP614,Leyenda!$B$47:$E$51,4,FALSE)</f>
        <v>0</v>
      </c>
      <c r="BL614" s="110">
        <f>+VLOOKUP('2. Logging Brejo Seco'!AQ614,Leyenda!$B$55:$E$59,4,FALSE)</f>
        <v>1</v>
      </c>
      <c r="BM614" s="110">
        <f>+VLOOKUP('2. Logging Brejo Seco'!AR614,Leyenda!$B$63:$E$67,3,FALSE)</f>
        <v>0</v>
      </c>
      <c r="BN614" s="110">
        <f>+VLOOKUP('2. Logging Brejo Seco'!AO614,Leyenda!$B$39:$E$43,4,FALSE)</f>
        <v>0</v>
      </c>
      <c r="BO614" s="110">
        <f>+VLOOKUP('2. Logging Brejo Seco'!AN614,Leyenda!$B$30:$E$34,4,FALSE)</f>
        <v>1</v>
      </c>
      <c r="BP614" s="110">
        <f>VLOOKUP(AS614,Leyenda!$B$71:$E$75,4,FALSE)</f>
        <v>10</v>
      </c>
      <c r="BQ614" s="110">
        <f t="shared" si="242"/>
        <v>18</v>
      </c>
      <c r="BR614" s="36">
        <f t="shared" si="243"/>
        <v>23</v>
      </c>
      <c r="BS614" s="240">
        <f t="shared" si="205"/>
        <v>9.2307692307692868E-2</v>
      </c>
      <c r="BT614" s="6"/>
    </row>
    <row r="615" spans="1:72" x14ac:dyDescent="0.25">
      <c r="A615" s="18" t="s">
        <v>6</v>
      </c>
      <c r="B615" s="18">
        <v>2024</v>
      </c>
      <c r="C615" s="18" t="s">
        <v>138</v>
      </c>
      <c r="D615" s="18" t="s">
        <v>657</v>
      </c>
      <c r="E615" s="3">
        <v>50</v>
      </c>
      <c r="F615" s="191">
        <v>50</v>
      </c>
      <c r="G615" s="18" t="s">
        <v>154</v>
      </c>
      <c r="H615" s="3">
        <v>70</v>
      </c>
      <c r="I615" s="3" t="s">
        <v>758</v>
      </c>
      <c r="J615" s="3"/>
      <c r="K615" s="18">
        <f t="shared" si="244"/>
        <v>15.4</v>
      </c>
      <c r="L615" s="18">
        <v>16.2</v>
      </c>
      <c r="M615" s="107">
        <f t="shared" si="223"/>
        <v>0.79999999999999893</v>
      </c>
      <c r="N615" s="113">
        <f t="shared" si="233"/>
        <v>0.750000000000001</v>
      </c>
      <c r="O615" s="5">
        <f t="shared" si="200"/>
        <v>0.249999999999999</v>
      </c>
      <c r="P615" s="3">
        <v>0.6</v>
      </c>
      <c r="Q615" s="6"/>
      <c r="R615" s="6"/>
      <c r="S615" s="6"/>
      <c r="T615" s="18">
        <v>0.6</v>
      </c>
      <c r="U615" s="18">
        <v>0</v>
      </c>
      <c r="V615" s="187">
        <f t="shared" si="236"/>
        <v>0</v>
      </c>
      <c r="W615" s="18"/>
      <c r="X615" s="18"/>
      <c r="Y615" s="18">
        <v>20</v>
      </c>
      <c r="Z615" s="31">
        <f t="shared" si="225"/>
        <v>39.99999999999995</v>
      </c>
      <c r="AA615" s="6"/>
      <c r="AB615" s="6"/>
      <c r="AC615" s="6"/>
      <c r="AD615" s="6"/>
      <c r="AE615" s="3"/>
      <c r="AF615" s="18"/>
      <c r="AG615" s="18" t="s">
        <v>32</v>
      </c>
      <c r="AH615" s="18" t="s">
        <v>32</v>
      </c>
      <c r="AI615" s="18" t="str">
        <f>+VLOOKUP(AH615,Leyenda!$O$4:$U$10,6,FALSE)</f>
        <v>0,15-0,25</v>
      </c>
      <c r="AJ615" s="18" t="str">
        <f>+VLOOKUP(AG615,Leyenda!$O$4:$U$10,7,FALSE)</f>
        <v>No Blasting need</v>
      </c>
      <c r="AK615" s="18">
        <f>+VLOOKUP(AJ615,Leyenda!$U$4:$V$10,2,FALSE)</f>
        <v>2</v>
      </c>
      <c r="AL615" s="18"/>
      <c r="AM615" s="18" t="s">
        <v>32</v>
      </c>
      <c r="AN615" s="18" t="s">
        <v>66</v>
      </c>
      <c r="AO615" s="18" t="s">
        <v>81</v>
      </c>
      <c r="AP615" s="18" t="s">
        <v>100</v>
      </c>
      <c r="AQ615" s="18" t="s">
        <v>109</v>
      </c>
      <c r="AR615" s="3" t="s">
        <v>122</v>
      </c>
      <c r="AS615" s="3" t="s">
        <v>267</v>
      </c>
      <c r="AT615" s="18"/>
      <c r="AU615" s="6"/>
      <c r="AV615" s="36">
        <f>+VLOOKUP(AN615,Leyenda!$B$30:$E$34,3,FALSE)</f>
        <v>1</v>
      </c>
      <c r="AW615" s="36">
        <f>+VLOOKUP('2. Logging Brejo Seco'!AO615,Meteorizacion,3,FALSE)</f>
        <v>0</v>
      </c>
      <c r="AX615" s="36">
        <f>+VLOOKUP('2. Logging Brejo Seco'!AP615,Apertura,3,FALSE)</f>
        <v>0</v>
      </c>
      <c r="AY615" s="36">
        <f>+VLOOKUP('2. Logging Brejo Seco'!AQ615,Leyenda!$B$55:$D$59,3,FALSE)</f>
        <v>1</v>
      </c>
      <c r="AZ615" s="36">
        <f>+VLOOKUP('2. Logging Brejo Seco'!AR615,Relleno,3,FALSE)</f>
        <v>0</v>
      </c>
      <c r="BA615" s="36">
        <f t="shared" si="237"/>
        <v>2</v>
      </c>
      <c r="BB615" s="50">
        <f t="shared" si="238"/>
        <v>0</v>
      </c>
      <c r="BC615" s="49">
        <f>VLOOKUP(AH615,Leyenda!$B$4:$D$10,3,FALSE)</f>
        <v>1</v>
      </c>
      <c r="BD615" s="50">
        <f t="shared" si="203"/>
        <v>5</v>
      </c>
      <c r="BE615" s="50">
        <f t="shared" si="239"/>
        <v>2</v>
      </c>
      <c r="BF615" s="50">
        <f>VLOOKUP(AS615,Leyenda!$B$70:$D$75,3,FALSE)</f>
        <v>15</v>
      </c>
      <c r="BG615" s="110">
        <f t="shared" si="240"/>
        <v>3</v>
      </c>
      <c r="BH615" s="110">
        <f>VLOOKUP(AG615,Leyenda!$B$4:$E$10,4,FALSE)</f>
        <v>1</v>
      </c>
      <c r="BI615" s="67">
        <f t="shared" si="204"/>
        <v>5</v>
      </c>
      <c r="BJ615" s="110">
        <f t="shared" si="241"/>
        <v>0</v>
      </c>
      <c r="BK615" s="110">
        <f>+VLOOKUP('2. Logging Brejo Seco'!AP615,Leyenda!$B$47:$E$51,4,FALSE)</f>
        <v>0</v>
      </c>
      <c r="BL615" s="110">
        <f>+VLOOKUP('2. Logging Brejo Seco'!AQ615,Leyenda!$B$55:$E$59,4,FALSE)</f>
        <v>1</v>
      </c>
      <c r="BM615" s="110">
        <f>+VLOOKUP('2. Logging Brejo Seco'!AR615,Leyenda!$B$63:$E$67,3,FALSE)</f>
        <v>0</v>
      </c>
      <c r="BN615" s="110">
        <f>+VLOOKUP('2. Logging Brejo Seco'!AO615,Leyenda!$B$39:$E$43,4,FALSE)</f>
        <v>0</v>
      </c>
      <c r="BO615" s="110">
        <f>+VLOOKUP('2. Logging Brejo Seco'!AN615,Leyenda!$B$30:$E$34,4,FALSE)</f>
        <v>1</v>
      </c>
      <c r="BP615" s="110">
        <f>VLOOKUP(AS615,Leyenda!$B$71:$E$75,4,FALSE)</f>
        <v>10</v>
      </c>
      <c r="BQ615" s="110">
        <f t="shared" si="242"/>
        <v>18</v>
      </c>
      <c r="BR615" s="36">
        <f t="shared" si="243"/>
        <v>23</v>
      </c>
      <c r="BS615" s="240">
        <f t="shared" si="205"/>
        <v>0.249999999999999</v>
      </c>
      <c r="BT615" s="6"/>
    </row>
    <row r="616" spans="1:72" x14ac:dyDescent="0.25">
      <c r="A616" s="18" t="s">
        <v>6</v>
      </c>
      <c r="B616" s="18">
        <v>2024</v>
      </c>
      <c r="C616" s="18" t="s">
        <v>138</v>
      </c>
      <c r="D616" s="18" t="s">
        <v>657</v>
      </c>
      <c r="E616" s="3">
        <v>40</v>
      </c>
      <c r="F616" s="191">
        <v>40</v>
      </c>
      <c r="G616" s="36" t="s">
        <v>153</v>
      </c>
      <c r="H616" s="3">
        <v>70</v>
      </c>
      <c r="I616" s="3" t="s">
        <v>758</v>
      </c>
      <c r="J616" s="3"/>
      <c r="K616" s="18">
        <f t="shared" si="244"/>
        <v>16.2</v>
      </c>
      <c r="L616" s="18">
        <v>17.75</v>
      </c>
      <c r="M616" s="107">
        <f t="shared" si="223"/>
        <v>1.5500000000000007</v>
      </c>
      <c r="N616" s="113">
        <f t="shared" si="233"/>
        <v>0.58064516129032229</v>
      </c>
      <c r="O616" s="5">
        <f t="shared" si="200"/>
        <v>0.41935483870967771</v>
      </c>
      <c r="P616" s="3">
        <v>0.9</v>
      </c>
      <c r="Q616" s="6"/>
      <c r="R616" s="6"/>
      <c r="S616" s="6"/>
      <c r="T616" s="18">
        <f>0.9+0.14</f>
        <v>1.04</v>
      </c>
      <c r="U616" s="18">
        <v>0.42</v>
      </c>
      <c r="V616" s="187">
        <f t="shared" si="236"/>
        <v>27.096774193548374</v>
      </c>
      <c r="W616" s="18"/>
      <c r="X616" s="18"/>
      <c r="Y616" s="18">
        <v>12</v>
      </c>
      <c r="Z616" s="31">
        <f t="shared" si="225"/>
        <v>129.16666666666671</v>
      </c>
      <c r="AA616" s="6"/>
      <c r="AB616" s="6"/>
      <c r="AC616" s="6"/>
      <c r="AD616" s="6"/>
      <c r="AE616" s="3"/>
      <c r="AF616" s="18"/>
      <c r="AG616" s="18" t="s">
        <v>32</v>
      </c>
      <c r="AH616" s="18" t="s">
        <v>32</v>
      </c>
      <c r="AI616" s="18" t="str">
        <f>+VLOOKUP(AH616,Leyenda!$O$4:$U$10,6,FALSE)</f>
        <v>0,15-0,25</v>
      </c>
      <c r="AJ616" s="18" t="str">
        <f>+VLOOKUP(AG616,Leyenda!$O$4:$U$10,7,FALSE)</f>
        <v>No Blasting need</v>
      </c>
      <c r="AK616" s="18">
        <f>+VLOOKUP(AJ616,Leyenda!$U$4:$V$10,2,FALSE)</f>
        <v>2</v>
      </c>
      <c r="AL616" s="18"/>
      <c r="AM616" s="18" t="s">
        <v>32</v>
      </c>
      <c r="AN616" s="18" t="s">
        <v>62</v>
      </c>
      <c r="AO616" s="18" t="s">
        <v>79</v>
      </c>
      <c r="AP616" s="18" t="s">
        <v>100</v>
      </c>
      <c r="AQ616" s="18" t="s">
        <v>109</v>
      </c>
      <c r="AR616" s="3" t="s">
        <v>122</v>
      </c>
      <c r="AS616" s="3" t="s">
        <v>267</v>
      </c>
      <c r="AT616" s="18"/>
      <c r="AU616" s="6"/>
      <c r="AV616" s="18">
        <f>+VLOOKUP(AN616,Leyenda!$B$30:$E$34,3,FALSE)</f>
        <v>4</v>
      </c>
      <c r="AW616" s="18">
        <f>+VLOOKUP('2. Logging Brejo Seco'!AO616,Meteorizacion,3,FALSE)</f>
        <v>1</v>
      </c>
      <c r="AX616" s="18">
        <f>+VLOOKUP('2. Logging Brejo Seco'!AP616,Apertura,3,FALSE)</f>
        <v>0</v>
      </c>
      <c r="AY616" s="18">
        <f>+VLOOKUP('2. Logging Brejo Seco'!AQ616,Leyenda!$B$55:$D$59,3,FALSE)</f>
        <v>1</v>
      </c>
      <c r="AZ616" s="18">
        <f>+VLOOKUP('2. Logging Brejo Seco'!AR616,Relleno,3,FALSE)</f>
        <v>0</v>
      </c>
      <c r="BA616" s="18">
        <f t="shared" si="237"/>
        <v>6</v>
      </c>
      <c r="BB616" s="49">
        <f t="shared" si="238"/>
        <v>6</v>
      </c>
      <c r="BC616" s="49">
        <f>VLOOKUP(AH616,Leyenda!$B$4:$D$10,3,FALSE)</f>
        <v>1</v>
      </c>
      <c r="BD616" s="49">
        <f t="shared" si="203"/>
        <v>8</v>
      </c>
      <c r="BE616" s="49">
        <f t="shared" si="239"/>
        <v>6</v>
      </c>
      <c r="BF616" s="49">
        <f>VLOOKUP(AS616,Leyenda!$B$70:$D$75,3,FALSE)</f>
        <v>15</v>
      </c>
      <c r="BG616" s="67">
        <f t="shared" si="240"/>
        <v>22.548387096774185</v>
      </c>
      <c r="BH616" s="67">
        <f>VLOOKUP(AG616,Leyenda!$B$4:$E$10,4,FALSE)</f>
        <v>1</v>
      </c>
      <c r="BI616" s="67">
        <f t="shared" si="204"/>
        <v>10</v>
      </c>
      <c r="BJ616" s="67">
        <f t="shared" si="241"/>
        <v>6</v>
      </c>
      <c r="BK616" s="67">
        <f>+VLOOKUP('2. Logging Brejo Seco'!AP616,Leyenda!$B$47:$E$51,4,FALSE)</f>
        <v>0</v>
      </c>
      <c r="BL616" s="67">
        <f>+VLOOKUP('2. Logging Brejo Seco'!AQ616,Leyenda!$B$55:$E$59,4,FALSE)</f>
        <v>1</v>
      </c>
      <c r="BM616" s="67">
        <f>+VLOOKUP('2. Logging Brejo Seco'!AR616,Leyenda!$B$63:$E$67,3,FALSE)</f>
        <v>0</v>
      </c>
      <c r="BN616" s="67">
        <f>+VLOOKUP('2. Logging Brejo Seco'!AO616,Leyenda!$B$39:$E$43,4,FALSE)</f>
        <v>1</v>
      </c>
      <c r="BO616" s="67">
        <f>+VLOOKUP('2. Logging Brejo Seco'!AN616,Leyenda!$B$30:$E$34,4,FALSE)</f>
        <v>4</v>
      </c>
      <c r="BP616" s="67">
        <f>VLOOKUP(AS616,Leyenda!$B$71:$E$75,4,FALSE)</f>
        <v>10</v>
      </c>
      <c r="BQ616" s="67">
        <f t="shared" si="242"/>
        <v>33</v>
      </c>
      <c r="BR616" s="18">
        <f t="shared" si="243"/>
        <v>36</v>
      </c>
      <c r="BS616" s="240">
        <f t="shared" si="205"/>
        <v>0.41935483870967771</v>
      </c>
      <c r="BT616" s="6"/>
    </row>
    <row r="617" spans="1:72" x14ac:dyDescent="0.25">
      <c r="A617" s="18" t="s">
        <v>6</v>
      </c>
      <c r="B617" s="18">
        <v>2024</v>
      </c>
      <c r="C617" s="18" t="s">
        <v>138</v>
      </c>
      <c r="D617" s="18" t="s">
        <v>657</v>
      </c>
      <c r="E617" s="3">
        <v>40</v>
      </c>
      <c r="F617" s="191">
        <v>40</v>
      </c>
      <c r="G617" s="36" t="s">
        <v>153</v>
      </c>
      <c r="H617" s="3">
        <v>70</v>
      </c>
      <c r="I617" s="3" t="s">
        <v>758</v>
      </c>
      <c r="J617" s="3"/>
      <c r="K617" s="18">
        <f t="shared" si="244"/>
        <v>17.75</v>
      </c>
      <c r="L617" s="18">
        <v>19.350000000000001</v>
      </c>
      <c r="M617" s="107">
        <f t="shared" si="223"/>
        <v>1.6000000000000014</v>
      </c>
      <c r="N617" s="113">
        <f t="shared" si="233"/>
        <v>0.78749999999999931</v>
      </c>
      <c r="O617" s="5">
        <f t="shared" si="200"/>
        <v>0.21250000000000069</v>
      </c>
      <c r="P617" s="3">
        <v>1.26</v>
      </c>
      <c r="Q617" s="6"/>
      <c r="R617" s="6"/>
      <c r="S617" s="6"/>
      <c r="T617" s="18">
        <v>1.19</v>
      </c>
      <c r="U617" s="18">
        <v>1.02</v>
      </c>
      <c r="V617" s="187">
        <f t="shared" si="236"/>
        <v>63.749999999999943</v>
      </c>
      <c r="W617" s="18"/>
      <c r="X617" s="18"/>
      <c r="Y617" s="18">
        <v>6</v>
      </c>
      <c r="Z617" s="31">
        <f t="shared" si="225"/>
        <v>266.66666666666691</v>
      </c>
      <c r="AA617" s="6"/>
      <c r="AB617" s="6"/>
      <c r="AC617" s="6"/>
      <c r="AD617" s="6"/>
      <c r="AE617" s="3"/>
      <c r="AF617" s="18"/>
      <c r="AG617" s="18" t="s">
        <v>32</v>
      </c>
      <c r="AH617" s="18" t="s">
        <v>32</v>
      </c>
      <c r="AI617" s="18" t="str">
        <f>+VLOOKUP(AH617,Leyenda!$O$4:$U$10,6,FALSE)</f>
        <v>0,15-0,25</v>
      </c>
      <c r="AJ617" s="18" t="str">
        <f>+VLOOKUP(AG617,Leyenda!$O$4:$U$10,7,FALSE)</f>
        <v>No Blasting need</v>
      </c>
      <c r="AK617" s="18">
        <f>+VLOOKUP(AJ617,Leyenda!$U$4:$V$10,2,FALSE)</f>
        <v>2</v>
      </c>
      <c r="AL617" s="18"/>
      <c r="AM617" s="18" t="s">
        <v>32</v>
      </c>
      <c r="AN617" s="18" t="s">
        <v>64</v>
      </c>
      <c r="AO617" s="18" t="s">
        <v>79</v>
      </c>
      <c r="AP617" s="18" t="s">
        <v>96</v>
      </c>
      <c r="AQ617" s="18" t="s">
        <v>107</v>
      </c>
      <c r="AR617" s="3" t="s">
        <v>122</v>
      </c>
      <c r="AS617" s="3" t="s">
        <v>267</v>
      </c>
      <c r="AT617" s="18"/>
      <c r="AU617" s="6"/>
      <c r="AV617" s="18">
        <f>+VLOOKUP(AN617,Leyenda!$B$30:$E$34,3,FALSE)</f>
        <v>2</v>
      </c>
      <c r="AW617" s="18">
        <f>+VLOOKUP('2. Logging Brejo Seco'!AO617,Meteorizacion,3,FALSE)</f>
        <v>1</v>
      </c>
      <c r="AX617" s="18">
        <f>+VLOOKUP('2. Logging Brejo Seco'!AP617,Apertura,3,FALSE)</f>
        <v>1</v>
      </c>
      <c r="AY617" s="18">
        <f>+VLOOKUP('2. Logging Brejo Seco'!AQ617,Leyenda!$B$55:$D$59,3,FALSE)</f>
        <v>3</v>
      </c>
      <c r="AZ617" s="18">
        <f>+VLOOKUP('2. Logging Brejo Seco'!AR617,Relleno,3,FALSE)</f>
        <v>0</v>
      </c>
      <c r="BA617" s="18">
        <f t="shared" si="237"/>
        <v>7</v>
      </c>
      <c r="BB617" s="49">
        <f t="shared" si="238"/>
        <v>13</v>
      </c>
      <c r="BC617" s="49">
        <f>VLOOKUP(AH617,Leyenda!$B$4:$D$10,3,FALSE)</f>
        <v>1</v>
      </c>
      <c r="BD617" s="49">
        <f t="shared" si="203"/>
        <v>10</v>
      </c>
      <c r="BE617" s="49">
        <f t="shared" si="239"/>
        <v>7</v>
      </c>
      <c r="BF617" s="49">
        <f>VLOOKUP(AS617,Leyenda!$B$70:$D$75,3,FALSE)</f>
        <v>15</v>
      </c>
      <c r="BG617" s="67">
        <f t="shared" si="240"/>
        <v>42.374999999999972</v>
      </c>
      <c r="BH617" s="67">
        <f>VLOOKUP(AG617,Leyenda!$B$4:$E$10,4,FALSE)</f>
        <v>1</v>
      </c>
      <c r="BI617" s="67">
        <f t="shared" si="204"/>
        <v>14</v>
      </c>
      <c r="BJ617" s="67">
        <f t="shared" si="241"/>
        <v>13</v>
      </c>
      <c r="BK617" s="67">
        <f>+VLOOKUP('2. Logging Brejo Seco'!AP617,Leyenda!$B$47:$E$51,4,FALSE)</f>
        <v>1</v>
      </c>
      <c r="BL617" s="67">
        <f>+VLOOKUP('2. Logging Brejo Seco'!AQ617,Leyenda!$B$55:$E$59,4,FALSE)</f>
        <v>3</v>
      </c>
      <c r="BM617" s="67">
        <f>+VLOOKUP('2. Logging Brejo Seco'!AR617,Leyenda!$B$63:$E$67,3,FALSE)</f>
        <v>0</v>
      </c>
      <c r="BN617" s="67">
        <f>+VLOOKUP('2. Logging Brejo Seco'!AO617,Leyenda!$B$39:$E$43,4,FALSE)</f>
        <v>1</v>
      </c>
      <c r="BO617" s="67">
        <f>+VLOOKUP('2. Logging Brejo Seco'!AN617,Leyenda!$B$30:$E$34,4,FALSE)</f>
        <v>3</v>
      </c>
      <c r="BP617" s="67">
        <f>VLOOKUP(AS617,Leyenda!$B$71:$E$75,4,FALSE)</f>
        <v>10</v>
      </c>
      <c r="BQ617" s="67">
        <f t="shared" si="242"/>
        <v>46</v>
      </c>
      <c r="BR617" s="18">
        <f t="shared" si="243"/>
        <v>46</v>
      </c>
      <c r="BS617" s="240">
        <f t="shared" si="205"/>
        <v>0.21250000000000069</v>
      </c>
      <c r="BT617" s="6"/>
    </row>
    <row r="618" spans="1:72" x14ac:dyDescent="0.25">
      <c r="A618" s="18" t="s">
        <v>6</v>
      </c>
      <c r="B618" s="18">
        <v>2024</v>
      </c>
      <c r="C618" s="18" t="s">
        <v>138</v>
      </c>
      <c r="D618" s="18" t="s">
        <v>657</v>
      </c>
      <c r="E618" s="3">
        <v>40</v>
      </c>
      <c r="F618" s="191">
        <v>40</v>
      </c>
      <c r="G618" s="36" t="s">
        <v>153</v>
      </c>
      <c r="H618" s="3">
        <v>70</v>
      </c>
      <c r="I618" s="3" t="s">
        <v>758</v>
      </c>
      <c r="J618" s="3"/>
      <c r="K618" s="18">
        <f t="shared" si="244"/>
        <v>19.350000000000001</v>
      </c>
      <c r="L618" s="18">
        <v>20.75</v>
      </c>
      <c r="M618" s="107">
        <f t="shared" si="223"/>
        <v>1.3999999999999986</v>
      </c>
      <c r="N618" s="113">
        <f t="shared" si="233"/>
        <v>0.84285714285714364</v>
      </c>
      <c r="O618" s="5">
        <f t="shared" si="200"/>
        <v>0.15714285714285636</v>
      </c>
      <c r="P618" s="3">
        <v>1.18</v>
      </c>
      <c r="Q618" s="6"/>
      <c r="R618" s="6"/>
      <c r="S618" s="6"/>
      <c r="T618" s="18">
        <f>1.06+0.12</f>
        <v>1.1800000000000002</v>
      </c>
      <c r="U618" s="18">
        <f>0.78+0.12</f>
        <v>0.9</v>
      </c>
      <c r="V618" s="187">
        <f t="shared" si="236"/>
        <v>64.285714285714363</v>
      </c>
      <c r="W618" s="18"/>
      <c r="X618" s="18"/>
      <c r="Y618" s="18">
        <v>7</v>
      </c>
      <c r="Z618" s="31">
        <f t="shared" si="225"/>
        <v>199.9999999999998</v>
      </c>
      <c r="AA618" s="6"/>
      <c r="AB618" s="6"/>
      <c r="AC618" s="6"/>
      <c r="AD618" s="6"/>
      <c r="AE618" s="3"/>
      <c r="AF618" s="18"/>
      <c r="AG618" s="18" t="s">
        <v>29</v>
      </c>
      <c r="AH618" s="18" t="s">
        <v>29</v>
      </c>
      <c r="AI618" s="18" t="str">
        <f>+VLOOKUP(AH618,Leyenda!$O$4:$U$10,6,FALSE)</f>
        <v>0,25-0,35</v>
      </c>
      <c r="AJ618" s="18" t="str">
        <f>+VLOOKUP(AG618,Leyenda!$O$4:$U$10,7,FALSE)</f>
        <v>No Blasting need</v>
      </c>
      <c r="AK618" s="18">
        <f>+VLOOKUP(AJ618,Leyenda!$U$4:$V$10,2,FALSE)</f>
        <v>2</v>
      </c>
      <c r="AL618" s="18"/>
      <c r="AM618" s="18" t="s">
        <v>32</v>
      </c>
      <c r="AN618" s="18" t="s">
        <v>64</v>
      </c>
      <c r="AO618" s="18" t="s">
        <v>79</v>
      </c>
      <c r="AP618" s="18" t="s">
        <v>96</v>
      </c>
      <c r="AQ618" s="18" t="s">
        <v>107</v>
      </c>
      <c r="AR618" s="3" t="s">
        <v>122</v>
      </c>
      <c r="AS618" s="3" t="s">
        <v>267</v>
      </c>
      <c r="AT618" s="18"/>
      <c r="AU618" s="6"/>
      <c r="AV618" s="18">
        <f>+VLOOKUP(AN618,Leyenda!$B$30:$E$34,3,FALSE)</f>
        <v>2</v>
      </c>
      <c r="AW618" s="18">
        <f>+VLOOKUP('2. Logging Brejo Seco'!AO618,Meteorizacion,3,FALSE)</f>
        <v>1</v>
      </c>
      <c r="AX618" s="18">
        <f>+VLOOKUP('2. Logging Brejo Seco'!AP618,Apertura,3,FALSE)</f>
        <v>1</v>
      </c>
      <c r="AY618" s="18">
        <f>+VLOOKUP('2. Logging Brejo Seco'!AQ618,Leyenda!$B$55:$D$59,3,FALSE)</f>
        <v>3</v>
      </c>
      <c r="AZ618" s="18">
        <f>+VLOOKUP('2. Logging Brejo Seco'!AR618,Relleno,3,FALSE)</f>
        <v>0</v>
      </c>
      <c r="BA618" s="18">
        <f t="shared" si="237"/>
        <v>7</v>
      </c>
      <c r="BB618" s="49">
        <f t="shared" si="238"/>
        <v>13</v>
      </c>
      <c r="BC618" s="49">
        <f>VLOOKUP(AH618,Leyenda!$B$4:$D$10,3,FALSE)</f>
        <v>2</v>
      </c>
      <c r="BD618" s="49">
        <f t="shared" si="203"/>
        <v>9</v>
      </c>
      <c r="BE618" s="49">
        <f t="shared" si="239"/>
        <v>7</v>
      </c>
      <c r="BF618" s="49">
        <f>VLOOKUP(AS618,Leyenda!$B$70:$D$75,3,FALSE)</f>
        <v>15</v>
      </c>
      <c r="BG618" s="67">
        <f t="shared" si="240"/>
        <v>42.642857142857181</v>
      </c>
      <c r="BH618" s="67">
        <f>VLOOKUP(AG618,Leyenda!$B$4:$E$10,4,FALSE)</f>
        <v>2</v>
      </c>
      <c r="BI618" s="67">
        <f t="shared" si="204"/>
        <v>12</v>
      </c>
      <c r="BJ618" s="67">
        <f t="shared" si="241"/>
        <v>13</v>
      </c>
      <c r="BK618" s="67">
        <f>+VLOOKUP('2. Logging Brejo Seco'!AP618,Leyenda!$B$47:$E$51,4,FALSE)</f>
        <v>1</v>
      </c>
      <c r="BL618" s="67">
        <f>+VLOOKUP('2. Logging Brejo Seco'!AQ618,Leyenda!$B$55:$E$59,4,FALSE)</f>
        <v>3</v>
      </c>
      <c r="BM618" s="67">
        <f>+VLOOKUP('2. Logging Brejo Seco'!AR618,Leyenda!$B$63:$E$67,3,FALSE)</f>
        <v>0</v>
      </c>
      <c r="BN618" s="67">
        <f>+VLOOKUP('2. Logging Brejo Seco'!AO618,Leyenda!$B$39:$E$43,4,FALSE)</f>
        <v>1</v>
      </c>
      <c r="BO618" s="67">
        <f>+VLOOKUP('2. Logging Brejo Seco'!AN618,Leyenda!$B$30:$E$34,4,FALSE)</f>
        <v>3</v>
      </c>
      <c r="BP618" s="67">
        <f>VLOOKUP(AS618,Leyenda!$B$71:$E$75,4,FALSE)</f>
        <v>10</v>
      </c>
      <c r="BQ618" s="67">
        <f t="shared" si="242"/>
        <v>45</v>
      </c>
      <c r="BR618" s="18">
        <f t="shared" si="243"/>
        <v>46</v>
      </c>
      <c r="BS618" s="240">
        <f t="shared" si="205"/>
        <v>0.15714285714285636</v>
      </c>
      <c r="BT618" s="6"/>
    </row>
    <row r="619" spans="1:72" x14ac:dyDescent="0.25">
      <c r="A619" s="18" t="s">
        <v>6</v>
      </c>
      <c r="B619" s="18">
        <v>2024</v>
      </c>
      <c r="C619" s="18" t="s">
        <v>138</v>
      </c>
      <c r="D619" s="18" t="s">
        <v>657</v>
      </c>
      <c r="E619" s="3">
        <v>40</v>
      </c>
      <c r="F619" s="191">
        <v>40</v>
      </c>
      <c r="G619" s="36" t="s">
        <v>153</v>
      </c>
      <c r="H619" s="3">
        <v>70</v>
      </c>
      <c r="I619" s="3" t="s">
        <v>758</v>
      </c>
      <c r="J619" s="3"/>
      <c r="K619" s="18">
        <f t="shared" si="244"/>
        <v>20.75</v>
      </c>
      <c r="L619" s="18">
        <v>22.35</v>
      </c>
      <c r="M619" s="107">
        <f t="shared" si="223"/>
        <v>1.6000000000000014</v>
      </c>
      <c r="N619" s="113">
        <f t="shared" si="233"/>
        <v>0.82499999999999929</v>
      </c>
      <c r="O619" s="5">
        <f t="shared" si="200"/>
        <v>0.17500000000000071</v>
      </c>
      <c r="P619" s="3">
        <v>1.32</v>
      </c>
      <c r="Q619" s="6"/>
      <c r="R619" s="6"/>
      <c r="S619" s="6"/>
      <c r="T619" s="18">
        <v>1.32</v>
      </c>
      <c r="U619" s="18">
        <v>1.17</v>
      </c>
      <c r="V619" s="187">
        <f t="shared" si="236"/>
        <v>73.124999999999929</v>
      </c>
      <c r="W619" s="18"/>
      <c r="X619" s="18"/>
      <c r="Y619" s="18">
        <v>5</v>
      </c>
      <c r="Z619" s="31">
        <f t="shared" si="225"/>
        <v>320.00000000000028</v>
      </c>
      <c r="AA619" s="6"/>
      <c r="AB619" s="6"/>
      <c r="AC619" s="6"/>
      <c r="AD619" s="6"/>
      <c r="AE619" s="6"/>
      <c r="AF619" s="18"/>
      <c r="AG619" s="18" t="s">
        <v>29</v>
      </c>
      <c r="AH619" s="18" t="s">
        <v>29</v>
      </c>
      <c r="AI619" s="18" t="str">
        <f>+VLOOKUP(AH619,Leyenda!$O$4:$U$10,6,FALSE)</f>
        <v>0,25-0,35</v>
      </c>
      <c r="AJ619" s="18" t="str">
        <f>+VLOOKUP(AG619,Leyenda!$O$4:$U$10,7,FALSE)</f>
        <v>No Blasting need</v>
      </c>
      <c r="AK619" s="18">
        <f>+VLOOKUP(AJ619,Leyenda!$U$4:$V$10,2,FALSE)</f>
        <v>2</v>
      </c>
      <c r="AL619" s="18"/>
      <c r="AM619" s="18" t="s">
        <v>29</v>
      </c>
      <c r="AN619" s="18" t="s">
        <v>66</v>
      </c>
      <c r="AO619" s="18" t="s">
        <v>79</v>
      </c>
      <c r="AP619" s="18" t="s">
        <v>96</v>
      </c>
      <c r="AQ619" s="18" t="s">
        <v>107</v>
      </c>
      <c r="AR619" s="3" t="s">
        <v>122</v>
      </c>
      <c r="AS619" s="3" t="s">
        <v>267</v>
      </c>
      <c r="AT619" s="18"/>
      <c r="AU619" s="6"/>
      <c r="AV619" s="18">
        <f>+VLOOKUP(AN619,Leyenda!$B$30:$E$34,3,FALSE)</f>
        <v>1</v>
      </c>
      <c r="AW619" s="18">
        <f>+VLOOKUP('2. Logging Brejo Seco'!AO619,Meteorizacion,3,FALSE)</f>
        <v>1</v>
      </c>
      <c r="AX619" s="18">
        <f>+VLOOKUP('2. Logging Brejo Seco'!AP619,Apertura,3,FALSE)</f>
        <v>1</v>
      </c>
      <c r="AY619" s="18">
        <f>+VLOOKUP('2. Logging Brejo Seco'!AQ619,Leyenda!$B$55:$D$59,3,FALSE)</f>
        <v>3</v>
      </c>
      <c r="AZ619" s="18">
        <f>+VLOOKUP('2. Logging Brejo Seco'!AR619,Relleno,3,FALSE)</f>
        <v>0</v>
      </c>
      <c r="BA619" s="18">
        <f t="shared" si="237"/>
        <v>6</v>
      </c>
      <c r="BB619" s="49">
        <f t="shared" si="238"/>
        <v>15</v>
      </c>
      <c r="BC619" s="49">
        <f>VLOOKUP(AH619,Leyenda!$B$4:$D$10,3,FALSE)</f>
        <v>2</v>
      </c>
      <c r="BD619" s="49">
        <f t="shared" si="203"/>
        <v>11</v>
      </c>
      <c r="BE619" s="49">
        <f t="shared" si="239"/>
        <v>6</v>
      </c>
      <c r="BF619" s="49">
        <f>VLOOKUP(AS619,Leyenda!$B$70:$D$75,3,FALSE)</f>
        <v>15</v>
      </c>
      <c r="BG619" s="67">
        <f t="shared" si="240"/>
        <v>45.562499999999964</v>
      </c>
      <c r="BH619" s="67">
        <f>VLOOKUP(AG619,Leyenda!$B$4:$E$10,4,FALSE)</f>
        <v>2</v>
      </c>
      <c r="BI619" s="67">
        <f t="shared" si="204"/>
        <v>15</v>
      </c>
      <c r="BJ619" s="67">
        <f t="shared" si="241"/>
        <v>15</v>
      </c>
      <c r="BK619" s="67">
        <f>+VLOOKUP('2. Logging Brejo Seco'!AP619,Leyenda!$B$47:$E$51,4,FALSE)</f>
        <v>1</v>
      </c>
      <c r="BL619" s="67">
        <f>+VLOOKUP('2. Logging Brejo Seco'!AQ619,Leyenda!$B$55:$E$59,4,FALSE)</f>
        <v>3</v>
      </c>
      <c r="BM619" s="67">
        <f>+VLOOKUP('2. Logging Brejo Seco'!AR619,Leyenda!$B$63:$E$67,3,FALSE)</f>
        <v>0</v>
      </c>
      <c r="BN619" s="67">
        <f>+VLOOKUP('2. Logging Brejo Seco'!AO619,Leyenda!$B$39:$E$43,4,FALSE)</f>
        <v>1</v>
      </c>
      <c r="BO619" s="67">
        <f>+VLOOKUP('2. Logging Brejo Seco'!AN619,Leyenda!$B$30:$E$34,4,FALSE)</f>
        <v>1</v>
      </c>
      <c r="BP619" s="67">
        <f>VLOOKUP(AS619,Leyenda!$B$71:$E$75,4,FALSE)</f>
        <v>10</v>
      </c>
      <c r="BQ619" s="67">
        <f t="shared" si="242"/>
        <v>48</v>
      </c>
      <c r="BR619" s="18">
        <f t="shared" si="243"/>
        <v>49</v>
      </c>
      <c r="BS619" s="240">
        <f t="shared" si="205"/>
        <v>0.17500000000000071</v>
      </c>
      <c r="BT619" s="6"/>
    </row>
    <row r="620" spans="1:72" x14ac:dyDescent="0.25">
      <c r="A620" s="18" t="s">
        <v>6</v>
      </c>
      <c r="B620" s="18">
        <v>2024</v>
      </c>
      <c r="C620" s="18" t="s">
        <v>138</v>
      </c>
      <c r="D620" s="18" t="s">
        <v>657</v>
      </c>
      <c r="E620" s="3">
        <v>40</v>
      </c>
      <c r="F620" s="191">
        <v>40</v>
      </c>
      <c r="G620" s="36" t="s">
        <v>153</v>
      </c>
      <c r="H620" s="3">
        <v>30</v>
      </c>
      <c r="I620" s="3" t="s">
        <v>759</v>
      </c>
      <c r="J620" s="3"/>
      <c r="K620" s="18">
        <f t="shared" si="244"/>
        <v>22.35</v>
      </c>
      <c r="L620" s="18">
        <v>23.85</v>
      </c>
      <c r="M620" s="107">
        <f t="shared" si="223"/>
        <v>1.5</v>
      </c>
      <c r="N620" s="113">
        <f t="shared" si="233"/>
        <v>0.73333333333333339</v>
      </c>
      <c r="O620" s="5">
        <f t="shared" si="200"/>
        <v>0.26666666666666661</v>
      </c>
      <c r="P620" s="3">
        <f>0.88+0.22</f>
        <v>1.1000000000000001</v>
      </c>
      <c r="Q620" s="6"/>
      <c r="R620" s="6"/>
      <c r="S620" s="6"/>
      <c r="T620" s="18">
        <v>0.9</v>
      </c>
      <c r="U620" s="18">
        <f>0.49+0.16</f>
        <v>0.65</v>
      </c>
      <c r="V620" s="187">
        <f t="shared" si="236"/>
        <v>43.333333333333336</v>
      </c>
      <c r="W620" s="18"/>
      <c r="X620" s="18"/>
      <c r="Y620" s="18">
        <v>10</v>
      </c>
      <c r="Z620" s="31">
        <f t="shared" si="225"/>
        <v>150</v>
      </c>
      <c r="AA620" s="6"/>
      <c r="AB620" s="6"/>
      <c r="AC620" s="6"/>
      <c r="AD620" s="6"/>
      <c r="AE620" s="6"/>
      <c r="AF620" s="18"/>
      <c r="AG620" s="18" t="s">
        <v>27</v>
      </c>
      <c r="AH620" s="18" t="s">
        <v>27</v>
      </c>
      <c r="AI620" s="18" t="str">
        <f>+VLOOKUP(AH620,Leyenda!$O$4:$U$10,6,FALSE)</f>
        <v>0,35-0,50</v>
      </c>
      <c r="AJ620" s="18" t="str">
        <f>+VLOOKUP(AG620,Leyenda!$O$4:$U$10,7,FALSE)</f>
        <v>Easy to blast</v>
      </c>
      <c r="AK620" s="18">
        <f>+VLOOKUP(AJ620,Leyenda!$U$4:$V$10,2,FALSE)</f>
        <v>3</v>
      </c>
      <c r="AL620" s="18"/>
      <c r="AM620" s="18" t="s">
        <v>27</v>
      </c>
      <c r="AN620" s="18" t="s">
        <v>66</v>
      </c>
      <c r="AO620" s="18" t="s">
        <v>79</v>
      </c>
      <c r="AP620" s="18" t="s">
        <v>96</v>
      </c>
      <c r="AQ620" s="18" t="s">
        <v>107</v>
      </c>
      <c r="AR620" s="18" t="s">
        <v>122</v>
      </c>
      <c r="AS620" s="18" t="s">
        <v>267</v>
      </c>
      <c r="AT620" s="18"/>
      <c r="AU620" s="6"/>
      <c r="AV620" s="18">
        <f>+VLOOKUP(AN620,Leyenda!$B$30:$E$34,3,FALSE)</f>
        <v>1</v>
      </c>
      <c r="AW620" s="18">
        <f>+VLOOKUP('2. Logging Brejo Seco'!AO620,Meteorizacion,3,FALSE)</f>
        <v>1</v>
      </c>
      <c r="AX620" s="18">
        <f>+VLOOKUP('2. Logging Brejo Seco'!AP620,Apertura,3,FALSE)</f>
        <v>1</v>
      </c>
      <c r="AY620" s="18">
        <f>+VLOOKUP('2. Logging Brejo Seco'!AQ620,Leyenda!$B$55:$D$59,3,FALSE)</f>
        <v>3</v>
      </c>
      <c r="AZ620" s="18">
        <f>+VLOOKUP('2. Logging Brejo Seco'!AR620,Relleno,3,FALSE)</f>
        <v>0</v>
      </c>
      <c r="BA620" s="18">
        <f t="shared" si="237"/>
        <v>6</v>
      </c>
      <c r="BB620" s="49">
        <f t="shared" si="238"/>
        <v>9</v>
      </c>
      <c r="BC620" s="49">
        <f>VLOOKUP(AH620,Leyenda!$B$4:$D$10,3,FALSE)</f>
        <v>4</v>
      </c>
      <c r="BD620" s="49">
        <f t="shared" si="203"/>
        <v>8</v>
      </c>
      <c r="BE620" s="49">
        <f t="shared" si="239"/>
        <v>6</v>
      </c>
      <c r="BF620" s="49">
        <f>VLOOKUP(AS620,Leyenda!$B$70:$D$75,3,FALSE)</f>
        <v>15</v>
      </c>
      <c r="BG620" s="67">
        <f t="shared" si="240"/>
        <v>30.666666666666668</v>
      </c>
      <c r="BH620" s="67">
        <f>VLOOKUP(AG620,Leyenda!$B$4:$E$10,4,FALSE)</f>
        <v>4</v>
      </c>
      <c r="BI620" s="67">
        <f t="shared" si="204"/>
        <v>11</v>
      </c>
      <c r="BJ620" s="67">
        <f t="shared" si="241"/>
        <v>9</v>
      </c>
      <c r="BK620" s="67">
        <f>+VLOOKUP('2. Logging Brejo Seco'!AP620,Leyenda!$B$47:$E$51,4,FALSE)</f>
        <v>1</v>
      </c>
      <c r="BL620" s="67">
        <f>+VLOOKUP('2. Logging Brejo Seco'!AQ620,Leyenda!$B$55:$E$59,4,FALSE)</f>
        <v>3</v>
      </c>
      <c r="BM620" s="67">
        <f>+VLOOKUP('2. Logging Brejo Seco'!AR620,Leyenda!$B$63:$E$67,3,FALSE)</f>
        <v>0</v>
      </c>
      <c r="BN620" s="67">
        <f>+VLOOKUP('2. Logging Brejo Seco'!AO620,Leyenda!$B$39:$E$43,4,FALSE)</f>
        <v>1</v>
      </c>
      <c r="BO620" s="67">
        <f>+VLOOKUP('2. Logging Brejo Seco'!AN620,Leyenda!$B$30:$E$34,4,FALSE)</f>
        <v>1</v>
      </c>
      <c r="BP620" s="67">
        <f>VLOOKUP(AS620,Leyenda!$B$71:$E$75,4,FALSE)</f>
        <v>10</v>
      </c>
      <c r="BQ620" s="67">
        <f t="shared" si="242"/>
        <v>40</v>
      </c>
      <c r="BR620" s="18">
        <f t="shared" si="243"/>
        <v>42</v>
      </c>
      <c r="BS620" s="240">
        <f t="shared" si="205"/>
        <v>0.26666666666666661</v>
      </c>
      <c r="BT620" s="6"/>
    </row>
    <row r="621" spans="1:72" x14ac:dyDescent="0.25">
      <c r="A621" s="18" t="s">
        <v>6</v>
      </c>
      <c r="B621" s="18">
        <v>2024</v>
      </c>
      <c r="C621" s="18" t="s">
        <v>138</v>
      </c>
      <c r="D621" s="18" t="s">
        <v>657</v>
      </c>
      <c r="E621" s="3">
        <v>40</v>
      </c>
      <c r="F621" s="191">
        <v>40</v>
      </c>
      <c r="G621" s="36" t="s">
        <v>153</v>
      </c>
      <c r="H621" s="3">
        <v>30</v>
      </c>
      <c r="I621" s="3" t="s">
        <v>759</v>
      </c>
      <c r="J621" s="3"/>
      <c r="K621" s="18">
        <f t="shared" si="244"/>
        <v>23.85</v>
      </c>
      <c r="L621" s="18">
        <v>25</v>
      </c>
      <c r="M621" s="107">
        <f t="shared" si="223"/>
        <v>1.1499999999999986</v>
      </c>
      <c r="N621" s="113">
        <f t="shared" si="233"/>
        <v>0.83478260869565313</v>
      </c>
      <c r="O621" s="5">
        <f t="shared" si="200"/>
        <v>0.16521739130434687</v>
      </c>
      <c r="P621" s="3">
        <v>0.96</v>
      </c>
      <c r="Q621" s="6"/>
      <c r="R621" s="6"/>
      <c r="S621" s="6"/>
      <c r="T621" s="18">
        <v>0.96</v>
      </c>
      <c r="U621" s="18">
        <v>0.56999999999999995</v>
      </c>
      <c r="V621" s="187">
        <f t="shared" si="236"/>
        <v>49.565217391304408</v>
      </c>
      <c r="W621" s="18"/>
      <c r="X621" s="18"/>
      <c r="Y621" s="18">
        <v>6</v>
      </c>
      <c r="Z621" s="31">
        <f t="shared" si="225"/>
        <v>191.66666666666643</v>
      </c>
      <c r="AA621" s="6"/>
      <c r="AB621" s="6"/>
      <c r="AC621" s="6"/>
      <c r="AD621" s="6"/>
      <c r="AE621" s="6"/>
      <c r="AF621" s="18"/>
      <c r="AG621" s="18" t="s">
        <v>27</v>
      </c>
      <c r="AH621" s="18" t="s">
        <v>27</v>
      </c>
      <c r="AI621" s="18" t="str">
        <f>+VLOOKUP(AH621,Leyenda!$O$4:$U$10,6,FALSE)</f>
        <v>0,35-0,50</v>
      </c>
      <c r="AJ621" s="18" t="str">
        <f>+VLOOKUP(AG621,Leyenda!$O$4:$U$10,7,FALSE)</f>
        <v>Easy to blast</v>
      </c>
      <c r="AK621" s="18">
        <f>+VLOOKUP(AJ621,Leyenda!$U$4:$V$10,2,FALSE)</f>
        <v>3</v>
      </c>
      <c r="AL621" s="18"/>
      <c r="AM621" s="18" t="s">
        <v>27</v>
      </c>
      <c r="AN621" s="18" t="s">
        <v>64</v>
      </c>
      <c r="AO621" s="18" t="s">
        <v>79</v>
      </c>
      <c r="AP621" s="18" t="s">
        <v>96</v>
      </c>
      <c r="AQ621" s="18" t="s">
        <v>107</v>
      </c>
      <c r="AR621" s="18" t="s">
        <v>120</v>
      </c>
      <c r="AS621" s="18" t="s">
        <v>267</v>
      </c>
      <c r="AT621" s="18"/>
      <c r="AU621" s="6"/>
      <c r="AV621" s="18">
        <f>+VLOOKUP(AN621,Leyenda!$B$30:$E$34,3,FALSE)</f>
        <v>2</v>
      </c>
      <c r="AW621" s="18">
        <f>+VLOOKUP('2. Logging Brejo Seco'!AO621,Meteorizacion,3,FALSE)</f>
        <v>1</v>
      </c>
      <c r="AX621" s="18">
        <f>+VLOOKUP('2. Logging Brejo Seco'!AP621,Apertura,3,FALSE)</f>
        <v>1</v>
      </c>
      <c r="AY621" s="18">
        <f>+VLOOKUP('2. Logging Brejo Seco'!AQ621,Leyenda!$B$55:$D$59,3,FALSE)</f>
        <v>3</v>
      </c>
      <c r="AZ621" s="18">
        <f>+VLOOKUP('2. Logging Brejo Seco'!AR621,Relleno,3,FALSE)</f>
        <v>2</v>
      </c>
      <c r="BA621" s="18">
        <f t="shared" si="237"/>
        <v>9</v>
      </c>
      <c r="BB621" s="49">
        <f t="shared" si="238"/>
        <v>10</v>
      </c>
      <c r="BC621" s="49">
        <f>VLOOKUP(AH621,Leyenda!$B$4:$D$10,3,FALSE)</f>
        <v>4</v>
      </c>
      <c r="BD621" s="49">
        <f t="shared" si="203"/>
        <v>9</v>
      </c>
      <c r="BE621" s="49">
        <f t="shared" si="239"/>
        <v>9</v>
      </c>
      <c r="BF621" s="49">
        <f>VLOOKUP(AS621,Leyenda!$B$70:$D$75,3,FALSE)</f>
        <v>15</v>
      </c>
      <c r="BG621" s="67">
        <f t="shared" si="240"/>
        <v>38.2826086956522</v>
      </c>
      <c r="BH621" s="67">
        <f>VLOOKUP(AG621,Leyenda!$B$4:$E$10,4,FALSE)</f>
        <v>4</v>
      </c>
      <c r="BI621" s="67">
        <f t="shared" si="204"/>
        <v>12</v>
      </c>
      <c r="BJ621" s="67">
        <f t="shared" si="241"/>
        <v>10</v>
      </c>
      <c r="BK621" s="67">
        <f>+VLOOKUP('2. Logging Brejo Seco'!AP621,Leyenda!$B$47:$E$51,4,FALSE)</f>
        <v>1</v>
      </c>
      <c r="BL621" s="67">
        <f>+VLOOKUP('2. Logging Brejo Seco'!AQ621,Leyenda!$B$55:$E$59,4,FALSE)</f>
        <v>3</v>
      </c>
      <c r="BM621" s="67">
        <f>+VLOOKUP('2. Logging Brejo Seco'!AR621,Leyenda!$B$63:$E$67,3,FALSE)</f>
        <v>2</v>
      </c>
      <c r="BN621" s="67">
        <f>+VLOOKUP('2. Logging Brejo Seco'!AO621,Leyenda!$B$39:$E$43,4,FALSE)</f>
        <v>1</v>
      </c>
      <c r="BO621" s="67">
        <f>+VLOOKUP('2. Logging Brejo Seco'!AN621,Leyenda!$B$30:$E$34,4,FALSE)</f>
        <v>3</v>
      </c>
      <c r="BP621" s="67">
        <f>VLOOKUP(AS621,Leyenda!$B$71:$E$75,4,FALSE)</f>
        <v>10</v>
      </c>
      <c r="BQ621" s="67">
        <f t="shared" si="242"/>
        <v>46</v>
      </c>
      <c r="BR621" s="18">
        <f t="shared" si="243"/>
        <v>47</v>
      </c>
      <c r="BS621" s="240">
        <f t="shared" si="205"/>
        <v>0.16521739130434687</v>
      </c>
      <c r="BT621" s="6"/>
    </row>
    <row r="622" spans="1:72" x14ac:dyDescent="0.25">
      <c r="A622" s="18" t="s">
        <v>6</v>
      </c>
      <c r="B622" s="18">
        <v>2024</v>
      </c>
      <c r="C622" s="18" t="s">
        <v>138</v>
      </c>
      <c r="D622" s="18" t="s">
        <v>657</v>
      </c>
      <c r="E622" s="3">
        <v>40</v>
      </c>
      <c r="F622" s="191">
        <v>40</v>
      </c>
      <c r="G622" s="36" t="s">
        <v>153</v>
      </c>
      <c r="H622" s="3">
        <v>20</v>
      </c>
      <c r="I622" s="3" t="s">
        <v>760</v>
      </c>
      <c r="J622" s="3"/>
      <c r="K622" s="18">
        <f t="shared" si="244"/>
        <v>25</v>
      </c>
      <c r="L622" s="18">
        <v>26.6</v>
      </c>
      <c r="M622" s="107">
        <f t="shared" si="223"/>
        <v>1.6000000000000014</v>
      </c>
      <c r="N622" s="113">
        <f t="shared" si="233"/>
        <v>0.72499999999999931</v>
      </c>
      <c r="O622" s="5">
        <f t="shared" si="200"/>
        <v>0.27500000000000069</v>
      </c>
      <c r="P622" s="3">
        <v>1.1599999999999999</v>
      </c>
      <c r="Q622" s="6"/>
      <c r="R622" s="6"/>
      <c r="S622" s="6"/>
      <c r="T622" s="18">
        <f>1.16+0.07</f>
        <v>1.23</v>
      </c>
      <c r="U622" s="18">
        <v>0.75</v>
      </c>
      <c r="V622" s="187">
        <f t="shared" si="236"/>
        <v>46.874999999999957</v>
      </c>
      <c r="W622" s="18"/>
      <c r="X622" s="18"/>
      <c r="Y622" s="18">
        <v>8</v>
      </c>
      <c r="Z622" s="31">
        <f t="shared" si="225"/>
        <v>200.00000000000017</v>
      </c>
      <c r="AA622" s="6"/>
      <c r="AB622" s="6"/>
      <c r="AC622" s="6"/>
      <c r="AD622" s="6"/>
      <c r="AE622" s="6"/>
      <c r="AF622" s="18"/>
      <c r="AG622" s="18" t="s">
        <v>29</v>
      </c>
      <c r="AH622" s="18" t="s">
        <v>29</v>
      </c>
      <c r="AI622" s="18" t="str">
        <f>+VLOOKUP(AH622,Leyenda!$O$4:$U$10,6,FALSE)</f>
        <v>0,25-0,35</v>
      </c>
      <c r="AJ622" s="18" t="str">
        <f>+VLOOKUP(AG622,Leyenda!$O$4:$U$10,7,FALSE)</f>
        <v>No Blasting need</v>
      </c>
      <c r="AK622" s="18">
        <f>+VLOOKUP(AJ622,Leyenda!$U$4:$V$10,2,FALSE)</f>
        <v>2</v>
      </c>
      <c r="AL622" s="18"/>
      <c r="AM622" s="18" t="s">
        <v>32</v>
      </c>
      <c r="AN622" s="18" t="s">
        <v>66</v>
      </c>
      <c r="AO622" s="18" t="s">
        <v>79</v>
      </c>
      <c r="AP622" s="18" t="s">
        <v>96</v>
      </c>
      <c r="AQ622" s="18" t="s">
        <v>107</v>
      </c>
      <c r="AR622" s="3" t="s">
        <v>122</v>
      </c>
      <c r="AS622" s="3" t="s">
        <v>267</v>
      </c>
      <c r="AT622" s="18"/>
      <c r="AU622" s="6"/>
      <c r="AV622" s="18">
        <f>+VLOOKUP(AN622,Leyenda!$B$30:$E$34,3,FALSE)</f>
        <v>1</v>
      </c>
      <c r="AW622" s="18">
        <f>+VLOOKUP('2. Logging Brejo Seco'!AO622,Meteorizacion,3,FALSE)</f>
        <v>1</v>
      </c>
      <c r="AX622" s="18">
        <f>+VLOOKUP('2. Logging Brejo Seco'!AP622,Apertura,3,FALSE)</f>
        <v>1</v>
      </c>
      <c r="AY622" s="18">
        <f>+VLOOKUP('2. Logging Brejo Seco'!AQ622,Leyenda!$B$55:$D$59,3,FALSE)</f>
        <v>3</v>
      </c>
      <c r="AZ622" s="18">
        <f>+VLOOKUP('2. Logging Brejo Seco'!AR622,Relleno,3,FALSE)</f>
        <v>0</v>
      </c>
      <c r="BA622" s="18">
        <f t="shared" si="237"/>
        <v>6</v>
      </c>
      <c r="BB622" s="49">
        <f t="shared" si="238"/>
        <v>10</v>
      </c>
      <c r="BC622" s="49">
        <f>VLOOKUP(AH622,Leyenda!$B$4:$D$10,3,FALSE)</f>
        <v>2</v>
      </c>
      <c r="BD622" s="49">
        <f t="shared" si="203"/>
        <v>9</v>
      </c>
      <c r="BE622" s="49">
        <f t="shared" si="239"/>
        <v>6</v>
      </c>
      <c r="BF622" s="49">
        <f>VLOOKUP(AS622,Leyenda!$B$70:$D$75,3,FALSE)</f>
        <v>15</v>
      </c>
      <c r="BG622" s="67">
        <f t="shared" si="240"/>
        <v>32.437499999999979</v>
      </c>
      <c r="BH622" s="67">
        <f>VLOOKUP(AG622,Leyenda!$B$4:$E$10,4,FALSE)</f>
        <v>2</v>
      </c>
      <c r="BI622" s="67">
        <f t="shared" si="204"/>
        <v>12</v>
      </c>
      <c r="BJ622" s="67">
        <f t="shared" si="241"/>
        <v>10</v>
      </c>
      <c r="BK622" s="67">
        <f>+VLOOKUP('2. Logging Brejo Seco'!AP622,Leyenda!$B$47:$E$51,4,FALSE)</f>
        <v>1</v>
      </c>
      <c r="BL622" s="67">
        <f>+VLOOKUP('2. Logging Brejo Seco'!AQ622,Leyenda!$B$55:$E$59,4,FALSE)</f>
        <v>3</v>
      </c>
      <c r="BM622" s="67">
        <f>+VLOOKUP('2. Logging Brejo Seco'!AR622,Leyenda!$B$63:$E$67,3,FALSE)</f>
        <v>0</v>
      </c>
      <c r="BN622" s="67">
        <f>+VLOOKUP('2. Logging Brejo Seco'!AO622,Leyenda!$B$39:$E$43,4,FALSE)</f>
        <v>1</v>
      </c>
      <c r="BO622" s="67">
        <f>+VLOOKUP('2. Logging Brejo Seco'!AN622,Leyenda!$B$30:$E$34,4,FALSE)</f>
        <v>1</v>
      </c>
      <c r="BP622" s="67">
        <f>VLOOKUP(AS622,Leyenda!$B$71:$E$75,4,FALSE)</f>
        <v>10</v>
      </c>
      <c r="BQ622" s="67">
        <f t="shared" si="242"/>
        <v>40</v>
      </c>
      <c r="BR622" s="18">
        <f t="shared" si="243"/>
        <v>42</v>
      </c>
      <c r="BS622" s="240">
        <f t="shared" si="205"/>
        <v>0.27500000000000069</v>
      </c>
      <c r="BT622" s="6"/>
    </row>
    <row r="623" spans="1:72" x14ac:dyDescent="0.25">
      <c r="A623" s="18" t="s">
        <v>6</v>
      </c>
      <c r="B623" s="18">
        <v>2024</v>
      </c>
      <c r="C623" s="18" t="s">
        <v>138</v>
      </c>
      <c r="D623" s="18" t="s">
        <v>657</v>
      </c>
      <c r="E623" s="3">
        <v>40</v>
      </c>
      <c r="F623" s="191">
        <v>40</v>
      </c>
      <c r="G623" s="36" t="s">
        <v>153</v>
      </c>
      <c r="H623" s="3">
        <v>20</v>
      </c>
      <c r="I623" s="3" t="s">
        <v>760</v>
      </c>
      <c r="J623" s="3"/>
      <c r="K623" s="18">
        <f t="shared" si="244"/>
        <v>26.6</v>
      </c>
      <c r="L623" s="18">
        <v>27.85</v>
      </c>
      <c r="M623" s="107">
        <f t="shared" si="223"/>
        <v>1.25</v>
      </c>
      <c r="N623" s="113">
        <f t="shared" si="233"/>
        <v>0.6</v>
      </c>
      <c r="O623" s="5">
        <f t="shared" si="200"/>
        <v>0.4</v>
      </c>
      <c r="P623" s="3">
        <v>0.75</v>
      </c>
      <c r="Q623" s="6"/>
      <c r="R623" s="6"/>
      <c r="S623" s="6"/>
      <c r="T623" s="18">
        <v>0.75</v>
      </c>
      <c r="U623" s="18">
        <v>0.19</v>
      </c>
      <c r="V623" s="187">
        <f t="shared" si="236"/>
        <v>15.2</v>
      </c>
      <c r="W623" s="18"/>
      <c r="X623" s="18"/>
      <c r="Y623" s="18">
        <v>10</v>
      </c>
      <c r="Z623" s="31">
        <f t="shared" si="225"/>
        <v>125</v>
      </c>
      <c r="AA623" s="6"/>
      <c r="AB623" s="6"/>
      <c r="AC623" s="6"/>
      <c r="AD623" s="6"/>
      <c r="AE623" s="6"/>
      <c r="AF623" s="18"/>
      <c r="AG623" s="18" t="s">
        <v>29</v>
      </c>
      <c r="AH623" s="18" t="s">
        <v>29</v>
      </c>
      <c r="AI623" s="18" t="str">
        <f>+VLOOKUP(AH623,Leyenda!$O$4:$U$10,6,FALSE)</f>
        <v>0,25-0,35</v>
      </c>
      <c r="AJ623" s="18" t="str">
        <f>+VLOOKUP(AG623,Leyenda!$O$4:$U$10,7,FALSE)</f>
        <v>No Blasting need</v>
      </c>
      <c r="AK623" s="18">
        <f>+VLOOKUP(AJ623,Leyenda!$U$4:$V$10,2,FALSE)</f>
        <v>2</v>
      </c>
      <c r="AL623" s="18"/>
      <c r="AM623" s="18" t="s">
        <v>29</v>
      </c>
      <c r="AN623" s="18" t="s">
        <v>66</v>
      </c>
      <c r="AO623" s="18" t="s">
        <v>79</v>
      </c>
      <c r="AP623" s="18" t="s">
        <v>96</v>
      </c>
      <c r="AQ623" s="18" t="s">
        <v>107</v>
      </c>
      <c r="AR623" s="18" t="s">
        <v>122</v>
      </c>
      <c r="AS623" s="18" t="s">
        <v>267</v>
      </c>
      <c r="AT623" s="18"/>
      <c r="AU623" s="6"/>
      <c r="AV623" s="18">
        <f>+VLOOKUP(AN623,Leyenda!$B$30:$E$34,3,FALSE)</f>
        <v>1</v>
      </c>
      <c r="AW623" s="18">
        <f>+VLOOKUP('2. Logging Brejo Seco'!AO623,Meteorizacion,3,FALSE)</f>
        <v>1</v>
      </c>
      <c r="AX623" s="18">
        <f>+VLOOKUP('2. Logging Brejo Seco'!AP623,Apertura,3,FALSE)</f>
        <v>1</v>
      </c>
      <c r="AY623" s="18">
        <f>+VLOOKUP('2. Logging Brejo Seco'!AQ623,Leyenda!$B$55:$D$59,3,FALSE)</f>
        <v>3</v>
      </c>
      <c r="AZ623" s="18">
        <f>+VLOOKUP('2. Logging Brejo Seco'!AR623,Relleno,3,FALSE)</f>
        <v>0</v>
      </c>
      <c r="BA623" s="18">
        <f t="shared" si="237"/>
        <v>6</v>
      </c>
      <c r="BB623" s="49">
        <f t="shared" si="238"/>
        <v>3</v>
      </c>
      <c r="BC623" s="49">
        <f>VLOOKUP(AH623,Leyenda!$B$4:$D$10,3,FALSE)</f>
        <v>2</v>
      </c>
      <c r="BD623" s="49">
        <f t="shared" si="203"/>
        <v>8</v>
      </c>
      <c r="BE623" s="49">
        <f t="shared" si="239"/>
        <v>6</v>
      </c>
      <c r="BF623" s="49">
        <f>VLOOKUP(AS623,Leyenda!$B$70:$D$75,3,FALSE)</f>
        <v>15</v>
      </c>
      <c r="BG623" s="67">
        <f t="shared" si="240"/>
        <v>16.600000000000001</v>
      </c>
      <c r="BH623" s="67">
        <f>VLOOKUP(AG623,Leyenda!$B$4:$E$10,4,FALSE)</f>
        <v>2</v>
      </c>
      <c r="BI623" s="67">
        <f t="shared" si="204"/>
        <v>10</v>
      </c>
      <c r="BJ623" s="67">
        <f t="shared" si="241"/>
        <v>3</v>
      </c>
      <c r="BK623" s="67">
        <f>+VLOOKUP('2. Logging Brejo Seco'!AP623,Leyenda!$B$47:$E$51,4,FALSE)</f>
        <v>1</v>
      </c>
      <c r="BL623" s="67">
        <f>+VLOOKUP('2. Logging Brejo Seco'!AQ623,Leyenda!$B$55:$E$59,4,FALSE)</f>
        <v>3</v>
      </c>
      <c r="BM623" s="67">
        <f>+VLOOKUP('2. Logging Brejo Seco'!AR623,Leyenda!$B$63:$E$67,3,FALSE)</f>
        <v>0</v>
      </c>
      <c r="BN623" s="67">
        <f>+VLOOKUP('2. Logging Brejo Seco'!AO623,Leyenda!$B$39:$E$43,4,FALSE)</f>
        <v>1</v>
      </c>
      <c r="BO623" s="67">
        <f>+VLOOKUP('2. Logging Brejo Seco'!AN623,Leyenda!$B$30:$E$34,4,FALSE)</f>
        <v>1</v>
      </c>
      <c r="BP623" s="67">
        <f>VLOOKUP(AS623,Leyenda!$B$71:$E$75,4,FALSE)</f>
        <v>10</v>
      </c>
      <c r="BQ623" s="67">
        <f t="shared" si="242"/>
        <v>31</v>
      </c>
      <c r="BR623" s="18">
        <f t="shared" si="243"/>
        <v>34</v>
      </c>
      <c r="BS623" s="240">
        <f t="shared" si="205"/>
        <v>0.4</v>
      </c>
      <c r="BT623" s="6"/>
    </row>
    <row r="624" spans="1:72" x14ac:dyDescent="0.25">
      <c r="A624" s="18" t="s">
        <v>6</v>
      </c>
      <c r="B624" s="18">
        <v>2024</v>
      </c>
      <c r="C624" s="18" t="s">
        <v>138</v>
      </c>
      <c r="D624" s="18" t="s">
        <v>657</v>
      </c>
      <c r="E624" s="3">
        <v>40</v>
      </c>
      <c r="F624" s="191">
        <v>40</v>
      </c>
      <c r="G624" s="36" t="s">
        <v>153</v>
      </c>
      <c r="H624" s="244">
        <v>40</v>
      </c>
      <c r="I624" s="244" t="s">
        <v>757</v>
      </c>
      <c r="J624" s="244"/>
      <c r="K624" s="18">
        <f t="shared" si="244"/>
        <v>27.85</v>
      </c>
      <c r="L624" s="18">
        <v>29.6</v>
      </c>
      <c r="M624" s="107">
        <f t="shared" si="223"/>
        <v>1.75</v>
      </c>
      <c r="N624" s="113">
        <f t="shared" si="233"/>
        <v>0.64571428571428569</v>
      </c>
      <c r="O624" s="5">
        <f t="shared" si="200"/>
        <v>0.35428571428571431</v>
      </c>
      <c r="P624" s="3">
        <v>1.1299999999999999</v>
      </c>
      <c r="Q624" s="6"/>
      <c r="R624" s="6"/>
      <c r="S624" s="6"/>
      <c r="T624" s="18">
        <v>1.1299999999999999</v>
      </c>
      <c r="U624" s="18">
        <v>0.4</v>
      </c>
      <c r="V624" s="187">
        <f t="shared" si="236"/>
        <v>22.857142857142858</v>
      </c>
      <c r="W624" s="18"/>
      <c r="X624" s="18"/>
      <c r="Y624" s="18">
        <v>12</v>
      </c>
      <c r="Z624" s="31">
        <f t="shared" si="225"/>
        <v>145.83333333333334</v>
      </c>
      <c r="AA624" s="6"/>
      <c r="AB624" s="6"/>
      <c r="AC624" s="6"/>
      <c r="AD624" s="6"/>
      <c r="AE624" s="6"/>
      <c r="AF624" s="18"/>
      <c r="AG624" s="18" t="s">
        <v>29</v>
      </c>
      <c r="AH624" s="18" t="s">
        <v>29</v>
      </c>
      <c r="AI624" s="18" t="str">
        <f>+VLOOKUP(AH624,Leyenda!$O$4:$U$10,6,FALSE)</f>
        <v>0,25-0,35</v>
      </c>
      <c r="AJ624" s="18" t="str">
        <f>+VLOOKUP(AG624,Leyenda!$O$4:$U$10,7,FALSE)</f>
        <v>No Blasting need</v>
      </c>
      <c r="AK624" s="18">
        <f>+VLOOKUP(AJ624,Leyenda!$U$4:$V$10,2,FALSE)</f>
        <v>2</v>
      </c>
      <c r="AL624" s="18"/>
      <c r="AM624" s="18" t="s">
        <v>29</v>
      </c>
      <c r="AN624" s="18" t="s">
        <v>64</v>
      </c>
      <c r="AO624" s="18" t="s">
        <v>79</v>
      </c>
      <c r="AP624" s="18" t="s">
        <v>92</v>
      </c>
      <c r="AQ624" s="18" t="s">
        <v>107</v>
      </c>
      <c r="AR624" s="18" t="s">
        <v>122</v>
      </c>
      <c r="AS624" s="18" t="s">
        <v>267</v>
      </c>
      <c r="AT624" s="18"/>
      <c r="AU624" s="6"/>
      <c r="AV624" s="18">
        <f>+VLOOKUP(AN624,Leyenda!$B$30:$E$34,3,FALSE)</f>
        <v>2</v>
      </c>
      <c r="AW624" s="18">
        <f>+VLOOKUP('2. Logging Brejo Seco'!AO624,Meteorizacion,3,FALSE)</f>
        <v>1</v>
      </c>
      <c r="AX624" s="18">
        <f>+VLOOKUP('2. Logging Brejo Seco'!AP624,Apertura,3,FALSE)</f>
        <v>3</v>
      </c>
      <c r="AY624" s="18">
        <f>+VLOOKUP('2. Logging Brejo Seco'!AQ624,Leyenda!$B$55:$D$59,3,FALSE)</f>
        <v>3</v>
      </c>
      <c r="AZ624" s="18">
        <f>+VLOOKUP('2. Logging Brejo Seco'!AR624,Relleno,3,FALSE)</f>
        <v>0</v>
      </c>
      <c r="BA624" s="18">
        <f t="shared" si="237"/>
        <v>9</v>
      </c>
      <c r="BB624" s="49">
        <f t="shared" si="238"/>
        <v>5</v>
      </c>
      <c r="BC624" s="49">
        <f>VLOOKUP(AH624,Leyenda!$B$4:$D$10,3,FALSE)</f>
        <v>2</v>
      </c>
      <c r="BD624" s="49">
        <f t="shared" si="203"/>
        <v>8</v>
      </c>
      <c r="BE624" s="49">
        <f t="shared" si="239"/>
        <v>9</v>
      </c>
      <c r="BF624" s="49">
        <f>VLOOKUP(AS624,Leyenda!$B$70:$D$75,3,FALSE)</f>
        <v>15</v>
      </c>
      <c r="BG624" s="67">
        <f t="shared" si="240"/>
        <v>24.928571428571431</v>
      </c>
      <c r="BH624" s="67">
        <f>VLOOKUP(AG624,Leyenda!$B$4:$E$10,4,FALSE)</f>
        <v>2</v>
      </c>
      <c r="BI624" s="67">
        <f t="shared" si="204"/>
        <v>10</v>
      </c>
      <c r="BJ624" s="67">
        <f t="shared" si="241"/>
        <v>5</v>
      </c>
      <c r="BK624" s="67">
        <f>+VLOOKUP('2. Logging Brejo Seco'!AP624,Leyenda!$B$47:$E$51,4,FALSE)</f>
        <v>3</v>
      </c>
      <c r="BL624" s="67">
        <f>+VLOOKUP('2. Logging Brejo Seco'!AQ624,Leyenda!$B$55:$E$59,4,FALSE)</f>
        <v>3</v>
      </c>
      <c r="BM624" s="67">
        <f>+VLOOKUP('2. Logging Brejo Seco'!AR624,Leyenda!$B$63:$E$67,3,FALSE)</f>
        <v>0</v>
      </c>
      <c r="BN624" s="67">
        <f>+VLOOKUP('2. Logging Brejo Seco'!AO624,Leyenda!$B$39:$E$43,4,FALSE)</f>
        <v>1</v>
      </c>
      <c r="BO624" s="67">
        <f>+VLOOKUP('2. Logging Brejo Seco'!AN624,Leyenda!$B$30:$E$34,4,FALSE)</f>
        <v>3</v>
      </c>
      <c r="BP624" s="67">
        <f>VLOOKUP(AS624,Leyenda!$B$71:$E$75,4,FALSE)</f>
        <v>10</v>
      </c>
      <c r="BQ624" s="67">
        <f t="shared" si="242"/>
        <v>37</v>
      </c>
      <c r="BR624" s="18">
        <f t="shared" si="243"/>
        <v>39</v>
      </c>
      <c r="BS624" s="240">
        <f t="shared" si="205"/>
        <v>0.35428571428571431</v>
      </c>
      <c r="BT624" s="6"/>
    </row>
    <row r="625" spans="1:72" x14ac:dyDescent="0.25">
      <c r="A625" s="18" t="s">
        <v>6</v>
      </c>
      <c r="B625" s="18">
        <v>2024</v>
      </c>
      <c r="C625" s="18" t="s">
        <v>138</v>
      </c>
      <c r="D625" s="18" t="s">
        <v>657</v>
      </c>
      <c r="E625" s="3">
        <v>30</v>
      </c>
      <c r="F625" s="191">
        <v>30</v>
      </c>
      <c r="G625" s="18" t="s">
        <v>152</v>
      </c>
      <c r="H625" s="244">
        <v>30</v>
      </c>
      <c r="I625" s="244" t="s">
        <v>759</v>
      </c>
      <c r="J625" s="244"/>
      <c r="K625" s="18">
        <f t="shared" si="244"/>
        <v>29.6</v>
      </c>
      <c r="L625" s="18">
        <v>30.85</v>
      </c>
      <c r="M625" s="107">
        <f t="shared" si="223"/>
        <v>1.25</v>
      </c>
      <c r="N625" s="113">
        <f t="shared" si="233"/>
        <v>0.85600000000000009</v>
      </c>
      <c r="O625" s="5">
        <f t="shared" si="200"/>
        <v>0.14399999999999991</v>
      </c>
      <c r="P625" s="3">
        <v>1.07</v>
      </c>
      <c r="Q625" s="6"/>
      <c r="R625" s="6"/>
      <c r="S625" s="6"/>
      <c r="T625" s="18">
        <v>0.93</v>
      </c>
      <c r="U625" s="18">
        <v>0.56999999999999995</v>
      </c>
      <c r="V625" s="187">
        <f t="shared" si="236"/>
        <v>45.599999999999994</v>
      </c>
      <c r="W625" s="18"/>
      <c r="X625" s="18"/>
      <c r="Y625" s="18">
        <v>9</v>
      </c>
      <c r="Z625" s="31">
        <f t="shared" si="225"/>
        <v>138.88888888888889</v>
      </c>
      <c r="AA625" s="6"/>
      <c r="AB625" s="6"/>
      <c r="AC625" s="6"/>
      <c r="AD625" s="6"/>
      <c r="AE625" s="6"/>
      <c r="AF625" s="18"/>
      <c r="AG625" s="18" t="s">
        <v>29</v>
      </c>
      <c r="AH625" s="18" t="s">
        <v>29</v>
      </c>
      <c r="AI625" s="18" t="str">
        <f>+VLOOKUP(AH625,Leyenda!$O$4:$U$10,6,FALSE)</f>
        <v>0,25-0,35</v>
      </c>
      <c r="AJ625" s="18" t="str">
        <f>+VLOOKUP(AG625,Leyenda!$O$4:$U$10,7,FALSE)</f>
        <v>No Blasting need</v>
      </c>
      <c r="AK625" s="18">
        <f>+VLOOKUP(AJ625,Leyenda!$U$4:$V$10,2,FALSE)</f>
        <v>2</v>
      </c>
      <c r="AL625" s="18"/>
      <c r="AM625" s="18" t="s">
        <v>29</v>
      </c>
      <c r="AN625" s="18" t="s">
        <v>64</v>
      </c>
      <c r="AO625" s="18" t="s">
        <v>79</v>
      </c>
      <c r="AP625" s="18" t="s">
        <v>92</v>
      </c>
      <c r="AQ625" s="18" t="s">
        <v>107</v>
      </c>
      <c r="AR625" s="18" t="s">
        <v>122</v>
      </c>
      <c r="AS625" s="18" t="s">
        <v>267</v>
      </c>
      <c r="AT625" s="18"/>
      <c r="AU625" s="6"/>
      <c r="AV625" s="36">
        <f>+VLOOKUP(AN625,Leyenda!$B$30:$E$34,3,FALSE)</f>
        <v>2</v>
      </c>
      <c r="AW625" s="36">
        <f>+VLOOKUP('2. Logging Brejo Seco'!AO625,Meteorizacion,3,FALSE)</f>
        <v>1</v>
      </c>
      <c r="AX625" s="36">
        <f>+VLOOKUP('2. Logging Brejo Seco'!AP625,Apertura,3,FALSE)</f>
        <v>3</v>
      </c>
      <c r="AY625" s="36">
        <f>+VLOOKUP('2. Logging Brejo Seco'!AQ625,Leyenda!$B$55:$D$59,3,FALSE)</f>
        <v>3</v>
      </c>
      <c r="AZ625" s="36">
        <f>+VLOOKUP('2. Logging Brejo Seco'!AR625,Relleno,3,FALSE)</f>
        <v>0</v>
      </c>
      <c r="BA625" s="36">
        <f t="shared" si="237"/>
        <v>9</v>
      </c>
      <c r="BB625" s="50">
        <f t="shared" si="238"/>
        <v>10</v>
      </c>
      <c r="BC625" s="49">
        <f>VLOOKUP(AH625,Leyenda!$B$4:$D$10,3,FALSE)</f>
        <v>2</v>
      </c>
      <c r="BD625" s="50">
        <f t="shared" si="203"/>
        <v>8</v>
      </c>
      <c r="BE625" s="50">
        <f t="shared" si="239"/>
        <v>9</v>
      </c>
      <c r="BF625" s="50">
        <f>VLOOKUP(AS625,Leyenda!$B$70:$D$75,3,FALSE)</f>
        <v>15</v>
      </c>
      <c r="BG625" s="110">
        <f t="shared" si="240"/>
        <v>36.299999999999997</v>
      </c>
      <c r="BH625" s="110">
        <f>VLOOKUP(AG625,Leyenda!$B$4:$E$10,4,FALSE)</f>
        <v>2</v>
      </c>
      <c r="BI625" s="67">
        <f t="shared" si="204"/>
        <v>10</v>
      </c>
      <c r="BJ625" s="110">
        <f t="shared" si="241"/>
        <v>10</v>
      </c>
      <c r="BK625" s="110">
        <f>+VLOOKUP('2. Logging Brejo Seco'!AP625,Leyenda!$B$47:$E$51,4,FALSE)</f>
        <v>3</v>
      </c>
      <c r="BL625" s="110">
        <f>+VLOOKUP('2. Logging Brejo Seco'!AQ625,Leyenda!$B$55:$E$59,4,FALSE)</f>
        <v>3</v>
      </c>
      <c r="BM625" s="110">
        <f>+VLOOKUP('2. Logging Brejo Seco'!AR625,Leyenda!$B$63:$E$67,3,FALSE)</f>
        <v>0</v>
      </c>
      <c r="BN625" s="110">
        <f>+VLOOKUP('2. Logging Brejo Seco'!AO625,Leyenda!$B$39:$E$43,4,FALSE)</f>
        <v>1</v>
      </c>
      <c r="BO625" s="110">
        <f>+VLOOKUP('2. Logging Brejo Seco'!AN625,Leyenda!$B$30:$E$34,4,FALSE)</f>
        <v>3</v>
      </c>
      <c r="BP625" s="110">
        <f>VLOOKUP(AS625,Leyenda!$B$71:$E$75,4,FALSE)</f>
        <v>10</v>
      </c>
      <c r="BQ625" s="110">
        <f t="shared" si="242"/>
        <v>42</v>
      </c>
      <c r="BR625" s="36">
        <f t="shared" si="243"/>
        <v>44</v>
      </c>
      <c r="BS625" s="240">
        <f t="shared" si="205"/>
        <v>0.14399999999999991</v>
      </c>
      <c r="BT625" s="6"/>
    </row>
    <row r="626" spans="1:72" x14ac:dyDescent="0.25">
      <c r="A626" s="18" t="s">
        <v>6</v>
      </c>
      <c r="B626" s="18">
        <v>2024</v>
      </c>
      <c r="C626" s="18" t="s">
        <v>138</v>
      </c>
      <c r="D626" s="18" t="s">
        <v>657</v>
      </c>
      <c r="E626" s="3">
        <v>30</v>
      </c>
      <c r="F626" s="191">
        <v>30</v>
      </c>
      <c r="G626" s="18" t="s">
        <v>152</v>
      </c>
      <c r="H626" s="244">
        <v>30</v>
      </c>
      <c r="I626" s="244" t="s">
        <v>759</v>
      </c>
      <c r="J626" s="244"/>
      <c r="K626" s="18">
        <f t="shared" si="244"/>
        <v>30.85</v>
      </c>
      <c r="L626" s="18">
        <v>32.75</v>
      </c>
      <c r="M626" s="107">
        <f t="shared" si="223"/>
        <v>1.8999999999999986</v>
      </c>
      <c r="N626" s="113">
        <f t="shared" si="233"/>
        <v>0.87894736842105325</v>
      </c>
      <c r="O626" s="5">
        <f t="shared" ref="O626:O689" si="245">1-N626</f>
        <v>0.12105263157894675</v>
      </c>
      <c r="P626" s="3">
        <v>1.67</v>
      </c>
      <c r="Q626" s="6"/>
      <c r="R626" s="6"/>
      <c r="S626" s="6"/>
      <c r="T626" s="18">
        <f>1.41+0.26</f>
        <v>1.67</v>
      </c>
      <c r="U626" s="18">
        <f>1.06+0.18</f>
        <v>1.24</v>
      </c>
      <c r="V626" s="187">
        <f t="shared" si="236"/>
        <v>65.263157894736892</v>
      </c>
      <c r="W626" s="18"/>
      <c r="X626" s="18"/>
      <c r="Y626" s="18">
        <v>6</v>
      </c>
      <c r="Z626" s="31">
        <f t="shared" si="225"/>
        <v>316.66666666666646</v>
      </c>
      <c r="AA626" s="6"/>
      <c r="AB626" s="6"/>
      <c r="AC626" s="6"/>
      <c r="AD626" s="6"/>
      <c r="AE626" s="6"/>
      <c r="AF626" s="18"/>
      <c r="AG626" s="18" t="s">
        <v>29</v>
      </c>
      <c r="AH626" s="18" t="s">
        <v>29</v>
      </c>
      <c r="AI626" s="18" t="str">
        <f>+VLOOKUP(AH626,Leyenda!$O$4:$U$10,6,FALSE)</f>
        <v>0,25-0,35</v>
      </c>
      <c r="AJ626" s="18" t="str">
        <f>+VLOOKUP(AG626,Leyenda!$O$4:$U$10,7,FALSE)</f>
        <v>No Blasting need</v>
      </c>
      <c r="AK626" s="18">
        <f>+VLOOKUP(AJ626,Leyenda!$U$4:$V$10,2,FALSE)</f>
        <v>2</v>
      </c>
      <c r="AL626" s="18"/>
      <c r="AM626" s="18" t="s">
        <v>29</v>
      </c>
      <c r="AN626" s="18" t="s">
        <v>64</v>
      </c>
      <c r="AO626" s="18" t="s">
        <v>79</v>
      </c>
      <c r="AP626" s="18" t="s">
        <v>92</v>
      </c>
      <c r="AQ626" s="18" t="s">
        <v>107</v>
      </c>
      <c r="AR626" s="18" t="s">
        <v>122</v>
      </c>
      <c r="AS626" s="18" t="s">
        <v>267</v>
      </c>
      <c r="AT626" s="18"/>
      <c r="AU626" s="6"/>
      <c r="AV626" s="36">
        <f>+VLOOKUP(AN626,Leyenda!$B$30:$E$34,3,FALSE)</f>
        <v>2</v>
      </c>
      <c r="AW626" s="36">
        <f>+VLOOKUP('2. Logging Brejo Seco'!AO626,Meteorizacion,3,FALSE)</f>
        <v>1</v>
      </c>
      <c r="AX626" s="36">
        <f>+VLOOKUP('2. Logging Brejo Seco'!AP626,Apertura,3,FALSE)</f>
        <v>3</v>
      </c>
      <c r="AY626" s="36">
        <f>+VLOOKUP('2. Logging Brejo Seco'!AQ626,Leyenda!$B$55:$D$59,3,FALSE)</f>
        <v>3</v>
      </c>
      <c r="AZ626" s="36">
        <f>+VLOOKUP('2. Logging Brejo Seco'!AR626,Relleno,3,FALSE)</f>
        <v>0</v>
      </c>
      <c r="BA626" s="36">
        <f t="shared" si="237"/>
        <v>9</v>
      </c>
      <c r="BB626" s="50">
        <f t="shared" si="238"/>
        <v>13</v>
      </c>
      <c r="BC626" s="49">
        <f>VLOOKUP(AH626,Leyenda!$B$4:$D$10,3,FALSE)</f>
        <v>2</v>
      </c>
      <c r="BD626" s="50">
        <f t="shared" si="203"/>
        <v>11</v>
      </c>
      <c r="BE626" s="50">
        <f t="shared" si="239"/>
        <v>9</v>
      </c>
      <c r="BF626" s="50">
        <f>VLOOKUP(AS626,Leyenda!$B$70:$D$75,3,FALSE)</f>
        <v>15</v>
      </c>
      <c r="BG626" s="110">
        <f t="shared" si="240"/>
        <v>46.131578947368446</v>
      </c>
      <c r="BH626" s="110">
        <f>VLOOKUP(AG626,Leyenda!$B$4:$E$10,4,FALSE)</f>
        <v>2</v>
      </c>
      <c r="BI626" s="67">
        <f t="shared" si="204"/>
        <v>15</v>
      </c>
      <c r="BJ626" s="110">
        <f t="shared" si="241"/>
        <v>13</v>
      </c>
      <c r="BK626" s="110">
        <f>+VLOOKUP('2. Logging Brejo Seco'!AP626,Leyenda!$B$47:$E$51,4,FALSE)</f>
        <v>3</v>
      </c>
      <c r="BL626" s="110">
        <f>+VLOOKUP('2. Logging Brejo Seco'!AQ626,Leyenda!$B$55:$E$59,4,FALSE)</f>
        <v>3</v>
      </c>
      <c r="BM626" s="110">
        <f>+VLOOKUP('2. Logging Brejo Seco'!AR626,Leyenda!$B$63:$E$67,3,FALSE)</f>
        <v>0</v>
      </c>
      <c r="BN626" s="110">
        <f>+VLOOKUP('2. Logging Brejo Seco'!AO626,Leyenda!$B$39:$E$43,4,FALSE)</f>
        <v>1</v>
      </c>
      <c r="BO626" s="110">
        <f>+VLOOKUP('2. Logging Brejo Seco'!AN626,Leyenda!$B$30:$E$34,4,FALSE)</f>
        <v>3</v>
      </c>
      <c r="BP626" s="110">
        <f>VLOOKUP(AS626,Leyenda!$B$71:$E$75,4,FALSE)</f>
        <v>10</v>
      </c>
      <c r="BQ626" s="110">
        <f t="shared" si="242"/>
        <v>50</v>
      </c>
      <c r="BR626" s="36">
        <f t="shared" si="243"/>
        <v>50</v>
      </c>
      <c r="BS626" s="240">
        <f t="shared" si="205"/>
        <v>0.12105263157894675</v>
      </c>
      <c r="BT626" s="6"/>
    </row>
    <row r="627" spans="1:72" x14ac:dyDescent="0.25">
      <c r="A627" s="18" t="s">
        <v>6</v>
      </c>
      <c r="B627" s="18">
        <v>2024</v>
      </c>
      <c r="C627" s="18" t="s">
        <v>138</v>
      </c>
      <c r="D627" s="18" t="s">
        <v>657</v>
      </c>
      <c r="E627" s="3">
        <v>30</v>
      </c>
      <c r="F627" s="191">
        <v>30</v>
      </c>
      <c r="G627" s="18" t="s">
        <v>152</v>
      </c>
      <c r="H627" s="244">
        <v>30</v>
      </c>
      <c r="I627" s="244" t="s">
        <v>759</v>
      </c>
      <c r="J627" s="244"/>
      <c r="K627" s="18">
        <f t="shared" si="244"/>
        <v>32.75</v>
      </c>
      <c r="L627" s="18">
        <v>34.35</v>
      </c>
      <c r="M627" s="107">
        <f t="shared" si="223"/>
        <v>1.6000000000000014</v>
      </c>
      <c r="N627" s="113">
        <f t="shared" si="233"/>
        <v>0.85624999999999929</v>
      </c>
      <c r="O627" s="5">
        <f t="shared" si="245"/>
        <v>0.14375000000000071</v>
      </c>
      <c r="P627" s="3">
        <v>1.37</v>
      </c>
      <c r="Q627" s="6"/>
      <c r="R627" s="6"/>
      <c r="S627" s="6"/>
      <c r="T627" s="18">
        <v>1.37</v>
      </c>
      <c r="U627" s="18">
        <v>0.19</v>
      </c>
      <c r="V627" s="187">
        <f t="shared" si="236"/>
        <v>11.874999999999989</v>
      </c>
      <c r="W627" s="18"/>
      <c r="X627" s="18"/>
      <c r="Y627" s="18">
        <v>16</v>
      </c>
      <c r="Z627" s="31">
        <f t="shared" si="225"/>
        <v>100.00000000000009</v>
      </c>
      <c r="AA627" s="6"/>
      <c r="AB627" s="6"/>
      <c r="AC627" s="6"/>
      <c r="AD627" s="6"/>
      <c r="AE627" s="6"/>
      <c r="AF627" s="18"/>
      <c r="AG627" s="18" t="s">
        <v>32</v>
      </c>
      <c r="AH627" s="18" t="s">
        <v>32</v>
      </c>
      <c r="AI627" s="18" t="str">
        <f>+VLOOKUP(AH627,Leyenda!$O$4:$U$10,6,FALSE)</f>
        <v>0,15-0,25</v>
      </c>
      <c r="AJ627" s="18" t="str">
        <f>+VLOOKUP(AG627,Leyenda!$O$4:$U$10,7,FALSE)</f>
        <v>No Blasting need</v>
      </c>
      <c r="AK627" s="18">
        <f>+VLOOKUP(AJ627,Leyenda!$U$4:$V$10,2,FALSE)</f>
        <v>2</v>
      </c>
      <c r="AL627" s="18"/>
      <c r="AM627" s="18" t="s">
        <v>32</v>
      </c>
      <c r="AN627" s="18" t="s">
        <v>66</v>
      </c>
      <c r="AO627" s="18" t="s">
        <v>81</v>
      </c>
      <c r="AP627" s="18" t="s">
        <v>100</v>
      </c>
      <c r="AQ627" s="18" t="s">
        <v>109</v>
      </c>
      <c r="AR627" s="18" t="s">
        <v>122</v>
      </c>
      <c r="AS627" s="18" t="s">
        <v>267</v>
      </c>
      <c r="AT627" s="18"/>
      <c r="AU627" s="6"/>
      <c r="AV627" s="36">
        <f>+VLOOKUP(AN627,Leyenda!$B$30:$E$34,3,FALSE)</f>
        <v>1</v>
      </c>
      <c r="AW627" s="36">
        <f>+VLOOKUP('2. Logging Brejo Seco'!AO627,Meteorizacion,3,FALSE)</f>
        <v>0</v>
      </c>
      <c r="AX627" s="36">
        <f>+VLOOKUP('2. Logging Brejo Seco'!AP627,Apertura,3,FALSE)</f>
        <v>0</v>
      </c>
      <c r="AY627" s="36">
        <f>+VLOOKUP('2. Logging Brejo Seco'!AQ627,Leyenda!$B$55:$D$59,3,FALSE)</f>
        <v>1</v>
      </c>
      <c r="AZ627" s="36">
        <f>+VLOOKUP('2. Logging Brejo Seco'!AR627,Relleno,3,FALSE)</f>
        <v>0</v>
      </c>
      <c r="BA627" s="36">
        <f t="shared" si="237"/>
        <v>2</v>
      </c>
      <c r="BB627" s="50">
        <f t="shared" si="238"/>
        <v>3</v>
      </c>
      <c r="BC627" s="49">
        <f>VLOOKUP(AH627,Leyenda!$B$4:$D$10,3,FALSE)</f>
        <v>1</v>
      </c>
      <c r="BD627" s="50">
        <f t="shared" si="203"/>
        <v>7</v>
      </c>
      <c r="BE627" s="50">
        <f t="shared" si="239"/>
        <v>2</v>
      </c>
      <c r="BF627" s="50">
        <f>VLOOKUP(AS627,Leyenda!$B$70:$D$75,3,FALSE)</f>
        <v>15</v>
      </c>
      <c r="BG627" s="110">
        <f t="shared" si="240"/>
        <v>8.9374999999999947</v>
      </c>
      <c r="BH627" s="110">
        <f>VLOOKUP(AG627,Leyenda!$B$4:$E$10,4,FALSE)</f>
        <v>1</v>
      </c>
      <c r="BI627" s="67">
        <f t="shared" si="204"/>
        <v>8</v>
      </c>
      <c r="BJ627" s="110">
        <f t="shared" si="241"/>
        <v>3</v>
      </c>
      <c r="BK627" s="110">
        <f>+VLOOKUP('2. Logging Brejo Seco'!AP627,Leyenda!$B$47:$E$51,4,FALSE)</f>
        <v>0</v>
      </c>
      <c r="BL627" s="110">
        <f>+VLOOKUP('2. Logging Brejo Seco'!AQ627,Leyenda!$B$55:$E$59,4,FALSE)</f>
        <v>1</v>
      </c>
      <c r="BM627" s="110">
        <f>+VLOOKUP('2. Logging Brejo Seco'!AR627,Leyenda!$B$63:$E$67,3,FALSE)</f>
        <v>0</v>
      </c>
      <c r="BN627" s="110">
        <f>+VLOOKUP('2. Logging Brejo Seco'!AO627,Leyenda!$B$39:$E$43,4,FALSE)</f>
        <v>0</v>
      </c>
      <c r="BO627" s="110">
        <f>+VLOOKUP('2. Logging Brejo Seco'!AN627,Leyenda!$B$30:$E$34,4,FALSE)</f>
        <v>1</v>
      </c>
      <c r="BP627" s="110">
        <f>VLOOKUP(AS627,Leyenda!$B$71:$E$75,4,FALSE)</f>
        <v>10</v>
      </c>
      <c r="BQ627" s="110">
        <f t="shared" si="242"/>
        <v>24</v>
      </c>
      <c r="BR627" s="36">
        <f t="shared" si="243"/>
        <v>28</v>
      </c>
      <c r="BS627" s="240">
        <f t="shared" si="205"/>
        <v>0.14375000000000071</v>
      </c>
      <c r="BT627" s="6"/>
    </row>
    <row r="628" spans="1:72" x14ac:dyDescent="0.25">
      <c r="A628" s="18" t="s">
        <v>6</v>
      </c>
      <c r="B628" s="18">
        <v>2024</v>
      </c>
      <c r="C628" s="18" t="s">
        <v>138</v>
      </c>
      <c r="D628" s="18" t="s">
        <v>657</v>
      </c>
      <c r="E628" s="3">
        <v>30</v>
      </c>
      <c r="F628" s="191">
        <v>30</v>
      </c>
      <c r="G628" s="18" t="s">
        <v>152</v>
      </c>
      <c r="H628" s="244">
        <v>30</v>
      </c>
      <c r="I628" s="244" t="s">
        <v>759</v>
      </c>
      <c r="J628" s="244"/>
      <c r="K628" s="18">
        <f t="shared" si="244"/>
        <v>34.35</v>
      </c>
      <c r="L628" s="18">
        <v>35.299999999999997</v>
      </c>
      <c r="M628" s="107">
        <f t="shared" si="223"/>
        <v>0.94999999999999574</v>
      </c>
      <c r="N628" s="113">
        <f t="shared" si="233"/>
        <v>0.95789473684210957</v>
      </c>
      <c r="O628" s="5">
        <f t="shared" si="245"/>
        <v>4.2105263157890427E-2</v>
      </c>
      <c r="P628" s="3">
        <v>0.91</v>
      </c>
      <c r="Q628" s="6"/>
      <c r="R628" s="6"/>
      <c r="S628" s="6"/>
      <c r="T628" s="18">
        <v>0.91</v>
      </c>
      <c r="U628" s="18">
        <v>0.13</v>
      </c>
      <c r="V628" s="187">
        <f t="shared" si="236"/>
        <v>13.684210526315852</v>
      </c>
      <c r="W628" s="18"/>
      <c r="X628" s="18"/>
      <c r="Y628" s="18">
        <v>12</v>
      </c>
      <c r="Z628" s="31">
        <f t="shared" si="225"/>
        <v>79.166666666666302</v>
      </c>
      <c r="AA628" s="6"/>
      <c r="AB628" s="6"/>
      <c r="AC628" s="6"/>
      <c r="AD628" s="6"/>
      <c r="AE628" s="6"/>
      <c r="AF628" s="18"/>
      <c r="AG628" s="18" t="s">
        <v>27</v>
      </c>
      <c r="AH628" s="18" t="s">
        <v>27</v>
      </c>
      <c r="AI628" s="18" t="str">
        <f>+VLOOKUP(AH628,Leyenda!$O$4:$U$10,6,FALSE)</f>
        <v>0,35-0,50</v>
      </c>
      <c r="AJ628" s="18" t="str">
        <f>+VLOOKUP(AG628,Leyenda!$O$4:$U$10,7,FALSE)</f>
        <v>Easy to blast</v>
      </c>
      <c r="AK628" s="18">
        <f>+VLOOKUP(AJ628,Leyenda!$U$4:$V$10,2,FALSE)</f>
        <v>3</v>
      </c>
      <c r="AL628" s="18"/>
      <c r="AM628" s="18" t="s">
        <v>27</v>
      </c>
      <c r="AN628" s="18" t="s">
        <v>66</v>
      </c>
      <c r="AO628" s="18" t="s">
        <v>81</v>
      </c>
      <c r="AP628" s="18" t="s">
        <v>100</v>
      </c>
      <c r="AQ628" s="18" t="s">
        <v>109</v>
      </c>
      <c r="AR628" s="18" t="s">
        <v>122</v>
      </c>
      <c r="AS628" s="18" t="s">
        <v>267</v>
      </c>
      <c r="AT628" s="18"/>
      <c r="AU628" s="6"/>
      <c r="AV628" s="36">
        <f>+VLOOKUP(AN628,Leyenda!$B$30:$E$34,3,FALSE)</f>
        <v>1</v>
      </c>
      <c r="AW628" s="36">
        <f>+VLOOKUP('2. Logging Brejo Seco'!AO628,Meteorizacion,3,FALSE)</f>
        <v>0</v>
      </c>
      <c r="AX628" s="36">
        <f>+VLOOKUP('2. Logging Brejo Seco'!AP628,Apertura,3,FALSE)</f>
        <v>0</v>
      </c>
      <c r="AY628" s="36">
        <f>+VLOOKUP('2. Logging Brejo Seco'!AQ628,Leyenda!$B$55:$D$59,3,FALSE)</f>
        <v>1</v>
      </c>
      <c r="AZ628" s="36">
        <f>+VLOOKUP('2. Logging Brejo Seco'!AR628,Relleno,3,FALSE)</f>
        <v>0</v>
      </c>
      <c r="BA628" s="36">
        <f t="shared" si="237"/>
        <v>2</v>
      </c>
      <c r="BB628" s="50">
        <f t="shared" si="238"/>
        <v>3</v>
      </c>
      <c r="BC628" s="49">
        <f>VLOOKUP(AH628,Leyenda!$B$4:$D$10,3,FALSE)</f>
        <v>4</v>
      </c>
      <c r="BD628" s="50">
        <f t="shared" si="203"/>
        <v>7</v>
      </c>
      <c r="BE628" s="50">
        <f t="shared" si="239"/>
        <v>2</v>
      </c>
      <c r="BF628" s="50">
        <f>VLOOKUP(AS628,Leyenda!$B$70:$D$75,3,FALSE)</f>
        <v>15</v>
      </c>
      <c r="BG628" s="110">
        <f t="shared" si="240"/>
        <v>9.8421052631579258</v>
      </c>
      <c r="BH628" s="110">
        <f>VLOOKUP(AG628,Leyenda!$B$4:$E$10,4,FALSE)</f>
        <v>4</v>
      </c>
      <c r="BI628" s="67">
        <f t="shared" si="204"/>
        <v>7</v>
      </c>
      <c r="BJ628" s="110">
        <f t="shared" si="241"/>
        <v>3</v>
      </c>
      <c r="BK628" s="110">
        <f>+VLOOKUP('2. Logging Brejo Seco'!AP628,Leyenda!$B$47:$E$51,4,FALSE)</f>
        <v>0</v>
      </c>
      <c r="BL628" s="110">
        <f>+VLOOKUP('2. Logging Brejo Seco'!AQ628,Leyenda!$B$55:$E$59,4,FALSE)</f>
        <v>1</v>
      </c>
      <c r="BM628" s="110">
        <f>+VLOOKUP('2. Logging Brejo Seco'!AR628,Leyenda!$B$63:$E$67,3,FALSE)</f>
        <v>0</v>
      </c>
      <c r="BN628" s="110">
        <f>+VLOOKUP('2. Logging Brejo Seco'!AO628,Leyenda!$B$39:$E$43,4,FALSE)</f>
        <v>0</v>
      </c>
      <c r="BO628" s="110">
        <f>+VLOOKUP('2. Logging Brejo Seco'!AN628,Leyenda!$B$30:$E$34,4,FALSE)</f>
        <v>1</v>
      </c>
      <c r="BP628" s="110">
        <f>VLOOKUP(AS628,Leyenda!$B$71:$E$75,4,FALSE)</f>
        <v>10</v>
      </c>
      <c r="BQ628" s="110">
        <f t="shared" si="242"/>
        <v>26</v>
      </c>
      <c r="BR628" s="36">
        <f t="shared" si="243"/>
        <v>31</v>
      </c>
      <c r="BS628" s="240">
        <f t="shared" si="205"/>
        <v>4.2105263157890427E-2</v>
      </c>
      <c r="BT628" s="6"/>
    </row>
    <row r="629" spans="1:72" x14ac:dyDescent="0.25">
      <c r="A629" s="18" t="s">
        <v>6</v>
      </c>
      <c r="B629" s="18">
        <v>2024</v>
      </c>
      <c r="C629" s="18" t="s">
        <v>138</v>
      </c>
      <c r="D629" s="18" t="s">
        <v>657</v>
      </c>
      <c r="E629" s="3">
        <v>30</v>
      </c>
      <c r="F629" s="191">
        <v>30</v>
      </c>
      <c r="G629" s="18" t="s">
        <v>152</v>
      </c>
      <c r="H629" s="244">
        <v>30</v>
      </c>
      <c r="I629" s="244" t="s">
        <v>759</v>
      </c>
      <c r="J629" s="244"/>
      <c r="K629" s="18">
        <f t="shared" si="244"/>
        <v>35.299999999999997</v>
      </c>
      <c r="L629" s="18">
        <v>36.799999999999997</v>
      </c>
      <c r="M629" s="107">
        <f t="shared" si="223"/>
        <v>1.5</v>
      </c>
      <c r="N629" s="113">
        <f t="shared" si="233"/>
        <v>0.84666666666666668</v>
      </c>
      <c r="O629" s="5">
        <f t="shared" si="245"/>
        <v>0.15333333333333332</v>
      </c>
      <c r="P629" s="3">
        <v>1.27</v>
      </c>
      <c r="Q629" s="6"/>
      <c r="R629" s="6"/>
      <c r="S629" s="6"/>
      <c r="T629" s="18">
        <v>1.27</v>
      </c>
      <c r="U629" s="18">
        <v>0.73</v>
      </c>
      <c r="V629" s="187">
        <f t="shared" si="236"/>
        <v>48.666666666666664</v>
      </c>
      <c r="W629" s="18"/>
      <c r="X629" s="18"/>
      <c r="Y629" s="18">
        <v>11</v>
      </c>
      <c r="Z629" s="31">
        <f t="shared" si="225"/>
        <v>136.36363636363637</v>
      </c>
      <c r="AA629" s="6"/>
      <c r="AB629" s="6"/>
      <c r="AC629" s="6"/>
      <c r="AD629" s="6"/>
      <c r="AE629" s="6"/>
      <c r="AF629" s="18"/>
      <c r="AG629" s="18" t="s">
        <v>27</v>
      </c>
      <c r="AH629" s="18" t="s">
        <v>27</v>
      </c>
      <c r="AI629" s="18" t="str">
        <f>+VLOOKUP(AH629,Leyenda!$O$4:$U$10,6,FALSE)</f>
        <v>0,35-0,50</v>
      </c>
      <c r="AJ629" s="18" t="str">
        <f>+VLOOKUP(AG629,Leyenda!$O$4:$U$10,7,FALSE)</f>
        <v>Easy to blast</v>
      </c>
      <c r="AK629" s="18">
        <f>+VLOOKUP(AJ629,Leyenda!$U$4:$V$10,2,FALSE)</f>
        <v>3</v>
      </c>
      <c r="AL629" s="18"/>
      <c r="AM629" s="18" t="s">
        <v>27</v>
      </c>
      <c r="AN629" s="18" t="s">
        <v>64</v>
      </c>
      <c r="AO629" s="18" t="s">
        <v>79</v>
      </c>
      <c r="AP629" s="18" t="s">
        <v>96</v>
      </c>
      <c r="AQ629" s="18" t="s">
        <v>107</v>
      </c>
      <c r="AR629" s="18" t="s">
        <v>120</v>
      </c>
      <c r="AS629" s="18" t="s">
        <v>267</v>
      </c>
      <c r="AT629" s="18"/>
      <c r="AU629" s="6"/>
      <c r="AV629" s="36">
        <f>+VLOOKUP(AN629,Leyenda!$B$30:$E$34,3,FALSE)</f>
        <v>2</v>
      </c>
      <c r="AW629" s="36">
        <f>+VLOOKUP('2. Logging Brejo Seco'!AO629,Meteorizacion,3,FALSE)</f>
        <v>1</v>
      </c>
      <c r="AX629" s="36">
        <f>+VLOOKUP('2. Logging Brejo Seco'!AP629,Apertura,3,FALSE)</f>
        <v>1</v>
      </c>
      <c r="AY629" s="36">
        <f>+VLOOKUP('2. Logging Brejo Seco'!AQ629,Leyenda!$B$55:$D$59,3,FALSE)</f>
        <v>3</v>
      </c>
      <c r="AZ629" s="36">
        <f>+VLOOKUP('2. Logging Brejo Seco'!AR629,Relleno,3,FALSE)</f>
        <v>2</v>
      </c>
      <c r="BA629" s="36">
        <f t="shared" si="237"/>
        <v>9</v>
      </c>
      <c r="BB629" s="50">
        <f t="shared" si="238"/>
        <v>10</v>
      </c>
      <c r="BC629" s="49">
        <f>VLOOKUP(AH629,Leyenda!$B$4:$D$10,3,FALSE)</f>
        <v>4</v>
      </c>
      <c r="BD629" s="50">
        <f t="shared" si="203"/>
        <v>8</v>
      </c>
      <c r="BE629" s="50">
        <f t="shared" si="239"/>
        <v>9</v>
      </c>
      <c r="BF629" s="50">
        <f>VLOOKUP(AS629,Leyenda!$B$70:$D$75,3,FALSE)</f>
        <v>15</v>
      </c>
      <c r="BG629" s="110">
        <f t="shared" si="240"/>
        <v>37.833333333333329</v>
      </c>
      <c r="BH629" s="110">
        <f>VLOOKUP(AG629,Leyenda!$B$4:$E$10,4,FALSE)</f>
        <v>4</v>
      </c>
      <c r="BI629" s="67">
        <f t="shared" si="204"/>
        <v>10</v>
      </c>
      <c r="BJ629" s="110">
        <f t="shared" si="241"/>
        <v>10</v>
      </c>
      <c r="BK629" s="110">
        <f>+VLOOKUP('2. Logging Brejo Seco'!AP629,Leyenda!$B$47:$E$51,4,FALSE)</f>
        <v>1</v>
      </c>
      <c r="BL629" s="110">
        <f>+VLOOKUP('2. Logging Brejo Seco'!AQ629,Leyenda!$B$55:$E$59,4,FALSE)</f>
        <v>3</v>
      </c>
      <c r="BM629" s="110">
        <f>+VLOOKUP('2. Logging Brejo Seco'!AR629,Leyenda!$B$63:$E$67,3,FALSE)</f>
        <v>2</v>
      </c>
      <c r="BN629" s="110">
        <f>+VLOOKUP('2. Logging Brejo Seco'!AO629,Leyenda!$B$39:$E$43,4,FALSE)</f>
        <v>1</v>
      </c>
      <c r="BO629" s="110">
        <f>+VLOOKUP('2. Logging Brejo Seco'!AN629,Leyenda!$B$30:$E$34,4,FALSE)</f>
        <v>3</v>
      </c>
      <c r="BP629" s="110">
        <f>VLOOKUP(AS629,Leyenda!$B$71:$E$75,4,FALSE)</f>
        <v>10</v>
      </c>
      <c r="BQ629" s="110">
        <f t="shared" si="242"/>
        <v>44</v>
      </c>
      <c r="BR629" s="36">
        <f t="shared" si="243"/>
        <v>46</v>
      </c>
      <c r="BS629" s="240">
        <f t="shared" si="205"/>
        <v>0.15333333333333332</v>
      </c>
      <c r="BT629" s="6"/>
    </row>
    <row r="630" spans="1:72" x14ac:dyDescent="0.25">
      <c r="A630" s="18" t="s">
        <v>6</v>
      </c>
      <c r="B630" s="18">
        <v>2024</v>
      </c>
      <c r="C630" s="18" t="s">
        <v>138</v>
      </c>
      <c r="D630" s="18" t="s">
        <v>657</v>
      </c>
      <c r="E630" s="3">
        <v>30</v>
      </c>
      <c r="F630" s="191">
        <v>30</v>
      </c>
      <c r="G630" s="18" t="s">
        <v>152</v>
      </c>
      <c r="H630" s="244">
        <v>30</v>
      </c>
      <c r="I630" s="244" t="s">
        <v>759</v>
      </c>
      <c r="J630" s="244"/>
      <c r="K630" s="18">
        <f t="shared" si="244"/>
        <v>36.799999999999997</v>
      </c>
      <c r="L630" s="18">
        <v>37.85</v>
      </c>
      <c r="M630" s="107">
        <f t="shared" si="223"/>
        <v>1.0500000000000043</v>
      </c>
      <c r="N630" s="113">
        <f t="shared" si="233"/>
        <v>1.0476190476190435</v>
      </c>
      <c r="O630" s="5">
        <f t="shared" si="245"/>
        <v>-4.7619047619043453E-2</v>
      </c>
      <c r="P630" s="3">
        <v>1.1000000000000001</v>
      </c>
      <c r="Q630" s="6"/>
      <c r="R630" s="6"/>
      <c r="S630" s="6"/>
      <c r="T630" s="18">
        <v>0.93</v>
      </c>
      <c r="U630" s="18">
        <v>0.14000000000000001</v>
      </c>
      <c r="V630" s="187">
        <f t="shared" si="236"/>
        <v>13.333333333333281</v>
      </c>
      <c r="W630" s="18"/>
      <c r="X630" s="18"/>
      <c r="Y630" s="18">
        <v>11</v>
      </c>
      <c r="Z630" s="31">
        <f t="shared" si="225"/>
        <v>95.454545454545851</v>
      </c>
      <c r="AA630" s="6"/>
      <c r="AB630" s="6"/>
      <c r="AC630" s="6"/>
      <c r="AD630" s="6"/>
      <c r="AE630" s="6"/>
      <c r="AF630" s="18"/>
      <c r="AG630" s="18" t="s">
        <v>27</v>
      </c>
      <c r="AH630" s="18" t="s">
        <v>27</v>
      </c>
      <c r="AI630" s="18" t="str">
        <f>+VLOOKUP(AH630,Leyenda!$O$4:$U$10,6,FALSE)</f>
        <v>0,35-0,50</v>
      </c>
      <c r="AJ630" s="18" t="str">
        <f>+VLOOKUP(AG630,Leyenda!$O$4:$U$10,7,FALSE)</f>
        <v>Easy to blast</v>
      </c>
      <c r="AK630" s="18">
        <f>+VLOOKUP(AJ630,Leyenda!$U$4:$V$10,2,FALSE)</f>
        <v>3</v>
      </c>
      <c r="AL630" s="18"/>
      <c r="AM630" s="18" t="s">
        <v>27</v>
      </c>
      <c r="AN630" s="18" t="s">
        <v>64</v>
      </c>
      <c r="AO630" s="18" t="s">
        <v>81</v>
      </c>
      <c r="AP630" s="18" t="s">
        <v>100</v>
      </c>
      <c r="AQ630" s="18" t="s">
        <v>107</v>
      </c>
      <c r="AR630" s="18" t="s">
        <v>120</v>
      </c>
      <c r="AS630" s="18" t="s">
        <v>267</v>
      </c>
      <c r="AT630" s="18"/>
      <c r="AU630" s="6"/>
      <c r="AV630" s="36">
        <f>+VLOOKUP(AN630,Leyenda!$B$30:$E$34,3,FALSE)</f>
        <v>2</v>
      </c>
      <c r="AW630" s="36">
        <f>+VLOOKUP('2. Logging Brejo Seco'!AO630,Meteorizacion,3,FALSE)</f>
        <v>0</v>
      </c>
      <c r="AX630" s="36">
        <f>+VLOOKUP('2. Logging Brejo Seco'!AP630,Apertura,3,FALSE)</f>
        <v>0</v>
      </c>
      <c r="AY630" s="36">
        <f>+VLOOKUP('2. Logging Brejo Seco'!AQ630,Leyenda!$B$55:$D$59,3,FALSE)</f>
        <v>3</v>
      </c>
      <c r="AZ630" s="36">
        <f>+VLOOKUP('2. Logging Brejo Seco'!AR630,Relleno,3,FALSE)</f>
        <v>2</v>
      </c>
      <c r="BA630" s="36">
        <f t="shared" si="237"/>
        <v>7</v>
      </c>
      <c r="BB630" s="50">
        <f t="shared" si="238"/>
        <v>3</v>
      </c>
      <c r="BC630" s="49">
        <f>VLOOKUP(AH630,Leyenda!$B$4:$D$10,3,FALSE)</f>
        <v>4</v>
      </c>
      <c r="BD630" s="50">
        <f t="shared" si="203"/>
        <v>7</v>
      </c>
      <c r="BE630" s="50">
        <f t="shared" si="239"/>
        <v>7</v>
      </c>
      <c r="BF630" s="50">
        <f>VLOOKUP(AS630,Leyenda!$B$70:$D$75,3,FALSE)</f>
        <v>15</v>
      </c>
      <c r="BG630" s="110">
        <f t="shared" si="240"/>
        <v>17.166666666666639</v>
      </c>
      <c r="BH630" s="110">
        <f>VLOOKUP(AG630,Leyenda!$B$4:$E$10,4,FALSE)</f>
        <v>4</v>
      </c>
      <c r="BI630" s="67">
        <f t="shared" si="204"/>
        <v>8</v>
      </c>
      <c r="BJ630" s="110">
        <f t="shared" si="241"/>
        <v>3</v>
      </c>
      <c r="BK630" s="110">
        <f>+VLOOKUP('2. Logging Brejo Seco'!AP630,Leyenda!$B$47:$E$51,4,FALSE)</f>
        <v>0</v>
      </c>
      <c r="BL630" s="110">
        <f>+VLOOKUP('2. Logging Brejo Seco'!AQ630,Leyenda!$B$55:$E$59,4,FALSE)</f>
        <v>3</v>
      </c>
      <c r="BM630" s="110">
        <f>+VLOOKUP('2. Logging Brejo Seco'!AR630,Leyenda!$B$63:$E$67,3,FALSE)</f>
        <v>2</v>
      </c>
      <c r="BN630" s="110">
        <f>+VLOOKUP('2. Logging Brejo Seco'!AO630,Leyenda!$B$39:$E$43,4,FALSE)</f>
        <v>0</v>
      </c>
      <c r="BO630" s="110">
        <f>+VLOOKUP('2. Logging Brejo Seco'!AN630,Leyenda!$B$30:$E$34,4,FALSE)</f>
        <v>3</v>
      </c>
      <c r="BP630" s="110">
        <f>VLOOKUP(AS630,Leyenda!$B$71:$E$75,4,FALSE)</f>
        <v>10</v>
      </c>
      <c r="BQ630" s="110">
        <f t="shared" si="242"/>
        <v>33</v>
      </c>
      <c r="BR630" s="36">
        <f t="shared" si="243"/>
        <v>36</v>
      </c>
      <c r="BS630" s="240">
        <f t="shared" si="205"/>
        <v>-4.7619047619043453E-2</v>
      </c>
      <c r="BT630" s="6"/>
    </row>
    <row r="631" spans="1:72" x14ac:dyDescent="0.25">
      <c r="A631" s="18" t="s">
        <v>6</v>
      </c>
      <c r="B631" s="18">
        <v>2024</v>
      </c>
      <c r="C631" s="18" t="s">
        <v>138</v>
      </c>
      <c r="D631" s="18" t="s">
        <v>657</v>
      </c>
      <c r="E631" s="3">
        <v>30</v>
      </c>
      <c r="F631" s="191">
        <v>30</v>
      </c>
      <c r="G631" s="18" t="s">
        <v>152</v>
      </c>
      <c r="H631" s="244">
        <v>30</v>
      </c>
      <c r="I631" s="244" t="s">
        <v>759</v>
      </c>
      <c r="J631" s="244"/>
      <c r="K631" s="18">
        <f t="shared" si="244"/>
        <v>37.85</v>
      </c>
      <c r="L631" s="18">
        <v>39.549999999999997</v>
      </c>
      <c r="M631" s="107">
        <f t="shared" si="223"/>
        <v>1.6999999999999957</v>
      </c>
      <c r="N631" s="113">
        <f t="shared" si="233"/>
        <v>0.75294117647059011</v>
      </c>
      <c r="O631" s="5">
        <f t="shared" si="245"/>
        <v>0.24705882352940989</v>
      </c>
      <c r="P631" s="3">
        <v>1.28</v>
      </c>
      <c r="Q631" s="6"/>
      <c r="R631" s="6"/>
      <c r="S631" s="6"/>
      <c r="T631" s="18">
        <f>0.36+0.92</f>
        <v>1.28</v>
      </c>
      <c r="U631" s="18">
        <v>0.52</v>
      </c>
      <c r="V631" s="187">
        <f t="shared" si="236"/>
        <v>30.588235294117727</v>
      </c>
      <c r="W631" s="18"/>
      <c r="X631" s="18"/>
      <c r="Y631" s="18">
        <v>14</v>
      </c>
      <c r="Z631" s="31">
        <f t="shared" si="225"/>
        <v>121.42857142857112</v>
      </c>
      <c r="AA631" s="6"/>
      <c r="AB631" s="6"/>
      <c r="AC631" s="6"/>
      <c r="AD631" s="6"/>
      <c r="AE631" s="6"/>
      <c r="AF631" s="18"/>
      <c r="AG631" s="18" t="s">
        <v>27</v>
      </c>
      <c r="AH631" s="18" t="s">
        <v>27</v>
      </c>
      <c r="AI631" s="18" t="str">
        <f>+VLOOKUP(AH631,Leyenda!$O$4:$U$10,6,FALSE)</f>
        <v>0,35-0,50</v>
      </c>
      <c r="AJ631" s="18" t="str">
        <f>+VLOOKUP(AG631,Leyenda!$O$4:$U$10,7,FALSE)</f>
        <v>Easy to blast</v>
      </c>
      <c r="AK631" s="18">
        <f>+VLOOKUP(AJ631,Leyenda!$U$4:$V$10,2,FALSE)</f>
        <v>3</v>
      </c>
      <c r="AL631" s="18"/>
      <c r="AM631" s="18" t="s">
        <v>27</v>
      </c>
      <c r="AN631" s="18" t="s">
        <v>64</v>
      </c>
      <c r="AO631" s="18" t="s">
        <v>79</v>
      </c>
      <c r="AP631" s="18" t="s">
        <v>96</v>
      </c>
      <c r="AQ631" s="18" t="s">
        <v>107</v>
      </c>
      <c r="AR631" s="18" t="s">
        <v>120</v>
      </c>
      <c r="AS631" s="18" t="s">
        <v>267</v>
      </c>
      <c r="AT631" s="18"/>
      <c r="AU631" s="6"/>
      <c r="AV631" s="36">
        <f>+VLOOKUP(AN631,Leyenda!$B$30:$E$34,3,FALSE)</f>
        <v>2</v>
      </c>
      <c r="AW631" s="36">
        <f>+VLOOKUP('2. Logging Brejo Seco'!AO631,Meteorizacion,3,FALSE)</f>
        <v>1</v>
      </c>
      <c r="AX631" s="36">
        <f>+VLOOKUP('2. Logging Brejo Seco'!AP631,Apertura,3,FALSE)</f>
        <v>1</v>
      </c>
      <c r="AY631" s="36">
        <f>+VLOOKUP('2. Logging Brejo Seco'!AQ631,Leyenda!$B$55:$D$59,3,FALSE)</f>
        <v>3</v>
      </c>
      <c r="AZ631" s="36">
        <f>+VLOOKUP('2. Logging Brejo Seco'!AR631,Relleno,3,FALSE)</f>
        <v>2</v>
      </c>
      <c r="BA631" s="36">
        <f t="shared" si="237"/>
        <v>9</v>
      </c>
      <c r="BB631" s="50">
        <f t="shared" si="238"/>
        <v>7</v>
      </c>
      <c r="BC631" s="49">
        <f>VLOOKUP(AH631,Leyenda!$B$4:$D$10,3,FALSE)</f>
        <v>4</v>
      </c>
      <c r="BD631" s="50">
        <f t="shared" si="203"/>
        <v>8</v>
      </c>
      <c r="BE631" s="50">
        <f t="shared" si="239"/>
        <v>9</v>
      </c>
      <c r="BF631" s="50">
        <f>VLOOKUP(AS631,Leyenda!$B$70:$D$75,3,FALSE)</f>
        <v>15</v>
      </c>
      <c r="BG631" s="110">
        <f t="shared" si="240"/>
        <v>28.794117647058862</v>
      </c>
      <c r="BH631" s="110">
        <f>VLOOKUP(AG631,Leyenda!$B$4:$E$10,4,FALSE)</f>
        <v>4</v>
      </c>
      <c r="BI631" s="67">
        <f t="shared" si="204"/>
        <v>9</v>
      </c>
      <c r="BJ631" s="110">
        <f t="shared" si="241"/>
        <v>7</v>
      </c>
      <c r="BK631" s="110">
        <f>+VLOOKUP('2. Logging Brejo Seco'!AP631,Leyenda!$B$47:$E$51,4,FALSE)</f>
        <v>1</v>
      </c>
      <c r="BL631" s="110">
        <f>+VLOOKUP('2. Logging Brejo Seco'!AQ631,Leyenda!$B$55:$E$59,4,FALSE)</f>
        <v>3</v>
      </c>
      <c r="BM631" s="110">
        <f>+VLOOKUP('2. Logging Brejo Seco'!AR631,Leyenda!$B$63:$E$67,3,FALSE)</f>
        <v>2</v>
      </c>
      <c r="BN631" s="110">
        <f>+VLOOKUP('2. Logging Brejo Seco'!AO631,Leyenda!$B$39:$E$43,4,FALSE)</f>
        <v>1</v>
      </c>
      <c r="BO631" s="110">
        <f>+VLOOKUP('2. Logging Brejo Seco'!AN631,Leyenda!$B$30:$E$34,4,FALSE)</f>
        <v>3</v>
      </c>
      <c r="BP631" s="110">
        <f>VLOOKUP(AS631,Leyenda!$B$71:$E$75,4,FALSE)</f>
        <v>10</v>
      </c>
      <c r="BQ631" s="110">
        <f t="shared" si="242"/>
        <v>40</v>
      </c>
      <c r="BR631" s="36">
        <f t="shared" si="243"/>
        <v>43</v>
      </c>
      <c r="BS631" s="240">
        <f t="shared" si="205"/>
        <v>0.24705882352940989</v>
      </c>
      <c r="BT631" s="6"/>
    </row>
    <row r="632" spans="1:72" x14ac:dyDescent="0.25">
      <c r="A632" s="18" t="s">
        <v>6</v>
      </c>
      <c r="B632" s="18">
        <v>2024</v>
      </c>
      <c r="C632" s="18" t="s">
        <v>138</v>
      </c>
      <c r="D632" s="18" t="s">
        <v>657</v>
      </c>
      <c r="E632" s="3">
        <v>30</v>
      </c>
      <c r="F632" s="191">
        <v>30</v>
      </c>
      <c r="G632" s="18" t="s">
        <v>152</v>
      </c>
      <c r="H632" s="244">
        <v>30</v>
      </c>
      <c r="I632" s="244" t="s">
        <v>759</v>
      </c>
      <c r="J632" s="244"/>
      <c r="K632" s="18">
        <f t="shared" si="244"/>
        <v>39.549999999999997</v>
      </c>
      <c r="L632" s="18">
        <v>40.85</v>
      </c>
      <c r="M632" s="107">
        <f t="shared" si="223"/>
        <v>1.3000000000000043</v>
      </c>
      <c r="N632" s="113">
        <f t="shared" si="233"/>
        <v>0.77692307692307438</v>
      </c>
      <c r="O632" s="5">
        <f t="shared" si="245"/>
        <v>0.22307692307692562</v>
      </c>
      <c r="P632" s="3">
        <v>1.01</v>
      </c>
      <c r="Q632" s="6"/>
      <c r="R632" s="6"/>
      <c r="S632" s="6"/>
      <c r="T632" s="18">
        <v>1.01</v>
      </c>
      <c r="U632" s="18">
        <v>0.68</v>
      </c>
      <c r="V632" s="187">
        <f t="shared" si="236"/>
        <v>52.307692307692143</v>
      </c>
      <c r="W632" s="18"/>
      <c r="X632" s="18"/>
      <c r="Y632" s="18">
        <v>9</v>
      </c>
      <c r="Z632" s="31">
        <f t="shared" si="225"/>
        <v>144.44444444444491</v>
      </c>
      <c r="AA632" s="6"/>
      <c r="AB632" s="6"/>
      <c r="AC632" s="6"/>
      <c r="AD632" s="6"/>
      <c r="AE632" s="6"/>
      <c r="AF632" s="18"/>
      <c r="AG632" s="18" t="s">
        <v>27</v>
      </c>
      <c r="AH632" s="18" t="s">
        <v>27</v>
      </c>
      <c r="AI632" s="18" t="str">
        <f>+VLOOKUP(AH632,Leyenda!$O$4:$U$10,6,FALSE)</f>
        <v>0,35-0,50</v>
      </c>
      <c r="AJ632" s="18" t="str">
        <f>+VLOOKUP(AG632,Leyenda!$O$4:$U$10,7,FALSE)</f>
        <v>Easy to blast</v>
      </c>
      <c r="AK632" s="18">
        <f>+VLOOKUP(AJ632,Leyenda!$U$4:$V$10,2,FALSE)</f>
        <v>3</v>
      </c>
      <c r="AL632" s="18"/>
      <c r="AM632" s="18" t="s">
        <v>27</v>
      </c>
      <c r="AN632" s="18" t="s">
        <v>64</v>
      </c>
      <c r="AO632" s="18" t="s">
        <v>79</v>
      </c>
      <c r="AP632" s="18" t="s">
        <v>96</v>
      </c>
      <c r="AQ632" s="18" t="s">
        <v>107</v>
      </c>
      <c r="AR632" s="18" t="s">
        <v>120</v>
      </c>
      <c r="AS632" s="18" t="s">
        <v>267</v>
      </c>
      <c r="AT632" s="18"/>
      <c r="AU632" s="6"/>
      <c r="AV632" s="36">
        <f>+VLOOKUP(AN632,Leyenda!$B$30:$E$34,3,FALSE)</f>
        <v>2</v>
      </c>
      <c r="AW632" s="36">
        <f>+VLOOKUP('2. Logging Brejo Seco'!AO632,Meteorizacion,3,FALSE)</f>
        <v>1</v>
      </c>
      <c r="AX632" s="36">
        <f>+VLOOKUP('2. Logging Brejo Seco'!AP632,Apertura,3,FALSE)</f>
        <v>1</v>
      </c>
      <c r="AY632" s="36">
        <f>+VLOOKUP('2. Logging Brejo Seco'!AQ632,Leyenda!$B$55:$D$59,3,FALSE)</f>
        <v>3</v>
      </c>
      <c r="AZ632" s="36">
        <f>+VLOOKUP('2. Logging Brejo Seco'!AR632,Relleno,3,FALSE)</f>
        <v>2</v>
      </c>
      <c r="BA632" s="36">
        <f t="shared" si="237"/>
        <v>9</v>
      </c>
      <c r="BB632" s="50">
        <f t="shared" si="238"/>
        <v>11</v>
      </c>
      <c r="BC632" s="49">
        <f>VLOOKUP(AH632,Leyenda!$B$4:$D$10,3,FALSE)</f>
        <v>4</v>
      </c>
      <c r="BD632" s="50">
        <f t="shared" si="203"/>
        <v>8</v>
      </c>
      <c r="BE632" s="50">
        <f t="shared" si="239"/>
        <v>9</v>
      </c>
      <c r="BF632" s="50">
        <f>VLOOKUP(AS632,Leyenda!$B$70:$D$75,3,FALSE)</f>
        <v>15</v>
      </c>
      <c r="BG632" s="110">
        <f t="shared" si="240"/>
        <v>39.653846153846075</v>
      </c>
      <c r="BH632" s="110">
        <f>VLOOKUP(AG632,Leyenda!$B$4:$E$10,4,FALSE)</f>
        <v>4</v>
      </c>
      <c r="BI632" s="67">
        <f t="shared" si="204"/>
        <v>10</v>
      </c>
      <c r="BJ632" s="110">
        <f t="shared" si="241"/>
        <v>11</v>
      </c>
      <c r="BK632" s="110">
        <f>+VLOOKUP('2. Logging Brejo Seco'!AP632,Leyenda!$B$47:$E$51,4,FALSE)</f>
        <v>1</v>
      </c>
      <c r="BL632" s="110">
        <f>+VLOOKUP('2. Logging Brejo Seco'!AQ632,Leyenda!$B$55:$E$59,4,FALSE)</f>
        <v>3</v>
      </c>
      <c r="BM632" s="110">
        <f>+VLOOKUP('2. Logging Brejo Seco'!AR632,Leyenda!$B$63:$E$67,3,FALSE)</f>
        <v>2</v>
      </c>
      <c r="BN632" s="110">
        <f>+VLOOKUP('2. Logging Brejo Seco'!AO632,Leyenda!$B$39:$E$43,4,FALSE)</f>
        <v>1</v>
      </c>
      <c r="BO632" s="110">
        <f>+VLOOKUP('2. Logging Brejo Seco'!AN632,Leyenda!$B$30:$E$34,4,FALSE)</f>
        <v>3</v>
      </c>
      <c r="BP632" s="110">
        <f>VLOOKUP(AS632,Leyenda!$B$71:$E$75,4,FALSE)</f>
        <v>10</v>
      </c>
      <c r="BQ632" s="110">
        <f t="shared" si="242"/>
        <v>45</v>
      </c>
      <c r="BR632" s="36">
        <f t="shared" si="243"/>
        <v>47</v>
      </c>
      <c r="BS632" s="240">
        <f t="shared" si="205"/>
        <v>0.22307692307692562</v>
      </c>
      <c r="BT632" s="6"/>
    </row>
    <row r="633" spans="1:72" x14ac:dyDescent="0.25">
      <c r="A633" s="18" t="s">
        <v>6</v>
      </c>
      <c r="B633" s="18">
        <v>2024</v>
      </c>
      <c r="C633" s="18" t="s">
        <v>138</v>
      </c>
      <c r="D633" s="18" t="s">
        <v>657</v>
      </c>
      <c r="E633" s="3">
        <v>30</v>
      </c>
      <c r="F633" s="191">
        <v>30</v>
      </c>
      <c r="G633" s="18" t="s">
        <v>152</v>
      </c>
      <c r="H633" s="244">
        <v>30</v>
      </c>
      <c r="I633" s="244" t="s">
        <v>759</v>
      </c>
      <c r="J633" s="244"/>
      <c r="K633" s="18">
        <f t="shared" si="244"/>
        <v>40.85</v>
      </c>
      <c r="L633" s="18">
        <v>42.15</v>
      </c>
      <c r="M633" s="107">
        <f t="shared" si="223"/>
        <v>1.2999999999999972</v>
      </c>
      <c r="N633" s="113">
        <f t="shared" si="233"/>
        <v>0.76153846153846316</v>
      </c>
      <c r="O633" s="5">
        <f t="shared" si="245"/>
        <v>0.23846153846153684</v>
      </c>
      <c r="P633" s="3">
        <v>0.99</v>
      </c>
      <c r="Q633" s="6"/>
      <c r="R633" s="6"/>
      <c r="S633" s="6"/>
      <c r="T633" s="18">
        <f>0.32+0.67</f>
        <v>0.99</v>
      </c>
      <c r="U633" s="18">
        <v>0.1</v>
      </c>
      <c r="V633" s="187">
        <f t="shared" si="236"/>
        <v>7.6923076923077094</v>
      </c>
      <c r="W633" s="18"/>
      <c r="X633" s="18"/>
      <c r="Y633" s="18">
        <v>14</v>
      </c>
      <c r="Z633" s="31">
        <f t="shared" si="225"/>
        <v>92.857142857142662</v>
      </c>
      <c r="AA633" s="6"/>
      <c r="AB633" s="6"/>
      <c r="AC633" s="6"/>
      <c r="AD633" s="6"/>
      <c r="AE633" s="6"/>
      <c r="AF633" s="6"/>
      <c r="AG633" s="18" t="s">
        <v>29</v>
      </c>
      <c r="AH633" s="18" t="s">
        <v>29</v>
      </c>
      <c r="AI633" s="18" t="str">
        <f>+VLOOKUP(AH633,Leyenda!$O$4:$U$10,6,FALSE)</f>
        <v>0,25-0,35</v>
      </c>
      <c r="AJ633" s="18" t="str">
        <f>+VLOOKUP(AG633,Leyenda!$O$4:$U$10,7,FALSE)</f>
        <v>No Blasting need</v>
      </c>
      <c r="AK633" s="18">
        <f>+VLOOKUP(AJ633,Leyenda!$U$4:$V$10,2,FALSE)</f>
        <v>2</v>
      </c>
      <c r="AL633" s="18"/>
      <c r="AM633" s="18" t="s">
        <v>27</v>
      </c>
      <c r="AN633" s="18" t="s">
        <v>64</v>
      </c>
      <c r="AO633" s="18" t="s">
        <v>81</v>
      </c>
      <c r="AP633" s="18" t="s">
        <v>96</v>
      </c>
      <c r="AQ633" s="18" t="s">
        <v>109</v>
      </c>
      <c r="AR633" s="18" t="s">
        <v>120</v>
      </c>
      <c r="AS633" s="18" t="s">
        <v>267</v>
      </c>
      <c r="AT633" s="18"/>
      <c r="AU633" s="6"/>
      <c r="AV633" s="36">
        <f>+VLOOKUP(AN633,Leyenda!$B$30:$E$34,3,FALSE)</f>
        <v>2</v>
      </c>
      <c r="AW633" s="36">
        <f>+VLOOKUP('2. Logging Brejo Seco'!AO633,Meteorizacion,3,FALSE)</f>
        <v>0</v>
      </c>
      <c r="AX633" s="36">
        <f>+VLOOKUP('2. Logging Brejo Seco'!AP633,Apertura,3,FALSE)</f>
        <v>1</v>
      </c>
      <c r="AY633" s="36">
        <f>+VLOOKUP('2. Logging Brejo Seco'!AQ633,Leyenda!$B$55:$D$59,3,FALSE)</f>
        <v>1</v>
      </c>
      <c r="AZ633" s="36">
        <f>+VLOOKUP('2. Logging Brejo Seco'!AR633,Relleno,3,FALSE)</f>
        <v>2</v>
      </c>
      <c r="BA633" s="36">
        <f t="shared" si="237"/>
        <v>6</v>
      </c>
      <c r="BB633" s="50">
        <f t="shared" si="238"/>
        <v>2</v>
      </c>
      <c r="BC633" s="49">
        <f>VLOOKUP(AH633,Leyenda!$B$4:$D$10,3,FALSE)</f>
        <v>2</v>
      </c>
      <c r="BD633" s="50">
        <f t="shared" si="203"/>
        <v>7</v>
      </c>
      <c r="BE633" s="50">
        <f t="shared" si="239"/>
        <v>6</v>
      </c>
      <c r="BF633" s="50">
        <f>VLOOKUP(AS633,Leyenda!$B$70:$D$75,3,FALSE)</f>
        <v>15</v>
      </c>
      <c r="BG633" s="110">
        <f t="shared" si="240"/>
        <v>12.846153846153854</v>
      </c>
      <c r="BH633" s="110">
        <f>VLOOKUP(AG633,Leyenda!$B$4:$E$10,4,FALSE)</f>
        <v>2</v>
      </c>
      <c r="BI633" s="67">
        <f t="shared" si="204"/>
        <v>8</v>
      </c>
      <c r="BJ633" s="110">
        <f t="shared" si="241"/>
        <v>2</v>
      </c>
      <c r="BK633" s="110">
        <f>+VLOOKUP('2. Logging Brejo Seco'!AP633,Leyenda!$B$47:$E$51,4,FALSE)</f>
        <v>1</v>
      </c>
      <c r="BL633" s="110">
        <f>+VLOOKUP('2. Logging Brejo Seco'!AQ633,Leyenda!$B$55:$E$59,4,FALSE)</f>
        <v>1</v>
      </c>
      <c r="BM633" s="110">
        <f>+VLOOKUP('2. Logging Brejo Seco'!AR633,Leyenda!$B$63:$E$67,3,FALSE)</f>
        <v>2</v>
      </c>
      <c r="BN633" s="110">
        <f>+VLOOKUP('2. Logging Brejo Seco'!AO633,Leyenda!$B$39:$E$43,4,FALSE)</f>
        <v>0</v>
      </c>
      <c r="BO633" s="110">
        <f>+VLOOKUP('2. Logging Brejo Seco'!AN633,Leyenda!$B$30:$E$34,4,FALSE)</f>
        <v>3</v>
      </c>
      <c r="BP633" s="110">
        <f>VLOOKUP(AS633,Leyenda!$B$71:$E$75,4,FALSE)</f>
        <v>10</v>
      </c>
      <c r="BQ633" s="110">
        <f t="shared" si="242"/>
        <v>29</v>
      </c>
      <c r="BR633" s="36">
        <f t="shared" si="243"/>
        <v>32</v>
      </c>
      <c r="BS633" s="240">
        <f t="shared" si="205"/>
        <v>0.23846153846153684</v>
      </c>
      <c r="BT633" s="6"/>
    </row>
    <row r="634" spans="1:72" x14ac:dyDescent="0.25">
      <c r="A634" s="18" t="s">
        <v>6</v>
      </c>
      <c r="B634" s="18">
        <v>2024</v>
      </c>
      <c r="C634" s="18" t="s">
        <v>138</v>
      </c>
      <c r="D634" s="18" t="s">
        <v>657</v>
      </c>
      <c r="E634" s="3">
        <v>30</v>
      </c>
      <c r="F634" s="191">
        <v>30</v>
      </c>
      <c r="G634" s="18" t="s">
        <v>152</v>
      </c>
      <c r="H634" s="244">
        <v>30</v>
      </c>
      <c r="I634" s="244" t="s">
        <v>759</v>
      </c>
      <c r="J634" s="244"/>
      <c r="K634" s="18">
        <f t="shared" si="244"/>
        <v>42.15</v>
      </c>
      <c r="L634" s="18">
        <v>43.05</v>
      </c>
      <c r="M634" s="107">
        <f t="shared" si="223"/>
        <v>0.89999999999999858</v>
      </c>
      <c r="N634" s="113">
        <f t="shared" si="233"/>
        <v>0.72222222222222343</v>
      </c>
      <c r="O634" s="5">
        <f t="shared" si="245"/>
        <v>0.27777777777777657</v>
      </c>
      <c r="P634" s="3">
        <v>0.65</v>
      </c>
      <c r="Q634" s="6"/>
      <c r="R634" s="6"/>
      <c r="S634" s="6"/>
      <c r="T634" s="18">
        <v>0.65</v>
      </c>
      <c r="U634" s="18">
        <v>0.11</v>
      </c>
      <c r="V634" s="187">
        <f t="shared" si="236"/>
        <v>12.222222222222241</v>
      </c>
      <c r="W634" s="18"/>
      <c r="X634" s="18"/>
      <c r="Y634" s="18">
        <v>9</v>
      </c>
      <c r="Z634" s="31">
        <f t="shared" si="225"/>
        <v>99.999999999999844</v>
      </c>
      <c r="AA634" s="6"/>
      <c r="AB634" s="6"/>
      <c r="AC634" s="6"/>
      <c r="AD634" s="6"/>
      <c r="AE634" s="6"/>
      <c r="AF634" s="6"/>
      <c r="AG634" s="18" t="s">
        <v>29</v>
      </c>
      <c r="AH634" s="18" t="s">
        <v>29</v>
      </c>
      <c r="AI634" s="18" t="str">
        <f>+VLOOKUP(AH634,Leyenda!$O$4:$U$10,6,FALSE)</f>
        <v>0,25-0,35</v>
      </c>
      <c r="AJ634" s="18" t="str">
        <f>+VLOOKUP(AG634,Leyenda!$O$4:$U$10,7,FALSE)</f>
        <v>No Blasting need</v>
      </c>
      <c r="AK634" s="18">
        <f>+VLOOKUP(AJ634,Leyenda!$U$4:$V$10,2,FALSE)</f>
        <v>2</v>
      </c>
      <c r="AL634" s="18"/>
      <c r="AM634" s="18" t="s">
        <v>29</v>
      </c>
      <c r="AN634" s="18" t="s">
        <v>66</v>
      </c>
      <c r="AO634" s="18" t="s">
        <v>79</v>
      </c>
      <c r="AP634" s="18" t="s">
        <v>96</v>
      </c>
      <c r="AQ634" s="18" t="s">
        <v>109</v>
      </c>
      <c r="AR634" s="18" t="s">
        <v>120</v>
      </c>
      <c r="AS634" s="18" t="s">
        <v>267</v>
      </c>
      <c r="AT634" s="18"/>
      <c r="AU634" s="6"/>
      <c r="AV634" s="36">
        <f>+VLOOKUP(AN634,Leyenda!$B$30:$E$34,3,FALSE)</f>
        <v>1</v>
      </c>
      <c r="AW634" s="36">
        <f>+VLOOKUP('2. Logging Brejo Seco'!AO634,Meteorizacion,3,FALSE)</f>
        <v>1</v>
      </c>
      <c r="AX634" s="36">
        <f>+VLOOKUP('2. Logging Brejo Seco'!AP634,Apertura,3,FALSE)</f>
        <v>1</v>
      </c>
      <c r="AY634" s="36">
        <f>+VLOOKUP('2. Logging Brejo Seco'!AQ634,Leyenda!$B$55:$D$59,3,FALSE)</f>
        <v>1</v>
      </c>
      <c r="AZ634" s="36">
        <f>+VLOOKUP('2. Logging Brejo Seco'!AR634,Relleno,3,FALSE)</f>
        <v>2</v>
      </c>
      <c r="BA634" s="36">
        <f t="shared" si="237"/>
        <v>6</v>
      </c>
      <c r="BB634" s="50">
        <f t="shared" si="238"/>
        <v>3</v>
      </c>
      <c r="BC634" s="49">
        <f>VLOOKUP(AH634,Leyenda!$B$4:$D$10,3,FALSE)</f>
        <v>2</v>
      </c>
      <c r="BD634" s="50">
        <f t="shared" si="203"/>
        <v>7</v>
      </c>
      <c r="BE634" s="50">
        <f t="shared" si="239"/>
        <v>6</v>
      </c>
      <c r="BF634" s="50">
        <f>VLOOKUP(AS634,Leyenda!$B$70:$D$75,3,FALSE)</f>
        <v>15</v>
      </c>
      <c r="BG634" s="110">
        <f t="shared" si="240"/>
        <v>15.111111111111121</v>
      </c>
      <c r="BH634" s="110">
        <f>VLOOKUP(AG634,Leyenda!$B$4:$E$10,4,FALSE)</f>
        <v>2</v>
      </c>
      <c r="BI634" s="67">
        <f t="shared" si="204"/>
        <v>8</v>
      </c>
      <c r="BJ634" s="110">
        <f t="shared" si="241"/>
        <v>3</v>
      </c>
      <c r="BK634" s="110">
        <f>+VLOOKUP('2. Logging Brejo Seco'!AP634,Leyenda!$B$47:$E$51,4,FALSE)</f>
        <v>1</v>
      </c>
      <c r="BL634" s="110">
        <f>+VLOOKUP('2. Logging Brejo Seco'!AQ634,Leyenda!$B$55:$E$59,4,FALSE)</f>
        <v>1</v>
      </c>
      <c r="BM634" s="110">
        <f>+VLOOKUP('2. Logging Brejo Seco'!AR634,Leyenda!$B$63:$E$67,3,FALSE)</f>
        <v>2</v>
      </c>
      <c r="BN634" s="110">
        <f>+VLOOKUP('2. Logging Brejo Seco'!AO634,Leyenda!$B$39:$E$43,4,FALSE)</f>
        <v>1</v>
      </c>
      <c r="BO634" s="110">
        <f>+VLOOKUP('2. Logging Brejo Seco'!AN634,Leyenda!$B$30:$E$34,4,FALSE)</f>
        <v>1</v>
      </c>
      <c r="BP634" s="110">
        <f>VLOOKUP(AS634,Leyenda!$B$71:$E$75,4,FALSE)</f>
        <v>10</v>
      </c>
      <c r="BQ634" s="110">
        <f t="shared" si="242"/>
        <v>29</v>
      </c>
      <c r="BR634" s="36">
        <f t="shared" si="243"/>
        <v>33</v>
      </c>
      <c r="BS634" s="240">
        <f t="shared" si="205"/>
        <v>0.27777777777777657</v>
      </c>
      <c r="BT634" s="6"/>
    </row>
    <row r="635" spans="1:72" x14ac:dyDescent="0.25">
      <c r="A635" s="18" t="s">
        <v>6</v>
      </c>
      <c r="B635" s="18">
        <v>2024</v>
      </c>
      <c r="C635" s="18" t="s">
        <v>138</v>
      </c>
      <c r="D635" s="18" t="s">
        <v>657</v>
      </c>
      <c r="E635" s="3">
        <v>30</v>
      </c>
      <c r="F635" s="191">
        <v>40</v>
      </c>
      <c r="G635" s="36" t="s">
        <v>153</v>
      </c>
      <c r="H635" s="244">
        <v>30</v>
      </c>
      <c r="I635" s="244" t="s">
        <v>759</v>
      </c>
      <c r="J635" s="244"/>
      <c r="K635" s="18">
        <f t="shared" si="244"/>
        <v>43.05</v>
      </c>
      <c r="L635" s="18">
        <v>44.15</v>
      </c>
      <c r="M635" s="107">
        <f t="shared" si="223"/>
        <v>1.1000000000000014</v>
      </c>
      <c r="N635" s="113">
        <f t="shared" si="233"/>
        <v>0.69999999999999907</v>
      </c>
      <c r="O635" s="5">
        <f t="shared" si="245"/>
        <v>0.30000000000000093</v>
      </c>
      <c r="P635" s="3">
        <v>0.77</v>
      </c>
      <c r="Q635" s="6"/>
      <c r="R635" s="6"/>
      <c r="S635" s="6"/>
      <c r="T635" s="18">
        <v>0.77</v>
      </c>
      <c r="U635" s="18">
        <v>0.44</v>
      </c>
      <c r="V635" s="187">
        <f t="shared" si="236"/>
        <v>39.999999999999943</v>
      </c>
      <c r="W635" s="18"/>
      <c r="X635" s="18"/>
      <c r="Y635" s="18">
        <f>4+3</f>
        <v>7</v>
      </c>
      <c r="Z635" s="31">
        <f t="shared" si="225"/>
        <v>157.14285714285734</v>
      </c>
      <c r="AA635" s="6"/>
      <c r="AB635" s="6"/>
      <c r="AC635" s="6"/>
      <c r="AD635" s="6"/>
      <c r="AE635" s="6"/>
      <c r="AF635" s="6"/>
      <c r="AG635" s="18" t="s">
        <v>22</v>
      </c>
      <c r="AH635" s="18" t="s">
        <v>22</v>
      </c>
      <c r="AI635" s="18" t="str">
        <f>+VLOOKUP(AH635,Leyenda!$O$4:$U$10,6,FALSE)</f>
        <v>0,80-1,50</v>
      </c>
      <c r="AJ635" s="18" t="str">
        <f>+VLOOKUP(AG635,Leyenda!$O$4:$U$10,7,FALSE)</f>
        <v>Moderate to resistence to blast</v>
      </c>
      <c r="AK635" s="18">
        <f>+VLOOKUP(AJ635,Leyenda!$U$4:$V$10,2,FALSE)</f>
        <v>5</v>
      </c>
      <c r="AL635" s="18" t="s">
        <v>22</v>
      </c>
      <c r="AM635" s="18" t="s">
        <v>22</v>
      </c>
      <c r="AN635" s="18" t="s">
        <v>64</v>
      </c>
      <c r="AO635" s="18" t="s">
        <v>81</v>
      </c>
      <c r="AP635" s="18" t="s">
        <v>96</v>
      </c>
      <c r="AQ635" s="18" t="s">
        <v>109</v>
      </c>
      <c r="AR635" s="18" t="s">
        <v>120</v>
      </c>
      <c r="AS635" s="18" t="s">
        <v>267</v>
      </c>
      <c r="AT635" s="18"/>
      <c r="AU635" s="6"/>
      <c r="AV635" s="18">
        <f>+VLOOKUP(AN635,Leyenda!$B$30:$E$34,3,FALSE)</f>
        <v>2</v>
      </c>
      <c r="AW635" s="18">
        <f>+VLOOKUP('2. Logging Brejo Seco'!AO635,Meteorizacion,3,FALSE)</f>
        <v>0</v>
      </c>
      <c r="AX635" s="18">
        <f>+VLOOKUP('2. Logging Brejo Seco'!AP635,Apertura,3,FALSE)</f>
        <v>1</v>
      </c>
      <c r="AY635" s="18">
        <f>+VLOOKUP('2. Logging Brejo Seco'!AQ635,Leyenda!$B$55:$D$59,3,FALSE)</f>
        <v>1</v>
      </c>
      <c r="AZ635" s="18">
        <f>+VLOOKUP('2. Logging Brejo Seco'!AR635,Relleno,3,FALSE)</f>
        <v>2</v>
      </c>
      <c r="BA635" s="18">
        <f t="shared" si="237"/>
        <v>6</v>
      </c>
      <c r="BB635" s="49">
        <f t="shared" si="238"/>
        <v>8</v>
      </c>
      <c r="BC635" s="49">
        <f>VLOOKUP(AH635,Leyenda!$B$4:$D$10,3,FALSE)</f>
        <v>12</v>
      </c>
      <c r="BD635" s="49">
        <f t="shared" si="203"/>
        <v>8</v>
      </c>
      <c r="BE635" s="49">
        <f t="shared" si="239"/>
        <v>6</v>
      </c>
      <c r="BF635" s="49">
        <f>VLOOKUP(AS635,Leyenda!$B$70:$D$75,3,FALSE)</f>
        <v>15</v>
      </c>
      <c r="BG635" s="67">
        <f t="shared" si="240"/>
        <v>28.999999999999972</v>
      </c>
      <c r="BH635" s="208">
        <v>7</v>
      </c>
      <c r="BI635" s="125">
        <f t="shared" si="204"/>
        <v>11</v>
      </c>
      <c r="BJ635" s="125">
        <f t="shared" si="241"/>
        <v>8</v>
      </c>
      <c r="BK635" s="125">
        <f>+VLOOKUP('2. Logging Brejo Seco'!AP635,Leyenda!$B$47:$E$51,4,FALSE)</f>
        <v>1</v>
      </c>
      <c r="BL635" s="125">
        <f>+VLOOKUP('2. Logging Brejo Seco'!AQ635,Leyenda!$B$55:$E$59,4,FALSE)</f>
        <v>1</v>
      </c>
      <c r="BM635" s="125">
        <f>+VLOOKUP('2. Logging Brejo Seco'!AR635,Leyenda!$B$63:$E$67,3,FALSE)</f>
        <v>2</v>
      </c>
      <c r="BN635" s="125">
        <f>+VLOOKUP('2. Logging Brejo Seco'!AO635,Leyenda!$B$39:$E$43,4,FALSE)</f>
        <v>0</v>
      </c>
      <c r="BO635" s="125">
        <f>+VLOOKUP('2. Logging Brejo Seco'!AN635,Leyenda!$B$30:$E$34,4,FALSE)</f>
        <v>3</v>
      </c>
      <c r="BP635" s="125">
        <f>VLOOKUP(AS635,Leyenda!$B$71:$E$75,4,FALSE)</f>
        <v>10</v>
      </c>
      <c r="BQ635" s="125">
        <f t="shared" si="242"/>
        <v>43</v>
      </c>
      <c r="BR635" s="85">
        <f t="shared" si="243"/>
        <v>49</v>
      </c>
      <c r="BS635" s="240">
        <f t="shared" si="205"/>
        <v>0.30000000000000093</v>
      </c>
      <c r="BT635" s="6"/>
    </row>
    <row r="636" spans="1:72" x14ac:dyDescent="0.25">
      <c r="A636" s="18" t="s">
        <v>6</v>
      </c>
      <c r="B636" s="18">
        <v>2024</v>
      </c>
      <c r="C636" s="18" t="s">
        <v>138</v>
      </c>
      <c r="D636" s="18" t="s">
        <v>657</v>
      </c>
      <c r="E636" s="3">
        <v>30</v>
      </c>
      <c r="F636" s="191">
        <v>40</v>
      </c>
      <c r="G636" s="36" t="s">
        <v>153</v>
      </c>
      <c r="H636" s="244">
        <v>30</v>
      </c>
      <c r="I636" s="244" t="s">
        <v>759</v>
      </c>
      <c r="J636" s="244"/>
      <c r="K636" s="18">
        <f t="shared" si="244"/>
        <v>44.15</v>
      </c>
      <c r="L636" s="18">
        <v>45.3</v>
      </c>
      <c r="M636" s="107">
        <f t="shared" si="223"/>
        <v>1.1499999999999986</v>
      </c>
      <c r="N636" s="113">
        <f t="shared" si="233"/>
        <v>0.95652173913043603</v>
      </c>
      <c r="O636" s="5">
        <f t="shared" si="245"/>
        <v>4.3478260869563967E-2</v>
      </c>
      <c r="P636" s="3">
        <v>1.1000000000000001</v>
      </c>
      <c r="Q636" s="6"/>
      <c r="R636" s="6"/>
      <c r="S636" s="6"/>
      <c r="T636" s="18">
        <v>0.83</v>
      </c>
      <c r="U636" s="18">
        <v>0.45</v>
      </c>
      <c r="V636" s="187">
        <f t="shared" si="236"/>
        <v>39.130434782608745</v>
      </c>
      <c r="W636" s="18"/>
      <c r="X636" s="18"/>
      <c r="Y636" s="18">
        <v>8</v>
      </c>
      <c r="Z636" s="31">
        <f t="shared" si="225"/>
        <v>143.74999999999983</v>
      </c>
      <c r="AA636" s="6"/>
      <c r="AB636" s="6"/>
      <c r="AC636" s="6"/>
      <c r="AD636" s="6"/>
      <c r="AE636" s="6"/>
      <c r="AF636" s="6"/>
      <c r="AG636" s="18" t="s">
        <v>22</v>
      </c>
      <c r="AH636" s="18" t="s">
        <v>22</v>
      </c>
      <c r="AI636" s="18" t="str">
        <f>+VLOOKUP(AH636,Leyenda!$O$4:$U$10,6,FALSE)</f>
        <v>0,80-1,50</v>
      </c>
      <c r="AJ636" s="18" t="str">
        <f>+VLOOKUP(AG636,Leyenda!$O$4:$U$10,7,FALSE)</f>
        <v>Moderate to resistence to blast</v>
      </c>
      <c r="AK636" s="18">
        <f>+VLOOKUP(AJ636,Leyenda!$U$4:$V$10,2,FALSE)</f>
        <v>5</v>
      </c>
      <c r="AL636" s="18" t="s">
        <v>22</v>
      </c>
      <c r="AM636" s="18" t="s">
        <v>22</v>
      </c>
      <c r="AN636" s="18" t="s">
        <v>64</v>
      </c>
      <c r="AO636" s="18" t="s">
        <v>79</v>
      </c>
      <c r="AP636" s="18" t="s">
        <v>100</v>
      </c>
      <c r="AQ636" s="18" t="s">
        <v>107</v>
      </c>
      <c r="AR636" s="18" t="s">
        <v>120</v>
      </c>
      <c r="AS636" s="18" t="s">
        <v>267</v>
      </c>
      <c r="AT636" s="18"/>
      <c r="AU636" s="6"/>
      <c r="AV636" s="18">
        <f>+VLOOKUP(AN636,Leyenda!$B$30:$E$34,3,FALSE)</f>
        <v>2</v>
      </c>
      <c r="AW636" s="18">
        <f>+VLOOKUP('2. Logging Brejo Seco'!AO636,Meteorizacion,3,FALSE)</f>
        <v>1</v>
      </c>
      <c r="AX636" s="18">
        <f>+VLOOKUP('2. Logging Brejo Seco'!AP636,Apertura,3,FALSE)</f>
        <v>0</v>
      </c>
      <c r="AY636" s="18">
        <f>+VLOOKUP('2. Logging Brejo Seco'!AQ636,Leyenda!$B$55:$D$59,3,FALSE)</f>
        <v>3</v>
      </c>
      <c r="AZ636" s="18">
        <f>+VLOOKUP('2. Logging Brejo Seco'!AR636,Relleno,3,FALSE)</f>
        <v>2</v>
      </c>
      <c r="BA636" s="18">
        <f t="shared" si="237"/>
        <v>8</v>
      </c>
      <c r="BB636" s="49">
        <f t="shared" si="238"/>
        <v>8</v>
      </c>
      <c r="BC636" s="49">
        <f>VLOOKUP(AH636,Leyenda!$B$4:$D$10,3,FALSE)</f>
        <v>12</v>
      </c>
      <c r="BD636" s="49">
        <f t="shared" si="203"/>
        <v>8</v>
      </c>
      <c r="BE636" s="49">
        <f t="shared" si="239"/>
        <v>8</v>
      </c>
      <c r="BF636" s="49">
        <f>VLOOKUP(AS636,Leyenda!$B$70:$D$75,3,FALSE)</f>
        <v>15</v>
      </c>
      <c r="BG636" s="67">
        <f t="shared" si="240"/>
        <v>31.565217391304373</v>
      </c>
      <c r="BH636" s="208">
        <v>7</v>
      </c>
      <c r="BI636" s="125">
        <f t="shared" si="204"/>
        <v>10</v>
      </c>
      <c r="BJ636" s="125">
        <f t="shared" si="241"/>
        <v>8</v>
      </c>
      <c r="BK636" s="125">
        <f>+VLOOKUP('2. Logging Brejo Seco'!AP636,Leyenda!$B$47:$E$51,4,FALSE)</f>
        <v>0</v>
      </c>
      <c r="BL636" s="125">
        <f>+VLOOKUP('2. Logging Brejo Seco'!AQ636,Leyenda!$B$55:$E$59,4,FALSE)</f>
        <v>3</v>
      </c>
      <c r="BM636" s="125">
        <f>+VLOOKUP('2. Logging Brejo Seco'!AR636,Leyenda!$B$63:$E$67,3,FALSE)</f>
        <v>2</v>
      </c>
      <c r="BN636" s="125">
        <f>+VLOOKUP('2. Logging Brejo Seco'!AO636,Leyenda!$B$39:$E$43,4,FALSE)</f>
        <v>1</v>
      </c>
      <c r="BO636" s="125">
        <f>+VLOOKUP('2. Logging Brejo Seco'!AN636,Leyenda!$B$30:$E$34,4,FALSE)</f>
        <v>3</v>
      </c>
      <c r="BP636" s="125">
        <f>VLOOKUP(AS636,Leyenda!$B$71:$E$75,4,FALSE)</f>
        <v>10</v>
      </c>
      <c r="BQ636" s="125">
        <f t="shared" si="242"/>
        <v>44</v>
      </c>
      <c r="BR636" s="85">
        <f t="shared" si="243"/>
        <v>51</v>
      </c>
      <c r="BS636" s="240">
        <f t="shared" si="205"/>
        <v>4.3478260869563967E-2</v>
      </c>
      <c r="BT636" s="6"/>
    </row>
    <row r="637" spans="1:72" x14ac:dyDescent="0.25">
      <c r="A637" s="18" t="s">
        <v>6</v>
      </c>
      <c r="B637" s="18">
        <v>2024</v>
      </c>
      <c r="C637" s="18" t="s">
        <v>138</v>
      </c>
      <c r="D637" s="18" t="s">
        <v>657</v>
      </c>
      <c r="E637" s="3">
        <v>30</v>
      </c>
      <c r="F637" s="191">
        <v>30</v>
      </c>
      <c r="G637" s="18" t="s">
        <v>152</v>
      </c>
      <c r="H637" s="244">
        <v>30</v>
      </c>
      <c r="I637" s="244" t="s">
        <v>759</v>
      </c>
      <c r="J637" s="244"/>
      <c r="K637" s="18">
        <f t="shared" si="244"/>
        <v>45.3</v>
      </c>
      <c r="L637" s="18">
        <v>47.05</v>
      </c>
      <c r="M637" s="107">
        <f t="shared" si="223"/>
        <v>1.75</v>
      </c>
      <c r="N637" s="113">
        <f t="shared" si="233"/>
        <v>0.88</v>
      </c>
      <c r="O637" s="5">
        <f t="shared" si="245"/>
        <v>0.12</v>
      </c>
      <c r="P637" s="3">
        <v>1.54</v>
      </c>
      <c r="Q637" s="6"/>
      <c r="R637" s="6"/>
      <c r="S637" s="6"/>
      <c r="T637" s="18">
        <v>1.54</v>
      </c>
      <c r="U637" s="18">
        <v>0.54</v>
      </c>
      <c r="V637" s="187">
        <f t="shared" si="236"/>
        <v>30.857142857142861</v>
      </c>
      <c r="W637" s="18"/>
      <c r="X637" s="18"/>
      <c r="Y637" s="18">
        <v>13</v>
      </c>
      <c r="Z637" s="31">
        <f t="shared" si="225"/>
        <v>134.61538461538461</v>
      </c>
      <c r="AA637" s="6"/>
      <c r="AB637" s="6"/>
      <c r="AC637" s="6"/>
      <c r="AD637" s="6"/>
      <c r="AE637" s="6"/>
      <c r="AF637" s="6"/>
      <c r="AG637" s="18" t="s">
        <v>29</v>
      </c>
      <c r="AH637" s="18" t="s">
        <v>29</v>
      </c>
      <c r="AI637" s="18" t="str">
        <f>+VLOOKUP(AH637,Leyenda!$O$4:$U$10,6,FALSE)</f>
        <v>0,25-0,35</v>
      </c>
      <c r="AJ637" s="18" t="str">
        <f>+VLOOKUP(AG637,Leyenda!$O$4:$U$10,7,FALSE)</f>
        <v>No Blasting need</v>
      </c>
      <c r="AK637" s="18">
        <f>+VLOOKUP(AJ637,Leyenda!$U$4:$V$10,2,FALSE)</f>
        <v>2</v>
      </c>
      <c r="AL637" s="18"/>
      <c r="AM637" s="18" t="s">
        <v>29</v>
      </c>
      <c r="AN637" s="18" t="s">
        <v>66</v>
      </c>
      <c r="AO637" s="18" t="s">
        <v>79</v>
      </c>
      <c r="AP637" s="18" t="s">
        <v>96</v>
      </c>
      <c r="AQ637" s="18" t="s">
        <v>107</v>
      </c>
      <c r="AR637" s="18" t="s">
        <v>122</v>
      </c>
      <c r="AS637" s="18" t="s">
        <v>267</v>
      </c>
      <c r="AT637" s="18"/>
      <c r="AU637" s="6"/>
      <c r="AV637" s="36">
        <f>+VLOOKUP(AN637,Leyenda!$B$30:$E$34,3,FALSE)</f>
        <v>1</v>
      </c>
      <c r="AW637" s="36">
        <f>+VLOOKUP('2. Logging Brejo Seco'!AO637,Meteorizacion,3,FALSE)</f>
        <v>1</v>
      </c>
      <c r="AX637" s="36">
        <f>+VLOOKUP('2. Logging Brejo Seco'!AP637,Apertura,3,FALSE)</f>
        <v>1</v>
      </c>
      <c r="AY637" s="36">
        <f>+VLOOKUP('2. Logging Brejo Seco'!AQ637,Leyenda!$B$55:$D$59,3,FALSE)</f>
        <v>3</v>
      </c>
      <c r="AZ637" s="36">
        <f>+VLOOKUP('2. Logging Brejo Seco'!AR637,Relleno,3,FALSE)</f>
        <v>0</v>
      </c>
      <c r="BA637" s="36">
        <f t="shared" si="237"/>
        <v>6</v>
      </c>
      <c r="BB637" s="50">
        <f t="shared" si="238"/>
        <v>7</v>
      </c>
      <c r="BC637" s="49">
        <f>VLOOKUP(AH637,Leyenda!$B$4:$D$10,3,FALSE)</f>
        <v>2</v>
      </c>
      <c r="BD637" s="50">
        <f t="shared" si="203"/>
        <v>8</v>
      </c>
      <c r="BE637" s="50">
        <f t="shared" si="239"/>
        <v>6</v>
      </c>
      <c r="BF637" s="50">
        <f>VLOOKUP(AS637,Leyenda!$B$70:$D$75,3,FALSE)</f>
        <v>15</v>
      </c>
      <c r="BG637" s="110">
        <f t="shared" si="240"/>
        <v>24.428571428571431</v>
      </c>
      <c r="BH637" s="110">
        <f>VLOOKUP(AG637,Leyenda!$B$4:$E$10,4,FALSE)</f>
        <v>2</v>
      </c>
      <c r="BI637" s="67">
        <f t="shared" si="204"/>
        <v>10</v>
      </c>
      <c r="BJ637" s="110">
        <f t="shared" si="241"/>
        <v>7</v>
      </c>
      <c r="BK637" s="110">
        <f>+VLOOKUP('2. Logging Brejo Seco'!AP637,Leyenda!$B$47:$E$51,4,FALSE)</f>
        <v>1</v>
      </c>
      <c r="BL637" s="110">
        <f>+VLOOKUP('2. Logging Brejo Seco'!AQ637,Leyenda!$B$55:$E$59,4,FALSE)</f>
        <v>3</v>
      </c>
      <c r="BM637" s="110">
        <f>+VLOOKUP('2. Logging Brejo Seco'!AR637,Leyenda!$B$63:$E$67,3,FALSE)</f>
        <v>0</v>
      </c>
      <c r="BN637" s="110">
        <f>+VLOOKUP('2. Logging Brejo Seco'!AO637,Leyenda!$B$39:$E$43,4,FALSE)</f>
        <v>1</v>
      </c>
      <c r="BO637" s="110">
        <f>+VLOOKUP('2. Logging Brejo Seco'!AN637,Leyenda!$B$30:$E$34,4,FALSE)</f>
        <v>1</v>
      </c>
      <c r="BP637" s="110">
        <f>VLOOKUP(AS637,Leyenda!$B$71:$E$75,4,FALSE)</f>
        <v>10</v>
      </c>
      <c r="BQ637" s="110">
        <f t="shared" si="242"/>
        <v>35</v>
      </c>
      <c r="BR637" s="36">
        <f t="shared" si="243"/>
        <v>38</v>
      </c>
      <c r="BS637" s="240">
        <f t="shared" si="205"/>
        <v>0.12</v>
      </c>
      <c r="BT637" s="6"/>
    </row>
    <row r="638" spans="1:72" x14ac:dyDescent="0.25">
      <c r="A638" s="18" t="s">
        <v>6</v>
      </c>
      <c r="B638" s="18">
        <v>2024</v>
      </c>
      <c r="C638" s="18" t="s">
        <v>138</v>
      </c>
      <c r="D638" s="18" t="s">
        <v>657</v>
      </c>
      <c r="E638" s="3">
        <v>30</v>
      </c>
      <c r="F638" s="191">
        <v>30</v>
      </c>
      <c r="G638" s="18" t="s">
        <v>152</v>
      </c>
      <c r="H638" s="244">
        <v>30</v>
      </c>
      <c r="I638" s="244" t="s">
        <v>759</v>
      </c>
      <c r="J638" s="244"/>
      <c r="K638" s="18">
        <f t="shared" si="244"/>
        <v>47.05</v>
      </c>
      <c r="L638" s="18">
        <v>47.75</v>
      </c>
      <c r="M638" s="107">
        <f t="shared" si="223"/>
        <v>0.70000000000000284</v>
      </c>
      <c r="N638" s="113">
        <f t="shared" si="233"/>
        <v>0.88571428571428212</v>
      </c>
      <c r="O638" s="5">
        <f t="shared" si="245"/>
        <v>0.11428571428571788</v>
      </c>
      <c r="P638" s="3">
        <v>0.62</v>
      </c>
      <c r="Q638" s="6"/>
      <c r="R638" s="6"/>
      <c r="S638" s="6"/>
      <c r="T638" s="18">
        <v>0.62</v>
      </c>
      <c r="U638" s="18">
        <v>0</v>
      </c>
      <c r="V638" s="187">
        <f t="shared" si="236"/>
        <v>0</v>
      </c>
      <c r="W638" s="18"/>
      <c r="X638" s="18"/>
      <c r="Y638" s="18">
        <v>20</v>
      </c>
      <c r="Z638" s="31">
        <f t="shared" si="225"/>
        <v>35.000000000000142</v>
      </c>
      <c r="AA638" s="6"/>
      <c r="AB638" s="6"/>
      <c r="AC638" s="6"/>
      <c r="AD638" s="6"/>
      <c r="AE638" s="6"/>
      <c r="AF638" s="6"/>
      <c r="AG638" s="18" t="s">
        <v>32</v>
      </c>
      <c r="AH638" s="18" t="s">
        <v>32</v>
      </c>
      <c r="AI638" s="18" t="str">
        <f>+VLOOKUP(AH638,Leyenda!$O$4:$U$10,6,FALSE)</f>
        <v>0,15-0,25</v>
      </c>
      <c r="AJ638" s="18" t="str">
        <f>+VLOOKUP(AG638,Leyenda!$O$4:$U$10,7,FALSE)</f>
        <v>No Blasting need</v>
      </c>
      <c r="AK638" s="18">
        <f>+VLOOKUP(AJ638,Leyenda!$U$4:$V$10,2,FALSE)</f>
        <v>2</v>
      </c>
      <c r="AL638" s="18"/>
      <c r="AM638" s="18" t="s">
        <v>32</v>
      </c>
      <c r="AN638" s="18" t="s">
        <v>66</v>
      </c>
      <c r="AO638" s="18" t="s">
        <v>81</v>
      </c>
      <c r="AP638" s="18" t="s">
        <v>100</v>
      </c>
      <c r="AQ638" s="18" t="s">
        <v>107</v>
      </c>
      <c r="AR638" s="18" t="s">
        <v>122</v>
      </c>
      <c r="AS638" s="18" t="s">
        <v>267</v>
      </c>
      <c r="AT638" s="18"/>
      <c r="AU638" s="6"/>
      <c r="AV638" s="36">
        <f>+VLOOKUP(AN638,Leyenda!$B$30:$E$34,3,FALSE)</f>
        <v>1</v>
      </c>
      <c r="AW638" s="36">
        <f>+VLOOKUP('2. Logging Brejo Seco'!AO638,Meteorizacion,3,FALSE)</f>
        <v>0</v>
      </c>
      <c r="AX638" s="36">
        <f>+VLOOKUP('2. Logging Brejo Seco'!AP638,Apertura,3,FALSE)</f>
        <v>0</v>
      </c>
      <c r="AY638" s="36">
        <f>+VLOOKUP('2. Logging Brejo Seco'!AQ638,Leyenda!$B$55:$D$59,3,FALSE)</f>
        <v>3</v>
      </c>
      <c r="AZ638" s="36">
        <f>+VLOOKUP('2. Logging Brejo Seco'!AR638,Relleno,3,FALSE)</f>
        <v>0</v>
      </c>
      <c r="BA638" s="36">
        <f t="shared" si="237"/>
        <v>4</v>
      </c>
      <c r="BB638" s="50">
        <f t="shared" si="238"/>
        <v>0</v>
      </c>
      <c r="BC638" s="49">
        <f>VLOOKUP(AH638,Leyenda!$B$4:$D$10,3,FALSE)</f>
        <v>1</v>
      </c>
      <c r="BD638" s="50">
        <f t="shared" si="203"/>
        <v>5</v>
      </c>
      <c r="BE638" s="50">
        <f t="shared" si="239"/>
        <v>4</v>
      </c>
      <c r="BF638" s="50">
        <f>VLOOKUP(AS638,Leyenda!$B$70:$D$75,3,FALSE)</f>
        <v>15</v>
      </c>
      <c r="BG638" s="110">
        <f t="shared" si="240"/>
        <v>6</v>
      </c>
      <c r="BH638" s="110">
        <f>VLOOKUP(AG638,Leyenda!$B$4:$E$10,4,FALSE)</f>
        <v>1</v>
      </c>
      <c r="BI638" s="67">
        <f t="shared" si="204"/>
        <v>5</v>
      </c>
      <c r="BJ638" s="110">
        <f t="shared" si="241"/>
        <v>0</v>
      </c>
      <c r="BK638" s="110">
        <f>+VLOOKUP('2. Logging Brejo Seco'!AP638,Leyenda!$B$47:$E$51,4,FALSE)</f>
        <v>0</v>
      </c>
      <c r="BL638" s="110">
        <f>+VLOOKUP('2. Logging Brejo Seco'!AQ638,Leyenda!$B$55:$E$59,4,FALSE)</f>
        <v>3</v>
      </c>
      <c r="BM638" s="110">
        <f>+VLOOKUP('2. Logging Brejo Seco'!AR638,Leyenda!$B$63:$E$67,3,FALSE)</f>
        <v>0</v>
      </c>
      <c r="BN638" s="110">
        <f>+VLOOKUP('2. Logging Brejo Seco'!AO638,Leyenda!$B$39:$E$43,4,FALSE)</f>
        <v>0</v>
      </c>
      <c r="BO638" s="110">
        <f>+VLOOKUP('2. Logging Brejo Seco'!AN638,Leyenda!$B$30:$E$34,4,FALSE)</f>
        <v>1</v>
      </c>
      <c r="BP638" s="110">
        <f>VLOOKUP(AS638,Leyenda!$B$71:$E$75,4,FALSE)</f>
        <v>10</v>
      </c>
      <c r="BQ638" s="110">
        <f t="shared" si="242"/>
        <v>20</v>
      </c>
      <c r="BR638" s="36">
        <f t="shared" si="243"/>
        <v>25</v>
      </c>
      <c r="BS638" s="240">
        <f t="shared" si="205"/>
        <v>0.11428571428571788</v>
      </c>
      <c r="BT638" s="6"/>
    </row>
    <row r="639" spans="1:72" x14ac:dyDescent="0.25">
      <c r="A639" s="18" t="s">
        <v>6</v>
      </c>
      <c r="B639" s="18">
        <v>2024</v>
      </c>
      <c r="C639" s="18" t="s">
        <v>138</v>
      </c>
      <c r="D639" s="18" t="s">
        <v>657</v>
      </c>
      <c r="E639" s="3">
        <v>30</v>
      </c>
      <c r="F639" s="191">
        <v>30</v>
      </c>
      <c r="G639" s="18" t="s">
        <v>152</v>
      </c>
      <c r="H639" s="244">
        <v>30</v>
      </c>
      <c r="I639" s="244" t="s">
        <v>759</v>
      </c>
      <c r="J639" s="244"/>
      <c r="K639" s="18">
        <f t="shared" si="244"/>
        <v>47.75</v>
      </c>
      <c r="L639" s="18">
        <v>48.4</v>
      </c>
      <c r="M639" s="107">
        <f t="shared" si="223"/>
        <v>0.64999999999999858</v>
      </c>
      <c r="N639" s="113">
        <f t="shared" si="233"/>
        <v>0.64615384615384752</v>
      </c>
      <c r="O639" s="5">
        <f t="shared" si="245"/>
        <v>0.35384615384615248</v>
      </c>
      <c r="P639" s="3">
        <v>0.42</v>
      </c>
      <c r="Q639" s="6"/>
      <c r="R639" s="6"/>
      <c r="S639" s="6"/>
      <c r="T639" s="18">
        <v>0.42</v>
      </c>
      <c r="U639" s="18">
        <v>0</v>
      </c>
      <c r="V639" s="187">
        <f t="shared" si="236"/>
        <v>0</v>
      </c>
      <c r="W639" s="18"/>
      <c r="X639" s="18"/>
      <c r="Y639" s="18">
        <v>20</v>
      </c>
      <c r="Z639" s="31">
        <f t="shared" si="225"/>
        <v>32.499999999999929</v>
      </c>
      <c r="AA639" s="6"/>
      <c r="AB639" s="6"/>
      <c r="AC639" s="6"/>
      <c r="AD639" s="6"/>
      <c r="AE639" s="6"/>
      <c r="AF639" s="6"/>
      <c r="AG639" s="18" t="s">
        <v>29</v>
      </c>
      <c r="AH639" s="18" t="s">
        <v>29</v>
      </c>
      <c r="AI639" s="18" t="str">
        <f>+VLOOKUP(AH639,Leyenda!$O$4:$U$10,6,FALSE)</f>
        <v>0,25-0,35</v>
      </c>
      <c r="AJ639" s="18" t="str">
        <f>+VLOOKUP(AG639,Leyenda!$O$4:$U$10,7,FALSE)</f>
        <v>No Blasting need</v>
      </c>
      <c r="AK639" s="18">
        <f>+VLOOKUP(AJ639,Leyenda!$U$4:$V$10,2,FALSE)</f>
        <v>2</v>
      </c>
      <c r="AL639" s="18"/>
      <c r="AM639" s="18" t="s">
        <v>29</v>
      </c>
      <c r="AN639" s="18" t="s">
        <v>64</v>
      </c>
      <c r="AO639" s="18" t="s">
        <v>81</v>
      </c>
      <c r="AP639" s="18" t="s">
        <v>100</v>
      </c>
      <c r="AQ639" s="18" t="s">
        <v>107</v>
      </c>
      <c r="AR639" s="18" t="s">
        <v>122</v>
      </c>
      <c r="AS639" s="18" t="s">
        <v>267</v>
      </c>
      <c r="AT639" s="18"/>
      <c r="AU639" s="6"/>
      <c r="AV639" s="36">
        <f>+VLOOKUP(AN639,Leyenda!$B$30:$E$34,3,FALSE)</f>
        <v>2</v>
      </c>
      <c r="AW639" s="36">
        <f>+VLOOKUP('2. Logging Brejo Seco'!AO639,Meteorizacion,3,FALSE)</f>
        <v>0</v>
      </c>
      <c r="AX639" s="36">
        <f>+VLOOKUP('2. Logging Brejo Seco'!AP639,Apertura,3,FALSE)</f>
        <v>0</v>
      </c>
      <c r="AY639" s="36">
        <f>+VLOOKUP('2. Logging Brejo Seco'!AQ639,Leyenda!$B$55:$D$59,3,FALSE)</f>
        <v>3</v>
      </c>
      <c r="AZ639" s="36">
        <f>+VLOOKUP('2. Logging Brejo Seco'!AR639,Relleno,3,FALSE)</f>
        <v>0</v>
      </c>
      <c r="BA639" s="36">
        <f t="shared" si="237"/>
        <v>5</v>
      </c>
      <c r="BB639" s="50">
        <f t="shared" si="238"/>
        <v>0</v>
      </c>
      <c r="BC639" s="49">
        <f>VLOOKUP(AH639,Leyenda!$B$4:$D$10,3,FALSE)</f>
        <v>2</v>
      </c>
      <c r="BD639" s="50">
        <f t="shared" si="203"/>
        <v>5</v>
      </c>
      <c r="BE639" s="50">
        <f t="shared" si="239"/>
        <v>5</v>
      </c>
      <c r="BF639" s="50">
        <f>VLOOKUP(AS639,Leyenda!$B$70:$D$75,3,FALSE)</f>
        <v>15</v>
      </c>
      <c r="BG639" s="110">
        <f t="shared" si="240"/>
        <v>7.5</v>
      </c>
      <c r="BH639" s="110">
        <f>VLOOKUP(AG639,Leyenda!$B$4:$E$10,4,FALSE)</f>
        <v>2</v>
      </c>
      <c r="BI639" s="67">
        <f t="shared" si="204"/>
        <v>5</v>
      </c>
      <c r="BJ639" s="110">
        <f t="shared" si="241"/>
        <v>0</v>
      </c>
      <c r="BK639" s="110">
        <f>+VLOOKUP('2. Logging Brejo Seco'!AP639,Leyenda!$B$47:$E$51,4,FALSE)</f>
        <v>0</v>
      </c>
      <c r="BL639" s="110">
        <f>+VLOOKUP('2. Logging Brejo Seco'!AQ639,Leyenda!$B$55:$E$59,4,FALSE)</f>
        <v>3</v>
      </c>
      <c r="BM639" s="110">
        <f>+VLOOKUP('2. Logging Brejo Seco'!AR639,Leyenda!$B$63:$E$67,3,FALSE)</f>
        <v>0</v>
      </c>
      <c r="BN639" s="110">
        <f>+VLOOKUP('2. Logging Brejo Seco'!AO639,Leyenda!$B$39:$E$43,4,FALSE)</f>
        <v>0</v>
      </c>
      <c r="BO639" s="110">
        <f>+VLOOKUP('2. Logging Brejo Seco'!AN639,Leyenda!$B$30:$E$34,4,FALSE)</f>
        <v>3</v>
      </c>
      <c r="BP639" s="110">
        <f>VLOOKUP(AS639,Leyenda!$B$71:$E$75,4,FALSE)</f>
        <v>10</v>
      </c>
      <c r="BQ639" s="110">
        <f t="shared" si="242"/>
        <v>23</v>
      </c>
      <c r="BR639" s="36">
        <f t="shared" si="243"/>
        <v>27</v>
      </c>
      <c r="BS639" s="240">
        <f t="shared" si="205"/>
        <v>0.35384615384615248</v>
      </c>
      <c r="BT639" s="6"/>
    </row>
    <row r="640" spans="1:72" x14ac:dyDescent="0.25">
      <c r="A640" s="18" t="s">
        <v>6</v>
      </c>
      <c r="B640" s="18">
        <v>2024</v>
      </c>
      <c r="C640" s="18" t="s">
        <v>138</v>
      </c>
      <c r="D640" s="18" t="s">
        <v>657</v>
      </c>
      <c r="E640" s="3">
        <v>30</v>
      </c>
      <c r="F640" s="191">
        <v>30</v>
      </c>
      <c r="G640" s="18" t="s">
        <v>152</v>
      </c>
      <c r="H640" s="3">
        <v>40</v>
      </c>
      <c r="I640" s="3" t="s">
        <v>757</v>
      </c>
      <c r="J640" s="3"/>
      <c r="K640" s="18">
        <f t="shared" si="244"/>
        <v>48.4</v>
      </c>
      <c r="L640" s="18">
        <v>48.65</v>
      </c>
      <c r="M640" s="107">
        <f t="shared" si="223"/>
        <v>0.25</v>
      </c>
      <c r="N640" s="113">
        <f t="shared" si="233"/>
        <v>0.56000000000000005</v>
      </c>
      <c r="O640" s="5">
        <f t="shared" si="245"/>
        <v>0.43999999999999995</v>
      </c>
      <c r="P640" s="3">
        <v>0.14000000000000001</v>
      </c>
      <c r="Q640" s="6"/>
      <c r="R640" s="6"/>
      <c r="S640" s="6"/>
      <c r="T640" s="18">
        <v>0.14000000000000001</v>
      </c>
      <c r="U640" s="18">
        <v>0</v>
      </c>
      <c r="V640" s="187">
        <f t="shared" si="236"/>
        <v>0</v>
      </c>
      <c r="W640" s="18"/>
      <c r="X640" s="18"/>
      <c r="Y640" s="18">
        <v>20</v>
      </c>
      <c r="Z640" s="31">
        <f t="shared" si="225"/>
        <v>12.5</v>
      </c>
      <c r="AA640" s="6"/>
      <c r="AB640" s="6"/>
      <c r="AC640" s="6"/>
      <c r="AD640" s="6"/>
      <c r="AE640" s="6"/>
      <c r="AF640" s="6"/>
      <c r="AG640" s="18" t="s">
        <v>32</v>
      </c>
      <c r="AH640" s="18" t="s">
        <v>32</v>
      </c>
      <c r="AI640" s="18" t="str">
        <f>+VLOOKUP(AH640,Leyenda!$O$4:$U$10,6,FALSE)</f>
        <v>0,15-0,25</v>
      </c>
      <c r="AJ640" s="18" t="str">
        <f>+VLOOKUP(AG640,Leyenda!$O$4:$U$10,7,FALSE)</f>
        <v>No Blasting need</v>
      </c>
      <c r="AK640" s="18">
        <f>+VLOOKUP(AJ640,Leyenda!$U$4:$V$10,2,FALSE)</f>
        <v>2</v>
      </c>
      <c r="AL640" s="18"/>
      <c r="AM640" s="18" t="s">
        <v>32</v>
      </c>
      <c r="AN640" s="18" t="s">
        <v>66</v>
      </c>
      <c r="AO640" s="18" t="s">
        <v>79</v>
      </c>
      <c r="AP640" s="18" t="s">
        <v>100</v>
      </c>
      <c r="AQ640" s="18" t="s">
        <v>107</v>
      </c>
      <c r="AR640" s="18" t="s">
        <v>122</v>
      </c>
      <c r="AS640" s="18" t="s">
        <v>267</v>
      </c>
      <c r="AT640" s="18"/>
      <c r="AU640" s="6"/>
      <c r="AV640" s="36">
        <f>+VLOOKUP(AN640,Leyenda!$B$30:$E$34,3,FALSE)</f>
        <v>1</v>
      </c>
      <c r="AW640" s="36">
        <f>+VLOOKUP('2. Logging Brejo Seco'!AO640,Meteorizacion,3,FALSE)</f>
        <v>1</v>
      </c>
      <c r="AX640" s="36">
        <f>+VLOOKUP('2. Logging Brejo Seco'!AP640,Apertura,3,FALSE)</f>
        <v>0</v>
      </c>
      <c r="AY640" s="36">
        <f>+VLOOKUP('2. Logging Brejo Seco'!AQ640,Leyenda!$B$55:$D$59,3,FALSE)</f>
        <v>3</v>
      </c>
      <c r="AZ640" s="36">
        <f>+VLOOKUP('2. Logging Brejo Seco'!AR640,Relleno,3,FALSE)</f>
        <v>0</v>
      </c>
      <c r="BA640" s="36">
        <f t="shared" si="237"/>
        <v>5</v>
      </c>
      <c r="BB640" s="50">
        <f t="shared" si="238"/>
        <v>0</v>
      </c>
      <c r="BC640" s="49">
        <f>VLOOKUP(AH640,Leyenda!$B$4:$D$10,3,FALSE)</f>
        <v>1</v>
      </c>
      <c r="BD640" s="50">
        <f t="shared" si="203"/>
        <v>4</v>
      </c>
      <c r="BE640" s="50">
        <f t="shared" si="239"/>
        <v>5</v>
      </c>
      <c r="BF640" s="50">
        <f>VLOOKUP(AS640,Leyenda!$B$70:$D$75,3,FALSE)</f>
        <v>15</v>
      </c>
      <c r="BG640" s="110">
        <f t="shared" si="240"/>
        <v>7.5</v>
      </c>
      <c r="BH640" s="110">
        <f>VLOOKUP(AG640,Leyenda!$B$4:$E$10,4,FALSE)</f>
        <v>1</v>
      </c>
      <c r="BI640" s="67">
        <f t="shared" si="204"/>
        <v>5</v>
      </c>
      <c r="BJ640" s="110">
        <f t="shared" si="241"/>
        <v>0</v>
      </c>
      <c r="BK640" s="110">
        <f>+VLOOKUP('2. Logging Brejo Seco'!AP640,Leyenda!$B$47:$E$51,4,FALSE)</f>
        <v>0</v>
      </c>
      <c r="BL640" s="110">
        <f>+VLOOKUP('2. Logging Brejo Seco'!AQ640,Leyenda!$B$55:$E$59,4,FALSE)</f>
        <v>3</v>
      </c>
      <c r="BM640" s="110">
        <f>+VLOOKUP('2. Logging Brejo Seco'!AR640,Leyenda!$B$63:$E$67,3,FALSE)</f>
        <v>0</v>
      </c>
      <c r="BN640" s="110">
        <f>+VLOOKUP('2. Logging Brejo Seco'!AO640,Leyenda!$B$39:$E$43,4,FALSE)</f>
        <v>1</v>
      </c>
      <c r="BO640" s="110">
        <f>+VLOOKUP('2. Logging Brejo Seco'!AN640,Leyenda!$B$30:$E$34,4,FALSE)</f>
        <v>1</v>
      </c>
      <c r="BP640" s="110">
        <f>VLOOKUP(AS640,Leyenda!$B$71:$E$75,4,FALSE)</f>
        <v>10</v>
      </c>
      <c r="BQ640" s="110">
        <f t="shared" si="242"/>
        <v>21</v>
      </c>
      <c r="BR640" s="36">
        <f t="shared" si="243"/>
        <v>25</v>
      </c>
      <c r="BS640" s="240">
        <f t="shared" si="205"/>
        <v>0.43999999999999995</v>
      </c>
      <c r="BT640" s="6"/>
    </row>
    <row r="641" spans="1:72" x14ac:dyDescent="0.25">
      <c r="A641" s="18" t="s">
        <v>6</v>
      </c>
      <c r="B641" s="18">
        <v>2024</v>
      </c>
      <c r="C641" s="18" t="s">
        <v>138</v>
      </c>
      <c r="D641" s="18" t="s">
        <v>657</v>
      </c>
      <c r="E641" s="3">
        <v>30</v>
      </c>
      <c r="F641" s="191">
        <v>30</v>
      </c>
      <c r="G641" s="18" t="s">
        <v>152</v>
      </c>
      <c r="H641" s="3">
        <v>40</v>
      </c>
      <c r="I641" s="3" t="s">
        <v>757</v>
      </c>
      <c r="J641" s="3"/>
      <c r="K641" s="18">
        <f t="shared" si="244"/>
        <v>48.65</v>
      </c>
      <c r="L641" s="18">
        <v>49.05</v>
      </c>
      <c r="M641" s="107">
        <f t="shared" si="223"/>
        <v>0.39999999999999858</v>
      </c>
      <c r="N641" s="113">
        <f t="shared" si="233"/>
        <v>0.4750000000000017</v>
      </c>
      <c r="O641" s="5">
        <f t="shared" si="245"/>
        <v>0.52499999999999836</v>
      </c>
      <c r="P641" s="3">
        <v>0.19</v>
      </c>
      <c r="Q641" s="6"/>
      <c r="R641" s="6"/>
      <c r="S641" s="6"/>
      <c r="T641" s="18">
        <v>0.24</v>
      </c>
      <c r="U641" s="18">
        <v>0.1</v>
      </c>
      <c r="V641" s="187">
        <f t="shared" si="236"/>
        <v>25.000000000000089</v>
      </c>
      <c r="W641" s="18"/>
      <c r="X641" s="18"/>
      <c r="Y641" s="18">
        <v>6</v>
      </c>
      <c r="Z641" s="31">
        <f t="shared" si="225"/>
        <v>66.66666666666643</v>
      </c>
      <c r="AA641" s="6"/>
      <c r="AB641" s="6"/>
      <c r="AC641" s="6"/>
      <c r="AD641" s="6"/>
      <c r="AE641" s="6"/>
      <c r="AF641" s="6"/>
      <c r="AG641" s="18" t="s">
        <v>27</v>
      </c>
      <c r="AH641" s="18" t="s">
        <v>27</v>
      </c>
      <c r="AI641" s="18" t="str">
        <f>+VLOOKUP(AH641,Leyenda!$O$4:$U$10,6,FALSE)</f>
        <v>0,35-0,50</v>
      </c>
      <c r="AJ641" s="18" t="str">
        <f>+VLOOKUP(AG641,Leyenda!$O$4:$U$10,7,FALSE)</f>
        <v>Easy to blast</v>
      </c>
      <c r="AK641" s="18">
        <f>+VLOOKUP(AJ641,Leyenda!$U$4:$V$10,2,FALSE)</f>
        <v>3</v>
      </c>
      <c r="AL641" s="18"/>
      <c r="AM641" s="18" t="s">
        <v>27</v>
      </c>
      <c r="AN641" s="18" t="s">
        <v>66</v>
      </c>
      <c r="AO641" s="18" t="s">
        <v>79</v>
      </c>
      <c r="AP641" s="18" t="s">
        <v>100</v>
      </c>
      <c r="AQ641" s="18" t="s">
        <v>107</v>
      </c>
      <c r="AR641" s="18" t="s">
        <v>122</v>
      </c>
      <c r="AS641" s="18" t="s">
        <v>267</v>
      </c>
      <c r="AT641" s="18"/>
      <c r="AU641" s="6"/>
      <c r="AV641" s="36">
        <f>+VLOOKUP(AN641,Leyenda!$B$30:$E$34,3,FALSE)</f>
        <v>1</v>
      </c>
      <c r="AW641" s="36">
        <f>+VLOOKUP('2. Logging Brejo Seco'!AO641,Meteorizacion,3,FALSE)</f>
        <v>1</v>
      </c>
      <c r="AX641" s="36">
        <f>+VLOOKUP('2. Logging Brejo Seco'!AP641,Apertura,3,FALSE)</f>
        <v>0</v>
      </c>
      <c r="AY641" s="36">
        <f>+VLOOKUP('2. Logging Brejo Seco'!AQ641,Leyenda!$B$55:$D$59,3,FALSE)</f>
        <v>3</v>
      </c>
      <c r="AZ641" s="36">
        <f>+VLOOKUP('2. Logging Brejo Seco'!AR641,Relleno,3,FALSE)</f>
        <v>0</v>
      </c>
      <c r="BA641" s="36">
        <f t="shared" si="237"/>
        <v>5</v>
      </c>
      <c r="BB641" s="50">
        <f t="shared" si="238"/>
        <v>5</v>
      </c>
      <c r="BC641" s="49">
        <f>VLOOKUP(AH641,Leyenda!$B$4:$D$10,3,FALSE)</f>
        <v>4</v>
      </c>
      <c r="BD641" s="50">
        <f t="shared" si="203"/>
        <v>6</v>
      </c>
      <c r="BE641" s="50">
        <f t="shared" si="239"/>
        <v>5</v>
      </c>
      <c r="BF641" s="50">
        <f>VLOOKUP(AS641,Leyenda!$B$70:$D$75,3,FALSE)</f>
        <v>15</v>
      </c>
      <c r="BG641" s="110">
        <f t="shared" si="240"/>
        <v>20.000000000000043</v>
      </c>
      <c r="BH641" s="110">
        <f>VLOOKUP(AG641,Leyenda!$B$4:$E$10,4,FALSE)</f>
        <v>4</v>
      </c>
      <c r="BI641" s="67">
        <f t="shared" si="204"/>
        <v>6</v>
      </c>
      <c r="BJ641" s="110">
        <f t="shared" si="241"/>
        <v>5</v>
      </c>
      <c r="BK641" s="110">
        <f>+VLOOKUP('2. Logging Brejo Seco'!AP641,Leyenda!$B$47:$E$51,4,FALSE)</f>
        <v>0</v>
      </c>
      <c r="BL641" s="110">
        <f>+VLOOKUP('2. Logging Brejo Seco'!AQ641,Leyenda!$B$55:$E$59,4,FALSE)</f>
        <v>3</v>
      </c>
      <c r="BM641" s="110">
        <f>+VLOOKUP('2. Logging Brejo Seco'!AR641,Leyenda!$B$63:$E$67,3,FALSE)</f>
        <v>0</v>
      </c>
      <c r="BN641" s="110">
        <f>+VLOOKUP('2. Logging Brejo Seco'!AO641,Leyenda!$B$39:$E$43,4,FALSE)</f>
        <v>1</v>
      </c>
      <c r="BO641" s="110">
        <f>+VLOOKUP('2. Logging Brejo Seco'!AN641,Leyenda!$B$30:$E$34,4,FALSE)</f>
        <v>1</v>
      </c>
      <c r="BP641" s="110">
        <f>VLOOKUP(AS641,Leyenda!$B$71:$E$75,4,FALSE)</f>
        <v>10</v>
      </c>
      <c r="BQ641" s="110">
        <f t="shared" si="242"/>
        <v>30</v>
      </c>
      <c r="BR641" s="36">
        <f t="shared" si="243"/>
        <v>35</v>
      </c>
      <c r="BS641" s="240">
        <f t="shared" si="205"/>
        <v>0.52499999999999836</v>
      </c>
      <c r="BT641" s="6"/>
    </row>
    <row r="642" spans="1:72" x14ac:dyDescent="0.25">
      <c r="A642" s="18" t="s">
        <v>6</v>
      </c>
      <c r="B642" s="18">
        <v>2024</v>
      </c>
      <c r="C642" s="18" t="s">
        <v>138</v>
      </c>
      <c r="D642" s="18" t="s">
        <v>657</v>
      </c>
      <c r="E642" s="3">
        <v>30</v>
      </c>
      <c r="F642" s="191">
        <v>30</v>
      </c>
      <c r="G642" s="18" t="s">
        <v>152</v>
      </c>
      <c r="H642" s="3">
        <v>40</v>
      </c>
      <c r="I642" s="3" t="s">
        <v>757</v>
      </c>
      <c r="J642" s="3"/>
      <c r="K642" s="18">
        <f t="shared" si="244"/>
        <v>49.05</v>
      </c>
      <c r="L642" s="18">
        <v>50.45</v>
      </c>
      <c r="M642" s="107">
        <f t="shared" si="223"/>
        <v>1.4000000000000057</v>
      </c>
      <c r="N642" s="113">
        <f t="shared" si="233"/>
        <v>0.29999999999999877</v>
      </c>
      <c r="O642" s="5">
        <f t="shared" si="245"/>
        <v>0.70000000000000129</v>
      </c>
      <c r="P642" s="3">
        <v>0.42</v>
      </c>
      <c r="Q642" s="6"/>
      <c r="R642" s="6"/>
      <c r="S642" s="6"/>
      <c r="T642" s="18">
        <v>0.42</v>
      </c>
      <c r="U642" s="18">
        <v>0.34</v>
      </c>
      <c r="V642" s="187">
        <f t="shared" si="236"/>
        <v>24.285714285714189</v>
      </c>
      <c r="W642" s="18"/>
      <c r="X642" s="18"/>
      <c r="Y642" s="18">
        <f>3+9</f>
        <v>12</v>
      </c>
      <c r="Z642" s="31">
        <f t="shared" si="225"/>
        <v>116.66666666666714</v>
      </c>
      <c r="AA642" s="6"/>
      <c r="AB642" s="6"/>
      <c r="AC642" s="6"/>
      <c r="AD642" s="6"/>
      <c r="AE642" s="6"/>
      <c r="AF642" s="6"/>
      <c r="AG642" s="18" t="s">
        <v>27</v>
      </c>
      <c r="AH642" s="18" t="s">
        <v>27</v>
      </c>
      <c r="AI642" s="18" t="str">
        <f>+VLOOKUP(AH642,Leyenda!$O$4:$U$10,6,FALSE)</f>
        <v>0,35-0,50</v>
      </c>
      <c r="AJ642" s="18" t="str">
        <f>+VLOOKUP(AG642,Leyenda!$O$4:$U$10,7,FALSE)</f>
        <v>Easy to blast</v>
      </c>
      <c r="AK642" s="18">
        <f>+VLOOKUP(AJ642,Leyenda!$U$4:$V$10,2,FALSE)</f>
        <v>3</v>
      </c>
      <c r="AL642" s="18"/>
      <c r="AM642" s="18" t="s">
        <v>27</v>
      </c>
      <c r="AN642" s="18" t="s">
        <v>64</v>
      </c>
      <c r="AO642" s="18" t="s">
        <v>79</v>
      </c>
      <c r="AP642" s="18" t="s">
        <v>96</v>
      </c>
      <c r="AQ642" s="18" t="s">
        <v>107</v>
      </c>
      <c r="AR642" s="18" t="s">
        <v>120</v>
      </c>
      <c r="AS642" s="18" t="s">
        <v>267</v>
      </c>
      <c r="AT642" s="18"/>
      <c r="AU642" s="6"/>
      <c r="AV642" s="36">
        <f>+VLOOKUP(AN642,Leyenda!$B$30:$E$34,3,FALSE)</f>
        <v>2</v>
      </c>
      <c r="AW642" s="36">
        <f>+VLOOKUP('2. Logging Brejo Seco'!AO642,Meteorizacion,3,FALSE)</f>
        <v>1</v>
      </c>
      <c r="AX642" s="36">
        <f>+VLOOKUP('2. Logging Brejo Seco'!AP642,Apertura,3,FALSE)</f>
        <v>1</v>
      </c>
      <c r="AY642" s="36">
        <f>+VLOOKUP('2. Logging Brejo Seco'!AQ642,Leyenda!$B$55:$D$59,3,FALSE)</f>
        <v>3</v>
      </c>
      <c r="AZ642" s="36">
        <f>+VLOOKUP('2. Logging Brejo Seco'!AR642,Relleno,3,FALSE)</f>
        <v>2</v>
      </c>
      <c r="BA642" s="36">
        <f t="shared" si="237"/>
        <v>9</v>
      </c>
      <c r="BB642" s="50">
        <f t="shared" si="238"/>
        <v>5</v>
      </c>
      <c r="BC642" s="49">
        <f>VLOOKUP(AH642,Leyenda!$B$4:$D$10,3,FALSE)</f>
        <v>4</v>
      </c>
      <c r="BD642" s="50">
        <f t="shared" si="203"/>
        <v>8</v>
      </c>
      <c r="BE642" s="50">
        <f t="shared" si="239"/>
        <v>9</v>
      </c>
      <c r="BF642" s="50">
        <f>VLOOKUP(AS642,Leyenda!$B$70:$D$75,3,FALSE)</f>
        <v>15</v>
      </c>
      <c r="BG642" s="110">
        <f t="shared" si="240"/>
        <v>25.642857142857096</v>
      </c>
      <c r="BH642" s="110">
        <f>VLOOKUP(AG642,Leyenda!$B$4:$E$10,4,FALSE)</f>
        <v>4</v>
      </c>
      <c r="BI642" s="67">
        <f t="shared" si="204"/>
        <v>9</v>
      </c>
      <c r="BJ642" s="110">
        <f t="shared" si="241"/>
        <v>5</v>
      </c>
      <c r="BK642" s="110">
        <f>+VLOOKUP('2. Logging Brejo Seco'!AP642,Leyenda!$B$47:$E$51,4,FALSE)</f>
        <v>1</v>
      </c>
      <c r="BL642" s="110">
        <f>+VLOOKUP('2. Logging Brejo Seco'!AQ642,Leyenda!$B$55:$E$59,4,FALSE)</f>
        <v>3</v>
      </c>
      <c r="BM642" s="110">
        <f>+VLOOKUP('2. Logging Brejo Seco'!AR642,Leyenda!$B$63:$E$67,3,FALSE)</f>
        <v>2</v>
      </c>
      <c r="BN642" s="110">
        <f>+VLOOKUP('2. Logging Brejo Seco'!AO642,Leyenda!$B$39:$E$43,4,FALSE)</f>
        <v>1</v>
      </c>
      <c r="BO642" s="110">
        <f>+VLOOKUP('2. Logging Brejo Seco'!AN642,Leyenda!$B$30:$E$34,4,FALSE)</f>
        <v>3</v>
      </c>
      <c r="BP642" s="110">
        <f>VLOOKUP(AS642,Leyenda!$B$71:$E$75,4,FALSE)</f>
        <v>10</v>
      </c>
      <c r="BQ642" s="110">
        <f t="shared" si="242"/>
        <v>38</v>
      </c>
      <c r="BR642" s="36">
        <f t="shared" si="243"/>
        <v>41</v>
      </c>
      <c r="BS642" s="240">
        <f t="shared" si="205"/>
        <v>0.70000000000000129</v>
      </c>
      <c r="BT642" s="6"/>
    </row>
    <row r="643" spans="1:72" x14ac:dyDescent="0.25">
      <c r="A643" s="18" t="s">
        <v>6</v>
      </c>
      <c r="B643" s="18">
        <v>2024</v>
      </c>
      <c r="C643" s="18" t="s">
        <v>138</v>
      </c>
      <c r="D643" s="18" t="s">
        <v>657</v>
      </c>
      <c r="E643" s="3">
        <v>30</v>
      </c>
      <c r="F643" s="191">
        <v>30</v>
      </c>
      <c r="G643" s="18" t="s">
        <v>152</v>
      </c>
      <c r="H643" s="3">
        <v>40</v>
      </c>
      <c r="I643" s="3" t="s">
        <v>757</v>
      </c>
      <c r="J643" s="3"/>
      <c r="K643" s="18">
        <f t="shared" si="244"/>
        <v>50.45</v>
      </c>
      <c r="L643" s="18">
        <v>51.15</v>
      </c>
      <c r="M643" s="107">
        <f t="shared" si="223"/>
        <v>0.69999999999999574</v>
      </c>
      <c r="N643" s="113">
        <f t="shared" si="233"/>
        <v>0.32857142857143057</v>
      </c>
      <c r="O643" s="5">
        <f t="shared" si="245"/>
        <v>0.67142857142856949</v>
      </c>
      <c r="P643" s="3">
        <v>0.23</v>
      </c>
      <c r="Q643" s="6"/>
      <c r="R643" s="6"/>
      <c r="S643" s="6"/>
      <c r="T643" s="18">
        <f>0.12+0.11</f>
        <v>0.22999999999999998</v>
      </c>
      <c r="U643" s="18">
        <v>0</v>
      </c>
      <c r="V643" s="187">
        <f t="shared" si="236"/>
        <v>0</v>
      </c>
      <c r="W643" s="18"/>
      <c r="X643" s="18"/>
      <c r="Y643" s="18">
        <v>20</v>
      </c>
      <c r="Z643" s="31">
        <f t="shared" si="225"/>
        <v>34.999999999999787</v>
      </c>
      <c r="AA643" s="6"/>
      <c r="AB643" s="6"/>
      <c r="AC643" s="6"/>
      <c r="AD643" s="6"/>
      <c r="AE643" s="6"/>
      <c r="AF643" s="6"/>
      <c r="AG643" s="18" t="s">
        <v>27</v>
      </c>
      <c r="AH643" s="18" t="s">
        <v>27</v>
      </c>
      <c r="AI643" s="18" t="str">
        <f>+VLOOKUP(AH643,Leyenda!$O$4:$U$10,6,FALSE)</f>
        <v>0,35-0,50</v>
      </c>
      <c r="AJ643" s="18" t="str">
        <f>+VLOOKUP(AG643,Leyenda!$O$4:$U$10,7,FALSE)</f>
        <v>Easy to blast</v>
      </c>
      <c r="AK643" s="18">
        <f>+VLOOKUP(AJ643,Leyenda!$U$4:$V$10,2,FALSE)</f>
        <v>3</v>
      </c>
      <c r="AL643" s="18"/>
      <c r="AM643" s="18" t="s">
        <v>27</v>
      </c>
      <c r="AN643" s="18" t="s">
        <v>64</v>
      </c>
      <c r="AO643" s="18" t="s">
        <v>79</v>
      </c>
      <c r="AP643" s="18" t="s">
        <v>96</v>
      </c>
      <c r="AQ643" s="18" t="s">
        <v>107</v>
      </c>
      <c r="AR643" s="18" t="s">
        <v>120</v>
      </c>
      <c r="AS643" s="18" t="s">
        <v>267</v>
      </c>
      <c r="AT643" s="18"/>
      <c r="AU643" s="6"/>
      <c r="AV643" s="36">
        <f>+VLOOKUP(AN643,Leyenda!$B$30:$E$34,3,FALSE)</f>
        <v>2</v>
      </c>
      <c r="AW643" s="36">
        <f>+VLOOKUP('2. Logging Brejo Seco'!AO643,Meteorizacion,3,FALSE)</f>
        <v>1</v>
      </c>
      <c r="AX643" s="36">
        <f>+VLOOKUP('2. Logging Brejo Seco'!AP643,Apertura,3,FALSE)</f>
        <v>1</v>
      </c>
      <c r="AY643" s="36">
        <f>+VLOOKUP('2. Logging Brejo Seco'!AQ643,Leyenda!$B$55:$D$59,3,FALSE)</f>
        <v>3</v>
      </c>
      <c r="AZ643" s="36">
        <f>+VLOOKUP('2. Logging Brejo Seco'!AR643,Relleno,3,FALSE)</f>
        <v>2</v>
      </c>
      <c r="BA643" s="36">
        <f t="shared" si="237"/>
        <v>9</v>
      </c>
      <c r="BB643" s="50">
        <f t="shared" si="238"/>
        <v>0</v>
      </c>
      <c r="BC643" s="49">
        <f>VLOOKUP(AH643,Leyenda!$B$4:$D$10,3,FALSE)</f>
        <v>4</v>
      </c>
      <c r="BD643" s="50">
        <f t="shared" si="203"/>
        <v>5</v>
      </c>
      <c r="BE643" s="50">
        <f t="shared" si="239"/>
        <v>9</v>
      </c>
      <c r="BF643" s="50">
        <f>VLOOKUP(AS643,Leyenda!$B$70:$D$75,3,FALSE)</f>
        <v>15</v>
      </c>
      <c r="BG643" s="110">
        <f t="shared" si="240"/>
        <v>13.5</v>
      </c>
      <c r="BH643" s="110">
        <f>VLOOKUP(AG643,Leyenda!$B$4:$E$10,4,FALSE)</f>
        <v>4</v>
      </c>
      <c r="BI643" s="67">
        <f t="shared" si="204"/>
        <v>5</v>
      </c>
      <c r="BJ643" s="110">
        <f t="shared" si="241"/>
        <v>0</v>
      </c>
      <c r="BK643" s="110">
        <f>+VLOOKUP('2. Logging Brejo Seco'!AP643,Leyenda!$B$47:$E$51,4,FALSE)</f>
        <v>1</v>
      </c>
      <c r="BL643" s="110">
        <f>+VLOOKUP('2. Logging Brejo Seco'!AQ643,Leyenda!$B$55:$E$59,4,FALSE)</f>
        <v>3</v>
      </c>
      <c r="BM643" s="110">
        <f>+VLOOKUP('2. Logging Brejo Seco'!AR643,Leyenda!$B$63:$E$67,3,FALSE)</f>
        <v>2</v>
      </c>
      <c r="BN643" s="110">
        <f>+VLOOKUP('2. Logging Brejo Seco'!AO643,Leyenda!$B$39:$E$43,4,FALSE)</f>
        <v>1</v>
      </c>
      <c r="BO643" s="110">
        <f>+VLOOKUP('2. Logging Brejo Seco'!AN643,Leyenda!$B$30:$E$34,4,FALSE)</f>
        <v>3</v>
      </c>
      <c r="BP643" s="110">
        <f>VLOOKUP(AS643,Leyenda!$B$71:$E$75,4,FALSE)</f>
        <v>10</v>
      </c>
      <c r="BQ643" s="110">
        <f t="shared" si="242"/>
        <v>29</v>
      </c>
      <c r="BR643" s="36">
        <f t="shared" si="243"/>
        <v>33</v>
      </c>
      <c r="BS643" s="240">
        <f t="shared" si="205"/>
        <v>0.67142857142856949</v>
      </c>
      <c r="BT643" s="6"/>
    </row>
    <row r="644" spans="1:72" x14ac:dyDescent="0.25">
      <c r="A644" s="18" t="s">
        <v>6</v>
      </c>
      <c r="B644" s="18">
        <v>2024</v>
      </c>
      <c r="C644" s="18" t="s">
        <v>138</v>
      </c>
      <c r="D644" s="18" t="s">
        <v>657</v>
      </c>
      <c r="E644" s="3">
        <v>30</v>
      </c>
      <c r="F644" s="191">
        <v>30</v>
      </c>
      <c r="G644" s="18" t="s">
        <v>152</v>
      </c>
      <c r="H644" s="3">
        <v>30</v>
      </c>
      <c r="I644" s="3" t="s">
        <v>759</v>
      </c>
      <c r="J644" s="3"/>
      <c r="K644" s="18">
        <f t="shared" si="244"/>
        <v>51.15</v>
      </c>
      <c r="L644" s="18">
        <v>52.05</v>
      </c>
      <c r="M644" s="107">
        <f t="shared" si="223"/>
        <v>0.89999999999999858</v>
      </c>
      <c r="N644" s="113">
        <f t="shared" si="233"/>
        <v>0.75555555555555676</v>
      </c>
      <c r="O644" s="5">
        <f t="shared" si="245"/>
        <v>0.24444444444444324</v>
      </c>
      <c r="P644" s="3">
        <v>0.68</v>
      </c>
      <c r="Q644" s="6"/>
      <c r="R644" s="6"/>
      <c r="S644" s="6"/>
      <c r="T644" s="18">
        <v>0.68</v>
      </c>
      <c r="U644" s="18">
        <v>0.18</v>
      </c>
      <c r="V644" s="187">
        <f t="shared" si="236"/>
        <v>20.000000000000032</v>
      </c>
      <c r="W644" s="18"/>
      <c r="X644" s="18"/>
      <c r="Y644" s="18">
        <v>7</v>
      </c>
      <c r="Z644" s="31">
        <f t="shared" si="225"/>
        <v>128.57142857142838</v>
      </c>
      <c r="AA644" s="6"/>
      <c r="AB644" s="6"/>
      <c r="AC644" s="6"/>
      <c r="AD644" s="6"/>
      <c r="AE644" s="6"/>
      <c r="AF644" s="6"/>
      <c r="AG644" s="18" t="s">
        <v>27</v>
      </c>
      <c r="AH644" s="18" t="s">
        <v>27</v>
      </c>
      <c r="AI644" s="18" t="str">
        <f>+VLOOKUP(AH644,Leyenda!$O$4:$U$10,6,FALSE)</f>
        <v>0,35-0,50</v>
      </c>
      <c r="AJ644" s="18" t="str">
        <f>+VLOOKUP(AG644,Leyenda!$O$4:$U$10,7,FALSE)</f>
        <v>Easy to blast</v>
      </c>
      <c r="AK644" s="18">
        <f>+VLOOKUP(AJ644,Leyenda!$U$4:$V$10,2,FALSE)</f>
        <v>3</v>
      </c>
      <c r="AL644" s="18"/>
      <c r="AM644" s="18" t="s">
        <v>27</v>
      </c>
      <c r="AN644" s="18" t="s">
        <v>64</v>
      </c>
      <c r="AO644" s="18" t="s">
        <v>79</v>
      </c>
      <c r="AP644" s="18" t="s">
        <v>96</v>
      </c>
      <c r="AQ644" s="18" t="s">
        <v>107</v>
      </c>
      <c r="AR644" s="18" t="s">
        <v>122</v>
      </c>
      <c r="AS644" s="18" t="s">
        <v>267</v>
      </c>
      <c r="AT644" s="18"/>
      <c r="AU644" s="6"/>
      <c r="AV644" s="36">
        <f>+VLOOKUP(AN644,Leyenda!$B$30:$E$34,3,FALSE)</f>
        <v>2</v>
      </c>
      <c r="AW644" s="36">
        <f>+VLOOKUP('2. Logging Brejo Seco'!AO644,Meteorizacion,3,FALSE)</f>
        <v>1</v>
      </c>
      <c r="AX644" s="36">
        <f>+VLOOKUP('2. Logging Brejo Seco'!AP644,Apertura,3,FALSE)</f>
        <v>1</v>
      </c>
      <c r="AY644" s="36">
        <f>+VLOOKUP('2. Logging Brejo Seco'!AQ644,Leyenda!$B$55:$D$59,3,FALSE)</f>
        <v>3</v>
      </c>
      <c r="AZ644" s="36">
        <f>+VLOOKUP('2. Logging Brejo Seco'!AR644,Relleno,3,FALSE)</f>
        <v>0</v>
      </c>
      <c r="BA644" s="36">
        <f t="shared" ref="BA644:BA669" si="246">+SUM(AV644:AZ644)</f>
        <v>7</v>
      </c>
      <c r="BB644" s="50">
        <f t="shared" ref="BB644:BB669" si="247">ROUND(-0.0002*POWER(V644,2)+0.2197*V644,0)</f>
        <v>4</v>
      </c>
      <c r="BC644" s="49">
        <f>VLOOKUP(AH644,Leyenda!$B$4:$D$10,3,FALSE)</f>
        <v>4</v>
      </c>
      <c r="BD644" s="50">
        <f t="shared" ref="BD644:BD676" si="248">IF(Z644="",ROUND((IF(Z644&lt;=400,1.5478*POWER(Z644,0.3351),-2*POWER(10,-6)*POWER(Z644,2)+0.0091*Z644+8.1704)),0),ROUND((IF(Z644&lt;=400,1.5478*POWER(Z644,0.3351),-2*POWER(10,-6)*POWER(Z644,2)+0.0091*Z644+8.1704)),0))</f>
        <v>8</v>
      </c>
      <c r="BE644" s="50">
        <f t="shared" ref="BE644:BE669" si="249">+BA644</f>
        <v>7</v>
      </c>
      <c r="BF644" s="50">
        <f>VLOOKUP(AS644,Leyenda!$B$70:$D$75,3,FALSE)</f>
        <v>15</v>
      </c>
      <c r="BG644" s="110">
        <f t="shared" ref="BG644:BG669" si="250">1.5*BA644+(V644*0.5)</f>
        <v>20.500000000000014</v>
      </c>
      <c r="BH644" s="110">
        <f>VLOOKUP(AG644,Leyenda!$B$4:$E$10,4,FALSE)</f>
        <v>4</v>
      </c>
      <c r="BI644" s="67">
        <f t="shared" ref="BI644:BI676" si="251">IF(Z644="",ROUND(IF(Z644&lt;=50,5,IF(Z644&gt;=3000,30,6.038*LN(Z644)-19.63)),0),ROUND(IF(Z644&lt;=50,5,IF(Z644&gt;=3000,30,6.038*LN(Z644)-19.63)),0))</f>
        <v>10</v>
      </c>
      <c r="BJ644" s="110">
        <f t="shared" ref="BJ644:BJ669" si="252">ROUND(-0.0002*POWER(V644,2)+0.2197*V644,0)</f>
        <v>4</v>
      </c>
      <c r="BK644" s="110">
        <f>+VLOOKUP('2. Logging Brejo Seco'!AP644,Leyenda!$B$47:$E$51,4,FALSE)</f>
        <v>1</v>
      </c>
      <c r="BL644" s="110">
        <f>+VLOOKUP('2. Logging Brejo Seco'!AQ644,Leyenda!$B$55:$E$59,4,FALSE)</f>
        <v>3</v>
      </c>
      <c r="BM644" s="110">
        <f>+VLOOKUP('2. Logging Brejo Seco'!AR644,Leyenda!$B$63:$E$67,3,FALSE)</f>
        <v>0</v>
      </c>
      <c r="BN644" s="110">
        <f>+VLOOKUP('2. Logging Brejo Seco'!AO644,Leyenda!$B$39:$E$43,4,FALSE)</f>
        <v>1</v>
      </c>
      <c r="BO644" s="110">
        <f>+VLOOKUP('2. Logging Brejo Seco'!AN644,Leyenda!$B$30:$E$34,4,FALSE)</f>
        <v>3</v>
      </c>
      <c r="BP644" s="110">
        <f>VLOOKUP(AS644,Leyenda!$B$71:$E$75,4,FALSE)</f>
        <v>10</v>
      </c>
      <c r="BQ644" s="110">
        <f t="shared" ref="BQ644:BQ669" si="253">+BH644+BI644+BJ644+BK644+BL644+BM644+BN644+BO644+BP644</f>
        <v>36</v>
      </c>
      <c r="BR644" s="36">
        <f t="shared" ref="BR644:BR669" si="254">+BC644+BD644+BB644+BE644+BF644</f>
        <v>38</v>
      </c>
      <c r="BS644" s="240">
        <f t="shared" ref="BS644:BS707" si="255">1-N644</f>
        <v>0.24444444444444324</v>
      </c>
      <c r="BT644" s="6"/>
    </row>
    <row r="645" spans="1:72" x14ac:dyDescent="0.25">
      <c r="A645" s="18" t="s">
        <v>6</v>
      </c>
      <c r="B645" s="18">
        <v>2024</v>
      </c>
      <c r="C645" s="18" t="s">
        <v>138</v>
      </c>
      <c r="D645" s="18" t="s">
        <v>657</v>
      </c>
      <c r="E645" s="3">
        <v>30</v>
      </c>
      <c r="F645" s="191">
        <v>30</v>
      </c>
      <c r="G645" s="18" t="s">
        <v>152</v>
      </c>
      <c r="H645" s="3">
        <v>40</v>
      </c>
      <c r="I645" s="3" t="s">
        <v>757</v>
      </c>
      <c r="J645" s="3"/>
      <c r="K645" s="18">
        <f t="shared" si="244"/>
        <v>52.05</v>
      </c>
      <c r="L645" s="18">
        <v>52.65</v>
      </c>
      <c r="M645" s="107">
        <f t="shared" si="223"/>
        <v>0.60000000000000142</v>
      </c>
      <c r="N645" s="113">
        <f t="shared" si="233"/>
        <v>0.64999999999999847</v>
      </c>
      <c r="O645" s="5">
        <f t="shared" si="245"/>
        <v>0.35000000000000153</v>
      </c>
      <c r="P645" s="3">
        <v>0.39</v>
      </c>
      <c r="Q645" s="6"/>
      <c r="R645" s="6"/>
      <c r="S645" s="6"/>
      <c r="T645" s="18">
        <v>0.39</v>
      </c>
      <c r="U645" s="18">
        <v>0</v>
      </c>
      <c r="V645" s="187">
        <f t="shared" si="236"/>
        <v>0</v>
      </c>
      <c r="W645" s="18"/>
      <c r="X645" s="18"/>
      <c r="Y645" s="18">
        <v>20</v>
      </c>
      <c r="Z645" s="31">
        <f t="shared" si="225"/>
        <v>30.000000000000068</v>
      </c>
      <c r="AA645" s="6"/>
      <c r="AB645" s="6"/>
      <c r="AC645" s="6"/>
      <c r="AD645" s="6"/>
      <c r="AE645" s="6"/>
      <c r="AF645" s="6"/>
      <c r="AG645" s="18" t="s">
        <v>27</v>
      </c>
      <c r="AH645" s="18" t="s">
        <v>27</v>
      </c>
      <c r="AI645" s="18" t="str">
        <f>+VLOOKUP(AH645,Leyenda!$O$4:$U$10,6,FALSE)</f>
        <v>0,35-0,50</v>
      </c>
      <c r="AJ645" s="18" t="str">
        <f>+VLOOKUP(AG645,Leyenda!$O$4:$U$10,7,FALSE)</f>
        <v>Easy to blast</v>
      </c>
      <c r="AK645" s="18">
        <f>+VLOOKUP(AJ645,Leyenda!$U$4:$V$10,2,FALSE)</f>
        <v>3</v>
      </c>
      <c r="AL645" s="18"/>
      <c r="AM645" s="18" t="s">
        <v>27</v>
      </c>
      <c r="AN645" s="18" t="s">
        <v>64</v>
      </c>
      <c r="AO645" s="18" t="s">
        <v>79</v>
      </c>
      <c r="AP645" s="18" t="s">
        <v>96</v>
      </c>
      <c r="AQ645" s="18" t="s">
        <v>107</v>
      </c>
      <c r="AR645" s="18" t="s">
        <v>118</v>
      </c>
      <c r="AS645" s="18" t="s">
        <v>267</v>
      </c>
      <c r="AT645" s="18"/>
      <c r="AU645" s="6"/>
      <c r="AV645" s="36">
        <f>+VLOOKUP(AN645,Leyenda!$B$30:$E$34,3,FALSE)</f>
        <v>2</v>
      </c>
      <c r="AW645" s="36">
        <f>+VLOOKUP('2. Logging Brejo Seco'!AO645,Meteorizacion,3,FALSE)</f>
        <v>1</v>
      </c>
      <c r="AX645" s="36">
        <f>+VLOOKUP('2. Logging Brejo Seco'!AP645,Apertura,3,FALSE)</f>
        <v>1</v>
      </c>
      <c r="AY645" s="36">
        <f>+VLOOKUP('2. Logging Brejo Seco'!AQ645,Leyenda!$B$55:$D$59,3,FALSE)</f>
        <v>3</v>
      </c>
      <c r="AZ645" s="36">
        <f>+VLOOKUP('2. Logging Brejo Seco'!AR645,Relleno,3,FALSE)</f>
        <v>2</v>
      </c>
      <c r="BA645" s="36">
        <f t="shared" si="246"/>
        <v>9</v>
      </c>
      <c r="BB645" s="50">
        <f t="shared" si="247"/>
        <v>0</v>
      </c>
      <c r="BC645" s="49">
        <f>VLOOKUP(AH645,Leyenda!$B$4:$D$10,3,FALSE)</f>
        <v>4</v>
      </c>
      <c r="BD645" s="50">
        <f t="shared" si="248"/>
        <v>5</v>
      </c>
      <c r="BE645" s="50">
        <f t="shared" si="249"/>
        <v>9</v>
      </c>
      <c r="BF645" s="50">
        <f>VLOOKUP(AS645,Leyenda!$B$70:$D$75,3,FALSE)</f>
        <v>15</v>
      </c>
      <c r="BG645" s="110">
        <f t="shared" si="250"/>
        <v>13.5</v>
      </c>
      <c r="BH645" s="110">
        <f>VLOOKUP(AG645,Leyenda!$B$4:$E$10,4,FALSE)</f>
        <v>4</v>
      </c>
      <c r="BI645" s="67">
        <f t="shared" si="251"/>
        <v>5</v>
      </c>
      <c r="BJ645" s="110">
        <f t="shared" si="252"/>
        <v>0</v>
      </c>
      <c r="BK645" s="110">
        <f>+VLOOKUP('2. Logging Brejo Seco'!AP645,Leyenda!$B$47:$E$51,4,FALSE)</f>
        <v>1</v>
      </c>
      <c r="BL645" s="110">
        <f>+VLOOKUP('2. Logging Brejo Seco'!AQ645,Leyenda!$B$55:$E$59,4,FALSE)</f>
        <v>3</v>
      </c>
      <c r="BM645" s="110">
        <f>+VLOOKUP('2. Logging Brejo Seco'!AR645,Leyenda!$B$63:$E$67,3,FALSE)</f>
        <v>2</v>
      </c>
      <c r="BN645" s="110">
        <f>+VLOOKUP('2. Logging Brejo Seco'!AO645,Leyenda!$B$39:$E$43,4,FALSE)</f>
        <v>1</v>
      </c>
      <c r="BO645" s="110">
        <f>+VLOOKUP('2. Logging Brejo Seco'!AN645,Leyenda!$B$30:$E$34,4,FALSE)</f>
        <v>3</v>
      </c>
      <c r="BP645" s="110">
        <f>VLOOKUP(AS645,Leyenda!$B$71:$E$75,4,FALSE)</f>
        <v>10</v>
      </c>
      <c r="BQ645" s="110">
        <f t="shared" si="253"/>
        <v>29</v>
      </c>
      <c r="BR645" s="36">
        <f t="shared" si="254"/>
        <v>33</v>
      </c>
      <c r="BS645" s="240">
        <f t="shared" si="255"/>
        <v>0.35000000000000153</v>
      </c>
      <c r="BT645" s="6"/>
    </row>
    <row r="646" spans="1:72" x14ac:dyDescent="0.25">
      <c r="A646" s="18" t="s">
        <v>6</v>
      </c>
      <c r="B646" s="18">
        <v>2024</v>
      </c>
      <c r="C646" s="18" t="s">
        <v>138</v>
      </c>
      <c r="D646" s="18" t="s">
        <v>657</v>
      </c>
      <c r="E646" s="3">
        <v>30</v>
      </c>
      <c r="F646" s="191">
        <v>30</v>
      </c>
      <c r="G646" s="18" t="s">
        <v>152</v>
      </c>
      <c r="H646" s="3">
        <v>40</v>
      </c>
      <c r="I646" s="3" t="s">
        <v>757</v>
      </c>
      <c r="J646" s="3"/>
      <c r="K646" s="18">
        <f t="shared" si="244"/>
        <v>52.65</v>
      </c>
      <c r="L646" s="18">
        <v>53.35</v>
      </c>
      <c r="M646" s="107">
        <f t="shared" si="223"/>
        <v>0.70000000000000284</v>
      </c>
      <c r="N646" s="113">
        <f t="shared" si="233"/>
        <v>0.48571428571428377</v>
      </c>
      <c r="O646" s="5">
        <f t="shared" si="245"/>
        <v>0.51428571428571623</v>
      </c>
      <c r="P646" s="3">
        <v>0.34</v>
      </c>
      <c r="Q646" s="6"/>
      <c r="R646" s="6"/>
      <c r="S646" s="6"/>
      <c r="T646" s="18">
        <v>0.34</v>
      </c>
      <c r="U646" s="18">
        <v>0.12</v>
      </c>
      <c r="V646" s="187">
        <f t="shared" si="236"/>
        <v>17.142857142857075</v>
      </c>
      <c r="W646" s="18"/>
      <c r="X646" s="18"/>
      <c r="Y646" s="18">
        <v>6</v>
      </c>
      <c r="Z646" s="31">
        <f t="shared" si="225"/>
        <v>116.66666666666714</v>
      </c>
      <c r="AA646" s="6"/>
      <c r="AB646" s="6"/>
      <c r="AC646" s="6"/>
      <c r="AD646" s="6"/>
      <c r="AE646" s="6"/>
      <c r="AF646" s="6"/>
      <c r="AG646" s="18" t="s">
        <v>27</v>
      </c>
      <c r="AH646" s="18" t="s">
        <v>27</v>
      </c>
      <c r="AI646" s="18" t="str">
        <f>+VLOOKUP(AH646,Leyenda!$O$4:$U$10,6,FALSE)</f>
        <v>0,35-0,50</v>
      </c>
      <c r="AJ646" s="18" t="str">
        <f>+VLOOKUP(AG646,Leyenda!$O$4:$U$10,7,FALSE)</f>
        <v>Easy to blast</v>
      </c>
      <c r="AK646" s="18">
        <f>+VLOOKUP(AJ646,Leyenda!$U$4:$V$10,2,FALSE)</f>
        <v>3</v>
      </c>
      <c r="AL646" s="18"/>
      <c r="AM646" s="18" t="s">
        <v>27</v>
      </c>
      <c r="AN646" s="18" t="s">
        <v>64</v>
      </c>
      <c r="AO646" s="18" t="s">
        <v>79</v>
      </c>
      <c r="AP646" s="18" t="s">
        <v>96</v>
      </c>
      <c r="AQ646" s="18" t="s">
        <v>105</v>
      </c>
      <c r="AR646" s="18" t="s">
        <v>118</v>
      </c>
      <c r="AS646" s="18" t="s">
        <v>267</v>
      </c>
      <c r="AT646" s="18"/>
      <c r="AU646" s="6"/>
      <c r="AV646" s="36">
        <f>+VLOOKUP(AN646,Leyenda!$B$30:$E$34,3,FALSE)</f>
        <v>2</v>
      </c>
      <c r="AW646" s="36">
        <f>+VLOOKUP('2. Logging Brejo Seco'!AO646,Meteorizacion,3,FALSE)</f>
        <v>1</v>
      </c>
      <c r="AX646" s="36">
        <f>+VLOOKUP('2. Logging Brejo Seco'!AP646,Apertura,3,FALSE)</f>
        <v>1</v>
      </c>
      <c r="AY646" s="36">
        <f>+VLOOKUP('2. Logging Brejo Seco'!AQ646,Leyenda!$B$55:$D$59,3,FALSE)</f>
        <v>4</v>
      </c>
      <c r="AZ646" s="36">
        <f>+VLOOKUP('2. Logging Brejo Seco'!AR646,Relleno,3,FALSE)</f>
        <v>2</v>
      </c>
      <c r="BA646" s="36">
        <f t="shared" si="246"/>
        <v>10</v>
      </c>
      <c r="BB646" s="50">
        <f t="shared" si="247"/>
        <v>4</v>
      </c>
      <c r="BC646" s="49">
        <f>VLOOKUP(AH646,Leyenda!$B$4:$D$10,3,FALSE)</f>
        <v>4</v>
      </c>
      <c r="BD646" s="50">
        <f t="shared" si="248"/>
        <v>8</v>
      </c>
      <c r="BE646" s="50">
        <f t="shared" si="249"/>
        <v>10</v>
      </c>
      <c r="BF646" s="50">
        <f>VLOOKUP(AS646,Leyenda!$B$70:$D$75,3,FALSE)</f>
        <v>15</v>
      </c>
      <c r="BG646" s="110">
        <f t="shared" si="250"/>
        <v>23.571428571428537</v>
      </c>
      <c r="BH646" s="110">
        <f>VLOOKUP(AG646,Leyenda!$B$4:$E$10,4,FALSE)</f>
        <v>4</v>
      </c>
      <c r="BI646" s="67">
        <f t="shared" si="251"/>
        <v>9</v>
      </c>
      <c r="BJ646" s="110">
        <f t="shared" si="252"/>
        <v>4</v>
      </c>
      <c r="BK646" s="110">
        <f>+VLOOKUP('2. Logging Brejo Seco'!AP646,Leyenda!$B$47:$E$51,4,FALSE)</f>
        <v>1</v>
      </c>
      <c r="BL646" s="110">
        <f>+VLOOKUP('2. Logging Brejo Seco'!AQ646,Leyenda!$B$55:$E$59,4,FALSE)</f>
        <v>4</v>
      </c>
      <c r="BM646" s="110">
        <f>+VLOOKUP('2. Logging Brejo Seco'!AR646,Leyenda!$B$63:$E$67,3,FALSE)</f>
        <v>2</v>
      </c>
      <c r="BN646" s="110">
        <f>+VLOOKUP('2. Logging Brejo Seco'!AO646,Leyenda!$B$39:$E$43,4,FALSE)</f>
        <v>1</v>
      </c>
      <c r="BO646" s="110">
        <f>+VLOOKUP('2. Logging Brejo Seco'!AN646,Leyenda!$B$30:$E$34,4,FALSE)</f>
        <v>3</v>
      </c>
      <c r="BP646" s="110">
        <f>VLOOKUP(AS646,Leyenda!$B$71:$E$75,4,FALSE)</f>
        <v>10</v>
      </c>
      <c r="BQ646" s="110">
        <f t="shared" si="253"/>
        <v>38</v>
      </c>
      <c r="BR646" s="36">
        <f t="shared" si="254"/>
        <v>41</v>
      </c>
      <c r="BS646" s="240">
        <f t="shared" si="255"/>
        <v>0.51428571428571623</v>
      </c>
      <c r="BT646" s="6"/>
    </row>
    <row r="647" spans="1:72" x14ac:dyDescent="0.25">
      <c r="A647" s="18" t="s">
        <v>6</v>
      </c>
      <c r="B647" s="18">
        <v>2024</v>
      </c>
      <c r="C647" s="18" t="s">
        <v>138</v>
      </c>
      <c r="D647" s="18" t="s">
        <v>657</v>
      </c>
      <c r="E647" s="3">
        <v>30</v>
      </c>
      <c r="F647" s="191">
        <v>30</v>
      </c>
      <c r="G647" s="18" t="s">
        <v>152</v>
      </c>
      <c r="H647" s="3">
        <v>40</v>
      </c>
      <c r="I647" s="3" t="s">
        <v>757</v>
      </c>
      <c r="J647" s="3"/>
      <c r="K647" s="18">
        <f t="shared" si="244"/>
        <v>53.35</v>
      </c>
      <c r="L647" s="18">
        <v>54.05</v>
      </c>
      <c r="M647" s="107">
        <f t="shared" si="223"/>
        <v>0.69999999999999574</v>
      </c>
      <c r="N647" s="113">
        <f t="shared" si="233"/>
        <v>0.67142857142857548</v>
      </c>
      <c r="O647" s="5">
        <f t="shared" si="245"/>
        <v>0.32857142857142452</v>
      </c>
      <c r="P647" s="3">
        <v>0.47</v>
      </c>
      <c r="Q647" s="6"/>
      <c r="R647" s="6"/>
      <c r="S647" s="6"/>
      <c r="T647" s="18">
        <v>0.47</v>
      </c>
      <c r="U647" s="18">
        <v>0.33</v>
      </c>
      <c r="V647" s="187">
        <f t="shared" si="236"/>
        <v>47.14285714285743</v>
      </c>
      <c r="W647" s="18"/>
      <c r="X647" s="18"/>
      <c r="Y647" s="18">
        <v>5</v>
      </c>
      <c r="Z647" s="31">
        <f t="shared" si="225"/>
        <v>139.99999999999915</v>
      </c>
      <c r="AA647" s="6"/>
      <c r="AB647" s="6"/>
      <c r="AC647" s="6"/>
      <c r="AD647" s="6"/>
      <c r="AE647" s="6"/>
      <c r="AF647" s="6"/>
      <c r="AG647" s="18" t="s">
        <v>27</v>
      </c>
      <c r="AH647" s="18" t="s">
        <v>27</v>
      </c>
      <c r="AI647" s="18" t="str">
        <f>+VLOOKUP(AH647,Leyenda!$O$4:$U$10,6,FALSE)</f>
        <v>0,35-0,50</v>
      </c>
      <c r="AJ647" s="18" t="str">
        <f>+VLOOKUP(AG647,Leyenda!$O$4:$U$10,7,FALSE)</f>
        <v>Easy to blast</v>
      </c>
      <c r="AK647" s="18">
        <f>+VLOOKUP(AJ647,Leyenda!$U$4:$V$10,2,FALSE)</f>
        <v>3</v>
      </c>
      <c r="AL647" s="18"/>
      <c r="AM647" s="18" t="s">
        <v>27</v>
      </c>
      <c r="AN647" s="18" t="s">
        <v>64</v>
      </c>
      <c r="AO647" s="18" t="s">
        <v>79</v>
      </c>
      <c r="AP647" s="18" t="s">
        <v>96</v>
      </c>
      <c r="AQ647" s="18" t="s">
        <v>105</v>
      </c>
      <c r="AR647" s="18" t="s">
        <v>118</v>
      </c>
      <c r="AS647" s="18" t="s">
        <v>267</v>
      </c>
      <c r="AT647" s="18"/>
      <c r="AU647" s="6"/>
      <c r="AV647" s="36">
        <f>+VLOOKUP(AN647,Leyenda!$B$30:$E$34,3,FALSE)</f>
        <v>2</v>
      </c>
      <c r="AW647" s="36">
        <f>+VLOOKUP('2. Logging Brejo Seco'!AO647,Meteorizacion,3,FALSE)</f>
        <v>1</v>
      </c>
      <c r="AX647" s="36">
        <f>+VLOOKUP('2. Logging Brejo Seco'!AP647,Apertura,3,FALSE)</f>
        <v>1</v>
      </c>
      <c r="AY647" s="36">
        <f>+VLOOKUP('2. Logging Brejo Seco'!AQ647,Leyenda!$B$55:$D$59,3,FALSE)</f>
        <v>4</v>
      </c>
      <c r="AZ647" s="36">
        <f>+VLOOKUP('2. Logging Brejo Seco'!AR647,Relleno,3,FALSE)</f>
        <v>2</v>
      </c>
      <c r="BA647" s="36">
        <f t="shared" si="246"/>
        <v>10</v>
      </c>
      <c r="BB647" s="50">
        <f t="shared" si="247"/>
        <v>10</v>
      </c>
      <c r="BC647" s="49">
        <f>VLOOKUP(AH647,Leyenda!$B$4:$D$10,3,FALSE)</f>
        <v>4</v>
      </c>
      <c r="BD647" s="50">
        <f t="shared" si="248"/>
        <v>8</v>
      </c>
      <c r="BE647" s="50">
        <f t="shared" si="249"/>
        <v>10</v>
      </c>
      <c r="BF647" s="50">
        <f>VLOOKUP(AS647,Leyenda!$B$70:$D$75,3,FALSE)</f>
        <v>15</v>
      </c>
      <c r="BG647" s="110">
        <f t="shared" si="250"/>
        <v>38.571428571428712</v>
      </c>
      <c r="BH647" s="110">
        <f>VLOOKUP(AG647,Leyenda!$B$4:$E$10,4,FALSE)</f>
        <v>4</v>
      </c>
      <c r="BI647" s="67">
        <f t="shared" si="251"/>
        <v>10</v>
      </c>
      <c r="BJ647" s="110">
        <f t="shared" si="252"/>
        <v>10</v>
      </c>
      <c r="BK647" s="110">
        <f>+VLOOKUP('2. Logging Brejo Seco'!AP647,Leyenda!$B$47:$E$51,4,FALSE)</f>
        <v>1</v>
      </c>
      <c r="BL647" s="110">
        <f>+VLOOKUP('2. Logging Brejo Seco'!AQ647,Leyenda!$B$55:$E$59,4,FALSE)</f>
        <v>4</v>
      </c>
      <c r="BM647" s="110">
        <f>+VLOOKUP('2. Logging Brejo Seco'!AR647,Leyenda!$B$63:$E$67,3,FALSE)</f>
        <v>2</v>
      </c>
      <c r="BN647" s="110">
        <f>+VLOOKUP('2. Logging Brejo Seco'!AO647,Leyenda!$B$39:$E$43,4,FALSE)</f>
        <v>1</v>
      </c>
      <c r="BO647" s="110">
        <f>+VLOOKUP('2. Logging Brejo Seco'!AN647,Leyenda!$B$30:$E$34,4,FALSE)</f>
        <v>3</v>
      </c>
      <c r="BP647" s="110">
        <f>VLOOKUP(AS647,Leyenda!$B$71:$E$75,4,FALSE)</f>
        <v>10</v>
      </c>
      <c r="BQ647" s="110">
        <f t="shared" si="253"/>
        <v>45</v>
      </c>
      <c r="BR647" s="36">
        <f t="shared" si="254"/>
        <v>47</v>
      </c>
      <c r="BS647" s="240">
        <f t="shared" si="255"/>
        <v>0.32857142857142452</v>
      </c>
      <c r="BT647" s="6"/>
    </row>
    <row r="648" spans="1:72" x14ac:dyDescent="0.25">
      <c r="A648" s="18" t="s">
        <v>6</v>
      </c>
      <c r="B648" s="18">
        <v>2024</v>
      </c>
      <c r="C648" s="18" t="s">
        <v>138</v>
      </c>
      <c r="D648" s="18" t="s">
        <v>657</v>
      </c>
      <c r="E648" s="3">
        <v>30</v>
      </c>
      <c r="F648" s="191">
        <v>30</v>
      </c>
      <c r="G648" s="18" t="s">
        <v>152</v>
      </c>
      <c r="H648" s="3">
        <v>40</v>
      </c>
      <c r="I648" s="3" t="s">
        <v>757</v>
      </c>
      <c r="J648" s="3"/>
      <c r="K648" s="18">
        <f t="shared" si="244"/>
        <v>54.05</v>
      </c>
      <c r="L648" s="18">
        <v>54.65</v>
      </c>
      <c r="M648" s="107">
        <f t="shared" si="223"/>
        <v>0.60000000000000142</v>
      </c>
      <c r="N648" s="113">
        <f t="shared" si="233"/>
        <v>0.64999999999999847</v>
      </c>
      <c r="O648" s="5">
        <f t="shared" si="245"/>
        <v>0.35000000000000153</v>
      </c>
      <c r="P648" s="3">
        <v>0.39</v>
      </c>
      <c r="Q648" s="6"/>
      <c r="R648" s="6"/>
      <c r="S648" s="6"/>
      <c r="T648" s="18">
        <f>0.17+0.22</f>
        <v>0.39</v>
      </c>
      <c r="U648" s="18">
        <v>0.12</v>
      </c>
      <c r="V648" s="187">
        <f t="shared" si="236"/>
        <v>19.99999999999995</v>
      </c>
      <c r="W648" s="18"/>
      <c r="X648" s="18"/>
      <c r="Y648" s="18">
        <v>5</v>
      </c>
      <c r="Z648" s="31">
        <f t="shared" si="225"/>
        <v>120.00000000000027</v>
      </c>
      <c r="AA648" s="6"/>
      <c r="AB648" s="6"/>
      <c r="AC648" s="6"/>
      <c r="AD648" s="6"/>
      <c r="AE648" s="6"/>
      <c r="AF648" s="6"/>
      <c r="AG648" s="18" t="s">
        <v>27</v>
      </c>
      <c r="AH648" s="18" t="s">
        <v>27</v>
      </c>
      <c r="AI648" s="18" t="str">
        <f>+VLOOKUP(AH648,Leyenda!$O$4:$U$10,6,FALSE)</f>
        <v>0,35-0,50</v>
      </c>
      <c r="AJ648" s="18" t="str">
        <f>+VLOOKUP(AG648,Leyenda!$O$4:$U$10,7,FALSE)</f>
        <v>Easy to blast</v>
      </c>
      <c r="AK648" s="18">
        <f>+VLOOKUP(AJ648,Leyenda!$U$4:$V$10,2,FALSE)</f>
        <v>3</v>
      </c>
      <c r="AL648" s="18"/>
      <c r="AM648" s="18" t="s">
        <v>27</v>
      </c>
      <c r="AN648" s="18" t="s">
        <v>64</v>
      </c>
      <c r="AO648" s="18" t="s">
        <v>79</v>
      </c>
      <c r="AP648" s="18" t="s">
        <v>96</v>
      </c>
      <c r="AQ648" s="18" t="s">
        <v>105</v>
      </c>
      <c r="AR648" s="18" t="s">
        <v>118</v>
      </c>
      <c r="AS648" s="18" t="s">
        <v>267</v>
      </c>
      <c r="AT648" s="18"/>
      <c r="AU648" s="6"/>
      <c r="AV648" s="36">
        <f>+VLOOKUP(AN648,Leyenda!$B$30:$E$34,3,FALSE)</f>
        <v>2</v>
      </c>
      <c r="AW648" s="36">
        <f>+VLOOKUP('2. Logging Brejo Seco'!AO648,Meteorizacion,3,FALSE)</f>
        <v>1</v>
      </c>
      <c r="AX648" s="36">
        <f>+VLOOKUP('2. Logging Brejo Seco'!AP648,Apertura,3,FALSE)</f>
        <v>1</v>
      </c>
      <c r="AY648" s="36">
        <f>+VLOOKUP('2. Logging Brejo Seco'!AQ648,Leyenda!$B$55:$D$59,3,FALSE)</f>
        <v>4</v>
      </c>
      <c r="AZ648" s="36">
        <f>+VLOOKUP('2. Logging Brejo Seco'!AR648,Relleno,3,FALSE)</f>
        <v>2</v>
      </c>
      <c r="BA648" s="36">
        <f t="shared" si="246"/>
        <v>10</v>
      </c>
      <c r="BB648" s="50">
        <f t="shared" si="247"/>
        <v>4</v>
      </c>
      <c r="BC648" s="49">
        <f>VLOOKUP(AH648,Leyenda!$B$4:$D$10,3,FALSE)</f>
        <v>4</v>
      </c>
      <c r="BD648" s="50">
        <f t="shared" si="248"/>
        <v>8</v>
      </c>
      <c r="BE648" s="50">
        <f t="shared" si="249"/>
        <v>10</v>
      </c>
      <c r="BF648" s="50">
        <f>VLOOKUP(AS648,Leyenda!$B$70:$D$75,3,FALSE)</f>
        <v>15</v>
      </c>
      <c r="BG648" s="110">
        <f t="shared" si="250"/>
        <v>24.999999999999975</v>
      </c>
      <c r="BH648" s="110">
        <f>VLOOKUP(AG648,Leyenda!$B$4:$E$10,4,FALSE)</f>
        <v>4</v>
      </c>
      <c r="BI648" s="67">
        <f t="shared" si="251"/>
        <v>9</v>
      </c>
      <c r="BJ648" s="110">
        <f t="shared" si="252"/>
        <v>4</v>
      </c>
      <c r="BK648" s="110">
        <f>+VLOOKUP('2. Logging Brejo Seco'!AP648,Leyenda!$B$47:$E$51,4,FALSE)</f>
        <v>1</v>
      </c>
      <c r="BL648" s="110">
        <f>+VLOOKUP('2. Logging Brejo Seco'!AQ648,Leyenda!$B$55:$E$59,4,FALSE)</f>
        <v>4</v>
      </c>
      <c r="BM648" s="110">
        <f>+VLOOKUP('2. Logging Brejo Seco'!AR648,Leyenda!$B$63:$E$67,3,FALSE)</f>
        <v>2</v>
      </c>
      <c r="BN648" s="110">
        <f>+VLOOKUP('2. Logging Brejo Seco'!AO648,Leyenda!$B$39:$E$43,4,FALSE)</f>
        <v>1</v>
      </c>
      <c r="BO648" s="110">
        <f>+VLOOKUP('2. Logging Brejo Seco'!AN648,Leyenda!$B$30:$E$34,4,FALSE)</f>
        <v>3</v>
      </c>
      <c r="BP648" s="110">
        <f>VLOOKUP(AS648,Leyenda!$B$71:$E$75,4,FALSE)</f>
        <v>10</v>
      </c>
      <c r="BQ648" s="110">
        <f t="shared" si="253"/>
        <v>38</v>
      </c>
      <c r="BR648" s="36">
        <f t="shared" si="254"/>
        <v>41</v>
      </c>
      <c r="BS648" s="240">
        <f t="shared" si="255"/>
        <v>0.35000000000000153</v>
      </c>
      <c r="BT648" s="6"/>
    </row>
    <row r="649" spans="1:72" x14ac:dyDescent="0.25">
      <c r="A649" s="18" t="s">
        <v>6</v>
      </c>
      <c r="B649" s="18">
        <v>2024</v>
      </c>
      <c r="C649" s="18" t="s">
        <v>138</v>
      </c>
      <c r="D649" s="18" t="s">
        <v>657</v>
      </c>
      <c r="E649" s="3">
        <v>30</v>
      </c>
      <c r="F649" s="191">
        <v>30</v>
      </c>
      <c r="G649" s="18" t="s">
        <v>152</v>
      </c>
      <c r="H649" s="244">
        <v>30</v>
      </c>
      <c r="I649" s="244" t="s">
        <v>759</v>
      </c>
      <c r="J649" s="244"/>
      <c r="K649" s="18">
        <f t="shared" si="244"/>
        <v>54.65</v>
      </c>
      <c r="L649" s="18">
        <v>55.2</v>
      </c>
      <c r="M649" s="107">
        <f t="shared" si="223"/>
        <v>0.55000000000000426</v>
      </c>
      <c r="N649" s="113">
        <f t="shared" si="233"/>
        <v>0.76363636363635767</v>
      </c>
      <c r="O649" s="5">
        <f t="shared" si="245"/>
        <v>0.23636363636364233</v>
      </c>
      <c r="P649" s="3">
        <v>0.42</v>
      </c>
      <c r="Q649" s="6"/>
      <c r="R649" s="6"/>
      <c r="S649" s="6"/>
      <c r="T649" s="18">
        <v>0.42</v>
      </c>
      <c r="U649" s="18">
        <v>0.1</v>
      </c>
      <c r="V649" s="187">
        <f t="shared" si="236"/>
        <v>18.181818181818041</v>
      </c>
      <c r="W649" s="18"/>
      <c r="X649" s="18"/>
      <c r="Y649" s="18">
        <v>6</v>
      </c>
      <c r="Z649" s="31">
        <f t="shared" si="225"/>
        <v>91.666666666667382</v>
      </c>
      <c r="AA649" s="6"/>
      <c r="AB649" s="6"/>
      <c r="AC649" s="6"/>
      <c r="AD649" s="6"/>
      <c r="AE649" s="6"/>
      <c r="AF649" s="6"/>
      <c r="AG649" s="18" t="s">
        <v>27</v>
      </c>
      <c r="AH649" s="18" t="s">
        <v>27</v>
      </c>
      <c r="AI649" s="18" t="str">
        <f>+VLOOKUP(AH649,Leyenda!$O$4:$U$10,6,FALSE)</f>
        <v>0,35-0,50</v>
      </c>
      <c r="AJ649" s="18" t="str">
        <f>+VLOOKUP(AG649,Leyenda!$O$4:$U$10,7,FALSE)</f>
        <v>Easy to blast</v>
      </c>
      <c r="AK649" s="18">
        <f>+VLOOKUP(AJ649,Leyenda!$U$4:$V$10,2,FALSE)</f>
        <v>3</v>
      </c>
      <c r="AL649" s="18"/>
      <c r="AM649" s="18" t="s">
        <v>27</v>
      </c>
      <c r="AN649" s="18" t="s">
        <v>64</v>
      </c>
      <c r="AO649" s="18" t="s">
        <v>79</v>
      </c>
      <c r="AP649" s="18" t="s">
        <v>96</v>
      </c>
      <c r="AQ649" s="18" t="s">
        <v>105</v>
      </c>
      <c r="AR649" s="18" t="s">
        <v>118</v>
      </c>
      <c r="AS649" s="18" t="s">
        <v>267</v>
      </c>
      <c r="AT649" s="18"/>
      <c r="AU649" s="6"/>
      <c r="AV649" s="36">
        <f>+VLOOKUP(AN649,Leyenda!$B$30:$E$34,3,FALSE)</f>
        <v>2</v>
      </c>
      <c r="AW649" s="36">
        <f>+VLOOKUP('2. Logging Brejo Seco'!AO649,Meteorizacion,3,FALSE)</f>
        <v>1</v>
      </c>
      <c r="AX649" s="36">
        <f>+VLOOKUP('2. Logging Brejo Seco'!AP649,Apertura,3,FALSE)</f>
        <v>1</v>
      </c>
      <c r="AY649" s="36">
        <f>+VLOOKUP('2. Logging Brejo Seco'!AQ649,Leyenda!$B$55:$D$59,3,FALSE)</f>
        <v>4</v>
      </c>
      <c r="AZ649" s="36">
        <f>+VLOOKUP('2. Logging Brejo Seco'!AR649,Relleno,3,FALSE)</f>
        <v>2</v>
      </c>
      <c r="BA649" s="36">
        <f t="shared" si="246"/>
        <v>10</v>
      </c>
      <c r="BB649" s="50">
        <f t="shared" si="247"/>
        <v>4</v>
      </c>
      <c r="BC649" s="49">
        <f>VLOOKUP(AH649,Leyenda!$B$4:$D$10,3,FALSE)</f>
        <v>4</v>
      </c>
      <c r="BD649" s="50">
        <f t="shared" si="248"/>
        <v>7</v>
      </c>
      <c r="BE649" s="50">
        <f t="shared" si="249"/>
        <v>10</v>
      </c>
      <c r="BF649" s="50">
        <f>VLOOKUP(AS649,Leyenda!$B$70:$D$75,3,FALSE)</f>
        <v>15</v>
      </c>
      <c r="BG649" s="110">
        <f t="shared" si="250"/>
        <v>24.090909090909022</v>
      </c>
      <c r="BH649" s="110">
        <f>VLOOKUP(AG649,Leyenda!$B$4:$E$10,4,FALSE)</f>
        <v>4</v>
      </c>
      <c r="BI649" s="67">
        <f t="shared" si="251"/>
        <v>8</v>
      </c>
      <c r="BJ649" s="110">
        <f t="shared" si="252"/>
        <v>4</v>
      </c>
      <c r="BK649" s="110">
        <f>+VLOOKUP('2. Logging Brejo Seco'!AP649,Leyenda!$B$47:$E$51,4,FALSE)</f>
        <v>1</v>
      </c>
      <c r="BL649" s="110">
        <f>+VLOOKUP('2. Logging Brejo Seco'!AQ649,Leyenda!$B$55:$E$59,4,FALSE)</f>
        <v>4</v>
      </c>
      <c r="BM649" s="110">
        <f>+VLOOKUP('2. Logging Brejo Seco'!AR649,Leyenda!$B$63:$E$67,3,FALSE)</f>
        <v>2</v>
      </c>
      <c r="BN649" s="110">
        <f>+VLOOKUP('2. Logging Brejo Seco'!AO649,Leyenda!$B$39:$E$43,4,FALSE)</f>
        <v>1</v>
      </c>
      <c r="BO649" s="110">
        <f>+VLOOKUP('2. Logging Brejo Seco'!AN649,Leyenda!$B$30:$E$34,4,FALSE)</f>
        <v>3</v>
      </c>
      <c r="BP649" s="110">
        <f>VLOOKUP(AS649,Leyenda!$B$71:$E$75,4,FALSE)</f>
        <v>10</v>
      </c>
      <c r="BQ649" s="110">
        <f t="shared" si="253"/>
        <v>37</v>
      </c>
      <c r="BR649" s="36">
        <f t="shared" si="254"/>
        <v>40</v>
      </c>
      <c r="BS649" s="240">
        <f t="shared" si="255"/>
        <v>0.23636363636364233</v>
      </c>
      <c r="BT649" s="6"/>
    </row>
    <row r="650" spans="1:72" x14ac:dyDescent="0.25">
      <c r="A650" s="18" t="s">
        <v>6</v>
      </c>
      <c r="B650" s="18">
        <v>2024</v>
      </c>
      <c r="C650" s="18" t="s">
        <v>138</v>
      </c>
      <c r="D650" s="18" t="s">
        <v>657</v>
      </c>
      <c r="E650" s="3">
        <v>30</v>
      </c>
      <c r="F650" s="191">
        <v>30</v>
      </c>
      <c r="G650" s="18" t="s">
        <v>152</v>
      </c>
      <c r="H650" s="244">
        <v>30</v>
      </c>
      <c r="I650" s="244" t="s">
        <v>759</v>
      </c>
      <c r="J650" s="244"/>
      <c r="K650" s="18">
        <f t="shared" si="244"/>
        <v>55.2</v>
      </c>
      <c r="L650" s="18">
        <v>55.85</v>
      </c>
      <c r="M650" s="107">
        <f t="shared" si="223"/>
        <v>0.64999999999999858</v>
      </c>
      <c r="N650" s="113">
        <f t="shared" si="233"/>
        <v>0.66153846153846296</v>
      </c>
      <c r="O650" s="5">
        <f t="shared" si="245"/>
        <v>0.33846153846153704</v>
      </c>
      <c r="P650" s="3">
        <v>0.43</v>
      </c>
      <c r="Q650" s="6"/>
      <c r="R650" s="6"/>
      <c r="S650" s="6"/>
      <c r="T650" s="18">
        <v>0.43</v>
      </c>
      <c r="U650" s="18">
        <v>0</v>
      </c>
      <c r="V650" s="187">
        <f t="shared" si="236"/>
        <v>0</v>
      </c>
      <c r="W650" s="18"/>
      <c r="X650" s="18"/>
      <c r="Y650" s="18">
        <v>20</v>
      </c>
      <c r="Z650" s="31">
        <f t="shared" si="225"/>
        <v>32.499999999999929</v>
      </c>
      <c r="AA650" s="6"/>
      <c r="AB650" s="6"/>
      <c r="AC650" s="6"/>
      <c r="AD650" s="6"/>
      <c r="AE650" s="6"/>
      <c r="AF650" s="6"/>
      <c r="AG650" s="18" t="s">
        <v>27</v>
      </c>
      <c r="AH650" s="18" t="s">
        <v>27</v>
      </c>
      <c r="AI650" s="18" t="str">
        <f>+VLOOKUP(AH650,Leyenda!$O$4:$U$10,6,FALSE)</f>
        <v>0,35-0,50</v>
      </c>
      <c r="AJ650" s="18" t="str">
        <f>+VLOOKUP(AG650,Leyenda!$O$4:$U$10,7,FALSE)</f>
        <v>Easy to blast</v>
      </c>
      <c r="AK650" s="18">
        <f>+VLOOKUP(AJ650,Leyenda!$U$4:$V$10,2,FALSE)</f>
        <v>3</v>
      </c>
      <c r="AL650" s="18"/>
      <c r="AM650" s="18" t="s">
        <v>27</v>
      </c>
      <c r="AN650" s="18" t="s">
        <v>66</v>
      </c>
      <c r="AO650" s="18" t="s">
        <v>79</v>
      </c>
      <c r="AP650" s="18" t="s">
        <v>96</v>
      </c>
      <c r="AQ650" s="18" t="s">
        <v>105</v>
      </c>
      <c r="AR650" s="18" t="s">
        <v>118</v>
      </c>
      <c r="AS650" s="18" t="s">
        <v>267</v>
      </c>
      <c r="AT650" s="18"/>
      <c r="AU650" s="6"/>
      <c r="AV650" s="36">
        <f>+VLOOKUP(AN650,Leyenda!$B$30:$E$34,3,FALSE)</f>
        <v>1</v>
      </c>
      <c r="AW650" s="36">
        <f>+VLOOKUP('2. Logging Brejo Seco'!AO650,Meteorizacion,3,FALSE)</f>
        <v>1</v>
      </c>
      <c r="AX650" s="36">
        <f>+VLOOKUP('2. Logging Brejo Seco'!AP650,Apertura,3,FALSE)</f>
        <v>1</v>
      </c>
      <c r="AY650" s="36">
        <f>+VLOOKUP('2. Logging Brejo Seco'!AQ650,Leyenda!$B$55:$D$59,3,FALSE)</f>
        <v>4</v>
      </c>
      <c r="AZ650" s="36">
        <f>+VLOOKUP('2. Logging Brejo Seco'!AR650,Relleno,3,FALSE)</f>
        <v>2</v>
      </c>
      <c r="BA650" s="36">
        <f t="shared" si="246"/>
        <v>9</v>
      </c>
      <c r="BB650" s="50">
        <f t="shared" si="247"/>
        <v>0</v>
      </c>
      <c r="BC650" s="49">
        <f>VLOOKUP(AH650,Leyenda!$B$4:$D$10,3,FALSE)</f>
        <v>4</v>
      </c>
      <c r="BD650" s="50">
        <f t="shared" si="248"/>
        <v>5</v>
      </c>
      <c r="BE650" s="50">
        <f t="shared" si="249"/>
        <v>9</v>
      </c>
      <c r="BF650" s="50">
        <f>VLOOKUP(AS650,Leyenda!$B$70:$D$75,3,FALSE)</f>
        <v>15</v>
      </c>
      <c r="BG650" s="110">
        <f t="shared" si="250"/>
        <v>13.5</v>
      </c>
      <c r="BH650" s="110">
        <f>VLOOKUP(AG650,Leyenda!$B$4:$E$10,4,FALSE)</f>
        <v>4</v>
      </c>
      <c r="BI650" s="67">
        <f t="shared" si="251"/>
        <v>5</v>
      </c>
      <c r="BJ650" s="110">
        <f t="shared" si="252"/>
        <v>0</v>
      </c>
      <c r="BK650" s="110">
        <f>+VLOOKUP('2. Logging Brejo Seco'!AP650,Leyenda!$B$47:$E$51,4,FALSE)</f>
        <v>1</v>
      </c>
      <c r="BL650" s="110">
        <f>+VLOOKUP('2. Logging Brejo Seco'!AQ650,Leyenda!$B$55:$E$59,4,FALSE)</f>
        <v>4</v>
      </c>
      <c r="BM650" s="110">
        <f>+VLOOKUP('2. Logging Brejo Seco'!AR650,Leyenda!$B$63:$E$67,3,FALSE)</f>
        <v>2</v>
      </c>
      <c r="BN650" s="110">
        <f>+VLOOKUP('2. Logging Brejo Seco'!AO650,Leyenda!$B$39:$E$43,4,FALSE)</f>
        <v>1</v>
      </c>
      <c r="BO650" s="110">
        <f>+VLOOKUP('2. Logging Brejo Seco'!AN650,Leyenda!$B$30:$E$34,4,FALSE)</f>
        <v>1</v>
      </c>
      <c r="BP650" s="110">
        <f>VLOOKUP(AS650,Leyenda!$B$71:$E$75,4,FALSE)</f>
        <v>10</v>
      </c>
      <c r="BQ650" s="110">
        <f t="shared" si="253"/>
        <v>28</v>
      </c>
      <c r="BR650" s="36">
        <f t="shared" si="254"/>
        <v>33</v>
      </c>
      <c r="BS650" s="240">
        <f t="shared" si="255"/>
        <v>0.33846153846153704</v>
      </c>
      <c r="BT650" s="6"/>
    </row>
    <row r="651" spans="1:72" x14ac:dyDescent="0.25">
      <c r="A651" s="18" t="s">
        <v>6</v>
      </c>
      <c r="B651" s="18">
        <v>2024</v>
      </c>
      <c r="C651" s="18" t="s">
        <v>138</v>
      </c>
      <c r="D651" s="18" t="s">
        <v>657</v>
      </c>
      <c r="E651" s="3">
        <v>30</v>
      </c>
      <c r="F651" s="191">
        <v>30</v>
      </c>
      <c r="G651" s="18" t="s">
        <v>152</v>
      </c>
      <c r="H651" s="244">
        <v>30</v>
      </c>
      <c r="I651" s="244" t="s">
        <v>759</v>
      </c>
      <c r="J651" s="244"/>
      <c r="K651" s="18">
        <f t="shared" si="244"/>
        <v>55.85</v>
      </c>
      <c r="L651" s="18">
        <v>56.55</v>
      </c>
      <c r="M651" s="107">
        <f t="shared" si="223"/>
        <v>0.69999999999999574</v>
      </c>
      <c r="N651" s="113">
        <f t="shared" si="233"/>
        <v>0.51428571428571734</v>
      </c>
      <c r="O651" s="5">
        <f t="shared" si="245"/>
        <v>0.48571428571428266</v>
      </c>
      <c r="P651" s="3">
        <v>0.36</v>
      </c>
      <c r="Q651" s="6"/>
      <c r="R651" s="6"/>
      <c r="S651" s="6"/>
      <c r="T651" s="18">
        <v>0.36</v>
      </c>
      <c r="U651" s="18">
        <v>0.1</v>
      </c>
      <c r="V651" s="187">
        <f t="shared" si="236"/>
        <v>14.285714285714374</v>
      </c>
      <c r="W651" s="18"/>
      <c r="X651" s="18"/>
      <c r="Y651" s="18">
        <v>6</v>
      </c>
      <c r="Z651" s="31">
        <f t="shared" si="225"/>
        <v>116.66666666666595</v>
      </c>
      <c r="AA651" s="6"/>
      <c r="AB651" s="6"/>
      <c r="AC651" s="6"/>
      <c r="AD651" s="6"/>
      <c r="AE651" s="6"/>
      <c r="AF651" s="6"/>
      <c r="AG651" s="18" t="s">
        <v>27</v>
      </c>
      <c r="AH651" s="18" t="s">
        <v>27</v>
      </c>
      <c r="AI651" s="18" t="str">
        <f>+VLOOKUP(AH651,Leyenda!$O$4:$U$10,6,FALSE)</f>
        <v>0,35-0,50</v>
      </c>
      <c r="AJ651" s="18" t="str">
        <f>+VLOOKUP(AG651,Leyenda!$O$4:$U$10,7,FALSE)</f>
        <v>Easy to blast</v>
      </c>
      <c r="AK651" s="18">
        <f>+VLOOKUP(AJ651,Leyenda!$U$4:$V$10,2,FALSE)</f>
        <v>3</v>
      </c>
      <c r="AL651" s="18"/>
      <c r="AM651" s="18" t="s">
        <v>27</v>
      </c>
      <c r="AN651" s="18" t="s">
        <v>66</v>
      </c>
      <c r="AO651" s="18" t="s">
        <v>79</v>
      </c>
      <c r="AP651" s="18" t="s">
        <v>96</v>
      </c>
      <c r="AQ651" s="18" t="s">
        <v>105</v>
      </c>
      <c r="AR651" s="18" t="s">
        <v>118</v>
      </c>
      <c r="AS651" s="18" t="s">
        <v>267</v>
      </c>
      <c r="AT651" s="18"/>
      <c r="AU651" s="6"/>
      <c r="AV651" s="36">
        <f>+VLOOKUP(AN651,Leyenda!$B$30:$E$34,3,FALSE)</f>
        <v>1</v>
      </c>
      <c r="AW651" s="36">
        <f>+VLOOKUP('2. Logging Brejo Seco'!AO651,Meteorizacion,3,FALSE)</f>
        <v>1</v>
      </c>
      <c r="AX651" s="36">
        <f>+VLOOKUP('2. Logging Brejo Seco'!AP651,Apertura,3,FALSE)</f>
        <v>1</v>
      </c>
      <c r="AY651" s="36">
        <f>+VLOOKUP('2. Logging Brejo Seco'!AQ651,Leyenda!$B$55:$D$59,3,FALSE)</f>
        <v>4</v>
      </c>
      <c r="AZ651" s="36">
        <f>+VLOOKUP('2. Logging Brejo Seco'!AR651,Relleno,3,FALSE)</f>
        <v>2</v>
      </c>
      <c r="BA651" s="36">
        <f t="shared" si="246"/>
        <v>9</v>
      </c>
      <c r="BB651" s="50">
        <f t="shared" si="247"/>
        <v>3</v>
      </c>
      <c r="BC651" s="49">
        <f>VLOOKUP(AH651,Leyenda!$B$4:$D$10,3,FALSE)</f>
        <v>4</v>
      </c>
      <c r="BD651" s="50">
        <f t="shared" si="248"/>
        <v>8</v>
      </c>
      <c r="BE651" s="50">
        <f t="shared" si="249"/>
        <v>9</v>
      </c>
      <c r="BF651" s="50">
        <f>VLOOKUP(AS651,Leyenda!$B$70:$D$75,3,FALSE)</f>
        <v>15</v>
      </c>
      <c r="BG651" s="110">
        <f t="shared" si="250"/>
        <v>20.642857142857189</v>
      </c>
      <c r="BH651" s="110">
        <f>VLOOKUP(AG651,Leyenda!$B$4:$E$10,4,FALSE)</f>
        <v>4</v>
      </c>
      <c r="BI651" s="67">
        <f t="shared" si="251"/>
        <v>9</v>
      </c>
      <c r="BJ651" s="110">
        <f t="shared" si="252"/>
        <v>3</v>
      </c>
      <c r="BK651" s="110">
        <f>+VLOOKUP('2. Logging Brejo Seco'!AP651,Leyenda!$B$47:$E$51,4,FALSE)</f>
        <v>1</v>
      </c>
      <c r="BL651" s="110">
        <f>+VLOOKUP('2. Logging Brejo Seco'!AQ651,Leyenda!$B$55:$E$59,4,FALSE)</f>
        <v>4</v>
      </c>
      <c r="BM651" s="110">
        <f>+VLOOKUP('2. Logging Brejo Seco'!AR651,Leyenda!$B$63:$E$67,3,FALSE)</f>
        <v>2</v>
      </c>
      <c r="BN651" s="110">
        <f>+VLOOKUP('2. Logging Brejo Seco'!AO651,Leyenda!$B$39:$E$43,4,FALSE)</f>
        <v>1</v>
      </c>
      <c r="BO651" s="110">
        <f>+VLOOKUP('2. Logging Brejo Seco'!AN651,Leyenda!$B$30:$E$34,4,FALSE)</f>
        <v>1</v>
      </c>
      <c r="BP651" s="110">
        <f>VLOOKUP(AS651,Leyenda!$B$71:$E$75,4,FALSE)</f>
        <v>10</v>
      </c>
      <c r="BQ651" s="110">
        <f t="shared" si="253"/>
        <v>35</v>
      </c>
      <c r="BR651" s="36">
        <f t="shared" si="254"/>
        <v>39</v>
      </c>
      <c r="BS651" s="240">
        <f t="shared" si="255"/>
        <v>0.48571428571428266</v>
      </c>
      <c r="BT651" s="6"/>
    </row>
    <row r="652" spans="1:72" x14ac:dyDescent="0.25">
      <c r="A652" s="18" t="s">
        <v>6</v>
      </c>
      <c r="B652" s="18">
        <v>2024</v>
      </c>
      <c r="C652" s="18" t="s">
        <v>138</v>
      </c>
      <c r="D652" s="18" t="s">
        <v>657</v>
      </c>
      <c r="E652" s="3">
        <v>30</v>
      </c>
      <c r="F652" s="191">
        <v>30</v>
      </c>
      <c r="G652" s="18" t="s">
        <v>152</v>
      </c>
      <c r="H652" s="244">
        <v>30</v>
      </c>
      <c r="I652" s="244" t="s">
        <v>759</v>
      </c>
      <c r="J652" s="244"/>
      <c r="K652" s="18">
        <f t="shared" si="244"/>
        <v>56.55</v>
      </c>
      <c r="L652" s="18">
        <v>57.15</v>
      </c>
      <c r="M652" s="107">
        <f t="shared" si="223"/>
        <v>0.60000000000000142</v>
      </c>
      <c r="N652" s="113">
        <f t="shared" si="233"/>
        <v>0.13333333333333303</v>
      </c>
      <c r="O652" s="5">
        <f t="shared" si="245"/>
        <v>0.86666666666666692</v>
      </c>
      <c r="P652" s="3">
        <v>0.08</v>
      </c>
      <c r="Q652" s="6"/>
      <c r="R652" s="6"/>
      <c r="S652" s="6"/>
      <c r="T652" s="18">
        <v>0.08</v>
      </c>
      <c r="U652" s="18">
        <v>0</v>
      </c>
      <c r="V652" s="187">
        <f t="shared" si="236"/>
        <v>0</v>
      </c>
      <c r="W652" s="18"/>
      <c r="X652" s="18"/>
      <c r="Y652" s="18">
        <v>20</v>
      </c>
      <c r="Z652" s="31">
        <f t="shared" ref="Z652:Z715" si="256">+IF(M652=0,"",(M652*1000)/Y652)</f>
        <v>30.000000000000068</v>
      </c>
      <c r="AA652" s="6"/>
      <c r="AB652" s="6"/>
      <c r="AC652" s="6"/>
      <c r="AD652" s="6"/>
      <c r="AE652" s="6"/>
      <c r="AF652" s="6"/>
      <c r="AG652" s="18" t="s">
        <v>27</v>
      </c>
      <c r="AH652" s="18" t="s">
        <v>27</v>
      </c>
      <c r="AI652" s="18" t="str">
        <f>+VLOOKUP(AH652,Leyenda!$O$4:$U$10,6,FALSE)</f>
        <v>0,35-0,50</v>
      </c>
      <c r="AJ652" s="18" t="str">
        <f>+VLOOKUP(AG652,Leyenda!$O$4:$U$10,7,FALSE)</f>
        <v>Easy to blast</v>
      </c>
      <c r="AK652" s="18">
        <f>+VLOOKUP(AJ652,Leyenda!$U$4:$V$10,2,FALSE)</f>
        <v>3</v>
      </c>
      <c r="AL652" s="18"/>
      <c r="AM652" s="18" t="s">
        <v>27</v>
      </c>
      <c r="AN652" s="18" t="s">
        <v>66</v>
      </c>
      <c r="AO652" s="18" t="s">
        <v>81</v>
      </c>
      <c r="AP652" s="18" t="s">
        <v>100</v>
      </c>
      <c r="AQ652" s="18" t="s">
        <v>107</v>
      </c>
      <c r="AR652" s="18" t="s">
        <v>118</v>
      </c>
      <c r="AS652" s="18" t="s">
        <v>267</v>
      </c>
      <c r="AT652" s="18"/>
      <c r="AU652" s="6"/>
      <c r="AV652" s="36">
        <f>+VLOOKUP(AN652,Leyenda!$B$30:$E$34,3,FALSE)</f>
        <v>1</v>
      </c>
      <c r="AW652" s="36">
        <f>+VLOOKUP('2. Logging Brejo Seco'!AO652,Meteorizacion,3,FALSE)</f>
        <v>0</v>
      </c>
      <c r="AX652" s="36">
        <f>+VLOOKUP('2. Logging Brejo Seco'!AP652,Apertura,3,FALSE)</f>
        <v>0</v>
      </c>
      <c r="AY652" s="36">
        <f>+VLOOKUP('2. Logging Brejo Seco'!AQ652,Leyenda!$B$55:$D$59,3,FALSE)</f>
        <v>3</v>
      </c>
      <c r="AZ652" s="36">
        <f>+VLOOKUP('2. Logging Brejo Seco'!AR652,Relleno,3,FALSE)</f>
        <v>2</v>
      </c>
      <c r="BA652" s="36">
        <f t="shared" si="246"/>
        <v>6</v>
      </c>
      <c r="BB652" s="50">
        <f t="shared" si="247"/>
        <v>0</v>
      </c>
      <c r="BC652" s="49">
        <f>VLOOKUP(AH652,Leyenda!$B$4:$D$10,3,FALSE)</f>
        <v>4</v>
      </c>
      <c r="BD652" s="50">
        <f t="shared" si="248"/>
        <v>5</v>
      </c>
      <c r="BE652" s="50">
        <f t="shared" si="249"/>
        <v>6</v>
      </c>
      <c r="BF652" s="50">
        <f>VLOOKUP(AS652,Leyenda!$B$70:$D$75,3,FALSE)</f>
        <v>15</v>
      </c>
      <c r="BG652" s="110">
        <f t="shared" si="250"/>
        <v>9</v>
      </c>
      <c r="BH652" s="110">
        <f>VLOOKUP(AG652,Leyenda!$B$4:$E$10,4,FALSE)</f>
        <v>4</v>
      </c>
      <c r="BI652" s="67">
        <f t="shared" si="251"/>
        <v>5</v>
      </c>
      <c r="BJ652" s="110">
        <f t="shared" si="252"/>
        <v>0</v>
      </c>
      <c r="BK652" s="110">
        <f>+VLOOKUP('2. Logging Brejo Seco'!AP652,Leyenda!$B$47:$E$51,4,FALSE)</f>
        <v>0</v>
      </c>
      <c r="BL652" s="110">
        <f>+VLOOKUP('2. Logging Brejo Seco'!AQ652,Leyenda!$B$55:$E$59,4,FALSE)</f>
        <v>3</v>
      </c>
      <c r="BM652" s="110">
        <f>+VLOOKUP('2. Logging Brejo Seco'!AR652,Leyenda!$B$63:$E$67,3,FALSE)</f>
        <v>2</v>
      </c>
      <c r="BN652" s="110">
        <f>+VLOOKUP('2. Logging Brejo Seco'!AO652,Leyenda!$B$39:$E$43,4,FALSE)</f>
        <v>0</v>
      </c>
      <c r="BO652" s="110">
        <f>+VLOOKUP('2. Logging Brejo Seco'!AN652,Leyenda!$B$30:$E$34,4,FALSE)</f>
        <v>1</v>
      </c>
      <c r="BP652" s="110">
        <f>VLOOKUP(AS652,Leyenda!$B$71:$E$75,4,FALSE)</f>
        <v>10</v>
      </c>
      <c r="BQ652" s="110">
        <f t="shared" si="253"/>
        <v>25</v>
      </c>
      <c r="BR652" s="36">
        <f t="shared" si="254"/>
        <v>30</v>
      </c>
      <c r="BS652" s="240">
        <f t="shared" si="255"/>
        <v>0.86666666666666692</v>
      </c>
      <c r="BT652" s="6"/>
    </row>
    <row r="653" spans="1:72" x14ac:dyDescent="0.25">
      <c r="A653" s="18" t="s">
        <v>6</v>
      </c>
      <c r="B653" s="18">
        <v>2024</v>
      </c>
      <c r="C653" s="18" t="s">
        <v>138</v>
      </c>
      <c r="D653" s="18" t="s">
        <v>657</v>
      </c>
      <c r="E653" s="3">
        <v>30</v>
      </c>
      <c r="F653" s="191">
        <v>30</v>
      </c>
      <c r="G653" s="18" t="s">
        <v>152</v>
      </c>
      <c r="H653" s="244">
        <v>30</v>
      </c>
      <c r="I653" s="244" t="s">
        <v>759</v>
      </c>
      <c r="J653" s="244"/>
      <c r="K653" s="18">
        <f t="shared" si="244"/>
        <v>57.15</v>
      </c>
      <c r="L653" s="18">
        <v>57.85</v>
      </c>
      <c r="M653" s="107">
        <f t="shared" ref="M653:M720" si="257">+L653-K653</f>
        <v>0.70000000000000284</v>
      </c>
      <c r="N653" s="113">
        <f t="shared" ref="N653:N720" si="258">+P653/M653</f>
        <v>0.67142857142856871</v>
      </c>
      <c r="O653" s="5">
        <f t="shared" si="245"/>
        <v>0.32857142857143129</v>
      </c>
      <c r="P653" s="3">
        <v>0.47</v>
      </c>
      <c r="Q653" s="6"/>
      <c r="R653" s="6"/>
      <c r="S653" s="6"/>
      <c r="T653" s="18">
        <v>0.47</v>
      </c>
      <c r="U653" s="18">
        <v>0.28999999999999998</v>
      </c>
      <c r="V653" s="187">
        <f t="shared" si="236"/>
        <v>41.42857142857126</v>
      </c>
      <c r="W653" s="18"/>
      <c r="X653" s="18"/>
      <c r="Y653" s="18">
        <v>5</v>
      </c>
      <c r="Z653" s="31">
        <f t="shared" si="256"/>
        <v>140.00000000000057</v>
      </c>
      <c r="AA653" s="6"/>
      <c r="AB653" s="6"/>
      <c r="AC653" s="6"/>
      <c r="AD653" s="6"/>
      <c r="AE653" s="6"/>
      <c r="AF653" s="6"/>
      <c r="AG653" s="18" t="s">
        <v>27</v>
      </c>
      <c r="AH653" s="18" t="s">
        <v>27</v>
      </c>
      <c r="AI653" s="18" t="str">
        <f>+VLOOKUP(AH653,Leyenda!$O$4:$U$10,6,FALSE)</f>
        <v>0,35-0,50</v>
      </c>
      <c r="AJ653" s="18" t="str">
        <f>+VLOOKUP(AG653,Leyenda!$O$4:$U$10,7,FALSE)</f>
        <v>Easy to blast</v>
      </c>
      <c r="AK653" s="18">
        <f>+VLOOKUP(AJ653,Leyenda!$U$4:$V$10,2,FALSE)</f>
        <v>3</v>
      </c>
      <c r="AL653" s="18"/>
      <c r="AM653" s="18" t="s">
        <v>27</v>
      </c>
      <c r="AN653" s="18" t="s">
        <v>66</v>
      </c>
      <c r="AO653" s="18" t="s">
        <v>79</v>
      </c>
      <c r="AP653" s="18" t="s">
        <v>96</v>
      </c>
      <c r="AQ653" s="18" t="s">
        <v>105</v>
      </c>
      <c r="AR653" s="18" t="s">
        <v>118</v>
      </c>
      <c r="AS653" s="18" t="s">
        <v>267</v>
      </c>
      <c r="AT653" s="18"/>
      <c r="AU653" s="6"/>
      <c r="AV653" s="36">
        <f>+VLOOKUP(AN653,Leyenda!$B$30:$E$34,3,FALSE)</f>
        <v>1</v>
      </c>
      <c r="AW653" s="36">
        <f>+VLOOKUP('2. Logging Brejo Seco'!AO653,Meteorizacion,3,FALSE)</f>
        <v>1</v>
      </c>
      <c r="AX653" s="36">
        <f>+VLOOKUP('2. Logging Brejo Seco'!AP653,Apertura,3,FALSE)</f>
        <v>1</v>
      </c>
      <c r="AY653" s="36">
        <f>+VLOOKUP('2. Logging Brejo Seco'!AQ653,Leyenda!$B$55:$D$59,3,FALSE)</f>
        <v>4</v>
      </c>
      <c r="AZ653" s="36">
        <f>+VLOOKUP('2. Logging Brejo Seco'!AR653,Relleno,3,FALSE)</f>
        <v>2</v>
      </c>
      <c r="BA653" s="36">
        <f t="shared" si="246"/>
        <v>9</v>
      </c>
      <c r="BB653" s="50">
        <f t="shared" si="247"/>
        <v>9</v>
      </c>
      <c r="BC653" s="49">
        <f>VLOOKUP(AH653,Leyenda!$B$4:$D$10,3,FALSE)</f>
        <v>4</v>
      </c>
      <c r="BD653" s="50">
        <f t="shared" si="248"/>
        <v>8</v>
      </c>
      <c r="BE653" s="50">
        <f t="shared" si="249"/>
        <v>9</v>
      </c>
      <c r="BF653" s="50">
        <f>VLOOKUP(AS653,Leyenda!$B$70:$D$75,3,FALSE)</f>
        <v>15</v>
      </c>
      <c r="BG653" s="110">
        <f t="shared" si="250"/>
        <v>34.21428571428563</v>
      </c>
      <c r="BH653" s="110">
        <f>VLOOKUP(AG653,Leyenda!$B$4:$E$10,4,FALSE)</f>
        <v>4</v>
      </c>
      <c r="BI653" s="67">
        <f t="shared" si="251"/>
        <v>10</v>
      </c>
      <c r="BJ653" s="110">
        <f t="shared" si="252"/>
        <v>9</v>
      </c>
      <c r="BK653" s="110">
        <f>+VLOOKUP('2. Logging Brejo Seco'!AP653,Leyenda!$B$47:$E$51,4,FALSE)</f>
        <v>1</v>
      </c>
      <c r="BL653" s="110">
        <f>+VLOOKUP('2. Logging Brejo Seco'!AQ653,Leyenda!$B$55:$E$59,4,FALSE)</f>
        <v>4</v>
      </c>
      <c r="BM653" s="110">
        <f>+VLOOKUP('2. Logging Brejo Seco'!AR653,Leyenda!$B$63:$E$67,3,FALSE)</f>
        <v>2</v>
      </c>
      <c r="BN653" s="110">
        <f>+VLOOKUP('2. Logging Brejo Seco'!AO653,Leyenda!$B$39:$E$43,4,FALSE)</f>
        <v>1</v>
      </c>
      <c r="BO653" s="110">
        <f>+VLOOKUP('2. Logging Brejo Seco'!AN653,Leyenda!$B$30:$E$34,4,FALSE)</f>
        <v>1</v>
      </c>
      <c r="BP653" s="110">
        <f>VLOOKUP(AS653,Leyenda!$B$71:$E$75,4,FALSE)</f>
        <v>10</v>
      </c>
      <c r="BQ653" s="110">
        <f t="shared" si="253"/>
        <v>42</v>
      </c>
      <c r="BR653" s="36">
        <f t="shared" si="254"/>
        <v>45</v>
      </c>
      <c r="BS653" s="240">
        <f t="shared" si="255"/>
        <v>0.32857142857143129</v>
      </c>
      <c r="BT653" s="6"/>
    </row>
    <row r="654" spans="1:72" x14ac:dyDescent="0.25">
      <c r="A654" s="18" t="s">
        <v>6</v>
      </c>
      <c r="B654" s="18">
        <v>2024</v>
      </c>
      <c r="C654" s="18" t="s">
        <v>138</v>
      </c>
      <c r="D654" s="18" t="s">
        <v>657</v>
      </c>
      <c r="E654" s="3">
        <v>30</v>
      </c>
      <c r="F654" s="191">
        <v>30</v>
      </c>
      <c r="G654" s="18" t="s">
        <v>152</v>
      </c>
      <c r="H654" s="244">
        <v>30</v>
      </c>
      <c r="I654" s="244" t="s">
        <v>759</v>
      </c>
      <c r="J654" s="244"/>
      <c r="K654" s="18">
        <f t="shared" si="244"/>
        <v>57.85</v>
      </c>
      <c r="L654" s="18">
        <v>58.45</v>
      </c>
      <c r="M654" s="107">
        <f t="shared" si="257"/>
        <v>0.60000000000000142</v>
      </c>
      <c r="N654" s="113">
        <f t="shared" si="258"/>
        <v>0.69999999999999829</v>
      </c>
      <c r="O654" s="5">
        <f t="shared" si="245"/>
        <v>0.30000000000000171</v>
      </c>
      <c r="P654" s="3">
        <v>0.42</v>
      </c>
      <c r="Q654" s="6"/>
      <c r="R654" s="6"/>
      <c r="S654" s="6"/>
      <c r="T654" s="18">
        <f>0.34+0.08</f>
        <v>0.42000000000000004</v>
      </c>
      <c r="U654" s="18">
        <v>0</v>
      </c>
      <c r="V654" s="187">
        <f t="shared" si="236"/>
        <v>0</v>
      </c>
      <c r="W654" s="18"/>
      <c r="X654" s="18"/>
      <c r="Y654" s="18">
        <v>10</v>
      </c>
      <c r="Z654" s="31">
        <f t="shared" si="256"/>
        <v>60.000000000000135</v>
      </c>
      <c r="AA654" s="6"/>
      <c r="AB654" s="6"/>
      <c r="AC654" s="6"/>
      <c r="AD654" s="6"/>
      <c r="AE654" s="6"/>
      <c r="AF654" s="6"/>
      <c r="AG654" s="3" t="s">
        <v>27</v>
      </c>
      <c r="AH654" s="3" t="s">
        <v>27</v>
      </c>
      <c r="AI654" s="18" t="str">
        <f>+VLOOKUP(AH654,Leyenda!$O$4:$U$10,6,FALSE)</f>
        <v>0,35-0,50</v>
      </c>
      <c r="AJ654" s="18" t="str">
        <f>+VLOOKUP(AG654,Leyenda!$O$4:$U$10,7,FALSE)</f>
        <v>Easy to blast</v>
      </c>
      <c r="AK654" s="18">
        <f>+VLOOKUP(AJ654,Leyenda!$U$4:$V$10,2,FALSE)</f>
        <v>3</v>
      </c>
      <c r="AL654" s="6"/>
      <c r="AM654" s="3" t="s">
        <v>27</v>
      </c>
      <c r="AN654" s="3" t="s">
        <v>66</v>
      </c>
      <c r="AO654" s="3" t="s">
        <v>81</v>
      </c>
      <c r="AP654" s="3" t="s">
        <v>100</v>
      </c>
      <c r="AQ654" s="3" t="s">
        <v>107</v>
      </c>
      <c r="AR654" s="3" t="s">
        <v>120</v>
      </c>
      <c r="AS654" s="3" t="s">
        <v>267</v>
      </c>
      <c r="AT654" s="18"/>
      <c r="AU654" s="6"/>
      <c r="AV654" s="36">
        <f>+VLOOKUP(AN654,Leyenda!$B$30:$E$34,3,FALSE)</f>
        <v>1</v>
      </c>
      <c r="AW654" s="36">
        <f>+VLOOKUP('2. Logging Brejo Seco'!AO654,Meteorizacion,3,FALSE)</f>
        <v>0</v>
      </c>
      <c r="AX654" s="36">
        <f>+VLOOKUP('2. Logging Brejo Seco'!AP654,Apertura,3,FALSE)</f>
        <v>0</v>
      </c>
      <c r="AY654" s="36">
        <f>+VLOOKUP('2. Logging Brejo Seco'!AQ654,Leyenda!$B$55:$D$59,3,FALSE)</f>
        <v>3</v>
      </c>
      <c r="AZ654" s="36">
        <f>+VLOOKUP('2. Logging Brejo Seco'!AR654,Relleno,3,FALSE)</f>
        <v>2</v>
      </c>
      <c r="BA654" s="36">
        <f t="shared" si="246"/>
        <v>6</v>
      </c>
      <c r="BB654" s="50">
        <f t="shared" si="247"/>
        <v>0</v>
      </c>
      <c r="BC654" s="49">
        <f>VLOOKUP(AH654,Leyenda!$B$4:$D$10,3,FALSE)</f>
        <v>4</v>
      </c>
      <c r="BD654" s="50">
        <f t="shared" si="248"/>
        <v>6</v>
      </c>
      <c r="BE654" s="50">
        <f t="shared" si="249"/>
        <v>6</v>
      </c>
      <c r="BF654" s="50">
        <f>VLOOKUP(AS654,Leyenda!$B$70:$D$75,3,FALSE)</f>
        <v>15</v>
      </c>
      <c r="BG654" s="110">
        <f t="shared" si="250"/>
        <v>9</v>
      </c>
      <c r="BH654" s="110">
        <f>VLOOKUP(AG654,Leyenda!$B$4:$E$10,4,FALSE)</f>
        <v>4</v>
      </c>
      <c r="BI654" s="67">
        <f t="shared" si="251"/>
        <v>5</v>
      </c>
      <c r="BJ654" s="110">
        <f t="shared" si="252"/>
        <v>0</v>
      </c>
      <c r="BK654" s="110">
        <f>+VLOOKUP('2. Logging Brejo Seco'!AP654,Leyenda!$B$47:$E$51,4,FALSE)</f>
        <v>0</v>
      </c>
      <c r="BL654" s="110">
        <f>+VLOOKUP('2. Logging Brejo Seco'!AQ654,Leyenda!$B$55:$E$59,4,FALSE)</f>
        <v>3</v>
      </c>
      <c r="BM654" s="110">
        <f>+VLOOKUP('2. Logging Brejo Seco'!AR654,Leyenda!$B$63:$E$67,3,FALSE)</f>
        <v>2</v>
      </c>
      <c r="BN654" s="110">
        <f>+VLOOKUP('2. Logging Brejo Seco'!AO654,Leyenda!$B$39:$E$43,4,FALSE)</f>
        <v>0</v>
      </c>
      <c r="BO654" s="110">
        <f>+VLOOKUP('2. Logging Brejo Seco'!AN654,Leyenda!$B$30:$E$34,4,FALSE)</f>
        <v>1</v>
      </c>
      <c r="BP654" s="110">
        <f>VLOOKUP(AS654,Leyenda!$B$71:$E$75,4,FALSE)</f>
        <v>10</v>
      </c>
      <c r="BQ654" s="110">
        <f t="shared" si="253"/>
        <v>25</v>
      </c>
      <c r="BR654" s="36">
        <f t="shared" si="254"/>
        <v>31</v>
      </c>
      <c r="BS654" s="240">
        <f t="shared" si="255"/>
        <v>0.30000000000000171</v>
      </c>
      <c r="BT654" s="6"/>
    </row>
    <row r="655" spans="1:72" x14ac:dyDescent="0.25">
      <c r="A655" s="18" t="s">
        <v>6</v>
      </c>
      <c r="B655" s="18">
        <v>2024</v>
      </c>
      <c r="C655" s="18" t="s">
        <v>138</v>
      </c>
      <c r="D655" s="18" t="s">
        <v>657</v>
      </c>
      <c r="E655" s="3">
        <v>30</v>
      </c>
      <c r="F655" s="191">
        <v>30</v>
      </c>
      <c r="G655" s="18" t="s">
        <v>152</v>
      </c>
      <c r="H655" s="244">
        <v>50</v>
      </c>
      <c r="I655" s="244" t="s">
        <v>756</v>
      </c>
      <c r="J655" s="244"/>
      <c r="K655" s="18">
        <f t="shared" si="244"/>
        <v>58.45</v>
      </c>
      <c r="L655" s="18">
        <v>59.3</v>
      </c>
      <c r="M655" s="107">
        <f t="shared" si="257"/>
        <v>0.84999999999999432</v>
      </c>
      <c r="N655" s="113">
        <f t="shared" si="258"/>
        <v>0.87058823529412344</v>
      </c>
      <c r="O655" s="5">
        <f t="shared" si="245"/>
        <v>0.12941176470587656</v>
      </c>
      <c r="P655" s="3">
        <v>0.74</v>
      </c>
      <c r="Q655" s="6"/>
      <c r="R655" s="6"/>
      <c r="S655" s="6"/>
      <c r="T655" s="18">
        <v>0.74</v>
      </c>
      <c r="U655" s="18">
        <v>0</v>
      </c>
      <c r="V655" s="187">
        <f t="shared" si="236"/>
        <v>0</v>
      </c>
      <c r="W655" s="18"/>
      <c r="X655" s="18"/>
      <c r="Y655" s="18">
        <v>15</v>
      </c>
      <c r="Z655" s="31">
        <f t="shared" si="256"/>
        <v>56.666666666666288</v>
      </c>
      <c r="AA655" s="6"/>
      <c r="AB655" s="6"/>
      <c r="AC655" s="6"/>
      <c r="AD655" s="6"/>
      <c r="AE655" s="6"/>
      <c r="AF655" s="6"/>
      <c r="AG655" s="3" t="s">
        <v>34</v>
      </c>
      <c r="AH655" s="3" t="s">
        <v>34</v>
      </c>
      <c r="AI655" s="18">
        <f>+VLOOKUP(AH655,Leyenda!$O$4:$U$10,6,FALSE)</f>
        <v>0</v>
      </c>
      <c r="AJ655" s="18" t="str">
        <f>+VLOOKUP(AG655,Leyenda!$O$4:$U$10,7,FALSE)</f>
        <v>No Blasting need</v>
      </c>
      <c r="AK655" s="18">
        <f>+VLOOKUP(AJ655,Leyenda!$U$4:$V$10,2,FALSE)</f>
        <v>2</v>
      </c>
      <c r="AL655" s="6"/>
      <c r="AM655" s="3" t="s">
        <v>34</v>
      </c>
      <c r="AN655" s="3" t="s">
        <v>66</v>
      </c>
      <c r="AO655" s="3" t="s">
        <v>81</v>
      </c>
      <c r="AP655" s="3" t="s">
        <v>100</v>
      </c>
      <c r="AQ655" s="3" t="s">
        <v>109</v>
      </c>
      <c r="AR655" s="3" t="s">
        <v>122</v>
      </c>
      <c r="AS655" s="3" t="s">
        <v>267</v>
      </c>
      <c r="AT655" s="18"/>
      <c r="AU655" s="6"/>
      <c r="AV655" s="36">
        <f>+VLOOKUP(AN655,Leyenda!$B$30:$E$34,3,FALSE)</f>
        <v>1</v>
      </c>
      <c r="AW655" s="36">
        <f>+VLOOKUP('2. Logging Brejo Seco'!AO655,Meteorizacion,3,FALSE)</f>
        <v>0</v>
      </c>
      <c r="AX655" s="36">
        <f>+VLOOKUP('2. Logging Brejo Seco'!AP655,Apertura,3,FALSE)</f>
        <v>0</v>
      </c>
      <c r="AY655" s="36">
        <f>+VLOOKUP('2. Logging Brejo Seco'!AQ655,Leyenda!$B$55:$D$59,3,FALSE)</f>
        <v>1</v>
      </c>
      <c r="AZ655" s="36">
        <f>+VLOOKUP('2. Logging Brejo Seco'!AR655,Relleno,3,FALSE)</f>
        <v>0</v>
      </c>
      <c r="BA655" s="36">
        <f t="shared" si="246"/>
        <v>2</v>
      </c>
      <c r="BB655" s="50">
        <f t="shared" si="247"/>
        <v>0</v>
      </c>
      <c r="BC655" s="49">
        <f>VLOOKUP(AH655,Leyenda!$B$4:$D$10,3,FALSE)</f>
        <v>0</v>
      </c>
      <c r="BD655" s="50">
        <f t="shared" si="248"/>
        <v>6</v>
      </c>
      <c r="BE655" s="50">
        <f t="shared" si="249"/>
        <v>2</v>
      </c>
      <c r="BF655" s="50">
        <f>VLOOKUP(AS655,Leyenda!$B$70:$D$75,3,FALSE)</f>
        <v>15</v>
      </c>
      <c r="BG655" s="110">
        <f t="shared" si="250"/>
        <v>3</v>
      </c>
      <c r="BH655" s="110">
        <f>VLOOKUP(AG655,Leyenda!$B$4:$E$10,4,FALSE)</f>
        <v>0</v>
      </c>
      <c r="BI655" s="67">
        <f t="shared" si="251"/>
        <v>5</v>
      </c>
      <c r="BJ655" s="110">
        <f t="shared" si="252"/>
        <v>0</v>
      </c>
      <c r="BK655" s="110">
        <f>+VLOOKUP('2. Logging Brejo Seco'!AP655,Leyenda!$B$47:$E$51,4,FALSE)</f>
        <v>0</v>
      </c>
      <c r="BL655" s="110">
        <f>+VLOOKUP('2. Logging Brejo Seco'!AQ655,Leyenda!$B$55:$E$59,4,FALSE)</f>
        <v>1</v>
      </c>
      <c r="BM655" s="110">
        <f>+VLOOKUP('2. Logging Brejo Seco'!AR655,Leyenda!$B$63:$E$67,3,FALSE)</f>
        <v>0</v>
      </c>
      <c r="BN655" s="110">
        <f>+VLOOKUP('2. Logging Brejo Seco'!AO655,Leyenda!$B$39:$E$43,4,FALSE)</f>
        <v>0</v>
      </c>
      <c r="BO655" s="110">
        <f>+VLOOKUP('2. Logging Brejo Seco'!AN655,Leyenda!$B$30:$E$34,4,FALSE)</f>
        <v>1</v>
      </c>
      <c r="BP655" s="110">
        <f>VLOOKUP(AS655,Leyenda!$B$71:$E$75,4,FALSE)</f>
        <v>10</v>
      </c>
      <c r="BQ655" s="110">
        <f t="shared" si="253"/>
        <v>17</v>
      </c>
      <c r="BR655" s="36">
        <f t="shared" si="254"/>
        <v>23</v>
      </c>
      <c r="BS655" s="240">
        <f t="shared" si="255"/>
        <v>0.12941176470587656</v>
      </c>
      <c r="BT655" s="6"/>
    </row>
    <row r="656" spans="1:72" x14ac:dyDescent="0.25">
      <c r="A656" s="18" t="s">
        <v>6</v>
      </c>
      <c r="B656" s="18">
        <v>2024</v>
      </c>
      <c r="C656" s="18" t="s">
        <v>138</v>
      </c>
      <c r="D656" s="18" t="s">
        <v>657</v>
      </c>
      <c r="E656" s="3">
        <v>30</v>
      </c>
      <c r="F656" s="191">
        <v>40</v>
      </c>
      <c r="G656" s="36" t="s">
        <v>153</v>
      </c>
      <c r="H656" s="3">
        <v>30</v>
      </c>
      <c r="I656" s="3" t="s">
        <v>759</v>
      </c>
      <c r="J656" s="3"/>
      <c r="K656" s="18">
        <f t="shared" si="244"/>
        <v>59.3</v>
      </c>
      <c r="L656" s="18">
        <v>60.25</v>
      </c>
      <c r="M656" s="107">
        <f t="shared" si="257"/>
        <v>0.95000000000000284</v>
      </c>
      <c r="N656" s="113">
        <f t="shared" si="258"/>
        <v>0.56842105263157727</v>
      </c>
      <c r="O656" s="5">
        <f t="shared" si="245"/>
        <v>0.43157894736842273</v>
      </c>
      <c r="P656" s="3">
        <v>0.54</v>
      </c>
      <c r="Q656" s="6"/>
      <c r="R656" s="6"/>
      <c r="S656" s="6"/>
      <c r="T656" s="18">
        <v>0.54</v>
      </c>
      <c r="U656" s="18">
        <v>0.42</v>
      </c>
      <c r="V656" s="187">
        <f t="shared" si="236"/>
        <v>44.210526315789338</v>
      </c>
      <c r="W656" s="18"/>
      <c r="X656" s="18"/>
      <c r="Y656" s="18">
        <f>4+4</f>
        <v>8</v>
      </c>
      <c r="Z656" s="31">
        <f t="shared" si="256"/>
        <v>118.75000000000036</v>
      </c>
      <c r="AA656" s="6"/>
      <c r="AB656" s="6"/>
      <c r="AC656" s="6"/>
      <c r="AD656" s="6"/>
      <c r="AE656" s="6"/>
      <c r="AF656" s="6"/>
      <c r="AG656" s="3" t="s">
        <v>22</v>
      </c>
      <c r="AH656" s="3" t="s">
        <v>22</v>
      </c>
      <c r="AI656" s="18" t="str">
        <f>+VLOOKUP(AH656,Leyenda!$O$4:$U$10,6,FALSE)</f>
        <v>0,80-1,50</v>
      </c>
      <c r="AJ656" s="18" t="str">
        <f>+VLOOKUP(AG656,Leyenda!$O$4:$U$10,7,FALSE)</f>
        <v>Moderate to resistence to blast</v>
      </c>
      <c r="AK656" s="18">
        <f>+VLOOKUP(AJ656,Leyenda!$U$4:$V$10,2,FALSE)</f>
        <v>5</v>
      </c>
      <c r="AL656" s="3" t="s">
        <v>22</v>
      </c>
      <c r="AM656" s="3" t="s">
        <v>22</v>
      </c>
      <c r="AN656" s="3" t="s">
        <v>64</v>
      </c>
      <c r="AO656" s="3" t="s">
        <v>79</v>
      </c>
      <c r="AP656" s="3" t="s">
        <v>96</v>
      </c>
      <c r="AQ656" s="3" t="s">
        <v>105</v>
      </c>
      <c r="AR656" s="3" t="s">
        <v>118</v>
      </c>
      <c r="AS656" s="3" t="s">
        <v>267</v>
      </c>
      <c r="AT656" s="18"/>
      <c r="AU656" s="6"/>
      <c r="AV656" s="18">
        <f>+VLOOKUP(AN656,Leyenda!$B$30:$E$34,3,FALSE)</f>
        <v>2</v>
      </c>
      <c r="AW656" s="18">
        <f>+VLOOKUP('2. Logging Brejo Seco'!AO656,Meteorizacion,3,FALSE)</f>
        <v>1</v>
      </c>
      <c r="AX656" s="18">
        <f>+VLOOKUP('2. Logging Brejo Seco'!AP656,Apertura,3,FALSE)</f>
        <v>1</v>
      </c>
      <c r="AY656" s="18">
        <f>+VLOOKUP('2. Logging Brejo Seco'!AQ656,Leyenda!$B$55:$D$59,3,FALSE)</f>
        <v>4</v>
      </c>
      <c r="AZ656" s="18">
        <f>+VLOOKUP('2. Logging Brejo Seco'!AR656,Relleno,3,FALSE)</f>
        <v>2</v>
      </c>
      <c r="BA656" s="18">
        <f t="shared" si="246"/>
        <v>10</v>
      </c>
      <c r="BB656" s="49">
        <f t="shared" si="247"/>
        <v>9</v>
      </c>
      <c r="BC656" s="49">
        <f>VLOOKUP(AH656,Leyenda!$B$4:$D$10,3,FALSE)</f>
        <v>12</v>
      </c>
      <c r="BD656" s="49">
        <f t="shared" si="248"/>
        <v>8</v>
      </c>
      <c r="BE656" s="49">
        <f t="shared" si="249"/>
        <v>10</v>
      </c>
      <c r="BF656" s="49">
        <f>VLOOKUP(AS656,Leyenda!$B$70:$D$75,3,FALSE)</f>
        <v>15</v>
      </c>
      <c r="BG656" s="67">
        <f t="shared" si="250"/>
        <v>37.105263157894669</v>
      </c>
      <c r="BH656" s="208">
        <v>7</v>
      </c>
      <c r="BI656" s="125">
        <f t="shared" si="251"/>
        <v>9</v>
      </c>
      <c r="BJ656" s="125">
        <f t="shared" si="252"/>
        <v>9</v>
      </c>
      <c r="BK656" s="125">
        <f>+VLOOKUP('2. Logging Brejo Seco'!AP656,Leyenda!$B$47:$E$51,4,FALSE)</f>
        <v>1</v>
      </c>
      <c r="BL656" s="125">
        <f>+VLOOKUP('2. Logging Brejo Seco'!AQ656,Leyenda!$B$55:$E$59,4,FALSE)</f>
        <v>4</v>
      </c>
      <c r="BM656" s="125">
        <f>+VLOOKUP('2. Logging Brejo Seco'!AR656,Leyenda!$B$63:$E$67,3,FALSE)</f>
        <v>2</v>
      </c>
      <c r="BN656" s="125">
        <f>+VLOOKUP('2. Logging Brejo Seco'!AO656,Leyenda!$B$39:$E$43,4,FALSE)</f>
        <v>1</v>
      </c>
      <c r="BO656" s="125">
        <f>+VLOOKUP('2. Logging Brejo Seco'!AN656,Leyenda!$B$30:$E$34,4,FALSE)</f>
        <v>3</v>
      </c>
      <c r="BP656" s="125">
        <f>VLOOKUP(AS656,Leyenda!$B$71:$E$75,4,FALSE)</f>
        <v>10</v>
      </c>
      <c r="BQ656" s="125">
        <f t="shared" si="253"/>
        <v>46</v>
      </c>
      <c r="BR656" s="85">
        <f t="shared" si="254"/>
        <v>54</v>
      </c>
      <c r="BS656" s="240">
        <f t="shared" si="255"/>
        <v>0.43157894736842273</v>
      </c>
      <c r="BT656" s="6"/>
    </row>
    <row r="657" spans="1:72" x14ac:dyDescent="0.25">
      <c r="A657" s="18" t="s">
        <v>6</v>
      </c>
      <c r="B657" s="18">
        <v>2024</v>
      </c>
      <c r="C657" s="18" t="s">
        <v>138</v>
      </c>
      <c r="D657" s="18" t="s">
        <v>657</v>
      </c>
      <c r="E657" s="3">
        <v>30</v>
      </c>
      <c r="F657" s="191">
        <v>40</v>
      </c>
      <c r="G657" s="36" t="s">
        <v>153</v>
      </c>
      <c r="H657" s="3">
        <v>30</v>
      </c>
      <c r="I657" s="3" t="s">
        <v>759</v>
      </c>
      <c r="J657" s="3"/>
      <c r="K657" s="18">
        <f t="shared" si="244"/>
        <v>60.25</v>
      </c>
      <c r="L657" s="18">
        <v>61.35</v>
      </c>
      <c r="M657" s="107">
        <f t="shared" si="257"/>
        <v>1.1000000000000014</v>
      </c>
      <c r="N657" s="113">
        <f t="shared" si="258"/>
        <v>0.16363636363636341</v>
      </c>
      <c r="O657" s="5">
        <f t="shared" si="245"/>
        <v>0.83636363636363664</v>
      </c>
      <c r="P657" s="3">
        <v>0.18</v>
      </c>
      <c r="Q657" s="6"/>
      <c r="R657" s="6"/>
      <c r="S657" s="6"/>
      <c r="T657" s="18">
        <v>0.18</v>
      </c>
      <c r="U657" s="18">
        <v>0.11</v>
      </c>
      <c r="V657" s="187">
        <f t="shared" si="236"/>
        <v>9.9999999999999858</v>
      </c>
      <c r="W657" s="18"/>
      <c r="X657" s="18"/>
      <c r="Y657" s="18">
        <f>4+8</f>
        <v>12</v>
      </c>
      <c r="Z657" s="31">
        <f t="shared" si="256"/>
        <v>91.666666666666785</v>
      </c>
      <c r="AA657" s="6"/>
      <c r="AB657" s="6"/>
      <c r="AC657" s="6"/>
      <c r="AD657" s="6"/>
      <c r="AE657" s="6"/>
      <c r="AF657" s="6"/>
      <c r="AG657" s="3" t="s">
        <v>22</v>
      </c>
      <c r="AH657" s="3" t="s">
        <v>22</v>
      </c>
      <c r="AI657" s="18" t="str">
        <f>+VLOOKUP(AH657,Leyenda!$O$4:$U$10,6,FALSE)</f>
        <v>0,80-1,50</v>
      </c>
      <c r="AJ657" s="18" t="str">
        <f>+VLOOKUP(AG657,Leyenda!$O$4:$U$10,7,FALSE)</f>
        <v>Moderate to resistence to blast</v>
      </c>
      <c r="AK657" s="18">
        <f>+VLOOKUP(AJ657,Leyenda!$U$4:$V$10,2,FALSE)</f>
        <v>5</v>
      </c>
      <c r="AL657" s="3" t="s">
        <v>22</v>
      </c>
      <c r="AM657" s="3" t="s">
        <v>22</v>
      </c>
      <c r="AN657" s="3" t="s">
        <v>66</v>
      </c>
      <c r="AO657" s="3" t="s">
        <v>79</v>
      </c>
      <c r="AP657" s="3" t="s">
        <v>96</v>
      </c>
      <c r="AQ657" s="3" t="s">
        <v>105</v>
      </c>
      <c r="AR657" s="3" t="s">
        <v>120</v>
      </c>
      <c r="AS657" s="3" t="s">
        <v>267</v>
      </c>
      <c r="AT657" s="18"/>
      <c r="AU657" s="6"/>
      <c r="AV657" s="18">
        <f>+VLOOKUP(AN657,Leyenda!$B$30:$E$34,3,FALSE)</f>
        <v>1</v>
      </c>
      <c r="AW657" s="18">
        <f>+VLOOKUP('2. Logging Brejo Seco'!AO657,Meteorizacion,3,FALSE)</f>
        <v>1</v>
      </c>
      <c r="AX657" s="18">
        <f>+VLOOKUP('2. Logging Brejo Seco'!AP657,Apertura,3,FALSE)</f>
        <v>1</v>
      </c>
      <c r="AY657" s="18">
        <f>+VLOOKUP('2. Logging Brejo Seco'!AQ657,Leyenda!$B$55:$D$59,3,FALSE)</f>
        <v>4</v>
      </c>
      <c r="AZ657" s="18">
        <f>+VLOOKUP('2. Logging Brejo Seco'!AR657,Relleno,3,FALSE)</f>
        <v>2</v>
      </c>
      <c r="BA657" s="18">
        <f t="shared" si="246"/>
        <v>9</v>
      </c>
      <c r="BB657" s="49">
        <f t="shared" si="247"/>
        <v>2</v>
      </c>
      <c r="BC657" s="49">
        <f>VLOOKUP(AH657,Leyenda!$B$4:$D$10,3,FALSE)</f>
        <v>12</v>
      </c>
      <c r="BD657" s="49">
        <f t="shared" si="248"/>
        <v>7</v>
      </c>
      <c r="BE657" s="49">
        <f t="shared" si="249"/>
        <v>9</v>
      </c>
      <c r="BF657" s="49">
        <f>VLOOKUP(AS657,Leyenda!$B$70:$D$75,3,FALSE)</f>
        <v>15</v>
      </c>
      <c r="BG657" s="67">
        <f t="shared" si="250"/>
        <v>18.499999999999993</v>
      </c>
      <c r="BH657" s="208">
        <v>7</v>
      </c>
      <c r="BI657" s="125">
        <f t="shared" si="251"/>
        <v>8</v>
      </c>
      <c r="BJ657" s="125">
        <f t="shared" si="252"/>
        <v>2</v>
      </c>
      <c r="BK657" s="125">
        <f>+VLOOKUP('2. Logging Brejo Seco'!AP657,Leyenda!$B$47:$E$51,4,FALSE)</f>
        <v>1</v>
      </c>
      <c r="BL657" s="125">
        <f>+VLOOKUP('2. Logging Brejo Seco'!AQ657,Leyenda!$B$55:$E$59,4,FALSE)</f>
        <v>4</v>
      </c>
      <c r="BM657" s="125">
        <f>+VLOOKUP('2. Logging Brejo Seco'!AR657,Leyenda!$B$63:$E$67,3,FALSE)</f>
        <v>2</v>
      </c>
      <c r="BN657" s="125">
        <f>+VLOOKUP('2. Logging Brejo Seco'!AO657,Leyenda!$B$39:$E$43,4,FALSE)</f>
        <v>1</v>
      </c>
      <c r="BO657" s="125">
        <f>+VLOOKUP('2. Logging Brejo Seco'!AN657,Leyenda!$B$30:$E$34,4,FALSE)</f>
        <v>1</v>
      </c>
      <c r="BP657" s="125">
        <f>VLOOKUP(AS657,Leyenda!$B$71:$E$75,4,FALSE)</f>
        <v>10</v>
      </c>
      <c r="BQ657" s="125">
        <f t="shared" si="253"/>
        <v>36</v>
      </c>
      <c r="BR657" s="85">
        <f t="shared" si="254"/>
        <v>45</v>
      </c>
      <c r="BS657" s="240">
        <f t="shared" si="255"/>
        <v>0.83636363636363664</v>
      </c>
      <c r="BT657" s="6"/>
    </row>
    <row r="658" spans="1:72" x14ac:dyDescent="0.25">
      <c r="A658" s="18" t="s">
        <v>6</v>
      </c>
      <c r="B658" s="18">
        <v>2024</v>
      </c>
      <c r="C658" s="18" t="s">
        <v>138</v>
      </c>
      <c r="D658" s="18" t="s">
        <v>657</v>
      </c>
      <c r="E658" s="3">
        <v>30</v>
      </c>
      <c r="F658" s="191">
        <v>40</v>
      </c>
      <c r="G658" s="36" t="s">
        <v>153</v>
      </c>
      <c r="H658" s="3">
        <v>30</v>
      </c>
      <c r="I658" s="3" t="s">
        <v>759</v>
      </c>
      <c r="J658" s="3"/>
      <c r="K658" s="18">
        <f t="shared" si="244"/>
        <v>61.35</v>
      </c>
      <c r="L658" s="18">
        <v>62.25</v>
      </c>
      <c r="M658" s="107">
        <f t="shared" si="257"/>
        <v>0.89999999999999858</v>
      </c>
      <c r="N658" s="113">
        <f t="shared" si="258"/>
        <v>0.60000000000000098</v>
      </c>
      <c r="O658" s="5">
        <f t="shared" si="245"/>
        <v>0.39999999999999902</v>
      </c>
      <c r="P658" s="3">
        <v>0.54</v>
      </c>
      <c r="Q658" s="6"/>
      <c r="R658" s="6"/>
      <c r="S658" s="6"/>
      <c r="T658" s="18">
        <v>0.54</v>
      </c>
      <c r="U658" s="18">
        <v>0.2</v>
      </c>
      <c r="V658" s="187">
        <f t="shared" si="236"/>
        <v>22.222222222222261</v>
      </c>
      <c r="W658" s="18"/>
      <c r="X658" s="18"/>
      <c r="Y658" s="18">
        <v>6</v>
      </c>
      <c r="Z658" s="31">
        <f t="shared" si="256"/>
        <v>149.99999999999977</v>
      </c>
      <c r="AA658" s="6"/>
      <c r="AB658" s="6"/>
      <c r="AC658" s="6"/>
      <c r="AD658" s="6"/>
      <c r="AE658" s="6"/>
      <c r="AF658" s="6"/>
      <c r="AG658" s="3" t="s">
        <v>22</v>
      </c>
      <c r="AH658" s="3" t="s">
        <v>22</v>
      </c>
      <c r="AI658" s="18" t="str">
        <f>+VLOOKUP(AH658,Leyenda!$O$4:$U$10,6,FALSE)</f>
        <v>0,80-1,50</v>
      </c>
      <c r="AJ658" s="18" t="str">
        <f>+VLOOKUP(AG658,Leyenda!$O$4:$U$10,7,FALSE)</f>
        <v>Moderate to resistence to blast</v>
      </c>
      <c r="AK658" s="18">
        <f>+VLOOKUP(AJ658,Leyenda!$U$4:$V$10,2,FALSE)</f>
        <v>5</v>
      </c>
      <c r="AL658" s="3" t="s">
        <v>22</v>
      </c>
      <c r="AM658" s="3" t="s">
        <v>22</v>
      </c>
      <c r="AN658" s="3" t="s">
        <v>66</v>
      </c>
      <c r="AO658" s="3" t="s">
        <v>79</v>
      </c>
      <c r="AP658" s="3" t="s">
        <v>96</v>
      </c>
      <c r="AQ658" s="3" t="s">
        <v>105</v>
      </c>
      <c r="AR658" s="3" t="s">
        <v>120</v>
      </c>
      <c r="AS658" s="3" t="s">
        <v>267</v>
      </c>
      <c r="AT658" s="18"/>
      <c r="AU658" s="6"/>
      <c r="AV658" s="18">
        <f>+VLOOKUP(AN658,Leyenda!$B$30:$E$34,3,FALSE)</f>
        <v>1</v>
      </c>
      <c r="AW658" s="18">
        <f>+VLOOKUP('2. Logging Brejo Seco'!AO658,Meteorizacion,3,FALSE)</f>
        <v>1</v>
      </c>
      <c r="AX658" s="18">
        <f>+VLOOKUP('2. Logging Brejo Seco'!AP658,Apertura,3,FALSE)</f>
        <v>1</v>
      </c>
      <c r="AY658" s="18">
        <f>+VLOOKUP('2. Logging Brejo Seco'!AQ658,Leyenda!$B$55:$D$59,3,FALSE)</f>
        <v>4</v>
      </c>
      <c r="AZ658" s="18">
        <f>+VLOOKUP('2. Logging Brejo Seco'!AR658,Relleno,3,FALSE)</f>
        <v>2</v>
      </c>
      <c r="BA658" s="18">
        <f t="shared" si="246"/>
        <v>9</v>
      </c>
      <c r="BB658" s="49">
        <f t="shared" si="247"/>
        <v>5</v>
      </c>
      <c r="BC658" s="49">
        <f>VLOOKUP(AH658,Leyenda!$B$4:$D$10,3,FALSE)</f>
        <v>12</v>
      </c>
      <c r="BD658" s="49">
        <f t="shared" si="248"/>
        <v>8</v>
      </c>
      <c r="BE658" s="49">
        <f t="shared" si="249"/>
        <v>9</v>
      </c>
      <c r="BF658" s="49">
        <f>VLOOKUP(AS658,Leyenda!$B$70:$D$75,3,FALSE)</f>
        <v>15</v>
      </c>
      <c r="BG658" s="67">
        <f t="shared" si="250"/>
        <v>24.611111111111128</v>
      </c>
      <c r="BH658" s="208">
        <v>7</v>
      </c>
      <c r="BI658" s="125">
        <f t="shared" si="251"/>
        <v>11</v>
      </c>
      <c r="BJ658" s="125">
        <f t="shared" si="252"/>
        <v>5</v>
      </c>
      <c r="BK658" s="125">
        <f>+VLOOKUP('2. Logging Brejo Seco'!AP658,Leyenda!$B$47:$E$51,4,FALSE)</f>
        <v>1</v>
      </c>
      <c r="BL658" s="125">
        <f>+VLOOKUP('2. Logging Brejo Seco'!AQ658,Leyenda!$B$55:$E$59,4,FALSE)</f>
        <v>4</v>
      </c>
      <c r="BM658" s="125">
        <f>+VLOOKUP('2. Logging Brejo Seco'!AR658,Leyenda!$B$63:$E$67,3,FALSE)</f>
        <v>2</v>
      </c>
      <c r="BN658" s="125">
        <f>+VLOOKUP('2. Logging Brejo Seco'!AO658,Leyenda!$B$39:$E$43,4,FALSE)</f>
        <v>1</v>
      </c>
      <c r="BO658" s="125">
        <f>+VLOOKUP('2. Logging Brejo Seco'!AN658,Leyenda!$B$30:$E$34,4,FALSE)</f>
        <v>1</v>
      </c>
      <c r="BP658" s="125">
        <f>VLOOKUP(AS658,Leyenda!$B$71:$E$75,4,FALSE)</f>
        <v>10</v>
      </c>
      <c r="BQ658" s="125">
        <f t="shared" si="253"/>
        <v>42</v>
      </c>
      <c r="BR658" s="85">
        <f t="shared" si="254"/>
        <v>49</v>
      </c>
      <c r="BS658" s="240">
        <f t="shared" si="255"/>
        <v>0.39999999999999902</v>
      </c>
      <c r="BT658" s="6"/>
    </row>
    <row r="659" spans="1:72" x14ac:dyDescent="0.25">
      <c r="A659" s="18" t="s">
        <v>6</v>
      </c>
      <c r="B659" s="18">
        <v>2024</v>
      </c>
      <c r="C659" s="18" t="s">
        <v>138</v>
      </c>
      <c r="D659" s="18" t="s">
        <v>657</v>
      </c>
      <c r="E659" s="3">
        <v>30</v>
      </c>
      <c r="F659" s="191">
        <v>40</v>
      </c>
      <c r="G659" s="36" t="s">
        <v>153</v>
      </c>
      <c r="H659" s="3">
        <v>30</v>
      </c>
      <c r="I659" s="3" t="s">
        <v>759</v>
      </c>
      <c r="J659" s="3"/>
      <c r="K659" s="18">
        <f t="shared" si="244"/>
        <v>62.25</v>
      </c>
      <c r="L659" s="18">
        <v>62.9</v>
      </c>
      <c r="M659" s="107">
        <f t="shared" si="257"/>
        <v>0.64999999999999858</v>
      </c>
      <c r="N659" s="113">
        <f t="shared" si="258"/>
        <v>0.92307692307692502</v>
      </c>
      <c r="O659" s="5">
        <f t="shared" si="245"/>
        <v>7.6923076923074984E-2</v>
      </c>
      <c r="P659" s="3">
        <v>0.6</v>
      </c>
      <c r="Q659" s="6"/>
      <c r="R659" s="6"/>
      <c r="S659" s="6"/>
      <c r="T659" s="18">
        <v>0.6</v>
      </c>
      <c r="U659" s="18">
        <v>0.46</v>
      </c>
      <c r="V659" s="187">
        <f t="shared" si="236"/>
        <v>70.76923076923093</v>
      </c>
      <c r="W659" s="18"/>
      <c r="X659" s="18"/>
      <c r="Y659" s="18">
        <v>5</v>
      </c>
      <c r="Z659" s="31">
        <f t="shared" si="256"/>
        <v>129.99999999999972</v>
      </c>
      <c r="AA659" s="6"/>
      <c r="AB659" s="6"/>
      <c r="AC659" s="6"/>
      <c r="AD659" s="6"/>
      <c r="AE659" s="6"/>
      <c r="AF659" s="6"/>
      <c r="AG659" s="3" t="s">
        <v>27</v>
      </c>
      <c r="AH659" s="3" t="s">
        <v>27</v>
      </c>
      <c r="AI659" s="18" t="str">
        <f>+VLOOKUP(AH659,Leyenda!$O$4:$U$10,6,FALSE)</f>
        <v>0,35-0,50</v>
      </c>
      <c r="AJ659" s="18" t="str">
        <f>+VLOOKUP(AG659,Leyenda!$O$4:$U$10,7,FALSE)</f>
        <v>Easy to blast</v>
      </c>
      <c r="AK659" s="18">
        <f>+VLOOKUP(AJ659,Leyenda!$U$4:$V$10,2,FALSE)</f>
        <v>3</v>
      </c>
      <c r="AL659" s="6"/>
      <c r="AM659" s="3" t="s">
        <v>27</v>
      </c>
      <c r="AN659" s="3" t="s">
        <v>64</v>
      </c>
      <c r="AO659" s="3" t="s">
        <v>79</v>
      </c>
      <c r="AP659" s="3" t="s">
        <v>96</v>
      </c>
      <c r="AQ659" s="3" t="s">
        <v>105</v>
      </c>
      <c r="AR659" s="3" t="s">
        <v>118</v>
      </c>
      <c r="AS659" s="3" t="s">
        <v>267</v>
      </c>
      <c r="AT659" s="18"/>
      <c r="AU659" s="6"/>
      <c r="AV659" s="18">
        <f>+VLOOKUP(AN659,Leyenda!$B$30:$E$34,3,FALSE)</f>
        <v>2</v>
      </c>
      <c r="AW659" s="18">
        <f>+VLOOKUP('2. Logging Brejo Seco'!AO659,Meteorizacion,3,FALSE)</f>
        <v>1</v>
      </c>
      <c r="AX659" s="18">
        <f>+VLOOKUP('2. Logging Brejo Seco'!AP659,Apertura,3,FALSE)</f>
        <v>1</v>
      </c>
      <c r="AY659" s="18">
        <f>+VLOOKUP('2. Logging Brejo Seco'!AQ659,Leyenda!$B$55:$D$59,3,FALSE)</f>
        <v>4</v>
      </c>
      <c r="AZ659" s="18">
        <f>+VLOOKUP('2. Logging Brejo Seco'!AR659,Relleno,3,FALSE)</f>
        <v>2</v>
      </c>
      <c r="BA659" s="18">
        <f t="shared" si="246"/>
        <v>10</v>
      </c>
      <c r="BB659" s="49">
        <f t="shared" si="247"/>
        <v>15</v>
      </c>
      <c r="BC659" s="49">
        <f>VLOOKUP(AH659,Leyenda!$B$4:$D$10,3,FALSE)</f>
        <v>4</v>
      </c>
      <c r="BD659" s="49">
        <f t="shared" si="248"/>
        <v>8</v>
      </c>
      <c r="BE659" s="49">
        <f t="shared" si="249"/>
        <v>10</v>
      </c>
      <c r="BF659" s="49">
        <f>VLOOKUP(AS659,Leyenda!$B$70:$D$75,3,FALSE)</f>
        <v>15</v>
      </c>
      <c r="BG659" s="67">
        <f t="shared" si="250"/>
        <v>50.384615384615465</v>
      </c>
      <c r="BH659" s="67">
        <f>VLOOKUP(AG659,Leyenda!$B$4:$E$10,4,FALSE)</f>
        <v>4</v>
      </c>
      <c r="BI659" s="67">
        <f t="shared" si="251"/>
        <v>10</v>
      </c>
      <c r="BJ659" s="67">
        <f t="shared" si="252"/>
        <v>15</v>
      </c>
      <c r="BK659" s="67">
        <f>+VLOOKUP('2. Logging Brejo Seco'!AP659,Leyenda!$B$47:$E$51,4,FALSE)</f>
        <v>1</v>
      </c>
      <c r="BL659" s="67">
        <f>+VLOOKUP('2. Logging Brejo Seco'!AQ659,Leyenda!$B$55:$E$59,4,FALSE)</f>
        <v>4</v>
      </c>
      <c r="BM659" s="67">
        <f>+VLOOKUP('2. Logging Brejo Seco'!AR659,Leyenda!$B$63:$E$67,3,FALSE)</f>
        <v>2</v>
      </c>
      <c r="BN659" s="67">
        <f>+VLOOKUP('2. Logging Brejo Seco'!AO659,Leyenda!$B$39:$E$43,4,FALSE)</f>
        <v>1</v>
      </c>
      <c r="BO659" s="67">
        <f>+VLOOKUP('2. Logging Brejo Seco'!AN659,Leyenda!$B$30:$E$34,4,FALSE)</f>
        <v>3</v>
      </c>
      <c r="BP659" s="67">
        <f>VLOOKUP(AS659,Leyenda!$B$71:$E$75,4,FALSE)</f>
        <v>10</v>
      </c>
      <c r="BQ659" s="67">
        <f t="shared" si="253"/>
        <v>50</v>
      </c>
      <c r="BR659" s="18">
        <f t="shared" si="254"/>
        <v>52</v>
      </c>
      <c r="BS659" s="240">
        <f t="shared" si="255"/>
        <v>7.6923076923074984E-2</v>
      </c>
      <c r="BT659" s="6"/>
    </row>
    <row r="660" spans="1:72" x14ac:dyDescent="0.25">
      <c r="A660" s="18" t="s">
        <v>6</v>
      </c>
      <c r="B660" s="18">
        <v>2024</v>
      </c>
      <c r="C660" s="18" t="s">
        <v>138</v>
      </c>
      <c r="D660" s="18" t="s">
        <v>657</v>
      </c>
      <c r="E660" s="3">
        <v>30</v>
      </c>
      <c r="F660" s="191">
        <v>30</v>
      </c>
      <c r="G660" s="18" t="s">
        <v>152</v>
      </c>
      <c r="H660" s="244">
        <v>30</v>
      </c>
      <c r="I660" s="244" t="s">
        <v>759</v>
      </c>
      <c r="J660" s="244"/>
      <c r="K660" s="18">
        <f t="shared" si="244"/>
        <v>62.9</v>
      </c>
      <c r="L660" s="18">
        <v>63.4</v>
      </c>
      <c r="M660" s="107">
        <f t="shared" si="257"/>
        <v>0.5</v>
      </c>
      <c r="N660" s="113">
        <f t="shared" si="258"/>
        <v>0.9</v>
      </c>
      <c r="O660" s="5">
        <f t="shared" si="245"/>
        <v>9.9999999999999978E-2</v>
      </c>
      <c r="P660" s="3">
        <v>0.45</v>
      </c>
      <c r="Q660" s="6"/>
      <c r="R660" s="6"/>
      <c r="S660" s="6"/>
      <c r="T660" s="18">
        <v>0.45</v>
      </c>
      <c r="U660" s="18">
        <v>0.27</v>
      </c>
      <c r="V660" s="187">
        <f t="shared" si="236"/>
        <v>54</v>
      </c>
      <c r="W660" s="18"/>
      <c r="X660" s="18"/>
      <c r="Y660" s="18">
        <v>6</v>
      </c>
      <c r="Z660" s="31">
        <f t="shared" si="256"/>
        <v>83.333333333333329</v>
      </c>
      <c r="AA660" s="6"/>
      <c r="AB660" s="6"/>
      <c r="AC660" s="6"/>
      <c r="AD660" s="6"/>
      <c r="AE660" s="6"/>
      <c r="AF660" s="6"/>
      <c r="AG660" s="3" t="s">
        <v>27</v>
      </c>
      <c r="AH660" s="3" t="s">
        <v>27</v>
      </c>
      <c r="AI660" s="18" t="str">
        <f>+VLOOKUP(AH660,Leyenda!$O$4:$U$10,6,FALSE)</f>
        <v>0,35-0,50</v>
      </c>
      <c r="AJ660" s="18" t="str">
        <f>+VLOOKUP(AG660,Leyenda!$O$4:$U$10,7,FALSE)</f>
        <v>Easy to blast</v>
      </c>
      <c r="AK660" s="18">
        <f>+VLOOKUP(AJ660,Leyenda!$U$4:$V$10,2,FALSE)</f>
        <v>3</v>
      </c>
      <c r="AL660" s="6"/>
      <c r="AM660" s="3" t="s">
        <v>27</v>
      </c>
      <c r="AN660" s="3" t="s">
        <v>64</v>
      </c>
      <c r="AO660" s="3" t="s">
        <v>79</v>
      </c>
      <c r="AP660" s="3" t="s">
        <v>96</v>
      </c>
      <c r="AQ660" s="3" t="s">
        <v>105</v>
      </c>
      <c r="AR660" s="3" t="s">
        <v>118</v>
      </c>
      <c r="AS660" s="3" t="s">
        <v>267</v>
      </c>
      <c r="AT660" s="18"/>
      <c r="AU660" s="6"/>
      <c r="AV660" s="36">
        <f>+VLOOKUP(AN660,Leyenda!$B$30:$E$34,3,FALSE)</f>
        <v>2</v>
      </c>
      <c r="AW660" s="36">
        <f>+VLOOKUP('2. Logging Brejo Seco'!AO660,Meteorizacion,3,FALSE)</f>
        <v>1</v>
      </c>
      <c r="AX660" s="36">
        <f>+VLOOKUP('2. Logging Brejo Seco'!AP660,Apertura,3,FALSE)</f>
        <v>1</v>
      </c>
      <c r="AY660" s="36">
        <f>+VLOOKUP('2. Logging Brejo Seco'!AQ660,Leyenda!$B$55:$D$59,3,FALSE)</f>
        <v>4</v>
      </c>
      <c r="AZ660" s="36">
        <f>+VLOOKUP('2. Logging Brejo Seco'!AR660,Relleno,3,FALSE)</f>
        <v>2</v>
      </c>
      <c r="BA660" s="36">
        <f t="shared" si="246"/>
        <v>10</v>
      </c>
      <c r="BB660" s="50">
        <f t="shared" si="247"/>
        <v>11</v>
      </c>
      <c r="BC660" s="49">
        <f>VLOOKUP(AH660,Leyenda!$B$4:$D$10,3,FALSE)</f>
        <v>4</v>
      </c>
      <c r="BD660" s="50">
        <f t="shared" si="248"/>
        <v>7</v>
      </c>
      <c r="BE660" s="50">
        <f t="shared" si="249"/>
        <v>10</v>
      </c>
      <c r="BF660" s="50">
        <f>VLOOKUP(AS660,Leyenda!$B$70:$D$75,3,FALSE)</f>
        <v>15</v>
      </c>
      <c r="BG660" s="110">
        <f t="shared" si="250"/>
        <v>42</v>
      </c>
      <c r="BH660" s="110">
        <f>VLOOKUP(AG660,Leyenda!$B$4:$E$10,4,FALSE)</f>
        <v>4</v>
      </c>
      <c r="BI660" s="67">
        <f t="shared" si="251"/>
        <v>7</v>
      </c>
      <c r="BJ660" s="110">
        <f t="shared" si="252"/>
        <v>11</v>
      </c>
      <c r="BK660" s="110">
        <f>+VLOOKUP('2. Logging Brejo Seco'!AP660,Leyenda!$B$47:$E$51,4,FALSE)</f>
        <v>1</v>
      </c>
      <c r="BL660" s="110">
        <f>+VLOOKUP('2. Logging Brejo Seco'!AQ660,Leyenda!$B$55:$E$59,4,FALSE)</f>
        <v>4</v>
      </c>
      <c r="BM660" s="110">
        <f>+VLOOKUP('2. Logging Brejo Seco'!AR660,Leyenda!$B$63:$E$67,3,FALSE)</f>
        <v>2</v>
      </c>
      <c r="BN660" s="110">
        <f>+VLOOKUP('2. Logging Brejo Seco'!AO660,Leyenda!$B$39:$E$43,4,FALSE)</f>
        <v>1</v>
      </c>
      <c r="BO660" s="110">
        <f>+VLOOKUP('2. Logging Brejo Seco'!AN660,Leyenda!$B$30:$E$34,4,FALSE)</f>
        <v>3</v>
      </c>
      <c r="BP660" s="110">
        <f>VLOOKUP(AS660,Leyenda!$B$71:$E$75,4,FALSE)</f>
        <v>10</v>
      </c>
      <c r="BQ660" s="110">
        <f t="shared" si="253"/>
        <v>43</v>
      </c>
      <c r="BR660" s="36">
        <f t="shared" si="254"/>
        <v>47</v>
      </c>
      <c r="BS660" s="240">
        <f t="shared" si="255"/>
        <v>9.9999999999999978E-2</v>
      </c>
      <c r="BT660" s="6"/>
    </row>
    <row r="661" spans="1:72" x14ac:dyDescent="0.25">
      <c r="A661" s="18" t="s">
        <v>6</v>
      </c>
      <c r="B661" s="18">
        <v>2024</v>
      </c>
      <c r="C661" s="18" t="s">
        <v>138</v>
      </c>
      <c r="D661" s="18" t="s">
        <v>657</v>
      </c>
      <c r="E661" s="3">
        <v>30</v>
      </c>
      <c r="F661" s="191">
        <v>30</v>
      </c>
      <c r="G661" s="18" t="s">
        <v>152</v>
      </c>
      <c r="H661" s="244">
        <v>30</v>
      </c>
      <c r="I661" s="244" t="s">
        <v>759</v>
      </c>
      <c r="J661" s="244"/>
      <c r="K661" s="18">
        <f t="shared" si="244"/>
        <v>63.4</v>
      </c>
      <c r="L661" s="18">
        <v>64.5</v>
      </c>
      <c r="M661" s="107">
        <f t="shared" si="257"/>
        <v>1.1000000000000014</v>
      </c>
      <c r="N661" s="113">
        <f t="shared" si="258"/>
        <v>0.27272727272727237</v>
      </c>
      <c r="O661" s="5">
        <f t="shared" si="245"/>
        <v>0.72727272727272763</v>
      </c>
      <c r="P661" s="3">
        <v>0.3</v>
      </c>
      <c r="Q661" s="6"/>
      <c r="R661" s="6"/>
      <c r="S661" s="6"/>
      <c r="T661" s="18">
        <v>0.3</v>
      </c>
      <c r="U661" s="18">
        <v>0</v>
      </c>
      <c r="V661" s="187">
        <f t="shared" si="236"/>
        <v>0</v>
      </c>
      <c r="W661" s="18"/>
      <c r="X661" s="18"/>
      <c r="Y661" s="18">
        <v>20</v>
      </c>
      <c r="Z661" s="31">
        <f t="shared" si="256"/>
        <v>55.000000000000071</v>
      </c>
      <c r="AA661" s="6"/>
      <c r="AB661" s="6"/>
      <c r="AC661" s="6"/>
      <c r="AD661" s="6"/>
      <c r="AE661" s="6"/>
      <c r="AF661" s="6"/>
      <c r="AG661" s="3" t="s">
        <v>29</v>
      </c>
      <c r="AH661" s="3" t="s">
        <v>29</v>
      </c>
      <c r="AI661" s="18" t="str">
        <f>+VLOOKUP(AH661,Leyenda!$O$4:$U$10,6,FALSE)</f>
        <v>0,25-0,35</v>
      </c>
      <c r="AJ661" s="18" t="str">
        <f>+VLOOKUP(AG661,Leyenda!$O$4:$U$10,7,FALSE)</f>
        <v>No Blasting need</v>
      </c>
      <c r="AK661" s="18">
        <f>+VLOOKUP(AJ661,Leyenda!$U$4:$V$10,2,FALSE)</f>
        <v>2</v>
      </c>
      <c r="AL661" s="6"/>
      <c r="AM661" s="3" t="s">
        <v>29</v>
      </c>
      <c r="AN661" s="3" t="s">
        <v>66</v>
      </c>
      <c r="AO661" s="3" t="s">
        <v>81</v>
      </c>
      <c r="AP661" s="3" t="s">
        <v>100</v>
      </c>
      <c r="AQ661" s="3" t="s">
        <v>109</v>
      </c>
      <c r="AR661" s="3" t="s">
        <v>120</v>
      </c>
      <c r="AS661" s="3" t="s">
        <v>267</v>
      </c>
      <c r="AT661" s="18"/>
      <c r="AU661" s="6"/>
      <c r="AV661" s="36">
        <f>+VLOOKUP(AN661,Leyenda!$B$30:$E$34,3,FALSE)</f>
        <v>1</v>
      </c>
      <c r="AW661" s="36">
        <f>+VLOOKUP('2. Logging Brejo Seco'!AO661,Meteorizacion,3,FALSE)</f>
        <v>0</v>
      </c>
      <c r="AX661" s="36">
        <f>+VLOOKUP('2. Logging Brejo Seco'!AP661,Apertura,3,FALSE)</f>
        <v>0</v>
      </c>
      <c r="AY661" s="36">
        <f>+VLOOKUP('2. Logging Brejo Seco'!AQ661,Leyenda!$B$55:$D$59,3,FALSE)</f>
        <v>1</v>
      </c>
      <c r="AZ661" s="36">
        <f>+VLOOKUP('2. Logging Brejo Seco'!AR661,Relleno,3,FALSE)</f>
        <v>2</v>
      </c>
      <c r="BA661" s="36">
        <f t="shared" si="246"/>
        <v>4</v>
      </c>
      <c r="BB661" s="50">
        <f t="shared" si="247"/>
        <v>0</v>
      </c>
      <c r="BC661" s="49">
        <f>VLOOKUP(AH661,Leyenda!$B$4:$D$10,3,FALSE)</f>
        <v>2</v>
      </c>
      <c r="BD661" s="50">
        <f t="shared" si="248"/>
        <v>6</v>
      </c>
      <c r="BE661" s="50">
        <f t="shared" si="249"/>
        <v>4</v>
      </c>
      <c r="BF661" s="50">
        <f>VLOOKUP(AS661,Leyenda!$B$70:$D$75,3,FALSE)</f>
        <v>15</v>
      </c>
      <c r="BG661" s="110">
        <f t="shared" si="250"/>
        <v>6</v>
      </c>
      <c r="BH661" s="110">
        <f>VLOOKUP(AG661,Leyenda!$B$4:$E$10,4,FALSE)</f>
        <v>2</v>
      </c>
      <c r="BI661" s="67">
        <f t="shared" si="251"/>
        <v>5</v>
      </c>
      <c r="BJ661" s="110">
        <f t="shared" si="252"/>
        <v>0</v>
      </c>
      <c r="BK661" s="110">
        <f>+VLOOKUP('2. Logging Brejo Seco'!AP661,Leyenda!$B$47:$E$51,4,FALSE)</f>
        <v>0</v>
      </c>
      <c r="BL661" s="110">
        <f>+VLOOKUP('2. Logging Brejo Seco'!AQ661,Leyenda!$B$55:$E$59,4,FALSE)</f>
        <v>1</v>
      </c>
      <c r="BM661" s="110">
        <f>+VLOOKUP('2. Logging Brejo Seco'!AR661,Leyenda!$B$63:$E$67,3,FALSE)</f>
        <v>2</v>
      </c>
      <c r="BN661" s="110">
        <f>+VLOOKUP('2. Logging Brejo Seco'!AO661,Leyenda!$B$39:$E$43,4,FALSE)</f>
        <v>0</v>
      </c>
      <c r="BO661" s="110">
        <f>+VLOOKUP('2. Logging Brejo Seco'!AN661,Leyenda!$B$30:$E$34,4,FALSE)</f>
        <v>1</v>
      </c>
      <c r="BP661" s="110">
        <f>VLOOKUP(AS661,Leyenda!$B$71:$E$75,4,FALSE)</f>
        <v>10</v>
      </c>
      <c r="BQ661" s="110">
        <f t="shared" si="253"/>
        <v>21</v>
      </c>
      <c r="BR661" s="36">
        <f t="shared" si="254"/>
        <v>27</v>
      </c>
      <c r="BS661" s="240">
        <f t="shared" si="255"/>
        <v>0.72727272727272763</v>
      </c>
      <c r="BT661" s="6"/>
    </row>
    <row r="662" spans="1:72" x14ac:dyDescent="0.25">
      <c r="A662" s="18" t="s">
        <v>6</v>
      </c>
      <c r="B662" s="18">
        <v>2024</v>
      </c>
      <c r="C662" s="18" t="s">
        <v>138</v>
      </c>
      <c r="D662" s="18" t="s">
        <v>657</v>
      </c>
      <c r="E662" s="3">
        <v>30</v>
      </c>
      <c r="F662" s="191">
        <v>30</v>
      </c>
      <c r="G662" s="18" t="s">
        <v>152</v>
      </c>
      <c r="H662" s="3">
        <v>50</v>
      </c>
      <c r="I662" s="3" t="s">
        <v>756</v>
      </c>
      <c r="J662" s="3"/>
      <c r="K662" s="18">
        <v>64.5</v>
      </c>
      <c r="L662" s="18">
        <v>65.5</v>
      </c>
      <c r="M662" s="107">
        <f t="shared" si="257"/>
        <v>1</v>
      </c>
      <c r="N662" s="113">
        <f t="shared" si="258"/>
        <v>1.03</v>
      </c>
      <c r="O662" s="5">
        <f t="shared" si="245"/>
        <v>-3.0000000000000027E-2</v>
      </c>
      <c r="P662" s="3">
        <v>1.03</v>
      </c>
      <c r="Q662" s="6"/>
      <c r="R662" s="6"/>
      <c r="S662" s="6"/>
      <c r="T662" s="18">
        <f>0.24+0.65</f>
        <v>0.89</v>
      </c>
      <c r="U662" s="18">
        <v>0</v>
      </c>
      <c r="V662" s="187">
        <f t="shared" si="236"/>
        <v>0</v>
      </c>
      <c r="W662" s="18"/>
      <c r="X662" s="18"/>
      <c r="Y662" s="18">
        <v>20</v>
      </c>
      <c r="Z662" s="31">
        <f t="shared" si="256"/>
        <v>50</v>
      </c>
      <c r="AA662" s="6"/>
      <c r="AB662" s="6"/>
      <c r="AC662" s="6"/>
      <c r="AD662" s="6"/>
      <c r="AE662" s="6"/>
      <c r="AF662" s="6"/>
      <c r="AG662" s="3" t="s">
        <v>29</v>
      </c>
      <c r="AH662" s="3" t="s">
        <v>29</v>
      </c>
      <c r="AI662" s="18" t="str">
        <f>+VLOOKUP(AH662,Leyenda!$O$4:$U$10,6,FALSE)</f>
        <v>0,25-0,35</v>
      </c>
      <c r="AJ662" s="18" t="str">
        <f>+VLOOKUP(AG662,Leyenda!$O$4:$U$10,7,FALSE)</f>
        <v>No Blasting need</v>
      </c>
      <c r="AK662" s="18">
        <f>+VLOOKUP(AJ662,Leyenda!$U$4:$V$10,2,FALSE)</f>
        <v>2</v>
      </c>
      <c r="AL662" s="6"/>
      <c r="AM662" s="3" t="s">
        <v>29</v>
      </c>
      <c r="AN662" s="3" t="s">
        <v>66</v>
      </c>
      <c r="AO662" s="3" t="s">
        <v>81</v>
      </c>
      <c r="AP662" s="3" t="s">
        <v>100</v>
      </c>
      <c r="AQ662" s="3" t="s">
        <v>109</v>
      </c>
      <c r="AR662" s="3" t="s">
        <v>120</v>
      </c>
      <c r="AS662" s="3" t="s">
        <v>267</v>
      </c>
      <c r="AT662" s="18"/>
      <c r="AU662" s="6"/>
      <c r="AV662" s="36">
        <f>+VLOOKUP(AN662,Leyenda!$B$30:$E$34,3,FALSE)</f>
        <v>1</v>
      </c>
      <c r="AW662" s="36">
        <f>+VLOOKUP('2. Logging Brejo Seco'!AO662,Meteorizacion,3,FALSE)</f>
        <v>0</v>
      </c>
      <c r="AX662" s="36">
        <f>+VLOOKUP('2. Logging Brejo Seco'!AP662,Apertura,3,FALSE)</f>
        <v>0</v>
      </c>
      <c r="AY662" s="36">
        <f>+VLOOKUP('2. Logging Brejo Seco'!AQ662,Leyenda!$B$55:$D$59,3,FALSE)</f>
        <v>1</v>
      </c>
      <c r="AZ662" s="36">
        <f>+VLOOKUP('2. Logging Brejo Seco'!AR662,Relleno,3,FALSE)</f>
        <v>2</v>
      </c>
      <c r="BA662" s="36">
        <f t="shared" ref="BA662:BA666" si="259">+SUM(AV662:AZ662)</f>
        <v>4</v>
      </c>
      <c r="BB662" s="50">
        <f t="shared" ref="BB662:BB666" si="260">ROUND(-0.0002*POWER(V662,2)+0.2197*V662,0)</f>
        <v>0</v>
      </c>
      <c r="BC662" s="49">
        <f>VLOOKUP(AH662,Leyenda!$B$4:$D$10,3,FALSE)</f>
        <v>2</v>
      </c>
      <c r="BD662" s="50">
        <f t="shared" si="248"/>
        <v>6</v>
      </c>
      <c r="BE662" s="50">
        <f t="shared" ref="BE662:BE666" si="261">+BA662</f>
        <v>4</v>
      </c>
      <c r="BF662" s="50">
        <f>VLOOKUP(AS662,Leyenda!$B$70:$D$75,3,FALSE)</f>
        <v>15</v>
      </c>
      <c r="BG662" s="110">
        <f t="shared" ref="BG662:BG666" si="262">1.5*BA662+(V662*0.5)</f>
        <v>6</v>
      </c>
      <c r="BH662" s="110">
        <f>VLOOKUP(AG662,Leyenda!$B$4:$E$10,4,FALSE)</f>
        <v>2</v>
      </c>
      <c r="BI662" s="67">
        <f t="shared" si="251"/>
        <v>5</v>
      </c>
      <c r="BJ662" s="110">
        <f t="shared" ref="BJ662:BJ666" si="263">ROUND(-0.0002*POWER(V662,2)+0.2197*V662,0)</f>
        <v>0</v>
      </c>
      <c r="BK662" s="110">
        <f>+VLOOKUP('2. Logging Brejo Seco'!AP662,Leyenda!$B$47:$E$51,4,FALSE)</f>
        <v>0</v>
      </c>
      <c r="BL662" s="110">
        <f>+VLOOKUP('2. Logging Brejo Seco'!AQ662,Leyenda!$B$55:$E$59,4,FALSE)</f>
        <v>1</v>
      </c>
      <c r="BM662" s="110">
        <f>+VLOOKUP('2. Logging Brejo Seco'!AR662,Leyenda!$B$63:$E$67,3,FALSE)</f>
        <v>2</v>
      </c>
      <c r="BN662" s="110">
        <f>+VLOOKUP('2. Logging Brejo Seco'!AO662,Leyenda!$B$39:$E$43,4,FALSE)</f>
        <v>0</v>
      </c>
      <c r="BO662" s="110">
        <f>+VLOOKUP('2. Logging Brejo Seco'!AN662,Leyenda!$B$30:$E$34,4,FALSE)</f>
        <v>1</v>
      </c>
      <c r="BP662" s="110">
        <f>VLOOKUP(AS662,Leyenda!$B$71:$E$75,4,FALSE)</f>
        <v>10</v>
      </c>
      <c r="BQ662" s="110">
        <f t="shared" ref="BQ662:BQ666" si="264">+BH662+BI662+BJ662+BK662+BL662+BM662+BN662+BO662+BP662</f>
        <v>21</v>
      </c>
      <c r="BR662" s="36">
        <f t="shared" ref="BR662:BR666" si="265">+BC662+BD662+BB662+BE662+BF662</f>
        <v>27</v>
      </c>
      <c r="BS662" s="240">
        <f t="shared" si="255"/>
        <v>-3.0000000000000027E-2</v>
      </c>
      <c r="BT662" s="6"/>
    </row>
    <row r="663" spans="1:72" x14ac:dyDescent="0.25">
      <c r="A663" s="18" t="s">
        <v>6</v>
      </c>
      <c r="B663" s="18">
        <v>2024</v>
      </c>
      <c r="C663" s="18" t="s">
        <v>138</v>
      </c>
      <c r="D663" s="18" t="s">
        <v>657</v>
      </c>
      <c r="E663" s="3">
        <v>30</v>
      </c>
      <c r="F663" s="191">
        <v>30</v>
      </c>
      <c r="G663" s="18" t="s">
        <v>152</v>
      </c>
      <c r="H663" s="3">
        <v>20</v>
      </c>
      <c r="I663" s="3" t="s">
        <v>760</v>
      </c>
      <c r="J663" s="3"/>
      <c r="K663" s="18">
        <v>65.5</v>
      </c>
      <c r="L663" s="18">
        <v>66.84</v>
      </c>
      <c r="M663" s="107">
        <f t="shared" si="257"/>
        <v>1.3400000000000034</v>
      </c>
      <c r="N663" s="113">
        <f t="shared" si="258"/>
        <v>0.64179104477611781</v>
      </c>
      <c r="O663" s="5">
        <f t="shared" si="245"/>
        <v>0.35820895522388219</v>
      </c>
      <c r="P663" s="3">
        <v>0.86</v>
      </c>
      <c r="Q663" s="6"/>
      <c r="R663" s="6"/>
      <c r="S663" s="6"/>
      <c r="T663" s="18">
        <v>0.86</v>
      </c>
      <c r="U663" s="18">
        <v>0</v>
      </c>
      <c r="V663" s="187">
        <f t="shared" ref="V663:V726" si="266">+U663/M663*100</f>
        <v>0</v>
      </c>
      <c r="W663" s="18"/>
      <c r="X663" s="18"/>
      <c r="Y663" s="18">
        <v>20</v>
      </c>
      <c r="Z663" s="31">
        <f t="shared" si="256"/>
        <v>67.000000000000171</v>
      </c>
      <c r="AA663" s="6"/>
      <c r="AB663" s="6"/>
      <c r="AC663" s="6"/>
      <c r="AD663" s="6"/>
      <c r="AE663" s="6"/>
      <c r="AF663" s="6"/>
      <c r="AG663" s="3" t="s">
        <v>29</v>
      </c>
      <c r="AH663" s="3" t="s">
        <v>29</v>
      </c>
      <c r="AI663" s="18" t="str">
        <f>+VLOOKUP(AH663,Leyenda!$O$4:$U$10,6,FALSE)</f>
        <v>0,25-0,35</v>
      </c>
      <c r="AJ663" s="18" t="str">
        <f>+VLOOKUP(AG663,Leyenda!$O$4:$U$10,7,FALSE)</f>
        <v>No Blasting need</v>
      </c>
      <c r="AK663" s="18">
        <f>+VLOOKUP(AJ663,Leyenda!$U$4:$V$10,2,FALSE)</f>
        <v>2</v>
      </c>
      <c r="AL663" s="6"/>
      <c r="AM663" s="3" t="s">
        <v>29</v>
      </c>
      <c r="AN663" s="3" t="s">
        <v>66</v>
      </c>
      <c r="AO663" s="3" t="s">
        <v>81</v>
      </c>
      <c r="AP663" s="3" t="s">
        <v>100</v>
      </c>
      <c r="AQ663" s="3" t="s">
        <v>109</v>
      </c>
      <c r="AR663" s="3" t="s">
        <v>120</v>
      </c>
      <c r="AS663" s="3" t="s">
        <v>267</v>
      </c>
      <c r="AT663" s="18"/>
      <c r="AU663" s="6"/>
      <c r="AV663" s="36">
        <f>+VLOOKUP(AN663,Leyenda!$B$30:$E$34,3,FALSE)</f>
        <v>1</v>
      </c>
      <c r="AW663" s="36">
        <f>+VLOOKUP('2. Logging Brejo Seco'!AO663,Meteorizacion,3,FALSE)</f>
        <v>0</v>
      </c>
      <c r="AX663" s="36">
        <f>+VLOOKUP('2. Logging Brejo Seco'!AP663,Apertura,3,FALSE)</f>
        <v>0</v>
      </c>
      <c r="AY663" s="36">
        <f>+VLOOKUP('2. Logging Brejo Seco'!AQ663,Leyenda!$B$55:$D$59,3,FALSE)</f>
        <v>1</v>
      </c>
      <c r="AZ663" s="36">
        <f>+VLOOKUP('2. Logging Brejo Seco'!AR663,Relleno,3,FALSE)</f>
        <v>2</v>
      </c>
      <c r="BA663" s="36">
        <f t="shared" si="259"/>
        <v>4</v>
      </c>
      <c r="BB663" s="50">
        <f t="shared" si="260"/>
        <v>0</v>
      </c>
      <c r="BC663" s="49">
        <f>VLOOKUP(AH663,Leyenda!$B$4:$D$10,3,FALSE)</f>
        <v>2</v>
      </c>
      <c r="BD663" s="50">
        <f t="shared" si="248"/>
        <v>6</v>
      </c>
      <c r="BE663" s="50">
        <f t="shared" si="261"/>
        <v>4</v>
      </c>
      <c r="BF663" s="50">
        <f>VLOOKUP(AS663,Leyenda!$B$70:$D$75,3,FALSE)</f>
        <v>15</v>
      </c>
      <c r="BG663" s="110">
        <f t="shared" si="262"/>
        <v>6</v>
      </c>
      <c r="BH663" s="110">
        <f>VLOOKUP(AG663,Leyenda!$B$4:$E$10,4,FALSE)</f>
        <v>2</v>
      </c>
      <c r="BI663" s="67">
        <f t="shared" si="251"/>
        <v>6</v>
      </c>
      <c r="BJ663" s="110">
        <f t="shared" si="263"/>
        <v>0</v>
      </c>
      <c r="BK663" s="110">
        <f>+VLOOKUP('2. Logging Brejo Seco'!AP663,Leyenda!$B$47:$E$51,4,FALSE)</f>
        <v>0</v>
      </c>
      <c r="BL663" s="110">
        <f>+VLOOKUP('2. Logging Brejo Seco'!AQ663,Leyenda!$B$55:$E$59,4,FALSE)</f>
        <v>1</v>
      </c>
      <c r="BM663" s="110">
        <f>+VLOOKUP('2. Logging Brejo Seco'!AR663,Leyenda!$B$63:$E$67,3,FALSE)</f>
        <v>2</v>
      </c>
      <c r="BN663" s="110">
        <f>+VLOOKUP('2. Logging Brejo Seco'!AO663,Leyenda!$B$39:$E$43,4,FALSE)</f>
        <v>0</v>
      </c>
      <c r="BO663" s="110">
        <f>+VLOOKUP('2. Logging Brejo Seco'!AN663,Leyenda!$B$30:$E$34,4,FALSE)</f>
        <v>1</v>
      </c>
      <c r="BP663" s="110">
        <f>VLOOKUP(AS663,Leyenda!$B$71:$E$75,4,FALSE)</f>
        <v>10</v>
      </c>
      <c r="BQ663" s="110">
        <f t="shared" si="264"/>
        <v>22</v>
      </c>
      <c r="BR663" s="36">
        <f t="shared" si="265"/>
        <v>27</v>
      </c>
      <c r="BS663" s="240">
        <f t="shared" si="255"/>
        <v>0.35820895522388219</v>
      </c>
      <c r="BT663" s="6"/>
    </row>
    <row r="664" spans="1:72" x14ac:dyDescent="0.25">
      <c r="A664" s="18" t="s">
        <v>6</v>
      </c>
      <c r="B664" s="18">
        <v>2024</v>
      </c>
      <c r="C664" s="18" t="s">
        <v>138</v>
      </c>
      <c r="D664" s="18" t="s">
        <v>657</v>
      </c>
      <c r="E664" s="3">
        <v>30</v>
      </c>
      <c r="F664" s="191">
        <v>40</v>
      </c>
      <c r="G664" s="36" t="s">
        <v>153</v>
      </c>
      <c r="H664" s="3">
        <v>20</v>
      </c>
      <c r="I664" s="3" t="s">
        <v>760</v>
      </c>
      <c r="J664" s="3"/>
      <c r="K664" s="18">
        <f>+L663</f>
        <v>66.84</v>
      </c>
      <c r="L664" s="18">
        <v>67.34</v>
      </c>
      <c r="M664" s="107">
        <f t="shared" si="257"/>
        <v>0.5</v>
      </c>
      <c r="N664" s="113">
        <f t="shared" si="258"/>
        <v>0.9</v>
      </c>
      <c r="O664" s="5">
        <f t="shared" si="245"/>
        <v>9.9999999999999978E-2</v>
      </c>
      <c r="P664" s="3">
        <v>0.45</v>
      </c>
      <c r="Q664" s="6"/>
      <c r="R664" s="6"/>
      <c r="S664" s="6"/>
      <c r="T664" s="18">
        <v>0.45</v>
      </c>
      <c r="U664" s="18">
        <v>0.35</v>
      </c>
      <c r="V664" s="187">
        <f t="shared" si="266"/>
        <v>70</v>
      </c>
      <c r="W664" s="18"/>
      <c r="X664" s="18"/>
      <c r="Y664" s="18">
        <v>2</v>
      </c>
      <c r="Z664" s="31">
        <f t="shared" si="256"/>
        <v>250</v>
      </c>
      <c r="AA664" s="6"/>
      <c r="AB664" s="6"/>
      <c r="AC664" s="6"/>
      <c r="AD664" s="6"/>
      <c r="AE664" s="6"/>
      <c r="AF664" s="6"/>
      <c r="AG664" s="3" t="s">
        <v>29</v>
      </c>
      <c r="AH664" s="3" t="s">
        <v>29</v>
      </c>
      <c r="AI664" s="18" t="str">
        <f>+VLOOKUP(AH664,Leyenda!$O$4:$U$10,6,FALSE)</f>
        <v>0,25-0,35</v>
      </c>
      <c r="AJ664" s="18" t="str">
        <f>+VLOOKUP(AG664,Leyenda!$O$4:$U$10,7,FALSE)</f>
        <v>No Blasting need</v>
      </c>
      <c r="AK664" s="18">
        <f>+VLOOKUP(AJ664,Leyenda!$U$4:$V$10,2,FALSE)</f>
        <v>2</v>
      </c>
      <c r="AL664" s="6"/>
      <c r="AM664" s="3" t="s">
        <v>29</v>
      </c>
      <c r="AN664" s="3" t="s">
        <v>66</v>
      </c>
      <c r="AO664" s="3" t="s">
        <v>81</v>
      </c>
      <c r="AP664" s="3" t="s">
        <v>100</v>
      </c>
      <c r="AQ664" s="3" t="s">
        <v>109</v>
      </c>
      <c r="AR664" s="3" t="s">
        <v>120</v>
      </c>
      <c r="AS664" s="3" t="s">
        <v>267</v>
      </c>
      <c r="AT664" s="18"/>
      <c r="AU664" s="6"/>
      <c r="AV664" s="18">
        <f>+VLOOKUP(AN664,Leyenda!$B$30:$E$34,3,FALSE)</f>
        <v>1</v>
      </c>
      <c r="AW664" s="18">
        <f>+VLOOKUP('2. Logging Brejo Seco'!AO664,Meteorizacion,3,FALSE)</f>
        <v>0</v>
      </c>
      <c r="AX664" s="18">
        <f>+VLOOKUP('2. Logging Brejo Seco'!AP664,Apertura,3,FALSE)</f>
        <v>0</v>
      </c>
      <c r="AY664" s="18">
        <f>+VLOOKUP('2. Logging Brejo Seco'!AQ664,Leyenda!$B$55:$D$59,3,FALSE)</f>
        <v>1</v>
      </c>
      <c r="AZ664" s="18">
        <f>+VLOOKUP('2. Logging Brejo Seco'!AR664,Relleno,3,FALSE)</f>
        <v>2</v>
      </c>
      <c r="BA664" s="18">
        <f t="shared" si="259"/>
        <v>4</v>
      </c>
      <c r="BB664" s="49">
        <f t="shared" si="260"/>
        <v>14</v>
      </c>
      <c r="BC664" s="49">
        <f>VLOOKUP(AH664,Leyenda!$B$4:$D$10,3,FALSE)</f>
        <v>2</v>
      </c>
      <c r="BD664" s="49">
        <f t="shared" si="248"/>
        <v>10</v>
      </c>
      <c r="BE664" s="49">
        <f t="shared" si="261"/>
        <v>4</v>
      </c>
      <c r="BF664" s="49">
        <f>VLOOKUP(AS664,Leyenda!$B$70:$D$75,3,FALSE)</f>
        <v>15</v>
      </c>
      <c r="BG664" s="67">
        <f t="shared" si="262"/>
        <v>41</v>
      </c>
      <c r="BH664" s="67">
        <f>VLOOKUP(AG664,Leyenda!$B$4:$E$10,4,FALSE)</f>
        <v>2</v>
      </c>
      <c r="BI664" s="67">
        <f t="shared" si="251"/>
        <v>14</v>
      </c>
      <c r="BJ664" s="67">
        <f t="shared" si="263"/>
        <v>14</v>
      </c>
      <c r="BK664" s="67">
        <f>+VLOOKUP('2. Logging Brejo Seco'!AP664,Leyenda!$B$47:$E$51,4,FALSE)</f>
        <v>0</v>
      </c>
      <c r="BL664" s="67">
        <f>+VLOOKUP('2. Logging Brejo Seco'!AQ664,Leyenda!$B$55:$E$59,4,FALSE)</f>
        <v>1</v>
      </c>
      <c r="BM664" s="67">
        <f>+VLOOKUP('2. Logging Brejo Seco'!AR664,Leyenda!$B$63:$E$67,3,FALSE)</f>
        <v>2</v>
      </c>
      <c r="BN664" s="67">
        <f>+VLOOKUP('2. Logging Brejo Seco'!AO664,Leyenda!$B$39:$E$43,4,FALSE)</f>
        <v>0</v>
      </c>
      <c r="BO664" s="67">
        <f>+VLOOKUP('2. Logging Brejo Seco'!AN664,Leyenda!$B$30:$E$34,4,FALSE)</f>
        <v>1</v>
      </c>
      <c r="BP664" s="67">
        <f>VLOOKUP(AS664,Leyenda!$B$71:$E$75,4,FALSE)</f>
        <v>10</v>
      </c>
      <c r="BQ664" s="67">
        <f t="shared" si="264"/>
        <v>44</v>
      </c>
      <c r="BR664" s="18">
        <f t="shared" si="265"/>
        <v>45</v>
      </c>
      <c r="BS664" s="240">
        <f t="shared" si="255"/>
        <v>9.9999999999999978E-2</v>
      </c>
      <c r="BT664" s="6"/>
    </row>
    <row r="665" spans="1:72" x14ac:dyDescent="0.25">
      <c r="A665" s="18" t="s">
        <v>6</v>
      </c>
      <c r="B665" s="18">
        <v>2024</v>
      </c>
      <c r="C665" s="18" t="s">
        <v>138</v>
      </c>
      <c r="D665" s="18" t="s">
        <v>657</v>
      </c>
      <c r="E665" s="3">
        <v>30</v>
      </c>
      <c r="F665" s="191">
        <v>30</v>
      </c>
      <c r="G665" s="18" t="s">
        <v>152</v>
      </c>
      <c r="H665" s="3">
        <v>20</v>
      </c>
      <c r="I665" s="3" t="s">
        <v>760</v>
      </c>
      <c r="J665" s="3"/>
      <c r="K665" s="18">
        <f t="shared" ref="K665:K676" si="267">+L664</f>
        <v>67.34</v>
      </c>
      <c r="L665" s="18">
        <v>68.040000000000006</v>
      </c>
      <c r="M665" s="107">
        <f t="shared" si="257"/>
        <v>0.70000000000000284</v>
      </c>
      <c r="N665" s="113">
        <f t="shared" si="258"/>
        <v>0.55714285714285494</v>
      </c>
      <c r="O665" s="5">
        <f t="shared" si="245"/>
        <v>0.44285714285714506</v>
      </c>
      <c r="P665" s="3">
        <v>0.39</v>
      </c>
      <c r="Q665" s="6"/>
      <c r="R665" s="6"/>
      <c r="S665" s="6"/>
      <c r="T665" s="18">
        <v>0.39</v>
      </c>
      <c r="U665" s="18">
        <v>0.1</v>
      </c>
      <c r="V665" s="187">
        <f t="shared" si="266"/>
        <v>14.28571428571423</v>
      </c>
      <c r="W665" s="18"/>
      <c r="X665" s="18"/>
      <c r="Y665" s="18">
        <v>8</v>
      </c>
      <c r="Z665" s="31">
        <f t="shared" si="256"/>
        <v>87.500000000000355</v>
      </c>
      <c r="AA665" s="6"/>
      <c r="AB665" s="6"/>
      <c r="AC665" s="6"/>
      <c r="AD665" s="6"/>
      <c r="AE665" s="6"/>
      <c r="AF665" s="6"/>
      <c r="AG665" s="3" t="s">
        <v>32</v>
      </c>
      <c r="AH665" s="3" t="s">
        <v>32</v>
      </c>
      <c r="AI665" s="18" t="str">
        <f>+VLOOKUP(AH665,Leyenda!$O$4:$U$10,6,FALSE)</f>
        <v>0,15-0,25</v>
      </c>
      <c r="AJ665" s="18" t="str">
        <f>+VLOOKUP(AG665,Leyenda!$O$4:$U$10,7,FALSE)</f>
        <v>No Blasting need</v>
      </c>
      <c r="AK665" s="18">
        <f>+VLOOKUP(AJ665,Leyenda!$U$4:$V$10,2,FALSE)</f>
        <v>2</v>
      </c>
      <c r="AL665" s="6"/>
      <c r="AM665" s="3" t="s">
        <v>32</v>
      </c>
      <c r="AN665" s="3" t="s">
        <v>66</v>
      </c>
      <c r="AO665" s="3" t="s">
        <v>79</v>
      </c>
      <c r="AP665" s="3" t="s">
        <v>100</v>
      </c>
      <c r="AQ665" s="3" t="s">
        <v>109</v>
      </c>
      <c r="AR665" s="3" t="s">
        <v>120</v>
      </c>
      <c r="AS665" s="3" t="s">
        <v>267</v>
      </c>
      <c r="AT665" s="18"/>
      <c r="AU665" s="6"/>
      <c r="AV665" s="36">
        <f>+VLOOKUP(AN665,Leyenda!$B$30:$E$34,3,FALSE)</f>
        <v>1</v>
      </c>
      <c r="AW665" s="36">
        <f>+VLOOKUP('2. Logging Brejo Seco'!AO665,Meteorizacion,3,FALSE)</f>
        <v>1</v>
      </c>
      <c r="AX665" s="36">
        <f>+VLOOKUP('2. Logging Brejo Seco'!AP665,Apertura,3,FALSE)</f>
        <v>0</v>
      </c>
      <c r="AY665" s="36">
        <f>+VLOOKUP('2. Logging Brejo Seco'!AQ665,Leyenda!$B$55:$D$59,3,FALSE)</f>
        <v>1</v>
      </c>
      <c r="AZ665" s="36">
        <f>+VLOOKUP('2. Logging Brejo Seco'!AR665,Relleno,3,FALSE)</f>
        <v>2</v>
      </c>
      <c r="BA665" s="36">
        <f t="shared" si="259"/>
        <v>5</v>
      </c>
      <c r="BB665" s="50">
        <f t="shared" si="260"/>
        <v>3</v>
      </c>
      <c r="BC665" s="49">
        <f>VLOOKUP(AH665,Leyenda!$B$4:$D$10,3,FALSE)</f>
        <v>1</v>
      </c>
      <c r="BD665" s="50">
        <f t="shared" si="248"/>
        <v>7</v>
      </c>
      <c r="BE665" s="50">
        <f t="shared" si="261"/>
        <v>5</v>
      </c>
      <c r="BF665" s="50">
        <f>VLOOKUP(AS665,Leyenda!$B$70:$D$75,3,FALSE)</f>
        <v>15</v>
      </c>
      <c r="BG665" s="110">
        <f t="shared" si="262"/>
        <v>14.642857142857114</v>
      </c>
      <c r="BH665" s="110">
        <f>VLOOKUP(AG665,Leyenda!$B$4:$E$10,4,FALSE)</f>
        <v>1</v>
      </c>
      <c r="BI665" s="67">
        <f t="shared" si="251"/>
        <v>7</v>
      </c>
      <c r="BJ665" s="110">
        <f t="shared" si="263"/>
        <v>3</v>
      </c>
      <c r="BK665" s="110">
        <f>+VLOOKUP('2. Logging Brejo Seco'!AP665,Leyenda!$B$47:$E$51,4,FALSE)</f>
        <v>0</v>
      </c>
      <c r="BL665" s="110">
        <f>+VLOOKUP('2. Logging Brejo Seco'!AQ665,Leyenda!$B$55:$E$59,4,FALSE)</f>
        <v>1</v>
      </c>
      <c r="BM665" s="110">
        <f>+VLOOKUP('2. Logging Brejo Seco'!AR665,Leyenda!$B$63:$E$67,3,FALSE)</f>
        <v>2</v>
      </c>
      <c r="BN665" s="110">
        <f>+VLOOKUP('2. Logging Brejo Seco'!AO665,Leyenda!$B$39:$E$43,4,FALSE)</f>
        <v>1</v>
      </c>
      <c r="BO665" s="110">
        <f>+VLOOKUP('2. Logging Brejo Seco'!AN665,Leyenda!$B$30:$E$34,4,FALSE)</f>
        <v>1</v>
      </c>
      <c r="BP665" s="110">
        <f>VLOOKUP(AS665,Leyenda!$B$71:$E$75,4,FALSE)</f>
        <v>10</v>
      </c>
      <c r="BQ665" s="110">
        <f t="shared" si="264"/>
        <v>26</v>
      </c>
      <c r="BR665" s="36">
        <f t="shared" si="265"/>
        <v>31</v>
      </c>
      <c r="BS665" s="240">
        <f t="shared" si="255"/>
        <v>0.44285714285714506</v>
      </c>
      <c r="BT665" s="6"/>
    </row>
    <row r="666" spans="1:72" x14ac:dyDescent="0.25">
      <c r="A666" s="18" t="s">
        <v>6</v>
      </c>
      <c r="B666" s="18">
        <v>2024</v>
      </c>
      <c r="C666" s="18" t="s">
        <v>138</v>
      </c>
      <c r="D666" s="18" t="s">
        <v>657</v>
      </c>
      <c r="E666" s="3">
        <v>30</v>
      </c>
      <c r="F666" s="191">
        <v>30</v>
      </c>
      <c r="G666" s="18" t="s">
        <v>152</v>
      </c>
      <c r="H666" s="3">
        <v>20</v>
      </c>
      <c r="I666" s="3" t="s">
        <v>760</v>
      </c>
      <c r="J666" s="3"/>
      <c r="K666" s="18">
        <f t="shared" si="267"/>
        <v>68.040000000000006</v>
      </c>
      <c r="L666" s="18">
        <v>68.34</v>
      </c>
      <c r="M666" s="107">
        <f t="shared" si="257"/>
        <v>0.29999999999999716</v>
      </c>
      <c r="N666" s="113">
        <f t="shared" si="258"/>
        <v>1.0000000000000093</v>
      </c>
      <c r="O666" s="5">
        <f t="shared" si="245"/>
        <v>-9.3258734068513149E-15</v>
      </c>
      <c r="P666" s="3">
        <v>0.3</v>
      </c>
      <c r="Q666" s="6"/>
      <c r="R666" s="6"/>
      <c r="S666" s="6"/>
      <c r="T666" s="18">
        <v>0.3</v>
      </c>
      <c r="U666" s="18">
        <v>0</v>
      </c>
      <c r="V666" s="187">
        <f t="shared" si="266"/>
        <v>0</v>
      </c>
      <c r="W666" s="18"/>
      <c r="X666" s="18"/>
      <c r="Y666" s="18">
        <v>20</v>
      </c>
      <c r="Z666" s="31">
        <f t="shared" si="256"/>
        <v>14.999999999999858</v>
      </c>
      <c r="AA666" s="6"/>
      <c r="AB666" s="6"/>
      <c r="AC666" s="6"/>
      <c r="AD666" s="6"/>
      <c r="AE666" s="6"/>
      <c r="AF666" s="6"/>
      <c r="AG666" s="3" t="s">
        <v>34</v>
      </c>
      <c r="AH666" s="3" t="s">
        <v>34</v>
      </c>
      <c r="AI666" s="18">
        <f>+VLOOKUP(AH666,Leyenda!$O$4:$U$10,6,FALSE)</f>
        <v>0</v>
      </c>
      <c r="AJ666" s="18" t="str">
        <f>+VLOOKUP(AG666,Leyenda!$O$4:$U$10,7,FALSE)</f>
        <v>No Blasting need</v>
      </c>
      <c r="AK666" s="18">
        <f>+VLOOKUP(AJ666,Leyenda!$U$4:$V$10,2,FALSE)</f>
        <v>2</v>
      </c>
      <c r="AL666" s="6"/>
      <c r="AM666" s="3" t="s">
        <v>34</v>
      </c>
      <c r="AN666" s="3" t="s">
        <v>66</v>
      </c>
      <c r="AO666" s="3" t="s">
        <v>79</v>
      </c>
      <c r="AP666" s="3" t="s">
        <v>96</v>
      </c>
      <c r="AQ666" s="3" t="s">
        <v>107</v>
      </c>
      <c r="AR666" s="3" t="s">
        <v>122</v>
      </c>
      <c r="AS666" s="3" t="s">
        <v>267</v>
      </c>
      <c r="AT666" s="18"/>
      <c r="AU666" s="6"/>
      <c r="AV666" s="36">
        <f>+VLOOKUP(AN666,Leyenda!$B$30:$E$34,3,FALSE)</f>
        <v>1</v>
      </c>
      <c r="AW666" s="36">
        <f>+VLOOKUP('2. Logging Brejo Seco'!AO666,Meteorizacion,3,FALSE)</f>
        <v>1</v>
      </c>
      <c r="AX666" s="36">
        <f>+VLOOKUP('2. Logging Brejo Seco'!AP666,Apertura,3,FALSE)</f>
        <v>1</v>
      </c>
      <c r="AY666" s="36">
        <f>+VLOOKUP('2. Logging Brejo Seco'!AQ666,Leyenda!$B$55:$D$59,3,FALSE)</f>
        <v>3</v>
      </c>
      <c r="AZ666" s="36">
        <f>+VLOOKUP('2. Logging Brejo Seco'!AR666,Relleno,3,FALSE)</f>
        <v>0</v>
      </c>
      <c r="BA666" s="36">
        <f t="shared" si="259"/>
        <v>6</v>
      </c>
      <c r="BB666" s="50">
        <f t="shared" si="260"/>
        <v>0</v>
      </c>
      <c r="BC666" s="49">
        <f>VLOOKUP(AH666,Leyenda!$B$4:$D$10,3,FALSE)</f>
        <v>0</v>
      </c>
      <c r="BD666" s="50">
        <f t="shared" si="248"/>
        <v>4</v>
      </c>
      <c r="BE666" s="50">
        <f t="shared" si="261"/>
        <v>6</v>
      </c>
      <c r="BF666" s="50">
        <f>VLOOKUP(AS666,Leyenda!$B$70:$D$75,3,FALSE)</f>
        <v>15</v>
      </c>
      <c r="BG666" s="110">
        <f t="shared" si="262"/>
        <v>9</v>
      </c>
      <c r="BH666" s="110">
        <f>VLOOKUP(AG666,Leyenda!$B$4:$E$10,4,FALSE)</f>
        <v>0</v>
      </c>
      <c r="BI666" s="67">
        <f t="shared" si="251"/>
        <v>5</v>
      </c>
      <c r="BJ666" s="110">
        <f t="shared" si="263"/>
        <v>0</v>
      </c>
      <c r="BK666" s="110">
        <f>+VLOOKUP('2. Logging Brejo Seco'!AP666,Leyenda!$B$47:$E$51,4,FALSE)</f>
        <v>1</v>
      </c>
      <c r="BL666" s="110">
        <f>+VLOOKUP('2. Logging Brejo Seco'!AQ666,Leyenda!$B$55:$E$59,4,FALSE)</f>
        <v>3</v>
      </c>
      <c r="BM666" s="110">
        <f>+VLOOKUP('2. Logging Brejo Seco'!AR666,Leyenda!$B$63:$E$67,3,FALSE)</f>
        <v>0</v>
      </c>
      <c r="BN666" s="110">
        <f>+VLOOKUP('2. Logging Brejo Seco'!AO666,Leyenda!$B$39:$E$43,4,FALSE)</f>
        <v>1</v>
      </c>
      <c r="BO666" s="110">
        <f>+VLOOKUP('2. Logging Brejo Seco'!AN666,Leyenda!$B$30:$E$34,4,FALSE)</f>
        <v>1</v>
      </c>
      <c r="BP666" s="110">
        <f>VLOOKUP(AS666,Leyenda!$B$71:$E$75,4,FALSE)</f>
        <v>10</v>
      </c>
      <c r="BQ666" s="110">
        <f t="shared" si="264"/>
        <v>21</v>
      </c>
      <c r="BR666" s="36">
        <f t="shared" si="265"/>
        <v>25</v>
      </c>
      <c r="BS666" s="240">
        <f t="shared" si="255"/>
        <v>-9.3258734068513149E-15</v>
      </c>
      <c r="BT666" s="6"/>
    </row>
    <row r="667" spans="1:72" x14ac:dyDescent="0.25">
      <c r="A667" s="18" t="s">
        <v>6</v>
      </c>
      <c r="B667" s="18">
        <v>2024</v>
      </c>
      <c r="C667" s="18" t="s">
        <v>138</v>
      </c>
      <c r="D667" s="18" t="s">
        <v>657</v>
      </c>
      <c r="E667" s="3">
        <v>20</v>
      </c>
      <c r="F667" s="191">
        <v>20</v>
      </c>
      <c r="G667" s="18" t="s">
        <v>156</v>
      </c>
      <c r="H667" s="3">
        <v>20</v>
      </c>
      <c r="I667" s="3" t="s">
        <v>760</v>
      </c>
      <c r="J667" s="3"/>
      <c r="K667" s="18">
        <f t="shared" si="267"/>
        <v>68.34</v>
      </c>
      <c r="L667" s="18">
        <v>70.239999999999995</v>
      </c>
      <c r="M667" s="107">
        <f t="shared" si="257"/>
        <v>1.8999999999999915</v>
      </c>
      <c r="N667" s="113">
        <f t="shared" si="258"/>
        <v>0.65263157894737134</v>
      </c>
      <c r="O667" s="5">
        <f t="shared" si="245"/>
        <v>0.34736842105262866</v>
      </c>
      <c r="P667" s="3">
        <v>1.24</v>
      </c>
      <c r="Q667" s="6"/>
      <c r="R667" s="6"/>
      <c r="S667" s="6"/>
      <c r="T667" s="18">
        <v>1.24</v>
      </c>
      <c r="U667" s="18">
        <v>0.11</v>
      </c>
      <c r="V667" s="187">
        <f t="shared" si="266"/>
        <v>5.7894736842105523</v>
      </c>
      <c r="W667" s="18"/>
      <c r="X667" s="18"/>
      <c r="Y667" s="18">
        <v>16</v>
      </c>
      <c r="Z667" s="31">
        <f t="shared" si="256"/>
        <v>118.74999999999946</v>
      </c>
      <c r="AA667" s="6"/>
      <c r="AB667" s="6"/>
      <c r="AC667" s="6"/>
      <c r="AD667" s="6"/>
      <c r="AE667" s="6"/>
      <c r="AF667" s="6"/>
      <c r="AG667" s="3" t="s">
        <v>29</v>
      </c>
      <c r="AH667" s="3" t="s">
        <v>29</v>
      </c>
      <c r="AI667" s="18" t="str">
        <f>+VLOOKUP(AH667,Leyenda!$O$4:$U$10,6,FALSE)</f>
        <v>0,25-0,35</v>
      </c>
      <c r="AJ667" s="18" t="str">
        <f>+VLOOKUP(AG667,Leyenda!$O$4:$U$10,7,FALSE)</f>
        <v>No Blasting need</v>
      </c>
      <c r="AK667" s="18">
        <f>+VLOOKUP(AJ667,Leyenda!$U$4:$V$10,2,FALSE)</f>
        <v>2</v>
      </c>
      <c r="AL667" s="6"/>
      <c r="AM667" s="3" t="s">
        <v>29</v>
      </c>
      <c r="AN667" s="3" t="s">
        <v>64</v>
      </c>
      <c r="AO667" s="3" t="s">
        <v>79</v>
      </c>
      <c r="AP667" s="3" t="s">
        <v>96</v>
      </c>
      <c r="AQ667" s="3" t="s">
        <v>107</v>
      </c>
      <c r="AR667" s="3" t="s">
        <v>120</v>
      </c>
      <c r="AS667" s="3" t="s">
        <v>267</v>
      </c>
      <c r="AT667" s="18"/>
      <c r="AU667" s="6"/>
      <c r="AV667" s="36">
        <f>+VLOOKUP(AN667,Leyenda!$B$30:$E$34,3,FALSE)</f>
        <v>2</v>
      </c>
      <c r="AW667" s="36">
        <f>+VLOOKUP('2. Logging Brejo Seco'!AO667,Meteorizacion,3,FALSE)</f>
        <v>1</v>
      </c>
      <c r="AX667" s="36">
        <f>+VLOOKUP('2. Logging Brejo Seco'!AP667,Apertura,3,FALSE)</f>
        <v>1</v>
      </c>
      <c r="AY667" s="36">
        <f>+VLOOKUP('2. Logging Brejo Seco'!AQ667,Leyenda!$B$55:$D$59,3,FALSE)</f>
        <v>3</v>
      </c>
      <c r="AZ667" s="36">
        <f>+VLOOKUP('2. Logging Brejo Seco'!AR667,Relleno,3,FALSE)</f>
        <v>2</v>
      </c>
      <c r="BA667" s="36">
        <f t="shared" si="246"/>
        <v>9</v>
      </c>
      <c r="BB667" s="50">
        <f t="shared" si="247"/>
        <v>1</v>
      </c>
      <c r="BC667" s="49">
        <f>VLOOKUP(AH667,Leyenda!$B$4:$D$10,3,FALSE)</f>
        <v>2</v>
      </c>
      <c r="BD667" s="50">
        <f t="shared" si="248"/>
        <v>8</v>
      </c>
      <c r="BE667" s="50">
        <f t="shared" si="249"/>
        <v>9</v>
      </c>
      <c r="BF667" s="50">
        <f>VLOOKUP(AS667,Leyenda!$B$70:$D$75,3,FALSE)</f>
        <v>15</v>
      </c>
      <c r="BG667" s="110">
        <f t="shared" si="250"/>
        <v>16.394736842105274</v>
      </c>
      <c r="BH667" s="110">
        <f>VLOOKUP(AG667,Leyenda!$B$4:$E$10,4,FALSE)</f>
        <v>2</v>
      </c>
      <c r="BI667" s="67">
        <f t="shared" si="251"/>
        <v>9</v>
      </c>
      <c r="BJ667" s="110">
        <f t="shared" si="252"/>
        <v>1</v>
      </c>
      <c r="BK667" s="110">
        <f>+VLOOKUP('2. Logging Brejo Seco'!AP667,Leyenda!$B$47:$E$51,4,FALSE)</f>
        <v>1</v>
      </c>
      <c r="BL667" s="110">
        <f>+VLOOKUP('2. Logging Brejo Seco'!AQ667,Leyenda!$B$55:$E$59,4,FALSE)</f>
        <v>3</v>
      </c>
      <c r="BM667" s="110">
        <f>+VLOOKUP('2. Logging Brejo Seco'!AR667,Leyenda!$B$63:$E$67,3,FALSE)</f>
        <v>2</v>
      </c>
      <c r="BN667" s="110">
        <f>+VLOOKUP('2. Logging Brejo Seco'!AO667,Leyenda!$B$39:$E$43,4,FALSE)</f>
        <v>1</v>
      </c>
      <c r="BO667" s="110">
        <f>+VLOOKUP('2. Logging Brejo Seco'!AN667,Leyenda!$B$30:$E$34,4,FALSE)</f>
        <v>3</v>
      </c>
      <c r="BP667" s="110">
        <f>VLOOKUP(AS667,Leyenda!$B$71:$E$75,4,FALSE)</f>
        <v>10</v>
      </c>
      <c r="BQ667" s="110">
        <f t="shared" si="253"/>
        <v>32</v>
      </c>
      <c r="BR667" s="36">
        <f t="shared" si="254"/>
        <v>35</v>
      </c>
      <c r="BS667" s="240">
        <f t="shared" si="255"/>
        <v>0.34736842105262866</v>
      </c>
      <c r="BT667" s="6"/>
    </row>
    <row r="668" spans="1:72" x14ac:dyDescent="0.25">
      <c r="A668" s="18" t="s">
        <v>6</v>
      </c>
      <c r="B668" s="18">
        <v>2024</v>
      </c>
      <c r="C668" s="18" t="s">
        <v>138</v>
      </c>
      <c r="D668" s="18" t="s">
        <v>657</v>
      </c>
      <c r="E668" s="3">
        <v>20</v>
      </c>
      <c r="F668" s="191">
        <v>20</v>
      </c>
      <c r="G668" s="18" t="s">
        <v>156</v>
      </c>
      <c r="H668" s="3">
        <v>20</v>
      </c>
      <c r="I668" s="3" t="s">
        <v>760</v>
      </c>
      <c r="J668" s="3"/>
      <c r="K668" s="18">
        <f t="shared" si="267"/>
        <v>70.239999999999995</v>
      </c>
      <c r="L668" s="18">
        <v>71.34</v>
      </c>
      <c r="M668" s="107">
        <f t="shared" si="257"/>
        <v>1.1000000000000085</v>
      </c>
      <c r="N668" s="113">
        <f t="shared" si="258"/>
        <v>0.73636363636363067</v>
      </c>
      <c r="O668" s="5">
        <f t="shared" si="245"/>
        <v>0.26363636363636933</v>
      </c>
      <c r="P668" s="3">
        <v>0.81</v>
      </c>
      <c r="Q668" s="6"/>
      <c r="R668" s="6"/>
      <c r="S668" s="6"/>
      <c r="T668" s="18">
        <v>0.81</v>
      </c>
      <c r="U668" s="18">
        <v>0</v>
      </c>
      <c r="V668" s="187">
        <f t="shared" si="266"/>
        <v>0</v>
      </c>
      <c r="W668" s="18"/>
      <c r="X668" s="18"/>
      <c r="Y668" s="18">
        <v>20</v>
      </c>
      <c r="Z668" s="31">
        <f t="shared" si="256"/>
        <v>55.000000000000433</v>
      </c>
      <c r="AA668" s="6"/>
      <c r="AB668" s="6"/>
      <c r="AC668" s="6"/>
      <c r="AD668" s="6"/>
      <c r="AE668" s="6"/>
      <c r="AF668" s="6"/>
      <c r="AG668" s="3" t="s">
        <v>29</v>
      </c>
      <c r="AH668" s="3" t="s">
        <v>29</v>
      </c>
      <c r="AI668" s="18" t="str">
        <f>+VLOOKUP(AH668,Leyenda!$O$4:$U$10,6,FALSE)</f>
        <v>0,25-0,35</v>
      </c>
      <c r="AJ668" s="18" t="str">
        <f>+VLOOKUP(AG668,Leyenda!$O$4:$U$10,7,FALSE)</f>
        <v>No Blasting need</v>
      </c>
      <c r="AK668" s="18">
        <f>+VLOOKUP(AJ668,Leyenda!$U$4:$V$10,2,FALSE)</f>
        <v>2</v>
      </c>
      <c r="AL668" s="6"/>
      <c r="AM668" s="3" t="s">
        <v>29</v>
      </c>
      <c r="AN668" s="3" t="s">
        <v>64</v>
      </c>
      <c r="AO668" s="3" t="s">
        <v>79</v>
      </c>
      <c r="AP668" s="3" t="s">
        <v>96</v>
      </c>
      <c r="AQ668" s="3" t="s">
        <v>107</v>
      </c>
      <c r="AR668" s="3" t="s">
        <v>120</v>
      </c>
      <c r="AS668" s="3" t="s">
        <v>267</v>
      </c>
      <c r="AT668" s="18"/>
      <c r="AU668" s="6"/>
      <c r="AV668" s="36">
        <f>+VLOOKUP(AN668,Leyenda!$B$30:$E$34,3,FALSE)</f>
        <v>2</v>
      </c>
      <c r="AW668" s="36">
        <f>+VLOOKUP('2. Logging Brejo Seco'!AO668,Meteorizacion,3,FALSE)</f>
        <v>1</v>
      </c>
      <c r="AX668" s="36">
        <f>+VLOOKUP('2. Logging Brejo Seco'!AP668,Apertura,3,FALSE)</f>
        <v>1</v>
      </c>
      <c r="AY668" s="36">
        <f>+VLOOKUP('2. Logging Brejo Seco'!AQ668,Leyenda!$B$55:$D$59,3,FALSE)</f>
        <v>3</v>
      </c>
      <c r="AZ668" s="36">
        <f>+VLOOKUP('2. Logging Brejo Seco'!AR668,Relleno,3,FALSE)</f>
        <v>2</v>
      </c>
      <c r="BA668" s="36">
        <f t="shared" si="246"/>
        <v>9</v>
      </c>
      <c r="BB668" s="50">
        <f t="shared" si="247"/>
        <v>0</v>
      </c>
      <c r="BC668" s="49">
        <f>VLOOKUP(AH668,Leyenda!$B$4:$D$10,3,FALSE)</f>
        <v>2</v>
      </c>
      <c r="BD668" s="50">
        <f t="shared" si="248"/>
        <v>6</v>
      </c>
      <c r="BE668" s="50">
        <f t="shared" si="249"/>
        <v>9</v>
      </c>
      <c r="BF668" s="50">
        <f>VLOOKUP(AS668,Leyenda!$B$70:$D$75,3,FALSE)</f>
        <v>15</v>
      </c>
      <c r="BG668" s="110">
        <f t="shared" si="250"/>
        <v>13.5</v>
      </c>
      <c r="BH668" s="110">
        <f>VLOOKUP(AG668,Leyenda!$B$4:$E$10,4,FALSE)</f>
        <v>2</v>
      </c>
      <c r="BI668" s="67">
        <f t="shared" si="251"/>
        <v>5</v>
      </c>
      <c r="BJ668" s="110">
        <f t="shared" si="252"/>
        <v>0</v>
      </c>
      <c r="BK668" s="110">
        <f>+VLOOKUP('2. Logging Brejo Seco'!AP668,Leyenda!$B$47:$E$51,4,FALSE)</f>
        <v>1</v>
      </c>
      <c r="BL668" s="110">
        <f>+VLOOKUP('2. Logging Brejo Seco'!AQ668,Leyenda!$B$55:$E$59,4,FALSE)</f>
        <v>3</v>
      </c>
      <c r="BM668" s="110">
        <f>+VLOOKUP('2. Logging Brejo Seco'!AR668,Leyenda!$B$63:$E$67,3,FALSE)</f>
        <v>2</v>
      </c>
      <c r="BN668" s="110">
        <f>+VLOOKUP('2. Logging Brejo Seco'!AO668,Leyenda!$B$39:$E$43,4,FALSE)</f>
        <v>1</v>
      </c>
      <c r="BO668" s="110">
        <f>+VLOOKUP('2. Logging Brejo Seco'!AN668,Leyenda!$B$30:$E$34,4,FALSE)</f>
        <v>3</v>
      </c>
      <c r="BP668" s="110">
        <f>VLOOKUP(AS668,Leyenda!$B$71:$E$75,4,FALSE)</f>
        <v>10</v>
      </c>
      <c r="BQ668" s="110">
        <f t="shared" si="253"/>
        <v>27</v>
      </c>
      <c r="BR668" s="36">
        <f t="shared" si="254"/>
        <v>32</v>
      </c>
      <c r="BS668" s="240">
        <f t="shared" si="255"/>
        <v>0.26363636363636933</v>
      </c>
      <c r="BT668" s="6"/>
    </row>
    <row r="669" spans="1:72" x14ac:dyDescent="0.25">
      <c r="A669" s="18" t="s">
        <v>6</v>
      </c>
      <c r="B669" s="18">
        <v>2024</v>
      </c>
      <c r="C669" s="18" t="s">
        <v>138</v>
      </c>
      <c r="D669" s="18" t="s">
        <v>657</v>
      </c>
      <c r="E669" s="3">
        <v>20</v>
      </c>
      <c r="F669" s="191">
        <v>20</v>
      </c>
      <c r="G669" s="18" t="s">
        <v>156</v>
      </c>
      <c r="H669" s="3">
        <v>10</v>
      </c>
      <c r="I669" s="3" t="s">
        <v>761</v>
      </c>
      <c r="J669" s="3"/>
      <c r="K669" s="18">
        <f t="shared" si="267"/>
        <v>71.34</v>
      </c>
      <c r="L669" s="18">
        <v>71.94</v>
      </c>
      <c r="M669" s="107">
        <f t="shared" si="257"/>
        <v>0.59999999999999432</v>
      </c>
      <c r="N669" s="113">
        <f t="shared" si="258"/>
        <v>0.50000000000000466</v>
      </c>
      <c r="O669" s="5">
        <f t="shared" si="245"/>
        <v>0.49999999999999534</v>
      </c>
      <c r="P669" s="3">
        <v>0.3</v>
      </c>
      <c r="Q669" s="6"/>
      <c r="R669" s="6"/>
      <c r="S669" s="6"/>
      <c r="T669" s="18">
        <v>0.3</v>
      </c>
      <c r="U669" s="18">
        <v>0.12</v>
      </c>
      <c r="V669" s="187">
        <f t="shared" si="266"/>
        <v>20.000000000000188</v>
      </c>
      <c r="W669" s="18"/>
      <c r="X669" s="18"/>
      <c r="Y669" s="18">
        <v>5</v>
      </c>
      <c r="Z669" s="31">
        <f t="shared" si="256"/>
        <v>119.99999999999886</v>
      </c>
      <c r="AA669" s="6"/>
      <c r="AB669" s="6"/>
      <c r="AC669" s="6"/>
      <c r="AD669" s="6"/>
      <c r="AE669" s="6"/>
      <c r="AF669" s="6"/>
      <c r="AG669" s="3" t="s">
        <v>29</v>
      </c>
      <c r="AH669" s="3" t="s">
        <v>29</v>
      </c>
      <c r="AI669" s="18" t="str">
        <f>+VLOOKUP(AH669,Leyenda!$O$4:$U$10,6,FALSE)</f>
        <v>0,25-0,35</v>
      </c>
      <c r="AJ669" s="18" t="str">
        <f>+VLOOKUP(AG669,Leyenda!$O$4:$U$10,7,FALSE)</f>
        <v>No Blasting need</v>
      </c>
      <c r="AK669" s="18">
        <f>+VLOOKUP(AJ669,Leyenda!$U$4:$V$10,2,FALSE)</f>
        <v>2</v>
      </c>
      <c r="AL669" s="6"/>
      <c r="AM669" s="3" t="s">
        <v>29</v>
      </c>
      <c r="AN669" s="3" t="s">
        <v>64</v>
      </c>
      <c r="AO669" s="3" t="s">
        <v>79</v>
      </c>
      <c r="AP669" s="3" t="s">
        <v>96</v>
      </c>
      <c r="AQ669" s="3" t="s">
        <v>107</v>
      </c>
      <c r="AR669" s="3" t="s">
        <v>120</v>
      </c>
      <c r="AS669" s="3" t="s">
        <v>267</v>
      </c>
      <c r="AT669" s="18"/>
      <c r="AU669" s="6"/>
      <c r="AV669" s="36">
        <f>+VLOOKUP(AN669,Leyenda!$B$30:$E$34,3,FALSE)</f>
        <v>2</v>
      </c>
      <c r="AW669" s="36">
        <f>+VLOOKUP('2. Logging Brejo Seco'!AO669,Meteorizacion,3,FALSE)</f>
        <v>1</v>
      </c>
      <c r="AX669" s="36">
        <f>+VLOOKUP('2. Logging Brejo Seco'!AP669,Apertura,3,FALSE)</f>
        <v>1</v>
      </c>
      <c r="AY669" s="36">
        <f>+VLOOKUP('2. Logging Brejo Seco'!AQ669,Leyenda!$B$55:$D$59,3,FALSE)</f>
        <v>3</v>
      </c>
      <c r="AZ669" s="36">
        <f>+VLOOKUP('2. Logging Brejo Seco'!AR669,Relleno,3,FALSE)</f>
        <v>2</v>
      </c>
      <c r="BA669" s="36">
        <f t="shared" si="246"/>
        <v>9</v>
      </c>
      <c r="BB669" s="50">
        <f t="shared" si="247"/>
        <v>4</v>
      </c>
      <c r="BC669" s="49">
        <f>VLOOKUP(AH669,Leyenda!$B$4:$D$10,3,FALSE)</f>
        <v>2</v>
      </c>
      <c r="BD669" s="50">
        <f t="shared" si="248"/>
        <v>8</v>
      </c>
      <c r="BE669" s="50">
        <f t="shared" si="249"/>
        <v>9</v>
      </c>
      <c r="BF669" s="50">
        <f>VLOOKUP(AS669,Leyenda!$B$70:$D$75,3,FALSE)</f>
        <v>15</v>
      </c>
      <c r="BG669" s="110">
        <f t="shared" si="250"/>
        <v>23.500000000000092</v>
      </c>
      <c r="BH669" s="110">
        <f>VLOOKUP(AG669,Leyenda!$B$4:$E$10,4,FALSE)</f>
        <v>2</v>
      </c>
      <c r="BI669" s="67">
        <f t="shared" si="251"/>
        <v>9</v>
      </c>
      <c r="BJ669" s="110">
        <f t="shared" si="252"/>
        <v>4</v>
      </c>
      <c r="BK669" s="110">
        <f>+VLOOKUP('2. Logging Brejo Seco'!AP669,Leyenda!$B$47:$E$51,4,FALSE)</f>
        <v>1</v>
      </c>
      <c r="BL669" s="110">
        <f>+VLOOKUP('2. Logging Brejo Seco'!AQ669,Leyenda!$B$55:$E$59,4,FALSE)</f>
        <v>3</v>
      </c>
      <c r="BM669" s="110">
        <f>+VLOOKUP('2. Logging Brejo Seco'!AR669,Leyenda!$B$63:$E$67,3,FALSE)</f>
        <v>2</v>
      </c>
      <c r="BN669" s="110">
        <f>+VLOOKUP('2. Logging Brejo Seco'!AO669,Leyenda!$B$39:$E$43,4,FALSE)</f>
        <v>1</v>
      </c>
      <c r="BO669" s="110">
        <f>+VLOOKUP('2. Logging Brejo Seco'!AN669,Leyenda!$B$30:$E$34,4,FALSE)</f>
        <v>3</v>
      </c>
      <c r="BP669" s="110">
        <f>VLOOKUP(AS669,Leyenda!$B$71:$E$75,4,FALSE)</f>
        <v>10</v>
      </c>
      <c r="BQ669" s="110">
        <f t="shared" si="253"/>
        <v>35</v>
      </c>
      <c r="BR669" s="36">
        <f t="shared" si="254"/>
        <v>38</v>
      </c>
      <c r="BS669" s="240">
        <f t="shared" si="255"/>
        <v>0.49999999999999534</v>
      </c>
      <c r="BT669" s="6"/>
    </row>
    <row r="670" spans="1:72" x14ac:dyDescent="0.25">
      <c r="A670" s="18" t="s">
        <v>6</v>
      </c>
      <c r="B670" s="18">
        <v>2024</v>
      </c>
      <c r="C670" s="18" t="s">
        <v>138</v>
      </c>
      <c r="D670" s="18" t="s">
        <v>657</v>
      </c>
      <c r="E670" s="3">
        <v>20</v>
      </c>
      <c r="F670" s="191">
        <v>20</v>
      </c>
      <c r="G670" s="18" t="s">
        <v>156</v>
      </c>
      <c r="H670" s="3">
        <v>10</v>
      </c>
      <c r="I670" s="3" t="s">
        <v>761</v>
      </c>
      <c r="J670" s="3"/>
      <c r="K670" s="18">
        <f t="shared" si="267"/>
        <v>71.94</v>
      </c>
      <c r="L670" s="18">
        <v>72.790000000000006</v>
      </c>
      <c r="M670" s="107">
        <f t="shared" si="257"/>
        <v>0.85000000000000853</v>
      </c>
      <c r="N670" s="113">
        <f t="shared" si="258"/>
        <v>0.57647058823528829</v>
      </c>
      <c r="O670" s="5">
        <f t="shared" si="245"/>
        <v>0.42352941176471171</v>
      </c>
      <c r="P670" s="3">
        <v>0.49</v>
      </c>
      <c r="Q670" s="6"/>
      <c r="R670" s="6"/>
      <c r="S670" s="6"/>
      <c r="T670" s="18">
        <v>0.49</v>
      </c>
      <c r="U670" s="18">
        <v>0.15</v>
      </c>
      <c r="V670" s="187">
        <f t="shared" si="266"/>
        <v>17.647058823529235</v>
      </c>
      <c r="W670" s="18"/>
      <c r="X670" s="18"/>
      <c r="Y670" s="18">
        <v>11</v>
      </c>
      <c r="Z670" s="31">
        <f t="shared" si="256"/>
        <v>77.272727272728048</v>
      </c>
      <c r="AA670" s="6"/>
      <c r="AB670" s="6"/>
      <c r="AC670" s="6"/>
      <c r="AD670" s="6"/>
      <c r="AE670" s="6"/>
      <c r="AF670" s="6"/>
      <c r="AG670" s="3" t="s">
        <v>29</v>
      </c>
      <c r="AH670" s="3" t="s">
        <v>29</v>
      </c>
      <c r="AI670" s="18" t="str">
        <f>+VLOOKUP(AH670,Leyenda!$O$4:$U$10,6,FALSE)</f>
        <v>0,25-0,35</v>
      </c>
      <c r="AJ670" s="18" t="str">
        <f>+VLOOKUP(AG670,Leyenda!$O$4:$U$10,7,FALSE)</f>
        <v>No Blasting need</v>
      </c>
      <c r="AK670" s="18">
        <f>+VLOOKUP(AJ670,Leyenda!$U$4:$V$10,2,FALSE)</f>
        <v>2</v>
      </c>
      <c r="AL670" s="6"/>
      <c r="AM670" s="3" t="s">
        <v>29</v>
      </c>
      <c r="AN670" s="3" t="s">
        <v>62</v>
      </c>
      <c r="AO670" s="3" t="s">
        <v>79</v>
      </c>
      <c r="AP670" s="3" t="s">
        <v>96</v>
      </c>
      <c r="AQ670" s="3" t="s">
        <v>107</v>
      </c>
      <c r="AR670" s="3" t="s">
        <v>120</v>
      </c>
      <c r="AS670" s="3" t="s">
        <v>267</v>
      </c>
      <c r="AT670" s="18"/>
      <c r="AU670" s="6"/>
      <c r="AV670" s="36">
        <f>+VLOOKUP(AN670,Leyenda!$B$30:$E$34,3,FALSE)</f>
        <v>4</v>
      </c>
      <c r="AW670" s="36">
        <f>+VLOOKUP('2. Logging Brejo Seco'!AO670,Meteorizacion,3,FALSE)</f>
        <v>1</v>
      </c>
      <c r="AX670" s="36">
        <f>+VLOOKUP('2. Logging Brejo Seco'!AP670,Apertura,3,FALSE)</f>
        <v>1</v>
      </c>
      <c r="AY670" s="36">
        <f>+VLOOKUP('2. Logging Brejo Seco'!AQ670,Leyenda!$B$55:$D$59,3,FALSE)</f>
        <v>3</v>
      </c>
      <c r="AZ670" s="36">
        <f>+VLOOKUP('2. Logging Brejo Seco'!AR670,Relleno,3,FALSE)</f>
        <v>2</v>
      </c>
      <c r="BA670" s="36">
        <f t="shared" ref="BA670:BA676" si="268">+SUM(AV670:AZ670)</f>
        <v>11</v>
      </c>
      <c r="BB670" s="50">
        <f t="shared" ref="BB670:BB676" si="269">ROUND(-0.0002*POWER(V670,2)+0.2197*V670,0)</f>
        <v>4</v>
      </c>
      <c r="BC670" s="49">
        <f>VLOOKUP(AH670,Leyenda!$B$4:$D$10,3,FALSE)</f>
        <v>2</v>
      </c>
      <c r="BD670" s="50">
        <f t="shared" si="248"/>
        <v>7</v>
      </c>
      <c r="BE670" s="50">
        <f t="shared" ref="BE670:BE676" si="270">+BA670</f>
        <v>11</v>
      </c>
      <c r="BF670" s="50">
        <f>VLOOKUP(AS670,Leyenda!$B$70:$D$75,3,FALSE)</f>
        <v>15</v>
      </c>
      <c r="BG670" s="110">
        <f t="shared" ref="BG670:BG676" si="271">1.5*BA670+(V670*0.5)</f>
        <v>25.323529411764618</v>
      </c>
      <c r="BH670" s="110">
        <f>VLOOKUP(AG670,Leyenda!$B$4:$E$10,4,FALSE)</f>
        <v>2</v>
      </c>
      <c r="BI670" s="67">
        <f t="shared" si="251"/>
        <v>7</v>
      </c>
      <c r="BJ670" s="110">
        <f t="shared" ref="BJ670:BJ676" si="272">ROUND(-0.0002*POWER(V670,2)+0.2197*V670,0)</f>
        <v>4</v>
      </c>
      <c r="BK670" s="110">
        <f>+VLOOKUP('2. Logging Brejo Seco'!AP670,Leyenda!$B$47:$E$51,4,FALSE)</f>
        <v>1</v>
      </c>
      <c r="BL670" s="110">
        <f>+VLOOKUP('2. Logging Brejo Seco'!AQ670,Leyenda!$B$55:$E$59,4,FALSE)</f>
        <v>3</v>
      </c>
      <c r="BM670" s="110">
        <f>+VLOOKUP('2. Logging Brejo Seco'!AR670,Leyenda!$B$63:$E$67,3,FALSE)</f>
        <v>2</v>
      </c>
      <c r="BN670" s="110">
        <f>+VLOOKUP('2. Logging Brejo Seco'!AO670,Leyenda!$B$39:$E$43,4,FALSE)</f>
        <v>1</v>
      </c>
      <c r="BO670" s="110">
        <f>+VLOOKUP('2. Logging Brejo Seco'!AN670,Leyenda!$B$30:$E$34,4,FALSE)</f>
        <v>4</v>
      </c>
      <c r="BP670" s="110">
        <f>VLOOKUP(AS670,Leyenda!$B$71:$E$75,4,FALSE)</f>
        <v>10</v>
      </c>
      <c r="BQ670" s="110">
        <f t="shared" ref="BQ670:BQ676" si="273">+BH670+BI670+BJ670+BK670+BL670+BM670+BN670+BO670+BP670</f>
        <v>34</v>
      </c>
      <c r="BR670" s="36">
        <f t="shared" ref="BR670:BR676" si="274">+BC670+BD670+BB670+BE670+BF670</f>
        <v>39</v>
      </c>
      <c r="BS670" s="240">
        <f t="shared" si="255"/>
        <v>0.42352941176471171</v>
      </c>
      <c r="BT670" s="6"/>
    </row>
    <row r="671" spans="1:72" x14ac:dyDescent="0.25">
      <c r="A671" s="18" t="s">
        <v>6</v>
      </c>
      <c r="B671" s="18">
        <v>2024</v>
      </c>
      <c r="C671" s="18" t="s">
        <v>138</v>
      </c>
      <c r="D671" s="18" t="s">
        <v>657</v>
      </c>
      <c r="E671" s="3">
        <v>20</v>
      </c>
      <c r="F671" s="191">
        <v>20</v>
      </c>
      <c r="G671" s="18" t="s">
        <v>156</v>
      </c>
      <c r="H671" s="3">
        <v>10</v>
      </c>
      <c r="I671" s="3" t="s">
        <v>761</v>
      </c>
      <c r="J671" s="3"/>
      <c r="K671" s="18">
        <f t="shared" si="267"/>
        <v>72.790000000000006</v>
      </c>
      <c r="L671" s="18">
        <v>73.39</v>
      </c>
      <c r="M671" s="107">
        <f t="shared" si="257"/>
        <v>0.59999999999999432</v>
      </c>
      <c r="N671" s="113">
        <f t="shared" si="258"/>
        <v>0.65000000000000613</v>
      </c>
      <c r="O671" s="5">
        <f t="shared" si="245"/>
        <v>0.34999999999999387</v>
      </c>
      <c r="P671" s="3">
        <v>0.39</v>
      </c>
      <c r="Q671" s="6"/>
      <c r="R671" s="6"/>
      <c r="S671" s="6"/>
      <c r="T671" s="18">
        <v>0.39</v>
      </c>
      <c r="U671" s="18">
        <v>0</v>
      </c>
      <c r="V671" s="187">
        <f t="shared" si="266"/>
        <v>0</v>
      </c>
      <c r="W671" s="18"/>
      <c r="X671" s="18"/>
      <c r="Y671" s="18">
        <v>20</v>
      </c>
      <c r="Z671" s="31">
        <f t="shared" si="256"/>
        <v>29.999999999999716</v>
      </c>
      <c r="AA671" s="6"/>
      <c r="AB671" s="6"/>
      <c r="AC671" s="6"/>
      <c r="AD671" s="6"/>
      <c r="AE671" s="6"/>
      <c r="AF671" s="6"/>
      <c r="AG671" s="3" t="s">
        <v>34</v>
      </c>
      <c r="AH671" s="3" t="s">
        <v>34</v>
      </c>
      <c r="AI671" s="18">
        <f>+VLOOKUP(AH671,Leyenda!$O$4:$U$10,6,FALSE)</f>
        <v>0</v>
      </c>
      <c r="AJ671" s="18" t="str">
        <f>+VLOOKUP(AG671,Leyenda!$O$4:$U$10,7,FALSE)</f>
        <v>No Blasting need</v>
      </c>
      <c r="AK671" s="18">
        <f>+VLOOKUP(AJ671,Leyenda!$U$4:$V$10,2,FALSE)</f>
        <v>2</v>
      </c>
      <c r="AL671" s="6"/>
      <c r="AM671" s="3" t="s">
        <v>34</v>
      </c>
      <c r="AN671" s="3" t="s">
        <v>66</v>
      </c>
      <c r="AO671" s="3" t="s">
        <v>81</v>
      </c>
      <c r="AP671" s="3" t="s">
        <v>100</v>
      </c>
      <c r="AQ671" s="3" t="s">
        <v>109</v>
      </c>
      <c r="AR671" s="3" t="s">
        <v>122</v>
      </c>
      <c r="AS671" s="3" t="s">
        <v>267</v>
      </c>
      <c r="AT671" s="18"/>
      <c r="AU671" s="6"/>
      <c r="AV671" s="36">
        <f>+VLOOKUP(AN671,Leyenda!$B$30:$E$34,3,FALSE)</f>
        <v>1</v>
      </c>
      <c r="AW671" s="36">
        <f>+VLOOKUP('2. Logging Brejo Seco'!AO671,Meteorizacion,3,FALSE)</f>
        <v>0</v>
      </c>
      <c r="AX671" s="36">
        <f>+VLOOKUP('2. Logging Brejo Seco'!AP671,Apertura,3,FALSE)</f>
        <v>0</v>
      </c>
      <c r="AY671" s="36">
        <f>+VLOOKUP('2. Logging Brejo Seco'!AQ671,Leyenda!$B$55:$D$59,3,FALSE)</f>
        <v>1</v>
      </c>
      <c r="AZ671" s="36">
        <f>+VLOOKUP('2. Logging Brejo Seco'!AR671,Relleno,3,FALSE)</f>
        <v>0</v>
      </c>
      <c r="BA671" s="36">
        <f t="shared" si="268"/>
        <v>2</v>
      </c>
      <c r="BB671" s="50">
        <f t="shared" si="269"/>
        <v>0</v>
      </c>
      <c r="BC671" s="49">
        <f>VLOOKUP(AH671,Leyenda!$B$4:$D$10,3,FALSE)</f>
        <v>0</v>
      </c>
      <c r="BD671" s="50">
        <f t="shared" si="248"/>
        <v>5</v>
      </c>
      <c r="BE671" s="50">
        <f t="shared" si="270"/>
        <v>2</v>
      </c>
      <c r="BF671" s="50">
        <f>VLOOKUP(AS671,Leyenda!$B$70:$D$75,3,FALSE)</f>
        <v>15</v>
      </c>
      <c r="BG671" s="110">
        <f t="shared" si="271"/>
        <v>3</v>
      </c>
      <c r="BH671" s="110">
        <f>VLOOKUP(AG671,Leyenda!$B$4:$E$10,4,FALSE)</f>
        <v>0</v>
      </c>
      <c r="BI671" s="67">
        <f t="shared" si="251"/>
        <v>5</v>
      </c>
      <c r="BJ671" s="110">
        <f t="shared" si="272"/>
        <v>0</v>
      </c>
      <c r="BK671" s="110">
        <f>+VLOOKUP('2. Logging Brejo Seco'!AP671,Leyenda!$B$47:$E$51,4,FALSE)</f>
        <v>0</v>
      </c>
      <c r="BL671" s="110">
        <f>+VLOOKUP('2. Logging Brejo Seco'!AQ671,Leyenda!$B$55:$E$59,4,FALSE)</f>
        <v>1</v>
      </c>
      <c r="BM671" s="110">
        <f>+VLOOKUP('2. Logging Brejo Seco'!AR671,Leyenda!$B$63:$E$67,3,FALSE)</f>
        <v>0</v>
      </c>
      <c r="BN671" s="110">
        <f>+VLOOKUP('2. Logging Brejo Seco'!AO671,Leyenda!$B$39:$E$43,4,FALSE)</f>
        <v>0</v>
      </c>
      <c r="BO671" s="110">
        <f>+VLOOKUP('2. Logging Brejo Seco'!AN671,Leyenda!$B$30:$E$34,4,FALSE)</f>
        <v>1</v>
      </c>
      <c r="BP671" s="110">
        <f>VLOOKUP(AS671,Leyenda!$B$71:$E$75,4,FALSE)</f>
        <v>10</v>
      </c>
      <c r="BQ671" s="110">
        <f t="shared" si="273"/>
        <v>17</v>
      </c>
      <c r="BR671" s="36">
        <f t="shared" si="274"/>
        <v>22</v>
      </c>
      <c r="BS671" s="240">
        <f t="shared" si="255"/>
        <v>0.34999999999999387</v>
      </c>
      <c r="BT671" s="6"/>
    </row>
    <row r="672" spans="1:72" x14ac:dyDescent="0.25">
      <c r="A672" s="18" t="s">
        <v>6</v>
      </c>
      <c r="B672" s="18">
        <v>2024</v>
      </c>
      <c r="C672" s="18" t="s">
        <v>138</v>
      </c>
      <c r="D672" s="18" t="s">
        <v>657</v>
      </c>
      <c r="E672" s="3">
        <v>10</v>
      </c>
      <c r="F672" s="191">
        <v>10</v>
      </c>
      <c r="G672" s="18" t="s">
        <v>135</v>
      </c>
      <c r="H672" s="18">
        <v>10</v>
      </c>
      <c r="I672" s="18" t="s">
        <v>761</v>
      </c>
      <c r="J672" s="18"/>
      <c r="K672" s="18">
        <f t="shared" si="267"/>
        <v>73.39</v>
      </c>
      <c r="L672" s="18">
        <v>74.89</v>
      </c>
      <c r="M672" s="107">
        <f t="shared" si="257"/>
        <v>1.5</v>
      </c>
      <c r="N672" s="113">
        <f t="shared" si="258"/>
        <v>0.67333333333333334</v>
      </c>
      <c r="O672" s="5">
        <f t="shared" si="245"/>
        <v>0.32666666666666666</v>
      </c>
      <c r="P672" s="3">
        <v>1.01</v>
      </c>
      <c r="Q672" s="6"/>
      <c r="R672" s="6"/>
      <c r="S672" s="6"/>
      <c r="T672" s="18">
        <f>0.95+0.06</f>
        <v>1.01</v>
      </c>
      <c r="U672" s="18">
        <v>0.79</v>
      </c>
      <c r="V672" s="187">
        <f t="shared" si="266"/>
        <v>52.666666666666671</v>
      </c>
      <c r="W672" s="18"/>
      <c r="X672" s="18"/>
      <c r="Y672" s="18">
        <f>3+5</f>
        <v>8</v>
      </c>
      <c r="Z672" s="31">
        <f t="shared" si="256"/>
        <v>187.5</v>
      </c>
      <c r="AA672" s="6"/>
      <c r="AB672" s="6"/>
      <c r="AC672" s="6"/>
      <c r="AD672" s="6"/>
      <c r="AE672" s="6"/>
      <c r="AF672" s="6"/>
      <c r="AG672" s="3" t="s">
        <v>24</v>
      </c>
      <c r="AH672" s="3" t="s">
        <v>24</v>
      </c>
      <c r="AI672" s="18" t="str">
        <f>+VLOOKUP(AH672,Leyenda!$O$4:$U$10,6,FALSE)</f>
        <v>0,50-0,80</v>
      </c>
      <c r="AJ672" s="18" t="str">
        <f>+VLOOKUP(AG672,Leyenda!$O$4:$U$10,7,FALSE)</f>
        <v>Fairly easy to blast</v>
      </c>
      <c r="AK672" s="18">
        <f>+VLOOKUP(AJ672,Leyenda!$U$4:$V$10,2,FALSE)</f>
        <v>4</v>
      </c>
      <c r="AL672" s="6"/>
      <c r="AM672" s="3" t="s">
        <v>24</v>
      </c>
      <c r="AN672" s="3" t="s">
        <v>64</v>
      </c>
      <c r="AO672" s="3" t="s">
        <v>77</v>
      </c>
      <c r="AP672" s="3" t="s">
        <v>92</v>
      </c>
      <c r="AQ672" s="3" t="s">
        <v>105</v>
      </c>
      <c r="AR672" s="3" t="s">
        <v>120</v>
      </c>
      <c r="AS672" s="3" t="s">
        <v>267</v>
      </c>
      <c r="AT672" s="18"/>
      <c r="AU672" s="6"/>
      <c r="AV672" s="36">
        <f>+VLOOKUP(AN672,Leyenda!$B$30:$E$34,3,FALSE)</f>
        <v>2</v>
      </c>
      <c r="AW672" s="36">
        <f>+VLOOKUP('2. Logging Brejo Seco'!AO672,Meteorizacion,3,FALSE)</f>
        <v>3</v>
      </c>
      <c r="AX672" s="36">
        <f>+VLOOKUP('2. Logging Brejo Seco'!AP672,Apertura,3,FALSE)</f>
        <v>3</v>
      </c>
      <c r="AY672" s="36">
        <f>+VLOOKUP('2. Logging Brejo Seco'!AQ672,Leyenda!$B$55:$D$59,3,FALSE)</f>
        <v>4</v>
      </c>
      <c r="AZ672" s="36">
        <f>+VLOOKUP('2. Logging Brejo Seco'!AR672,Relleno,3,FALSE)</f>
        <v>2</v>
      </c>
      <c r="BA672" s="36">
        <f t="shared" si="268"/>
        <v>14</v>
      </c>
      <c r="BB672" s="50">
        <f t="shared" si="269"/>
        <v>11</v>
      </c>
      <c r="BC672" s="49">
        <f>VLOOKUP(AH672,Leyenda!$B$4:$D$10,3,FALSE)</f>
        <v>7</v>
      </c>
      <c r="BD672" s="50">
        <f t="shared" si="248"/>
        <v>9</v>
      </c>
      <c r="BE672" s="50">
        <f t="shared" si="270"/>
        <v>14</v>
      </c>
      <c r="BF672" s="50">
        <f>VLOOKUP(AS672,Leyenda!$B$70:$D$75,3,FALSE)</f>
        <v>15</v>
      </c>
      <c r="BG672" s="110">
        <f t="shared" si="271"/>
        <v>47.333333333333336</v>
      </c>
      <c r="BH672" s="110">
        <f>VLOOKUP(AG672,Leyenda!$B$4:$E$10,4,FALSE)</f>
        <v>7</v>
      </c>
      <c r="BI672" s="67">
        <f t="shared" si="251"/>
        <v>12</v>
      </c>
      <c r="BJ672" s="110">
        <f t="shared" si="272"/>
        <v>11</v>
      </c>
      <c r="BK672" s="110">
        <f>+VLOOKUP('2. Logging Brejo Seco'!AP672,Leyenda!$B$47:$E$51,4,FALSE)</f>
        <v>3</v>
      </c>
      <c r="BL672" s="110">
        <f>+VLOOKUP('2. Logging Brejo Seco'!AQ672,Leyenda!$B$55:$E$59,4,FALSE)</f>
        <v>4</v>
      </c>
      <c r="BM672" s="110">
        <f>+VLOOKUP('2. Logging Brejo Seco'!AR672,Leyenda!$B$63:$E$67,3,FALSE)</f>
        <v>2</v>
      </c>
      <c r="BN672" s="110">
        <f>+VLOOKUP('2. Logging Brejo Seco'!AO672,Leyenda!$B$39:$E$43,4,FALSE)</f>
        <v>3</v>
      </c>
      <c r="BO672" s="110">
        <f>+VLOOKUP('2. Logging Brejo Seco'!AN672,Leyenda!$B$30:$E$34,4,FALSE)</f>
        <v>3</v>
      </c>
      <c r="BP672" s="110">
        <f>VLOOKUP(AS672,Leyenda!$B$71:$E$75,4,FALSE)</f>
        <v>10</v>
      </c>
      <c r="BQ672" s="110">
        <f t="shared" si="273"/>
        <v>55</v>
      </c>
      <c r="BR672" s="36">
        <f t="shared" si="274"/>
        <v>56</v>
      </c>
      <c r="BS672" s="240">
        <f t="shared" si="255"/>
        <v>0.32666666666666666</v>
      </c>
      <c r="BT672" s="6"/>
    </row>
    <row r="673" spans="1:72" x14ac:dyDescent="0.25">
      <c r="A673" s="18" t="s">
        <v>6</v>
      </c>
      <c r="B673" s="18">
        <v>2024</v>
      </c>
      <c r="C673" s="18" t="s">
        <v>138</v>
      </c>
      <c r="D673" s="18" t="s">
        <v>657</v>
      </c>
      <c r="E673" s="3">
        <v>10</v>
      </c>
      <c r="F673" s="191">
        <v>10</v>
      </c>
      <c r="G673" s="18" t="s">
        <v>135</v>
      </c>
      <c r="H673" s="18">
        <v>10</v>
      </c>
      <c r="I673" s="18" t="s">
        <v>761</v>
      </c>
      <c r="J673" s="18"/>
      <c r="K673" s="18">
        <f t="shared" si="267"/>
        <v>74.89</v>
      </c>
      <c r="L673" s="18">
        <v>75.84</v>
      </c>
      <c r="M673" s="107">
        <f t="shared" si="257"/>
        <v>0.95000000000000284</v>
      </c>
      <c r="N673" s="113">
        <f t="shared" si="258"/>
        <v>0.56842105263157727</v>
      </c>
      <c r="O673" s="5">
        <f t="shared" si="245"/>
        <v>0.43157894736842273</v>
      </c>
      <c r="P673" s="3">
        <v>0.54</v>
      </c>
      <c r="Q673" s="6"/>
      <c r="R673" s="6"/>
      <c r="S673" s="6"/>
      <c r="T673" s="18">
        <v>0.54</v>
      </c>
      <c r="U673" s="18">
        <v>0.4</v>
      </c>
      <c r="V673" s="187">
        <f t="shared" si="266"/>
        <v>42.105263157894612</v>
      </c>
      <c r="W673" s="18"/>
      <c r="X673" s="18"/>
      <c r="Y673" s="18">
        <v>5</v>
      </c>
      <c r="Z673" s="31">
        <f t="shared" si="256"/>
        <v>190.00000000000057</v>
      </c>
      <c r="AA673" s="6"/>
      <c r="AB673" s="6"/>
      <c r="AC673" s="6"/>
      <c r="AD673" s="6"/>
      <c r="AE673" s="6"/>
      <c r="AF673" s="6"/>
      <c r="AG673" s="3" t="s">
        <v>24</v>
      </c>
      <c r="AH673" s="3" t="s">
        <v>24</v>
      </c>
      <c r="AI673" s="18" t="str">
        <f>+VLOOKUP(AH673,Leyenda!$O$4:$U$10,6,FALSE)</f>
        <v>0,50-0,80</v>
      </c>
      <c r="AJ673" s="18" t="str">
        <f>+VLOOKUP(AG673,Leyenda!$O$4:$U$10,7,FALSE)</f>
        <v>Fairly easy to blast</v>
      </c>
      <c r="AK673" s="18">
        <f>+VLOOKUP(AJ673,Leyenda!$U$4:$V$10,2,FALSE)</f>
        <v>4</v>
      </c>
      <c r="AL673" s="6"/>
      <c r="AM673" s="3" t="s">
        <v>24</v>
      </c>
      <c r="AN673" s="3" t="s">
        <v>64</v>
      </c>
      <c r="AO673" s="3" t="s">
        <v>77</v>
      </c>
      <c r="AP673" s="3" t="s">
        <v>92</v>
      </c>
      <c r="AQ673" s="3" t="s">
        <v>105</v>
      </c>
      <c r="AR673" s="3" t="s">
        <v>120</v>
      </c>
      <c r="AS673" s="3" t="s">
        <v>267</v>
      </c>
      <c r="AT673" s="18"/>
      <c r="AU673" s="6"/>
      <c r="AV673" s="36">
        <f>+VLOOKUP(AN673,Leyenda!$B$30:$E$34,3,FALSE)</f>
        <v>2</v>
      </c>
      <c r="AW673" s="36">
        <f>+VLOOKUP('2. Logging Brejo Seco'!AO673,Meteorizacion,3,FALSE)</f>
        <v>3</v>
      </c>
      <c r="AX673" s="36">
        <f>+VLOOKUP('2. Logging Brejo Seco'!AP673,Apertura,3,FALSE)</f>
        <v>3</v>
      </c>
      <c r="AY673" s="36">
        <f>+VLOOKUP('2. Logging Brejo Seco'!AQ673,Leyenda!$B$55:$D$59,3,FALSE)</f>
        <v>4</v>
      </c>
      <c r="AZ673" s="36">
        <f>+VLOOKUP('2. Logging Brejo Seco'!AR673,Relleno,3,FALSE)</f>
        <v>2</v>
      </c>
      <c r="BA673" s="36">
        <f t="shared" si="268"/>
        <v>14</v>
      </c>
      <c r="BB673" s="50">
        <f t="shared" si="269"/>
        <v>9</v>
      </c>
      <c r="BC673" s="49">
        <f>VLOOKUP(AH673,Leyenda!$B$4:$D$10,3,FALSE)</f>
        <v>7</v>
      </c>
      <c r="BD673" s="50">
        <f t="shared" si="248"/>
        <v>9</v>
      </c>
      <c r="BE673" s="50">
        <f t="shared" si="270"/>
        <v>14</v>
      </c>
      <c r="BF673" s="50">
        <f>VLOOKUP(AS673,Leyenda!$B$70:$D$75,3,FALSE)</f>
        <v>15</v>
      </c>
      <c r="BG673" s="110">
        <f t="shared" si="271"/>
        <v>42.052631578947306</v>
      </c>
      <c r="BH673" s="110">
        <f>VLOOKUP(AG673,Leyenda!$B$4:$E$10,4,FALSE)</f>
        <v>7</v>
      </c>
      <c r="BI673" s="67">
        <f t="shared" si="251"/>
        <v>12</v>
      </c>
      <c r="BJ673" s="110">
        <f t="shared" si="272"/>
        <v>9</v>
      </c>
      <c r="BK673" s="110">
        <f>+VLOOKUP('2. Logging Brejo Seco'!AP673,Leyenda!$B$47:$E$51,4,FALSE)</f>
        <v>3</v>
      </c>
      <c r="BL673" s="110">
        <f>+VLOOKUP('2. Logging Brejo Seco'!AQ673,Leyenda!$B$55:$E$59,4,FALSE)</f>
        <v>4</v>
      </c>
      <c r="BM673" s="110">
        <f>+VLOOKUP('2. Logging Brejo Seco'!AR673,Leyenda!$B$63:$E$67,3,FALSE)</f>
        <v>2</v>
      </c>
      <c r="BN673" s="110">
        <f>+VLOOKUP('2. Logging Brejo Seco'!AO673,Leyenda!$B$39:$E$43,4,FALSE)</f>
        <v>3</v>
      </c>
      <c r="BO673" s="110">
        <f>+VLOOKUP('2. Logging Brejo Seco'!AN673,Leyenda!$B$30:$E$34,4,FALSE)</f>
        <v>3</v>
      </c>
      <c r="BP673" s="110">
        <f>VLOOKUP(AS673,Leyenda!$B$71:$E$75,4,FALSE)</f>
        <v>10</v>
      </c>
      <c r="BQ673" s="110">
        <f t="shared" si="273"/>
        <v>53</v>
      </c>
      <c r="BR673" s="36">
        <f t="shared" si="274"/>
        <v>54</v>
      </c>
      <c r="BS673" s="240">
        <f t="shared" si="255"/>
        <v>0.43157894736842273</v>
      </c>
      <c r="BT673" s="6"/>
    </row>
    <row r="674" spans="1:72" x14ac:dyDescent="0.25">
      <c r="A674" s="18" t="s">
        <v>6</v>
      </c>
      <c r="B674" s="18">
        <v>2024</v>
      </c>
      <c r="C674" s="18" t="s">
        <v>138</v>
      </c>
      <c r="D674" s="18" t="s">
        <v>657</v>
      </c>
      <c r="E674" s="3">
        <v>10</v>
      </c>
      <c r="F674" s="191">
        <v>10</v>
      </c>
      <c r="G674" s="18" t="s">
        <v>135</v>
      </c>
      <c r="H674" s="18">
        <v>10</v>
      </c>
      <c r="I674" s="18" t="s">
        <v>761</v>
      </c>
      <c r="J674" s="18"/>
      <c r="K674" s="18">
        <f t="shared" si="267"/>
        <v>75.84</v>
      </c>
      <c r="L674" s="18">
        <v>77.39</v>
      </c>
      <c r="M674" s="4">
        <f t="shared" si="257"/>
        <v>1.5499999999999972</v>
      </c>
      <c r="N674" s="113">
        <f t="shared" si="258"/>
        <v>0.82580645161290478</v>
      </c>
      <c r="O674" s="5">
        <f t="shared" si="245"/>
        <v>0.17419354838709522</v>
      </c>
      <c r="P674" s="3">
        <v>1.28</v>
      </c>
      <c r="Q674" s="6"/>
      <c r="R674" s="6"/>
      <c r="S674" s="6"/>
      <c r="T674" s="18">
        <v>1.28</v>
      </c>
      <c r="U674" s="18">
        <v>0.94</v>
      </c>
      <c r="V674" s="187">
        <f t="shared" si="266"/>
        <v>60.64516129032269</v>
      </c>
      <c r="W674" s="18"/>
      <c r="X674" s="18"/>
      <c r="Y674" s="18">
        <v>7</v>
      </c>
      <c r="Z674" s="31">
        <f t="shared" si="256"/>
        <v>221.42857142857105</v>
      </c>
      <c r="AA674" s="6"/>
      <c r="AB674" s="6"/>
      <c r="AC674" s="6"/>
      <c r="AD674" s="6"/>
      <c r="AE674" s="6"/>
      <c r="AF674" s="6"/>
      <c r="AG674" s="3" t="s">
        <v>24</v>
      </c>
      <c r="AH674" s="3" t="s">
        <v>24</v>
      </c>
      <c r="AI674" s="18" t="str">
        <f>+VLOOKUP(AH674,Leyenda!$O$4:$U$10,6,FALSE)</f>
        <v>0,50-0,80</v>
      </c>
      <c r="AJ674" s="18" t="str">
        <f>+VLOOKUP(AG674,Leyenda!$O$4:$U$10,7,FALSE)</f>
        <v>Fairly easy to blast</v>
      </c>
      <c r="AK674" s="18">
        <f>+VLOOKUP(AJ674,Leyenda!$U$4:$V$10,2,FALSE)</f>
        <v>4</v>
      </c>
      <c r="AL674" s="6"/>
      <c r="AM674" s="3" t="s">
        <v>24</v>
      </c>
      <c r="AN674" s="3" t="s">
        <v>64</v>
      </c>
      <c r="AO674" s="3" t="s">
        <v>77</v>
      </c>
      <c r="AP674" s="3" t="s">
        <v>92</v>
      </c>
      <c r="AQ674" s="3" t="s">
        <v>105</v>
      </c>
      <c r="AR674" s="3" t="s">
        <v>120</v>
      </c>
      <c r="AS674" s="3" t="s">
        <v>267</v>
      </c>
      <c r="AT674" s="18"/>
      <c r="AU674" s="6"/>
      <c r="AV674" s="36">
        <f>+VLOOKUP(AN674,Leyenda!$B$30:$E$34,3,FALSE)</f>
        <v>2</v>
      </c>
      <c r="AW674" s="36">
        <f>+VLOOKUP('2. Logging Brejo Seco'!AO674,Meteorizacion,3,FALSE)</f>
        <v>3</v>
      </c>
      <c r="AX674" s="36">
        <f>+VLOOKUP('2. Logging Brejo Seco'!AP674,Apertura,3,FALSE)</f>
        <v>3</v>
      </c>
      <c r="AY674" s="36">
        <f>+VLOOKUP('2. Logging Brejo Seco'!AQ674,Leyenda!$B$55:$D$59,3,FALSE)</f>
        <v>4</v>
      </c>
      <c r="AZ674" s="36">
        <f>+VLOOKUP('2. Logging Brejo Seco'!AR674,Relleno,3,FALSE)</f>
        <v>2</v>
      </c>
      <c r="BA674" s="36">
        <f t="shared" si="268"/>
        <v>14</v>
      </c>
      <c r="BB674" s="50">
        <f t="shared" si="269"/>
        <v>13</v>
      </c>
      <c r="BC674" s="49">
        <f>VLOOKUP(AH674,Leyenda!$B$4:$D$10,3,FALSE)</f>
        <v>7</v>
      </c>
      <c r="BD674" s="50">
        <f t="shared" si="248"/>
        <v>9</v>
      </c>
      <c r="BE674" s="50">
        <f t="shared" si="270"/>
        <v>14</v>
      </c>
      <c r="BF674" s="50">
        <f>VLOOKUP(AS674,Leyenda!$B$70:$D$75,3,FALSE)</f>
        <v>15</v>
      </c>
      <c r="BG674" s="110">
        <f t="shared" si="271"/>
        <v>51.322580645161345</v>
      </c>
      <c r="BH674" s="110">
        <f>VLOOKUP(AG674,Leyenda!$B$4:$E$10,4,FALSE)</f>
        <v>7</v>
      </c>
      <c r="BI674" s="67">
        <f t="shared" si="251"/>
        <v>13</v>
      </c>
      <c r="BJ674" s="110">
        <f t="shared" si="272"/>
        <v>13</v>
      </c>
      <c r="BK674" s="110">
        <f>+VLOOKUP('2. Logging Brejo Seco'!AP674,Leyenda!$B$47:$E$51,4,FALSE)</f>
        <v>3</v>
      </c>
      <c r="BL674" s="110">
        <f>+VLOOKUP('2. Logging Brejo Seco'!AQ674,Leyenda!$B$55:$E$59,4,FALSE)</f>
        <v>4</v>
      </c>
      <c r="BM674" s="110">
        <f>+VLOOKUP('2. Logging Brejo Seco'!AR674,Leyenda!$B$63:$E$67,3,FALSE)</f>
        <v>2</v>
      </c>
      <c r="BN674" s="110">
        <f>+VLOOKUP('2. Logging Brejo Seco'!AO674,Leyenda!$B$39:$E$43,4,FALSE)</f>
        <v>3</v>
      </c>
      <c r="BO674" s="110">
        <f>+VLOOKUP('2. Logging Brejo Seco'!AN674,Leyenda!$B$30:$E$34,4,FALSE)</f>
        <v>3</v>
      </c>
      <c r="BP674" s="110">
        <f>VLOOKUP(AS674,Leyenda!$B$71:$E$75,4,FALSE)</f>
        <v>10</v>
      </c>
      <c r="BQ674" s="110">
        <f t="shared" si="273"/>
        <v>58</v>
      </c>
      <c r="BR674" s="36">
        <f t="shared" si="274"/>
        <v>58</v>
      </c>
      <c r="BS674" s="240">
        <f t="shared" si="255"/>
        <v>0.17419354838709522</v>
      </c>
      <c r="BT674" s="6"/>
    </row>
    <row r="675" spans="1:72" x14ac:dyDescent="0.25">
      <c r="A675" s="18" t="s">
        <v>6</v>
      </c>
      <c r="B675" s="18">
        <v>2024</v>
      </c>
      <c r="C675" s="18" t="s">
        <v>138</v>
      </c>
      <c r="D675" s="18" t="s">
        <v>657</v>
      </c>
      <c r="E675" s="3">
        <v>10</v>
      </c>
      <c r="F675" s="191">
        <v>10</v>
      </c>
      <c r="G675" s="18" t="s">
        <v>135</v>
      </c>
      <c r="H675" s="18">
        <v>10</v>
      </c>
      <c r="I675" s="18" t="s">
        <v>761</v>
      </c>
      <c r="J675" s="18"/>
      <c r="K675" s="18">
        <f t="shared" si="267"/>
        <v>77.39</v>
      </c>
      <c r="L675" s="18">
        <v>78.62</v>
      </c>
      <c r="M675" s="4">
        <f t="shared" si="257"/>
        <v>1.230000000000004</v>
      </c>
      <c r="N675" s="113">
        <f t="shared" si="258"/>
        <v>0.96747967479674479</v>
      </c>
      <c r="O675" s="5">
        <f t="shared" si="245"/>
        <v>3.2520325203255207E-2</v>
      </c>
      <c r="P675" s="3">
        <v>1.19</v>
      </c>
      <c r="Q675" s="6"/>
      <c r="R675" s="6"/>
      <c r="S675" s="6"/>
      <c r="T675" s="18">
        <f>0.33+0.86</f>
        <v>1.19</v>
      </c>
      <c r="U675" s="18">
        <f>0.33+0.67</f>
        <v>1</v>
      </c>
      <c r="V675" s="187">
        <f t="shared" si="266"/>
        <v>81.300813008129808</v>
      </c>
      <c r="W675" s="18"/>
      <c r="X675" s="18"/>
      <c r="Y675" s="18">
        <v>4</v>
      </c>
      <c r="Z675" s="31">
        <f t="shared" si="256"/>
        <v>307.50000000000102</v>
      </c>
      <c r="AA675" s="6"/>
      <c r="AB675" s="6"/>
      <c r="AC675" s="6"/>
      <c r="AD675" s="6"/>
      <c r="AE675" s="6"/>
      <c r="AF675" s="6"/>
      <c r="AG675" s="3" t="s">
        <v>24</v>
      </c>
      <c r="AH675" s="3" t="s">
        <v>24</v>
      </c>
      <c r="AI675" s="18" t="str">
        <f>+VLOOKUP(AH675,Leyenda!$O$4:$U$10,6,FALSE)</f>
        <v>0,50-0,80</v>
      </c>
      <c r="AJ675" s="18" t="str">
        <f>+VLOOKUP(AG675,Leyenda!$O$4:$U$10,7,FALSE)</f>
        <v>Fairly easy to blast</v>
      </c>
      <c r="AK675" s="18">
        <f>+VLOOKUP(AJ675,Leyenda!$U$4:$V$10,2,FALSE)</f>
        <v>4</v>
      </c>
      <c r="AL675" s="6"/>
      <c r="AM675" s="3" t="s">
        <v>24</v>
      </c>
      <c r="AN675" s="3" t="s">
        <v>64</v>
      </c>
      <c r="AO675" s="3" t="s">
        <v>77</v>
      </c>
      <c r="AP675" s="3" t="s">
        <v>92</v>
      </c>
      <c r="AQ675" s="3" t="s">
        <v>105</v>
      </c>
      <c r="AR675" s="3" t="s">
        <v>120</v>
      </c>
      <c r="AS675" s="3" t="s">
        <v>267</v>
      </c>
      <c r="AT675" s="18"/>
      <c r="AU675" s="6"/>
      <c r="AV675" s="36">
        <f>+VLOOKUP(AN675,Leyenda!$B$30:$E$34,3,FALSE)</f>
        <v>2</v>
      </c>
      <c r="AW675" s="36">
        <f>+VLOOKUP('2. Logging Brejo Seco'!AO675,Meteorizacion,3,FALSE)</f>
        <v>3</v>
      </c>
      <c r="AX675" s="36">
        <f>+VLOOKUP('2. Logging Brejo Seco'!AP675,Apertura,3,FALSE)</f>
        <v>3</v>
      </c>
      <c r="AY675" s="36">
        <f>+VLOOKUP('2. Logging Brejo Seco'!AQ675,Leyenda!$B$55:$D$59,3,FALSE)</f>
        <v>4</v>
      </c>
      <c r="AZ675" s="36">
        <f>+VLOOKUP('2. Logging Brejo Seco'!AR675,Relleno,3,FALSE)</f>
        <v>2</v>
      </c>
      <c r="BA675" s="36">
        <f t="shared" si="268"/>
        <v>14</v>
      </c>
      <c r="BB675" s="50">
        <f t="shared" si="269"/>
        <v>17</v>
      </c>
      <c r="BC675" s="49">
        <f>VLOOKUP(AH675,Leyenda!$B$4:$D$10,3,FALSE)</f>
        <v>7</v>
      </c>
      <c r="BD675" s="50">
        <f t="shared" si="248"/>
        <v>11</v>
      </c>
      <c r="BE675" s="50">
        <f t="shared" si="270"/>
        <v>14</v>
      </c>
      <c r="BF675" s="50">
        <f>VLOOKUP(AS675,Leyenda!$B$70:$D$75,3,FALSE)</f>
        <v>15</v>
      </c>
      <c r="BG675" s="110">
        <f t="shared" si="271"/>
        <v>61.650406504064904</v>
      </c>
      <c r="BH675" s="110">
        <f>VLOOKUP(AG675,Leyenda!$B$4:$E$10,4,FALSE)</f>
        <v>7</v>
      </c>
      <c r="BI675" s="67">
        <f t="shared" si="251"/>
        <v>15</v>
      </c>
      <c r="BJ675" s="110">
        <f t="shared" si="272"/>
        <v>17</v>
      </c>
      <c r="BK675" s="110">
        <f>+VLOOKUP('2. Logging Brejo Seco'!AP675,Leyenda!$B$47:$E$51,4,FALSE)</f>
        <v>3</v>
      </c>
      <c r="BL675" s="110">
        <f>+VLOOKUP('2. Logging Brejo Seco'!AQ675,Leyenda!$B$55:$E$59,4,FALSE)</f>
        <v>4</v>
      </c>
      <c r="BM675" s="110">
        <f>+VLOOKUP('2. Logging Brejo Seco'!AR675,Leyenda!$B$63:$E$67,3,FALSE)</f>
        <v>2</v>
      </c>
      <c r="BN675" s="110">
        <f>+VLOOKUP('2. Logging Brejo Seco'!AO675,Leyenda!$B$39:$E$43,4,FALSE)</f>
        <v>3</v>
      </c>
      <c r="BO675" s="110">
        <f>+VLOOKUP('2. Logging Brejo Seco'!AN675,Leyenda!$B$30:$E$34,4,FALSE)</f>
        <v>3</v>
      </c>
      <c r="BP675" s="110">
        <f>VLOOKUP(AS675,Leyenda!$B$71:$E$75,4,FALSE)</f>
        <v>10</v>
      </c>
      <c r="BQ675" s="110">
        <f t="shared" si="273"/>
        <v>64</v>
      </c>
      <c r="BR675" s="36">
        <f t="shared" si="274"/>
        <v>64</v>
      </c>
      <c r="BS675" s="240">
        <f t="shared" si="255"/>
        <v>3.2520325203255207E-2</v>
      </c>
      <c r="BT675" s="6"/>
    </row>
    <row r="676" spans="1:72" x14ac:dyDescent="0.25">
      <c r="A676" s="18" t="s">
        <v>6</v>
      </c>
      <c r="B676" s="18">
        <v>2024</v>
      </c>
      <c r="C676" s="18" t="s">
        <v>138</v>
      </c>
      <c r="D676" s="18" t="s">
        <v>657</v>
      </c>
      <c r="E676" s="3">
        <v>10</v>
      </c>
      <c r="F676" s="191">
        <v>10</v>
      </c>
      <c r="G676" s="18" t="s">
        <v>135</v>
      </c>
      <c r="H676" s="18">
        <v>10</v>
      </c>
      <c r="I676" s="18" t="s">
        <v>761</v>
      </c>
      <c r="J676" s="18"/>
      <c r="K676" s="18">
        <f t="shared" si="267"/>
        <v>78.62</v>
      </c>
      <c r="L676" s="18">
        <v>80.510000000000005</v>
      </c>
      <c r="M676" s="4">
        <f t="shared" si="257"/>
        <v>1.8900000000000006</v>
      </c>
      <c r="N676" s="113">
        <f t="shared" si="258"/>
        <v>0.8994708994708992</v>
      </c>
      <c r="O676" s="5">
        <f t="shared" si="245"/>
        <v>0.1005291005291008</v>
      </c>
      <c r="P676" s="3">
        <v>1.7</v>
      </c>
      <c r="Q676" s="6"/>
      <c r="R676" s="6"/>
      <c r="S676" s="6"/>
      <c r="T676" s="18">
        <v>1.7</v>
      </c>
      <c r="U676" s="18">
        <v>1.7</v>
      </c>
      <c r="V676" s="187">
        <f t="shared" si="266"/>
        <v>89.947089947089921</v>
      </c>
      <c r="W676" s="18"/>
      <c r="X676" s="18"/>
      <c r="Y676" s="18">
        <v>4</v>
      </c>
      <c r="Z676" s="31">
        <f t="shared" si="256"/>
        <v>472.50000000000011</v>
      </c>
      <c r="AA676" s="6"/>
      <c r="AB676" s="6"/>
      <c r="AC676" s="6"/>
      <c r="AD676" s="6"/>
      <c r="AE676" s="6"/>
      <c r="AF676" s="6"/>
      <c r="AG676" s="3" t="s">
        <v>24</v>
      </c>
      <c r="AH676" s="3" t="s">
        <v>24</v>
      </c>
      <c r="AI676" s="18" t="str">
        <f>+VLOOKUP(AH676,Leyenda!$O$4:$U$10,6,FALSE)</f>
        <v>0,50-0,80</v>
      </c>
      <c r="AJ676" s="18" t="str">
        <f>+VLOOKUP(AG676,Leyenda!$O$4:$U$10,7,FALSE)</f>
        <v>Fairly easy to blast</v>
      </c>
      <c r="AK676" s="18">
        <f>+VLOOKUP(AJ676,Leyenda!$U$4:$V$10,2,FALSE)</f>
        <v>4</v>
      </c>
      <c r="AL676" s="6"/>
      <c r="AM676" s="3" t="s">
        <v>24</v>
      </c>
      <c r="AN676" s="3" t="s">
        <v>64</v>
      </c>
      <c r="AO676" s="3" t="s">
        <v>77</v>
      </c>
      <c r="AP676" s="3" t="s">
        <v>92</v>
      </c>
      <c r="AQ676" s="3" t="s">
        <v>105</v>
      </c>
      <c r="AR676" s="3" t="s">
        <v>120</v>
      </c>
      <c r="AS676" s="3" t="s">
        <v>267</v>
      </c>
      <c r="AT676" s="18"/>
      <c r="AU676" s="6"/>
      <c r="AV676" s="36">
        <f>+VLOOKUP(AN676,Leyenda!$B$30:$E$34,3,FALSE)</f>
        <v>2</v>
      </c>
      <c r="AW676" s="36">
        <f>+VLOOKUP('2. Logging Brejo Seco'!AO676,Meteorizacion,3,FALSE)</f>
        <v>3</v>
      </c>
      <c r="AX676" s="36">
        <f>+VLOOKUP('2. Logging Brejo Seco'!AP676,Apertura,3,FALSE)</f>
        <v>3</v>
      </c>
      <c r="AY676" s="36">
        <f>+VLOOKUP('2. Logging Brejo Seco'!AQ676,Leyenda!$B$55:$D$59,3,FALSE)</f>
        <v>4</v>
      </c>
      <c r="AZ676" s="36">
        <f>+VLOOKUP('2. Logging Brejo Seco'!AR676,Relleno,3,FALSE)</f>
        <v>2</v>
      </c>
      <c r="BA676" s="36">
        <f t="shared" si="268"/>
        <v>14</v>
      </c>
      <c r="BB676" s="50">
        <f t="shared" si="269"/>
        <v>18</v>
      </c>
      <c r="BC676" s="49">
        <f>VLOOKUP(AH676,Leyenda!$B$4:$D$10,3,FALSE)</f>
        <v>7</v>
      </c>
      <c r="BD676" s="50">
        <f t="shared" si="248"/>
        <v>12</v>
      </c>
      <c r="BE676" s="50">
        <f t="shared" si="270"/>
        <v>14</v>
      </c>
      <c r="BF676" s="50">
        <f>VLOOKUP(AS676,Leyenda!$B$70:$D$75,3,FALSE)</f>
        <v>15</v>
      </c>
      <c r="BG676" s="110">
        <f t="shared" si="271"/>
        <v>65.973544973544961</v>
      </c>
      <c r="BH676" s="110">
        <f>VLOOKUP(AG676,Leyenda!$B$4:$E$10,4,FALSE)</f>
        <v>7</v>
      </c>
      <c r="BI676" s="67">
        <f t="shared" si="251"/>
        <v>18</v>
      </c>
      <c r="BJ676" s="110">
        <f t="shared" si="272"/>
        <v>18</v>
      </c>
      <c r="BK676" s="110">
        <f>+VLOOKUP('2. Logging Brejo Seco'!AP676,Leyenda!$B$47:$E$51,4,FALSE)</f>
        <v>3</v>
      </c>
      <c r="BL676" s="110">
        <f>+VLOOKUP('2. Logging Brejo Seco'!AQ676,Leyenda!$B$55:$E$59,4,FALSE)</f>
        <v>4</v>
      </c>
      <c r="BM676" s="110">
        <f>+VLOOKUP('2. Logging Brejo Seco'!AR676,Leyenda!$B$63:$E$67,3,FALSE)</f>
        <v>2</v>
      </c>
      <c r="BN676" s="110">
        <f>+VLOOKUP('2. Logging Brejo Seco'!AO676,Leyenda!$B$39:$E$43,4,FALSE)</f>
        <v>3</v>
      </c>
      <c r="BO676" s="110">
        <f>+VLOOKUP('2. Logging Brejo Seco'!AN676,Leyenda!$B$30:$E$34,4,FALSE)</f>
        <v>3</v>
      </c>
      <c r="BP676" s="110">
        <f>VLOOKUP(AS676,Leyenda!$B$71:$E$75,4,FALSE)</f>
        <v>10</v>
      </c>
      <c r="BQ676" s="110">
        <f t="shared" si="273"/>
        <v>68</v>
      </c>
      <c r="BR676" s="36">
        <f t="shared" si="274"/>
        <v>66</v>
      </c>
      <c r="BS676" s="240">
        <f t="shared" si="255"/>
        <v>0.1005291005291008</v>
      </c>
      <c r="BT676" s="6"/>
    </row>
    <row r="677" spans="1:72" x14ac:dyDescent="0.25">
      <c r="A677" s="18" t="s">
        <v>6</v>
      </c>
      <c r="B677" s="18">
        <v>2024</v>
      </c>
      <c r="C677" s="18" t="s">
        <v>138</v>
      </c>
      <c r="D677" s="18" t="s">
        <v>658</v>
      </c>
      <c r="E677" s="18">
        <v>60</v>
      </c>
      <c r="F677" s="192">
        <v>60</v>
      </c>
      <c r="G677" s="3" t="s">
        <v>136</v>
      </c>
      <c r="H677" s="245">
        <f>+F677</f>
        <v>60</v>
      </c>
      <c r="I677" s="245" t="s">
        <v>762</v>
      </c>
      <c r="J677" s="245"/>
      <c r="K677" s="18">
        <v>0</v>
      </c>
      <c r="L677" s="18">
        <v>0.75</v>
      </c>
      <c r="M677" s="4">
        <f t="shared" si="257"/>
        <v>0.75</v>
      </c>
      <c r="N677" s="113">
        <f t="shared" si="258"/>
        <v>0.77333333333333332</v>
      </c>
      <c r="O677" s="5">
        <f t="shared" si="245"/>
        <v>0.22666666666666668</v>
      </c>
      <c r="P677" s="3">
        <v>0.57999999999999996</v>
      </c>
      <c r="Q677" s="6"/>
      <c r="R677" s="6"/>
      <c r="S677" s="6"/>
      <c r="T677" s="186">
        <v>0.57999999999999996</v>
      </c>
      <c r="U677" s="186">
        <v>0</v>
      </c>
      <c r="V677" s="187">
        <f t="shared" si="266"/>
        <v>0</v>
      </c>
      <c r="W677" s="6"/>
      <c r="X677" s="6"/>
      <c r="Y677" s="3">
        <v>20</v>
      </c>
      <c r="Z677" s="31">
        <f t="shared" si="256"/>
        <v>37.5</v>
      </c>
      <c r="AA677" s="6"/>
      <c r="AB677" s="6"/>
      <c r="AC677" s="6"/>
      <c r="AD677" s="6"/>
      <c r="AE677" s="6"/>
      <c r="AF677" s="6"/>
      <c r="AG677" s="3" t="s">
        <v>34</v>
      </c>
      <c r="AH677" s="3" t="s">
        <v>34</v>
      </c>
      <c r="AI677" s="18">
        <f>+VLOOKUP(AH677,Leyenda!$O$4:$U$10,6,FALSE)</f>
        <v>0</v>
      </c>
      <c r="AJ677" s="18" t="str">
        <f>+VLOOKUP(AG677,Leyenda!$O$4:$U$10,7,FALSE)</f>
        <v>No Blasting need</v>
      </c>
      <c r="AK677" s="18">
        <f>+VLOOKUP(AJ677,Leyenda!$U$4:$V$10,2,FALSE)</f>
        <v>2</v>
      </c>
      <c r="AL677" s="6"/>
      <c r="AM677" s="3" t="s">
        <v>34</v>
      </c>
      <c r="AN677" s="3" t="s">
        <v>69</v>
      </c>
      <c r="AO677" s="3" t="s">
        <v>81</v>
      </c>
      <c r="AP677" s="3" t="s">
        <v>100</v>
      </c>
      <c r="AQ677" s="3" t="s">
        <v>111</v>
      </c>
      <c r="AR677" s="3" t="s">
        <v>120</v>
      </c>
      <c r="AS677" s="3" t="s">
        <v>267</v>
      </c>
      <c r="AT677" s="18"/>
      <c r="AU677" s="6"/>
      <c r="AV677" s="36">
        <f>+VLOOKUP(AN677,Leyenda!$B$30:$E$34,3,FALSE)</f>
        <v>0</v>
      </c>
      <c r="AW677" s="36">
        <f>+VLOOKUP('2. Logging Brejo Seco'!AO677,Meteorizacion,3,FALSE)</f>
        <v>0</v>
      </c>
      <c r="AX677" s="36">
        <f>+VLOOKUP('2. Logging Brejo Seco'!AP677,Apertura,3,FALSE)</f>
        <v>0</v>
      </c>
      <c r="AY677" s="36">
        <f>+VLOOKUP('2. Logging Brejo Seco'!AQ677,Leyenda!$B$55:$D$59,3,FALSE)</f>
        <v>0</v>
      </c>
      <c r="AZ677" s="36">
        <f>+VLOOKUP('2. Logging Brejo Seco'!AR677,Relleno,3,FALSE)</f>
        <v>2</v>
      </c>
      <c r="BA677" s="36">
        <f t="shared" ref="BA677:BA740" si="275">+SUM(AV677:AZ677)</f>
        <v>2</v>
      </c>
      <c r="BB677" s="50">
        <f t="shared" ref="BB677:BB740" si="276">ROUND(-0.0002*POWER(V677,2)+0.2197*V677,0)</f>
        <v>0</v>
      </c>
      <c r="BC677" s="49">
        <f>VLOOKUP(AH677,Leyenda!$B$4:$D$10,3,FALSE)</f>
        <v>0</v>
      </c>
      <c r="BD677" s="50">
        <f t="shared" ref="BD677:BD740" si="277">IF(Z677="",ROUND((IF(Z677&lt;=400,1.5478*POWER(Z677,0.3351),-2*POWER(10,-6)*POWER(Z677,2)+0.0091*Z677+8.1704)),0),ROUND((IF(Z677&lt;=400,1.5478*POWER(Z677,0.3351),-2*POWER(10,-6)*POWER(Z677,2)+0.0091*Z677+8.1704)),0))</f>
        <v>5</v>
      </c>
      <c r="BE677" s="50">
        <f t="shared" ref="BE677:BE740" si="278">+BA677</f>
        <v>2</v>
      </c>
      <c r="BF677" s="50">
        <f>VLOOKUP(AS677,Leyenda!$B$70:$D$75,3,FALSE)</f>
        <v>15</v>
      </c>
      <c r="BG677" s="110">
        <f t="shared" ref="BG677:BG740" si="279">1.5*BA677+(V677*0.5)</f>
        <v>3</v>
      </c>
      <c r="BH677" s="110">
        <f>VLOOKUP(AG677,Leyenda!$B$4:$E$10,4,FALSE)</f>
        <v>0</v>
      </c>
      <c r="BI677" s="67">
        <f t="shared" ref="BI677:BI740" si="280">IF(Z677="",ROUND(IF(Z677&lt;=50,5,IF(Z677&gt;=3000,30,6.038*LN(Z677)-19.63)),0),ROUND(IF(Z677&lt;=50,5,IF(Z677&gt;=3000,30,6.038*LN(Z677)-19.63)),0))</f>
        <v>5</v>
      </c>
      <c r="BJ677" s="110">
        <f t="shared" ref="BJ677:BJ740" si="281">ROUND(-0.0002*POWER(V677,2)+0.2197*V677,0)</f>
        <v>0</v>
      </c>
      <c r="BK677" s="110">
        <f>+VLOOKUP('2. Logging Brejo Seco'!AP677,Leyenda!$B$47:$E$51,4,FALSE)</f>
        <v>0</v>
      </c>
      <c r="BL677" s="110">
        <f>+VLOOKUP('2. Logging Brejo Seco'!AQ677,Leyenda!$B$55:$E$59,4,FALSE)</f>
        <v>0</v>
      </c>
      <c r="BM677" s="110">
        <f>+VLOOKUP('2. Logging Brejo Seco'!AR677,Leyenda!$B$63:$E$67,3,FALSE)</f>
        <v>2</v>
      </c>
      <c r="BN677" s="110">
        <f>+VLOOKUP('2. Logging Brejo Seco'!AO677,Leyenda!$B$39:$E$43,4,FALSE)</f>
        <v>0</v>
      </c>
      <c r="BO677" s="110">
        <f>+VLOOKUP('2. Logging Brejo Seco'!AN677,Leyenda!$B$30:$E$34,4,FALSE)</f>
        <v>0</v>
      </c>
      <c r="BP677" s="110">
        <f>VLOOKUP(AS677,Leyenda!$B$71:$E$75,4,FALSE)</f>
        <v>10</v>
      </c>
      <c r="BQ677" s="110">
        <f t="shared" ref="BQ677:BQ740" si="282">+BH677+BI677+BJ677+BK677+BL677+BM677+BN677+BO677+BP677</f>
        <v>17</v>
      </c>
      <c r="BR677" s="36">
        <f t="shared" ref="BR677:BR740" si="283">+BC677+BD677+BB677+BE677+BF677</f>
        <v>22</v>
      </c>
      <c r="BS677" s="240">
        <f t="shared" si="255"/>
        <v>0.22666666666666668</v>
      </c>
      <c r="BT677" s="6"/>
    </row>
    <row r="678" spans="1:72" x14ac:dyDescent="0.25">
      <c r="A678" s="18" t="s">
        <v>6</v>
      </c>
      <c r="B678" s="18">
        <v>2024</v>
      </c>
      <c r="C678" s="18" t="s">
        <v>138</v>
      </c>
      <c r="D678" s="18" t="s">
        <v>658</v>
      </c>
      <c r="E678" s="18">
        <v>60</v>
      </c>
      <c r="F678" s="192">
        <v>60</v>
      </c>
      <c r="G678" s="3" t="s">
        <v>136</v>
      </c>
      <c r="H678" s="245">
        <f t="shared" ref="H678:H700" si="284">+F678</f>
        <v>60</v>
      </c>
      <c r="I678" s="245" t="s">
        <v>762</v>
      </c>
      <c r="J678" s="245"/>
      <c r="K678" s="18">
        <f>+L677</f>
        <v>0.75</v>
      </c>
      <c r="L678" s="18">
        <v>1.5</v>
      </c>
      <c r="M678" s="4">
        <f t="shared" si="257"/>
        <v>0.75</v>
      </c>
      <c r="N678" s="113">
        <f t="shared" si="258"/>
        <v>0.69333333333333336</v>
      </c>
      <c r="O678" s="5">
        <f t="shared" si="245"/>
        <v>0.30666666666666664</v>
      </c>
      <c r="P678" s="3">
        <v>0.52</v>
      </c>
      <c r="Q678" s="6"/>
      <c r="R678" s="6"/>
      <c r="S678" s="6"/>
      <c r="T678" s="3">
        <v>0.52</v>
      </c>
      <c r="U678" s="3">
        <v>0</v>
      </c>
      <c r="V678" s="187">
        <f t="shared" si="266"/>
        <v>0</v>
      </c>
      <c r="W678" s="6"/>
      <c r="X678" s="6"/>
      <c r="Y678" s="3">
        <v>20</v>
      </c>
      <c r="Z678" s="31">
        <f t="shared" si="256"/>
        <v>37.5</v>
      </c>
      <c r="AA678" s="6"/>
      <c r="AB678" s="6"/>
      <c r="AC678" s="6"/>
      <c r="AD678" s="6"/>
      <c r="AE678" s="6"/>
      <c r="AF678" s="6"/>
      <c r="AG678" s="3" t="s">
        <v>34</v>
      </c>
      <c r="AH678" s="3" t="s">
        <v>34</v>
      </c>
      <c r="AI678" s="18">
        <f>+VLOOKUP(AH678,Leyenda!$O$4:$U$10,6,FALSE)</f>
        <v>0</v>
      </c>
      <c r="AJ678" s="18" t="str">
        <f>+VLOOKUP(AG678,Leyenda!$O$4:$U$10,7,FALSE)</f>
        <v>No Blasting need</v>
      </c>
      <c r="AK678" s="18">
        <f>+VLOOKUP(AJ678,Leyenda!$U$4:$V$10,2,FALSE)</f>
        <v>2</v>
      </c>
      <c r="AL678" s="6"/>
      <c r="AM678" s="18" t="s">
        <v>34</v>
      </c>
      <c r="AN678" s="18" t="s">
        <v>69</v>
      </c>
      <c r="AO678" s="18" t="s">
        <v>81</v>
      </c>
      <c r="AP678" s="18" t="s">
        <v>100</v>
      </c>
      <c r="AQ678" s="18" t="s">
        <v>111</v>
      </c>
      <c r="AR678" s="18" t="s">
        <v>120</v>
      </c>
      <c r="AS678" s="18" t="s">
        <v>267</v>
      </c>
      <c r="AT678" s="18"/>
      <c r="AU678" s="6"/>
      <c r="AV678" s="36">
        <f>+VLOOKUP(AN678,Leyenda!$B$30:$E$34,3,FALSE)</f>
        <v>0</v>
      </c>
      <c r="AW678" s="36">
        <f>+VLOOKUP('2. Logging Brejo Seco'!AO678,Meteorizacion,3,FALSE)</f>
        <v>0</v>
      </c>
      <c r="AX678" s="36">
        <f>+VLOOKUP('2. Logging Brejo Seco'!AP678,Apertura,3,FALSE)</f>
        <v>0</v>
      </c>
      <c r="AY678" s="36">
        <f>+VLOOKUP('2. Logging Brejo Seco'!AQ678,Leyenda!$B$55:$D$59,3,FALSE)</f>
        <v>0</v>
      </c>
      <c r="AZ678" s="36">
        <f>+VLOOKUP('2. Logging Brejo Seco'!AR678,Relleno,3,FALSE)</f>
        <v>2</v>
      </c>
      <c r="BA678" s="36">
        <f t="shared" si="275"/>
        <v>2</v>
      </c>
      <c r="BB678" s="50">
        <f t="shared" si="276"/>
        <v>0</v>
      </c>
      <c r="BC678" s="49">
        <f>VLOOKUP(AH678,Leyenda!$B$4:$D$10,3,FALSE)</f>
        <v>0</v>
      </c>
      <c r="BD678" s="50">
        <f t="shared" si="277"/>
        <v>5</v>
      </c>
      <c r="BE678" s="50">
        <f t="shared" si="278"/>
        <v>2</v>
      </c>
      <c r="BF678" s="50">
        <f>VLOOKUP(AS678,Leyenda!$B$70:$D$75,3,FALSE)</f>
        <v>15</v>
      </c>
      <c r="BG678" s="110">
        <f t="shared" si="279"/>
        <v>3</v>
      </c>
      <c r="BH678" s="110">
        <f>VLOOKUP(AG678,Leyenda!$B$4:$E$10,4,FALSE)</f>
        <v>0</v>
      </c>
      <c r="BI678" s="67">
        <f t="shared" si="280"/>
        <v>5</v>
      </c>
      <c r="BJ678" s="110">
        <f t="shared" si="281"/>
        <v>0</v>
      </c>
      <c r="BK678" s="110">
        <f>+VLOOKUP('2. Logging Brejo Seco'!AP678,Leyenda!$B$47:$E$51,4,FALSE)</f>
        <v>0</v>
      </c>
      <c r="BL678" s="110">
        <f>+VLOOKUP('2. Logging Brejo Seco'!AQ678,Leyenda!$B$55:$E$59,4,FALSE)</f>
        <v>0</v>
      </c>
      <c r="BM678" s="110">
        <f>+VLOOKUP('2. Logging Brejo Seco'!AR678,Leyenda!$B$63:$E$67,3,FALSE)</f>
        <v>2</v>
      </c>
      <c r="BN678" s="110">
        <f>+VLOOKUP('2. Logging Brejo Seco'!AO678,Leyenda!$B$39:$E$43,4,FALSE)</f>
        <v>0</v>
      </c>
      <c r="BO678" s="110">
        <f>+VLOOKUP('2. Logging Brejo Seco'!AN678,Leyenda!$B$30:$E$34,4,FALSE)</f>
        <v>0</v>
      </c>
      <c r="BP678" s="110">
        <f>VLOOKUP(AS678,Leyenda!$B$71:$E$75,4,FALSE)</f>
        <v>10</v>
      </c>
      <c r="BQ678" s="110">
        <f t="shared" si="282"/>
        <v>17</v>
      </c>
      <c r="BR678" s="36">
        <f t="shared" si="283"/>
        <v>22</v>
      </c>
      <c r="BS678" s="240">
        <f t="shared" si="255"/>
        <v>0.30666666666666664</v>
      </c>
      <c r="BT678" s="6"/>
    </row>
    <row r="679" spans="1:72" x14ac:dyDescent="0.25">
      <c r="A679" s="18" t="s">
        <v>6</v>
      </c>
      <c r="B679" s="18">
        <v>2024</v>
      </c>
      <c r="C679" s="18" t="s">
        <v>138</v>
      </c>
      <c r="D679" s="18" t="s">
        <v>658</v>
      </c>
      <c r="E679" s="18">
        <v>60</v>
      </c>
      <c r="F679" s="192">
        <v>60</v>
      </c>
      <c r="G679" s="3" t="s">
        <v>136</v>
      </c>
      <c r="H679" s="245">
        <f t="shared" si="284"/>
        <v>60</v>
      </c>
      <c r="I679" s="245" t="s">
        <v>762</v>
      </c>
      <c r="J679" s="245"/>
      <c r="K679" s="18">
        <f t="shared" ref="K679:K745" si="285">+L678</f>
        <v>1.5</v>
      </c>
      <c r="L679" s="18">
        <v>2.25</v>
      </c>
      <c r="M679" s="4">
        <f t="shared" si="257"/>
        <v>0.75</v>
      </c>
      <c r="N679" s="113">
        <f t="shared" si="258"/>
        <v>0.72000000000000008</v>
      </c>
      <c r="O679" s="5">
        <f t="shared" si="245"/>
        <v>0.27999999999999992</v>
      </c>
      <c r="P679" s="3">
        <v>0.54</v>
      </c>
      <c r="Q679" s="6"/>
      <c r="R679" s="6"/>
      <c r="S679" s="6"/>
      <c r="T679" s="3">
        <v>0.54</v>
      </c>
      <c r="U679" s="3">
        <v>0</v>
      </c>
      <c r="V679" s="187">
        <f t="shared" si="266"/>
        <v>0</v>
      </c>
      <c r="W679" s="6"/>
      <c r="X679" s="6"/>
      <c r="Y679" s="3">
        <v>20</v>
      </c>
      <c r="Z679" s="31">
        <f t="shared" si="256"/>
        <v>37.5</v>
      </c>
      <c r="AA679" s="6"/>
      <c r="AB679" s="6"/>
      <c r="AC679" s="6"/>
      <c r="AD679" s="6"/>
      <c r="AE679" s="6"/>
      <c r="AF679" s="6"/>
      <c r="AG679" s="3" t="s">
        <v>34</v>
      </c>
      <c r="AH679" s="3" t="s">
        <v>34</v>
      </c>
      <c r="AI679" s="18">
        <f>+VLOOKUP(AH679,Leyenda!$O$4:$U$10,6,FALSE)</f>
        <v>0</v>
      </c>
      <c r="AJ679" s="18" t="str">
        <f>+VLOOKUP(AG679,Leyenda!$O$4:$U$10,7,FALSE)</f>
        <v>No Blasting need</v>
      </c>
      <c r="AK679" s="18">
        <f>+VLOOKUP(AJ679,Leyenda!$U$4:$V$10,2,FALSE)</f>
        <v>2</v>
      </c>
      <c r="AL679" s="6"/>
      <c r="AM679" s="18" t="s">
        <v>34</v>
      </c>
      <c r="AN679" s="18" t="s">
        <v>69</v>
      </c>
      <c r="AO679" s="18" t="s">
        <v>81</v>
      </c>
      <c r="AP679" s="18" t="s">
        <v>100</v>
      </c>
      <c r="AQ679" s="18" t="s">
        <v>111</v>
      </c>
      <c r="AR679" s="18" t="s">
        <v>120</v>
      </c>
      <c r="AS679" s="18" t="s">
        <v>267</v>
      </c>
      <c r="AT679" s="18"/>
      <c r="AU679" s="6"/>
      <c r="AV679" s="36">
        <f>+VLOOKUP(AN679,Leyenda!$B$30:$E$34,3,FALSE)</f>
        <v>0</v>
      </c>
      <c r="AW679" s="36">
        <f>+VLOOKUP('2. Logging Brejo Seco'!AO679,Meteorizacion,3,FALSE)</f>
        <v>0</v>
      </c>
      <c r="AX679" s="36">
        <f>+VLOOKUP('2. Logging Brejo Seco'!AP679,Apertura,3,FALSE)</f>
        <v>0</v>
      </c>
      <c r="AY679" s="36">
        <f>+VLOOKUP('2. Logging Brejo Seco'!AQ679,Leyenda!$B$55:$D$59,3,FALSE)</f>
        <v>0</v>
      </c>
      <c r="AZ679" s="36">
        <f>+VLOOKUP('2. Logging Brejo Seco'!AR679,Relleno,3,FALSE)</f>
        <v>2</v>
      </c>
      <c r="BA679" s="36">
        <f t="shared" si="275"/>
        <v>2</v>
      </c>
      <c r="BB679" s="50">
        <f t="shared" si="276"/>
        <v>0</v>
      </c>
      <c r="BC679" s="49">
        <f>VLOOKUP(AH679,Leyenda!$B$4:$D$10,3,FALSE)</f>
        <v>0</v>
      </c>
      <c r="BD679" s="50">
        <f t="shared" si="277"/>
        <v>5</v>
      </c>
      <c r="BE679" s="50">
        <f t="shared" si="278"/>
        <v>2</v>
      </c>
      <c r="BF679" s="50">
        <f>VLOOKUP(AS679,Leyenda!$B$70:$D$75,3,FALSE)</f>
        <v>15</v>
      </c>
      <c r="BG679" s="110">
        <f t="shared" si="279"/>
        <v>3</v>
      </c>
      <c r="BH679" s="110">
        <f>VLOOKUP(AG679,Leyenda!$B$4:$E$10,4,FALSE)</f>
        <v>0</v>
      </c>
      <c r="BI679" s="67">
        <f t="shared" si="280"/>
        <v>5</v>
      </c>
      <c r="BJ679" s="110">
        <f t="shared" si="281"/>
        <v>0</v>
      </c>
      <c r="BK679" s="110">
        <f>+VLOOKUP('2. Logging Brejo Seco'!AP679,Leyenda!$B$47:$E$51,4,FALSE)</f>
        <v>0</v>
      </c>
      <c r="BL679" s="110">
        <f>+VLOOKUP('2. Logging Brejo Seco'!AQ679,Leyenda!$B$55:$E$59,4,FALSE)</f>
        <v>0</v>
      </c>
      <c r="BM679" s="110">
        <f>+VLOOKUP('2. Logging Brejo Seco'!AR679,Leyenda!$B$63:$E$67,3,FALSE)</f>
        <v>2</v>
      </c>
      <c r="BN679" s="110">
        <f>+VLOOKUP('2. Logging Brejo Seco'!AO679,Leyenda!$B$39:$E$43,4,FALSE)</f>
        <v>0</v>
      </c>
      <c r="BO679" s="110">
        <f>+VLOOKUP('2. Logging Brejo Seco'!AN679,Leyenda!$B$30:$E$34,4,FALSE)</f>
        <v>0</v>
      </c>
      <c r="BP679" s="110">
        <f>VLOOKUP(AS679,Leyenda!$B$71:$E$75,4,FALSE)</f>
        <v>10</v>
      </c>
      <c r="BQ679" s="110">
        <f t="shared" si="282"/>
        <v>17</v>
      </c>
      <c r="BR679" s="36">
        <f t="shared" si="283"/>
        <v>22</v>
      </c>
      <c r="BS679" s="240">
        <f t="shared" si="255"/>
        <v>0.27999999999999992</v>
      </c>
      <c r="BT679" s="6"/>
    </row>
    <row r="680" spans="1:72" x14ac:dyDescent="0.25">
      <c r="A680" s="18" t="s">
        <v>6</v>
      </c>
      <c r="B680" s="18">
        <v>2024</v>
      </c>
      <c r="C680" s="18" t="s">
        <v>138</v>
      </c>
      <c r="D680" s="18" t="s">
        <v>658</v>
      </c>
      <c r="E680" s="3">
        <v>40</v>
      </c>
      <c r="F680" s="192">
        <v>60</v>
      </c>
      <c r="G680" s="36" t="s">
        <v>153</v>
      </c>
      <c r="H680" s="245">
        <f t="shared" si="284"/>
        <v>60</v>
      </c>
      <c r="I680" s="245" t="s">
        <v>762</v>
      </c>
      <c r="J680" s="245"/>
      <c r="K680" s="18">
        <f t="shared" si="285"/>
        <v>2.25</v>
      </c>
      <c r="L680" s="18">
        <v>3.25</v>
      </c>
      <c r="M680" s="4">
        <f t="shared" si="257"/>
        <v>1</v>
      </c>
      <c r="N680" s="113">
        <f t="shared" si="258"/>
        <v>0.67</v>
      </c>
      <c r="O680" s="5">
        <f t="shared" si="245"/>
        <v>0.32999999999999996</v>
      </c>
      <c r="P680" s="3">
        <v>0.67</v>
      </c>
      <c r="Q680" s="6"/>
      <c r="R680" s="6"/>
      <c r="S680" s="6"/>
      <c r="T680" s="3">
        <v>0.67</v>
      </c>
      <c r="U680" s="3">
        <v>0</v>
      </c>
      <c r="V680" s="187">
        <f t="shared" si="266"/>
        <v>0</v>
      </c>
      <c r="W680" s="6"/>
      <c r="X680" s="6"/>
      <c r="Y680" s="3">
        <v>20</v>
      </c>
      <c r="Z680" s="31">
        <f t="shared" si="256"/>
        <v>50</v>
      </c>
      <c r="AA680" s="6"/>
      <c r="AB680" s="6"/>
      <c r="AC680" s="6"/>
      <c r="AD680" s="6"/>
      <c r="AE680" s="6"/>
      <c r="AF680" s="6"/>
      <c r="AG680" s="3" t="s">
        <v>34</v>
      </c>
      <c r="AH680" s="3" t="s">
        <v>34</v>
      </c>
      <c r="AI680" s="18">
        <f>+VLOOKUP(AH680,Leyenda!$O$4:$U$10,6,FALSE)</f>
        <v>0</v>
      </c>
      <c r="AJ680" s="18" t="str">
        <f>+VLOOKUP(AG680,Leyenda!$O$4:$U$10,7,FALSE)</f>
        <v>No Blasting need</v>
      </c>
      <c r="AK680" s="18">
        <f>+VLOOKUP(AJ680,Leyenda!$U$4:$V$10,2,FALSE)</f>
        <v>2</v>
      </c>
      <c r="AL680" s="6"/>
      <c r="AM680" s="18" t="s">
        <v>34</v>
      </c>
      <c r="AN680" s="18" t="s">
        <v>69</v>
      </c>
      <c r="AO680" s="18" t="s">
        <v>81</v>
      </c>
      <c r="AP680" s="18" t="s">
        <v>100</v>
      </c>
      <c r="AQ680" s="18" t="s">
        <v>111</v>
      </c>
      <c r="AR680" s="18" t="s">
        <v>120</v>
      </c>
      <c r="AS680" s="18" t="s">
        <v>267</v>
      </c>
      <c r="AT680" s="18"/>
      <c r="AU680" s="6"/>
      <c r="AV680" s="36">
        <f>+VLOOKUP(AN680,Leyenda!$B$30:$E$34,3,FALSE)</f>
        <v>0</v>
      </c>
      <c r="AW680" s="36">
        <f>+VLOOKUP('2. Logging Brejo Seco'!AO680,Meteorizacion,3,FALSE)</f>
        <v>0</v>
      </c>
      <c r="AX680" s="36">
        <f>+VLOOKUP('2. Logging Brejo Seco'!AP680,Apertura,3,FALSE)</f>
        <v>0</v>
      </c>
      <c r="AY680" s="36">
        <f>+VLOOKUP('2. Logging Brejo Seco'!AQ680,Leyenda!$B$55:$D$59,3,FALSE)</f>
        <v>0</v>
      </c>
      <c r="AZ680" s="36">
        <f>+VLOOKUP('2. Logging Brejo Seco'!AR680,Relleno,3,FALSE)</f>
        <v>2</v>
      </c>
      <c r="BA680" s="36">
        <f t="shared" si="275"/>
        <v>2</v>
      </c>
      <c r="BB680" s="50">
        <f t="shared" si="276"/>
        <v>0</v>
      </c>
      <c r="BC680" s="49">
        <f>VLOOKUP(AH680,Leyenda!$B$4:$D$10,3,FALSE)</f>
        <v>0</v>
      </c>
      <c r="BD680" s="50">
        <f t="shared" si="277"/>
        <v>6</v>
      </c>
      <c r="BE680" s="50">
        <f t="shared" si="278"/>
        <v>2</v>
      </c>
      <c r="BF680" s="50">
        <f>VLOOKUP(AS680,Leyenda!$B$70:$D$75,3,FALSE)</f>
        <v>15</v>
      </c>
      <c r="BG680" s="110">
        <f t="shared" si="279"/>
        <v>3</v>
      </c>
      <c r="BH680" s="110">
        <f>VLOOKUP(AG680,Leyenda!$B$4:$E$10,4,FALSE)</f>
        <v>0</v>
      </c>
      <c r="BI680" s="67">
        <f t="shared" si="280"/>
        <v>5</v>
      </c>
      <c r="BJ680" s="110">
        <f t="shared" si="281"/>
        <v>0</v>
      </c>
      <c r="BK680" s="110">
        <f>+VLOOKUP('2. Logging Brejo Seco'!AP680,Leyenda!$B$47:$E$51,4,FALSE)</f>
        <v>0</v>
      </c>
      <c r="BL680" s="110">
        <f>+VLOOKUP('2. Logging Brejo Seco'!AQ680,Leyenda!$B$55:$E$59,4,FALSE)</f>
        <v>0</v>
      </c>
      <c r="BM680" s="110">
        <f>+VLOOKUP('2. Logging Brejo Seco'!AR680,Leyenda!$B$63:$E$67,3,FALSE)</f>
        <v>2</v>
      </c>
      <c r="BN680" s="110">
        <f>+VLOOKUP('2. Logging Brejo Seco'!AO680,Leyenda!$B$39:$E$43,4,FALSE)</f>
        <v>0</v>
      </c>
      <c r="BO680" s="110">
        <f>+VLOOKUP('2. Logging Brejo Seco'!AN680,Leyenda!$B$30:$E$34,4,FALSE)</f>
        <v>0</v>
      </c>
      <c r="BP680" s="110">
        <f>VLOOKUP(AS680,Leyenda!$B$71:$E$75,4,FALSE)</f>
        <v>10</v>
      </c>
      <c r="BQ680" s="110">
        <f t="shared" si="282"/>
        <v>17</v>
      </c>
      <c r="BR680" s="36">
        <f t="shared" si="283"/>
        <v>23</v>
      </c>
      <c r="BS680" s="240">
        <f t="shared" si="255"/>
        <v>0.32999999999999996</v>
      </c>
      <c r="BT680" s="6"/>
    </row>
    <row r="681" spans="1:72" x14ac:dyDescent="0.25">
      <c r="A681" s="18" t="s">
        <v>6</v>
      </c>
      <c r="B681" s="18">
        <v>2024</v>
      </c>
      <c r="C681" s="18" t="s">
        <v>138</v>
      </c>
      <c r="D681" s="18" t="s">
        <v>658</v>
      </c>
      <c r="E681" s="3">
        <v>40</v>
      </c>
      <c r="F681" s="192">
        <v>60</v>
      </c>
      <c r="G681" s="36" t="s">
        <v>153</v>
      </c>
      <c r="H681" s="245">
        <f t="shared" si="284"/>
        <v>60</v>
      </c>
      <c r="I681" s="245" t="s">
        <v>762</v>
      </c>
      <c r="J681" s="245"/>
      <c r="K681" s="18">
        <f t="shared" si="285"/>
        <v>3.25</v>
      </c>
      <c r="L681" s="18">
        <v>4.3499999999999996</v>
      </c>
      <c r="M681" s="4">
        <f t="shared" si="257"/>
        <v>1.0999999999999996</v>
      </c>
      <c r="N681" s="113">
        <f t="shared" si="258"/>
        <v>0.68181818181818199</v>
      </c>
      <c r="O681" s="5">
        <f t="shared" si="245"/>
        <v>0.31818181818181801</v>
      </c>
      <c r="P681" s="3">
        <v>0.75</v>
      </c>
      <c r="Q681" s="6"/>
      <c r="R681" s="6"/>
      <c r="S681" s="6"/>
      <c r="T681" s="3">
        <f>0.35+0.4</f>
        <v>0.75</v>
      </c>
      <c r="U681" s="3">
        <v>0.33</v>
      </c>
      <c r="V681" s="187">
        <f t="shared" si="266"/>
        <v>30.000000000000011</v>
      </c>
      <c r="W681" s="6"/>
      <c r="X681" s="6"/>
      <c r="Y681" s="3">
        <v>10</v>
      </c>
      <c r="Z681" s="31">
        <f t="shared" si="256"/>
        <v>109.99999999999996</v>
      </c>
      <c r="AA681" s="6"/>
      <c r="AB681" s="6"/>
      <c r="AC681" s="6"/>
      <c r="AD681" s="6"/>
      <c r="AE681" s="6"/>
      <c r="AF681" s="6"/>
      <c r="AG681" s="3" t="s">
        <v>24</v>
      </c>
      <c r="AH681" s="3" t="s">
        <v>24</v>
      </c>
      <c r="AI681" s="18" t="str">
        <f>+VLOOKUP(AH681,Leyenda!$O$4:$U$10,6,FALSE)</f>
        <v>0,50-0,80</v>
      </c>
      <c r="AJ681" s="18" t="str">
        <f>+VLOOKUP(AG681,Leyenda!$O$4:$U$10,7,FALSE)</f>
        <v>Fairly easy to blast</v>
      </c>
      <c r="AK681" s="18">
        <f>+VLOOKUP(AJ681,Leyenda!$U$4:$V$10,2,FALSE)</f>
        <v>4</v>
      </c>
      <c r="AL681" s="6"/>
      <c r="AM681" s="18" t="s">
        <v>24</v>
      </c>
      <c r="AN681" s="18" t="s">
        <v>64</v>
      </c>
      <c r="AO681" s="18" t="s">
        <v>79</v>
      </c>
      <c r="AP681" s="18" t="s">
        <v>92</v>
      </c>
      <c r="AQ681" s="18" t="s">
        <v>107</v>
      </c>
      <c r="AR681" s="18" t="s">
        <v>118</v>
      </c>
      <c r="AS681" s="18" t="s">
        <v>267</v>
      </c>
      <c r="AT681" s="18"/>
      <c r="AU681" s="6"/>
      <c r="AV681" s="36">
        <f>+VLOOKUP(AN681,Leyenda!$B$30:$E$34,3,FALSE)</f>
        <v>2</v>
      </c>
      <c r="AW681" s="36">
        <f>+VLOOKUP('2. Logging Brejo Seco'!AO681,Meteorizacion,3,FALSE)</f>
        <v>1</v>
      </c>
      <c r="AX681" s="36">
        <f>+VLOOKUP('2. Logging Brejo Seco'!AP681,Apertura,3,FALSE)</f>
        <v>3</v>
      </c>
      <c r="AY681" s="36">
        <f>+VLOOKUP('2. Logging Brejo Seco'!AQ681,Leyenda!$B$55:$D$59,3,FALSE)</f>
        <v>3</v>
      </c>
      <c r="AZ681" s="36">
        <f>+VLOOKUP('2. Logging Brejo Seco'!AR681,Relleno,3,FALSE)</f>
        <v>2</v>
      </c>
      <c r="BA681" s="36">
        <f t="shared" si="275"/>
        <v>11</v>
      </c>
      <c r="BB681" s="50">
        <f t="shared" si="276"/>
        <v>6</v>
      </c>
      <c r="BC681" s="49">
        <f>VLOOKUP(AH681,Leyenda!$B$4:$D$10,3,FALSE)</f>
        <v>7</v>
      </c>
      <c r="BD681" s="50">
        <f t="shared" si="277"/>
        <v>7</v>
      </c>
      <c r="BE681" s="50">
        <f t="shared" si="278"/>
        <v>11</v>
      </c>
      <c r="BF681" s="50">
        <f>VLOOKUP(AS681,Leyenda!$B$70:$D$75,3,FALSE)</f>
        <v>15</v>
      </c>
      <c r="BG681" s="110">
        <f t="shared" si="279"/>
        <v>31.500000000000007</v>
      </c>
      <c r="BH681" s="110">
        <f>VLOOKUP(AG681,Leyenda!$B$4:$E$10,4,FALSE)</f>
        <v>7</v>
      </c>
      <c r="BI681" s="67">
        <f t="shared" si="280"/>
        <v>9</v>
      </c>
      <c r="BJ681" s="110">
        <f t="shared" si="281"/>
        <v>6</v>
      </c>
      <c r="BK681" s="110">
        <f>+VLOOKUP('2. Logging Brejo Seco'!AP681,Leyenda!$B$47:$E$51,4,FALSE)</f>
        <v>3</v>
      </c>
      <c r="BL681" s="110">
        <f>+VLOOKUP('2. Logging Brejo Seco'!AQ681,Leyenda!$B$55:$E$59,4,FALSE)</f>
        <v>3</v>
      </c>
      <c r="BM681" s="110">
        <f>+VLOOKUP('2. Logging Brejo Seco'!AR681,Leyenda!$B$63:$E$67,3,FALSE)</f>
        <v>2</v>
      </c>
      <c r="BN681" s="110">
        <f>+VLOOKUP('2. Logging Brejo Seco'!AO681,Leyenda!$B$39:$E$43,4,FALSE)</f>
        <v>1</v>
      </c>
      <c r="BO681" s="110">
        <f>+VLOOKUP('2. Logging Brejo Seco'!AN681,Leyenda!$B$30:$E$34,4,FALSE)</f>
        <v>3</v>
      </c>
      <c r="BP681" s="110">
        <f>VLOOKUP(AS681,Leyenda!$B$71:$E$75,4,FALSE)</f>
        <v>10</v>
      </c>
      <c r="BQ681" s="110">
        <f t="shared" si="282"/>
        <v>44</v>
      </c>
      <c r="BR681" s="36">
        <f t="shared" si="283"/>
        <v>46</v>
      </c>
      <c r="BS681" s="240">
        <f t="shared" si="255"/>
        <v>0.31818181818181801</v>
      </c>
      <c r="BT681" s="6"/>
    </row>
    <row r="682" spans="1:72" x14ac:dyDescent="0.25">
      <c r="A682" s="18" t="s">
        <v>6</v>
      </c>
      <c r="B682" s="18">
        <v>2024</v>
      </c>
      <c r="C682" s="18" t="s">
        <v>138</v>
      </c>
      <c r="D682" s="18" t="s">
        <v>658</v>
      </c>
      <c r="E682" s="3">
        <v>40</v>
      </c>
      <c r="F682" s="191">
        <v>40</v>
      </c>
      <c r="G682" s="36" t="s">
        <v>153</v>
      </c>
      <c r="H682" s="245">
        <f t="shared" si="284"/>
        <v>40</v>
      </c>
      <c r="I682" s="245" t="s">
        <v>757</v>
      </c>
      <c r="J682" s="245"/>
      <c r="K682" s="18">
        <f t="shared" si="285"/>
        <v>4.3499999999999996</v>
      </c>
      <c r="L682" s="18">
        <v>4.95</v>
      </c>
      <c r="M682" s="4">
        <f t="shared" si="257"/>
        <v>0.60000000000000053</v>
      </c>
      <c r="N682" s="113">
        <f t="shared" si="258"/>
        <v>0.59999999999999942</v>
      </c>
      <c r="O682" s="5">
        <f t="shared" si="245"/>
        <v>0.40000000000000058</v>
      </c>
      <c r="P682" s="3">
        <v>0.36</v>
      </c>
      <c r="Q682" s="6"/>
      <c r="R682" s="6"/>
      <c r="S682" s="6"/>
      <c r="T682" s="3">
        <v>0.36</v>
      </c>
      <c r="U682" s="3">
        <v>0.28000000000000003</v>
      </c>
      <c r="V682" s="187">
        <f t="shared" si="266"/>
        <v>46.666666666666629</v>
      </c>
      <c r="W682" s="6"/>
      <c r="X682" s="6"/>
      <c r="Y682" s="3">
        <v>9</v>
      </c>
      <c r="Z682" s="31">
        <f t="shared" si="256"/>
        <v>66.666666666666728</v>
      </c>
      <c r="AA682" s="6"/>
      <c r="AB682" s="6"/>
      <c r="AC682" s="6"/>
      <c r="AD682" s="6"/>
      <c r="AE682" s="6"/>
      <c r="AF682" s="6"/>
      <c r="AG682" s="3" t="s">
        <v>22</v>
      </c>
      <c r="AH682" s="3" t="s">
        <v>22</v>
      </c>
      <c r="AI682" s="18" t="str">
        <f>+VLOOKUP(AH682,Leyenda!$O$4:$U$10,6,FALSE)</f>
        <v>0,80-1,50</v>
      </c>
      <c r="AJ682" s="18" t="str">
        <f>+VLOOKUP(AG682,Leyenda!$O$4:$U$10,7,FALSE)</f>
        <v>Moderate to resistence to blast</v>
      </c>
      <c r="AK682" s="18">
        <f>+VLOOKUP(AJ682,Leyenda!$U$4:$V$10,2,FALSE)</f>
        <v>5</v>
      </c>
      <c r="AL682" s="3" t="s">
        <v>22</v>
      </c>
      <c r="AM682" s="18" t="s">
        <v>22</v>
      </c>
      <c r="AN682" s="18" t="s">
        <v>64</v>
      </c>
      <c r="AO682" s="18" t="s">
        <v>79</v>
      </c>
      <c r="AP682" s="18" t="s">
        <v>92</v>
      </c>
      <c r="AQ682" s="18" t="s">
        <v>107</v>
      </c>
      <c r="AR682" s="18" t="s">
        <v>118</v>
      </c>
      <c r="AS682" s="18" t="s">
        <v>267</v>
      </c>
      <c r="AT682" s="18"/>
      <c r="AU682" s="6"/>
      <c r="AV682" s="18">
        <f>+VLOOKUP(AN682,Leyenda!$B$30:$E$34,3,FALSE)</f>
        <v>2</v>
      </c>
      <c r="AW682" s="18">
        <f>+VLOOKUP('2. Logging Brejo Seco'!AO682,Meteorizacion,3,FALSE)</f>
        <v>1</v>
      </c>
      <c r="AX682" s="18">
        <f>+VLOOKUP('2. Logging Brejo Seco'!AP682,Apertura,3,FALSE)</f>
        <v>3</v>
      </c>
      <c r="AY682" s="18">
        <f>+VLOOKUP('2. Logging Brejo Seco'!AQ682,Leyenda!$B$55:$D$59,3,FALSE)</f>
        <v>3</v>
      </c>
      <c r="AZ682" s="18">
        <f>+VLOOKUP('2. Logging Brejo Seco'!AR682,Relleno,3,FALSE)</f>
        <v>2</v>
      </c>
      <c r="BA682" s="18">
        <f t="shared" si="275"/>
        <v>11</v>
      </c>
      <c r="BB682" s="49">
        <f t="shared" si="276"/>
        <v>10</v>
      </c>
      <c r="BC682" s="49">
        <f>VLOOKUP(AH682,Leyenda!$B$4:$D$10,3,FALSE)</f>
        <v>12</v>
      </c>
      <c r="BD682" s="49">
        <f t="shared" si="277"/>
        <v>6</v>
      </c>
      <c r="BE682" s="49">
        <f t="shared" si="278"/>
        <v>11</v>
      </c>
      <c r="BF682" s="49">
        <f>VLOOKUP(AS682,Leyenda!$B$70:$D$75,3,FALSE)</f>
        <v>15</v>
      </c>
      <c r="BG682" s="67">
        <f t="shared" si="279"/>
        <v>39.833333333333314</v>
      </c>
      <c r="BH682" s="208">
        <v>7</v>
      </c>
      <c r="BI682" s="125">
        <f t="shared" si="280"/>
        <v>6</v>
      </c>
      <c r="BJ682" s="125">
        <f t="shared" si="281"/>
        <v>10</v>
      </c>
      <c r="BK682" s="125">
        <f>+VLOOKUP('2. Logging Brejo Seco'!AP682,Leyenda!$B$47:$E$51,4,FALSE)</f>
        <v>3</v>
      </c>
      <c r="BL682" s="125">
        <f>+VLOOKUP('2. Logging Brejo Seco'!AQ682,Leyenda!$B$55:$E$59,4,FALSE)</f>
        <v>3</v>
      </c>
      <c r="BM682" s="125">
        <f>+VLOOKUP('2. Logging Brejo Seco'!AR682,Leyenda!$B$63:$E$67,3,FALSE)</f>
        <v>2</v>
      </c>
      <c r="BN682" s="125">
        <f>+VLOOKUP('2. Logging Brejo Seco'!AO682,Leyenda!$B$39:$E$43,4,FALSE)</f>
        <v>1</v>
      </c>
      <c r="BO682" s="125">
        <f>+VLOOKUP('2. Logging Brejo Seco'!AN682,Leyenda!$B$30:$E$34,4,FALSE)</f>
        <v>3</v>
      </c>
      <c r="BP682" s="125">
        <f>VLOOKUP(AS682,Leyenda!$B$71:$E$75,4,FALSE)</f>
        <v>10</v>
      </c>
      <c r="BQ682" s="125">
        <f t="shared" si="282"/>
        <v>45</v>
      </c>
      <c r="BR682" s="85">
        <f t="shared" si="283"/>
        <v>54</v>
      </c>
      <c r="BS682" s="240">
        <f t="shared" si="255"/>
        <v>0.40000000000000058</v>
      </c>
      <c r="BT682" s="6"/>
    </row>
    <row r="683" spans="1:72" x14ac:dyDescent="0.25">
      <c r="A683" s="18" t="s">
        <v>6</v>
      </c>
      <c r="B683" s="18">
        <v>2024</v>
      </c>
      <c r="C683" s="18" t="s">
        <v>138</v>
      </c>
      <c r="D683" s="18" t="s">
        <v>658</v>
      </c>
      <c r="E683" s="3">
        <v>40</v>
      </c>
      <c r="F683" s="191">
        <v>40</v>
      </c>
      <c r="G683" s="36" t="s">
        <v>153</v>
      </c>
      <c r="H683" s="245">
        <f t="shared" si="284"/>
        <v>40</v>
      </c>
      <c r="I683" s="245" t="s">
        <v>757</v>
      </c>
      <c r="J683" s="245"/>
      <c r="K683" s="18">
        <f t="shared" si="285"/>
        <v>4.95</v>
      </c>
      <c r="L683" s="18">
        <v>5.75</v>
      </c>
      <c r="M683" s="4">
        <f t="shared" si="257"/>
        <v>0.79999999999999982</v>
      </c>
      <c r="N683" s="113">
        <f t="shared" si="258"/>
        <v>0.56250000000000011</v>
      </c>
      <c r="O683" s="5">
        <f t="shared" si="245"/>
        <v>0.43749999999999989</v>
      </c>
      <c r="P683" s="3">
        <v>0.45</v>
      </c>
      <c r="Q683" s="6"/>
      <c r="R683" s="6"/>
      <c r="S683" s="6"/>
      <c r="T683" s="3">
        <v>0.45</v>
      </c>
      <c r="U683" s="3">
        <v>0.21</v>
      </c>
      <c r="V683" s="187">
        <f t="shared" si="266"/>
        <v>26.250000000000007</v>
      </c>
      <c r="W683" s="6"/>
      <c r="X683" s="6"/>
      <c r="Y683" s="3">
        <v>9</v>
      </c>
      <c r="Z683" s="31">
        <f t="shared" si="256"/>
        <v>88.888888888888857</v>
      </c>
      <c r="AA683" s="6"/>
      <c r="AB683" s="6"/>
      <c r="AC683" s="6"/>
      <c r="AD683" s="6"/>
      <c r="AE683" s="6"/>
      <c r="AF683" s="6"/>
      <c r="AG683" s="3" t="s">
        <v>22</v>
      </c>
      <c r="AH683" s="3" t="s">
        <v>22</v>
      </c>
      <c r="AI683" s="18" t="str">
        <f>+VLOOKUP(AH683,Leyenda!$O$4:$U$10,6,FALSE)</f>
        <v>0,80-1,50</v>
      </c>
      <c r="AJ683" s="18" t="str">
        <f>+VLOOKUP(AG683,Leyenda!$O$4:$U$10,7,FALSE)</f>
        <v>Moderate to resistence to blast</v>
      </c>
      <c r="AK683" s="18">
        <f>+VLOOKUP(AJ683,Leyenda!$U$4:$V$10,2,FALSE)</f>
        <v>5</v>
      </c>
      <c r="AL683" s="3" t="s">
        <v>22</v>
      </c>
      <c r="AM683" s="18" t="s">
        <v>22</v>
      </c>
      <c r="AN683" s="18" t="s">
        <v>64</v>
      </c>
      <c r="AO683" s="18" t="s">
        <v>79</v>
      </c>
      <c r="AP683" s="18" t="s">
        <v>92</v>
      </c>
      <c r="AQ683" s="18" t="s">
        <v>107</v>
      </c>
      <c r="AR683" s="18" t="s">
        <v>118</v>
      </c>
      <c r="AS683" s="18" t="s">
        <v>267</v>
      </c>
      <c r="AT683" s="18"/>
      <c r="AU683" s="6"/>
      <c r="AV683" s="18">
        <f>+VLOOKUP(AN683,Leyenda!$B$30:$E$34,3,FALSE)</f>
        <v>2</v>
      </c>
      <c r="AW683" s="18">
        <f>+VLOOKUP('2. Logging Brejo Seco'!AO683,Meteorizacion,3,FALSE)</f>
        <v>1</v>
      </c>
      <c r="AX683" s="18">
        <f>+VLOOKUP('2. Logging Brejo Seco'!AP683,Apertura,3,FALSE)</f>
        <v>3</v>
      </c>
      <c r="AY683" s="18">
        <f>+VLOOKUP('2. Logging Brejo Seco'!AQ683,Leyenda!$B$55:$D$59,3,FALSE)</f>
        <v>3</v>
      </c>
      <c r="AZ683" s="18">
        <f>+VLOOKUP('2. Logging Brejo Seco'!AR683,Relleno,3,FALSE)</f>
        <v>2</v>
      </c>
      <c r="BA683" s="18">
        <f t="shared" si="275"/>
        <v>11</v>
      </c>
      <c r="BB683" s="49">
        <f t="shared" si="276"/>
        <v>6</v>
      </c>
      <c r="BC683" s="49">
        <f>VLOOKUP(AH683,Leyenda!$B$4:$D$10,3,FALSE)</f>
        <v>12</v>
      </c>
      <c r="BD683" s="49">
        <f t="shared" si="277"/>
        <v>7</v>
      </c>
      <c r="BE683" s="49">
        <f t="shared" si="278"/>
        <v>11</v>
      </c>
      <c r="BF683" s="49">
        <f>VLOOKUP(AS683,Leyenda!$B$70:$D$75,3,FALSE)</f>
        <v>15</v>
      </c>
      <c r="BG683" s="67">
        <f t="shared" si="279"/>
        <v>29.625000000000004</v>
      </c>
      <c r="BH683" s="208">
        <v>7</v>
      </c>
      <c r="BI683" s="125">
        <f t="shared" si="280"/>
        <v>7</v>
      </c>
      <c r="BJ683" s="125">
        <f t="shared" si="281"/>
        <v>6</v>
      </c>
      <c r="BK683" s="125">
        <f>+VLOOKUP('2. Logging Brejo Seco'!AP683,Leyenda!$B$47:$E$51,4,FALSE)</f>
        <v>3</v>
      </c>
      <c r="BL683" s="125">
        <f>+VLOOKUP('2. Logging Brejo Seco'!AQ683,Leyenda!$B$55:$E$59,4,FALSE)</f>
        <v>3</v>
      </c>
      <c r="BM683" s="125">
        <f>+VLOOKUP('2. Logging Brejo Seco'!AR683,Leyenda!$B$63:$E$67,3,FALSE)</f>
        <v>2</v>
      </c>
      <c r="BN683" s="125">
        <f>+VLOOKUP('2. Logging Brejo Seco'!AO683,Leyenda!$B$39:$E$43,4,FALSE)</f>
        <v>1</v>
      </c>
      <c r="BO683" s="125">
        <f>+VLOOKUP('2. Logging Brejo Seco'!AN683,Leyenda!$B$30:$E$34,4,FALSE)</f>
        <v>3</v>
      </c>
      <c r="BP683" s="125">
        <f>VLOOKUP(AS683,Leyenda!$B$71:$E$75,4,FALSE)</f>
        <v>10</v>
      </c>
      <c r="BQ683" s="125">
        <f t="shared" si="282"/>
        <v>42</v>
      </c>
      <c r="BR683" s="85">
        <f t="shared" si="283"/>
        <v>51</v>
      </c>
      <c r="BS683" s="240">
        <f t="shared" si="255"/>
        <v>0.43749999999999989</v>
      </c>
      <c r="BT683" s="6"/>
    </row>
    <row r="684" spans="1:72" x14ac:dyDescent="0.25">
      <c r="A684" s="18" t="s">
        <v>6</v>
      </c>
      <c r="B684" s="18">
        <v>2024</v>
      </c>
      <c r="C684" s="18" t="s">
        <v>138</v>
      </c>
      <c r="D684" s="18" t="s">
        <v>658</v>
      </c>
      <c r="E684" s="3">
        <v>40</v>
      </c>
      <c r="F684" s="191">
        <v>40</v>
      </c>
      <c r="G684" s="36" t="s">
        <v>153</v>
      </c>
      <c r="H684" s="245">
        <f t="shared" si="284"/>
        <v>40</v>
      </c>
      <c r="I684" s="245" t="s">
        <v>757</v>
      </c>
      <c r="J684" s="245"/>
      <c r="K684" s="18">
        <f t="shared" si="285"/>
        <v>5.75</v>
      </c>
      <c r="L684" s="18">
        <v>6.65</v>
      </c>
      <c r="M684" s="4">
        <f t="shared" si="257"/>
        <v>0.90000000000000036</v>
      </c>
      <c r="N684" s="113">
        <f t="shared" si="258"/>
        <v>0.61111111111111094</v>
      </c>
      <c r="O684" s="5">
        <f t="shared" si="245"/>
        <v>0.38888888888888906</v>
      </c>
      <c r="P684" s="3">
        <v>0.55000000000000004</v>
      </c>
      <c r="Q684" s="3"/>
      <c r="R684" s="3"/>
      <c r="S684" s="3"/>
      <c r="T684" s="3">
        <v>0.55000000000000004</v>
      </c>
      <c r="U684" s="3">
        <v>0.42</v>
      </c>
      <c r="V684" s="187">
        <f t="shared" si="266"/>
        <v>46.666666666666643</v>
      </c>
      <c r="W684" s="3"/>
      <c r="X684" s="3"/>
      <c r="Y684" s="3">
        <v>9</v>
      </c>
      <c r="Z684" s="31">
        <f t="shared" si="256"/>
        <v>100.00000000000004</v>
      </c>
      <c r="AA684" s="6"/>
      <c r="AB684" s="6"/>
      <c r="AC684" s="6"/>
      <c r="AD684" s="6"/>
      <c r="AE684" s="6"/>
      <c r="AF684" s="6"/>
      <c r="AG684" s="3" t="s">
        <v>22</v>
      </c>
      <c r="AH684" s="3" t="s">
        <v>22</v>
      </c>
      <c r="AI684" s="18" t="str">
        <f>+VLOOKUP(AH684,Leyenda!$O$4:$U$10,6,FALSE)</f>
        <v>0,80-1,50</v>
      </c>
      <c r="AJ684" s="18" t="str">
        <f>+VLOOKUP(AG684,Leyenda!$O$4:$U$10,7,FALSE)</f>
        <v>Moderate to resistence to blast</v>
      </c>
      <c r="AK684" s="18">
        <f>+VLOOKUP(AJ684,Leyenda!$U$4:$V$10,2,FALSE)</f>
        <v>5</v>
      </c>
      <c r="AL684" s="3" t="s">
        <v>22</v>
      </c>
      <c r="AM684" s="18" t="s">
        <v>22</v>
      </c>
      <c r="AN684" s="18" t="s">
        <v>64</v>
      </c>
      <c r="AO684" s="18" t="s">
        <v>79</v>
      </c>
      <c r="AP684" s="18" t="s">
        <v>92</v>
      </c>
      <c r="AQ684" s="18" t="s">
        <v>107</v>
      </c>
      <c r="AR684" s="18" t="s">
        <v>118</v>
      </c>
      <c r="AS684" s="18" t="s">
        <v>267</v>
      </c>
      <c r="AT684" s="18"/>
      <c r="AU684" s="6"/>
      <c r="AV684" s="18">
        <f>+VLOOKUP(AN684,Leyenda!$B$30:$E$34,3,FALSE)</f>
        <v>2</v>
      </c>
      <c r="AW684" s="18">
        <f>+VLOOKUP('2. Logging Brejo Seco'!AO684,Meteorizacion,3,FALSE)</f>
        <v>1</v>
      </c>
      <c r="AX684" s="18">
        <f>+VLOOKUP('2. Logging Brejo Seco'!AP684,Apertura,3,FALSE)</f>
        <v>3</v>
      </c>
      <c r="AY684" s="18">
        <f>+VLOOKUP('2. Logging Brejo Seco'!AQ684,Leyenda!$B$55:$D$59,3,FALSE)</f>
        <v>3</v>
      </c>
      <c r="AZ684" s="18">
        <f>+VLOOKUP('2. Logging Brejo Seco'!AR684,Relleno,3,FALSE)</f>
        <v>2</v>
      </c>
      <c r="BA684" s="18">
        <f t="shared" si="275"/>
        <v>11</v>
      </c>
      <c r="BB684" s="49">
        <f t="shared" si="276"/>
        <v>10</v>
      </c>
      <c r="BC684" s="49">
        <f>VLOOKUP(AH684,Leyenda!$B$4:$D$10,3,FALSE)</f>
        <v>12</v>
      </c>
      <c r="BD684" s="49">
        <f t="shared" si="277"/>
        <v>7</v>
      </c>
      <c r="BE684" s="49">
        <f t="shared" si="278"/>
        <v>11</v>
      </c>
      <c r="BF684" s="49">
        <f>VLOOKUP(AS684,Leyenda!$B$70:$D$75,3,FALSE)</f>
        <v>15</v>
      </c>
      <c r="BG684" s="67">
        <f t="shared" si="279"/>
        <v>39.833333333333321</v>
      </c>
      <c r="BH684" s="208">
        <v>7</v>
      </c>
      <c r="BI684" s="125">
        <f t="shared" si="280"/>
        <v>8</v>
      </c>
      <c r="BJ684" s="125">
        <f t="shared" si="281"/>
        <v>10</v>
      </c>
      <c r="BK684" s="125">
        <f>+VLOOKUP('2. Logging Brejo Seco'!AP684,Leyenda!$B$47:$E$51,4,FALSE)</f>
        <v>3</v>
      </c>
      <c r="BL684" s="125">
        <f>+VLOOKUP('2. Logging Brejo Seco'!AQ684,Leyenda!$B$55:$E$59,4,FALSE)</f>
        <v>3</v>
      </c>
      <c r="BM684" s="125">
        <f>+VLOOKUP('2. Logging Brejo Seco'!AR684,Leyenda!$B$63:$E$67,3,FALSE)</f>
        <v>2</v>
      </c>
      <c r="BN684" s="125">
        <f>+VLOOKUP('2. Logging Brejo Seco'!AO684,Leyenda!$B$39:$E$43,4,FALSE)</f>
        <v>1</v>
      </c>
      <c r="BO684" s="125">
        <f>+VLOOKUP('2. Logging Brejo Seco'!AN684,Leyenda!$B$30:$E$34,4,FALSE)</f>
        <v>3</v>
      </c>
      <c r="BP684" s="125">
        <f>VLOOKUP(AS684,Leyenda!$B$71:$E$75,4,FALSE)</f>
        <v>10</v>
      </c>
      <c r="BQ684" s="125">
        <f t="shared" si="282"/>
        <v>47</v>
      </c>
      <c r="BR684" s="85">
        <f t="shared" si="283"/>
        <v>55</v>
      </c>
      <c r="BS684" s="240">
        <f t="shared" si="255"/>
        <v>0.38888888888888906</v>
      </c>
      <c r="BT684" s="6"/>
    </row>
    <row r="685" spans="1:72" x14ac:dyDescent="0.25">
      <c r="A685" s="18" t="s">
        <v>6</v>
      </c>
      <c r="B685" s="18">
        <v>2024</v>
      </c>
      <c r="C685" s="18" t="s">
        <v>138</v>
      </c>
      <c r="D685" s="18" t="s">
        <v>658</v>
      </c>
      <c r="E685" s="3">
        <v>40</v>
      </c>
      <c r="F685" s="191">
        <v>40</v>
      </c>
      <c r="G685" s="36" t="s">
        <v>153</v>
      </c>
      <c r="H685" s="245">
        <f t="shared" si="284"/>
        <v>40</v>
      </c>
      <c r="I685" s="245" t="s">
        <v>757</v>
      </c>
      <c r="J685" s="245"/>
      <c r="K685" s="18">
        <f t="shared" si="285"/>
        <v>6.65</v>
      </c>
      <c r="L685" s="18">
        <v>7.28</v>
      </c>
      <c r="M685" s="4">
        <f t="shared" si="257"/>
        <v>0.62999999999999989</v>
      </c>
      <c r="N685" s="113">
        <f t="shared" si="258"/>
        <v>0.82539682539682557</v>
      </c>
      <c r="O685" s="5">
        <f t="shared" si="245"/>
        <v>0.17460317460317443</v>
      </c>
      <c r="P685" s="3">
        <v>0.52</v>
      </c>
      <c r="Q685" s="3"/>
      <c r="R685" s="3"/>
      <c r="S685" s="3"/>
      <c r="T685" s="3">
        <f>0.4+0.12</f>
        <v>0.52</v>
      </c>
      <c r="U685" s="3">
        <v>0.4</v>
      </c>
      <c r="V685" s="187">
        <f t="shared" si="266"/>
        <v>63.492063492063508</v>
      </c>
      <c r="W685" s="3"/>
      <c r="X685" s="3"/>
      <c r="Y685" s="3">
        <v>4</v>
      </c>
      <c r="Z685" s="31">
        <f t="shared" si="256"/>
        <v>157.49999999999997</v>
      </c>
      <c r="AA685" s="6"/>
      <c r="AB685" s="6"/>
      <c r="AC685" s="6"/>
      <c r="AD685" s="6"/>
      <c r="AE685" s="6"/>
      <c r="AF685" s="6"/>
      <c r="AG685" s="3" t="s">
        <v>22</v>
      </c>
      <c r="AH685" s="3" t="s">
        <v>22</v>
      </c>
      <c r="AI685" s="18" t="str">
        <f>+VLOOKUP(AH685,Leyenda!$O$4:$U$10,6,FALSE)</f>
        <v>0,80-1,50</v>
      </c>
      <c r="AJ685" s="18" t="str">
        <f>+VLOOKUP(AG685,Leyenda!$O$4:$U$10,7,FALSE)</f>
        <v>Moderate to resistence to blast</v>
      </c>
      <c r="AK685" s="18">
        <f>+VLOOKUP(AJ685,Leyenda!$U$4:$V$10,2,FALSE)</f>
        <v>5</v>
      </c>
      <c r="AL685" s="3" t="s">
        <v>22</v>
      </c>
      <c r="AM685" s="18" t="s">
        <v>22</v>
      </c>
      <c r="AN685" s="18" t="s">
        <v>64</v>
      </c>
      <c r="AO685" s="18" t="s">
        <v>79</v>
      </c>
      <c r="AP685" s="18" t="s">
        <v>92</v>
      </c>
      <c r="AQ685" s="18" t="s">
        <v>107</v>
      </c>
      <c r="AR685" s="18" t="s">
        <v>118</v>
      </c>
      <c r="AS685" s="18" t="s">
        <v>267</v>
      </c>
      <c r="AT685" s="18"/>
      <c r="AU685" s="6"/>
      <c r="AV685" s="18">
        <f>+VLOOKUP(AN685,Leyenda!$B$30:$E$34,3,FALSE)</f>
        <v>2</v>
      </c>
      <c r="AW685" s="18">
        <f>+VLOOKUP('2. Logging Brejo Seco'!AO685,Meteorizacion,3,FALSE)</f>
        <v>1</v>
      </c>
      <c r="AX685" s="18">
        <f>+VLOOKUP('2. Logging Brejo Seco'!AP685,Apertura,3,FALSE)</f>
        <v>3</v>
      </c>
      <c r="AY685" s="18">
        <f>+VLOOKUP('2. Logging Brejo Seco'!AQ685,Leyenda!$B$55:$D$59,3,FALSE)</f>
        <v>3</v>
      </c>
      <c r="AZ685" s="18">
        <f>+VLOOKUP('2. Logging Brejo Seco'!AR685,Relleno,3,FALSE)</f>
        <v>2</v>
      </c>
      <c r="BA685" s="18">
        <f t="shared" si="275"/>
        <v>11</v>
      </c>
      <c r="BB685" s="49">
        <f t="shared" si="276"/>
        <v>13</v>
      </c>
      <c r="BC685" s="49">
        <f>VLOOKUP(AH685,Leyenda!$B$4:$D$10,3,FALSE)</f>
        <v>12</v>
      </c>
      <c r="BD685" s="49">
        <f t="shared" si="277"/>
        <v>8</v>
      </c>
      <c r="BE685" s="49">
        <f t="shared" si="278"/>
        <v>11</v>
      </c>
      <c r="BF685" s="49">
        <f>VLOOKUP(AS685,Leyenda!$B$70:$D$75,3,FALSE)</f>
        <v>15</v>
      </c>
      <c r="BG685" s="67">
        <f t="shared" si="279"/>
        <v>48.246031746031754</v>
      </c>
      <c r="BH685" s="208">
        <v>7</v>
      </c>
      <c r="BI685" s="125">
        <f t="shared" si="280"/>
        <v>11</v>
      </c>
      <c r="BJ685" s="125">
        <f t="shared" si="281"/>
        <v>13</v>
      </c>
      <c r="BK685" s="125">
        <f>+VLOOKUP('2. Logging Brejo Seco'!AP685,Leyenda!$B$47:$E$51,4,FALSE)</f>
        <v>3</v>
      </c>
      <c r="BL685" s="125">
        <f>+VLOOKUP('2. Logging Brejo Seco'!AQ685,Leyenda!$B$55:$E$59,4,FALSE)</f>
        <v>3</v>
      </c>
      <c r="BM685" s="125">
        <f>+VLOOKUP('2. Logging Brejo Seco'!AR685,Leyenda!$B$63:$E$67,3,FALSE)</f>
        <v>2</v>
      </c>
      <c r="BN685" s="125">
        <f>+VLOOKUP('2. Logging Brejo Seco'!AO685,Leyenda!$B$39:$E$43,4,FALSE)</f>
        <v>1</v>
      </c>
      <c r="BO685" s="125">
        <f>+VLOOKUP('2. Logging Brejo Seco'!AN685,Leyenda!$B$30:$E$34,4,FALSE)</f>
        <v>3</v>
      </c>
      <c r="BP685" s="125">
        <f>VLOOKUP(AS685,Leyenda!$B$71:$E$75,4,FALSE)</f>
        <v>10</v>
      </c>
      <c r="BQ685" s="125">
        <f t="shared" si="282"/>
        <v>53</v>
      </c>
      <c r="BR685" s="85">
        <f t="shared" si="283"/>
        <v>59</v>
      </c>
      <c r="BS685" s="240">
        <f t="shared" si="255"/>
        <v>0.17460317460317443</v>
      </c>
      <c r="BT685" s="6"/>
    </row>
    <row r="686" spans="1:72" x14ac:dyDescent="0.25">
      <c r="A686" s="18" t="s">
        <v>6</v>
      </c>
      <c r="B686" s="18">
        <v>2024</v>
      </c>
      <c r="C686" s="18" t="s">
        <v>138</v>
      </c>
      <c r="D686" s="18" t="s">
        <v>658</v>
      </c>
      <c r="E686" s="3">
        <v>40</v>
      </c>
      <c r="F686" s="191">
        <v>40</v>
      </c>
      <c r="G686" s="36" t="s">
        <v>153</v>
      </c>
      <c r="H686" s="245">
        <f t="shared" si="284"/>
        <v>40</v>
      </c>
      <c r="I686" s="245" t="s">
        <v>757</v>
      </c>
      <c r="J686" s="245"/>
      <c r="K686" s="18">
        <f t="shared" si="285"/>
        <v>7.28</v>
      </c>
      <c r="L686" s="18">
        <v>7.66</v>
      </c>
      <c r="M686" s="4">
        <f t="shared" si="257"/>
        <v>0.37999999999999989</v>
      </c>
      <c r="N686" s="113">
        <f t="shared" si="258"/>
        <v>0.73684210526315819</v>
      </c>
      <c r="O686" s="5">
        <f t="shared" si="245"/>
        <v>0.26315789473684181</v>
      </c>
      <c r="P686" s="3">
        <v>0.28000000000000003</v>
      </c>
      <c r="Q686" s="3"/>
      <c r="R686" s="3"/>
      <c r="S686" s="3"/>
      <c r="T686" s="3">
        <v>0.28000000000000003</v>
      </c>
      <c r="U686" s="3">
        <v>0.26</v>
      </c>
      <c r="V686" s="187">
        <f t="shared" si="266"/>
        <v>68.421052631578974</v>
      </c>
      <c r="W686" s="3"/>
      <c r="X686" s="3"/>
      <c r="Y686" s="3">
        <v>2</v>
      </c>
      <c r="Z686" s="31">
        <f t="shared" si="256"/>
        <v>189.99999999999994</v>
      </c>
      <c r="AA686" s="6"/>
      <c r="AB686" s="6"/>
      <c r="AC686" s="6"/>
      <c r="AD686" s="6"/>
      <c r="AE686" s="6"/>
      <c r="AF686" s="6"/>
      <c r="AG686" s="3" t="s">
        <v>22</v>
      </c>
      <c r="AH686" s="3" t="s">
        <v>22</v>
      </c>
      <c r="AI686" s="18" t="str">
        <f>+VLOOKUP(AH686,Leyenda!$O$4:$U$10,6,FALSE)</f>
        <v>0,80-1,50</v>
      </c>
      <c r="AJ686" s="18" t="str">
        <f>+VLOOKUP(AG686,Leyenda!$O$4:$U$10,7,FALSE)</f>
        <v>Moderate to resistence to blast</v>
      </c>
      <c r="AK686" s="18">
        <f>+VLOOKUP(AJ686,Leyenda!$U$4:$V$10,2,FALSE)</f>
        <v>5</v>
      </c>
      <c r="AL686" s="3" t="s">
        <v>22</v>
      </c>
      <c r="AM686" s="18" t="s">
        <v>22</v>
      </c>
      <c r="AN686" s="18" t="s">
        <v>64</v>
      </c>
      <c r="AO686" s="18" t="s">
        <v>79</v>
      </c>
      <c r="AP686" s="18" t="s">
        <v>92</v>
      </c>
      <c r="AQ686" s="18" t="s">
        <v>107</v>
      </c>
      <c r="AR686" s="18" t="s">
        <v>118</v>
      </c>
      <c r="AS686" s="18" t="s">
        <v>267</v>
      </c>
      <c r="AT686" s="18"/>
      <c r="AU686" s="6"/>
      <c r="AV686" s="18">
        <f>+VLOOKUP(AN686,Leyenda!$B$30:$E$34,3,FALSE)</f>
        <v>2</v>
      </c>
      <c r="AW686" s="18">
        <f>+VLOOKUP('2. Logging Brejo Seco'!AO686,Meteorizacion,3,FALSE)</f>
        <v>1</v>
      </c>
      <c r="AX686" s="18">
        <f>+VLOOKUP('2. Logging Brejo Seco'!AP686,Apertura,3,FALSE)</f>
        <v>3</v>
      </c>
      <c r="AY686" s="18">
        <f>+VLOOKUP('2. Logging Brejo Seco'!AQ686,Leyenda!$B$55:$D$59,3,FALSE)</f>
        <v>3</v>
      </c>
      <c r="AZ686" s="18">
        <f>+VLOOKUP('2. Logging Brejo Seco'!AR686,Relleno,3,FALSE)</f>
        <v>2</v>
      </c>
      <c r="BA686" s="18">
        <f t="shared" si="275"/>
        <v>11</v>
      </c>
      <c r="BB686" s="49">
        <f t="shared" si="276"/>
        <v>14</v>
      </c>
      <c r="BC686" s="49">
        <f>VLOOKUP(AH686,Leyenda!$B$4:$D$10,3,FALSE)</f>
        <v>12</v>
      </c>
      <c r="BD686" s="49">
        <f t="shared" si="277"/>
        <v>9</v>
      </c>
      <c r="BE686" s="49">
        <f t="shared" si="278"/>
        <v>11</v>
      </c>
      <c r="BF686" s="49">
        <f>VLOOKUP(AS686,Leyenda!$B$70:$D$75,3,FALSE)</f>
        <v>15</v>
      </c>
      <c r="BG686" s="67">
        <f t="shared" si="279"/>
        <v>50.710526315789487</v>
      </c>
      <c r="BH686" s="208">
        <v>7</v>
      </c>
      <c r="BI686" s="125">
        <f t="shared" si="280"/>
        <v>12</v>
      </c>
      <c r="BJ686" s="125">
        <f t="shared" si="281"/>
        <v>14</v>
      </c>
      <c r="BK686" s="125">
        <f>+VLOOKUP('2. Logging Brejo Seco'!AP686,Leyenda!$B$47:$E$51,4,FALSE)</f>
        <v>3</v>
      </c>
      <c r="BL686" s="125">
        <f>+VLOOKUP('2. Logging Brejo Seco'!AQ686,Leyenda!$B$55:$E$59,4,FALSE)</f>
        <v>3</v>
      </c>
      <c r="BM686" s="125">
        <f>+VLOOKUP('2. Logging Brejo Seco'!AR686,Leyenda!$B$63:$E$67,3,FALSE)</f>
        <v>2</v>
      </c>
      <c r="BN686" s="125">
        <f>+VLOOKUP('2. Logging Brejo Seco'!AO686,Leyenda!$B$39:$E$43,4,FALSE)</f>
        <v>1</v>
      </c>
      <c r="BO686" s="125">
        <f>+VLOOKUP('2. Logging Brejo Seco'!AN686,Leyenda!$B$30:$E$34,4,FALSE)</f>
        <v>3</v>
      </c>
      <c r="BP686" s="125">
        <f>VLOOKUP(AS686,Leyenda!$B$71:$E$75,4,FALSE)</f>
        <v>10</v>
      </c>
      <c r="BQ686" s="125">
        <f t="shared" si="282"/>
        <v>55</v>
      </c>
      <c r="BR686" s="85">
        <f t="shared" si="283"/>
        <v>61</v>
      </c>
      <c r="BS686" s="240">
        <f t="shared" si="255"/>
        <v>0.26315789473684181</v>
      </c>
      <c r="BT686" s="6"/>
    </row>
    <row r="687" spans="1:72" x14ac:dyDescent="0.25">
      <c r="A687" s="18" t="s">
        <v>6</v>
      </c>
      <c r="B687" s="18">
        <v>2024</v>
      </c>
      <c r="C687" s="18" t="s">
        <v>138</v>
      </c>
      <c r="D687" s="18" t="s">
        <v>658</v>
      </c>
      <c r="E687" s="3">
        <v>40</v>
      </c>
      <c r="F687" s="191">
        <v>40</v>
      </c>
      <c r="G687" s="36" t="s">
        <v>153</v>
      </c>
      <c r="H687" s="245">
        <f t="shared" si="284"/>
        <v>40</v>
      </c>
      <c r="I687" s="245" t="s">
        <v>757</v>
      </c>
      <c r="J687" s="245"/>
      <c r="K687" s="18">
        <f t="shared" si="285"/>
        <v>7.66</v>
      </c>
      <c r="L687" s="18">
        <v>8.56</v>
      </c>
      <c r="M687" s="4">
        <f t="shared" si="257"/>
        <v>0.90000000000000036</v>
      </c>
      <c r="N687" s="113">
        <f t="shared" si="258"/>
        <v>0.45555555555555532</v>
      </c>
      <c r="O687" s="5">
        <f t="shared" si="245"/>
        <v>0.54444444444444473</v>
      </c>
      <c r="P687" s="3">
        <v>0.41</v>
      </c>
      <c r="Q687" s="3"/>
      <c r="R687" s="3"/>
      <c r="S687" s="3"/>
      <c r="T687" s="3">
        <v>0.41</v>
      </c>
      <c r="U687" s="3">
        <v>0.15</v>
      </c>
      <c r="V687" s="187">
        <f t="shared" si="266"/>
        <v>16.666666666666661</v>
      </c>
      <c r="W687" s="3"/>
      <c r="X687" s="3"/>
      <c r="Y687" s="3">
        <v>10</v>
      </c>
      <c r="Z687" s="31">
        <f t="shared" si="256"/>
        <v>90.000000000000028</v>
      </c>
      <c r="AA687" s="6"/>
      <c r="AB687" s="6"/>
      <c r="AC687" s="6"/>
      <c r="AD687" s="6"/>
      <c r="AE687" s="6"/>
      <c r="AF687" s="6"/>
      <c r="AG687" s="3" t="s">
        <v>22</v>
      </c>
      <c r="AH687" s="3" t="s">
        <v>22</v>
      </c>
      <c r="AI687" s="18" t="str">
        <f>+VLOOKUP(AH687,Leyenda!$O$4:$U$10,6,FALSE)</f>
        <v>0,80-1,50</v>
      </c>
      <c r="AJ687" s="18" t="str">
        <f>+VLOOKUP(AG687,Leyenda!$O$4:$U$10,7,FALSE)</f>
        <v>Moderate to resistence to blast</v>
      </c>
      <c r="AK687" s="18">
        <f>+VLOOKUP(AJ687,Leyenda!$U$4:$V$10,2,FALSE)</f>
        <v>5</v>
      </c>
      <c r="AL687" s="3" t="s">
        <v>22</v>
      </c>
      <c r="AM687" s="18" t="s">
        <v>22</v>
      </c>
      <c r="AN687" s="18" t="s">
        <v>64</v>
      </c>
      <c r="AO687" s="18" t="s">
        <v>79</v>
      </c>
      <c r="AP687" s="18" t="s">
        <v>92</v>
      </c>
      <c r="AQ687" s="18" t="s">
        <v>107</v>
      </c>
      <c r="AR687" s="18" t="s">
        <v>118</v>
      </c>
      <c r="AS687" s="18" t="s">
        <v>267</v>
      </c>
      <c r="AT687" s="18"/>
      <c r="AU687" s="6"/>
      <c r="AV687" s="18">
        <f>+VLOOKUP(AN687,Leyenda!$B$30:$E$34,3,FALSE)</f>
        <v>2</v>
      </c>
      <c r="AW687" s="18">
        <f>+VLOOKUP('2. Logging Brejo Seco'!AO687,Meteorizacion,3,FALSE)</f>
        <v>1</v>
      </c>
      <c r="AX687" s="18">
        <f>+VLOOKUP('2. Logging Brejo Seco'!AP687,Apertura,3,FALSE)</f>
        <v>3</v>
      </c>
      <c r="AY687" s="18">
        <f>+VLOOKUP('2. Logging Brejo Seco'!AQ687,Leyenda!$B$55:$D$59,3,FALSE)</f>
        <v>3</v>
      </c>
      <c r="AZ687" s="18">
        <f>+VLOOKUP('2. Logging Brejo Seco'!AR687,Relleno,3,FALSE)</f>
        <v>2</v>
      </c>
      <c r="BA687" s="18">
        <f t="shared" si="275"/>
        <v>11</v>
      </c>
      <c r="BB687" s="49">
        <f t="shared" si="276"/>
        <v>4</v>
      </c>
      <c r="BC687" s="49">
        <f>VLOOKUP(AH687,Leyenda!$B$4:$D$10,3,FALSE)</f>
        <v>12</v>
      </c>
      <c r="BD687" s="49">
        <f t="shared" si="277"/>
        <v>7</v>
      </c>
      <c r="BE687" s="49">
        <f t="shared" si="278"/>
        <v>11</v>
      </c>
      <c r="BF687" s="49">
        <f>VLOOKUP(AS687,Leyenda!$B$70:$D$75,3,FALSE)</f>
        <v>15</v>
      </c>
      <c r="BG687" s="67">
        <f t="shared" si="279"/>
        <v>24.833333333333329</v>
      </c>
      <c r="BH687" s="208">
        <v>7</v>
      </c>
      <c r="BI687" s="125">
        <f t="shared" si="280"/>
        <v>8</v>
      </c>
      <c r="BJ687" s="125">
        <f t="shared" si="281"/>
        <v>4</v>
      </c>
      <c r="BK687" s="125">
        <f>+VLOOKUP('2. Logging Brejo Seco'!AP687,Leyenda!$B$47:$E$51,4,FALSE)</f>
        <v>3</v>
      </c>
      <c r="BL687" s="125">
        <f>+VLOOKUP('2. Logging Brejo Seco'!AQ687,Leyenda!$B$55:$E$59,4,FALSE)</f>
        <v>3</v>
      </c>
      <c r="BM687" s="125">
        <f>+VLOOKUP('2. Logging Brejo Seco'!AR687,Leyenda!$B$63:$E$67,3,FALSE)</f>
        <v>2</v>
      </c>
      <c r="BN687" s="125">
        <f>+VLOOKUP('2. Logging Brejo Seco'!AO687,Leyenda!$B$39:$E$43,4,FALSE)</f>
        <v>1</v>
      </c>
      <c r="BO687" s="125">
        <f>+VLOOKUP('2. Logging Brejo Seco'!AN687,Leyenda!$B$30:$E$34,4,FALSE)</f>
        <v>3</v>
      </c>
      <c r="BP687" s="125">
        <f>VLOOKUP(AS687,Leyenda!$B$71:$E$75,4,FALSE)</f>
        <v>10</v>
      </c>
      <c r="BQ687" s="125">
        <f t="shared" si="282"/>
        <v>41</v>
      </c>
      <c r="BR687" s="85">
        <f t="shared" si="283"/>
        <v>49</v>
      </c>
      <c r="BS687" s="240">
        <f t="shared" si="255"/>
        <v>0.54444444444444473</v>
      </c>
      <c r="BT687" s="6"/>
    </row>
    <row r="688" spans="1:72" x14ac:dyDescent="0.25">
      <c r="A688" s="18" t="s">
        <v>6</v>
      </c>
      <c r="B688" s="18">
        <v>2024</v>
      </c>
      <c r="C688" s="18" t="s">
        <v>138</v>
      </c>
      <c r="D688" s="18" t="s">
        <v>658</v>
      </c>
      <c r="E688" s="18">
        <v>50</v>
      </c>
      <c r="F688" s="191">
        <v>40</v>
      </c>
      <c r="G688" s="36" t="s">
        <v>153</v>
      </c>
      <c r="H688" s="245">
        <f t="shared" si="284"/>
        <v>40</v>
      </c>
      <c r="I688" s="245" t="s">
        <v>757</v>
      </c>
      <c r="J688" s="245"/>
      <c r="K688" s="18">
        <f t="shared" si="285"/>
        <v>8.56</v>
      </c>
      <c r="L688" s="18">
        <v>9.4600000000000009</v>
      </c>
      <c r="M688" s="4">
        <f t="shared" si="257"/>
        <v>0.90000000000000036</v>
      </c>
      <c r="N688" s="113">
        <f t="shared" si="258"/>
        <v>0.64444444444444415</v>
      </c>
      <c r="O688" s="5">
        <f t="shared" si="245"/>
        <v>0.35555555555555585</v>
      </c>
      <c r="P688" s="3">
        <v>0.57999999999999996</v>
      </c>
      <c r="Q688" s="3"/>
      <c r="R688" s="3"/>
      <c r="S688" s="3"/>
      <c r="T688" s="3">
        <v>0.57999999999999996</v>
      </c>
      <c r="U688" s="3">
        <v>0.51</v>
      </c>
      <c r="V688" s="187">
        <f t="shared" si="266"/>
        <v>56.666666666666643</v>
      </c>
      <c r="W688" s="3"/>
      <c r="X688" s="3"/>
      <c r="Y688" s="3">
        <v>9</v>
      </c>
      <c r="Z688" s="31">
        <f t="shared" si="256"/>
        <v>100.00000000000004</v>
      </c>
      <c r="AA688" s="6"/>
      <c r="AB688" s="6"/>
      <c r="AC688" s="6"/>
      <c r="AD688" s="6"/>
      <c r="AE688" s="6"/>
      <c r="AF688" s="6"/>
      <c r="AG688" s="3" t="s">
        <v>22</v>
      </c>
      <c r="AH688" s="3" t="s">
        <v>22</v>
      </c>
      <c r="AI688" s="18" t="str">
        <f>+VLOOKUP(AH688,Leyenda!$O$4:$U$10,6,FALSE)</f>
        <v>0,80-1,50</v>
      </c>
      <c r="AJ688" s="18" t="str">
        <f>+VLOOKUP(AG688,Leyenda!$O$4:$U$10,7,FALSE)</f>
        <v>Moderate to resistence to blast</v>
      </c>
      <c r="AK688" s="18">
        <f>+VLOOKUP(AJ688,Leyenda!$U$4:$V$10,2,FALSE)</f>
        <v>5</v>
      </c>
      <c r="AL688" s="3" t="s">
        <v>22</v>
      </c>
      <c r="AM688" s="18" t="s">
        <v>22</v>
      </c>
      <c r="AN688" s="18" t="s">
        <v>64</v>
      </c>
      <c r="AO688" s="18" t="s">
        <v>79</v>
      </c>
      <c r="AP688" s="18" t="s">
        <v>92</v>
      </c>
      <c r="AQ688" s="18" t="s">
        <v>107</v>
      </c>
      <c r="AR688" s="18" t="s">
        <v>118</v>
      </c>
      <c r="AS688" s="18" t="s">
        <v>267</v>
      </c>
      <c r="AT688" s="18"/>
      <c r="AU688" s="6"/>
      <c r="AV688" s="18">
        <f>+VLOOKUP(AN688,Leyenda!$B$30:$E$34,3,FALSE)</f>
        <v>2</v>
      </c>
      <c r="AW688" s="18">
        <f>+VLOOKUP('2. Logging Brejo Seco'!AO688,Meteorizacion,3,FALSE)</f>
        <v>1</v>
      </c>
      <c r="AX688" s="18">
        <f>+VLOOKUP('2. Logging Brejo Seco'!AP688,Apertura,3,FALSE)</f>
        <v>3</v>
      </c>
      <c r="AY688" s="18">
        <f>+VLOOKUP('2. Logging Brejo Seco'!AQ688,Leyenda!$B$55:$D$59,3,FALSE)</f>
        <v>3</v>
      </c>
      <c r="AZ688" s="18">
        <f>+VLOOKUP('2. Logging Brejo Seco'!AR688,Relleno,3,FALSE)</f>
        <v>2</v>
      </c>
      <c r="BA688" s="18">
        <f t="shared" si="275"/>
        <v>11</v>
      </c>
      <c r="BB688" s="49">
        <f t="shared" si="276"/>
        <v>12</v>
      </c>
      <c r="BC688" s="49">
        <f>VLOOKUP(AH688,Leyenda!$B$4:$D$10,3,FALSE)</f>
        <v>12</v>
      </c>
      <c r="BD688" s="49">
        <f t="shared" si="277"/>
        <v>7</v>
      </c>
      <c r="BE688" s="49">
        <f t="shared" si="278"/>
        <v>11</v>
      </c>
      <c r="BF688" s="49">
        <f>VLOOKUP(AS688,Leyenda!$B$70:$D$75,3,FALSE)</f>
        <v>15</v>
      </c>
      <c r="BG688" s="67">
        <f t="shared" si="279"/>
        <v>44.833333333333321</v>
      </c>
      <c r="BH688" s="208">
        <v>7</v>
      </c>
      <c r="BI688" s="125">
        <f t="shared" si="280"/>
        <v>8</v>
      </c>
      <c r="BJ688" s="125">
        <f t="shared" si="281"/>
        <v>12</v>
      </c>
      <c r="BK688" s="125">
        <f>+VLOOKUP('2. Logging Brejo Seco'!AP688,Leyenda!$B$47:$E$51,4,FALSE)</f>
        <v>3</v>
      </c>
      <c r="BL688" s="125">
        <f>+VLOOKUP('2. Logging Brejo Seco'!AQ688,Leyenda!$B$55:$E$59,4,FALSE)</f>
        <v>3</v>
      </c>
      <c r="BM688" s="125">
        <f>+VLOOKUP('2. Logging Brejo Seco'!AR688,Leyenda!$B$63:$E$67,3,FALSE)</f>
        <v>2</v>
      </c>
      <c r="BN688" s="125">
        <f>+VLOOKUP('2. Logging Brejo Seco'!AO688,Leyenda!$B$39:$E$43,4,FALSE)</f>
        <v>1</v>
      </c>
      <c r="BO688" s="125">
        <f>+VLOOKUP('2. Logging Brejo Seco'!AN688,Leyenda!$B$30:$E$34,4,FALSE)</f>
        <v>3</v>
      </c>
      <c r="BP688" s="125">
        <f>VLOOKUP(AS688,Leyenda!$B$71:$E$75,4,FALSE)</f>
        <v>10</v>
      </c>
      <c r="BQ688" s="125">
        <f t="shared" si="282"/>
        <v>49</v>
      </c>
      <c r="BR688" s="85">
        <f t="shared" si="283"/>
        <v>57</v>
      </c>
      <c r="BS688" s="240">
        <f t="shared" si="255"/>
        <v>0.35555555555555585</v>
      </c>
      <c r="BT688" s="6"/>
    </row>
    <row r="689" spans="1:72" x14ac:dyDescent="0.25">
      <c r="A689" s="18" t="s">
        <v>6</v>
      </c>
      <c r="B689" s="18">
        <v>2024</v>
      </c>
      <c r="C689" s="18" t="s">
        <v>138</v>
      </c>
      <c r="D689" s="18" t="s">
        <v>658</v>
      </c>
      <c r="E689" s="18">
        <v>50</v>
      </c>
      <c r="F689" s="191">
        <v>40</v>
      </c>
      <c r="G689" s="36" t="s">
        <v>153</v>
      </c>
      <c r="H689" s="245">
        <f t="shared" si="284"/>
        <v>40</v>
      </c>
      <c r="I689" s="245" t="s">
        <v>757</v>
      </c>
      <c r="J689" s="245"/>
      <c r="K689" s="18">
        <f t="shared" si="285"/>
        <v>9.4600000000000009</v>
      </c>
      <c r="L689" s="18">
        <v>9.86</v>
      </c>
      <c r="M689" s="4">
        <f t="shared" si="257"/>
        <v>0.39999999999999858</v>
      </c>
      <c r="N689" s="113">
        <f t="shared" si="258"/>
        <v>0.50000000000000178</v>
      </c>
      <c r="O689" s="5">
        <f t="shared" si="245"/>
        <v>0.49999999999999822</v>
      </c>
      <c r="P689" s="3">
        <v>0.2</v>
      </c>
      <c r="Q689" s="3"/>
      <c r="R689" s="3"/>
      <c r="S689" s="3"/>
      <c r="T689" s="3">
        <v>0.2</v>
      </c>
      <c r="U689" s="3">
        <v>0.11</v>
      </c>
      <c r="V689" s="187">
        <f t="shared" si="266"/>
        <v>27.500000000000096</v>
      </c>
      <c r="W689" s="3"/>
      <c r="X689" s="3"/>
      <c r="Y689" s="3">
        <v>5</v>
      </c>
      <c r="Z689" s="31">
        <f t="shared" si="256"/>
        <v>79.999999999999716</v>
      </c>
      <c r="AA689" s="6"/>
      <c r="AB689" s="6"/>
      <c r="AC689" s="6"/>
      <c r="AD689" s="6"/>
      <c r="AE689" s="6"/>
      <c r="AF689" s="6"/>
      <c r="AG689" s="3" t="s">
        <v>22</v>
      </c>
      <c r="AH689" s="3" t="s">
        <v>22</v>
      </c>
      <c r="AI689" s="18" t="str">
        <f>+VLOOKUP(AH689,Leyenda!$O$4:$U$10,6,FALSE)</f>
        <v>0,80-1,50</v>
      </c>
      <c r="AJ689" s="18" t="str">
        <f>+VLOOKUP(AG689,Leyenda!$O$4:$U$10,7,FALSE)</f>
        <v>Moderate to resistence to blast</v>
      </c>
      <c r="AK689" s="18">
        <f>+VLOOKUP(AJ689,Leyenda!$U$4:$V$10,2,FALSE)</f>
        <v>5</v>
      </c>
      <c r="AL689" s="3" t="s">
        <v>22</v>
      </c>
      <c r="AM689" s="18" t="s">
        <v>22</v>
      </c>
      <c r="AN689" s="18" t="s">
        <v>64</v>
      </c>
      <c r="AO689" s="18" t="s">
        <v>79</v>
      </c>
      <c r="AP689" s="18" t="s">
        <v>92</v>
      </c>
      <c r="AQ689" s="18" t="s">
        <v>107</v>
      </c>
      <c r="AR689" s="18" t="s">
        <v>118</v>
      </c>
      <c r="AS689" s="18" t="s">
        <v>267</v>
      </c>
      <c r="AT689" s="18"/>
      <c r="AU689" s="6"/>
      <c r="AV689" s="18">
        <f>+VLOOKUP(AN689,Leyenda!$B$30:$E$34,3,FALSE)</f>
        <v>2</v>
      </c>
      <c r="AW689" s="18">
        <f>+VLOOKUP('2. Logging Brejo Seco'!AO689,Meteorizacion,3,FALSE)</f>
        <v>1</v>
      </c>
      <c r="AX689" s="18">
        <f>+VLOOKUP('2. Logging Brejo Seco'!AP689,Apertura,3,FALSE)</f>
        <v>3</v>
      </c>
      <c r="AY689" s="18">
        <f>+VLOOKUP('2. Logging Brejo Seco'!AQ689,Leyenda!$B$55:$D$59,3,FALSE)</f>
        <v>3</v>
      </c>
      <c r="AZ689" s="18">
        <f>+VLOOKUP('2. Logging Brejo Seco'!AR689,Relleno,3,FALSE)</f>
        <v>2</v>
      </c>
      <c r="BA689" s="18">
        <f t="shared" si="275"/>
        <v>11</v>
      </c>
      <c r="BB689" s="49">
        <f t="shared" si="276"/>
        <v>6</v>
      </c>
      <c r="BC689" s="49">
        <f>VLOOKUP(AH689,Leyenda!$B$4:$D$10,3,FALSE)</f>
        <v>12</v>
      </c>
      <c r="BD689" s="49">
        <f t="shared" si="277"/>
        <v>7</v>
      </c>
      <c r="BE689" s="49">
        <f t="shared" si="278"/>
        <v>11</v>
      </c>
      <c r="BF689" s="49">
        <f>VLOOKUP(AS689,Leyenda!$B$70:$D$75,3,FALSE)</f>
        <v>15</v>
      </c>
      <c r="BG689" s="67">
        <f t="shared" si="279"/>
        <v>30.25000000000005</v>
      </c>
      <c r="BH689" s="208">
        <v>7</v>
      </c>
      <c r="BI689" s="125">
        <f t="shared" si="280"/>
        <v>7</v>
      </c>
      <c r="BJ689" s="125">
        <f t="shared" si="281"/>
        <v>6</v>
      </c>
      <c r="BK689" s="125">
        <f>+VLOOKUP('2. Logging Brejo Seco'!AP689,Leyenda!$B$47:$E$51,4,FALSE)</f>
        <v>3</v>
      </c>
      <c r="BL689" s="125">
        <f>+VLOOKUP('2. Logging Brejo Seco'!AQ689,Leyenda!$B$55:$E$59,4,FALSE)</f>
        <v>3</v>
      </c>
      <c r="BM689" s="125">
        <f>+VLOOKUP('2. Logging Brejo Seco'!AR689,Leyenda!$B$63:$E$67,3,FALSE)</f>
        <v>2</v>
      </c>
      <c r="BN689" s="125">
        <f>+VLOOKUP('2. Logging Brejo Seco'!AO689,Leyenda!$B$39:$E$43,4,FALSE)</f>
        <v>1</v>
      </c>
      <c r="BO689" s="125">
        <f>+VLOOKUP('2. Logging Brejo Seco'!AN689,Leyenda!$B$30:$E$34,4,FALSE)</f>
        <v>3</v>
      </c>
      <c r="BP689" s="125">
        <f>VLOOKUP(AS689,Leyenda!$B$71:$E$75,4,FALSE)</f>
        <v>10</v>
      </c>
      <c r="BQ689" s="125">
        <f t="shared" si="282"/>
        <v>42</v>
      </c>
      <c r="BR689" s="85">
        <f t="shared" si="283"/>
        <v>51</v>
      </c>
      <c r="BS689" s="240">
        <f t="shared" si="255"/>
        <v>0.49999999999999822</v>
      </c>
      <c r="BT689" s="6"/>
    </row>
    <row r="690" spans="1:72" x14ac:dyDescent="0.25">
      <c r="A690" s="18" t="s">
        <v>6</v>
      </c>
      <c r="B690" s="18">
        <v>2024</v>
      </c>
      <c r="C690" s="18" t="s">
        <v>138</v>
      </c>
      <c r="D690" s="18" t="s">
        <v>658</v>
      </c>
      <c r="E690" s="18">
        <v>50</v>
      </c>
      <c r="F690" s="191">
        <v>40</v>
      </c>
      <c r="G690" s="36" t="s">
        <v>153</v>
      </c>
      <c r="H690" s="245">
        <f t="shared" si="284"/>
        <v>40</v>
      </c>
      <c r="I690" s="245" t="s">
        <v>757</v>
      </c>
      <c r="J690" s="245"/>
      <c r="K690" s="18">
        <f t="shared" si="285"/>
        <v>9.86</v>
      </c>
      <c r="L690" s="18">
        <v>10.46</v>
      </c>
      <c r="M690" s="4">
        <f t="shared" si="257"/>
        <v>0.60000000000000142</v>
      </c>
      <c r="N690" s="113">
        <f t="shared" si="258"/>
        <v>0.68333333333333168</v>
      </c>
      <c r="O690" s="5">
        <f t="shared" ref="O690:O753" si="286">1-N690</f>
        <v>0.31666666666666832</v>
      </c>
      <c r="P690" s="3">
        <v>0.41</v>
      </c>
      <c r="Q690" s="3"/>
      <c r="R690" s="3"/>
      <c r="S690" s="3"/>
      <c r="T690" s="3">
        <v>0.41</v>
      </c>
      <c r="U690" s="3">
        <v>0</v>
      </c>
      <c r="V690" s="187">
        <f t="shared" si="266"/>
        <v>0</v>
      </c>
      <c r="W690" s="3"/>
      <c r="X690" s="3"/>
      <c r="Y690" s="3">
        <v>6</v>
      </c>
      <c r="Z690" s="31">
        <f t="shared" si="256"/>
        <v>100.00000000000023</v>
      </c>
      <c r="AA690" s="6"/>
      <c r="AB690" s="6"/>
      <c r="AC690" s="6"/>
      <c r="AD690" s="6"/>
      <c r="AE690" s="6"/>
      <c r="AF690" s="6"/>
      <c r="AG690" s="3" t="s">
        <v>22</v>
      </c>
      <c r="AH690" s="3" t="s">
        <v>22</v>
      </c>
      <c r="AI690" s="18" t="str">
        <f>+VLOOKUP(AH690,Leyenda!$O$4:$U$10,6,FALSE)</f>
        <v>0,80-1,50</v>
      </c>
      <c r="AJ690" s="18" t="str">
        <f>+VLOOKUP(AG690,Leyenda!$O$4:$U$10,7,FALSE)</f>
        <v>Moderate to resistence to blast</v>
      </c>
      <c r="AK690" s="18">
        <f>+VLOOKUP(AJ690,Leyenda!$U$4:$V$10,2,FALSE)</f>
        <v>5</v>
      </c>
      <c r="AL690" s="3" t="s">
        <v>22</v>
      </c>
      <c r="AM690" s="18" t="s">
        <v>22</v>
      </c>
      <c r="AN690" s="18" t="s">
        <v>64</v>
      </c>
      <c r="AO690" s="18" t="s">
        <v>79</v>
      </c>
      <c r="AP690" s="18" t="s">
        <v>92</v>
      </c>
      <c r="AQ690" s="18" t="s">
        <v>107</v>
      </c>
      <c r="AR690" s="18" t="s">
        <v>118</v>
      </c>
      <c r="AS690" s="18" t="s">
        <v>267</v>
      </c>
      <c r="AT690" s="18"/>
      <c r="AU690" s="6"/>
      <c r="AV690" s="18">
        <f>+VLOOKUP(AN690,Leyenda!$B$30:$E$34,3,FALSE)</f>
        <v>2</v>
      </c>
      <c r="AW690" s="18">
        <f>+VLOOKUP('2. Logging Brejo Seco'!AO690,Meteorizacion,3,FALSE)</f>
        <v>1</v>
      </c>
      <c r="AX690" s="18">
        <f>+VLOOKUP('2. Logging Brejo Seco'!AP690,Apertura,3,FALSE)</f>
        <v>3</v>
      </c>
      <c r="AY690" s="18">
        <f>+VLOOKUP('2. Logging Brejo Seco'!AQ690,Leyenda!$B$55:$D$59,3,FALSE)</f>
        <v>3</v>
      </c>
      <c r="AZ690" s="18">
        <f>+VLOOKUP('2. Logging Brejo Seco'!AR690,Relleno,3,FALSE)</f>
        <v>2</v>
      </c>
      <c r="BA690" s="18">
        <f t="shared" si="275"/>
        <v>11</v>
      </c>
      <c r="BB690" s="49">
        <f t="shared" si="276"/>
        <v>0</v>
      </c>
      <c r="BC690" s="49">
        <f>VLOOKUP(AH690,Leyenda!$B$4:$D$10,3,FALSE)</f>
        <v>12</v>
      </c>
      <c r="BD690" s="49">
        <f t="shared" si="277"/>
        <v>7</v>
      </c>
      <c r="BE690" s="49">
        <f t="shared" si="278"/>
        <v>11</v>
      </c>
      <c r="BF690" s="49">
        <f>VLOOKUP(AS690,Leyenda!$B$70:$D$75,3,FALSE)</f>
        <v>15</v>
      </c>
      <c r="BG690" s="67">
        <f t="shared" si="279"/>
        <v>16.5</v>
      </c>
      <c r="BH690" s="208">
        <v>7</v>
      </c>
      <c r="BI690" s="125">
        <f t="shared" si="280"/>
        <v>8</v>
      </c>
      <c r="BJ690" s="125">
        <f t="shared" si="281"/>
        <v>0</v>
      </c>
      <c r="BK690" s="125">
        <f>+VLOOKUP('2. Logging Brejo Seco'!AP690,Leyenda!$B$47:$E$51,4,FALSE)</f>
        <v>3</v>
      </c>
      <c r="BL690" s="125">
        <f>+VLOOKUP('2. Logging Brejo Seco'!AQ690,Leyenda!$B$55:$E$59,4,FALSE)</f>
        <v>3</v>
      </c>
      <c r="BM690" s="125">
        <f>+VLOOKUP('2. Logging Brejo Seco'!AR690,Leyenda!$B$63:$E$67,3,FALSE)</f>
        <v>2</v>
      </c>
      <c r="BN690" s="125">
        <f>+VLOOKUP('2. Logging Brejo Seco'!AO690,Leyenda!$B$39:$E$43,4,FALSE)</f>
        <v>1</v>
      </c>
      <c r="BO690" s="125">
        <f>+VLOOKUP('2. Logging Brejo Seco'!AN690,Leyenda!$B$30:$E$34,4,FALSE)</f>
        <v>3</v>
      </c>
      <c r="BP690" s="125">
        <f>VLOOKUP(AS690,Leyenda!$B$71:$E$75,4,FALSE)</f>
        <v>10</v>
      </c>
      <c r="BQ690" s="125">
        <f t="shared" si="282"/>
        <v>37</v>
      </c>
      <c r="BR690" s="85">
        <f t="shared" si="283"/>
        <v>45</v>
      </c>
      <c r="BS690" s="240">
        <f t="shared" si="255"/>
        <v>0.31666666666666832</v>
      </c>
      <c r="BT690" s="6"/>
    </row>
    <row r="691" spans="1:72" x14ac:dyDescent="0.25">
      <c r="A691" s="18" t="s">
        <v>6</v>
      </c>
      <c r="B691" s="18">
        <v>2024</v>
      </c>
      <c r="C691" s="18" t="s">
        <v>138</v>
      </c>
      <c r="D691" s="18" t="s">
        <v>658</v>
      </c>
      <c r="E691" s="18">
        <v>50</v>
      </c>
      <c r="F691" s="191">
        <v>40</v>
      </c>
      <c r="G691" s="36" t="s">
        <v>153</v>
      </c>
      <c r="H691" s="245">
        <f t="shared" si="284"/>
        <v>40</v>
      </c>
      <c r="I691" s="245" t="s">
        <v>757</v>
      </c>
      <c r="J691" s="245"/>
      <c r="K691" s="18">
        <f t="shared" si="285"/>
        <v>10.46</v>
      </c>
      <c r="L691" s="18">
        <v>11.36</v>
      </c>
      <c r="M691" s="4">
        <f t="shared" si="257"/>
        <v>0.89999999999999858</v>
      </c>
      <c r="N691" s="113">
        <f t="shared" si="258"/>
        <v>0.71111111111111225</v>
      </c>
      <c r="O691" s="5">
        <f t="shared" si="286"/>
        <v>0.28888888888888775</v>
      </c>
      <c r="P691" s="3">
        <v>0.64</v>
      </c>
      <c r="Q691" s="3"/>
      <c r="R691" s="3"/>
      <c r="S691" s="3"/>
      <c r="T691" s="3">
        <v>0.64</v>
      </c>
      <c r="U691" s="3">
        <v>0.52</v>
      </c>
      <c r="V691" s="187">
        <f t="shared" si="266"/>
        <v>57.777777777777871</v>
      </c>
      <c r="W691" s="3"/>
      <c r="X691" s="3"/>
      <c r="Y691" s="3">
        <v>7</v>
      </c>
      <c r="Z691" s="31">
        <f t="shared" si="256"/>
        <v>128.57142857142838</v>
      </c>
      <c r="AA691" s="6"/>
      <c r="AB691" s="6"/>
      <c r="AC691" s="6"/>
      <c r="AD691" s="6"/>
      <c r="AE691" s="6"/>
      <c r="AF691" s="6"/>
      <c r="AG691" s="3" t="s">
        <v>22</v>
      </c>
      <c r="AH691" s="3" t="s">
        <v>22</v>
      </c>
      <c r="AI691" s="18" t="str">
        <f>+VLOOKUP(AH691,Leyenda!$O$4:$U$10,6,FALSE)</f>
        <v>0,80-1,50</v>
      </c>
      <c r="AJ691" s="18" t="str">
        <f>+VLOOKUP(AG691,Leyenda!$O$4:$U$10,7,FALSE)</f>
        <v>Moderate to resistence to blast</v>
      </c>
      <c r="AK691" s="18">
        <f>+VLOOKUP(AJ691,Leyenda!$U$4:$V$10,2,FALSE)</f>
        <v>5</v>
      </c>
      <c r="AL691" s="3" t="s">
        <v>22</v>
      </c>
      <c r="AM691" s="18" t="s">
        <v>22</v>
      </c>
      <c r="AN691" s="18" t="s">
        <v>64</v>
      </c>
      <c r="AO691" s="18" t="s">
        <v>79</v>
      </c>
      <c r="AP691" s="18" t="s">
        <v>92</v>
      </c>
      <c r="AQ691" s="18" t="s">
        <v>107</v>
      </c>
      <c r="AR691" s="18" t="s">
        <v>118</v>
      </c>
      <c r="AS691" s="18" t="s">
        <v>267</v>
      </c>
      <c r="AT691" s="18"/>
      <c r="AU691" s="6"/>
      <c r="AV691" s="18">
        <f>+VLOOKUP(AN691,Leyenda!$B$30:$E$34,3,FALSE)</f>
        <v>2</v>
      </c>
      <c r="AW691" s="18">
        <f>+VLOOKUP('2. Logging Brejo Seco'!AO691,Meteorizacion,3,FALSE)</f>
        <v>1</v>
      </c>
      <c r="AX691" s="18">
        <f>+VLOOKUP('2. Logging Brejo Seco'!AP691,Apertura,3,FALSE)</f>
        <v>3</v>
      </c>
      <c r="AY691" s="18">
        <f>+VLOOKUP('2. Logging Brejo Seco'!AQ691,Leyenda!$B$55:$D$59,3,FALSE)</f>
        <v>3</v>
      </c>
      <c r="AZ691" s="18">
        <f>+VLOOKUP('2. Logging Brejo Seco'!AR691,Relleno,3,FALSE)</f>
        <v>2</v>
      </c>
      <c r="BA691" s="18">
        <f t="shared" si="275"/>
        <v>11</v>
      </c>
      <c r="BB691" s="49">
        <f t="shared" si="276"/>
        <v>12</v>
      </c>
      <c r="BC691" s="49">
        <f>VLOOKUP(AH691,Leyenda!$B$4:$D$10,3,FALSE)</f>
        <v>12</v>
      </c>
      <c r="BD691" s="49">
        <f t="shared" si="277"/>
        <v>8</v>
      </c>
      <c r="BE691" s="49">
        <f t="shared" si="278"/>
        <v>11</v>
      </c>
      <c r="BF691" s="49">
        <f>VLOOKUP(AS691,Leyenda!$B$70:$D$75,3,FALSE)</f>
        <v>15</v>
      </c>
      <c r="BG691" s="67">
        <f t="shared" si="279"/>
        <v>45.388888888888935</v>
      </c>
      <c r="BH691" s="208">
        <v>7</v>
      </c>
      <c r="BI691" s="125">
        <f t="shared" si="280"/>
        <v>10</v>
      </c>
      <c r="BJ691" s="125">
        <f t="shared" si="281"/>
        <v>12</v>
      </c>
      <c r="BK691" s="125">
        <f>+VLOOKUP('2. Logging Brejo Seco'!AP691,Leyenda!$B$47:$E$51,4,FALSE)</f>
        <v>3</v>
      </c>
      <c r="BL691" s="125">
        <f>+VLOOKUP('2. Logging Brejo Seco'!AQ691,Leyenda!$B$55:$E$59,4,FALSE)</f>
        <v>3</v>
      </c>
      <c r="BM691" s="125">
        <f>+VLOOKUP('2. Logging Brejo Seco'!AR691,Leyenda!$B$63:$E$67,3,FALSE)</f>
        <v>2</v>
      </c>
      <c r="BN691" s="125">
        <f>+VLOOKUP('2. Logging Brejo Seco'!AO691,Leyenda!$B$39:$E$43,4,FALSE)</f>
        <v>1</v>
      </c>
      <c r="BO691" s="125">
        <f>+VLOOKUP('2. Logging Brejo Seco'!AN691,Leyenda!$B$30:$E$34,4,FALSE)</f>
        <v>3</v>
      </c>
      <c r="BP691" s="125">
        <f>VLOOKUP(AS691,Leyenda!$B$71:$E$75,4,FALSE)</f>
        <v>10</v>
      </c>
      <c r="BQ691" s="125">
        <f t="shared" si="282"/>
        <v>51</v>
      </c>
      <c r="BR691" s="85">
        <f t="shared" si="283"/>
        <v>58</v>
      </c>
      <c r="BS691" s="240">
        <f t="shared" si="255"/>
        <v>0.28888888888888775</v>
      </c>
      <c r="BT691" s="6"/>
    </row>
    <row r="692" spans="1:72" x14ac:dyDescent="0.25">
      <c r="A692" s="18" t="s">
        <v>6</v>
      </c>
      <c r="B692" s="18">
        <v>2024</v>
      </c>
      <c r="C692" s="18" t="s">
        <v>138</v>
      </c>
      <c r="D692" s="18" t="s">
        <v>658</v>
      </c>
      <c r="E692" s="18">
        <v>50</v>
      </c>
      <c r="F692" s="191">
        <v>40</v>
      </c>
      <c r="G692" s="36" t="s">
        <v>153</v>
      </c>
      <c r="H692" s="245">
        <f t="shared" si="284"/>
        <v>40</v>
      </c>
      <c r="I692" s="245" t="s">
        <v>757</v>
      </c>
      <c r="J692" s="245"/>
      <c r="K692" s="18">
        <f t="shared" si="285"/>
        <v>11.36</v>
      </c>
      <c r="L692" s="18">
        <v>13.06</v>
      </c>
      <c r="M692" s="4">
        <f t="shared" si="257"/>
        <v>1.7000000000000011</v>
      </c>
      <c r="N692" s="113">
        <f t="shared" si="258"/>
        <v>0.71176470588235252</v>
      </c>
      <c r="O692" s="5">
        <f t="shared" si="286"/>
        <v>0.28823529411764748</v>
      </c>
      <c r="P692" s="3">
        <v>1.21</v>
      </c>
      <c r="Q692" s="3"/>
      <c r="R692" s="3"/>
      <c r="S692" s="3"/>
      <c r="T692" s="3">
        <v>1.21</v>
      </c>
      <c r="U692" s="3">
        <v>0.74</v>
      </c>
      <c r="V692" s="187">
        <f t="shared" si="266"/>
        <v>43.529411764705856</v>
      </c>
      <c r="W692" s="3"/>
      <c r="X692" s="3"/>
      <c r="Y692" s="3">
        <v>10</v>
      </c>
      <c r="Z692" s="31">
        <f t="shared" si="256"/>
        <v>170.00000000000011</v>
      </c>
      <c r="AA692" s="6"/>
      <c r="AB692" s="6"/>
      <c r="AC692" s="6"/>
      <c r="AD692" s="6"/>
      <c r="AE692" s="6"/>
      <c r="AF692" s="6"/>
      <c r="AG692" s="3" t="s">
        <v>22</v>
      </c>
      <c r="AH692" s="3" t="s">
        <v>22</v>
      </c>
      <c r="AI692" s="18" t="str">
        <f>+VLOOKUP(AH692,Leyenda!$O$4:$U$10,6,FALSE)</f>
        <v>0,80-1,50</v>
      </c>
      <c r="AJ692" s="18" t="str">
        <f>+VLOOKUP(AG692,Leyenda!$O$4:$U$10,7,FALSE)</f>
        <v>Moderate to resistence to blast</v>
      </c>
      <c r="AK692" s="18">
        <f>+VLOOKUP(AJ692,Leyenda!$U$4:$V$10,2,FALSE)</f>
        <v>5</v>
      </c>
      <c r="AL692" s="3" t="s">
        <v>22</v>
      </c>
      <c r="AM692" s="18" t="s">
        <v>22</v>
      </c>
      <c r="AN692" s="18" t="s">
        <v>64</v>
      </c>
      <c r="AO692" s="18" t="s">
        <v>79</v>
      </c>
      <c r="AP692" s="18" t="s">
        <v>92</v>
      </c>
      <c r="AQ692" s="18" t="s">
        <v>107</v>
      </c>
      <c r="AR692" s="18" t="s">
        <v>118</v>
      </c>
      <c r="AS692" s="18" t="s">
        <v>267</v>
      </c>
      <c r="AT692" s="18"/>
      <c r="AU692" s="6"/>
      <c r="AV692" s="18">
        <f>+VLOOKUP(AN692,Leyenda!$B$30:$E$34,3,FALSE)</f>
        <v>2</v>
      </c>
      <c r="AW692" s="18">
        <f>+VLOOKUP('2. Logging Brejo Seco'!AO692,Meteorizacion,3,FALSE)</f>
        <v>1</v>
      </c>
      <c r="AX692" s="18">
        <f>+VLOOKUP('2. Logging Brejo Seco'!AP692,Apertura,3,FALSE)</f>
        <v>3</v>
      </c>
      <c r="AY692" s="18">
        <f>+VLOOKUP('2. Logging Brejo Seco'!AQ692,Leyenda!$B$55:$D$59,3,FALSE)</f>
        <v>3</v>
      </c>
      <c r="AZ692" s="18">
        <f>+VLOOKUP('2. Logging Brejo Seco'!AR692,Relleno,3,FALSE)</f>
        <v>2</v>
      </c>
      <c r="BA692" s="18">
        <f t="shared" si="275"/>
        <v>11</v>
      </c>
      <c r="BB692" s="49">
        <f t="shared" si="276"/>
        <v>9</v>
      </c>
      <c r="BC692" s="49">
        <f>VLOOKUP(AH692,Leyenda!$B$4:$D$10,3,FALSE)</f>
        <v>12</v>
      </c>
      <c r="BD692" s="49">
        <f t="shared" si="277"/>
        <v>9</v>
      </c>
      <c r="BE692" s="49">
        <f t="shared" si="278"/>
        <v>11</v>
      </c>
      <c r="BF692" s="49">
        <f>VLOOKUP(AS692,Leyenda!$B$70:$D$75,3,FALSE)</f>
        <v>15</v>
      </c>
      <c r="BG692" s="67">
        <f t="shared" si="279"/>
        <v>38.264705882352928</v>
      </c>
      <c r="BH692" s="208">
        <v>7</v>
      </c>
      <c r="BI692" s="125">
        <f t="shared" si="280"/>
        <v>11</v>
      </c>
      <c r="BJ692" s="125">
        <f t="shared" si="281"/>
        <v>9</v>
      </c>
      <c r="BK692" s="125">
        <f>+VLOOKUP('2. Logging Brejo Seco'!AP692,Leyenda!$B$47:$E$51,4,FALSE)</f>
        <v>3</v>
      </c>
      <c r="BL692" s="125">
        <f>+VLOOKUP('2. Logging Brejo Seco'!AQ692,Leyenda!$B$55:$E$59,4,FALSE)</f>
        <v>3</v>
      </c>
      <c r="BM692" s="125">
        <f>+VLOOKUP('2. Logging Brejo Seco'!AR692,Leyenda!$B$63:$E$67,3,FALSE)</f>
        <v>2</v>
      </c>
      <c r="BN692" s="125">
        <f>+VLOOKUP('2. Logging Brejo Seco'!AO692,Leyenda!$B$39:$E$43,4,FALSE)</f>
        <v>1</v>
      </c>
      <c r="BO692" s="125">
        <f>+VLOOKUP('2. Logging Brejo Seco'!AN692,Leyenda!$B$30:$E$34,4,FALSE)</f>
        <v>3</v>
      </c>
      <c r="BP692" s="125">
        <f>VLOOKUP(AS692,Leyenda!$B$71:$E$75,4,FALSE)</f>
        <v>10</v>
      </c>
      <c r="BQ692" s="125">
        <f t="shared" si="282"/>
        <v>49</v>
      </c>
      <c r="BR692" s="85">
        <f t="shared" si="283"/>
        <v>56</v>
      </c>
      <c r="BS692" s="240">
        <f t="shared" si="255"/>
        <v>0.28823529411764748</v>
      </c>
      <c r="BT692" s="6"/>
    </row>
    <row r="693" spans="1:72" x14ac:dyDescent="0.25">
      <c r="A693" s="18" t="s">
        <v>6</v>
      </c>
      <c r="B693" s="18">
        <v>2024</v>
      </c>
      <c r="C693" s="18" t="s">
        <v>138</v>
      </c>
      <c r="D693" s="18" t="s">
        <v>658</v>
      </c>
      <c r="E693" s="18">
        <v>50</v>
      </c>
      <c r="F693" s="191">
        <v>40</v>
      </c>
      <c r="G693" s="36" t="s">
        <v>153</v>
      </c>
      <c r="H693" s="245">
        <f t="shared" si="284"/>
        <v>40</v>
      </c>
      <c r="I693" s="245" t="s">
        <v>757</v>
      </c>
      <c r="J693" s="245"/>
      <c r="K693" s="18">
        <f t="shared" si="285"/>
        <v>13.06</v>
      </c>
      <c r="L693" s="18">
        <v>13.76</v>
      </c>
      <c r="M693" s="4">
        <f t="shared" si="257"/>
        <v>0.69999999999999929</v>
      </c>
      <c r="N693" s="113">
        <f t="shared" si="258"/>
        <v>0.70000000000000073</v>
      </c>
      <c r="O693" s="5">
        <f t="shared" si="286"/>
        <v>0.29999999999999927</v>
      </c>
      <c r="P693" s="3">
        <v>0.49</v>
      </c>
      <c r="Q693" s="3"/>
      <c r="R693" s="3"/>
      <c r="S693" s="3"/>
      <c r="T693" s="3">
        <f>0.37+0.12</f>
        <v>0.49</v>
      </c>
      <c r="U693" s="3">
        <v>0.12</v>
      </c>
      <c r="V693" s="187">
        <f t="shared" si="266"/>
        <v>17.14285714285716</v>
      </c>
      <c r="W693" s="3"/>
      <c r="X693" s="3"/>
      <c r="Y693" s="3">
        <v>10</v>
      </c>
      <c r="Z693" s="31">
        <f t="shared" si="256"/>
        <v>69.999999999999929</v>
      </c>
      <c r="AA693" s="6"/>
      <c r="AB693" s="6"/>
      <c r="AC693" s="6"/>
      <c r="AD693" s="6"/>
      <c r="AE693" s="6"/>
      <c r="AF693" s="6"/>
      <c r="AG693" s="3" t="s">
        <v>22</v>
      </c>
      <c r="AH693" s="3" t="s">
        <v>22</v>
      </c>
      <c r="AI693" s="18" t="str">
        <f>+VLOOKUP(AH693,Leyenda!$O$4:$U$10,6,FALSE)</f>
        <v>0,80-1,50</v>
      </c>
      <c r="AJ693" s="18" t="str">
        <f>+VLOOKUP(AG693,Leyenda!$O$4:$U$10,7,FALSE)</f>
        <v>Moderate to resistence to blast</v>
      </c>
      <c r="AK693" s="18">
        <f>+VLOOKUP(AJ693,Leyenda!$U$4:$V$10,2,FALSE)</f>
        <v>5</v>
      </c>
      <c r="AL693" s="3" t="s">
        <v>22</v>
      </c>
      <c r="AM693" s="18" t="s">
        <v>22</v>
      </c>
      <c r="AN693" s="18" t="s">
        <v>64</v>
      </c>
      <c r="AO693" s="18" t="s">
        <v>79</v>
      </c>
      <c r="AP693" s="18" t="s">
        <v>92</v>
      </c>
      <c r="AQ693" s="18" t="s">
        <v>107</v>
      </c>
      <c r="AR693" s="18" t="s">
        <v>118</v>
      </c>
      <c r="AS693" s="18" t="s">
        <v>267</v>
      </c>
      <c r="AT693" s="18"/>
      <c r="AU693" s="6"/>
      <c r="AV693" s="18">
        <f>+VLOOKUP(AN693,Leyenda!$B$30:$E$34,3,FALSE)</f>
        <v>2</v>
      </c>
      <c r="AW693" s="18">
        <f>+VLOOKUP('2. Logging Brejo Seco'!AO693,Meteorizacion,3,FALSE)</f>
        <v>1</v>
      </c>
      <c r="AX693" s="18">
        <f>+VLOOKUP('2. Logging Brejo Seco'!AP693,Apertura,3,FALSE)</f>
        <v>3</v>
      </c>
      <c r="AY693" s="18">
        <f>+VLOOKUP('2. Logging Brejo Seco'!AQ693,Leyenda!$B$55:$D$59,3,FALSE)</f>
        <v>3</v>
      </c>
      <c r="AZ693" s="18">
        <f>+VLOOKUP('2. Logging Brejo Seco'!AR693,Relleno,3,FALSE)</f>
        <v>2</v>
      </c>
      <c r="BA693" s="18">
        <f t="shared" si="275"/>
        <v>11</v>
      </c>
      <c r="BB693" s="49">
        <f t="shared" si="276"/>
        <v>4</v>
      </c>
      <c r="BC693" s="49">
        <f>VLOOKUP(AH693,Leyenda!$B$4:$D$10,3,FALSE)</f>
        <v>12</v>
      </c>
      <c r="BD693" s="49">
        <f t="shared" si="277"/>
        <v>6</v>
      </c>
      <c r="BE693" s="49">
        <f t="shared" si="278"/>
        <v>11</v>
      </c>
      <c r="BF693" s="49">
        <f>VLOOKUP(AS693,Leyenda!$B$70:$D$75,3,FALSE)</f>
        <v>15</v>
      </c>
      <c r="BG693" s="67">
        <f t="shared" si="279"/>
        <v>25.07142857142858</v>
      </c>
      <c r="BH693" s="208">
        <v>7</v>
      </c>
      <c r="BI693" s="125">
        <f t="shared" si="280"/>
        <v>6</v>
      </c>
      <c r="BJ693" s="125">
        <f t="shared" si="281"/>
        <v>4</v>
      </c>
      <c r="BK693" s="125">
        <f>+VLOOKUP('2. Logging Brejo Seco'!AP693,Leyenda!$B$47:$E$51,4,FALSE)</f>
        <v>3</v>
      </c>
      <c r="BL693" s="125">
        <f>+VLOOKUP('2. Logging Brejo Seco'!AQ693,Leyenda!$B$55:$E$59,4,FALSE)</f>
        <v>3</v>
      </c>
      <c r="BM693" s="125">
        <f>+VLOOKUP('2. Logging Brejo Seco'!AR693,Leyenda!$B$63:$E$67,3,FALSE)</f>
        <v>2</v>
      </c>
      <c r="BN693" s="125">
        <f>+VLOOKUP('2. Logging Brejo Seco'!AO693,Leyenda!$B$39:$E$43,4,FALSE)</f>
        <v>1</v>
      </c>
      <c r="BO693" s="125">
        <f>+VLOOKUP('2. Logging Brejo Seco'!AN693,Leyenda!$B$30:$E$34,4,FALSE)</f>
        <v>3</v>
      </c>
      <c r="BP693" s="125">
        <f>VLOOKUP(AS693,Leyenda!$B$71:$E$75,4,FALSE)</f>
        <v>10</v>
      </c>
      <c r="BQ693" s="125">
        <f t="shared" si="282"/>
        <v>39</v>
      </c>
      <c r="BR693" s="85">
        <f t="shared" si="283"/>
        <v>48</v>
      </c>
      <c r="BS693" s="240">
        <f t="shared" si="255"/>
        <v>0.29999999999999927</v>
      </c>
      <c r="BT693" s="6"/>
    </row>
    <row r="694" spans="1:72" x14ac:dyDescent="0.25">
      <c r="A694" s="18" t="s">
        <v>6</v>
      </c>
      <c r="B694" s="18">
        <v>2024</v>
      </c>
      <c r="C694" s="18" t="s">
        <v>138</v>
      </c>
      <c r="D694" s="18" t="s">
        <v>658</v>
      </c>
      <c r="E694" s="18">
        <v>50</v>
      </c>
      <c r="F694" s="191">
        <v>50</v>
      </c>
      <c r="G694" s="18" t="s">
        <v>154</v>
      </c>
      <c r="H694" s="245">
        <f t="shared" si="284"/>
        <v>50</v>
      </c>
      <c r="I694" s="245" t="s">
        <v>757</v>
      </c>
      <c r="J694" s="245"/>
      <c r="K694" s="18">
        <f t="shared" si="285"/>
        <v>13.76</v>
      </c>
      <c r="L694" s="18">
        <v>14.6</v>
      </c>
      <c r="M694" s="4">
        <f t="shared" si="257"/>
        <v>0.83999999999999986</v>
      </c>
      <c r="N694" s="113">
        <f t="shared" si="258"/>
        <v>0.66666666666666685</v>
      </c>
      <c r="O694" s="5">
        <f t="shared" si="286"/>
        <v>0.33333333333333315</v>
      </c>
      <c r="P694" s="3">
        <v>0.56000000000000005</v>
      </c>
      <c r="Q694" s="3"/>
      <c r="R694" s="3"/>
      <c r="S694" s="3"/>
      <c r="T694" s="3">
        <v>0.56000000000000005</v>
      </c>
      <c r="U694" s="3">
        <v>0.19</v>
      </c>
      <c r="V694" s="187">
        <f t="shared" si="266"/>
        <v>22.61904761904762</v>
      </c>
      <c r="W694" s="3"/>
      <c r="X694" s="3"/>
      <c r="Y694" s="3">
        <v>10</v>
      </c>
      <c r="Z694" s="31">
        <f t="shared" si="256"/>
        <v>83.999999999999986</v>
      </c>
      <c r="AA694" s="6"/>
      <c r="AB694" s="6"/>
      <c r="AC694" s="6"/>
      <c r="AD694" s="6"/>
      <c r="AE694" s="6"/>
      <c r="AF694" s="6"/>
      <c r="AG694" s="3" t="s">
        <v>29</v>
      </c>
      <c r="AH694" s="3" t="s">
        <v>29</v>
      </c>
      <c r="AI694" s="18" t="str">
        <f>+VLOOKUP(AH694,Leyenda!$O$4:$U$10,6,FALSE)</f>
        <v>0,25-0,35</v>
      </c>
      <c r="AJ694" s="18" t="str">
        <f>+VLOOKUP(AG694,Leyenda!$O$4:$U$10,7,FALSE)</f>
        <v>No Blasting need</v>
      </c>
      <c r="AK694" s="18">
        <f>+VLOOKUP(AJ694,Leyenda!$U$4:$V$10,2,FALSE)</f>
        <v>2</v>
      </c>
      <c r="AL694" s="6"/>
      <c r="AM694" s="18" t="s">
        <v>29</v>
      </c>
      <c r="AN694" s="18" t="s">
        <v>66</v>
      </c>
      <c r="AO694" s="18" t="s">
        <v>79</v>
      </c>
      <c r="AP694" s="18" t="s">
        <v>96</v>
      </c>
      <c r="AQ694" s="18" t="s">
        <v>109</v>
      </c>
      <c r="AR694" s="18" t="s">
        <v>120</v>
      </c>
      <c r="AS694" s="18" t="s">
        <v>267</v>
      </c>
      <c r="AT694" s="18"/>
      <c r="AU694" s="6"/>
      <c r="AV694" s="36">
        <f>+VLOOKUP(AN694,Leyenda!$B$30:$E$34,3,FALSE)</f>
        <v>1</v>
      </c>
      <c r="AW694" s="36">
        <f>+VLOOKUP('2. Logging Brejo Seco'!AO694,Meteorizacion,3,FALSE)</f>
        <v>1</v>
      </c>
      <c r="AX694" s="36">
        <f>+VLOOKUP('2. Logging Brejo Seco'!AP694,Apertura,3,FALSE)</f>
        <v>1</v>
      </c>
      <c r="AY694" s="36">
        <f>+VLOOKUP('2. Logging Brejo Seco'!AQ694,Leyenda!$B$55:$D$59,3,FALSE)</f>
        <v>1</v>
      </c>
      <c r="AZ694" s="36">
        <f>+VLOOKUP('2. Logging Brejo Seco'!AR694,Relleno,3,FALSE)</f>
        <v>2</v>
      </c>
      <c r="BA694" s="36">
        <f t="shared" si="275"/>
        <v>6</v>
      </c>
      <c r="BB694" s="50">
        <f t="shared" si="276"/>
        <v>5</v>
      </c>
      <c r="BC694" s="49">
        <f>VLOOKUP(AH694,Leyenda!$B$4:$D$10,3,FALSE)</f>
        <v>2</v>
      </c>
      <c r="BD694" s="50">
        <f t="shared" si="277"/>
        <v>7</v>
      </c>
      <c r="BE694" s="50">
        <f t="shared" si="278"/>
        <v>6</v>
      </c>
      <c r="BF694" s="50">
        <f>VLOOKUP(AS694,Leyenda!$B$70:$D$75,3,FALSE)</f>
        <v>15</v>
      </c>
      <c r="BG694" s="110">
        <f t="shared" si="279"/>
        <v>20.30952380952381</v>
      </c>
      <c r="BH694" s="110">
        <f>VLOOKUP(AG694,Leyenda!$B$4:$E$10,4,FALSE)</f>
        <v>2</v>
      </c>
      <c r="BI694" s="67">
        <f t="shared" si="280"/>
        <v>7</v>
      </c>
      <c r="BJ694" s="110">
        <f t="shared" si="281"/>
        <v>5</v>
      </c>
      <c r="BK694" s="110">
        <f>+VLOOKUP('2. Logging Brejo Seco'!AP694,Leyenda!$B$47:$E$51,4,FALSE)</f>
        <v>1</v>
      </c>
      <c r="BL694" s="110">
        <f>+VLOOKUP('2. Logging Brejo Seco'!AQ694,Leyenda!$B$55:$E$59,4,FALSE)</f>
        <v>1</v>
      </c>
      <c r="BM694" s="110">
        <f>+VLOOKUP('2. Logging Brejo Seco'!AR694,Leyenda!$B$63:$E$67,3,FALSE)</f>
        <v>2</v>
      </c>
      <c r="BN694" s="110">
        <f>+VLOOKUP('2. Logging Brejo Seco'!AO694,Leyenda!$B$39:$E$43,4,FALSE)</f>
        <v>1</v>
      </c>
      <c r="BO694" s="110">
        <f>+VLOOKUP('2. Logging Brejo Seco'!AN694,Leyenda!$B$30:$E$34,4,FALSE)</f>
        <v>1</v>
      </c>
      <c r="BP694" s="110">
        <f>VLOOKUP(AS694,Leyenda!$B$71:$E$75,4,FALSE)</f>
        <v>10</v>
      </c>
      <c r="BQ694" s="110">
        <f t="shared" si="282"/>
        <v>30</v>
      </c>
      <c r="BR694" s="36">
        <f t="shared" si="283"/>
        <v>35</v>
      </c>
      <c r="BS694" s="240">
        <f t="shared" si="255"/>
        <v>0.33333333333333315</v>
      </c>
      <c r="BT694" s="6"/>
    </row>
    <row r="695" spans="1:72" x14ac:dyDescent="0.25">
      <c r="A695" s="18" t="s">
        <v>6</v>
      </c>
      <c r="B695" s="18">
        <v>2024</v>
      </c>
      <c r="C695" s="18" t="s">
        <v>138</v>
      </c>
      <c r="D695" s="18" t="s">
        <v>658</v>
      </c>
      <c r="E695" s="18">
        <v>50</v>
      </c>
      <c r="F695" s="191">
        <v>50</v>
      </c>
      <c r="G695" s="18" t="s">
        <v>154</v>
      </c>
      <c r="H695" s="245">
        <f t="shared" si="284"/>
        <v>50</v>
      </c>
      <c r="I695" s="245" t="s">
        <v>757</v>
      </c>
      <c r="J695" s="245"/>
      <c r="K695" s="18">
        <v>14.6</v>
      </c>
      <c r="L695" s="18">
        <v>15.35</v>
      </c>
      <c r="M695" s="4">
        <f t="shared" si="257"/>
        <v>0.75</v>
      </c>
      <c r="N695" s="113">
        <f t="shared" si="258"/>
        <v>0.66666666666666663</v>
      </c>
      <c r="O695" s="5">
        <f t="shared" si="286"/>
        <v>0.33333333333333337</v>
      </c>
      <c r="P695" s="3">
        <v>0.5</v>
      </c>
      <c r="Q695" s="3"/>
      <c r="R695" s="3"/>
      <c r="S695" s="3"/>
      <c r="T695" s="3">
        <v>0.5</v>
      </c>
      <c r="U695" s="3">
        <v>0</v>
      </c>
      <c r="V695" s="187">
        <f t="shared" si="266"/>
        <v>0</v>
      </c>
      <c r="W695" s="3"/>
      <c r="X695" s="3"/>
      <c r="Y695" s="3">
        <v>9</v>
      </c>
      <c r="Z695" s="31">
        <f t="shared" si="256"/>
        <v>83.333333333333329</v>
      </c>
      <c r="AA695" s="6"/>
      <c r="AB695" s="6"/>
      <c r="AC695" s="6"/>
      <c r="AD695" s="6"/>
      <c r="AE695" s="6"/>
      <c r="AF695" s="6"/>
      <c r="AG695" s="3" t="s">
        <v>29</v>
      </c>
      <c r="AH695" s="3" t="s">
        <v>29</v>
      </c>
      <c r="AI695" s="18" t="str">
        <f>+VLOOKUP(AH695,Leyenda!$O$4:$U$10,6,FALSE)</f>
        <v>0,25-0,35</v>
      </c>
      <c r="AJ695" s="18" t="str">
        <f>+VLOOKUP(AG695,Leyenda!$O$4:$U$10,7,FALSE)</f>
        <v>No Blasting need</v>
      </c>
      <c r="AK695" s="18">
        <f>+VLOOKUP(AJ695,Leyenda!$U$4:$V$10,2,FALSE)</f>
        <v>2</v>
      </c>
      <c r="AL695" s="6"/>
      <c r="AM695" s="18" t="s">
        <v>29</v>
      </c>
      <c r="AN695" s="18" t="s">
        <v>66</v>
      </c>
      <c r="AO695" s="18" t="s">
        <v>79</v>
      </c>
      <c r="AP695" s="18" t="s">
        <v>96</v>
      </c>
      <c r="AQ695" s="18" t="s">
        <v>109</v>
      </c>
      <c r="AR695" s="18" t="s">
        <v>120</v>
      </c>
      <c r="AS695" s="18" t="s">
        <v>267</v>
      </c>
      <c r="AT695" s="18"/>
      <c r="AU695" s="6"/>
      <c r="AV695" s="36">
        <f>+VLOOKUP(AN695,Leyenda!$B$30:$E$34,3,FALSE)</f>
        <v>1</v>
      </c>
      <c r="AW695" s="36">
        <f>+VLOOKUP('2. Logging Brejo Seco'!AO695,Meteorizacion,3,FALSE)</f>
        <v>1</v>
      </c>
      <c r="AX695" s="36">
        <f>+VLOOKUP('2. Logging Brejo Seco'!AP695,Apertura,3,FALSE)</f>
        <v>1</v>
      </c>
      <c r="AY695" s="36">
        <f>+VLOOKUP('2. Logging Brejo Seco'!AQ695,Leyenda!$B$55:$D$59,3,FALSE)</f>
        <v>1</v>
      </c>
      <c r="AZ695" s="36">
        <f>+VLOOKUP('2. Logging Brejo Seco'!AR695,Relleno,3,FALSE)</f>
        <v>2</v>
      </c>
      <c r="BA695" s="36">
        <f t="shared" si="275"/>
        <v>6</v>
      </c>
      <c r="BB695" s="50">
        <f t="shared" si="276"/>
        <v>0</v>
      </c>
      <c r="BC695" s="49">
        <f>VLOOKUP(AH695,Leyenda!$B$4:$D$10,3,FALSE)</f>
        <v>2</v>
      </c>
      <c r="BD695" s="50">
        <f t="shared" si="277"/>
        <v>7</v>
      </c>
      <c r="BE695" s="50">
        <f t="shared" si="278"/>
        <v>6</v>
      </c>
      <c r="BF695" s="50">
        <f>VLOOKUP(AS695,Leyenda!$B$70:$D$75,3,FALSE)</f>
        <v>15</v>
      </c>
      <c r="BG695" s="110">
        <f t="shared" si="279"/>
        <v>9</v>
      </c>
      <c r="BH695" s="110">
        <f>VLOOKUP(AG695,Leyenda!$B$4:$E$10,4,FALSE)</f>
        <v>2</v>
      </c>
      <c r="BI695" s="67">
        <f t="shared" si="280"/>
        <v>7</v>
      </c>
      <c r="BJ695" s="110">
        <f t="shared" si="281"/>
        <v>0</v>
      </c>
      <c r="BK695" s="110">
        <f>+VLOOKUP('2. Logging Brejo Seco'!AP695,Leyenda!$B$47:$E$51,4,FALSE)</f>
        <v>1</v>
      </c>
      <c r="BL695" s="110">
        <f>+VLOOKUP('2. Logging Brejo Seco'!AQ695,Leyenda!$B$55:$E$59,4,FALSE)</f>
        <v>1</v>
      </c>
      <c r="BM695" s="110">
        <f>+VLOOKUP('2. Logging Brejo Seco'!AR695,Leyenda!$B$63:$E$67,3,FALSE)</f>
        <v>2</v>
      </c>
      <c r="BN695" s="110">
        <f>+VLOOKUP('2. Logging Brejo Seco'!AO695,Leyenda!$B$39:$E$43,4,FALSE)</f>
        <v>1</v>
      </c>
      <c r="BO695" s="110">
        <f>+VLOOKUP('2. Logging Brejo Seco'!AN695,Leyenda!$B$30:$E$34,4,FALSE)</f>
        <v>1</v>
      </c>
      <c r="BP695" s="110">
        <f>VLOOKUP(AS695,Leyenda!$B$71:$E$75,4,FALSE)</f>
        <v>10</v>
      </c>
      <c r="BQ695" s="110">
        <f t="shared" si="282"/>
        <v>25</v>
      </c>
      <c r="BR695" s="36">
        <f t="shared" si="283"/>
        <v>30</v>
      </c>
      <c r="BS695" s="240">
        <f t="shared" si="255"/>
        <v>0.33333333333333337</v>
      </c>
      <c r="BT695" s="6"/>
    </row>
    <row r="696" spans="1:72" x14ac:dyDescent="0.25">
      <c r="A696" s="18" t="s">
        <v>6</v>
      </c>
      <c r="B696" s="18">
        <v>2024</v>
      </c>
      <c r="C696" s="18" t="s">
        <v>138</v>
      </c>
      <c r="D696" s="18" t="s">
        <v>658</v>
      </c>
      <c r="E696" s="18">
        <v>50</v>
      </c>
      <c r="F696" s="191">
        <v>50</v>
      </c>
      <c r="G696" s="18" t="s">
        <v>154</v>
      </c>
      <c r="H696" s="245">
        <f t="shared" si="284"/>
        <v>50</v>
      </c>
      <c r="I696" s="245" t="s">
        <v>757</v>
      </c>
      <c r="J696" s="245"/>
      <c r="K696" s="18">
        <v>15.35</v>
      </c>
      <c r="L696" s="18">
        <v>16.57</v>
      </c>
      <c r="M696" s="4">
        <f t="shared" si="257"/>
        <v>1.2200000000000006</v>
      </c>
      <c r="N696" s="113">
        <f t="shared" si="258"/>
        <v>0.90983606557377006</v>
      </c>
      <c r="O696" s="5">
        <f t="shared" si="286"/>
        <v>9.0163934426229941E-2</v>
      </c>
      <c r="P696" s="3">
        <v>1.1100000000000001</v>
      </c>
      <c r="Q696" s="3"/>
      <c r="R696" s="3"/>
      <c r="S696" s="3"/>
      <c r="T696" s="3">
        <v>1.1100000000000001</v>
      </c>
      <c r="U696" s="3">
        <v>0</v>
      </c>
      <c r="V696" s="187">
        <f t="shared" si="266"/>
        <v>0</v>
      </c>
      <c r="W696" s="3"/>
      <c r="X696" s="3"/>
      <c r="Y696" s="3">
        <v>20</v>
      </c>
      <c r="Z696" s="31">
        <f t="shared" si="256"/>
        <v>61.000000000000036</v>
      </c>
      <c r="AA696" s="6"/>
      <c r="AB696" s="6"/>
      <c r="AC696" s="6"/>
      <c r="AD696" s="6"/>
      <c r="AE696" s="6"/>
      <c r="AF696" s="6"/>
      <c r="AG696" s="3" t="s">
        <v>29</v>
      </c>
      <c r="AH696" s="3" t="s">
        <v>29</v>
      </c>
      <c r="AI696" s="18" t="str">
        <f>+VLOOKUP(AH696,Leyenda!$O$4:$U$10,6,FALSE)</f>
        <v>0,25-0,35</v>
      </c>
      <c r="AJ696" s="18" t="str">
        <f>+VLOOKUP(AG696,Leyenda!$O$4:$U$10,7,FALSE)</f>
        <v>No Blasting need</v>
      </c>
      <c r="AK696" s="18">
        <f>+VLOOKUP(AJ696,Leyenda!$U$4:$V$10,2,FALSE)</f>
        <v>2</v>
      </c>
      <c r="AL696" s="6"/>
      <c r="AM696" s="18" t="s">
        <v>29</v>
      </c>
      <c r="AN696" s="18" t="s">
        <v>66</v>
      </c>
      <c r="AO696" s="18" t="s">
        <v>81</v>
      </c>
      <c r="AP696" s="18" t="s">
        <v>100</v>
      </c>
      <c r="AQ696" s="18" t="s">
        <v>109</v>
      </c>
      <c r="AR696" s="18" t="s">
        <v>120</v>
      </c>
      <c r="AS696" s="18" t="s">
        <v>267</v>
      </c>
      <c r="AT696" s="18"/>
      <c r="AU696" s="6"/>
      <c r="AV696" s="36">
        <f>+VLOOKUP(AN696,Leyenda!$B$30:$E$34,3,FALSE)</f>
        <v>1</v>
      </c>
      <c r="AW696" s="36">
        <f>+VLOOKUP('2. Logging Brejo Seco'!AO696,Meteorizacion,3,FALSE)</f>
        <v>0</v>
      </c>
      <c r="AX696" s="36">
        <f>+VLOOKUP('2. Logging Brejo Seco'!AP696,Apertura,3,FALSE)</f>
        <v>0</v>
      </c>
      <c r="AY696" s="36">
        <f>+VLOOKUP('2. Logging Brejo Seco'!AQ696,Leyenda!$B$55:$D$59,3,FALSE)</f>
        <v>1</v>
      </c>
      <c r="AZ696" s="36">
        <f>+VLOOKUP('2. Logging Brejo Seco'!AR696,Relleno,3,FALSE)</f>
        <v>2</v>
      </c>
      <c r="BA696" s="36">
        <f t="shared" si="275"/>
        <v>4</v>
      </c>
      <c r="BB696" s="50">
        <f t="shared" si="276"/>
        <v>0</v>
      </c>
      <c r="BC696" s="49">
        <f>VLOOKUP(AH696,Leyenda!$B$4:$D$10,3,FALSE)</f>
        <v>2</v>
      </c>
      <c r="BD696" s="50">
        <f t="shared" si="277"/>
        <v>6</v>
      </c>
      <c r="BE696" s="50">
        <f t="shared" si="278"/>
        <v>4</v>
      </c>
      <c r="BF696" s="50">
        <f>VLOOKUP(AS696,Leyenda!$B$70:$D$75,3,FALSE)</f>
        <v>15</v>
      </c>
      <c r="BG696" s="110">
        <f t="shared" si="279"/>
        <v>6</v>
      </c>
      <c r="BH696" s="110">
        <f>VLOOKUP(AG696,Leyenda!$B$4:$E$10,4,FALSE)</f>
        <v>2</v>
      </c>
      <c r="BI696" s="67">
        <f t="shared" si="280"/>
        <v>5</v>
      </c>
      <c r="BJ696" s="110">
        <f t="shared" si="281"/>
        <v>0</v>
      </c>
      <c r="BK696" s="110">
        <f>+VLOOKUP('2. Logging Brejo Seco'!AP696,Leyenda!$B$47:$E$51,4,FALSE)</f>
        <v>0</v>
      </c>
      <c r="BL696" s="110">
        <f>+VLOOKUP('2. Logging Brejo Seco'!AQ696,Leyenda!$B$55:$E$59,4,FALSE)</f>
        <v>1</v>
      </c>
      <c r="BM696" s="110">
        <f>+VLOOKUP('2. Logging Brejo Seco'!AR696,Leyenda!$B$63:$E$67,3,FALSE)</f>
        <v>2</v>
      </c>
      <c r="BN696" s="110">
        <f>+VLOOKUP('2. Logging Brejo Seco'!AO696,Leyenda!$B$39:$E$43,4,FALSE)</f>
        <v>0</v>
      </c>
      <c r="BO696" s="110">
        <f>+VLOOKUP('2. Logging Brejo Seco'!AN696,Leyenda!$B$30:$E$34,4,FALSE)</f>
        <v>1</v>
      </c>
      <c r="BP696" s="110">
        <f>VLOOKUP(AS696,Leyenda!$B$71:$E$75,4,FALSE)</f>
        <v>10</v>
      </c>
      <c r="BQ696" s="110">
        <f t="shared" si="282"/>
        <v>21</v>
      </c>
      <c r="BR696" s="36">
        <f t="shared" si="283"/>
        <v>27</v>
      </c>
      <c r="BS696" s="240">
        <f t="shared" si="255"/>
        <v>9.0163934426229941E-2</v>
      </c>
      <c r="BT696" s="6"/>
    </row>
    <row r="697" spans="1:72" x14ac:dyDescent="0.25">
      <c r="A697" s="18" t="s">
        <v>6</v>
      </c>
      <c r="B697" s="18">
        <v>2024</v>
      </c>
      <c r="C697" s="18" t="s">
        <v>138</v>
      </c>
      <c r="D697" s="18" t="s">
        <v>658</v>
      </c>
      <c r="E697" s="18">
        <v>50</v>
      </c>
      <c r="F697" s="191">
        <v>50</v>
      </c>
      <c r="G697" s="18" t="s">
        <v>154</v>
      </c>
      <c r="H697" s="245">
        <f t="shared" si="284"/>
        <v>50</v>
      </c>
      <c r="I697" s="245" t="s">
        <v>757</v>
      </c>
      <c r="J697" s="245"/>
      <c r="K697" s="18">
        <f t="shared" si="285"/>
        <v>16.57</v>
      </c>
      <c r="L697" s="18">
        <v>18.489999999999998</v>
      </c>
      <c r="M697" s="4">
        <f t="shared" si="257"/>
        <v>1.9199999999999982</v>
      </c>
      <c r="N697" s="113">
        <f t="shared" si="258"/>
        <v>0.63020833333333393</v>
      </c>
      <c r="O697" s="5">
        <f t="shared" si="286"/>
        <v>0.36979166666666607</v>
      </c>
      <c r="P697" s="3">
        <v>1.21</v>
      </c>
      <c r="Q697" s="3"/>
      <c r="R697" s="3"/>
      <c r="S697" s="3"/>
      <c r="T697" s="3">
        <v>1.21</v>
      </c>
      <c r="U697" s="3">
        <v>0.5</v>
      </c>
      <c r="V697" s="187">
        <f t="shared" si="266"/>
        <v>26.041666666666689</v>
      </c>
      <c r="W697" s="3"/>
      <c r="X697" s="3"/>
      <c r="Y697" s="3">
        <v>15</v>
      </c>
      <c r="Z697" s="31">
        <f t="shared" si="256"/>
        <v>127.99999999999987</v>
      </c>
      <c r="AA697" s="6"/>
      <c r="AB697" s="6"/>
      <c r="AC697" s="6"/>
      <c r="AD697" s="6"/>
      <c r="AE697" s="6"/>
      <c r="AF697" s="6"/>
      <c r="AG697" s="3" t="s">
        <v>32</v>
      </c>
      <c r="AH697" s="3" t="s">
        <v>32</v>
      </c>
      <c r="AI697" s="18" t="str">
        <f>+VLOOKUP(AH697,Leyenda!$O$4:$U$10,6,FALSE)</f>
        <v>0,15-0,25</v>
      </c>
      <c r="AJ697" s="18" t="str">
        <f>+VLOOKUP(AG697,Leyenda!$O$4:$U$10,7,FALSE)</f>
        <v>No Blasting need</v>
      </c>
      <c r="AK697" s="18">
        <f>+VLOOKUP(AJ697,Leyenda!$U$4:$V$10,2,FALSE)</f>
        <v>2</v>
      </c>
      <c r="AL697" s="6"/>
      <c r="AM697" s="18" t="s">
        <v>32</v>
      </c>
      <c r="AN697" s="18" t="s">
        <v>66</v>
      </c>
      <c r="AO697" s="18" t="s">
        <v>79</v>
      </c>
      <c r="AP697" s="18" t="s">
        <v>96</v>
      </c>
      <c r="AQ697" s="18" t="s">
        <v>109</v>
      </c>
      <c r="AR697" s="18" t="s">
        <v>120</v>
      </c>
      <c r="AS697" s="18" t="s">
        <v>267</v>
      </c>
      <c r="AT697" s="18"/>
      <c r="AU697" s="6"/>
      <c r="AV697" s="36">
        <f>+VLOOKUP(AN697,Leyenda!$B$30:$E$34,3,FALSE)</f>
        <v>1</v>
      </c>
      <c r="AW697" s="36">
        <f>+VLOOKUP('2. Logging Brejo Seco'!AO697,Meteorizacion,3,FALSE)</f>
        <v>1</v>
      </c>
      <c r="AX697" s="36">
        <f>+VLOOKUP('2. Logging Brejo Seco'!AP697,Apertura,3,FALSE)</f>
        <v>1</v>
      </c>
      <c r="AY697" s="36">
        <f>+VLOOKUP('2. Logging Brejo Seco'!AQ697,Leyenda!$B$55:$D$59,3,FALSE)</f>
        <v>1</v>
      </c>
      <c r="AZ697" s="36">
        <f>+VLOOKUP('2. Logging Brejo Seco'!AR697,Relleno,3,FALSE)</f>
        <v>2</v>
      </c>
      <c r="BA697" s="36">
        <f t="shared" si="275"/>
        <v>6</v>
      </c>
      <c r="BB697" s="50">
        <f t="shared" si="276"/>
        <v>6</v>
      </c>
      <c r="BC697" s="49">
        <f>VLOOKUP(AH697,Leyenda!$B$4:$D$10,3,FALSE)</f>
        <v>1</v>
      </c>
      <c r="BD697" s="50">
        <f t="shared" si="277"/>
        <v>8</v>
      </c>
      <c r="BE697" s="50">
        <f t="shared" si="278"/>
        <v>6</v>
      </c>
      <c r="BF697" s="50">
        <f>VLOOKUP(AS697,Leyenda!$B$70:$D$75,3,FALSE)</f>
        <v>15</v>
      </c>
      <c r="BG697" s="110">
        <f t="shared" si="279"/>
        <v>22.020833333333343</v>
      </c>
      <c r="BH697" s="110">
        <f>VLOOKUP(AG697,Leyenda!$B$4:$E$10,4,FALSE)</f>
        <v>1</v>
      </c>
      <c r="BI697" s="67">
        <f t="shared" si="280"/>
        <v>10</v>
      </c>
      <c r="BJ697" s="110">
        <f t="shared" si="281"/>
        <v>6</v>
      </c>
      <c r="BK697" s="110">
        <f>+VLOOKUP('2. Logging Brejo Seco'!AP697,Leyenda!$B$47:$E$51,4,FALSE)</f>
        <v>1</v>
      </c>
      <c r="BL697" s="110">
        <f>+VLOOKUP('2. Logging Brejo Seco'!AQ697,Leyenda!$B$55:$E$59,4,FALSE)</f>
        <v>1</v>
      </c>
      <c r="BM697" s="110">
        <f>+VLOOKUP('2. Logging Brejo Seco'!AR697,Leyenda!$B$63:$E$67,3,FALSE)</f>
        <v>2</v>
      </c>
      <c r="BN697" s="110">
        <f>+VLOOKUP('2. Logging Brejo Seco'!AO697,Leyenda!$B$39:$E$43,4,FALSE)</f>
        <v>1</v>
      </c>
      <c r="BO697" s="110">
        <f>+VLOOKUP('2. Logging Brejo Seco'!AN697,Leyenda!$B$30:$E$34,4,FALSE)</f>
        <v>1</v>
      </c>
      <c r="BP697" s="110">
        <f>VLOOKUP(AS697,Leyenda!$B$71:$E$75,4,FALSE)</f>
        <v>10</v>
      </c>
      <c r="BQ697" s="110">
        <f t="shared" si="282"/>
        <v>33</v>
      </c>
      <c r="BR697" s="36">
        <f t="shared" si="283"/>
        <v>36</v>
      </c>
      <c r="BS697" s="240">
        <f t="shared" si="255"/>
        <v>0.36979166666666607</v>
      </c>
      <c r="BT697" s="6"/>
    </row>
    <row r="698" spans="1:72" x14ac:dyDescent="0.25">
      <c r="A698" s="18" t="s">
        <v>6</v>
      </c>
      <c r="B698" s="18">
        <v>2024</v>
      </c>
      <c r="C698" s="18" t="s">
        <v>138</v>
      </c>
      <c r="D698" s="18" t="s">
        <v>658</v>
      </c>
      <c r="E698" s="18">
        <v>50</v>
      </c>
      <c r="F698" s="191">
        <v>50</v>
      </c>
      <c r="G698" s="18" t="s">
        <v>154</v>
      </c>
      <c r="H698" s="245">
        <f t="shared" si="284"/>
        <v>50</v>
      </c>
      <c r="I698" s="245" t="s">
        <v>757</v>
      </c>
      <c r="J698" s="245"/>
      <c r="K698" s="18">
        <f t="shared" si="285"/>
        <v>18.489999999999998</v>
      </c>
      <c r="L698" s="18">
        <v>19.670000000000002</v>
      </c>
      <c r="M698" s="4">
        <f t="shared" si="257"/>
        <v>1.1800000000000033</v>
      </c>
      <c r="N698" s="113">
        <f t="shared" si="258"/>
        <v>0.68644067796609987</v>
      </c>
      <c r="O698" s="5">
        <f t="shared" si="286"/>
        <v>0.31355932203390013</v>
      </c>
      <c r="P698" s="3">
        <v>0.81</v>
      </c>
      <c r="Q698" s="3"/>
      <c r="R698" s="3"/>
      <c r="S698" s="3"/>
      <c r="T698" s="3">
        <v>0.81</v>
      </c>
      <c r="U698" s="3">
        <v>0.28000000000000003</v>
      </c>
      <c r="V698" s="187">
        <f t="shared" si="266"/>
        <v>23.728813559321971</v>
      </c>
      <c r="W698" s="3"/>
      <c r="X698" s="3"/>
      <c r="Y698" s="3">
        <v>15</v>
      </c>
      <c r="Z698" s="31">
        <f t="shared" si="256"/>
        <v>78.666666666666885</v>
      </c>
      <c r="AA698" s="6"/>
      <c r="AB698" s="6"/>
      <c r="AC698" s="6"/>
      <c r="AD698" s="6"/>
      <c r="AE698" s="6"/>
      <c r="AF698" s="6"/>
      <c r="AG698" s="3" t="s">
        <v>32</v>
      </c>
      <c r="AH698" s="3" t="s">
        <v>32</v>
      </c>
      <c r="AI698" s="18" t="str">
        <f>+VLOOKUP(AH698,Leyenda!$O$4:$U$10,6,FALSE)</f>
        <v>0,15-0,25</v>
      </c>
      <c r="AJ698" s="18" t="str">
        <f>+VLOOKUP(AG698,Leyenda!$O$4:$U$10,7,FALSE)</f>
        <v>No Blasting need</v>
      </c>
      <c r="AK698" s="18">
        <f>+VLOOKUP(AJ698,Leyenda!$U$4:$V$10,2,FALSE)</f>
        <v>2</v>
      </c>
      <c r="AL698" s="6"/>
      <c r="AM698" s="18" t="s">
        <v>32</v>
      </c>
      <c r="AN698" s="18" t="s">
        <v>66</v>
      </c>
      <c r="AO698" s="18" t="s">
        <v>79</v>
      </c>
      <c r="AP698" s="18" t="s">
        <v>96</v>
      </c>
      <c r="AQ698" s="18" t="s">
        <v>109</v>
      </c>
      <c r="AR698" s="18" t="s">
        <v>120</v>
      </c>
      <c r="AS698" s="18" t="s">
        <v>267</v>
      </c>
      <c r="AT698" s="18"/>
      <c r="AU698" s="6"/>
      <c r="AV698" s="36">
        <f>+VLOOKUP(AN698,Leyenda!$B$30:$E$34,3,FALSE)</f>
        <v>1</v>
      </c>
      <c r="AW698" s="36">
        <f>+VLOOKUP('2. Logging Brejo Seco'!AO698,Meteorizacion,3,FALSE)</f>
        <v>1</v>
      </c>
      <c r="AX698" s="36">
        <f>+VLOOKUP('2. Logging Brejo Seco'!AP698,Apertura,3,FALSE)</f>
        <v>1</v>
      </c>
      <c r="AY698" s="36">
        <f>+VLOOKUP('2. Logging Brejo Seco'!AQ698,Leyenda!$B$55:$D$59,3,FALSE)</f>
        <v>1</v>
      </c>
      <c r="AZ698" s="36">
        <f>+VLOOKUP('2. Logging Brejo Seco'!AR698,Relleno,3,FALSE)</f>
        <v>2</v>
      </c>
      <c r="BA698" s="36">
        <f t="shared" si="275"/>
        <v>6</v>
      </c>
      <c r="BB698" s="50">
        <f t="shared" si="276"/>
        <v>5</v>
      </c>
      <c r="BC698" s="49">
        <f>VLOOKUP(AH698,Leyenda!$B$4:$D$10,3,FALSE)</f>
        <v>1</v>
      </c>
      <c r="BD698" s="50">
        <f t="shared" si="277"/>
        <v>7</v>
      </c>
      <c r="BE698" s="50">
        <f t="shared" si="278"/>
        <v>6</v>
      </c>
      <c r="BF698" s="50">
        <f>VLOOKUP(AS698,Leyenda!$B$70:$D$75,3,FALSE)</f>
        <v>15</v>
      </c>
      <c r="BG698" s="110">
        <f t="shared" si="279"/>
        <v>20.864406779660985</v>
      </c>
      <c r="BH698" s="110">
        <f>VLOOKUP(AG698,Leyenda!$B$4:$E$10,4,FALSE)</f>
        <v>1</v>
      </c>
      <c r="BI698" s="67">
        <f t="shared" si="280"/>
        <v>7</v>
      </c>
      <c r="BJ698" s="110">
        <f t="shared" si="281"/>
        <v>5</v>
      </c>
      <c r="BK698" s="110">
        <f>+VLOOKUP('2. Logging Brejo Seco'!AP698,Leyenda!$B$47:$E$51,4,FALSE)</f>
        <v>1</v>
      </c>
      <c r="BL698" s="110">
        <f>+VLOOKUP('2. Logging Brejo Seco'!AQ698,Leyenda!$B$55:$E$59,4,FALSE)</f>
        <v>1</v>
      </c>
      <c r="BM698" s="110">
        <f>+VLOOKUP('2. Logging Brejo Seco'!AR698,Leyenda!$B$63:$E$67,3,FALSE)</f>
        <v>2</v>
      </c>
      <c r="BN698" s="110">
        <f>+VLOOKUP('2. Logging Brejo Seco'!AO698,Leyenda!$B$39:$E$43,4,FALSE)</f>
        <v>1</v>
      </c>
      <c r="BO698" s="110">
        <f>+VLOOKUP('2. Logging Brejo Seco'!AN698,Leyenda!$B$30:$E$34,4,FALSE)</f>
        <v>1</v>
      </c>
      <c r="BP698" s="110">
        <f>VLOOKUP(AS698,Leyenda!$B$71:$E$75,4,FALSE)</f>
        <v>10</v>
      </c>
      <c r="BQ698" s="110">
        <f t="shared" si="282"/>
        <v>29</v>
      </c>
      <c r="BR698" s="36">
        <f t="shared" si="283"/>
        <v>34</v>
      </c>
      <c r="BS698" s="240">
        <f t="shared" si="255"/>
        <v>0.31355932203390013</v>
      </c>
      <c r="BT698" s="6"/>
    </row>
    <row r="699" spans="1:72" x14ac:dyDescent="0.25">
      <c r="A699" s="18" t="s">
        <v>6</v>
      </c>
      <c r="B699" s="18">
        <v>2024</v>
      </c>
      <c r="C699" s="18" t="s">
        <v>138</v>
      </c>
      <c r="D699" s="18" t="s">
        <v>658</v>
      </c>
      <c r="E699" s="18">
        <v>50</v>
      </c>
      <c r="F699" s="191">
        <v>50</v>
      </c>
      <c r="G699" s="18" t="s">
        <v>154</v>
      </c>
      <c r="H699" s="245">
        <f t="shared" si="284"/>
        <v>50</v>
      </c>
      <c r="I699" s="245" t="s">
        <v>757</v>
      </c>
      <c r="J699" s="245"/>
      <c r="K699" s="18">
        <f t="shared" si="285"/>
        <v>19.670000000000002</v>
      </c>
      <c r="L699" s="18">
        <v>21.17</v>
      </c>
      <c r="M699" s="4">
        <f t="shared" si="257"/>
        <v>1.5</v>
      </c>
      <c r="N699" s="113">
        <f t="shared" si="258"/>
        <v>0.72000000000000008</v>
      </c>
      <c r="O699" s="5">
        <f t="shared" si="286"/>
        <v>0.27999999999999992</v>
      </c>
      <c r="P699" s="3">
        <v>1.08</v>
      </c>
      <c r="Q699" s="3"/>
      <c r="R699" s="3"/>
      <c r="S699" s="3"/>
      <c r="T699" s="3">
        <v>1.08</v>
      </c>
      <c r="U699" s="3">
        <v>0</v>
      </c>
      <c r="V699" s="187">
        <f t="shared" si="266"/>
        <v>0</v>
      </c>
      <c r="W699" s="3"/>
      <c r="X699" s="3"/>
      <c r="Y699" s="3">
        <v>20</v>
      </c>
      <c r="Z699" s="31">
        <f t="shared" si="256"/>
        <v>75</v>
      </c>
      <c r="AA699" s="6"/>
      <c r="AB699" s="6"/>
      <c r="AC699" s="6"/>
      <c r="AD699" s="6"/>
      <c r="AE699" s="6"/>
      <c r="AF699" s="6"/>
      <c r="AG699" s="3" t="s">
        <v>32</v>
      </c>
      <c r="AH699" s="3" t="s">
        <v>32</v>
      </c>
      <c r="AI699" s="18" t="str">
        <f>+VLOOKUP(AH699,Leyenda!$O$4:$U$10,6,FALSE)</f>
        <v>0,15-0,25</v>
      </c>
      <c r="AJ699" s="18" t="str">
        <f>+VLOOKUP(AG699,Leyenda!$O$4:$U$10,7,FALSE)</f>
        <v>No Blasting need</v>
      </c>
      <c r="AK699" s="18">
        <f>+VLOOKUP(AJ699,Leyenda!$U$4:$V$10,2,FALSE)</f>
        <v>2</v>
      </c>
      <c r="AL699" s="6"/>
      <c r="AM699" s="18" t="s">
        <v>32</v>
      </c>
      <c r="AN699" s="18" t="s">
        <v>66</v>
      </c>
      <c r="AO699" s="18" t="s">
        <v>81</v>
      </c>
      <c r="AP699" s="18" t="s">
        <v>100</v>
      </c>
      <c r="AQ699" s="18" t="s">
        <v>109</v>
      </c>
      <c r="AR699" s="18" t="s">
        <v>120</v>
      </c>
      <c r="AS699" s="18" t="s">
        <v>267</v>
      </c>
      <c r="AT699" s="18"/>
      <c r="AU699" s="6"/>
      <c r="AV699" s="36">
        <f>+VLOOKUP(AN699,Leyenda!$B$30:$E$34,3,FALSE)</f>
        <v>1</v>
      </c>
      <c r="AW699" s="36">
        <f>+VLOOKUP('2. Logging Brejo Seco'!AO699,Meteorizacion,3,FALSE)</f>
        <v>0</v>
      </c>
      <c r="AX699" s="36">
        <f>+VLOOKUP('2. Logging Brejo Seco'!AP699,Apertura,3,FALSE)</f>
        <v>0</v>
      </c>
      <c r="AY699" s="36">
        <f>+VLOOKUP('2. Logging Brejo Seco'!AQ699,Leyenda!$B$55:$D$59,3,FALSE)</f>
        <v>1</v>
      </c>
      <c r="AZ699" s="36">
        <f>+VLOOKUP('2. Logging Brejo Seco'!AR699,Relleno,3,FALSE)</f>
        <v>2</v>
      </c>
      <c r="BA699" s="36">
        <f t="shared" si="275"/>
        <v>4</v>
      </c>
      <c r="BB699" s="50">
        <f t="shared" si="276"/>
        <v>0</v>
      </c>
      <c r="BC699" s="49">
        <f>VLOOKUP(AH699,Leyenda!$B$4:$D$10,3,FALSE)</f>
        <v>1</v>
      </c>
      <c r="BD699" s="50">
        <f t="shared" si="277"/>
        <v>7</v>
      </c>
      <c r="BE699" s="50">
        <f t="shared" si="278"/>
        <v>4</v>
      </c>
      <c r="BF699" s="50">
        <f>VLOOKUP(AS699,Leyenda!$B$70:$D$75,3,FALSE)</f>
        <v>15</v>
      </c>
      <c r="BG699" s="110">
        <f t="shared" si="279"/>
        <v>6</v>
      </c>
      <c r="BH699" s="110">
        <f>VLOOKUP(AG699,Leyenda!$B$4:$E$10,4,FALSE)</f>
        <v>1</v>
      </c>
      <c r="BI699" s="67">
        <f t="shared" si="280"/>
        <v>6</v>
      </c>
      <c r="BJ699" s="110">
        <f t="shared" si="281"/>
        <v>0</v>
      </c>
      <c r="BK699" s="110">
        <f>+VLOOKUP('2. Logging Brejo Seco'!AP699,Leyenda!$B$47:$E$51,4,FALSE)</f>
        <v>0</v>
      </c>
      <c r="BL699" s="110">
        <f>+VLOOKUP('2. Logging Brejo Seco'!AQ699,Leyenda!$B$55:$E$59,4,FALSE)</f>
        <v>1</v>
      </c>
      <c r="BM699" s="110">
        <f>+VLOOKUP('2. Logging Brejo Seco'!AR699,Leyenda!$B$63:$E$67,3,FALSE)</f>
        <v>2</v>
      </c>
      <c r="BN699" s="110">
        <f>+VLOOKUP('2. Logging Brejo Seco'!AO699,Leyenda!$B$39:$E$43,4,FALSE)</f>
        <v>0</v>
      </c>
      <c r="BO699" s="110">
        <f>+VLOOKUP('2. Logging Brejo Seco'!AN699,Leyenda!$B$30:$E$34,4,FALSE)</f>
        <v>1</v>
      </c>
      <c r="BP699" s="110">
        <f>VLOOKUP(AS699,Leyenda!$B$71:$E$75,4,FALSE)</f>
        <v>10</v>
      </c>
      <c r="BQ699" s="110">
        <f t="shared" si="282"/>
        <v>21</v>
      </c>
      <c r="BR699" s="36">
        <f t="shared" si="283"/>
        <v>27</v>
      </c>
      <c r="BS699" s="240">
        <f t="shared" si="255"/>
        <v>0.27999999999999992</v>
      </c>
      <c r="BT699" s="6"/>
    </row>
    <row r="700" spans="1:72" x14ac:dyDescent="0.25">
      <c r="A700" s="18" t="s">
        <v>6</v>
      </c>
      <c r="B700" s="18">
        <v>2024</v>
      </c>
      <c r="C700" s="18" t="s">
        <v>138</v>
      </c>
      <c r="D700" s="18" t="s">
        <v>658</v>
      </c>
      <c r="E700" s="18">
        <v>50</v>
      </c>
      <c r="F700" s="191">
        <v>50</v>
      </c>
      <c r="G700" s="18" t="s">
        <v>154</v>
      </c>
      <c r="H700" s="245">
        <f t="shared" si="284"/>
        <v>50</v>
      </c>
      <c r="I700" s="245" t="s">
        <v>757</v>
      </c>
      <c r="J700" s="245"/>
      <c r="K700" s="18">
        <f t="shared" si="285"/>
        <v>21.17</v>
      </c>
      <c r="L700" s="18">
        <v>22.97</v>
      </c>
      <c r="M700" s="4">
        <f t="shared" si="257"/>
        <v>1.7999999999999972</v>
      </c>
      <c r="N700" s="113">
        <f t="shared" si="258"/>
        <v>0.8055555555555568</v>
      </c>
      <c r="O700" s="5">
        <f t="shared" si="286"/>
        <v>0.1944444444444432</v>
      </c>
      <c r="P700" s="3">
        <f>1.04+0.41</f>
        <v>1.45</v>
      </c>
      <c r="Q700" s="3"/>
      <c r="R700" s="3"/>
      <c r="S700" s="3"/>
      <c r="T700" s="3">
        <v>1.45</v>
      </c>
      <c r="U700" s="3">
        <v>0.49</v>
      </c>
      <c r="V700" s="187">
        <f t="shared" si="266"/>
        <v>27.222222222222264</v>
      </c>
      <c r="W700" s="3"/>
      <c r="X700" s="3"/>
      <c r="Y700" s="3">
        <v>11</v>
      </c>
      <c r="Z700" s="31">
        <f t="shared" si="256"/>
        <v>163.6363636363634</v>
      </c>
      <c r="AA700" s="6"/>
      <c r="AB700" s="6"/>
      <c r="AC700" s="6"/>
      <c r="AD700" s="6"/>
      <c r="AE700" s="6"/>
      <c r="AF700" s="6"/>
      <c r="AG700" s="3" t="s">
        <v>32</v>
      </c>
      <c r="AH700" s="3" t="s">
        <v>32</v>
      </c>
      <c r="AI700" s="18" t="str">
        <f>+VLOOKUP(AH700,Leyenda!$O$4:$U$10,6,FALSE)</f>
        <v>0,15-0,25</v>
      </c>
      <c r="AJ700" s="18" t="str">
        <f>+VLOOKUP(AG700,Leyenda!$O$4:$U$10,7,FALSE)</f>
        <v>No Blasting need</v>
      </c>
      <c r="AK700" s="18">
        <f>+VLOOKUP(AJ700,Leyenda!$U$4:$V$10,2,FALSE)</f>
        <v>2</v>
      </c>
      <c r="AL700" s="6"/>
      <c r="AM700" s="18" t="s">
        <v>32</v>
      </c>
      <c r="AN700" s="18" t="s">
        <v>66</v>
      </c>
      <c r="AO700" s="18" t="s">
        <v>79</v>
      </c>
      <c r="AP700" s="18" t="s">
        <v>96</v>
      </c>
      <c r="AQ700" s="18" t="s">
        <v>109</v>
      </c>
      <c r="AR700" s="18" t="s">
        <v>120</v>
      </c>
      <c r="AS700" s="18" t="s">
        <v>267</v>
      </c>
      <c r="AT700" s="18"/>
      <c r="AU700" s="6"/>
      <c r="AV700" s="36">
        <f>+VLOOKUP(AN700,Leyenda!$B$30:$E$34,3,FALSE)</f>
        <v>1</v>
      </c>
      <c r="AW700" s="36">
        <f>+VLOOKUP('2. Logging Brejo Seco'!AO700,Meteorizacion,3,FALSE)</f>
        <v>1</v>
      </c>
      <c r="AX700" s="36">
        <f>+VLOOKUP('2. Logging Brejo Seco'!AP700,Apertura,3,FALSE)</f>
        <v>1</v>
      </c>
      <c r="AY700" s="36">
        <f>+VLOOKUP('2. Logging Brejo Seco'!AQ700,Leyenda!$B$55:$D$59,3,FALSE)</f>
        <v>1</v>
      </c>
      <c r="AZ700" s="36">
        <f>+VLOOKUP('2. Logging Brejo Seco'!AR700,Relleno,3,FALSE)</f>
        <v>2</v>
      </c>
      <c r="BA700" s="36">
        <f t="shared" si="275"/>
        <v>6</v>
      </c>
      <c r="BB700" s="50">
        <f t="shared" si="276"/>
        <v>6</v>
      </c>
      <c r="BC700" s="49">
        <f>VLOOKUP(AH700,Leyenda!$B$4:$D$10,3,FALSE)</f>
        <v>1</v>
      </c>
      <c r="BD700" s="50">
        <f t="shared" si="277"/>
        <v>9</v>
      </c>
      <c r="BE700" s="50">
        <f t="shared" si="278"/>
        <v>6</v>
      </c>
      <c r="BF700" s="50">
        <f>VLOOKUP(AS700,Leyenda!$B$70:$D$75,3,FALSE)</f>
        <v>15</v>
      </c>
      <c r="BG700" s="110">
        <f t="shared" si="279"/>
        <v>22.611111111111132</v>
      </c>
      <c r="BH700" s="110">
        <f>VLOOKUP(AG700,Leyenda!$B$4:$E$10,4,FALSE)</f>
        <v>1</v>
      </c>
      <c r="BI700" s="67">
        <f t="shared" si="280"/>
        <v>11</v>
      </c>
      <c r="BJ700" s="110">
        <f t="shared" si="281"/>
        <v>6</v>
      </c>
      <c r="BK700" s="110">
        <f>+VLOOKUP('2. Logging Brejo Seco'!AP700,Leyenda!$B$47:$E$51,4,FALSE)</f>
        <v>1</v>
      </c>
      <c r="BL700" s="110">
        <f>+VLOOKUP('2. Logging Brejo Seco'!AQ700,Leyenda!$B$55:$E$59,4,FALSE)</f>
        <v>1</v>
      </c>
      <c r="BM700" s="110">
        <f>+VLOOKUP('2. Logging Brejo Seco'!AR700,Leyenda!$B$63:$E$67,3,FALSE)</f>
        <v>2</v>
      </c>
      <c r="BN700" s="110">
        <f>+VLOOKUP('2. Logging Brejo Seco'!AO700,Leyenda!$B$39:$E$43,4,FALSE)</f>
        <v>1</v>
      </c>
      <c r="BO700" s="110">
        <f>+VLOOKUP('2. Logging Brejo Seco'!AN700,Leyenda!$B$30:$E$34,4,FALSE)</f>
        <v>1</v>
      </c>
      <c r="BP700" s="110">
        <f>VLOOKUP(AS700,Leyenda!$B$71:$E$75,4,FALSE)</f>
        <v>10</v>
      </c>
      <c r="BQ700" s="110">
        <f t="shared" si="282"/>
        <v>34</v>
      </c>
      <c r="BR700" s="36">
        <f t="shared" si="283"/>
        <v>37</v>
      </c>
      <c r="BS700" s="240">
        <f t="shared" si="255"/>
        <v>0.1944444444444432</v>
      </c>
      <c r="BT700" s="6"/>
    </row>
    <row r="701" spans="1:72" x14ac:dyDescent="0.25">
      <c r="A701" s="18" t="s">
        <v>6</v>
      </c>
      <c r="B701" s="18">
        <v>2024</v>
      </c>
      <c r="C701" s="18" t="s">
        <v>138</v>
      </c>
      <c r="D701" s="18" t="s">
        <v>658</v>
      </c>
      <c r="E701" s="3">
        <v>40</v>
      </c>
      <c r="F701" s="191">
        <v>40</v>
      </c>
      <c r="G701" s="36" t="s">
        <v>153</v>
      </c>
      <c r="H701" s="18">
        <v>50</v>
      </c>
      <c r="I701" s="18" t="s">
        <v>756</v>
      </c>
      <c r="J701" s="18"/>
      <c r="K701" s="18">
        <f t="shared" si="285"/>
        <v>22.97</v>
      </c>
      <c r="L701" s="18">
        <v>23.97</v>
      </c>
      <c r="M701" s="4">
        <f t="shared" si="257"/>
        <v>1</v>
      </c>
      <c r="N701" s="113">
        <f t="shared" si="258"/>
        <v>0.91</v>
      </c>
      <c r="O701" s="5">
        <f t="shared" si="286"/>
        <v>8.9999999999999969E-2</v>
      </c>
      <c r="P701" s="3">
        <v>0.91</v>
      </c>
      <c r="Q701" s="3"/>
      <c r="R701" s="3"/>
      <c r="S701" s="3"/>
      <c r="T701" s="3">
        <v>0.79</v>
      </c>
      <c r="U701" s="3">
        <v>0</v>
      </c>
      <c r="V701" s="187">
        <f t="shared" si="266"/>
        <v>0</v>
      </c>
      <c r="W701" s="3"/>
      <c r="X701" s="3"/>
      <c r="Y701" s="3">
        <v>20</v>
      </c>
      <c r="Z701" s="31">
        <f t="shared" si="256"/>
        <v>50</v>
      </c>
      <c r="AA701" s="6"/>
      <c r="AB701" s="6"/>
      <c r="AC701" s="6"/>
      <c r="AD701" s="6"/>
      <c r="AE701" s="6"/>
      <c r="AF701" s="6"/>
      <c r="AG701" s="3" t="s">
        <v>32</v>
      </c>
      <c r="AH701" s="3" t="s">
        <v>32</v>
      </c>
      <c r="AI701" s="18" t="str">
        <f>+VLOOKUP(AH701,Leyenda!$O$4:$U$10,6,FALSE)</f>
        <v>0,15-0,25</v>
      </c>
      <c r="AJ701" s="18" t="str">
        <f>+VLOOKUP(AG701,Leyenda!$O$4:$U$10,7,FALSE)</f>
        <v>No Blasting need</v>
      </c>
      <c r="AK701" s="18">
        <f>+VLOOKUP(AJ701,Leyenda!$U$4:$V$10,2,FALSE)</f>
        <v>2</v>
      </c>
      <c r="AL701" s="6"/>
      <c r="AM701" s="18" t="s">
        <v>32</v>
      </c>
      <c r="AN701" s="18" t="s">
        <v>66</v>
      </c>
      <c r="AO701" s="18" t="s">
        <v>81</v>
      </c>
      <c r="AP701" s="18" t="s">
        <v>100</v>
      </c>
      <c r="AQ701" s="18" t="s">
        <v>109</v>
      </c>
      <c r="AR701" s="18" t="s">
        <v>120</v>
      </c>
      <c r="AS701" s="18" t="s">
        <v>267</v>
      </c>
      <c r="AT701" s="18"/>
      <c r="AU701" s="6"/>
      <c r="AV701" s="18">
        <f>+VLOOKUP(AN701,Leyenda!$B$30:$E$34,3,FALSE)</f>
        <v>1</v>
      </c>
      <c r="AW701" s="18">
        <f>+VLOOKUP('2. Logging Brejo Seco'!AO701,Meteorizacion,3,FALSE)</f>
        <v>0</v>
      </c>
      <c r="AX701" s="18">
        <f>+VLOOKUP('2. Logging Brejo Seco'!AP701,Apertura,3,FALSE)</f>
        <v>0</v>
      </c>
      <c r="AY701" s="18">
        <f>+VLOOKUP('2. Logging Brejo Seco'!AQ701,Leyenda!$B$55:$D$59,3,FALSE)</f>
        <v>1</v>
      </c>
      <c r="AZ701" s="18">
        <f>+VLOOKUP('2. Logging Brejo Seco'!AR701,Relleno,3,FALSE)</f>
        <v>2</v>
      </c>
      <c r="BA701" s="18">
        <f t="shared" si="275"/>
        <v>4</v>
      </c>
      <c r="BB701" s="49">
        <f t="shared" si="276"/>
        <v>0</v>
      </c>
      <c r="BC701" s="49">
        <f>VLOOKUP(AH701,Leyenda!$B$4:$D$10,3,FALSE)</f>
        <v>1</v>
      </c>
      <c r="BD701" s="49">
        <f t="shared" si="277"/>
        <v>6</v>
      </c>
      <c r="BE701" s="49">
        <f t="shared" si="278"/>
        <v>4</v>
      </c>
      <c r="BF701" s="49">
        <f>VLOOKUP(AS701,Leyenda!$B$70:$D$75,3,FALSE)</f>
        <v>15</v>
      </c>
      <c r="BG701" s="67">
        <f t="shared" si="279"/>
        <v>6</v>
      </c>
      <c r="BH701" s="67">
        <f>VLOOKUP(AG701,Leyenda!$B$4:$E$10,4,FALSE)</f>
        <v>1</v>
      </c>
      <c r="BI701" s="67">
        <f t="shared" si="280"/>
        <v>5</v>
      </c>
      <c r="BJ701" s="67">
        <f t="shared" si="281"/>
        <v>0</v>
      </c>
      <c r="BK701" s="67">
        <f>+VLOOKUP('2. Logging Brejo Seco'!AP701,Leyenda!$B$47:$E$51,4,FALSE)</f>
        <v>0</v>
      </c>
      <c r="BL701" s="67">
        <f>+VLOOKUP('2. Logging Brejo Seco'!AQ701,Leyenda!$B$55:$E$59,4,FALSE)</f>
        <v>1</v>
      </c>
      <c r="BM701" s="67">
        <f>+VLOOKUP('2. Logging Brejo Seco'!AR701,Leyenda!$B$63:$E$67,3,FALSE)</f>
        <v>2</v>
      </c>
      <c r="BN701" s="67">
        <f>+VLOOKUP('2. Logging Brejo Seco'!AO701,Leyenda!$B$39:$E$43,4,FALSE)</f>
        <v>0</v>
      </c>
      <c r="BO701" s="67">
        <f>+VLOOKUP('2. Logging Brejo Seco'!AN701,Leyenda!$B$30:$E$34,4,FALSE)</f>
        <v>1</v>
      </c>
      <c r="BP701" s="67">
        <f>VLOOKUP(AS701,Leyenda!$B$71:$E$75,4,FALSE)</f>
        <v>10</v>
      </c>
      <c r="BQ701" s="67">
        <f t="shared" si="282"/>
        <v>20</v>
      </c>
      <c r="BR701" s="18">
        <f t="shared" si="283"/>
        <v>26</v>
      </c>
      <c r="BS701" s="240">
        <f t="shared" si="255"/>
        <v>8.9999999999999969E-2</v>
      </c>
      <c r="BT701" s="6"/>
    </row>
    <row r="702" spans="1:72" x14ac:dyDescent="0.25">
      <c r="A702" s="18" t="s">
        <v>6</v>
      </c>
      <c r="B702" s="18">
        <v>2024</v>
      </c>
      <c r="C702" s="18" t="s">
        <v>138</v>
      </c>
      <c r="D702" s="18" t="s">
        <v>658</v>
      </c>
      <c r="E702" s="3">
        <v>40</v>
      </c>
      <c r="F702" s="191">
        <v>40</v>
      </c>
      <c r="G702" s="36" t="s">
        <v>153</v>
      </c>
      <c r="H702" s="18">
        <v>50</v>
      </c>
      <c r="I702" s="18" t="s">
        <v>756</v>
      </c>
      <c r="J702" s="18"/>
      <c r="K702" s="18">
        <f t="shared" si="285"/>
        <v>23.97</v>
      </c>
      <c r="L702" s="18">
        <f>25.47+0.43</f>
        <v>25.9</v>
      </c>
      <c r="M702" s="4">
        <f t="shared" si="257"/>
        <v>1.9299999999999997</v>
      </c>
      <c r="N702" s="113">
        <f t="shared" si="258"/>
        <v>0.92746113989637324</v>
      </c>
      <c r="O702" s="5">
        <f t="shared" si="286"/>
        <v>7.2538860103626757E-2</v>
      </c>
      <c r="P702" s="3">
        <v>1.79</v>
      </c>
      <c r="Q702" s="3"/>
      <c r="R702" s="3"/>
      <c r="S702" s="3"/>
      <c r="T702" s="3">
        <f>1.4+0.39</f>
        <v>1.79</v>
      </c>
      <c r="U702" s="3">
        <f>0.52+0.39</f>
        <v>0.91</v>
      </c>
      <c r="V702" s="187">
        <f t="shared" si="266"/>
        <v>47.150259067357517</v>
      </c>
      <c r="W702" s="3"/>
      <c r="X702" s="3"/>
      <c r="Y702" s="3">
        <v>12</v>
      </c>
      <c r="Z702" s="31">
        <f t="shared" si="256"/>
        <v>160.83333333333331</v>
      </c>
      <c r="AA702" s="6"/>
      <c r="AB702" s="6"/>
      <c r="AC702" s="6"/>
      <c r="AD702" s="6"/>
      <c r="AE702" s="6"/>
      <c r="AF702" s="6"/>
      <c r="AG702" s="3" t="s">
        <v>32</v>
      </c>
      <c r="AH702" s="3" t="s">
        <v>32</v>
      </c>
      <c r="AI702" s="18" t="str">
        <f>+VLOOKUP(AH702,Leyenda!$O$4:$U$10,6,FALSE)</f>
        <v>0,15-0,25</v>
      </c>
      <c r="AJ702" s="18" t="str">
        <f>+VLOOKUP(AG702,Leyenda!$O$4:$U$10,7,FALSE)</f>
        <v>No Blasting need</v>
      </c>
      <c r="AK702" s="18">
        <f>+VLOOKUP(AJ702,Leyenda!$U$4:$V$10,2,FALSE)</f>
        <v>2</v>
      </c>
      <c r="AL702" s="6"/>
      <c r="AM702" s="18" t="s">
        <v>32</v>
      </c>
      <c r="AN702" s="18" t="s">
        <v>66</v>
      </c>
      <c r="AO702" s="18" t="s">
        <v>79</v>
      </c>
      <c r="AP702" s="18" t="s">
        <v>100</v>
      </c>
      <c r="AQ702" s="18" t="s">
        <v>109</v>
      </c>
      <c r="AR702" s="18" t="s">
        <v>120</v>
      </c>
      <c r="AS702" s="18" t="s">
        <v>267</v>
      </c>
      <c r="AT702" s="18"/>
      <c r="AU702" s="6"/>
      <c r="AV702" s="18">
        <f>+VLOOKUP(AN702,Leyenda!$B$30:$E$34,3,FALSE)</f>
        <v>1</v>
      </c>
      <c r="AW702" s="18">
        <f>+VLOOKUP('2. Logging Brejo Seco'!AO702,Meteorizacion,3,FALSE)</f>
        <v>1</v>
      </c>
      <c r="AX702" s="18">
        <f>+VLOOKUP('2. Logging Brejo Seco'!AP702,Apertura,3,FALSE)</f>
        <v>0</v>
      </c>
      <c r="AY702" s="18">
        <f>+VLOOKUP('2. Logging Brejo Seco'!AQ702,Leyenda!$B$55:$D$59,3,FALSE)</f>
        <v>1</v>
      </c>
      <c r="AZ702" s="18">
        <f>+VLOOKUP('2. Logging Brejo Seco'!AR702,Relleno,3,FALSE)</f>
        <v>2</v>
      </c>
      <c r="BA702" s="18">
        <f t="shared" si="275"/>
        <v>5</v>
      </c>
      <c r="BB702" s="49">
        <f t="shared" si="276"/>
        <v>10</v>
      </c>
      <c r="BC702" s="49">
        <f>VLOOKUP(AH702,Leyenda!$B$4:$D$10,3,FALSE)</f>
        <v>1</v>
      </c>
      <c r="BD702" s="49">
        <f t="shared" si="277"/>
        <v>8</v>
      </c>
      <c r="BE702" s="49">
        <f t="shared" si="278"/>
        <v>5</v>
      </c>
      <c r="BF702" s="49">
        <f>VLOOKUP(AS702,Leyenda!$B$70:$D$75,3,FALSE)</f>
        <v>15</v>
      </c>
      <c r="BG702" s="67">
        <f t="shared" si="279"/>
        <v>31.075129533678759</v>
      </c>
      <c r="BH702" s="67">
        <f>VLOOKUP(AG702,Leyenda!$B$4:$E$10,4,FALSE)</f>
        <v>1</v>
      </c>
      <c r="BI702" s="67">
        <f t="shared" si="280"/>
        <v>11</v>
      </c>
      <c r="BJ702" s="67">
        <f t="shared" si="281"/>
        <v>10</v>
      </c>
      <c r="BK702" s="67">
        <f>+VLOOKUP('2. Logging Brejo Seco'!AP702,Leyenda!$B$47:$E$51,4,FALSE)</f>
        <v>0</v>
      </c>
      <c r="BL702" s="67">
        <f>+VLOOKUP('2. Logging Brejo Seco'!AQ702,Leyenda!$B$55:$E$59,4,FALSE)</f>
        <v>1</v>
      </c>
      <c r="BM702" s="67">
        <f>+VLOOKUP('2. Logging Brejo Seco'!AR702,Leyenda!$B$63:$E$67,3,FALSE)</f>
        <v>2</v>
      </c>
      <c r="BN702" s="67">
        <f>+VLOOKUP('2. Logging Brejo Seco'!AO702,Leyenda!$B$39:$E$43,4,FALSE)</f>
        <v>1</v>
      </c>
      <c r="BO702" s="67">
        <f>+VLOOKUP('2. Logging Brejo Seco'!AN702,Leyenda!$B$30:$E$34,4,FALSE)</f>
        <v>1</v>
      </c>
      <c r="BP702" s="67">
        <f>VLOOKUP(AS702,Leyenda!$B$71:$E$75,4,FALSE)</f>
        <v>10</v>
      </c>
      <c r="BQ702" s="67">
        <f t="shared" si="282"/>
        <v>37</v>
      </c>
      <c r="BR702" s="18">
        <f t="shared" si="283"/>
        <v>39</v>
      </c>
      <c r="BS702" s="240">
        <f t="shared" si="255"/>
        <v>7.2538860103626757E-2</v>
      </c>
      <c r="BT702" s="6"/>
    </row>
    <row r="703" spans="1:72" x14ac:dyDescent="0.25">
      <c r="A703" s="18" t="s">
        <v>6</v>
      </c>
      <c r="B703" s="18">
        <v>2024</v>
      </c>
      <c r="C703" s="18" t="s">
        <v>138</v>
      </c>
      <c r="D703" s="18" t="s">
        <v>658</v>
      </c>
      <c r="E703" s="3">
        <v>40</v>
      </c>
      <c r="F703" s="191">
        <v>40</v>
      </c>
      <c r="G703" s="36" t="s">
        <v>153</v>
      </c>
      <c r="H703" s="18">
        <v>50</v>
      </c>
      <c r="I703" s="18" t="s">
        <v>756</v>
      </c>
      <c r="J703" s="18"/>
      <c r="K703" s="18">
        <v>25.77</v>
      </c>
      <c r="L703" s="18">
        <v>26.07</v>
      </c>
      <c r="M703" s="4">
        <f t="shared" si="257"/>
        <v>0.30000000000000071</v>
      </c>
      <c r="N703" s="113">
        <f t="shared" si="258"/>
        <v>0.66666666666666508</v>
      </c>
      <c r="O703" s="5">
        <f t="shared" si="286"/>
        <v>0.33333333333333492</v>
      </c>
      <c r="P703" s="3">
        <v>0.2</v>
      </c>
      <c r="Q703" s="3"/>
      <c r="R703" s="3"/>
      <c r="S703" s="3"/>
      <c r="T703" s="3">
        <v>0.2</v>
      </c>
      <c r="U703" s="3">
        <v>0</v>
      </c>
      <c r="V703" s="187">
        <f t="shared" si="266"/>
        <v>0</v>
      </c>
      <c r="W703" s="3"/>
      <c r="X703" s="3"/>
      <c r="Y703" s="3">
        <v>20</v>
      </c>
      <c r="Z703" s="31">
        <f t="shared" si="256"/>
        <v>15.000000000000034</v>
      </c>
      <c r="AA703" s="6"/>
      <c r="AB703" s="6"/>
      <c r="AC703" s="6"/>
      <c r="AD703" s="6"/>
      <c r="AE703" s="6"/>
      <c r="AF703" s="6"/>
      <c r="AG703" s="3" t="s">
        <v>32</v>
      </c>
      <c r="AH703" s="3" t="s">
        <v>32</v>
      </c>
      <c r="AI703" s="18" t="str">
        <f>+VLOOKUP(AH703,Leyenda!$O$4:$U$10,6,FALSE)</f>
        <v>0,15-0,25</v>
      </c>
      <c r="AJ703" s="18" t="str">
        <f>+VLOOKUP(AG703,Leyenda!$O$4:$U$10,7,FALSE)</f>
        <v>No Blasting need</v>
      </c>
      <c r="AK703" s="18">
        <f>+VLOOKUP(AJ703,Leyenda!$U$4:$V$10,2,FALSE)</f>
        <v>2</v>
      </c>
      <c r="AL703" s="6"/>
      <c r="AM703" s="18" t="s">
        <v>32</v>
      </c>
      <c r="AN703" s="18" t="s">
        <v>66</v>
      </c>
      <c r="AO703" s="18" t="s">
        <v>81</v>
      </c>
      <c r="AP703" s="18" t="s">
        <v>100</v>
      </c>
      <c r="AQ703" s="18" t="s">
        <v>109</v>
      </c>
      <c r="AR703" s="18" t="s">
        <v>122</v>
      </c>
      <c r="AS703" s="18" t="s">
        <v>267</v>
      </c>
      <c r="AT703" s="18"/>
      <c r="AU703" s="6"/>
      <c r="AV703" s="18">
        <f>+VLOOKUP(AN703,Leyenda!$B$30:$E$34,3,FALSE)</f>
        <v>1</v>
      </c>
      <c r="AW703" s="18">
        <f>+VLOOKUP('2. Logging Brejo Seco'!AO703,Meteorizacion,3,FALSE)</f>
        <v>0</v>
      </c>
      <c r="AX703" s="18">
        <f>+VLOOKUP('2. Logging Brejo Seco'!AP703,Apertura,3,FALSE)</f>
        <v>0</v>
      </c>
      <c r="AY703" s="18">
        <f>+VLOOKUP('2. Logging Brejo Seco'!AQ703,Leyenda!$B$55:$D$59,3,FALSE)</f>
        <v>1</v>
      </c>
      <c r="AZ703" s="18">
        <f>+VLOOKUP('2. Logging Brejo Seco'!AR703,Relleno,3,FALSE)</f>
        <v>0</v>
      </c>
      <c r="BA703" s="18">
        <f t="shared" si="275"/>
        <v>2</v>
      </c>
      <c r="BB703" s="49">
        <f t="shared" si="276"/>
        <v>0</v>
      </c>
      <c r="BC703" s="49">
        <f>VLOOKUP(AH703,Leyenda!$B$4:$D$10,3,FALSE)</f>
        <v>1</v>
      </c>
      <c r="BD703" s="49">
        <f t="shared" si="277"/>
        <v>4</v>
      </c>
      <c r="BE703" s="49">
        <f t="shared" si="278"/>
        <v>2</v>
      </c>
      <c r="BF703" s="49">
        <f>VLOOKUP(AS703,Leyenda!$B$70:$D$75,3,FALSE)</f>
        <v>15</v>
      </c>
      <c r="BG703" s="67">
        <f t="shared" si="279"/>
        <v>3</v>
      </c>
      <c r="BH703" s="67">
        <f>VLOOKUP(AG703,Leyenda!$B$4:$E$10,4,FALSE)</f>
        <v>1</v>
      </c>
      <c r="BI703" s="67">
        <f t="shared" si="280"/>
        <v>5</v>
      </c>
      <c r="BJ703" s="67">
        <f t="shared" si="281"/>
        <v>0</v>
      </c>
      <c r="BK703" s="67">
        <f>+VLOOKUP('2. Logging Brejo Seco'!AP703,Leyenda!$B$47:$E$51,4,FALSE)</f>
        <v>0</v>
      </c>
      <c r="BL703" s="67">
        <f>+VLOOKUP('2. Logging Brejo Seco'!AQ703,Leyenda!$B$55:$E$59,4,FALSE)</f>
        <v>1</v>
      </c>
      <c r="BM703" s="67">
        <f>+VLOOKUP('2. Logging Brejo Seco'!AR703,Leyenda!$B$63:$E$67,3,FALSE)</f>
        <v>0</v>
      </c>
      <c r="BN703" s="67">
        <f>+VLOOKUP('2. Logging Brejo Seco'!AO703,Leyenda!$B$39:$E$43,4,FALSE)</f>
        <v>0</v>
      </c>
      <c r="BO703" s="67">
        <f>+VLOOKUP('2. Logging Brejo Seco'!AN703,Leyenda!$B$30:$E$34,4,FALSE)</f>
        <v>1</v>
      </c>
      <c r="BP703" s="67">
        <f>VLOOKUP(AS703,Leyenda!$B$71:$E$75,4,FALSE)</f>
        <v>10</v>
      </c>
      <c r="BQ703" s="67">
        <f t="shared" si="282"/>
        <v>18</v>
      </c>
      <c r="BR703" s="18">
        <f t="shared" si="283"/>
        <v>22</v>
      </c>
      <c r="BS703" s="240">
        <f t="shared" si="255"/>
        <v>0.33333333333333492</v>
      </c>
      <c r="BT703" s="6"/>
    </row>
    <row r="704" spans="1:72" x14ac:dyDescent="0.25">
      <c r="A704" s="18" t="s">
        <v>6</v>
      </c>
      <c r="B704" s="18">
        <v>2024</v>
      </c>
      <c r="C704" s="18" t="s">
        <v>138</v>
      </c>
      <c r="D704" s="18" t="s">
        <v>658</v>
      </c>
      <c r="E704" s="3">
        <v>40</v>
      </c>
      <c r="F704" s="191">
        <v>40</v>
      </c>
      <c r="G704" s="36" t="s">
        <v>153</v>
      </c>
      <c r="H704" s="18">
        <v>50</v>
      </c>
      <c r="I704" s="18" t="s">
        <v>756</v>
      </c>
      <c r="J704" s="18"/>
      <c r="K704" s="18">
        <v>26.07</v>
      </c>
      <c r="L704" s="18">
        <v>26.77</v>
      </c>
      <c r="M704" s="4">
        <f t="shared" si="257"/>
        <v>0.69999999999999929</v>
      </c>
      <c r="N704" s="113">
        <f t="shared" si="258"/>
        <v>1.0000000000000009</v>
      </c>
      <c r="O704" s="5">
        <f t="shared" si="286"/>
        <v>0</v>
      </c>
      <c r="P704" s="3">
        <v>0.7</v>
      </c>
      <c r="Q704" s="3"/>
      <c r="R704" s="3"/>
      <c r="S704" s="3"/>
      <c r="T704" s="3">
        <v>0.7</v>
      </c>
      <c r="U704" s="3">
        <v>0</v>
      </c>
      <c r="V704" s="187">
        <f t="shared" si="266"/>
        <v>0</v>
      </c>
      <c r="W704" s="3"/>
      <c r="X704" s="3"/>
      <c r="Y704" s="3">
        <v>20</v>
      </c>
      <c r="Z704" s="31">
        <f t="shared" si="256"/>
        <v>34.999999999999964</v>
      </c>
      <c r="AA704" s="6"/>
      <c r="AB704" s="6"/>
      <c r="AC704" s="6"/>
      <c r="AD704" s="6"/>
      <c r="AE704" s="6"/>
      <c r="AF704" s="6"/>
      <c r="AG704" s="3" t="s">
        <v>32</v>
      </c>
      <c r="AH704" s="3" t="s">
        <v>32</v>
      </c>
      <c r="AI704" s="18" t="str">
        <f>+VLOOKUP(AH704,Leyenda!$O$4:$U$10,6,FALSE)</f>
        <v>0,15-0,25</v>
      </c>
      <c r="AJ704" s="18" t="str">
        <f>+VLOOKUP(AG704,Leyenda!$O$4:$U$10,7,FALSE)</f>
        <v>No Blasting need</v>
      </c>
      <c r="AK704" s="18">
        <f>+VLOOKUP(AJ704,Leyenda!$U$4:$V$10,2,FALSE)</f>
        <v>2</v>
      </c>
      <c r="AL704" s="6"/>
      <c r="AM704" s="18" t="s">
        <v>32</v>
      </c>
      <c r="AN704" s="18" t="s">
        <v>66</v>
      </c>
      <c r="AO704" s="18" t="s">
        <v>81</v>
      </c>
      <c r="AP704" s="18" t="s">
        <v>100</v>
      </c>
      <c r="AQ704" s="18" t="s">
        <v>109</v>
      </c>
      <c r="AR704" s="18" t="s">
        <v>122</v>
      </c>
      <c r="AS704" s="18" t="s">
        <v>267</v>
      </c>
      <c r="AT704" s="18"/>
      <c r="AU704" s="6"/>
      <c r="AV704" s="18">
        <f>+VLOOKUP(AN704,Leyenda!$B$30:$E$34,3,FALSE)</f>
        <v>1</v>
      </c>
      <c r="AW704" s="18">
        <f>+VLOOKUP('2. Logging Brejo Seco'!AO704,Meteorizacion,3,FALSE)</f>
        <v>0</v>
      </c>
      <c r="AX704" s="18">
        <f>+VLOOKUP('2. Logging Brejo Seco'!AP704,Apertura,3,FALSE)</f>
        <v>0</v>
      </c>
      <c r="AY704" s="18">
        <f>+VLOOKUP('2. Logging Brejo Seco'!AQ704,Leyenda!$B$55:$D$59,3,FALSE)</f>
        <v>1</v>
      </c>
      <c r="AZ704" s="18">
        <f>+VLOOKUP('2. Logging Brejo Seco'!AR704,Relleno,3,FALSE)</f>
        <v>0</v>
      </c>
      <c r="BA704" s="18">
        <f t="shared" si="275"/>
        <v>2</v>
      </c>
      <c r="BB704" s="49">
        <f t="shared" si="276"/>
        <v>0</v>
      </c>
      <c r="BC704" s="49">
        <f>VLOOKUP(AH704,Leyenda!$B$4:$D$10,3,FALSE)</f>
        <v>1</v>
      </c>
      <c r="BD704" s="49">
        <f t="shared" si="277"/>
        <v>5</v>
      </c>
      <c r="BE704" s="49">
        <f t="shared" si="278"/>
        <v>2</v>
      </c>
      <c r="BF704" s="49">
        <f>VLOOKUP(AS704,Leyenda!$B$70:$D$75,3,FALSE)</f>
        <v>15</v>
      </c>
      <c r="BG704" s="67">
        <f t="shared" si="279"/>
        <v>3</v>
      </c>
      <c r="BH704" s="67">
        <f>VLOOKUP(AG704,Leyenda!$B$4:$E$10,4,FALSE)</f>
        <v>1</v>
      </c>
      <c r="BI704" s="67">
        <f t="shared" si="280"/>
        <v>5</v>
      </c>
      <c r="BJ704" s="67">
        <f t="shared" si="281"/>
        <v>0</v>
      </c>
      <c r="BK704" s="67">
        <f>+VLOOKUP('2. Logging Brejo Seco'!AP704,Leyenda!$B$47:$E$51,4,FALSE)</f>
        <v>0</v>
      </c>
      <c r="BL704" s="67">
        <f>+VLOOKUP('2. Logging Brejo Seco'!AQ704,Leyenda!$B$55:$E$59,4,FALSE)</f>
        <v>1</v>
      </c>
      <c r="BM704" s="67">
        <f>+VLOOKUP('2. Logging Brejo Seco'!AR704,Leyenda!$B$63:$E$67,3,FALSE)</f>
        <v>0</v>
      </c>
      <c r="BN704" s="67">
        <f>+VLOOKUP('2. Logging Brejo Seco'!AO704,Leyenda!$B$39:$E$43,4,FALSE)</f>
        <v>0</v>
      </c>
      <c r="BO704" s="67">
        <f>+VLOOKUP('2. Logging Brejo Seco'!AN704,Leyenda!$B$30:$E$34,4,FALSE)</f>
        <v>1</v>
      </c>
      <c r="BP704" s="67">
        <f>VLOOKUP(AS704,Leyenda!$B$71:$E$75,4,FALSE)</f>
        <v>10</v>
      </c>
      <c r="BQ704" s="67">
        <f t="shared" si="282"/>
        <v>18</v>
      </c>
      <c r="BR704" s="18">
        <f t="shared" si="283"/>
        <v>23</v>
      </c>
      <c r="BS704" s="240">
        <f t="shared" si="255"/>
        <v>0</v>
      </c>
      <c r="BT704" s="6"/>
    </row>
    <row r="705" spans="1:72" x14ac:dyDescent="0.25">
      <c r="A705" s="18" t="s">
        <v>6</v>
      </c>
      <c r="B705" s="18">
        <v>2024</v>
      </c>
      <c r="C705" s="18" t="s">
        <v>138</v>
      </c>
      <c r="D705" s="18" t="s">
        <v>658</v>
      </c>
      <c r="E705" s="3">
        <v>40</v>
      </c>
      <c r="F705" s="191">
        <v>40</v>
      </c>
      <c r="G705" s="36" t="s">
        <v>153</v>
      </c>
      <c r="H705" s="3">
        <v>50</v>
      </c>
      <c r="I705" s="3" t="s">
        <v>756</v>
      </c>
      <c r="J705" s="6"/>
      <c r="K705" s="18">
        <f t="shared" si="285"/>
        <v>26.77</v>
      </c>
      <c r="L705" s="18">
        <v>27.97</v>
      </c>
      <c r="M705" s="4">
        <f t="shared" si="257"/>
        <v>1.1999999999999993</v>
      </c>
      <c r="N705" s="113">
        <f t="shared" si="258"/>
        <v>0.93333333333333401</v>
      </c>
      <c r="O705" s="5">
        <f t="shared" si="286"/>
        <v>6.6666666666665986E-2</v>
      </c>
      <c r="P705" s="3">
        <v>1.1200000000000001</v>
      </c>
      <c r="Q705" s="3"/>
      <c r="R705" s="3"/>
      <c r="S705" s="3"/>
      <c r="T705" s="3">
        <v>1.1200000000000001</v>
      </c>
      <c r="U705" s="3">
        <v>0</v>
      </c>
      <c r="V705" s="187">
        <f t="shared" si="266"/>
        <v>0</v>
      </c>
      <c r="W705" s="3"/>
      <c r="X705" s="3"/>
      <c r="Y705" s="3">
        <v>20</v>
      </c>
      <c r="Z705" s="31">
        <f t="shared" si="256"/>
        <v>59.999999999999964</v>
      </c>
      <c r="AA705" s="6"/>
      <c r="AB705" s="6"/>
      <c r="AC705" s="6"/>
      <c r="AD705" s="6"/>
      <c r="AE705" s="6"/>
      <c r="AF705" s="6"/>
      <c r="AG705" s="3" t="s">
        <v>32</v>
      </c>
      <c r="AH705" s="3" t="s">
        <v>32</v>
      </c>
      <c r="AI705" s="18" t="str">
        <f>+VLOOKUP(AH705,Leyenda!$O$4:$U$10,6,FALSE)</f>
        <v>0,15-0,25</v>
      </c>
      <c r="AJ705" s="18" t="str">
        <f>+VLOOKUP(AG705,Leyenda!$O$4:$U$10,7,FALSE)</f>
        <v>No Blasting need</v>
      </c>
      <c r="AK705" s="18">
        <f>+VLOOKUP(AJ705,Leyenda!$U$4:$V$10,2,FALSE)</f>
        <v>2</v>
      </c>
      <c r="AL705" s="6"/>
      <c r="AM705" s="18" t="s">
        <v>32</v>
      </c>
      <c r="AN705" s="18" t="s">
        <v>64</v>
      </c>
      <c r="AO705" s="18" t="s">
        <v>79</v>
      </c>
      <c r="AP705" s="18" t="s">
        <v>100</v>
      </c>
      <c r="AQ705" s="18" t="s">
        <v>107</v>
      </c>
      <c r="AR705" s="18" t="s">
        <v>122</v>
      </c>
      <c r="AS705" s="18" t="s">
        <v>267</v>
      </c>
      <c r="AT705" s="18"/>
      <c r="AU705" s="6"/>
      <c r="AV705" s="18">
        <f>+VLOOKUP(AN705,Leyenda!$B$30:$E$34,3,FALSE)</f>
        <v>2</v>
      </c>
      <c r="AW705" s="18">
        <f>+VLOOKUP('2. Logging Brejo Seco'!AO705,Meteorizacion,3,FALSE)</f>
        <v>1</v>
      </c>
      <c r="AX705" s="18">
        <f>+VLOOKUP('2. Logging Brejo Seco'!AP705,Apertura,3,FALSE)</f>
        <v>0</v>
      </c>
      <c r="AY705" s="18">
        <f>+VLOOKUP('2. Logging Brejo Seco'!AQ705,Leyenda!$B$55:$D$59,3,FALSE)</f>
        <v>3</v>
      </c>
      <c r="AZ705" s="18">
        <f>+VLOOKUP('2. Logging Brejo Seco'!AR705,Relleno,3,FALSE)</f>
        <v>0</v>
      </c>
      <c r="BA705" s="18">
        <f t="shared" si="275"/>
        <v>6</v>
      </c>
      <c r="BB705" s="49">
        <f t="shared" si="276"/>
        <v>0</v>
      </c>
      <c r="BC705" s="49">
        <f>VLOOKUP(AH705,Leyenda!$B$4:$D$10,3,FALSE)</f>
        <v>1</v>
      </c>
      <c r="BD705" s="49">
        <f t="shared" si="277"/>
        <v>6</v>
      </c>
      <c r="BE705" s="49">
        <f t="shared" si="278"/>
        <v>6</v>
      </c>
      <c r="BF705" s="49">
        <f>VLOOKUP(AS705,Leyenda!$B$70:$D$75,3,FALSE)</f>
        <v>15</v>
      </c>
      <c r="BG705" s="67">
        <f t="shared" si="279"/>
        <v>9</v>
      </c>
      <c r="BH705" s="67">
        <f>VLOOKUP(AG705,Leyenda!$B$4:$E$10,4,FALSE)</f>
        <v>1</v>
      </c>
      <c r="BI705" s="67">
        <f t="shared" si="280"/>
        <v>5</v>
      </c>
      <c r="BJ705" s="67">
        <f t="shared" si="281"/>
        <v>0</v>
      </c>
      <c r="BK705" s="67">
        <f>+VLOOKUP('2. Logging Brejo Seco'!AP705,Leyenda!$B$47:$E$51,4,FALSE)</f>
        <v>0</v>
      </c>
      <c r="BL705" s="67">
        <f>+VLOOKUP('2. Logging Brejo Seco'!AQ705,Leyenda!$B$55:$E$59,4,FALSE)</f>
        <v>3</v>
      </c>
      <c r="BM705" s="67">
        <f>+VLOOKUP('2. Logging Brejo Seco'!AR705,Leyenda!$B$63:$E$67,3,FALSE)</f>
        <v>0</v>
      </c>
      <c r="BN705" s="67">
        <f>+VLOOKUP('2. Logging Brejo Seco'!AO705,Leyenda!$B$39:$E$43,4,FALSE)</f>
        <v>1</v>
      </c>
      <c r="BO705" s="67">
        <f>+VLOOKUP('2. Logging Brejo Seco'!AN705,Leyenda!$B$30:$E$34,4,FALSE)</f>
        <v>3</v>
      </c>
      <c r="BP705" s="67">
        <f>VLOOKUP(AS705,Leyenda!$B$71:$E$75,4,FALSE)</f>
        <v>10</v>
      </c>
      <c r="BQ705" s="67">
        <f t="shared" si="282"/>
        <v>23</v>
      </c>
      <c r="BR705" s="18">
        <f t="shared" si="283"/>
        <v>28</v>
      </c>
      <c r="BS705" s="240">
        <f t="shared" si="255"/>
        <v>6.6666666666665986E-2</v>
      </c>
      <c r="BT705" s="6"/>
    </row>
    <row r="706" spans="1:72" x14ac:dyDescent="0.25">
      <c r="A706" s="18" t="s">
        <v>6</v>
      </c>
      <c r="B706" s="18">
        <v>2024</v>
      </c>
      <c r="C706" s="18" t="s">
        <v>138</v>
      </c>
      <c r="D706" s="18" t="s">
        <v>658</v>
      </c>
      <c r="E706" s="3">
        <v>40</v>
      </c>
      <c r="F706" s="191">
        <v>40</v>
      </c>
      <c r="G706" s="36" t="s">
        <v>153</v>
      </c>
      <c r="H706" s="3">
        <v>50</v>
      </c>
      <c r="I706" s="3" t="s">
        <v>756</v>
      </c>
      <c r="J706" s="6"/>
      <c r="K706" s="18">
        <f t="shared" si="285"/>
        <v>27.97</v>
      </c>
      <c r="L706" s="18">
        <v>29.12</v>
      </c>
      <c r="M706" s="4">
        <f t="shared" si="257"/>
        <v>1.1500000000000021</v>
      </c>
      <c r="N706" s="113">
        <f t="shared" si="258"/>
        <v>0.88695652173912876</v>
      </c>
      <c r="O706" s="5">
        <f t="shared" si="286"/>
        <v>0.11304347826087124</v>
      </c>
      <c r="P706" s="3">
        <v>1.02</v>
      </c>
      <c r="Q706" s="3"/>
      <c r="R706" s="3"/>
      <c r="S706" s="3"/>
      <c r="T706" s="3">
        <f>0.44+0.58</f>
        <v>1.02</v>
      </c>
      <c r="U706" s="3">
        <v>0.21</v>
      </c>
      <c r="V706" s="187">
        <f t="shared" si="266"/>
        <v>18.260869565217359</v>
      </c>
      <c r="W706" s="3"/>
      <c r="X706" s="3"/>
      <c r="Y706" s="3">
        <f>14+5</f>
        <v>19</v>
      </c>
      <c r="Z706" s="31">
        <f t="shared" si="256"/>
        <v>60.526315789473792</v>
      </c>
      <c r="AA706" s="6"/>
      <c r="AB706" s="6"/>
      <c r="AC706" s="6"/>
      <c r="AD706" s="6"/>
      <c r="AE706" s="6"/>
      <c r="AF706" s="6"/>
      <c r="AG706" s="3" t="s">
        <v>32</v>
      </c>
      <c r="AH706" s="3" t="s">
        <v>32</v>
      </c>
      <c r="AI706" s="18" t="str">
        <f>+VLOOKUP(AH706,Leyenda!$O$4:$U$10,6,FALSE)</f>
        <v>0,15-0,25</v>
      </c>
      <c r="AJ706" s="18" t="str">
        <f>+VLOOKUP(AG706,Leyenda!$O$4:$U$10,7,FALSE)</f>
        <v>No Blasting need</v>
      </c>
      <c r="AK706" s="18">
        <f>+VLOOKUP(AJ706,Leyenda!$U$4:$V$10,2,FALSE)</f>
        <v>2</v>
      </c>
      <c r="AL706" s="6"/>
      <c r="AM706" s="18" t="s">
        <v>32</v>
      </c>
      <c r="AN706" s="18" t="s">
        <v>64</v>
      </c>
      <c r="AO706" s="18" t="s">
        <v>79</v>
      </c>
      <c r="AP706" s="18" t="s">
        <v>96</v>
      </c>
      <c r="AQ706" s="18" t="s">
        <v>109</v>
      </c>
      <c r="AR706" s="18" t="s">
        <v>122</v>
      </c>
      <c r="AS706" s="18" t="s">
        <v>267</v>
      </c>
      <c r="AT706" s="18"/>
      <c r="AU706" s="6"/>
      <c r="AV706" s="18">
        <f>+VLOOKUP(AN706,Leyenda!$B$30:$E$34,3,FALSE)</f>
        <v>2</v>
      </c>
      <c r="AW706" s="18">
        <f>+VLOOKUP('2. Logging Brejo Seco'!AO706,Meteorizacion,3,FALSE)</f>
        <v>1</v>
      </c>
      <c r="AX706" s="18">
        <f>+VLOOKUP('2. Logging Brejo Seco'!AP706,Apertura,3,FALSE)</f>
        <v>1</v>
      </c>
      <c r="AY706" s="18">
        <f>+VLOOKUP('2. Logging Brejo Seco'!AQ706,Leyenda!$B$55:$D$59,3,FALSE)</f>
        <v>1</v>
      </c>
      <c r="AZ706" s="18">
        <f>+VLOOKUP('2. Logging Brejo Seco'!AR706,Relleno,3,FALSE)</f>
        <v>0</v>
      </c>
      <c r="BA706" s="18">
        <f t="shared" si="275"/>
        <v>5</v>
      </c>
      <c r="BB706" s="49">
        <f t="shared" si="276"/>
        <v>4</v>
      </c>
      <c r="BC706" s="49">
        <f>VLOOKUP(AH706,Leyenda!$B$4:$D$10,3,FALSE)</f>
        <v>1</v>
      </c>
      <c r="BD706" s="49">
        <f t="shared" si="277"/>
        <v>6</v>
      </c>
      <c r="BE706" s="49">
        <f t="shared" si="278"/>
        <v>5</v>
      </c>
      <c r="BF706" s="49">
        <f>VLOOKUP(AS706,Leyenda!$B$70:$D$75,3,FALSE)</f>
        <v>15</v>
      </c>
      <c r="BG706" s="67">
        <f t="shared" si="279"/>
        <v>16.630434782608681</v>
      </c>
      <c r="BH706" s="67">
        <f>VLOOKUP(AG706,Leyenda!$B$4:$E$10,4,FALSE)</f>
        <v>1</v>
      </c>
      <c r="BI706" s="67">
        <f t="shared" si="280"/>
        <v>5</v>
      </c>
      <c r="BJ706" s="67">
        <f t="shared" si="281"/>
        <v>4</v>
      </c>
      <c r="BK706" s="67">
        <f>+VLOOKUP('2. Logging Brejo Seco'!AP706,Leyenda!$B$47:$E$51,4,FALSE)</f>
        <v>1</v>
      </c>
      <c r="BL706" s="67">
        <f>+VLOOKUP('2. Logging Brejo Seco'!AQ706,Leyenda!$B$55:$E$59,4,FALSE)</f>
        <v>1</v>
      </c>
      <c r="BM706" s="67">
        <f>+VLOOKUP('2. Logging Brejo Seco'!AR706,Leyenda!$B$63:$E$67,3,FALSE)</f>
        <v>0</v>
      </c>
      <c r="BN706" s="67">
        <f>+VLOOKUP('2. Logging Brejo Seco'!AO706,Leyenda!$B$39:$E$43,4,FALSE)</f>
        <v>1</v>
      </c>
      <c r="BO706" s="67">
        <f>+VLOOKUP('2. Logging Brejo Seco'!AN706,Leyenda!$B$30:$E$34,4,FALSE)</f>
        <v>3</v>
      </c>
      <c r="BP706" s="67">
        <f>VLOOKUP(AS706,Leyenda!$B$71:$E$75,4,FALSE)</f>
        <v>10</v>
      </c>
      <c r="BQ706" s="67">
        <f t="shared" si="282"/>
        <v>26</v>
      </c>
      <c r="BR706" s="18">
        <f t="shared" si="283"/>
        <v>31</v>
      </c>
      <c r="BS706" s="240">
        <f t="shared" si="255"/>
        <v>0.11304347826087124</v>
      </c>
      <c r="BT706" s="6"/>
    </row>
    <row r="707" spans="1:72" x14ac:dyDescent="0.25">
      <c r="A707" s="18" t="s">
        <v>6</v>
      </c>
      <c r="B707" s="18">
        <v>2024</v>
      </c>
      <c r="C707" s="18" t="s">
        <v>138</v>
      </c>
      <c r="D707" s="18" t="s">
        <v>658</v>
      </c>
      <c r="E707" s="3">
        <v>40</v>
      </c>
      <c r="F707" s="191">
        <v>40</v>
      </c>
      <c r="G707" s="36" t="s">
        <v>153</v>
      </c>
      <c r="H707" s="3">
        <v>50</v>
      </c>
      <c r="I707" s="3" t="s">
        <v>756</v>
      </c>
      <c r="J707" s="6"/>
      <c r="K707" s="18">
        <f t="shared" si="285"/>
        <v>29.12</v>
      </c>
      <c r="L707" s="18">
        <v>31.12</v>
      </c>
      <c r="M707" s="4">
        <f t="shared" si="257"/>
        <v>2</v>
      </c>
      <c r="N707" s="113">
        <f t="shared" si="258"/>
        <v>0.89</v>
      </c>
      <c r="O707" s="5">
        <f t="shared" si="286"/>
        <v>0.10999999999999999</v>
      </c>
      <c r="P707" s="3">
        <v>1.78</v>
      </c>
      <c r="Q707" s="3"/>
      <c r="R707" s="3"/>
      <c r="S707" s="3"/>
      <c r="T707" s="3">
        <v>1.78</v>
      </c>
      <c r="U707" s="3">
        <v>0.72</v>
      </c>
      <c r="V707" s="187">
        <f t="shared" si="266"/>
        <v>36</v>
      </c>
      <c r="W707" s="3"/>
      <c r="X707" s="3"/>
      <c r="Y707" s="3">
        <v>14</v>
      </c>
      <c r="Z707" s="31">
        <f t="shared" si="256"/>
        <v>142.85714285714286</v>
      </c>
      <c r="AA707" s="6"/>
      <c r="AB707" s="6"/>
      <c r="AC707" s="6"/>
      <c r="AD707" s="6"/>
      <c r="AE707" s="6"/>
      <c r="AF707" s="6"/>
      <c r="AG707" s="3" t="s">
        <v>32</v>
      </c>
      <c r="AH707" s="3" t="s">
        <v>32</v>
      </c>
      <c r="AI707" s="18" t="str">
        <f>+VLOOKUP(AH707,Leyenda!$O$4:$U$10,6,FALSE)</f>
        <v>0,15-0,25</v>
      </c>
      <c r="AJ707" s="18" t="str">
        <f>+VLOOKUP(AG707,Leyenda!$O$4:$U$10,7,FALSE)</f>
        <v>No Blasting need</v>
      </c>
      <c r="AK707" s="18">
        <f>+VLOOKUP(AJ707,Leyenda!$U$4:$V$10,2,FALSE)</f>
        <v>2</v>
      </c>
      <c r="AL707" s="6"/>
      <c r="AM707" s="18" t="s">
        <v>32</v>
      </c>
      <c r="AN707" s="18" t="s">
        <v>64</v>
      </c>
      <c r="AO707" s="18" t="s">
        <v>79</v>
      </c>
      <c r="AP707" s="18" t="s">
        <v>96</v>
      </c>
      <c r="AQ707" s="18" t="s">
        <v>109</v>
      </c>
      <c r="AR707" s="18" t="s">
        <v>122</v>
      </c>
      <c r="AS707" s="18" t="s">
        <v>267</v>
      </c>
      <c r="AT707" s="18"/>
      <c r="AU707" s="6"/>
      <c r="AV707" s="18">
        <f>+VLOOKUP(AN707,Leyenda!$B$30:$E$34,3,FALSE)</f>
        <v>2</v>
      </c>
      <c r="AW707" s="18">
        <f>+VLOOKUP('2. Logging Brejo Seco'!AO707,Meteorizacion,3,FALSE)</f>
        <v>1</v>
      </c>
      <c r="AX707" s="18">
        <f>+VLOOKUP('2. Logging Brejo Seco'!AP707,Apertura,3,FALSE)</f>
        <v>1</v>
      </c>
      <c r="AY707" s="18">
        <f>+VLOOKUP('2. Logging Brejo Seco'!AQ707,Leyenda!$B$55:$D$59,3,FALSE)</f>
        <v>1</v>
      </c>
      <c r="AZ707" s="18">
        <f>+VLOOKUP('2. Logging Brejo Seco'!AR707,Relleno,3,FALSE)</f>
        <v>0</v>
      </c>
      <c r="BA707" s="18">
        <f t="shared" si="275"/>
        <v>5</v>
      </c>
      <c r="BB707" s="49">
        <f t="shared" si="276"/>
        <v>8</v>
      </c>
      <c r="BC707" s="49">
        <f>VLOOKUP(AH707,Leyenda!$B$4:$D$10,3,FALSE)</f>
        <v>1</v>
      </c>
      <c r="BD707" s="49">
        <f t="shared" si="277"/>
        <v>8</v>
      </c>
      <c r="BE707" s="49">
        <f t="shared" si="278"/>
        <v>5</v>
      </c>
      <c r="BF707" s="49">
        <f>VLOOKUP(AS707,Leyenda!$B$70:$D$75,3,FALSE)</f>
        <v>15</v>
      </c>
      <c r="BG707" s="67">
        <f t="shared" si="279"/>
        <v>25.5</v>
      </c>
      <c r="BH707" s="67">
        <f>VLOOKUP(AG707,Leyenda!$B$4:$E$10,4,FALSE)</f>
        <v>1</v>
      </c>
      <c r="BI707" s="67">
        <f t="shared" si="280"/>
        <v>10</v>
      </c>
      <c r="BJ707" s="67">
        <f t="shared" si="281"/>
        <v>8</v>
      </c>
      <c r="BK707" s="67">
        <f>+VLOOKUP('2. Logging Brejo Seco'!AP707,Leyenda!$B$47:$E$51,4,FALSE)</f>
        <v>1</v>
      </c>
      <c r="BL707" s="67">
        <f>+VLOOKUP('2. Logging Brejo Seco'!AQ707,Leyenda!$B$55:$E$59,4,FALSE)</f>
        <v>1</v>
      </c>
      <c r="BM707" s="67">
        <f>+VLOOKUP('2. Logging Brejo Seco'!AR707,Leyenda!$B$63:$E$67,3,FALSE)</f>
        <v>0</v>
      </c>
      <c r="BN707" s="67">
        <f>+VLOOKUP('2. Logging Brejo Seco'!AO707,Leyenda!$B$39:$E$43,4,FALSE)</f>
        <v>1</v>
      </c>
      <c r="BO707" s="67">
        <f>+VLOOKUP('2. Logging Brejo Seco'!AN707,Leyenda!$B$30:$E$34,4,FALSE)</f>
        <v>3</v>
      </c>
      <c r="BP707" s="67">
        <f>VLOOKUP(AS707,Leyenda!$B$71:$E$75,4,FALSE)</f>
        <v>10</v>
      </c>
      <c r="BQ707" s="67">
        <f t="shared" si="282"/>
        <v>35</v>
      </c>
      <c r="BR707" s="18">
        <f t="shared" si="283"/>
        <v>37</v>
      </c>
      <c r="BS707" s="240">
        <f t="shared" si="255"/>
        <v>0.10999999999999999</v>
      </c>
      <c r="BT707" s="6"/>
    </row>
    <row r="708" spans="1:72" x14ac:dyDescent="0.25">
      <c r="A708" s="18" t="s">
        <v>6</v>
      </c>
      <c r="B708" s="18">
        <v>2024</v>
      </c>
      <c r="C708" s="18" t="s">
        <v>138</v>
      </c>
      <c r="D708" s="18" t="s">
        <v>658</v>
      </c>
      <c r="E708" s="3">
        <v>40</v>
      </c>
      <c r="F708" s="191">
        <v>40</v>
      </c>
      <c r="G708" s="36" t="s">
        <v>153</v>
      </c>
      <c r="H708" s="3">
        <v>50</v>
      </c>
      <c r="I708" s="3" t="s">
        <v>756</v>
      </c>
      <c r="J708" s="6"/>
      <c r="K708" s="18">
        <f t="shared" si="285"/>
        <v>31.12</v>
      </c>
      <c r="L708" s="18">
        <v>33.72</v>
      </c>
      <c r="M708" s="4">
        <f t="shared" si="257"/>
        <v>2.5999999999999979</v>
      </c>
      <c r="N708" s="113">
        <f t="shared" si="258"/>
        <v>0.4615384615384619</v>
      </c>
      <c r="O708" s="5">
        <f t="shared" si="286"/>
        <v>0.5384615384615381</v>
      </c>
      <c r="P708" s="3">
        <v>1.2</v>
      </c>
      <c r="Q708" s="3"/>
      <c r="R708" s="3"/>
      <c r="S708" s="3"/>
      <c r="T708" s="3">
        <f>0.21+0.99</f>
        <v>1.2</v>
      </c>
      <c r="U708" s="3">
        <v>0.28000000000000003</v>
      </c>
      <c r="V708" s="187">
        <f t="shared" si="266"/>
        <v>10.769230769230779</v>
      </c>
      <c r="W708" s="3"/>
      <c r="X708" s="3"/>
      <c r="Y708" s="3">
        <v>18</v>
      </c>
      <c r="Z708" s="31">
        <f t="shared" si="256"/>
        <v>144.44444444444431</v>
      </c>
      <c r="AA708" s="6"/>
      <c r="AB708" s="6"/>
      <c r="AC708" s="6"/>
      <c r="AD708" s="6"/>
      <c r="AE708" s="6"/>
      <c r="AF708" s="6"/>
      <c r="AG708" s="3" t="s">
        <v>32</v>
      </c>
      <c r="AH708" s="3" t="s">
        <v>32</v>
      </c>
      <c r="AI708" s="18" t="str">
        <f>+VLOOKUP(AH708,Leyenda!$O$4:$U$10,6,FALSE)</f>
        <v>0,15-0,25</v>
      </c>
      <c r="AJ708" s="18" t="str">
        <f>+VLOOKUP(AG708,Leyenda!$O$4:$U$10,7,FALSE)</f>
        <v>No Blasting need</v>
      </c>
      <c r="AK708" s="18">
        <f>+VLOOKUP(AJ708,Leyenda!$U$4:$V$10,2,FALSE)</f>
        <v>2</v>
      </c>
      <c r="AL708" s="6"/>
      <c r="AM708" s="18" t="s">
        <v>32</v>
      </c>
      <c r="AN708" s="18" t="s">
        <v>64</v>
      </c>
      <c r="AO708" s="18" t="s">
        <v>79</v>
      </c>
      <c r="AP708" s="18" t="s">
        <v>96</v>
      </c>
      <c r="AQ708" s="18" t="s">
        <v>109</v>
      </c>
      <c r="AR708" s="18" t="s">
        <v>122</v>
      </c>
      <c r="AS708" s="18" t="s">
        <v>267</v>
      </c>
      <c r="AT708" s="18"/>
      <c r="AU708" s="6"/>
      <c r="AV708" s="18">
        <f>+VLOOKUP(AN708,Leyenda!$B$30:$E$34,3,FALSE)</f>
        <v>2</v>
      </c>
      <c r="AW708" s="18">
        <f>+VLOOKUP('2. Logging Brejo Seco'!AO708,Meteorizacion,3,FALSE)</f>
        <v>1</v>
      </c>
      <c r="AX708" s="18">
        <f>+VLOOKUP('2. Logging Brejo Seco'!AP708,Apertura,3,FALSE)</f>
        <v>1</v>
      </c>
      <c r="AY708" s="18">
        <f>+VLOOKUP('2. Logging Brejo Seco'!AQ708,Leyenda!$B$55:$D$59,3,FALSE)</f>
        <v>1</v>
      </c>
      <c r="AZ708" s="18">
        <f>+VLOOKUP('2. Logging Brejo Seco'!AR708,Relleno,3,FALSE)</f>
        <v>0</v>
      </c>
      <c r="BA708" s="18">
        <f t="shared" si="275"/>
        <v>5</v>
      </c>
      <c r="BB708" s="49">
        <f t="shared" si="276"/>
        <v>2</v>
      </c>
      <c r="BC708" s="49">
        <f>VLOOKUP(AH708,Leyenda!$B$4:$D$10,3,FALSE)</f>
        <v>1</v>
      </c>
      <c r="BD708" s="49">
        <f t="shared" si="277"/>
        <v>8</v>
      </c>
      <c r="BE708" s="49">
        <f t="shared" si="278"/>
        <v>5</v>
      </c>
      <c r="BF708" s="49">
        <f>VLOOKUP(AS708,Leyenda!$B$70:$D$75,3,FALSE)</f>
        <v>15</v>
      </c>
      <c r="BG708" s="67">
        <f t="shared" si="279"/>
        <v>12.88461538461539</v>
      </c>
      <c r="BH708" s="67">
        <f>VLOOKUP(AG708,Leyenda!$B$4:$E$10,4,FALSE)</f>
        <v>1</v>
      </c>
      <c r="BI708" s="67">
        <f t="shared" si="280"/>
        <v>10</v>
      </c>
      <c r="BJ708" s="67">
        <f t="shared" si="281"/>
        <v>2</v>
      </c>
      <c r="BK708" s="67">
        <f>+VLOOKUP('2. Logging Brejo Seco'!AP708,Leyenda!$B$47:$E$51,4,FALSE)</f>
        <v>1</v>
      </c>
      <c r="BL708" s="67">
        <f>+VLOOKUP('2. Logging Brejo Seco'!AQ708,Leyenda!$B$55:$E$59,4,FALSE)</f>
        <v>1</v>
      </c>
      <c r="BM708" s="67">
        <f>+VLOOKUP('2. Logging Brejo Seco'!AR708,Leyenda!$B$63:$E$67,3,FALSE)</f>
        <v>0</v>
      </c>
      <c r="BN708" s="67">
        <f>+VLOOKUP('2. Logging Brejo Seco'!AO708,Leyenda!$B$39:$E$43,4,FALSE)</f>
        <v>1</v>
      </c>
      <c r="BO708" s="67">
        <f>+VLOOKUP('2. Logging Brejo Seco'!AN708,Leyenda!$B$30:$E$34,4,FALSE)</f>
        <v>3</v>
      </c>
      <c r="BP708" s="67">
        <f>VLOOKUP(AS708,Leyenda!$B$71:$E$75,4,FALSE)</f>
        <v>10</v>
      </c>
      <c r="BQ708" s="67">
        <f t="shared" si="282"/>
        <v>29</v>
      </c>
      <c r="BR708" s="18">
        <f t="shared" si="283"/>
        <v>31</v>
      </c>
      <c r="BS708" s="240">
        <f t="shared" ref="BS708:BS771" si="287">1-N708</f>
        <v>0.5384615384615381</v>
      </c>
      <c r="BT708" s="6"/>
    </row>
    <row r="709" spans="1:72" x14ac:dyDescent="0.25">
      <c r="A709" s="18" t="s">
        <v>6</v>
      </c>
      <c r="B709" s="18">
        <v>2024</v>
      </c>
      <c r="C709" s="18" t="s">
        <v>138</v>
      </c>
      <c r="D709" s="18" t="s">
        <v>658</v>
      </c>
      <c r="E709" s="3">
        <v>40</v>
      </c>
      <c r="F709" s="191">
        <v>40</v>
      </c>
      <c r="G709" s="36" t="s">
        <v>153</v>
      </c>
      <c r="H709" s="3">
        <v>50</v>
      </c>
      <c r="I709" s="3" t="s">
        <v>756</v>
      </c>
      <c r="J709" s="6"/>
      <c r="K709" s="18">
        <f t="shared" si="285"/>
        <v>33.72</v>
      </c>
      <c r="L709" s="18">
        <v>34.76</v>
      </c>
      <c r="M709" s="4">
        <f t="shared" si="257"/>
        <v>1.0399999999999991</v>
      </c>
      <c r="N709" s="113">
        <f t="shared" si="258"/>
        <v>0.96153846153846234</v>
      </c>
      <c r="O709" s="5">
        <f t="shared" si="286"/>
        <v>3.8461538461537659E-2</v>
      </c>
      <c r="P709" s="3">
        <v>1</v>
      </c>
      <c r="Q709" s="3"/>
      <c r="R709" s="3"/>
      <c r="S709" s="3"/>
      <c r="T709" s="3">
        <v>1</v>
      </c>
      <c r="U709" s="3">
        <v>0.36</v>
      </c>
      <c r="V709" s="187">
        <f t="shared" si="266"/>
        <v>34.615384615384642</v>
      </c>
      <c r="W709" s="3"/>
      <c r="X709" s="3"/>
      <c r="Y709" s="3">
        <v>20</v>
      </c>
      <c r="Z709" s="31">
        <f t="shared" si="256"/>
        <v>51.999999999999957</v>
      </c>
      <c r="AA709" s="6"/>
      <c r="AB709" s="6"/>
      <c r="AC709" s="6"/>
      <c r="AD709" s="6"/>
      <c r="AE709" s="6"/>
      <c r="AF709" s="6"/>
      <c r="AG709" s="3" t="s">
        <v>32</v>
      </c>
      <c r="AH709" s="3" t="s">
        <v>32</v>
      </c>
      <c r="AI709" s="18" t="str">
        <f>+VLOOKUP(AH709,Leyenda!$O$4:$U$10,6,FALSE)</f>
        <v>0,15-0,25</v>
      </c>
      <c r="AJ709" s="18" t="str">
        <f>+VLOOKUP(AG709,Leyenda!$O$4:$U$10,7,FALSE)</f>
        <v>No Blasting need</v>
      </c>
      <c r="AK709" s="18">
        <f>+VLOOKUP(AJ709,Leyenda!$U$4:$V$10,2,FALSE)</f>
        <v>2</v>
      </c>
      <c r="AL709" s="6"/>
      <c r="AM709" s="18" t="s">
        <v>32</v>
      </c>
      <c r="AN709" s="18" t="s">
        <v>64</v>
      </c>
      <c r="AO709" s="18" t="s">
        <v>79</v>
      </c>
      <c r="AP709" s="18" t="s">
        <v>100</v>
      </c>
      <c r="AQ709" s="18" t="s">
        <v>109</v>
      </c>
      <c r="AR709" s="18" t="s">
        <v>122</v>
      </c>
      <c r="AS709" s="18" t="s">
        <v>267</v>
      </c>
      <c r="AT709" s="18"/>
      <c r="AU709" s="6"/>
      <c r="AV709" s="18">
        <f>+VLOOKUP(AN709,Leyenda!$B$30:$E$34,3,FALSE)</f>
        <v>2</v>
      </c>
      <c r="AW709" s="18">
        <f>+VLOOKUP('2. Logging Brejo Seco'!AO709,Meteorizacion,3,FALSE)</f>
        <v>1</v>
      </c>
      <c r="AX709" s="18">
        <f>+VLOOKUP('2. Logging Brejo Seco'!AP709,Apertura,3,FALSE)</f>
        <v>0</v>
      </c>
      <c r="AY709" s="18">
        <f>+VLOOKUP('2. Logging Brejo Seco'!AQ709,Leyenda!$B$55:$D$59,3,FALSE)</f>
        <v>1</v>
      </c>
      <c r="AZ709" s="18">
        <f>+VLOOKUP('2. Logging Brejo Seco'!AR709,Relleno,3,FALSE)</f>
        <v>0</v>
      </c>
      <c r="BA709" s="18">
        <f t="shared" si="275"/>
        <v>4</v>
      </c>
      <c r="BB709" s="49">
        <f t="shared" si="276"/>
        <v>7</v>
      </c>
      <c r="BC709" s="49">
        <f>VLOOKUP(AH709,Leyenda!$B$4:$D$10,3,FALSE)</f>
        <v>1</v>
      </c>
      <c r="BD709" s="49">
        <f t="shared" si="277"/>
        <v>6</v>
      </c>
      <c r="BE709" s="49">
        <f t="shared" si="278"/>
        <v>4</v>
      </c>
      <c r="BF709" s="49">
        <f>VLOOKUP(AS709,Leyenda!$B$70:$D$75,3,FALSE)</f>
        <v>15</v>
      </c>
      <c r="BG709" s="67">
        <f t="shared" si="279"/>
        <v>23.307692307692321</v>
      </c>
      <c r="BH709" s="67">
        <f>VLOOKUP(AG709,Leyenda!$B$4:$E$10,4,FALSE)</f>
        <v>1</v>
      </c>
      <c r="BI709" s="67">
        <f t="shared" si="280"/>
        <v>4</v>
      </c>
      <c r="BJ709" s="67">
        <f t="shared" si="281"/>
        <v>7</v>
      </c>
      <c r="BK709" s="67">
        <f>+VLOOKUP('2. Logging Brejo Seco'!AP709,Leyenda!$B$47:$E$51,4,FALSE)</f>
        <v>0</v>
      </c>
      <c r="BL709" s="67">
        <f>+VLOOKUP('2. Logging Brejo Seco'!AQ709,Leyenda!$B$55:$E$59,4,FALSE)</f>
        <v>1</v>
      </c>
      <c r="BM709" s="67">
        <f>+VLOOKUP('2. Logging Brejo Seco'!AR709,Leyenda!$B$63:$E$67,3,FALSE)</f>
        <v>0</v>
      </c>
      <c r="BN709" s="67">
        <f>+VLOOKUP('2. Logging Brejo Seco'!AO709,Leyenda!$B$39:$E$43,4,FALSE)</f>
        <v>1</v>
      </c>
      <c r="BO709" s="67">
        <f>+VLOOKUP('2. Logging Brejo Seco'!AN709,Leyenda!$B$30:$E$34,4,FALSE)</f>
        <v>3</v>
      </c>
      <c r="BP709" s="67">
        <f>VLOOKUP(AS709,Leyenda!$B$71:$E$75,4,FALSE)</f>
        <v>10</v>
      </c>
      <c r="BQ709" s="67">
        <f t="shared" si="282"/>
        <v>27</v>
      </c>
      <c r="BR709" s="18">
        <f t="shared" si="283"/>
        <v>33</v>
      </c>
      <c r="BS709" s="240">
        <f t="shared" si="287"/>
        <v>3.8461538461537659E-2</v>
      </c>
      <c r="BT709" s="6"/>
    </row>
    <row r="710" spans="1:72" x14ac:dyDescent="0.25">
      <c r="A710" s="18" t="s">
        <v>6</v>
      </c>
      <c r="B710" s="18">
        <v>2024</v>
      </c>
      <c r="C710" s="18" t="s">
        <v>138</v>
      </c>
      <c r="D710" s="18" t="s">
        <v>658</v>
      </c>
      <c r="E710" s="18">
        <v>30</v>
      </c>
      <c r="F710" s="191">
        <v>30</v>
      </c>
      <c r="G710" s="18" t="s">
        <v>152</v>
      </c>
      <c r="H710" s="3">
        <v>50</v>
      </c>
      <c r="I710" s="3" t="s">
        <v>756</v>
      </c>
      <c r="J710" s="6"/>
      <c r="K710" s="18">
        <f t="shared" si="285"/>
        <v>34.76</v>
      </c>
      <c r="L710" s="18">
        <v>35.32</v>
      </c>
      <c r="M710" s="4">
        <f t="shared" si="257"/>
        <v>0.56000000000000227</v>
      </c>
      <c r="N710" s="113">
        <f t="shared" si="258"/>
        <v>0.78571428571428248</v>
      </c>
      <c r="O710" s="5">
        <f t="shared" si="286"/>
        <v>0.21428571428571752</v>
      </c>
      <c r="P710" s="3">
        <v>0.44</v>
      </c>
      <c r="Q710" s="3"/>
      <c r="R710" s="3"/>
      <c r="S710" s="3"/>
      <c r="T710" s="3">
        <v>0.44</v>
      </c>
      <c r="U710" s="3">
        <v>0.13</v>
      </c>
      <c r="V710" s="187">
        <f t="shared" si="266"/>
        <v>23.214285714285619</v>
      </c>
      <c r="W710" s="3"/>
      <c r="X710" s="3"/>
      <c r="Y710" s="3">
        <v>7</v>
      </c>
      <c r="Z710" s="31">
        <f t="shared" si="256"/>
        <v>80.000000000000327</v>
      </c>
      <c r="AA710" s="6"/>
      <c r="AB710" s="6"/>
      <c r="AC710" s="6"/>
      <c r="AD710" s="6"/>
      <c r="AE710" s="6"/>
      <c r="AF710" s="6"/>
      <c r="AG710" s="3" t="s">
        <v>32</v>
      </c>
      <c r="AH710" s="3" t="s">
        <v>32</v>
      </c>
      <c r="AI710" s="18" t="str">
        <f>+VLOOKUP(AH710,Leyenda!$O$4:$U$10,6,FALSE)</f>
        <v>0,15-0,25</v>
      </c>
      <c r="AJ710" s="18" t="str">
        <f>+VLOOKUP(AG710,Leyenda!$O$4:$U$10,7,FALSE)</f>
        <v>No Blasting need</v>
      </c>
      <c r="AK710" s="18">
        <f>+VLOOKUP(AJ710,Leyenda!$U$4:$V$10,2,FALSE)</f>
        <v>2</v>
      </c>
      <c r="AL710" s="6"/>
      <c r="AM710" s="18" t="s">
        <v>32</v>
      </c>
      <c r="AN710" s="18" t="s">
        <v>64</v>
      </c>
      <c r="AO710" s="18" t="s">
        <v>79</v>
      </c>
      <c r="AP710" s="18" t="s">
        <v>100</v>
      </c>
      <c r="AQ710" s="18" t="s">
        <v>109</v>
      </c>
      <c r="AR710" s="18" t="s">
        <v>122</v>
      </c>
      <c r="AS710" s="18" t="s">
        <v>267</v>
      </c>
      <c r="AT710" s="18"/>
      <c r="AU710" s="6"/>
      <c r="AV710" s="36">
        <f>+VLOOKUP(AN710,Leyenda!$B$30:$E$34,3,FALSE)</f>
        <v>2</v>
      </c>
      <c r="AW710" s="36">
        <f>+VLOOKUP('2. Logging Brejo Seco'!AO710,Meteorizacion,3,FALSE)</f>
        <v>1</v>
      </c>
      <c r="AX710" s="36">
        <f>+VLOOKUP('2. Logging Brejo Seco'!AP710,Apertura,3,FALSE)</f>
        <v>0</v>
      </c>
      <c r="AY710" s="36">
        <f>+VLOOKUP('2. Logging Brejo Seco'!AQ710,Leyenda!$B$55:$D$59,3,FALSE)</f>
        <v>1</v>
      </c>
      <c r="AZ710" s="36">
        <f>+VLOOKUP('2. Logging Brejo Seco'!AR710,Relleno,3,FALSE)</f>
        <v>0</v>
      </c>
      <c r="BA710" s="36">
        <f t="shared" si="275"/>
        <v>4</v>
      </c>
      <c r="BB710" s="50">
        <f t="shared" si="276"/>
        <v>5</v>
      </c>
      <c r="BC710" s="49">
        <f>VLOOKUP(AH710,Leyenda!$B$4:$D$10,3,FALSE)</f>
        <v>1</v>
      </c>
      <c r="BD710" s="50">
        <f t="shared" si="277"/>
        <v>7</v>
      </c>
      <c r="BE710" s="50">
        <f t="shared" si="278"/>
        <v>4</v>
      </c>
      <c r="BF710" s="50">
        <f>VLOOKUP(AS710,Leyenda!$B$70:$D$75,3,FALSE)</f>
        <v>15</v>
      </c>
      <c r="BG710" s="110">
        <f t="shared" si="279"/>
        <v>17.607142857142811</v>
      </c>
      <c r="BH710" s="110">
        <f>VLOOKUP(AG710,Leyenda!$B$4:$E$10,4,FALSE)</f>
        <v>1</v>
      </c>
      <c r="BI710" s="67">
        <f t="shared" si="280"/>
        <v>7</v>
      </c>
      <c r="BJ710" s="110">
        <f t="shared" si="281"/>
        <v>5</v>
      </c>
      <c r="BK710" s="110">
        <f>+VLOOKUP('2. Logging Brejo Seco'!AP710,Leyenda!$B$47:$E$51,4,FALSE)</f>
        <v>0</v>
      </c>
      <c r="BL710" s="110">
        <f>+VLOOKUP('2. Logging Brejo Seco'!AQ710,Leyenda!$B$55:$E$59,4,FALSE)</f>
        <v>1</v>
      </c>
      <c r="BM710" s="110">
        <f>+VLOOKUP('2. Logging Brejo Seco'!AR710,Leyenda!$B$63:$E$67,3,FALSE)</f>
        <v>0</v>
      </c>
      <c r="BN710" s="110">
        <f>+VLOOKUP('2. Logging Brejo Seco'!AO710,Leyenda!$B$39:$E$43,4,FALSE)</f>
        <v>1</v>
      </c>
      <c r="BO710" s="110">
        <f>+VLOOKUP('2. Logging Brejo Seco'!AN710,Leyenda!$B$30:$E$34,4,FALSE)</f>
        <v>3</v>
      </c>
      <c r="BP710" s="110">
        <f>VLOOKUP(AS710,Leyenda!$B$71:$E$75,4,FALSE)</f>
        <v>10</v>
      </c>
      <c r="BQ710" s="110">
        <f t="shared" si="282"/>
        <v>28</v>
      </c>
      <c r="BR710" s="36">
        <f t="shared" si="283"/>
        <v>32</v>
      </c>
      <c r="BS710" s="240">
        <f t="shared" si="287"/>
        <v>0.21428571428571752</v>
      </c>
      <c r="BT710" s="6"/>
    </row>
    <row r="711" spans="1:72" x14ac:dyDescent="0.25">
      <c r="A711" s="18" t="s">
        <v>6</v>
      </c>
      <c r="B711" s="18">
        <v>2024</v>
      </c>
      <c r="C711" s="18" t="s">
        <v>138</v>
      </c>
      <c r="D711" s="18" t="s">
        <v>658</v>
      </c>
      <c r="E711" s="18">
        <v>30</v>
      </c>
      <c r="F711" s="191">
        <v>30</v>
      </c>
      <c r="G711" s="18" t="s">
        <v>152</v>
      </c>
      <c r="H711" s="3">
        <v>40</v>
      </c>
      <c r="I711" s="3" t="s">
        <v>757</v>
      </c>
      <c r="J711" s="3"/>
      <c r="K711" s="18">
        <f t="shared" si="285"/>
        <v>35.32</v>
      </c>
      <c r="L711" s="18">
        <v>35.92</v>
      </c>
      <c r="M711" s="4">
        <f t="shared" si="257"/>
        <v>0.60000000000000142</v>
      </c>
      <c r="N711" s="113">
        <f t="shared" si="258"/>
        <v>0.71666666666666501</v>
      </c>
      <c r="O711" s="5">
        <f t="shared" si="286"/>
        <v>0.28333333333333499</v>
      </c>
      <c r="P711" s="3">
        <v>0.43</v>
      </c>
      <c r="Q711" s="3"/>
      <c r="R711" s="3"/>
      <c r="S711" s="3"/>
      <c r="T711" s="3">
        <v>0.43</v>
      </c>
      <c r="U711" s="3">
        <v>0</v>
      </c>
      <c r="V711" s="187">
        <f t="shared" si="266"/>
        <v>0</v>
      </c>
      <c r="W711" s="3"/>
      <c r="X711" s="3"/>
      <c r="Y711" s="3">
        <v>20</v>
      </c>
      <c r="Z711" s="31">
        <f t="shared" si="256"/>
        <v>30.000000000000068</v>
      </c>
      <c r="AA711" s="6"/>
      <c r="AB711" s="6"/>
      <c r="AC711" s="6"/>
      <c r="AD711" s="6"/>
      <c r="AE711" s="6"/>
      <c r="AF711" s="6"/>
      <c r="AG711" s="3" t="s">
        <v>32</v>
      </c>
      <c r="AH711" s="3" t="s">
        <v>32</v>
      </c>
      <c r="AI711" s="18" t="str">
        <f>+VLOOKUP(AH711,Leyenda!$O$4:$U$10,6,FALSE)</f>
        <v>0,15-0,25</v>
      </c>
      <c r="AJ711" s="18" t="str">
        <f>+VLOOKUP(AG711,Leyenda!$O$4:$U$10,7,FALSE)</f>
        <v>No Blasting need</v>
      </c>
      <c r="AK711" s="18">
        <f>+VLOOKUP(AJ711,Leyenda!$U$4:$V$10,2,FALSE)</f>
        <v>2</v>
      </c>
      <c r="AL711" s="6"/>
      <c r="AM711" s="18" t="s">
        <v>32</v>
      </c>
      <c r="AN711" s="18" t="s">
        <v>66</v>
      </c>
      <c r="AO711" s="18" t="s">
        <v>79</v>
      </c>
      <c r="AP711" s="18" t="s">
        <v>100</v>
      </c>
      <c r="AQ711" s="18" t="s">
        <v>109</v>
      </c>
      <c r="AR711" s="18" t="s">
        <v>120</v>
      </c>
      <c r="AS711" s="18" t="s">
        <v>267</v>
      </c>
      <c r="AT711" s="18"/>
      <c r="AU711" s="6"/>
      <c r="AV711" s="36">
        <f>+VLOOKUP(AN711,Leyenda!$B$30:$E$34,3,FALSE)</f>
        <v>1</v>
      </c>
      <c r="AW711" s="36">
        <f>+VLOOKUP('2. Logging Brejo Seco'!AO711,Meteorizacion,3,FALSE)</f>
        <v>1</v>
      </c>
      <c r="AX711" s="36">
        <f>+VLOOKUP('2. Logging Brejo Seco'!AP711,Apertura,3,FALSE)</f>
        <v>0</v>
      </c>
      <c r="AY711" s="36">
        <f>+VLOOKUP('2. Logging Brejo Seco'!AQ711,Leyenda!$B$55:$D$59,3,FALSE)</f>
        <v>1</v>
      </c>
      <c r="AZ711" s="36">
        <f>+VLOOKUP('2. Logging Brejo Seco'!AR711,Relleno,3,FALSE)</f>
        <v>2</v>
      </c>
      <c r="BA711" s="36">
        <f t="shared" si="275"/>
        <v>5</v>
      </c>
      <c r="BB711" s="50">
        <f t="shared" si="276"/>
        <v>0</v>
      </c>
      <c r="BC711" s="49">
        <f>VLOOKUP(AH711,Leyenda!$B$4:$D$10,3,FALSE)</f>
        <v>1</v>
      </c>
      <c r="BD711" s="50">
        <f t="shared" si="277"/>
        <v>5</v>
      </c>
      <c r="BE711" s="50">
        <f t="shared" si="278"/>
        <v>5</v>
      </c>
      <c r="BF711" s="50">
        <f>VLOOKUP(AS711,Leyenda!$B$70:$D$75,3,FALSE)</f>
        <v>15</v>
      </c>
      <c r="BG711" s="110">
        <f t="shared" si="279"/>
        <v>7.5</v>
      </c>
      <c r="BH711" s="110">
        <f>VLOOKUP(AG711,Leyenda!$B$4:$E$10,4,FALSE)</f>
        <v>1</v>
      </c>
      <c r="BI711" s="67">
        <f t="shared" si="280"/>
        <v>5</v>
      </c>
      <c r="BJ711" s="110">
        <f t="shared" si="281"/>
        <v>0</v>
      </c>
      <c r="BK711" s="110">
        <f>+VLOOKUP('2. Logging Brejo Seco'!AP711,Leyenda!$B$47:$E$51,4,FALSE)</f>
        <v>0</v>
      </c>
      <c r="BL711" s="110">
        <f>+VLOOKUP('2. Logging Brejo Seco'!AQ711,Leyenda!$B$55:$E$59,4,FALSE)</f>
        <v>1</v>
      </c>
      <c r="BM711" s="110">
        <f>+VLOOKUP('2. Logging Brejo Seco'!AR711,Leyenda!$B$63:$E$67,3,FALSE)</f>
        <v>2</v>
      </c>
      <c r="BN711" s="110">
        <f>+VLOOKUP('2. Logging Brejo Seco'!AO711,Leyenda!$B$39:$E$43,4,FALSE)</f>
        <v>1</v>
      </c>
      <c r="BO711" s="110">
        <f>+VLOOKUP('2. Logging Brejo Seco'!AN711,Leyenda!$B$30:$E$34,4,FALSE)</f>
        <v>1</v>
      </c>
      <c r="BP711" s="110">
        <f>VLOOKUP(AS711,Leyenda!$B$71:$E$75,4,FALSE)</f>
        <v>10</v>
      </c>
      <c r="BQ711" s="110">
        <f t="shared" si="282"/>
        <v>21</v>
      </c>
      <c r="BR711" s="36">
        <f t="shared" si="283"/>
        <v>26</v>
      </c>
      <c r="BS711" s="240">
        <f t="shared" si="287"/>
        <v>0.28333333333333499</v>
      </c>
      <c r="BT711" s="6"/>
    </row>
    <row r="712" spans="1:72" x14ac:dyDescent="0.25">
      <c r="A712" s="18" t="s">
        <v>6</v>
      </c>
      <c r="B712" s="18">
        <v>2024</v>
      </c>
      <c r="C712" s="18" t="s">
        <v>138</v>
      </c>
      <c r="D712" s="18" t="s">
        <v>658</v>
      </c>
      <c r="E712" s="18">
        <v>30</v>
      </c>
      <c r="F712" s="191">
        <v>30</v>
      </c>
      <c r="G712" s="18" t="s">
        <v>152</v>
      </c>
      <c r="H712" s="3">
        <v>40</v>
      </c>
      <c r="I712" s="3" t="s">
        <v>757</v>
      </c>
      <c r="J712" s="3"/>
      <c r="K712" s="18">
        <f t="shared" si="285"/>
        <v>35.92</v>
      </c>
      <c r="L712" s="18">
        <v>36.270000000000003</v>
      </c>
      <c r="M712" s="4">
        <f t="shared" si="257"/>
        <v>0.35000000000000142</v>
      </c>
      <c r="N712" s="113">
        <f t="shared" si="258"/>
        <v>0.77142857142856835</v>
      </c>
      <c r="O712" s="5">
        <f t="shared" si="286"/>
        <v>0.22857142857143165</v>
      </c>
      <c r="P712" s="3">
        <v>0.27</v>
      </c>
      <c r="Q712" s="3"/>
      <c r="R712" s="3"/>
      <c r="S712" s="3"/>
      <c r="T712" s="3">
        <v>0.27</v>
      </c>
      <c r="U712" s="3">
        <v>0</v>
      </c>
      <c r="V712" s="187">
        <f t="shared" si="266"/>
        <v>0</v>
      </c>
      <c r="W712" s="3"/>
      <c r="X712" s="3"/>
      <c r="Y712" s="3">
        <v>20</v>
      </c>
      <c r="Z712" s="31">
        <f t="shared" si="256"/>
        <v>17.500000000000071</v>
      </c>
      <c r="AA712" s="6"/>
      <c r="AB712" s="6"/>
      <c r="AC712" s="6"/>
      <c r="AD712" s="6"/>
      <c r="AE712" s="6"/>
      <c r="AF712" s="6"/>
      <c r="AG712" s="3" t="s">
        <v>29</v>
      </c>
      <c r="AH712" s="3" t="s">
        <v>29</v>
      </c>
      <c r="AI712" s="18" t="str">
        <f>+VLOOKUP(AH712,Leyenda!$O$4:$U$10,6,FALSE)</f>
        <v>0,25-0,35</v>
      </c>
      <c r="AJ712" s="18" t="str">
        <f>+VLOOKUP(AG712,Leyenda!$O$4:$U$10,7,FALSE)</f>
        <v>No Blasting need</v>
      </c>
      <c r="AK712" s="18">
        <f>+VLOOKUP(AJ712,Leyenda!$U$4:$V$10,2,FALSE)</f>
        <v>2</v>
      </c>
      <c r="AL712" s="6"/>
      <c r="AM712" s="18" t="s">
        <v>29</v>
      </c>
      <c r="AN712" s="18" t="s">
        <v>64</v>
      </c>
      <c r="AO712" s="18" t="s">
        <v>79</v>
      </c>
      <c r="AP712" s="18" t="s">
        <v>100</v>
      </c>
      <c r="AQ712" s="18" t="s">
        <v>109</v>
      </c>
      <c r="AR712" s="18" t="s">
        <v>122</v>
      </c>
      <c r="AS712" s="18" t="s">
        <v>267</v>
      </c>
      <c r="AT712" s="18"/>
      <c r="AU712" s="6"/>
      <c r="AV712" s="36">
        <f>+VLOOKUP(AN712,Leyenda!$B$30:$E$34,3,FALSE)</f>
        <v>2</v>
      </c>
      <c r="AW712" s="36">
        <f>+VLOOKUP('2. Logging Brejo Seco'!AO712,Meteorizacion,3,FALSE)</f>
        <v>1</v>
      </c>
      <c r="AX712" s="36">
        <f>+VLOOKUP('2. Logging Brejo Seco'!AP712,Apertura,3,FALSE)</f>
        <v>0</v>
      </c>
      <c r="AY712" s="36">
        <f>+VLOOKUP('2. Logging Brejo Seco'!AQ712,Leyenda!$B$55:$D$59,3,FALSE)</f>
        <v>1</v>
      </c>
      <c r="AZ712" s="36">
        <f>+VLOOKUP('2. Logging Brejo Seco'!AR712,Relleno,3,FALSE)</f>
        <v>0</v>
      </c>
      <c r="BA712" s="36">
        <f t="shared" si="275"/>
        <v>4</v>
      </c>
      <c r="BB712" s="50">
        <f t="shared" si="276"/>
        <v>0</v>
      </c>
      <c r="BC712" s="49">
        <f>VLOOKUP(AH712,Leyenda!$B$4:$D$10,3,FALSE)</f>
        <v>2</v>
      </c>
      <c r="BD712" s="50">
        <f t="shared" si="277"/>
        <v>4</v>
      </c>
      <c r="BE712" s="50">
        <f t="shared" si="278"/>
        <v>4</v>
      </c>
      <c r="BF712" s="50">
        <f>VLOOKUP(AS712,Leyenda!$B$70:$D$75,3,FALSE)</f>
        <v>15</v>
      </c>
      <c r="BG712" s="110">
        <f t="shared" si="279"/>
        <v>6</v>
      </c>
      <c r="BH712" s="110">
        <f>VLOOKUP(AG712,Leyenda!$B$4:$E$10,4,FALSE)</f>
        <v>2</v>
      </c>
      <c r="BI712" s="67">
        <f t="shared" si="280"/>
        <v>5</v>
      </c>
      <c r="BJ712" s="110">
        <f t="shared" si="281"/>
        <v>0</v>
      </c>
      <c r="BK712" s="110">
        <f>+VLOOKUP('2. Logging Brejo Seco'!AP712,Leyenda!$B$47:$E$51,4,FALSE)</f>
        <v>0</v>
      </c>
      <c r="BL712" s="110">
        <f>+VLOOKUP('2. Logging Brejo Seco'!AQ712,Leyenda!$B$55:$E$59,4,FALSE)</f>
        <v>1</v>
      </c>
      <c r="BM712" s="110">
        <f>+VLOOKUP('2. Logging Brejo Seco'!AR712,Leyenda!$B$63:$E$67,3,FALSE)</f>
        <v>0</v>
      </c>
      <c r="BN712" s="110">
        <f>+VLOOKUP('2. Logging Brejo Seco'!AO712,Leyenda!$B$39:$E$43,4,FALSE)</f>
        <v>1</v>
      </c>
      <c r="BO712" s="110">
        <f>+VLOOKUP('2. Logging Brejo Seco'!AN712,Leyenda!$B$30:$E$34,4,FALSE)</f>
        <v>3</v>
      </c>
      <c r="BP712" s="110">
        <f>VLOOKUP(AS712,Leyenda!$B$71:$E$75,4,FALSE)</f>
        <v>10</v>
      </c>
      <c r="BQ712" s="110">
        <f t="shared" si="282"/>
        <v>22</v>
      </c>
      <c r="BR712" s="36">
        <f t="shared" si="283"/>
        <v>25</v>
      </c>
      <c r="BS712" s="240">
        <f t="shared" si="287"/>
        <v>0.22857142857143165</v>
      </c>
      <c r="BT712" s="6"/>
    </row>
    <row r="713" spans="1:72" x14ac:dyDescent="0.25">
      <c r="A713" s="18" t="s">
        <v>6</v>
      </c>
      <c r="B713" s="18">
        <v>2024</v>
      </c>
      <c r="C713" s="18" t="s">
        <v>138</v>
      </c>
      <c r="D713" s="18" t="s">
        <v>658</v>
      </c>
      <c r="E713" s="18">
        <v>30</v>
      </c>
      <c r="F713" s="191">
        <v>30</v>
      </c>
      <c r="G713" s="18" t="s">
        <v>152</v>
      </c>
      <c r="H713" s="3">
        <v>40</v>
      </c>
      <c r="I713" s="3" t="s">
        <v>757</v>
      </c>
      <c r="J713" s="3"/>
      <c r="K713" s="18">
        <f t="shared" si="285"/>
        <v>36.270000000000003</v>
      </c>
      <c r="L713" s="18">
        <v>37.020000000000003</v>
      </c>
      <c r="M713" s="4">
        <f t="shared" si="257"/>
        <v>0.75</v>
      </c>
      <c r="N713" s="113">
        <f t="shared" si="258"/>
        <v>0.98666666666666669</v>
      </c>
      <c r="O713" s="5">
        <f t="shared" si="286"/>
        <v>1.3333333333333308E-2</v>
      </c>
      <c r="P713" s="3">
        <v>0.74</v>
      </c>
      <c r="Q713" s="3"/>
      <c r="R713" s="3"/>
      <c r="S713" s="3"/>
      <c r="T713" s="3">
        <v>0.74</v>
      </c>
      <c r="U713" s="3">
        <v>0.25</v>
      </c>
      <c r="V713" s="187">
        <f t="shared" si="266"/>
        <v>33.333333333333329</v>
      </c>
      <c r="W713" s="3"/>
      <c r="X713" s="3"/>
      <c r="Y713" s="3">
        <v>11</v>
      </c>
      <c r="Z713" s="31">
        <f t="shared" si="256"/>
        <v>68.181818181818187</v>
      </c>
      <c r="AA713" s="6"/>
      <c r="AB713" s="6"/>
      <c r="AC713" s="6"/>
      <c r="AD713" s="6"/>
      <c r="AE713" s="6"/>
      <c r="AF713" s="6"/>
      <c r="AG713" s="3" t="s">
        <v>29</v>
      </c>
      <c r="AH713" s="3" t="s">
        <v>29</v>
      </c>
      <c r="AI713" s="18" t="str">
        <f>+VLOOKUP(AH713,Leyenda!$O$4:$U$10,6,FALSE)</f>
        <v>0,25-0,35</v>
      </c>
      <c r="AJ713" s="18" t="str">
        <f>+VLOOKUP(AG713,Leyenda!$O$4:$U$10,7,FALSE)</f>
        <v>No Blasting need</v>
      </c>
      <c r="AK713" s="18">
        <f>+VLOOKUP(AJ713,Leyenda!$U$4:$V$10,2,FALSE)</f>
        <v>2</v>
      </c>
      <c r="AL713" s="6"/>
      <c r="AM713" s="18" t="s">
        <v>29</v>
      </c>
      <c r="AN713" s="18" t="s">
        <v>64</v>
      </c>
      <c r="AO713" s="18" t="s">
        <v>79</v>
      </c>
      <c r="AP713" s="18" t="s">
        <v>100</v>
      </c>
      <c r="AQ713" s="18" t="s">
        <v>105</v>
      </c>
      <c r="AR713" s="18" t="s">
        <v>120</v>
      </c>
      <c r="AS713" s="18" t="s">
        <v>267</v>
      </c>
      <c r="AT713" s="18"/>
      <c r="AU713" s="6"/>
      <c r="AV713" s="36">
        <f>+VLOOKUP(AN713,Leyenda!$B$30:$E$34,3,FALSE)</f>
        <v>2</v>
      </c>
      <c r="AW713" s="36">
        <f>+VLOOKUP('2. Logging Brejo Seco'!AO713,Meteorizacion,3,FALSE)</f>
        <v>1</v>
      </c>
      <c r="AX713" s="36">
        <f>+VLOOKUP('2. Logging Brejo Seco'!AP713,Apertura,3,FALSE)</f>
        <v>0</v>
      </c>
      <c r="AY713" s="36">
        <f>+VLOOKUP('2. Logging Brejo Seco'!AQ713,Leyenda!$B$55:$D$59,3,FALSE)</f>
        <v>4</v>
      </c>
      <c r="AZ713" s="36">
        <f>+VLOOKUP('2. Logging Brejo Seco'!AR713,Relleno,3,FALSE)</f>
        <v>2</v>
      </c>
      <c r="BA713" s="36">
        <f t="shared" si="275"/>
        <v>9</v>
      </c>
      <c r="BB713" s="50">
        <f t="shared" si="276"/>
        <v>7</v>
      </c>
      <c r="BC713" s="49">
        <f>VLOOKUP(AH713,Leyenda!$B$4:$D$10,3,FALSE)</f>
        <v>2</v>
      </c>
      <c r="BD713" s="50">
        <f t="shared" si="277"/>
        <v>6</v>
      </c>
      <c r="BE713" s="50">
        <f t="shared" si="278"/>
        <v>9</v>
      </c>
      <c r="BF713" s="50">
        <f>VLOOKUP(AS713,Leyenda!$B$70:$D$75,3,FALSE)</f>
        <v>15</v>
      </c>
      <c r="BG713" s="110">
        <f t="shared" si="279"/>
        <v>30.166666666666664</v>
      </c>
      <c r="BH713" s="110">
        <f>VLOOKUP(AG713,Leyenda!$B$4:$E$10,4,FALSE)</f>
        <v>2</v>
      </c>
      <c r="BI713" s="67">
        <f t="shared" si="280"/>
        <v>6</v>
      </c>
      <c r="BJ713" s="110">
        <f t="shared" si="281"/>
        <v>7</v>
      </c>
      <c r="BK713" s="110">
        <f>+VLOOKUP('2. Logging Brejo Seco'!AP713,Leyenda!$B$47:$E$51,4,FALSE)</f>
        <v>0</v>
      </c>
      <c r="BL713" s="110">
        <f>+VLOOKUP('2. Logging Brejo Seco'!AQ713,Leyenda!$B$55:$E$59,4,FALSE)</f>
        <v>4</v>
      </c>
      <c r="BM713" s="110">
        <f>+VLOOKUP('2. Logging Brejo Seco'!AR713,Leyenda!$B$63:$E$67,3,FALSE)</f>
        <v>2</v>
      </c>
      <c r="BN713" s="110">
        <f>+VLOOKUP('2. Logging Brejo Seco'!AO713,Leyenda!$B$39:$E$43,4,FALSE)</f>
        <v>1</v>
      </c>
      <c r="BO713" s="110">
        <f>+VLOOKUP('2. Logging Brejo Seco'!AN713,Leyenda!$B$30:$E$34,4,FALSE)</f>
        <v>3</v>
      </c>
      <c r="BP713" s="110">
        <f>VLOOKUP(AS713,Leyenda!$B$71:$E$75,4,FALSE)</f>
        <v>10</v>
      </c>
      <c r="BQ713" s="110">
        <f t="shared" si="282"/>
        <v>35</v>
      </c>
      <c r="BR713" s="36">
        <f t="shared" si="283"/>
        <v>39</v>
      </c>
      <c r="BS713" s="240">
        <f t="shared" si="287"/>
        <v>1.3333333333333308E-2</v>
      </c>
      <c r="BT713" s="6"/>
    </row>
    <row r="714" spans="1:72" x14ac:dyDescent="0.25">
      <c r="A714" s="18" t="s">
        <v>6</v>
      </c>
      <c r="B714" s="18">
        <v>2024</v>
      </c>
      <c r="C714" s="18" t="s">
        <v>138</v>
      </c>
      <c r="D714" s="18" t="s">
        <v>658</v>
      </c>
      <c r="E714" s="18">
        <v>30</v>
      </c>
      <c r="F714" s="191">
        <v>30</v>
      </c>
      <c r="G714" s="18" t="s">
        <v>152</v>
      </c>
      <c r="H714" s="3">
        <v>40</v>
      </c>
      <c r="I714" s="3" t="s">
        <v>757</v>
      </c>
      <c r="J714" s="3"/>
      <c r="K714" s="18">
        <f t="shared" si="285"/>
        <v>37.020000000000003</v>
      </c>
      <c r="L714" s="18">
        <v>37.92</v>
      </c>
      <c r="M714" s="4">
        <f t="shared" si="257"/>
        <v>0.89999999999999858</v>
      </c>
      <c r="N714" s="113">
        <f t="shared" si="258"/>
        <v>0.61111111111111216</v>
      </c>
      <c r="O714" s="5">
        <f t="shared" si="286"/>
        <v>0.38888888888888784</v>
      </c>
      <c r="P714" s="3">
        <v>0.55000000000000004</v>
      </c>
      <c r="Q714" s="3"/>
      <c r="R714" s="3"/>
      <c r="S714" s="3"/>
      <c r="T714" s="3">
        <f>0.1+0.45</f>
        <v>0.55000000000000004</v>
      </c>
      <c r="U714" s="3">
        <v>0</v>
      </c>
      <c r="V714" s="187">
        <f t="shared" si="266"/>
        <v>0</v>
      </c>
      <c r="W714" s="3"/>
      <c r="X714" s="3"/>
      <c r="Y714" s="3">
        <v>15</v>
      </c>
      <c r="Z714" s="31">
        <f t="shared" si="256"/>
        <v>59.999999999999908</v>
      </c>
      <c r="AA714" s="6"/>
      <c r="AB714" s="6"/>
      <c r="AC714" s="6"/>
      <c r="AD714" s="6"/>
      <c r="AE714" s="6"/>
      <c r="AF714" s="6"/>
      <c r="AG714" s="3" t="s">
        <v>29</v>
      </c>
      <c r="AH714" s="3" t="s">
        <v>29</v>
      </c>
      <c r="AI714" s="18" t="str">
        <f>+VLOOKUP(AH714,Leyenda!$O$4:$U$10,6,FALSE)</f>
        <v>0,25-0,35</v>
      </c>
      <c r="AJ714" s="18" t="str">
        <f>+VLOOKUP(AG714,Leyenda!$O$4:$U$10,7,FALSE)</f>
        <v>No Blasting need</v>
      </c>
      <c r="AK714" s="18">
        <f>+VLOOKUP(AJ714,Leyenda!$U$4:$V$10,2,FALSE)</f>
        <v>2</v>
      </c>
      <c r="AL714" s="6"/>
      <c r="AM714" s="18" t="s">
        <v>29</v>
      </c>
      <c r="AN714" s="18" t="s">
        <v>66</v>
      </c>
      <c r="AO714" s="18" t="s">
        <v>79</v>
      </c>
      <c r="AP714" s="18" t="s">
        <v>100</v>
      </c>
      <c r="AQ714" s="18" t="s">
        <v>109</v>
      </c>
      <c r="AR714" s="18" t="s">
        <v>120</v>
      </c>
      <c r="AS714" s="18" t="s">
        <v>267</v>
      </c>
      <c r="AT714" s="18"/>
      <c r="AU714" s="6"/>
      <c r="AV714" s="36">
        <f>+VLOOKUP(AN714,Leyenda!$B$30:$E$34,3,FALSE)</f>
        <v>1</v>
      </c>
      <c r="AW714" s="36">
        <f>+VLOOKUP('2. Logging Brejo Seco'!AO714,Meteorizacion,3,FALSE)</f>
        <v>1</v>
      </c>
      <c r="AX714" s="36">
        <f>+VLOOKUP('2. Logging Brejo Seco'!AP714,Apertura,3,FALSE)</f>
        <v>0</v>
      </c>
      <c r="AY714" s="36">
        <f>+VLOOKUP('2. Logging Brejo Seco'!AQ714,Leyenda!$B$55:$D$59,3,FALSE)</f>
        <v>1</v>
      </c>
      <c r="AZ714" s="36">
        <f>+VLOOKUP('2. Logging Brejo Seco'!AR714,Relleno,3,FALSE)</f>
        <v>2</v>
      </c>
      <c r="BA714" s="36">
        <f t="shared" si="275"/>
        <v>5</v>
      </c>
      <c r="BB714" s="50">
        <f t="shared" si="276"/>
        <v>0</v>
      </c>
      <c r="BC714" s="49">
        <f>VLOOKUP(AH714,Leyenda!$B$4:$D$10,3,FALSE)</f>
        <v>2</v>
      </c>
      <c r="BD714" s="50">
        <f t="shared" si="277"/>
        <v>6</v>
      </c>
      <c r="BE714" s="50">
        <f t="shared" si="278"/>
        <v>5</v>
      </c>
      <c r="BF714" s="50">
        <f>VLOOKUP(AS714,Leyenda!$B$70:$D$75,3,FALSE)</f>
        <v>15</v>
      </c>
      <c r="BG714" s="110">
        <f t="shared" si="279"/>
        <v>7.5</v>
      </c>
      <c r="BH714" s="110">
        <f>VLOOKUP(AG714,Leyenda!$B$4:$E$10,4,FALSE)</f>
        <v>2</v>
      </c>
      <c r="BI714" s="67">
        <f t="shared" si="280"/>
        <v>5</v>
      </c>
      <c r="BJ714" s="110">
        <f t="shared" si="281"/>
        <v>0</v>
      </c>
      <c r="BK714" s="110">
        <f>+VLOOKUP('2. Logging Brejo Seco'!AP714,Leyenda!$B$47:$E$51,4,FALSE)</f>
        <v>0</v>
      </c>
      <c r="BL714" s="110">
        <f>+VLOOKUP('2. Logging Brejo Seco'!AQ714,Leyenda!$B$55:$E$59,4,FALSE)</f>
        <v>1</v>
      </c>
      <c r="BM714" s="110">
        <f>+VLOOKUP('2. Logging Brejo Seco'!AR714,Leyenda!$B$63:$E$67,3,FALSE)</f>
        <v>2</v>
      </c>
      <c r="BN714" s="110">
        <f>+VLOOKUP('2. Logging Brejo Seco'!AO714,Leyenda!$B$39:$E$43,4,FALSE)</f>
        <v>1</v>
      </c>
      <c r="BO714" s="110">
        <f>+VLOOKUP('2. Logging Brejo Seco'!AN714,Leyenda!$B$30:$E$34,4,FALSE)</f>
        <v>1</v>
      </c>
      <c r="BP714" s="110">
        <f>VLOOKUP(AS714,Leyenda!$B$71:$E$75,4,FALSE)</f>
        <v>10</v>
      </c>
      <c r="BQ714" s="110">
        <f t="shared" si="282"/>
        <v>22</v>
      </c>
      <c r="BR714" s="36">
        <f t="shared" si="283"/>
        <v>28</v>
      </c>
      <c r="BS714" s="240">
        <f t="shared" si="287"/>
        <v>0.38888888888888784</v>
      </c>
      <c r="BT714" s="6"/>
    </row>
    <row r="715" spans="1:72" x14ac:dyDescent="0.25">
      <c r="A715" s="18" t="s">
        <v>6</v>
      </c>
      <c r="B715" s="18">
        <v>2024</v>
      </c>
      <c r="C715" s="18" t="s">
        <v>138</v>
      </c>
      <c r="D715" s="18" t="s">
        <v>658</v>
      </c>
      <c r="E715" s="18">
        <v>30</v>
      </c>
      <c r="F715" s="191">
        <v>30</v>
      </c>
      <c r="G715" s="18" t="s">
        <v>152</v>
      </c>
      <c r="H715" s="3">
        <v>40</v>
      </c>
      <c r="I715" s="3" t="s">
        <v>757</v>
      </c>
      <c r="J715" s="3"/>
      <c r="K715" s="18">
        <f t="shared" si="285"/>
        <v>37.92</v>
      </c>
      <c r="L715" s="18">
        <v>38.82</v>
      </c>
      <c r="M715" s="4">
        <f t="shared" si="257"/>
        <v>0.89999999999999858</v>
      </c>
      <c r="N715" s="113">
        <f t="shared" si="258"/>
        <v>0.57777777777777872</v>
      </c>
      <c r="O715" s="5">
        <f t="shared" si="286"/>
        <v>0.42222222222222128</v>
      </c>
      <c r="P715" s="3">
        <v>0.52</v>
      </c>
      <c r="Q715" s="3"/>
      <c r="R715" s="3"/>
      <c r="S715" s="3"/>
      <c r="T715" s="3">
        <v>0.52</v>
      </c>
      <c r="U715" s="3">
        <v>0</v>
      </c>
      <c r="V715" s="187">
        <f t="shared" si="266"/>
        <v>0</v>
      </c>
      <c r="W715" s="3"/>
      <c r="X715" s="3"/>
      <c r="Y715" s="3">
        <v>20</v>
      </c>
      <c r="Z715" s="31">
        <f t="shared" si="256"/>
        <v>44.999999999999929</v>
      </c>
      <c r="AA715" s="6"/>
      <c r="AB715" s="6"/>
      <c r="AC715" s="6"/>
      <c r="AD715" s="6"/>
      <c r="AE715" s="6"/>
      <c r="AF715" s="6"/>
      <c r="AG715" s="3" t="s">
        <v>29</v>
      </c>
      <c r="AH715" s="3" t="s">
        <v>29</v>
      </c>
      <c r="AI715" s="18" t="str">
        <f>+VLOOKUP(AH715,Leyenda!$O$4:$U$10,6,FALSE)</f>
        <v>0,25-0,35</v>
      </c>
      <c r="AJ715" s="18" t="str">
        <f>+VLOOKUP(AG715,Leyenda!$O$4:$U$10,7,FALSE)</f>
        <v>No Blasting need</v>
      </c>
      <c r="AK715" s="18">
        <f>+VLOOKUP(AJ715,Leyenda!$U$4:$V$10,2,FALSE)</f>
        <v>2</v>
      </c>
      <c r="AL715" s="6"/>
      <c r="AM715" s="18" t="s">
        <v>29</v>
      </c>
      <c r="AN715" s="18" t="s">
        <v>66</v>
      </c>
      <c r="AO715" s="18" t="s">
        <v>79</v>
      </c>
      <c r="AP715" s="18" t="s">
        <v>100</v>
      </c>
      <c r="AQ715" s="18" t="s">
        <v>109</v>
      </c>
      <c r="AR715" s="18" t="s">
        <v>120</v>
      </c>
      <c r="AS715" s="18" t="s">
        <v>267</v>
      </c>
      <c r="AT715" s="18"/>
      <c r="AU715" s="6"/>
      <c r="AV715" s="36">
        <f>+VLOOKUP(AN715,Leyenda!$B$30:$E$34,3,FALSE)</f>
        <v>1</v>
      </c>
      <c r="AW715" s="36">
        <f>+VLOOKUP('2. Logging Brejo Seco'!AO715,Meteorizacion,3,FALSE)</f>
        <v>1</v>
      </c>
      <c r="AX715" s="36">
        <f>+VLOOKUP('2. Logging Brejo Seco'!AP715,Apertura,3,FALSE)</f>
        <v>0</v>
      </c>
      <c r="AY715" s="36">
        <f>+VLOOKUP('2. Logging Brejo Seco'!AQ715,Leyenda!$B$55:$D$59,3,FALSE)</f>
        <v>1</v>
      </c>
      <c r="AZ715" s="36">
        <f>+VLOOKUP('2. Logging Brejo Seco'!AR715,Relleno,3,FALSE)</f>
        <v>2</v>
      </c>
      <c r="BA715" s="36">
        <f t="shared" si="275"/>
        <v>5</v>
      </c>
      <c r="BB715" s="50">
        <f t="shared" si="276"/>
        <v>0</v>
      </c>
      <c r="BC715" s="49">
        <f>VLOOKUP(AH715,Leyenda!$B$4:$D$10,3,FALSE)</f>
        <v>2</v>
      </c>
      <c r="BD715" s="50">
        <f t="shared" si="277"/>
        <v>6</v>
      </c>
      <c r="BE715" s="50">
        <f t="shared" si="278"/>
        <v>5</v>
      </c>
      <c r="BF715" s="50">
        <f>VLOOKUP(AS715,Leyenda!$B$70:$D$75,3,FALSE)</f>
        <v>15</v>
      </c>
      <c r="BG715" s="110">
        <f t="shared" si="279"/>
        <v>7.5</v>
      </c>
      <c r="BH715" s="110">
        <f>VLOOKUP(AG715,Leyenda!$B$4:$E$10,4,FALSE)</f>
        <v>2</v>
      </c>
      <c r="BI715" s="67">
        <f t="shared" si="280"/>
        <v>5</v>
      </c>
      <c r="BJ715" s="110">
        <f t="shared" si="281"/>
        <v>0</v>
      </c>
      <c r="BK715" s="110">
        <f>+VLOOKUP('2. Logging Brejo Seco'!AP715,Leyenda!$B$47:$E$51,4,FALSE)</f>
        <v>0</v>
      </c>
      <c r="BL715" s="110">
        <f>+VLOOKUP('2. Logging Brejo Seco'!AQ715,Leyenda!$B$55:$E$59,4,FALSE)</f>
        <v>1</v>
      </c>
      <c r="BM715" s="110">
        <f>+VLOOKUP('2. Logging Brejo Seco'!AR715,Leyenda!$B$63:$E$67,3,FALSE)</f>
        <v>2</v>
      </c>
      <c r="BN715" s="110">
        <f>+VLOOKUP('2. Logging Brejo Seco'!AO715,Leyenda!$B$39:$E$43,4,FALSE)</f>
        <v>1</v>
      </c>
      <c r="BO715" s="110">
        <f>+VLOOKUP('2. Logging Brejo Seco'!AN715,Leyenda!$B$30:$E$34,4,FALSE)</f>
        <v>1</v>
      </c>
      <c r="BP715" s="110">
        <f>VLOOKUP(AS715,Leyenda!$B$71:$E$75,4,FALSE)</f>
        <v>10</v>
      </c>
      <c r="BQ715" s="110">
        <f t="shared" si="282"/>
        <v>22</v>
      </c>
      <c r="BR715" s="36">
        <f t="shared" si="283"/>
        <v>28</v>
      </c>
      <c r="BS715" s="240">
        <f t="shared" si="287"/>
        <v>0.42222222222222128</v>
      </c>
      <c r="BT715" s="6"/>
    </row>
    <row r="716" spans="1:72" x14ac:dyDescent="0.25">
      <c r="A716" s="18" t="s">
        <v>6</v>
      </c>
      <c r="B716" s="18">
        <v>2024</v>
      </c>
      <c r="C716" s="18" t="s">
        <v>138</v>
      </c>
      <c r="D716" s="18" t="s">
        <v>658</v>
      </c>
      <c r="E716" s="18">
        <v>30</v>
      </c>
      <c r="F716" s="191">
        <v>30</v>
      </c>
      <c r="G716" s="18" t="s">
        <v>152</v>
      </c>
      <c r="H716" s="3">
        <v>40</v>
      </c>
      <c r="I716" s="3" t="s">
        <v>757</v>
      </c>
      <c r="J716" s="3"/>
      <c r="K716" s="18">
        <f t="shared" si="285"/>
        <v>38.82</v>
      </c>
      <c r="L716" s="18">
        <v>39.619999999999997</v>
      </c>
      <c r="M716" s="4">
        <f t="shared" si="257"/>
        <v>0.79999999999999716</v>
      </c>
      <c r="N716" s="113">
        <f t="shared" si="258"/>
        <v>0.70000000000000251</v>
      </c>
      <c r="O716" s="5">
        <f t="shared" si="286"/>
        <v>0.29999999999999749</v>
      </c>
      <c r="P716" s="3">
        <v>0.56000000000000005</v>
      </c>
      <c r="Q716" s="3"/>
      <c r="R716" s="3"/>
      <c r="S716" s="3"/>
      <c r="T716" s="3">
        <v>0.56000000000000005</v>
      </c>
      <c r="U716" s="3">
        <v>0</v>
      </c>
      <c r="V716" s="187">
        <f t="shared" si="266"/>
        <v>0</v>
      </c>
      <c r="W716" s="3"/>
      <c r="X716" s="3"/>
      <c r="Y716" s="3">
        <v>20</v>
      </c>
      <c r="Z716" s="31">
        <f t="shared" ref="Z716:Z779" si="288">+IF(M716=0,"",(M716*1000)/Y716)</f>
        <v>39.999999999999858</v>
      </c>
      <c r="AA716" s="6"/>
      <c r="AB716" s="6"/>
      <c r="AC716" s="6"/>
      <c r="AD716" s="6"/>
      <c r="AE716" s="6"/>
      <c r="AF716" s="6"/>
      <c r="AG716" s="3" t="s">
        <v>29</v>
      </c>
      <c r="AH716" s="3" t="s">
        <v>29</v>
      </c>
      <c r="AI716" s="18" t="str">
        <f>+VLOOKUP(AH716,Leyenda!$O$4:$U$10,6,FALSE)</f>
        <v>0,25-0,35</v>
      </c>
      <c r="AJ716" s="18" t="str">
        <f>+VLOOKUP(AG716,Leyenda!$O$4:$U$10,7,FALSE)</f>
        <v>No Blasting need</v>
      </c>
      <c r="AK716" s="18">
        <f>+VLOOKUP(AJ716,Leyenda!$U$4:$V$10,2,FALSE)</f>
        <v>2</v>
      </c>
      <c r="AL716" s="6"/>
      <c r="AM716" s="18" t="s">
        <v>29</v>
      </c>
      <c r="AN716" s="18" t="s">
        <v>66</v>
      </c>
      <c r="AO716" s="18" t="s">
        <v>79</v>
      </c>
      <c r="AP716" s="18" t="s">
        <v>100</v>
      </c>
      <c r="AQ716" s="18" t="s">
        <v>109</v>
      </c>
      <c r="AR716" s="18" t="s">
        <v>120</v>
      </c>
      <c r="AS716" s="18" t="s">
        <v>267</v>
      </c>
      <c r="AT716" s="18"/>
      <c r="AU716" s="6"/>
      <c r="AV716" s="36">
        <f>+VLOOKUP(AN716,Leyenda!$B$30:$E$34,3,FALSE)</f>
        <v>1</v>
      </c>
      <c r="AW716" s="36">
        <f>+VLOOKUP('2. Logging Brejo Seco'!AO716,Meteorizacion,3,FALSE)</f>
        <v>1</v>
      </c>
      <c r="AX716" s="36">
        <f>+VLOOKUP('2. Logging Brejo Seco'!AP716,Apertura,3,FALSE)</f>
        <v>0</v>
      </c>
      <c r="AY716" s="36">
        <f>+VLOOKUP('2. Logging Brejo Seco'!AQ716,Leyenda!$B$55:$D$59,3,FALSE)</f>
        <v>1</v>
      </c>
      <c r="AZ716" s="36">
        <f>+VLOOKUP('2. Logging Brejo Seco'!AR716,Relleno,3,FALSE)</f>
        <v>2</v>
      </c>
      <c r="BA716" s="36">
        <f t="shared" si="275"/>
        <v>5</v>
      </c>
      <c r="BB716" s="50">
        <f t="shared" si="276"/>
        <v>0</v>
      </c>
      <c r="BC716" s="49">
        <f>VLOOKUP(AH716,Leyenda!$B$4:$D$10,3,FALSE)</f>
        <v>2</v>
      </c>
      <c r="BD716" s="50">
        <f t="shared" si="277"/>
        <v>5</v>
      </c>
      <c r="BE716" s="50">
        <f t="shared" si="278"/>
        <v>5</v>
      </c>
      <c r="BF716" s="50">
        <f>VLOOKUP(AS716,Leyenda!$B$70:$D$75,3,FALSE)</f>
        <v>15</v>
      </c>
      <c r="BG716" s="110">
        <f t="shared" si="279"/>
        <v>7.5</v>
      </c>
      <c r="BH716" s="110">
        <f>VLOOKUP(AG716,Leyenda!$B$4:$E$10,4,FALSE)</f>
        <v>2</v>
      </c>
      <c r="BI716" s="67">
        <f t="shared" si="280"/>
        <v>5</v>
      </c>
      <c r="BJ716" s="110">
        <f t="shared" si="281"/>
        <v>0</v>
      </c>
      <c r="BK716" s="110">
        <f>+VLOOKUP('2. Logging Brejo Seco'!AP716,Leyenda!$B$47:$E$51,4,FALSE)</f>
        <v>0</v>
      </c>
      <c r="BL716" s="110">
        <f>+VLOOKUP('2. Logging Brejo Seco'!AQ716,Leyenda!$B$55:$E$59,4,FALSE)</f>
        <v>1</v>
      </c>
      <c r="BM716" s="110">
        <f>+VLOOKUP('2. Logging Brejo Seco'!AR716,Leyenda!$B$63:$E$67,3,FALSE)</f>
        <v>2</v>
      </c>
      <c r="BN716" s="110">
        <f>+VLOOKUP('2. Logging Brejo Seco'!AO716,Leyenda!$B$39:$E$43,4,FALSE)</f>
        <v>1</v>
      </c>
      <c r="BO716" s="110">
        <f>+VLOOKUP('2. Logging Brejo Seco'!AN716,Leyenda!$B$30:$E$34,4,FALSE)</f>
        <v>1</v>
      </c>
      <c r="BP716" s="110">
        <f>VLOOKUP(AS716,Leyenda!$B$71:$E$75,4,FALSE)</f>
        <v>10</v>
      </c>
      <c r="BQ716" s="110">
        <f t="shared" si="282"/>
        <v>22</v>
      </c>
      <c r="BR716" s="36">
        <f t="shared" si="283"/>
        <v>27</v>
      </c>
      <c r="BS716" s="240">
        <f t="shared" si="287"/>
        <v>0.29999999999999749</v>
      </c>
      <c r="BT716" s="6"/>
    </row>
    <row r="717" spans="1:72" x14ac:dyDescent="0.25">
      <c r="A717" s="18" t="s">
        <v>6</v>
      </c>
      <c r="B717" s="18">
        <v>2024</v>
      </c>
      <c r="C717" s="18" t="s">
        <v>138</v>
      </c>
      <c r="D717" s="18" t="s">
        <v>658</v>
      </c>
      <c r="E717" s="18">
        <v>30</v>
      </c>
      <c r="F717" s="191">
        <v>30</v>
      </c>
      <c r="G717" s="18" t="s">
        <v>152</v>
      </c>
      <c r="H717" s="3">
        <v>50</v>
      </c>
      <c r="I717" s="3" t="s">
        <v>756</v>
      </c>
      <c r="J717" s="3"/>
      <c r="K717" s="18">
        <f t="shared" si="285"/>
        <v>39.619999999999997</v>
      </c>
      <c r="L717" s="18">
        <v>40.270000000000003</v>
      </c>
      <c r="M717" s="4">
        <f t="shared" si="257"/>
        <v>0.65000000000000568</v>
      </c>
      <c r="N717" s="113">
        <f t="shared" si="258"/>
        <v>0.58461538461537954</v>
      </c>
      <c r="O717" s="5">
        <f t="shared" si="286"/>
        <v>0.41538461538462046</v>
      </c>
      <c r="P717" s="3">
        <v>0.38</v>
      </c>
      <c r="Q717" s="3"/>
      <c r="R717" s="3"/>
      <c r="S717" s="3"/>
      <c r="T717" s="3">
        <v>0.38</v>
      </c>
      <c r="U717" s="3">
        <v>0</v>
      </c>
      <c r="V717" s="187">
        <f t="shared" si="266"/>
        <v>0</v>
      </c>
      <c r="W717" s="3"/>
      <c r="X717" s="3"/>
      <c r="Y717" s="3">
        <v>20</v>
      </c>
      <c r="Z717" s="31">
        <f t="shared" si="288"/>
        <v>32.500000000000284</v>
      </c>
      <c r="AA717" s="6"/>
      <c r="AB717" s="6"/>
      <c r="AC717" s="6"/>
      <c r="AD717" s="6"/>
      <c r="AE717" s="6"/>
      <c r="AF717" s="6"/>
      <c r="AG717" s="3" t="s">
        <v>29</v>
      </c>
      <c r="AH717" s="3" t="s">
        <v>29</v>
      </c>
      <c r="AI717" s="18" t="str">
        <f>+VLOOKUP(AH717,Leyenda!$O$4:$U$10,6,FALSE)</f>
        <v>0,25-0,35</v>
      </c>
      <c r="AJ717" s="18" t="str">
        <f>+VLOOKUP(AG717,Leyenda!$O$4:$U$10,7,FALSE)</f>
        <v>No Blasting need</v>
      </c>
      <c r="AK717" s="18">
        <f>+VLOOKUP(AJ717,Leyenda!$U$4:$V$10,2,FALSE)</f>
        <v>2</v>
      </c>
      <c r="AL717" s="6"/>
      <c r="AM717" s="18" t="s">
        <v>29</v>
      </c>
      <c r="AN717" s="18" t="s">
        <v>64</v>
      </c>
      <c r="AO717" s="18" t="s">
        <v>79</v>
      </c>
      <c r="AP717" s="18" t="s">
        <v>96</v>
      </c>
      <c r="AQ717" s="18" t="s">
        <v>107</v>
      </c>
      <c r="AR717" s="18" t="s">
        <v>120</v>
      </c>
      <c r="AS717" s="18" t="s">
        <v>267</v>
      </c>
      <c r="AT717" s="18"/>
      <c r="AU717" s="6"/>
      <c r="AV717" s="36">
        <f>+VLOOKUP(AN717,Leyenda!$B$30:$E$34,3,FALSE)</f>
        <v>2</v>
      </c>
      <c r="AW717" s="36">
        <f>+VLOOKUP('2. Logging Brejo Seco'!AO717,Meteorizacion,3,FALSE)</f>
        <v>1</v>
      </c>
      <c r="AX717" s="36">
        <f>+VLOOKUP('2. Logging Brejo Seco'!AP717,Apertura,3,FALSE)</f>
        <v>1</v>
      </c>
      <c r="AY717" s="36">
        <f>+VLOOKUP('2. Logging Brejo Seco'!AQ717,Leyenda!$B$55:$D$59,3,FALSE)</f>
        <v>3</v>
      </c>
      <c r="AZ717" s="36">
        <f>+VLOOKUP('2. Logging Brejo Seco'!AR717,Relleno,3,FALSE)</f>
        <v>2</v>
      </c>
      <c r="BA717" s="36">
        <f t="shared" si="275"/>
        <v>9</v>
      </c>
      <c r="BB717" s="50">
        <f t="shared" si="276"/>
        <v>0</v>
      </c>
      <c r="BC717" s="49">
        <f>VLOOKUP(AH717,Leyenda!$B$4:$D$10,3,FALSE)</f>
        <v>2</v>
      </c>
      <c r="BD717" s="50">
        <f t="shared" si="277"/>
        <v>5</v>
      </c>
      <c r="BE717" s="50">
        <f t="shared" si="278"/>
        <v>9</v>
      </c>
      <c r="BF717" s="50">
        <f>VLOOKUP(AS717,Leyenda!$B$70:$D$75,3,FALSE)</f>
        <v>15</v>
      </c>
      <c r="BG717" s="110">
        <f t="shared" si="279"/>
        <v>13.5</v>
      </c>
      <c r="BH717" s="110">
        <f>VLOOKUP(AG717,Leyenda!$B$4:$E$10,4,FALSE)</f>
        <v>2</v>
      </c>
      <c r="BI717" s="67">
        <f t="shared" si="280"/>
        <v>5</v>
      </c>
      <c r="BJ717" s="110">
        <f t="shared" si="281"/>
        <v>0</v>
      </c>
      <c r="BK717" s="110">
        <f>+VLOOKUP('2. Logging Brejo Seco'!AP717,Leyenda!$B$47:$E$51,4,FALSE)</f>
        <v>1</v>
      </c>
      <c r="BL717" s="110">
        <f>+VLOOKUP('2. Logging Brejo Seco'!AQ717,Leyenda!$B$55:$E$59,4,FALSE)</f>
        <v>3</v>
      </c>
      <c r="BM717" s="110">
        <f>+VLOOKUP('2. Logging Brejo Seco'!AR717,Leyenda!$B$63:$E$67,3,FALSE)</f>
        <v>2</v>
      </c>
      <c r="BN717" s="110">
        <f>+VLOOKUP('2. Logging Brejo Seco'!AO717,Leyenda!$B$39:$E$43,4,FALSE)</f>
        <v>1</v>
      </c>
      <c r="BO717" s="110">
        <f>+VLOOKUP('2. Logging Brejo Seco'!AN717,Leyenda!$B$30:$E$34,4,FALSE)</f>
        <v>3</v>
      </c>
      <c r="BP717" s="110">
        <f>VLOOKUP(AS717,Leyenda!$B$71:$E$75,4,FALSE)</f>
        <v>10</v>
      </c>
      <c r="BQ717" s="110">
        <f t="shared" si="282"/>
        <v>27</v>
      </c>
      <c r="BR717" s="36">
        <f t="shared" si="283"/>
        <v>31</v>
      </c>
      <c r="BS717" s="240">
        <f t="shared" si="287"/>
        <v>0.41538461538462046</v>
      </c>
      <c r="BT717" s="6"/>
    </row>
    <row r="718" spans="1:72" x14ac:dyDescent="0.25">
      <c r="A718" s="18" t="s">
        <v>6</v>
      </c>
      <c r="B718" s="18">
        <v>2024</v>
      </c>
      <c r="C718" s="18" t="s">
        <v>138</v>
      </c>
      <c r="D718" s="18" t="s">
        <v>658</v>
      </c>
      <c r="E718" s="18">
        <v>30</v>
      </c>
      <c r="F718" s="191">
        <v>30</v>
      </c>
      <c r="G718" s="18" t="s">
        <v>152</v>
      </c>
      <c r="H718" s="3">
        <v>50</v>
      </c>
      <c r="I718" s="3" t="s">
        <v>756</v>
      </c>
      <c r="J718" s="3"/>
      <c r="K718" s="18">
        <f t="shared" si="285"/>
        <v>40.270000000000003</v>
      </c>
      <c r="L718" s="18">
        <v>40.97</v>
      </c>
      <c r="M718" s="4">
        <f t="shared" si="257"/>
        <v>0.69999999999999574</v>
      </c>
      <c r="N718" s="113">
        <f t="shared" si="258"/>
        <v>0.28571428571428747</v>
      </c>
      <c r="O718" s="5">
        <f t="shared" si="286"/>
        <v>0.71428571428571253</v>
      </c>
      <c r="P718" s="3">
        <v>0.2</v>
      </c>
      <c r="Q718" s="3"/>
      <c r="R718" s="3"/>
      <c r="S718" s="3"/>
      <c r="T718" s="3">
        <v>0.2</v>
      </c>
      <c r="U718" s="3">
        <v>0.12</v>
      </c>
      <c r="V718" s="187">
        <f t="shared" si="266"/>
        <v>17.142857142857245</v>
      </c>
      <c r="W718" s="3"/>
      <c r="X718" s="3"/>
      <c r="Y718" s="3">
        <v>7</v>
      </c>
      <c r="Z718" s="31">
        <f t="shared" si="288"/>
        <v>99.999999999999389</v>
      </c>
      <c r="AA718" s="6"/>
      <c r="AB718" s="6"/>
      <c r="AC718" s="6"/>
      <c r="AD718" s="6"/>
      <c r="AE718" s="6"/>
      <c r="AF718" s="6"/>
      <c r="AG718" s="3" t="s">
        <v>29</v>
      </c>
      <c r="AH718" s="3" t="s">
        <v>29</v>
      </c>
      <c r="AI718" s="18" t="str">
        <f>+VLOOKUP(AH718,Leyenda!$O$4:$U$10,6,FALSE)</f>
        <v>0,25-0,35</v>
      </c>
      <c r="AJ718" s="18" t="str">
        <f>+VLOOKUP(AG718,Leyenda!$O$4:$U$10,7,FALSE)</f>
        <v>No Blasting need</v>
      </c>
      <c r="AK718" s="18">
        <f>+VLOOKUP(AJ718,Leyenda!$U$4:$V$10,2,FALSE)</f>
        <v>2</v>
      </c>
      <c r="AL718" s="6"/>
      <c r="AM718" s="18" t="s">
        <v>29</v>
      </c>
      <c r="AN718" s="18" t="s">
        <v>66</v>
      </c>
      <c r="AO718" s="18" t="s">
        <v>79</v>
      </c>
      <c r="AP718" s="18" t="s">
        <v>100</v>
      </c>
      <c r="AQ718" s="18" t="s">
        <v>109</v>
      </c>
      <c r="AR718" s="18" t="s">
        <v>120</v>
      </c>
      <c r="AS718" s="18" t="s">
        <v>267</v>
      </c>
      <c r="AT718" s="18"/>
      <c r="AU718" s="6"/>
      <c r="AV718" s="36">
        <f>+VLOOKUP(AN718,Leyenda!$B$30:$E$34,3,FALSE)</f>
        <v>1</v>
      </c>
      <c r="AW718" s="36">
        <f>+VLOOKUP('2. Logging Brejo Seco'!AO718,Meteorizacion,3,FALSE)</f>
        <v>1</v>
      </c>
      <c r="AX718" s="36">
        <f>+VLOOKUP('2. Logging Brejo Seco'!AP718,Apertura,3,FALSE)</f>
        <v>0</v>
      </c>
      <c r="AY718" s="36">
        <f>+VLOOKUP('2. Logging Brejo Seco'!AQ718,Leyenda!$B$55:$D$59,3,FALSE)</f>
        <v>1</v>
      </c>
      <c r="AZ718" s="36">
        <f>+VLOOKUP('2. Logging Brejo Seco'!AR718,Relleno,3,FALSE)</f>
        <v>2</v>
      </c>
      <c r="BA718" s="36">
        <f t="shared" si="275"/>
        <v>5</v>
      </c>
      <c r="BB718" s="50">
        <f t="shared" si="276"/>
        <v>4</v>
      </c>
      <c r="BC718" s="49">
        <f>VLOOKUP(AH718,Leyenda!$B$4:$D$10,3,FALSE)</f>
        <v>2</v>
      </c>
      <c r="BD718" s="50">
        <f t="shared" si="277"/>
        <v>7</v>
      </c>
      <c r="BE718" s="50">
        <f t="shared" si="278"/>
        <v>5</v>
      </c>
      <c r="BF718" s="50">
        <f>VLOOKUP(AS718,Leyenda!$B$70:$D$75,3,FALSE)</f>
        <v>15</v>
      </c>
      <c r="BG718" s="110">
        <f t="shared" si="279"/>
        <v>16.071428571428623</v>
      </c>
      <c r="BH718" s="110">
        <f>VLOOKUP(AG718,Leyenda!$B$4:$E$10,4,FALSE)</f>
        <v>2</v>
      </c>
      <c r="BI718" s="67">
        <f t="shared" si="280"/>
        <v>8</v>
      </c>
      <c r="BJ718" s="110">
        <f t="shared" si="281"/>
        <v>4</v>
      </c>
      <c r="BK718" s="110">
        <f>+VLOOKUP('2. Logging Brejo Seco'!AP718,Leyenda!$B$47:$E$51,4,FALSE)</f>
        <v>0</v>
      </c>
      <c r="BL718" s="110">
        <f>+VLOOKUP('2. Logging Brejo Seco'!AQ718,Leyenda!$B$55:$E$59,4,FALSE)</f>
        <v>1</v>
      </c>
      <c r="BM718" s="110">
        <f>+VLOOKUP('2. Logging Brejo Seco'!AR718,Leyenda!$B$63:$E$67,3,FALSE)</f>
        <v>2</v>
      </c>
      <c r="BN718" s="110">
        <f>+VLOOKUP('2. Logging Brejo Seco'!AO718,Leyenda!$B$39:$E$43,4,FALSE)</f>
        <v>1</v>
      </c>
      <c r="BO718" s="110">
        <f>+VLOOKUP('2. Logging Brejo Seco'!AN718,Leyenda!$B$30:$E$34,4,FALSE)</f>
        <v>1</v>
      </c>
      <c r="BP718" s="110">
        <f>VLOOKUP(AS718,Leyenda!$B$71:$E$75,4,FALSE)</f>
        <v>10</v>
      </c>
      <c r="BQ718" s="110">
        <f t="shared" si="282"/>
        <v>29</v>
      </c>
      <c r="BR718" s="36">
        <f t="shared" si="283"/>
        <v>33</v>
      </c>
      <c r="BS718" s="240">
        <f t="shared" si="287"/>
        <v>0.71428571428571253</v>
      </c>
      <c r="BT718" s="6"/>
    </row>
    <row r="719" spans="1:72" x14ac:dyDescent="0.25">
      <c r="A719" s="18" t="s">
        <v>6</v>
      </c>
      <c r="B719" s="18">
        <v>2024</v>
      </c>
      <c r="C719" s="18" t="s">
        <v>138</v>
      </c>
      <c r="D719" s="18" t="s">
        <v>658</v>
      </c>
      <c r="E719" s="18">
        <v>30</v>
      </c>
      <c r="F719" s="191">
        <v>30</v>
      </c>
      <c r="G719" s="18" t="s">
        <v>152</v>
      </c>
      <c r="H719" s="3">
        <v>50</v>
      </c>
      <c r="I719" s="3" t="s">
        <v>756</v>
      </c>
      <c r="J719" s="3"/>
      <c r="K719" s="18">
        <f t="shared" si="285"/>
        <v>40.97</v>
      </c>
      <c r="L719" s="18">
        <v>41.37</v>
      </c>
      <c r="M719" s="4">
        <f t="shared" si="257"/>
        <v>0.39999999999999858</v>
      </c>
      <c r="N719" s="113">
        <f t="shared" si="258"/>
        <v>0.45000000000000157</v>
      </c>
      <c r="O719" s="5">
        <f t="shared" si="286"/>
        <v>0.54999999999999849</v>
      </c>
      <c r="P719" s="3">
        <v>0.18</v>
      </c>
      <c r="Q719" s="3"/>
      <c r="R719" s="3"/>
      <c r="S719" s="3"/>
      <c r="T719" s="3">
        <f>0.06+0.12</f>
        <v>0.18</v>
      </c>
      <c r="U719" s="3">
        <v>0</v>
      </c>
      <c r="V719" s="187">
        <f t="shared" si="266"/>
        <v>0</v>
      </c>
      <c r="W719" s="3"/>
      <c r="X719" s="3"/>
      <c r="Y719" s="3">
        <v>10</v>
      </c>
      <c r="Z719" s="31">
        <f t="shared" si="288"/>
        <v>39.999999999999858</v>
      </c>
      <c r="AA719" s="6"/>
      <c r="AB719" s="6"/>
      <c r="AC719" s="6"/>
      <c r="AD719" s="6"/>
      <c r="AE719" s="6"/>
      <c r="AF719" s="6"/>
      <c r="AG719" s="3" t="s">
        <v>29</v>
      </c>
      <c r="AH719" s="3" t="s">
        <v>29</v>
      </c>
      <c r="AI719" s="18" t="str">
        <f>+VLOOKUP(AH719,Leyenda!$O$4:$U$10,6,FALSE)</f>
        <v>0,25-0,35</v>
      </c>
      <c r="AJ719" s="18" t="str">
        <f>+VLOOKUP(AG719,Leyenda!$O$4:$U$10,7,FALSE)</f>
        <v>No Blasting need</v>
      </c>
      <c r="AK719" s="18">
        <f>+VLOOKUP(AJ719,Leyenda!$U$4:$V$10,2,FALSE)</f>
        <v>2</v>
      </c>
      <c r="AL719" s="6"/>
      <c r="AM719" s="18" t="s">
        <v>29</v>
      </c>
      <c r="AN719" s="18" t="s">
        <v>66</v>
      </c>
      <c r="AO719" s="18" t="s">
        <v>79</v>
      </c>
      <c r="AP719" s="18" t="s">
        <v>100</v>
      </c>
      <c r="AQ719" s="18" t="s">
        <v>109</v>
      </c>
      <c r="AR719" s="18" t="s">
        <v>120</v>
      </c>
      <c r="AS719" s="18" t="s">
        <v>267</v>
      </c>
      <c r="AT719" s="18"/>
      <c r="AU719" s="6"/>
      <c r="AV719" s="36">
        <f>+VLOOKUP(AN719,Leyenda!$B$30:$E$34,3,FALSE)</f>
        <v>1</v>
      </c>
      <c r="AW719" s="36">
        <f>+VLOOKUP('2. Logging Brejo Seco'!AO719,Meteorizacion,3,FALSE)</f>
        <v>1</v>
      </c>
      <c r="AX719" s="36">
        <f>+VLOOKUP('2. Logging Brejo Seco'!AP719,Apertura,3,FALSE)</f>
        <v>0</v>
      </c>
      <c r="AY719" s="36">
        <f>+VLOOKUP('2. Logging Brejo Seco'!AQ719,Leyenda!$B$55:$D$59,3,FALSE)</f>
        <v>1</v>
      </c>
      <c r="AZ719" s="36">
        <f>+VLOOKUP('2. Logging Brejo Seco'!AR719,Relleno,3,FALSE)</f>
        <v>2</v>
      </c>
      <c r="BA719" s="36">
        <f t="shared" si="275"/>
        <v>5</v>
      </c>
      <c r="BB719" s="50">
        <f t="shared" si="276"/>
        <v>0</v>
      </c>
      <c r="BC719" s="49">
        <f>VLOOKUP(AH719,Leyenda!$B$4:$D$10,3,FALSE)</f>
        <v>2</v>
      </c>
      <c r="BD719" s="50">
        <f t="shared" si="277"/>
        <v>5</v>
      </c>
      <c r="BE719" s="50">
        <f t="shared" si="278"/>
        <v>5</v>
      </c>
      <c r="BF719" s="50">
        <f>VLOOKUP(AS719,Leyenda!$B$70:$D$75,3,FALSE)</f>
        <v>15</v>
      </c>
      <c r="BG719" s="110">
        <f t="shared" si="279"/>
        <v>7.5</v>
      </c>
      <c r="BH719" s="110">
        <f>VLOOKUP(AG719,Leyenda!$B$4:$E$10,4,FALSE)</f>
        <v>2</v>
      </c>
      <c r="BI719" s="67">
        <f t="shared" si="280"/>
        <v>5</v>
      </c>
      <c r="BJ719" s="110">
        <f t="shared" si="281"/>
        <v>0</v>
      </c>
      <c r="BK719" s="110">
        <f>+VLOOKUP('2. Logging Brejo Seco'!AP719,Leyenda!$B$47:$E$51,4,FALSE)</f>
        <v>0</v>
      </c>
      <c r="BL719" s="110">
        <f>+VLOOKUP('2. Logging Brejo Seco'!AQ719,Leyenda!$B$55:$E$59,4,FALSE)</f>
        <v>1</v>
      </c>
      <c r="BM719" s="110">
        <f>+VLOOKUP('2. Logging Brejo Seco'!AR719,Leyenda!$B$63:$E$67,3,FALSE)</f>
        <v>2</v>
      </c>
      <c r="BN719" s="110">
        <f>+VLOOKUP('2. Logging Brejo Seco'!AO719,Leyenda!$B$39:$E$43,4,FALSE)</f>
        <v>1</v>
      </c>
      <c r="BO719" s="110">
        <f>+VLOOKUP('2. Logging Brejo Seco'!AN719,Leyenda!$B$30:$E$34,4,FALSE)</f>
        <v>1</v>
      </c>
      <c r="BP719" s="110">
        <f>VLOOKUP(AS719,Leyenda!$B$71:$E$75,4,FALSE)</f>
        <v>10</v>
      </c>
      <c r="BQ719" s="110">
        <f t="shared" si="282"/>
        <v>22</v>
      </c>
      <c r="BR719" s="36">
        <f t="shared" si="283"/>
        <v>27</v>
      </c>
      <c r="BS719" s="240">
        <f t="shared" si="287"/>
        <v>0.54999999999999849</v>
      </c>
      <c r="BT719" s="6"/>
    </row>
    <row r="720" spans="1:72" x14ac:dyDescent="0.25">
      <c r="A720" s="18" t="s">
        <v>6</v>
      </c>
      <c r="B720" s="18">
        <v>2024</v>
      </c>
      <c r="C720" s="18" t="s">
        <v>138</v>
      </c>
      <c r="D720" s="18" t="s">
        <v>658</v>
      </c>
      <c r="E720" s="18">
        <v>30</v>
      </c>
      <c r="F720" s="191">
        <v>30</v>
      </c>
      <c r="G720" s="18" t="s">
        <v>152</v>
      </c>
      <c r="H720" s="3">
        <v>50</v>
      </c>
      <c r="I720" s="3" t="s">
        <v>756</v>
      </c>
      <c r="J720" s="3"/>
      <c r="K720" s="18">
        <f t="shared" si="285"/>
        <v>41.37</v>
      </c>
      <c r="L720" s="18">
        <v>42.17</v>
      </c>
      <c r="M720" s="4">
        <f t="shared" si="257"/>
        <v>0.80000000000000426</v>
      </c>
      <c r="N720" s="113">
        <f t="shared" si="258"/>
        <v>0.749999999999996</v>
      </c>
      <c r="O720" s="5">
        <f t="shared" si="286"/>
        <v>0.250000000000004</v>
      </c>
      <c r="P720" s="3">
        <v>0.6</v>
      </c>
      <c r="Q720" s="3"/>
      <c r="R720" s="3"/>
      <c r="S720" s="3"/>
      <c r="T720" s="3">
        <v>0.6</v>
      </c>
      <c r="U720" s="3">
        <v>0</v>
      </c>
      <c r="V720" s="187">
        <f t="shared" si="266"/>
        <v>0</v>
      </c>
      <c r="W720" s="3"/>
      <c r="X720" s="3"/>
      <c r="Y720" s="3">
        <v>20</v>
      </c>
      <c r="Z720" s="31">
        <f t="shared" si="288"/>
        <v>40.000000000000213</v>
      </c>
      <c r="AA720" s="6"/>
      <c r="AB720" s="6"/>
      <c r="AC720" s="6"/>
      <c r="AD720" s="6"/>
      <c r="AE720" s="6"/>
      <c r="AF720" s="6"/>
      <c r="AG720" s="3" t="s">
        <v>29</v>
      </c>
      <c r="AH720" s="3" t="s">
        <v>29</v>
      </c>
      <c r="AI720" s="18" t="str">
        <f>+VLOOKUP(AH720,Leyenda!$O$4:$U$10,6,FALSE)</f>
        <v>0,25-0,35</v>
      </c>
      <c r="AJ720" s="18" t="str">
        <f>+VLOOKUP(AG720,Leyenda!$O$4:$U$10,7,FALSE)</f>
        <v>No Blasting need</v>
      </c>
      <c r="AK720" s="18">
        <f>+VLOOKUP(AJ720,Leyenda!$U$4:$V$10,2,FALSE)</f>
        <v>2</v>
      </c>
      <c r="AL720" s="6"/>
      <c r="AM720" s="18" t="s">
        <v>29</v>
      </c>
      <c r="AN720" s="18" t="s">
        <v>66</v>
      </c>
      <c r="AO720" s="18" t="s">
        <v>79</v>
      </c>
      <c r="AP720" s="18" t="s">
        <v>100</v>
      </c>
      <c r="AQ720" s="18" t="s">
        <v>109</v>
      </c>
      <c r="AR720" s="18" t="s">
        <v>120</v>
      </c>
      <c r="AS720" s="18" t="s">
        <v>267</v>
      </c>
      <c r="AT720" s="18"/>
      <c r="AU720" s="6"/>
      <c r="AV720" s="36">
        <f>+VLOOKUP(AN720,Leyenda!$B$30:$E$34,3,FALSE)</f>
        <v>1</v>
      </c>
      <c r="AW720" s="36">
        <f>+VLOOKUP('2. Logging Brejo Seco'!AO720,Meteorizacion,3,FALSE)</f>
        <v>1</v>
      </c>
      <c r="AX720" s="36">
        <f>+VLOOKUP('2. Logging Brejo Seco'!AP720,Apertura,3,FALSE)</f>
        <v>0</v>
      </c>
      <c r="AY720" s="36">
        <f>+VLOOKUP('2. Logging Brejo Seco'!AQ720,Leyenda!$B$55:$D$59,3,FALSE)</f>
        <v>1</v>
      </c>
      <c r="AZ720" s="36">
        <f>+VLOOKUP('2. Logging Brejo Seco'!AR720,Relleno,3,FALSE)</f>
        <v>2</v>
      </c>
      <c r="BA720" s="36">
        <f t="shared" si="275"/>
        <v>5</v>
      </c>
      <c r="BB720" s="50">
        <f t="shared" si="276"/>
        <v>0</v>
      </c>
      <c r="BC720" s="49">
        <f>VLOOKUP(AH720,Leyenda!$B$4:$D$10,3,FALSE)</f>
        <v>2</v>
      </c>
      <c r="BD720" s="50">
        <f t="shared" si="277"/>
        <v>5</v>
      </c>
      <c r="BE720" s="50">
        <f t="shared" si="278"/>
        <v>5</v>
      </c>
      <c r="BF720" s="50">
        <f>VLOOKUP(AS720,Leyenda!$B$70:$D$75,3,FALSE)</f>
        <v>15</v>
      </c>
      <c r="BG720" s="110">
        <f t="shared" si="279"/>
        <v>7.5</v>
      </c>
      <c r="BH720" s="110">
        <f>VLOOKUP(AG720,Leyenda!$B$4:$E$10,4,FALSE)</f>
        <v>2</v>
      </c>
      <c r="BI720" s="67">
        <f t="shared" si="280"/>
        <v>5</v>
      </c>
      <c r="BJ720" s="110">
        <f t="shared" si="281"/>
        <v>0</v>
      </c>
      <c r="BK720" s="110">
        <f>+VLOOKUP('2. Logging Brejo Seco'!AP720,Leyenda!$B$47:$E$51,4,FALSE)</f>
        <v>0</v>
      </c>
      <c r="BL720" s="110">
        <f>+VLOOKUP('2. Logging Brejo Seco'!AQ720,Leyenda!$B$55:$E$59,4,FALSE)</f>
        <v>1</v>
      </c>
      <c r="BM720" s="110">
        <f>+VLOOKUP('2. Logging Brejo Seco'!AR720,Leyenda!$B$63:$E$67,3,FALSE)</f>
        <v>2</v>
      </c>
      <c r="BN720" s="110">
        <f>+VLOOKUP('2. Logging Brejo Seco'!AO720,Leyenda!$B$39:$E$43,4,FALSE)</f>
        <v>1</v>
      </c>
      <c r="BO720" s="110">
        <f>+VLOOKUP('2. Logging Brejo Seco'!AN720,Leyenda!$B$30:$E$34,4,FALSE)</f>
        <v>1</v>
      </c>
      <c r="BP720" s="110">
        <f>VLOOKUP(AS720,Leyenda!$B$71:$E$75,4,FALSE)</f>
        <v>10</v>
      </c>
      <c r="BQ720" s="110">
        <f t="shared" si="282"/>
        <v>22</v>
      </c>
      <c r="BR720" s="36">
        <f t="shared" si="283"/>
        <v>27</v>
      </c>
      <c r="BS720" s="240">
        <f t="shared" si="287"/>
        <v>0.250000000000004</v>
      </c>
      <c r="BT720" s="6"/>
    </row>
    <row r="721" spans="1:72" x14ac:dyDescent="0.25">
      <c r="A721" s="18" t="s">
        <v>6</v>
      </c>
      <c r="B721" s="18">
        <v>2024</v>
      </c>
      <c r="C721" s="18" t="s">
        <v>138</v>
      </c>
      <c r="D721" s="18" t="s">
        <v>658</v>
      </c>
      <c r="E721" s="18">
        <v>30</v>
      </c>
      <c r="F721" s="191">
        <v>30</v>
      </c>
      <c r="G721" s="18" t="s">
        <v>152</v>
      </c>
      <c r="H721" s="3">
        <v>40</v>
      </c>
      <c r="I721" s="3" t="s">
        <v>757</v>
      </c>
      <c r="J721" s="3"/>
      <c r="K721" s="18">
        <f t="shared" si="285"/>
        <v>42.17</v>
      </c>
      <c r="L721" s="18">
        <v>43.17</v>
      </c>
      <c r="M721" s="4">
        <f t="shared" ref="M721:M786" si="289">+L721-K721</f>
        <v>1</v>
      </c>
      <c r="N721" s="113">
        <f t="shared" ref="N721:N786" si="290">+P721/M721</f>
        <v>0.44</v>
      </c>
      <c r="O721" s="5">
        <f t="shared" si="286"/>
        <v>0.56000000000000005</v>
      </c>
      <c r="P721" s="3">
        <v>0.44</v>
      </c>
      <c r="Q721" s="3"/>
      <c r="R721" s="3"/>
      <c r="S721" s="3"/>
      <c r="T721" s="3">
        <v>0.44</v>
      </c>
      <c r="U721" s="3">
        <v>0</v>
      </c>
      <c r="V721" s="187">
        <f t="shared" si="266"/>
        <v>0</v>
      </c>
      <c r="W721" s="3"/>
      <c r="X721" s="3"/>
      <c r="Y721" s="3">
        <v>10</v>
      </c>
      <c r="Z721" s="31">
        <f t="shared" si="288"/>
        <v>100</v>
      </c>
      <c r="AA721" s="6"/>
      <c r="AB721" s="6"/>
      <c r="AC721" s="6"/>
      <c r="AD721" s="6"/>
      <c r="AE721" s="6"/>
      <c r="AF721" s="6"/>
      <c r="AG721" s="3" t="s">
        <v>29</v>
      </c>
      <c r="AH721" s="3" t="s">
        <v>29</v>
      </c>
      <c r="AI721" s="18" t="str">
        <f>+VLOOKUP(AH721,Leyenda!$O$4:$U$10,6,FALSE)</f>
        <v>0,25-0,35</v>
      </c>
      <c r="AJ721" s="18" t="str">
        <f>+VLOOKUP(AG721,Leyenda!$O$4:$U$10,7,FALSE)</f>
        <v>No Blasting need</v>
      </c>
      <c r="AK721" s="18">
        <f>+VLOOKUP(AJ721,Leyenda!$U$4:$V$10,2,FALSE)</f>
        <v>2</v>
      </c>
      <c r="AL721" s="6"/>
      <c r="AM721" s="18" t="s">
        <v>29</v>
      </c>
      <c r="AN721" s="18" t="s">
        <v>66</v>
      </c>
      <c r="AO721" s="18" t="s">
        <v>79</v>
      </c>
      <c r="AP721" s="18" t="s">
        <v>100</v>
      </c>
      <c r="AQ721" s="18" t="s">
        <v>109</v>
      </c>
      <c r="AR721" s="18" t="s">
        <v>120</v>
      </c>
      <c r="AS721" s="18" t="s">
        <v>267</v>
      </c>
      <c r="AT721" s="18"/>
      <c r="AU721" s="6"/>
      <c r="AV721" s="36">
        <f>+VLOOKUP(AN721,Leyenda!$B$30:$E$34,3,FALSE)</f>
        <v>1</v>
      </c>
      <c r="AW721" s="36">
        <f>+VLOOKUP('2. Logging Brejo Seco'!AO721,Meteorizacion,3,FALSE)</f>
        <v>1</v>
      </c>
      <c r="AX721" s="36">
        <f>+VLOOKUP('2. Logging Brejo Seco'!AP721,Apertura,3,FALSE)</f>
        <v>0</v>
      </c>
      <c r="AY721" s="36">
        <f>+VLOOKUP('2. Logging Brejo Seco'!AQ721,Leyenda!$B$55:$D$59,3,FALSE)</f>
        <v>1</v>
      </c>
      <c r="AZ721" s="36">
        <f>+VLOOKUP('2. Logging Brejo Seco'!AR721,Relleno,3,FALSE)</f>
        <v>2</v>
      </c>
      <c r="BA721" s="36">
        <f t="shared" si="275"/>
        <v>5</v>
      </c>
      <c r="BB721" s="50">
        <f t="shared" si="276"/>
        <v>0</v>
      </c>
      <c r="BC721" s="49">
        <f>VLOOKUP(AH721,Leyenda!$B$4:$D$10,3,FALSE)</f>
        <v>2</v>
      </c>
      <c r="BD721" s="50">
        <f t="shared" si="277"/>
        <v>7</v>
      </c>
      <c r="BE721" s="50">
        <f t="shared" si="278"/>
        <v>5</v>
      </c>
      <c r="BF721" s="50">
        <f>VLOOKUP(AS721,Leyenda!$B$70:$D$75,3,FALSE)</f>
        <v>15</v>
      </c>
      <c r="BG721" s="110">
        <f t="shared" si="279"/>
        <v>7.5</v>
      </c>
      <c r="BH721" s="110">
        <f>VLOOKUP(AG721,Leyenda!$B$4:$E$10,4,FALSE)</f>
        <v>2</v>
      </c>
      <c r="BI721" s="67">
        <f t="shared" si="280"/>
        <v>8</v>
      </c>
      <c r="BJ721" s="110">
        <f t="shared" si="281"/>
        <v>0</v>
      </c>
      <c r="BK721" s="110">
        <f>+VLOOKUP('2. Logging Brejo Seco'!AP721,Leyenda!$B$47:$E$51,4,FALSE)</f>
        <v>0</v>
      </c>
      <c r="BL721" s="110">
        <f>+VLOOKUP('2. Logging Brejo Seco'!AQ721,Leyenda!$B$55:$E$59,4,FALSE)</f>
        <v>1</v>
      </c>
      <c r="BM721" s="110">
        <f>+VLOOKUP('2. Logging Brejo Seco'!AR721,Leyenda!$B$63:$E$67,3,FALSE)</f>
        <v>2</v>
      </c>
      <c r="BN721" s="110">
        <f>+VLOOKUP('2. Logging Brejo Seco'!AO721,Leyenda!$B$39:$E$43,4,FALSE)</f>
        <v>1</v>
      </c>
      <c r="BO721" s="110">
        <f>+VLOOKUP('2. Logging Brejo Seco'!AN721,Leyenda!$B$30:$E$34,4,FALSE)</f>
        <v>1</v>
      </c>
      <c r="BP721" s="110">
        <f>VLOOKUP(AS721,Leyenda!$B$71:$E$75,4,FALSE)</f>
        <v>10</v>
      </c>
      <c r="BQ721" s="110">
        <f t="shared" si="282"/>
        <v>25</v>
      </c>
      <c r="BR721" s="36">
        <f t="shared" si="283"/>
        <v>29</v>
      </c>
      <c r="BS721" s="240">
        <f t="shared" si="287"/>
        <v>0.56000000000000005</v>
      </c>
      <c r="BT721" s="6"/>
    </row>
    <row r="722" spans="1:72" x14ac:dyDescent="0.25">
      <c r="A722" s="18" t="s">
        <v>6</v>
      </c>
      <c r="B722" s="18">
        <v>2024</v>
      </c>
      <c r="C722" s="18" t="s">
        <v>138</v>
      </c>
      <c r="D722" s="18" t="s">
        <v>658</v>
      </c>
      <c r="E722" s="18">
        <v>30</v>
      </c>
      <c r="F722" s="191">
        <v>30</v>
      </c>
      <c r="G722" s="18" t="s">
        <v>152</v>
      </c>
      <c r="H722" s="3">
        <v>40</v>
      </c>
      <c r="I722" s="3" t="s">
        <v>757</v>
      </c>
      <c r="J722" s="3"/>
      <c r="K722" s="18">
        <f t="shared" si="285"/>
        <v>43.17</v>
      </c>
      <c r="L722" s="18">
        <v>44.67</v>
      </c>
      <c r="M722" s="4">
        <f t="shared" si="289"/>
        <v>1.5</v>
      </c>
      <c r="N722" s="113">
        <f t="shared" si="290"/>
        <v>0.7466666666666667</v>
      </c>
      <c r="O722" s="5">
        <f t="shared" si="286"/>
        <v>0.2533333333333333</v>
      </c>
      <c r="P722" s="3">
        <v>1.1200000000000001</v>
      </c>
      <c r="Q722" s="3"/>
      <c r="R722" s="3"/>
      <c r="S722" s="3"/>
      <c r="T722" s="3">
        <v>1.1200000000000001</v>
      </c>
      <c r="U722" s="3">
        <v>0</v>
      </c>
      <c r="V722" s="187">
        <f t="shared" si="266"/>
        <v>0</v>
      </c>
      <c r="W722" s="3"/>
      <c r="X722" s="3"/>
      <c r="Y722" s="3">
        <v>20</v>
      </c>
      <c r="Z722" s="31">
        <f t="shared" si="288"/>
        <v>75</v>
      </c>
      <c r="AA722" s="6"/>
      <c r="AB722" s="6"/>
      <c r="AC722" s="6"/>
      <c r="AD722" s="6"/>
      <c r="AE722" s="6"/>
      <c r="AF722" s="6"/>
      <c r="AG722" s="3" t="s">
        <v>29</v>
      </c>
      <c r="AH722" s="3" t="s">
        <v>29</v>
      </c>
      <c r="AI722" s="18" t="str">
        <f>+VLOOKUP(AH722,Leyenda!$O$4:$U$10,6,FALSE)</f>
        <v>0,25-0,35</v>
      </c>
      <c r="AJ722" s="18" t="str">
        <f>+VLOOKUP(AG722,Leyenda!$O$4:$U$10,7,FALSE)</f>
        <v>No Blasting need</v>
      </c>
      <c r="AK722" s="18">
        <f>+VLOOKUP(AJ722,Leyenda!$U$4:$V$10,2,FALSE)</f>
        <v>2</v>
      </c>
      <c r="AL722" s="6"/>
      <c r="AM722" s="18" t="s">
        <v>29</v>
      </c>
      <c r="AN722" s="18" t="s">
        <v>66</v>
      </c>
      <c r="AO722" s="18" t="s">
        <v>79</v>
      </c>
      <c r="AP722" s="18" t="s">
        <v>100</v>
      </c>
      <c r="AQ722" s="18" t="s">
        <v>109</v>
      </c>
      <c r="AR722" s="18" t="s">
        <v>120</v>
      </c>
      <c r="AS722" s="18" t="s">
        <v>267</v>
      </c>
      <c r="AT722" s="18"/>
      <c r="AU722" s="6"/>
      <c r="AV722" s="36">
        <f>+VLOOKUP(AN722,Leyenda!$B$30:$E$34,3,FALSE)</f>
        <v>1</v>
      </c>
      <c r="AW722" s="36">
        <f>+VLOOKUP('2. Logging Brejo Seco'!AO722,Meteorizacion,3,FALSE)</f>
        <v>1</v>
      </c>
      <c r="AX722" s="36">
        <f>+VLOOKUP('2. Logging Brejo Seco'!AP722,Apertura,3,FALSE)</f>
        <v>0</v>
      </c>
      <c r="AY722" s="36">
        <f>+VLOOKUP('2. Logging Brejo Seco'!AQ722,Leyenda!$B$55:$D$59,3,FALSE)</f>
        <v>1</v>
      </c>
      <c r="AZ722" s="36">
        <f>+VLOOKUP('2. Logging Brejo Seco'!AR722,Relleno,3,FALSE)</f>
        <v>2</v>
      </c>
      <c r="BA722" s="36">
        <f t="shared" si="275"/>
        <v>5</v>
      </c>
      <c r="BB722" s="50">
        <f t="shared" si="276"/>
        <v>0</v>
      </c>
      <c r="BC722" s="49">
        <f>VLOOKUP(AH722,Leyenda!$B$4:$D$10,3,FALSE)</f>
        <v>2</v>
      </c>
      <c r="BD722" s="50">
        <f t="shared" si="277"/>
        <v>7</v>
      </c>
      <c r="BE722" s="50">
        <f t="shared" si="278"/>
        <v>5</v>
      </c>
      <c r="BF722" s="50">
        <f>VLOOKUP(AS722,Leyenda!$B$70:$D$75,3,FALSE)</f>
        <v>15</v>
      </c>
      <c r="BG722" s="110">
        <f t="shared" si="279"/>
        <v>7.5</v>
      </c>
      <c r="BH722" s="110">
        <f>VLOOKUP(AG722,Leyenda!$B$4:$E$10,4,FALSE)</f>
        <v>2</v>
      </c>
      <c r="BI722" s="67">
        <f t="shared" si="280"/>
        <v>6</v>
      </c>
      <c r="BJ722" s="110">
        <f t="shared" si="281"/>
        <v>0</v>
      </c>
      <c r="BK722" s="110">
        <f>+VLOOKUP('2. Logging Brejo Seco'!AP722,Leyenda!$B$47:$E$51,4,FALSE)</f>
        <v>0</v>
      </c>
      <c r="BL722" s="110">
        <f>+VLOOKUP('2. Logging Brejo Seco'!AQ722,Leyenda!$B$55:$E$59,4,FALSE)</f>
        <v>1</v>
      </c>
      <c r="BM722" s="110">
        <f>+VLOOKUP('2. Logging Brejo Seco'!AR722,Leyenda!$B$63:$E$67,3,FALSE)</f>
        <v>2</v>
      </c>
      <c r="BN722" s="110">
        <f>+VLOOKUP('2. Logging Brejo Seco'!AO722,Leyenda!$B$39:$E$43,4,FALSE)</f>
        <v>1</v>
      </c>
      <c r="BO722" s="110">
        <f>+VLOOKUP('2. Logging Brejo Seco'!AN722,Leyenda!$B$30:$E$34,4,FALSE)</f>
        <v>1</v>
      </c>
      <c r="BP722" s="110">
        <f>VLOOKUP(AS722,Leyenda!$B$71:$E$75,4,FALSE)</f>
        <v>10</v>
      </c>
      <c r="BQ722" s="110">
        <f t="shared" si="282"/>
        <v>23</v>
      </c>
      <c r="BR722" s="36">
        <f t="shared" si="283"/>
        <v>29</v>
      </c>
      <c r="BS722" s="240">
        <f t="shared" si="287"/>
        <v>0.2533333333333333</v>
      </c>
      <c r="BT722" s="6"/>
    </row>
    <row r="723" spans="1:72" x14ac:dyDescent="0.25">
      <c r="A723" s="18" t="s">
        <v>6</v>
      </c>
      <c r="B723" s="18">
        <v>2024</v>
      </c>
      <c r="C723" s="18" t="s">
        <v>138</v>
      </c>
      <c r="D723" s="18" t="s">
        <v>658</v>
      </c>
      <c r="E723" s="18">
        <v>30</v>
      </c>
      <c r="F723" s="191">
        <v>30</v>
      </c>
      <c r="G723" s="18" t="s">
        <v>152</v>
      </c>
      <c r="H723" s="3">
        <v>40</v>
      </c>
      <c r="I723" s="3" t="s">
        <v>757</v>
      </c>
      <c r="J723" s="3"/>
      <c r="K723" s="18">
        <f t="shared" si="285"/>
        <v>44.67</v>
      </c>
      <c r="L723" s="18">
        <v>45.57</v>
      </c>
      <c r="M723" s="4">
        <f t="shared" si="289"/>
        <v>0.89999999999999858</v>
      </c>
      <c r="N723" s="113">
        <f t="shared" si="290"/>
        <v>0.65555555555555656</v>
      </c>
      <c r="O723" s="5">
        <f t="shared" si="286"/>
        <v>0.34444444444444344</v>
      </c>
      <c r="P723" s="3">
        <v>0.59</v>
      </c>
      <c r="Q723" s="6"/>
      <c r="R723" s="6"/>
      <c r="S723" s="6"/>
      <c r="T723" s="3">
        <f>0.37+0.22</f>
        <v>0.59</v>
      </c>
      <c r="U723" s="3">
        <v>0</v>
      </c>
      <c r="V723" s="187">
        <f t="shared" si="266"/>
        <v>0</v>
      </c>
      <c r="W723" s="3"/>
      <c r="X723" s="3"/>
      <c r="Y723" s="3">
        <v>20</v>
      </c>
      <c r="Z723" s="31">
        <f t="shared" si="288"/>
        <v>44.999999999999929</v>
      </c>
      <c r="AA723" s="6"/>
      <c r="AB723" s="6"/>
      <c r="AC723" s="6"/>
      <c r="AD723" s="6"/>
      <c r="AE723" s="6"/>
      <c r="AF723" s="6"/>
      <c r="AG723" s="3" t="s">
        <v>32</v>
      </c>
      <c r="AH723" s="3" t="s">
        <v>32</v>
      </c>
      <c r="AI723" s="18" t="str">
        <f>+VLOOKUP(AH723,Leyenda!$O$4:$U$10,6,FALSE)</f>
        <v>0,15-0,25</v>
      </c>
      <c r="AJ723" s="18" t="str">
        <f>+VLOOKUP(AG723,Leyenda!$O$4:$U$10,7,FALSE)</f>
        <v>No Blasting need</v>
      </c>
      <c r="AK723" s="18">
        <f>+VLOOKUP(AJ723,Leyenda!$U$4:$V$10,2,FALSE)</f>
        <v>2</v>
      </c>
      <c r="AL723" s="6"/>
      <c r="AM723" s="18" t="s">
        <v>32</v>
      </c>
      <c r="AN723" s="18" t="s">
        <v>66</v>
      </c>
      <c r="AO723" s="18" t="s">
        <v>79</v>
      </c>
      <c r="AP723" s="18" t="s">
        <v>100</v>
      </c>
      <c r="AQ723" s="18" t="s">
        <v>109</v>
      </c>
      <c r="AR723" s="18" t="s">
        <v>120</v>
      </c>
      <c r="AS723" s="18" t="s">
        <v>247</v>
      </c>
      <c r="AT723" s="18"/>
      <c r="AU723" s="6"/>
      <c r="AV723" s="36">
        <f>+VLOOKUP(AN723,Leyenda!$B$30:$E$34,3,FALSE)</f>
        <v>1</v>
      </c>
      <c r="AW723" s="36">
        <f>+VLOOKUP('2. Logging Brejo Seco'!AO723,Meteorizacion,3,FALSE)</f>
        <v>1</v>
      </c>
      <c r="AX723" s="36">
        <f>+VLOOKUP('2. Logging Brejo Seco'!AP723,Apertura,3,FALSE)</f>
        <v>0</v>
      </c>
      <c r="AY723" s="36">
        <f>+VLOOKUP('2. Logging Brejo Seco'!AQ723,Leyenda!$B$55:$D$59,3,FALSE)</f>
        <v>1</v>
      </c>
      <c r="AZ723" s="36">
        <f>+VLOOKUP('2. Logging Brejo Seco'!AR723,Relleno,3,FALSE)</f>
        <v>2</v>
      </c>
      <c r="BA723" s="36">
        <f t="shared" si="275"/>
        <v>5</v>
      </c>
      <c r="BB723" s="50">
        <f t="shared" si="276"/>
        <v>0</v>
      </c>
      <c r="BC723" s="49">
        <f>VLOOKUP(AH723,Leyenda!$B$4:$D$10,3,FALSE)</f>
        <v>1</v>
      </c>
      <c r="BD723" s="50">
        <f t="shared" si="277"/>
        <v>6</v>
      </c>
      <c r="BE723" s="50">
        <f t="shared" si="278"/>
        <v>5</v>
      </c>
      <c r="BF723" s="50">
        <f>VLOOKUP(AS723,Leyenda!$B$70:$D$75,3,FALSE)</f>
        <v>10</v>
      </c>
      <c r="BG723" s="110">
        <f t="shared" si="279"/>
        <v>7.5</v>
      </c>
      <c r="BH723" s="110">
        <f>VLOOKUP(AG723,Leyenda!$B$4:$E$10,4,FALSE)</f>
        <v>1</v>
      </c>
      <c r="BI723" s="67">
        <f t="shared" si="280"/>
        <v>5</v>
      </c>
      <c r="BJ723" s="110">
        <f t="shared" si="281"/>
        <v>0</v>
      </c>
      <c r="BK723" s="110">
        <f>+VLOOKUP('2. Logging Brejo Seco'!AP723,Leyenda!$B$47:$E$51,4,FALSE)</f>
        <v>0</v>
      </c>
      <c r="BL723" s="110">
        <f>+VLOOKUP('2. Logging Brejo Seco'!AQ723,Leyenda!$B$55:$E$59,4,FALSE)</f>
        <v>1</v>
      </c>
      <c r="BM723" s="110">
        <f>+VLOOKUP('2. Logging Brejo Seco'!AR723,Leyenda!$B$63:$E$67,3,FALSE)</f>
        <v>2</v>
      </c>
      <c r="BN723" s="110">
        <f>+VLOOKUP('2. Logging Brejo Seco'!AO723,Leyenda!$B$39:$E$43,4,FALSE)</f>
        <v>1</v>
      </c>
      <c r="BO723" s="110">
        <f>+VLOOKUP('2. Logging Brejo Seco'!AN723,Leyenda!$B$30:$E$34,4,FALSE)</f>
        <v>1</v>
      </c>
      <c r="BP723" s="110">
        <f>VLOOKUP(AS723,Leyenda!$B$71:$E$75,4,FALSE)</f>
        <v>7</v>
      </c>
      <c r="BQ723" s="110">
        <f t="shared" si="282"/>
        <v>18</v>
      </c>
      <c r="BR723" s="36">
        <f t="shared" si="283"/>
        <v>22</v>
      </c>
      <c r="BS723" s="240">
        <f t="shared" si="287"/>
        <v>0.34444444444444344</v>
      </c>
      <c r="BT723" s="6"/>
    </row>
    <row r="724" spans="1:72" x14ac:dyDescent="0.25">
      <c r="A724" s="18" t="s">
        <v>6</v>
      </c>
      <c r="B724" s="18">
        <v>2024</v>
      </c>
      <c r="C724" s="18" t="s">
        <v>138</v>
      </c>
      <c r="D724" s="18" t="s">
        <v>658</v>
      </c>
      <c r="E724" s="18">
        <v>30</v>
      </c>
      <c r="F724" s="191">
        <v>30</v>
      </c>
      <c r="G724" s="18" t="s">
        <v>152</v>
      </c>
      <c r="H724" s="3">
        <v>40</v>
      </c>
      <c r="I724" s="3" t="s">
        <v>757</v>
      </c>
      <c r="J724" s="3"/>
      <c r="K724" s="18">
        <f t="shared" si="285"/>
        <v>45.57</v>
      </c>
      <c r="L724" s="18">
        <v>46.17</v>
      </c>
      <c r="M724" s="4">
        <f t="shared" si="289"/>
        <v>0.60000000000000142</v>
      </c>
      <c r="N724" s="113">
        <f t="shared" si="290"/>
        <v>0.46666666666666562</v>
      </c>
      <c r="O724" s="5">
        <f t="shared" si="286"/>
        <v>0.53333333333333433</v>
      </c>
      <c r="P724" s="3">
        <v>0.28000000000000003</v>
      </c>
      <c r="Q724" s="6"/>
      <c r="R724" s="6"/>
      <c r="S724" s="6"/>
      <c r="T724" s="3">
        <v>0.28000000000000003</v>
      </c>
      <c r="U724" s="3">
        <v>0</v>
      </c>
      <c r="V724" s="187">
        <f t="shared" si="266"/>
        <v>0</v>
      </c>
      <c r="W724" s="3"/>
      <c r="X724" s="3"/>
      <c r="Y724" s="3">
        <v>20</v>
      </c>
      <c r="Z724" s="31">
        <f t="shared" si="288"/>
        <v>30.000000000000068</v>
      </c>
      <c r="AA724" s="6"/>
      <c r="AB724" s="6"/>
      <c r="AC724" s="6"/>
      <c r="AD724" s="6"/>
      <c r="AE724" s="6"/>
      <c r="AF724" s="6"/>
      <c r="AG724" s="3" t="s">
        <v>29</v>
      </c>
      <c r="AH724" s="3" t="s">
        <v>29</v>
      </c>
      <c r="AI724" s="18" t="str">
        <f>+VLOOKUP(AH724,Leyenda!$O$4:$U$10,6,FALSE)</f>
        <v>0,25-0,35</v>
      </c>
      <c r="AJ724" s="18" t="str">
        <f>+VLOOKUP(AG724,Leyenda!$O$4:$U$10,7,FALSE)</f>
        <v>No Blasting need</v>
      </c>
      <c r="AK724" s="18">
        <f>+VLOOKUP(AJ724,Leyenda!$U$4:$V$10,2,FALSE)</f>
        <v>2</v>
      </c>
      <c r="AL724" s="6"/>
      <c r="AM724" s="18" t="s">
        <v>29</v>
      </c>
      <c r="AN724" s="18" t="s">
        <v>64</v>
      </c>
      <c r="AO724" s="18" t="s">
        <v>79</v>
      </c>
      <c r="AP724" s="18" t="s">
        <v>100</v>
      </c>
      <c r="AQ724" s="18" t="s">
        <v>109</v>
      </c>
      <c r="AR724" s="18" t="s">
        <v>120</v>
      </c>
      <c r="AS724" s="18" t="s">
        <v>267</v>
      </c>
      <c r="AT724" s="18"/>
      <c r="AU724" s="6"/>
      <c r="AV724" s="36">
        <f>+VLOOKUP(AN724,Leyenda!$B$30:$E$34,3,FALSE)</f>
        <v>2</v>
      </c>
      <c r="AW724" s="36">
        <f>+VLOOKUP('2. Logging Brejo Seco'!AO724,Meteorizacion,3,FALSE)</f>
        <v>1</v>
      </c>
      <c r="AX724" s="36">
        <f>+VLOOKUP('2. Logging Brejo Seco'!AP724,Apertura,3,FALSE)</f>
        <v>0</v>
      </c>
      <c r="AY724" s="36">
        <f>+VLOOKUP('2. Logging Brejo Seco'!AQ724,Leyenda!$B$55:$D$59,3,FALSE)</f>
        <v>1</v>
      </c>
      <c r="AZ724" s="36">
        <f>+VLOOKUP('2. Logging Brejo Seco'!AR724,Relleno,3,FALSE)</f>
        <v>2</v>
      </c>
      <c r="BA724" s="36">
        <f t="shared" si="275"/>
        <v>6</v>
      </c>
      <c r="BB724" s="50">
        <f t="shared" si="276"/>
        <v>0</v>
      </c>
      <c r="BC724" s="49">
        <f>VLOOKUP(AH724,Leyenda!$B$4:$D$10,3,FALSE)</f>
        <v>2</v>
      </c>
      <c r="BD724" s="50">
        <f t="shared" si="277"/>
        <v>5</v>
      </c>
      <c r="BE724" s="50">
        <f t="shared" si="278"/>
        <v>6</v>
      </c>
      <c r="BF724" s="50">
        <f>VLOOKUP(AS724,Leyenda!$B$70:$D$75,3,FALSE)</f>
        <v>15</v>
      </c>
      <c r="BG724" s="110">
        <f t="shared" si="279"/>
        <v>9</v>
      </c>
      <c r="BH724" s="110">
        <f>VLOOKUP(AG724,Leyenda!$B$4:$E$10,4,FALSE)</f>
        <v>2</v>
      </c>
      <c r="BI724" s="67">
        <f t="shared" si="280"/>
        <v>5</v>
      </c>
      <c r="BJ724" s="110">
        <f t="shared" si="281"/>
        <v>0</v>
      </c>
      <c r="BK724" s="110">
        <f>+VLOOKUP('2. Logging Brejo Seco'!AP724,Leyenda!$B$47:$E$51,4,FALSE)</f>
        <v>0</v>
      </c>
      <c r="BL724" s="110">
        <f>+VLOOKUP('2. Logging Brejo Seco'!AQ724,Leyenda!$B$55:$E$59,4,FALSE)</f>
        <v>1</v>
      </c>
      <c r="BM724" s="110">
        <f>+VLOOKUP('2. Logging Brejo Seco'!AR724,Leyenda!$B$63:$E$67,3,FALSE)</f>
        <v>2</v>
      </c>
      <c r="BN724" s="110">
        <f>+VLOOKUP('2. Logging Brejo Seco'!AO724,Leyenda!$B$39:$E$43,4,FALSE)</f>
        <v>1</v>
      </c>
      <c r="BO724" s="110">
        <f>+VLOOKUP('2. Logging Brejo Seco'!AN724,Leyenda!$B$30:$E$34,4,FALSE)</f>
        <v>3</v>
      </c>
      <c r="BP724" s="110">
        <f>VLOOKUP(AS724,Leyenda!$B$71:$E$75,4,FALSE)</f>
        <v>10</v>
      </c>
      <c r="BQ724" s="110">
        <f t="shared" si="282"/>
        <v>24</v>
      </c>
      <c r="BR724" s="36">
        <f t="shared" si="283"/>
        <v>28</v>
      </c>
      <c r="BS724" s="240">
        <f t="shared" si="287"/>
        <v>0.53333333333333433</v>
      </c>
      <c r="BT724" s="6"/>
    </row>
    <row r="725" spans="1:72" x14ac:dyDescent="0.25">
      <c r="A725" s="18" t="s">
        <v>6</v>
      </c>
      <c r="B725" s="18">
        <v>2024</v>
      </c>
      <c r="C725" s="18" t="s">
        <v>138</v>
      </c>
      <c r="D725" s="18" t="s">
        <v>658</v>
      </c>
      <c r="E725" s="18">
        <v>30</v>
      </c>
      <c r="F725" s="191">
        <v>30</v>
      </c>
      <c r="G725" s="18" t="s">
        <v>152</v>
      </c>
      <c r="H725" s="3">
        <v>40</v>
      </c>
      <c r="I725" s="3" t="s">
        <v>757</v>
      </c>
      <c r="J725" s="3"/>
      <c r="K725" s="18">
        <f t="shared" si="285"/>
        <v>46.17</v>
      </c>
      <c r="L725" s="18">
        <v>46.67</v>
      </c>
      <c r="M725" s="4">
        <f t="shared" si="289"/>
        <v>0.5</v>
      </c>
      <c r="N725" s="113">
        <f t="shared" si="290"/>
        <v>0.92</v>
      </c>
      <c r="O725" s="5">
        <f t="shared" si="286"/>
        <v>7.999999999999996E-2</v>
      </c>
      <c r="P725" s="3">
        <v>0.46</v>
      </c>
      <c r="Q725" s="6"/>
      <c r="R725" s="6"/>
      <c r="S725" s="6"/>
      <c r="T725" s="3">
        <v>0.46</v>
      </c>
      <c r="U725" s="3">
        <v>0.12</v>
      </c>
      <c r="V725" s="187">
        <f t="shared" si="266"/>
        <v>24</v>
      </c>
      <c r="W725" s="3"/>
      <c r="X725" s="3"/>
      <c r="Y725" s="3">
        <v>5</v>
      </c>
      <c r="Z725" s="31">
        <f t="shared" si="288"/>
        <v>100</v>
      </c>
      <c r="AA725" s="6"/>
      <c r="AB725" s="6"/>
      <c r="AC725" s="6"/>
      <c r="AD725" s="6"/>
      <c r="AE725" s="6"/>
      <c r="AF725" s="6"/>
      <c r="AG725" s="3" t="s">
        <v>29</v>
      </c>
      <c r="AH725" s="3" t="s">
        <v>29</v>
      </c>
      <c r="AI725" s="18" t="str">
        <f>+VLOOKUP(AH725,Leyenda!$O$4:$U$10,6,FALSE)</f>
        <v>0,25-0,35</v>
      </c>
      <c r="AJ725" s="18" t="str">
        <f>+VLOOKUP(AG725,Leyenda!$O$4:$U$10,7,FALSE)</f>
        <v>No Blasting need</v>
      </c>
      <c r="AK725" s="18">
        <f>+VLOOKUP(AJ725,Leyenda!$U$4:$V$10,2,FALSE)</f>
        <v>2</v>
      </c>
      <c r="AL725" s="6"/>
      <c r="AM725" s="18" t="s">
        <v>29</v>
      </c>
      <c r="AN725" s="18" t="s">
        <v>64</v>
      </c>
      <c r="AO725" s="18" t="s">
        <v>79</v>
      </c>
      <c r="AP725" s="18" t="s">
        <v>100</v>
      </c>
      <c r="AQ725" s="18" t="s">
        <v>109</v>
      </c>
      <c r="AR725" s="18" t="s">
        <v>120</v>
      </c>
      <c r="AS725" s="18" t="s">
        <v>267</v>
      </c>
      <c r="AT725" s="18"/>
      <c r="AU725" s="6"/>
      <c r="AV725" s="36">
        <f>+VLOOKUP(AN725,Leyenda!$B$30:$E$34,3,FALSE)</f>
        <v>2</v>
      </c>
      <c r="AW725" s="36">
        <f>+VLOOKUP('2. Logging Brejo Seco'!AO725,Meteorizacion,3,FALSE)</f>
        <v>1</v>
      </c>
      <c r="AX725" s="36">
        <f>+VLOOKUP('2. Logging Brejo Seco'!AP725,Apertura,3,FALSE)</f>
        <v>0</v>
      </c>
      <c r="AY725" s="36">
        <f>+VLOOKUP('2. Logging Brejo Seco'!AQ725,Leyenda!$B$55:$D$59,3,FALSE)</f>
        <v>1</v>
      </c>
      <c r="AZ725" s="36">
        <f>+VLOOKUP('2. Logging Brejo Seco'!AR725,Relleno,3,FALSE)</f>
        <v>2</v>
      </c>
      <c r="BA725" s="36">
        <f t="shared" si="275"/>
        <v>6</v>
      </c>
      <c r="BB725" s="50">
        <f t="shared" si="276"/>
        <v>5</v>
      </c>
      <c r="BC725" s="49">
        <f>VLOOKUP(AH725,Leyenda!$B$4:$D$10,3,FALSE)</f>
        <v>2</v>
      </c>
      <c r="BD725" s="50">
        <f t="shared" si="277"/>
        <v>7</v>
      </c>
      <c r="BE725" s="50">
        <f t="shared" si="278"/>
        <v>6</v>
      </c>
      <c r="BF725" s="50">
        <f>VLOOKUP(AS725,Leyenda!$B$70:$D$75,3,FALSE)</f>
        <v>15</v>
      </c>
      <c r="BG725" s="110">
        <f t="shared" si="279"/>
        <v>21</v>
      </c>
      <c r="BH725" s="110">
        <f>VLOOKUP(AG725,Leyenda!$B$4:$E$10,4,FALSE)</f>
        <v>2</v>
      </c>
      <c r="BI725" s="67">
        <f t="shared" si="280"/>
        <v>8</v>
      </c>
      <c r="BJ725" s="110">
        <f t="shared" si="281"/>
        <v>5</v>
      </c>
      <c r="BK725" s="110">
        <f>+VLOOKUP('2. Logging Brejo Seco'!AP725,Leyenda!$B$47:$E$51,4,FALSE)</f>
        <v>0</v>
      </c>
      <c r="BL725" s="110">
        <f>+VLOOKUP('2. Logging Brejo Seco'!AQ725,Leyenda!$B$55:$E$59,4,FALSE)</f>
        <v>1</v>
      </c>
      <c r="BM725" s="110">
        <f>+VLOOKUP('2. Logging Brejo Seco'!AR725,Leyenda!$B$63:$E$67,3,FALSE)</f>
        <v>2</v>
      </c>
      <c r="BN725" s="110">
        <f>+VLOOKUP('2. Logging Brejo Seco'!AO725,Leyenda!$B$39:$E$43,4,FALSE)</f>
        <v>1</v>
      </c>
      <c r="BO725" s="110">
        <f>+VLOOKUP('2. Logging Brejo Seco'!AN725,Leyenda!$B$30:$E$34,4,FALSE)</f>
        <v>3</v>
      </c>
      <c r="BP725" s="110">
        <f>VLOOKUP(AS725,Leyenda!$B$71:$E$75,4,FALSE)</f>
        <v>10</v>
      </c>
      <c r="BQ725" s="110">
        <f t="shared" si="282"/>
        <v>32</v>
      </c>
      <c r="BR725" s="36">
        <f t="shared" si="283"/>
        <v>35</v>
      </c>
      <c r="BS725" s="240">
        <f t="shared" si="287"/>
        <v>7.999999999999996E-2</v>
      </c>
      <c r="BT725" s="6"/>
    </row>
    <row r="726" spans="1:72" x14ac:dyDescent="0.25">
      <c r="A726" s="18" t="s">
        <v>6</v>
      </c>
      <c r="B726" s="18">
        <v>2024</v>
      </c>
      <c r="C726" s="18" t="s">
        <v>138</v>
      </c>
      <c r="D726" s="18" t="s">
        <v>658</v>
      </c>
      <c r="E726" s="18">
        <v>30</v>
      </c>
      <c r="F726" s="191">
        <v>30</v>
      </c>
      <c r="G726" s="18" t="s">
        <v>152</v>
      </c>
      <c r="H726" s="3">
        <v>40</v>
      </c>
      <c r="I726" s="3" t="s">
        <v>757</v>
      </c>
      <c r="J726" s="3"/>
      <c r="K726" s="18">
        <f t="shared" si="285"/>
        <v>46.67</v>
      </c>
      <c r="L726" s="18">
        <v>47.47</v>
      </c>
      <c r="M726" s="4">
        <f t="shared" si="289"/>
        <v>0.79999999999999716</v>
      </c>
      <c r="N726" s="113">
        <f t="shared" si="290"/>
        <v>0.70000000000000251</v>
      </c>
      <c r="O726" s="5">
        <f t="shared" si="286"/>
        <v>0.29999999999999749</v>
      </c>
      <c r="P726" s="3">
        <v>0.56000000000000005</v>
      </c>
      <c r="Q726" s="6"/>
      <c r="R726" s="6"/>
      <c r="S726" s="6"/>
      <c r="T726" s="3">
        <v>0.56000000000000005</v>
      </c>
      <c r="U726" s="3">
        <v>0</v>
      </c>
      <c r="V726" s="187">
        <f t="shared" si="266"/>
        <v>0</v>
      </c>
      <c r="W726" s="3"/>
      <c r="X726" s="3"/>
      <c r="Y726" s="3">
        <v>15</v>
      </c>
      <c r="Z726" s="31">
        <f t="shared" si="288"/>
        <v>53.333333333333144</v>
      </c>
      <c r="AA726" s="6"/>
      <c r="AB726" s="6"/>
      <c r="AC726" s="6"/>
      <c r="AD726" s="6"/>
      <c r="AE726" s="6"/>
      <c r="AF726" s="6"/>
      <c r="AG726" s="3" t="s">
        <v>29</v>
      </c>
      <c r="AH726" s="3" t="s">
        <v>29</v>
      </c>
      <c r="AI726" s="18" t="str">
        <f>+VLOOKUP(AH726,Leyenda!$O$4:$U$10,6,FALSE)</f>
        <v>0,25-0,35</v>
      </c>
      <c r="AJ726" s="18" t="str">
        <f>+VLOOKUP(AG726,Leyenda!$O$4:$U$10,7,FALSE)</f>
        <v>No Blasting need</v>
      </c>
      <c r="AK726" s="18">
        <f>+VLOOKUP(AJ726,Leyenda!$U$4:$V$10,2,FALSE)</f>
        <v>2</v>
      </c>
      <c r="AL726" s="6"/>
      <c r="AM726" s="18" t="s">
        <v>29</v>
      </c>
      <c r="AN726" s="18" t="s">
        <v>64</v>
      </c>
      <c r="AO726" s="18" t="s">
        <v>79</v>
      </c>
      <c r="AP726" s="18" t="s">
        <v>96</v>
      </c>
      <c r="AQ726" s="18" t="s">
        <v>109</v>
      </c>
      <c r="AR726" s="18" t="s">
        <v>120</v>
      </c>
      <c r="AS726" s="18" t="s">
        <v>267</v>
      </c>
      <c r="AT726" s="18"/>
      <c r="AU726" s="6"/>
      <c r="AV726" s="36">
        <f>+VLOOKUP(AN726,Leyenda!$B$30:$E$34,3,FALSE)</f>
        <v>2</v>
      </c>
      <c r="AW726" s="36">
        <f>+VLOOKUP('2. Logging Brejo Seco'!AO726,Meteorizacion,3,FALSE)</f>
        <v>1</v>
      </c>
      <c r="AX726" s="36">
        <f>+VLOOKUP('2. Logging Brejo Seco'!AP726,Apertura,3,FALSE)</f>
        <v>1</v>
      </c>
      <c r="AY726" s="36">
        <f>+VLOOKUP('2. Logging Brejo Seco'!AQ726,Leyenda!$B$55:$D$59,3,FALSE)</f>
        <v>1</v>
      </c>
      <c r="AZ726" s="36">
        <f>+VLOOKUP('2. Logging Brejo Seco'!AR726,Relleno,3,FALSE)</f>
        <v>2</v>
      </c>
      <c r="BA726" s="36">
        <f t="shared" si="275"/>
        <v>7</v>
      </c>
      <c r="BB726" s="50">
        <f t="shared" si="276"/>
        <v>0</v>
      </c>
      <c r="BC726" s="49">
        <f>VLOOKUP(AH726,Leyenda!$B$4:$D$10,3,FALSE)</f>
        <v>2</v>
      </c>
      <c r="BD726" s="50">
        <f t="shared" si="277"/>
        <v>6</v>
      </c>
      <c r="BE726" s="50">
        <f t="shared" si="278"/>
        <v>7</v>
      </c>
      <c r="BF726" s="50">
        <f>VLOOKUP(AS726,Leyenda!$B$70:$D$75,3,FALSE)</f>
        <v>15</v>
      </c>
      <c r="BG726" s="110">
        <f t="shared" si="279"/>
        <v>10.5</v>
      </c>
      <c r="BH726" s="110">
        <f>VLOOKUP(AG726,Leyenda!$B$4:$E$10,4,FALSE)</f>
        <v>2</v>
      </c>
      <c r="BI726" s="67">
        <f t="shared" si="280"/>
        <v>4</v>
      </c>
      <c r="BJ726" s="110">
        <f t="shared" si="281"/>
        <v>0</v>
      </c>
      <c r="BK726" s="110">
        <f>+VLOOKUP('2. Logging Brejo Seco'!AP726,Leyenda!$B$47:$E$51,4,FALSE)</f>
        <v>1</v>
      </c>
      <c r="BL726" s="110">
        <f>+VLOOKUP('2. Logging Brejo Seco'!AQ726,Leyenda!$B$55:$E$59,4,FALSE)</f>
        <v>1</v>
      </c>
      <c r="BM726" s="110">
        <f>+VLOOKUP('2. Logging Brejo Seco'!AR726,Leyenda!$B$63:$E$67,3,FALSE)</f>
        <v>2</v>
      </c>
      <c r="BN726" s="110">
        <f>+VLOOKUP('2. Logging Brejo Seco'!AO726,Leyenda!$B$39:$E$43,4,FALSE)</f>
        <v>1</v>
      </c>
      <c r="BO726" s="110">
        <f>+VLOOKUP('2. Logging Brejo Seco'!AN726,Leyenda!$B$30:$E$34,4,FALSE)</f>
        <v>3</v>
      </c>
      <c r="BP726" s="110">
        <f>VLOOKUP(AS726,Leyenda!$B$71:$E$75,4,FALSE)</f>
        <v>10</v>
      </c>
      <c r="BQ726" s="110">
        <f t="shared" si="282"/>
        <v>24</v>
      </c>
      <c r="BR726" s="36">
        <f t="shared" si="283"/>
        <v>30</v>
      </c>
      <c r="BS726" s="240">
        <f t="shared" si="287"/>
        <v>0.29999999999999749</v>
      </c>
      <c r="BT726" s="6"/>
    </row>
    <row r="727" spans="1:72" x14ac:dyDescent="0.25">
      <c r="A727" s="18" t="s">
        <v>6</v>
      </c>
      <c r="B727" s="18">
        <v>2024</v>
      </c>
      <c r="C727" s="18" t="s">
        <v>138</v>
      </c>
      <c r="D727" s="18" t="s">
        <v>658</v>
      </c>
      <c r="E727" s="18">
        <v>30</v>
      </c>
      <c r="F727" s="191">
        <v>30</v>
      </c>
      <c r="G727" s="18" t="s">
        <v>152</v>
      </c>
      <c r="H727" s="3">
        <v>40</v>
      </c>
      <c r="I727" s="3" t="s">
        <v>757</v>
      </c>
      <c r="J727" s="3"/>
      <c r="K727" s="18">
        <f t="shared" si="285"/>
        <v>47.47</v>
      </c>
      <c r="L727" s="18">
        <v>48.32</v>
      </c>
      <c r="M727" s="4">
        <f t="shared" si="289"/>
        <v>0.85000000000000142</v>
      </c>
      <c r="N727" s="113">
        <f t="shared" si="290"/>
        <v>0.45882352941176396</v>
      </c>
      <c r="O727" s="5">
        <f t="shared" si="286"/>
        <v>0.54117647058823604</v>
      </c>
      <c r="P727" s="3">
        <v>0.39</v>
      </c>
      <c r="Q727" s="6"/>
      <c r="R727" s="6"/>
      <c r="S727" s="6"/>
      <c r="T727" s="3">
        <v>0.39</v>
      </c>
      <c r="U727" s="3">
        <v>0</v>
      </c>
      <c r="V727" s="187">
        <f t="shared" ref="V727:V791" si="291">+U727/M727*100</f>
        <v>0</v>
      </c>
      <c r="W727" s="3"/>
      <c r="X727" s="3"/>
      <c r="Y727" s="3">
        <v>15</v>
      </c>
      <c r="Z727" s="31">
        <f t="shared" si="288"/>
        <v>56.666666666666757</v>
      </c>
      <c r="AA727" s="6"/>
      <c r="AB727" s="6"/>
      <c r="AC727" s="6"/>
      <c r="AD727" s="6"/>
      <c r="AE727" s="6"/>
      <c r="AF727" s="6"/>
      <c r="AG727" s="3" t="s">
        <v>29</v>
      </c>
      <c r="AH727" s="3" t="s">
        <v>29</v>
      </c>
      <c r="AI727" s="18" t="str">
        <f>+VLOOKUP(AH727,Leyenda!$O$4:$U$10,6,FALSE)</f>
        <v>0,25-0,35</v>
      </c>
      <c r="AJ727" s="18" t="str">
        <f>+VLOOKUP(AG727,Leyenda!$O$4:$U$10,7,FALSE)</f>
        <v>No Blasting need</v>
      </c>
      <c r="AK727" s="18">
        <f>+VLOOKUP(AJ727,Leyenda!$U$4:$V$10,2,FALSE)</f>
        <v>2</v>
      </c>
      <c r="AL727" s="6"/>
      <c r="AM727" s="18" t="s">
        <v>29</v>
      </c>
      <c r="AN727" s="18" t="s">
        <v>64</v>
      </c>
      <c r="AO727" s="18" t="s">
        <v>79</v>
      </c>
      <c r="AP727" s="18" t="s">
        <v>100</v>
      </c>
      <c r="AQ727" s="18" t="s">
        <v>109</v>
      </c>
      <c r="AR727" s="18" t="s">
        <v>120</v>
      </c>
      <c r="AS727" s="18" t="s">
        <v>267</v>
      </c>
      <c r="AT727" s="18"/>
      <c r="AU727" s="6"/>
      <c r="AV727" s="36">
        <f>+VLOOKUP(AN727,Leyenda!$B$30:$E$34,3,FALSE)</f>
        <v>2</v>
      </c>
      <c r="AW727" s="36">
        <f>+VLOOKUP('2. Logging Brejo Seco'!AO727,Meteorizacion,3,FALSE)</f>
        <v>1</v>
      </c>
      <c r="AX727" s="36">
        <f>+VLOOKUP('2. Logging Brejo Seco'!AP727,Apertura,3,FALSE)</f>
        <v>0</v>
      </c>
      <c r="AY727" s="36">
        <f>+VLOOKUP('2. Logging Brejo Seco'!AQ727,Leyenda!$B$55:$D$59,3,FALSE)</f>
        <v>1</v>
      </c>
      <c r="AZ727" s="36">
        <f>+VLOOKUP('2. Logging Brejo Seco'!AR727,Relleno,3,FALSE)</f>
        <v>2</v>
      </c>
      <c r="BA727" s="36">
        <f t="shared" si="275"/>
        <v>6</v>
      </c>
      <c r="BB727" s="50">
        <f t="shared" si="276"/>
        <v>0</v>
      </c>
      <c r="BC727" s="49">
        <f>VLOOKUP(AH727,Leyenda!$B$4:$D$10,3,FALSE)</f>
        <v>2</v>
      </c>
      <c r="BD727" s="50">
        <f t="shared" si="277"/>
        <v>6</v>
      </c>
      <c r="BE727" s="50">
        <f t="shared" si="278"/>
        <v>6</v>
      </c>
      <c r="BF727" s="50">
        <f>VLOOKUP(AS727,Leyenda!$B$70:$D$75,3,FALSE)</f>
        <v>15</v>
      </c>
      <c r="BG727" s="110">
        <f t="shared" si="279"/>
        <v>9</v>
      </c>
      <c r="BH727" s="110">
        <f>VLOOKUP(AG727,Leyenda!$B$4:$E$10,4,FALSE)</f>
        <v>2</v>
      </c>
      <c r="BI727" s="67">
        <f t="shared" si="280"/>
        <v>5</v>
      </c>
      <c r="BJ727" s="110">
        <f t="shared" si="281"/>
        <v>0</v>
      </c>
      <c r="BK727" s="110">
        <f>+VLOOKUP('2. Logging Brejo Seco'!AP727,Leyenda!$B$47:$E$51,4,FALSE)</f>
        <v>0</v>
      </c>
      <c r="BL727" s="110">
        <f>+VLOOKUP('2. Logging Brejo Seco'!AQ727,Leyenda!$B$55:$E$59,4,FALSE)</f>
        <v>1</v>
      </c>
      <c r="BM727" s="110">
        <f>+VLOOKUP('2. Logging Brejo Seco'!AR727,Leyenda!$B$63:$E$67,3,FALSE)</f>
        <v>2</v>
      </c>
      <c r="BN727" s="110">
        <f>+VLOOKUP('2. Logging Brejo Seco'!AO727,Leyenda!$B$39:$E$43,4,FALSE)</f>
        <v>1</v>
      </c>
      <c r="BO727" s="110">
        <f>+VLOOKUP('2. Logging Brejo Seco'!AN727,Leyenda!$B$30:$E$34,4,FALSE)</f>
        <v>3</v>
      </c>
      <c r="BP727" s="110">
        <f>VLOOKUP(AS727,Leyenda!$B$71:$E$75,4,FALSE)</f>
        <v>10</v>
      </c>
      <c r="BQ727" s="110">
        <f t="shared" si="282"/>
        <v>24</v>
      </c>
      <c r="BR727" s="36">
        <f t="shared" si="283"/>
        <v>29</v>
      </c>
      <c r="BS727" s="240">
        <f t="shared" si="287"/>
        <v>0.54117647058823604</v>
      </c>
      <c r="BT727" s="6"/>
    </row>
    <row r="728" spans="1:72" x14ac:dyDescent="0.25">
      <c r="A728" s="18" t="s">
        <v>6</v>
      </c>
      <c r="B728" s="18">
        <v>2024</v>
      </c>
      <c r="C728" s="18" t="s">
        <v>138</v>
      </c>
      <c r="D728" s="18" t="s">
        <v>658</v>
      </c>
      <c r="E728" s="18">
        <v>30</v>
      </c>
      <c r="F728" s="191">
        <v>30</v>
      </c>
      <c r="G728" s="18" t="s">
        <v>152</v>
      </c>
      <c r="H728" s="3">
        <v>40</v>
      </c>
      <c r="I728" s="3" t="s">
        <v>757</v>
      </c>
      <c r="J728" s="3"/>
      <c r="K728" s="18">
        <f t="shared" si="285"/>
        <v>48.32</v>
      </c>
      <c r="L728" s="18">
        <v>48.87</v>
      </c>
      <c r="M728" s="4">
        <f t="shared" si="289"/>
        <v>0.54999999999999716</v>
      </c>
      <c r="N728" s="113">
        <f t="shared" si="290"/>
        <v>0.49090909090909346</v>
      </c>
      <c r="O728" s="5">
        <f t="shared" si="286"/>
        <v>0.5090909090909066</v>
      </c>
      <c r="P728" s="3">
        <v>0.27</v>
      </c>
      <c r="Q728" s="6"/>
      <c r="R728" s="6"/>
      <c r="S728" s="6"/>
      <c r="T728" s="3">
        <v>0.27</v>
      </c>
      <c r="U728" s="3">
        <v>0</v>
      </c>
      <c r="V728" s="187">
        <f t="shared" si="291"/>
        <v>0</v>
      </c>
      <c r="W728" s="3"/>
      <c r="X728" s="3"/>
      <c r="Y728" s="3">
        <v>15</v>
      </c>
      <c r="Z728" s="31">
        <f t="shared" si="288"/>
        <v>36.66666666666648</v>
      </c>
      <c r="AA728" s="6"/>
      <c r="AB728" s="6"/>
      <c r="AC728" s="6"/>
      <c r="AD728" s="6"/>
      <c r="AE728" s="6"/>
      <c r="AF728" s="6"/>
      <c r="AG728" s="3" t="s">
        <v>29</v>
      </c>
      <c r="AH728" s="3" t="s">
        <v>29</v>
      </c>
      <c r="AI728" s="18" t="str">
        <f>+VLOOKUP(AH728,Leyenda!$O$4:$U$10,6,FALSE)</f>
        <v>0,25-0,35</v>
      </c>
      <c r="AJ728" s="18" t="str">
        <f>+VLOOKUP(AG728,Leyenda!$O$4:$U$10,7,FALSE)</f>
        <v>No Blasting need</v>
      </c>
      <c r="AK728" s="18">
        <f>+VLOOKUP(AJ728,Leyenda!$U$4:$V$10,2,FALSE)</f>
        <v>2</v>
      </c>
      <c r="AL728" s="6"/>
      <c r="AM728" s="18" t="s">
        <v>29</v>
      </c>
      <c r="AN728" s="18" t="s">
        <v>64</v>
      </c>
      <c r="AO728" s="18" t="s">
        <v>79</v>
      </c>
      <c r="AP728" s="18" t="s">
        <v>100</v>
      </c>
      <c r="AQ728" s="18" t="s">
        <v>109</v>
      </c>
      <c r="AR728" s="18" t="s">
        <v>120</v>
      </c>
      <c r="AS728" s="18" t="s">
        <v>267</v>
      </c>
      <c r="AT728" s="18"/>
      <c r="AU728" s="6"/>
      <c r="AV728" s="36">
        <f>+VLOOKUP(AN728,Leyenda!$B$30:$E$34,3,FALSE)</f>
        <v>2</v>
      </c>
      <c r="AW728" s="36">
        <f>+VLOOKUP('2. Logging Brejo Seco'!AO728,Meteorizacion,3,FALSE)</f>
        <v>1</v>
      </c>
      <c r="AX728" s="36">
        <f>+VLOOKUP('2. Logging Brejo Seco'!AP728,Apertura,3,FALSE)</f>
        <v>0</v>
      </c>
      <c r="AY728" s="36">
        <f>+VLOOKUP('2. Logging Brejo Seco'!AQ728,Leyenda!$B$55:$D$59,3,FALSE)</f>
        <v>1</v>
      </c>
      <c r="AZ728" s="36">
        <f>+VLOOKUP('2. Logging Brejo Seco'!AR728,Relleno,3,FALSE)</f>
        <v>2</v>
      </c>
      <c r="BA728" s="36">
        <f t="shared" si="275"/>
        <v>6</v>
      </c>
      <c r="BB728" s="50">
        <f t="shared" si="276"/>
        <v>0</v>
      </c>
      <c r="BC728" s="49">
        <f>VLOOKUP(AH728,Leyenda!$B$4:$D$10,3,FALSE)</f>
        <v>2</v>
      </c>
      <c r="BD728" s="50">
        <f t="shared" si="277"/>
        <v>5</v>
      </c>
      <c r="BE728" s="50">
        <f t="shared" si="278"/>
        <v>6</v>
      </c>
      <c r="BF728" s="50">
        <f>VLOOKUP(AS728,Leyenda!$B$70:$D$75,3,FALSE)</f>
        <v>15</v>
      </c>
      <c r="BG728" s="110">
        <f t="shared" si="279"/>
        <v>9</v>
      </c>
      <c r="BH728" s="110">
        <f>VLOOKUP(AG728,Leyenda!$B$4:$E$10,4,FALSE)</f>
        <v>2</v>
      </c>
      <c r="BI728" s="67">
        <f t="shared" si="280"/>
        <v>5</v>
      </c>
      <c r="BJ728" s="110">
        <f t="shared" si="281"/>
        <v>0</v>
      </c>
      <c r="BK728" s="110">
        <f>+VLOOKUP('2. Logging Brejo Seco'!AP728,Leyenda!$B$47:$E$51,4,FALSE)</f>
        <v>0</v>
      </c>
      <c r="BL728" s="110">
        <f>+VLOOKUP('2. Logging Brejo Seco'!AQ728,Leyenda!$B$55:$E$59,4,FALSE)</f>
        <v>1</v>
      </c>
      <c r="BM728" s="110">
        <f>+VLOOKUP('2. Logging Brejo Seco'!AR728,Leyenda!$B$63:$E$67,3,FALSE)</f>
        <v>2</v>
      </c>
      <c r="BN728" s="110">
        <f>+VLOOKUP('2. Logging Brejo Seco'!AO728,Leyenda!$B$39:$E$43,4,FALSE)</f>
        <v>1</v>
      </c>
      <c r="BO728" s="110">
        <f>+VLOOKUP('2. Logging Brejo Seco'!AN728,Leyenda!$B$30:$E$34,4,FALSE)</f>
        <v>3</v>
      </c>
      <c r="BP728" s="110">
        <f>VLOOKUP(AS728,Leyenda!$B$71:$E$75,4,FALSE)</f>
        <v>10</v>
      </c>
      <c r="BQ728" s="110">
        <f t="shared" si="282"/>
        <v>24</v>
      </c>
      <c r="BR728" s="36">
        <f t="shared" si="283"/>
        <v>28</v>
      </c>
      <c r="BS728" s="240">
        <f t="shared" si="287"/>
        <v>0.5090909090909066</v>
      </c>
      <c r="BT728" s="6"/>
    </row>
    <row r="729" spans="1:72" x14ac:dyDescent="0.25">
      <c r="A729" s="18" t="s">
        <v>6</v>
      </c>
      <c r="B729" s="18">
        <v>2024</v>
      </c>
      <c r="C729" s="18" t="s">
        <v>138</v>
      </c>
      <c r="D729" s="18" t="s">
        <v>658</v>
      </c>
      <c r="E729" s="18">
        <v>30</v>
      </c>
      <c r="F729" s="191">
        <v>30</v>
      </c>
      <c r="G729" s="18" t="s">
        <v>152</v>
      </c>
      <c r="H729" s="3">
        <v>40</v>
      </c>
      <c r="I729" s="3" t="s">
        <v>757</v>
      </c>
      <c r="J729" s="3"/>
      <c r="K729" s="18">
        <f t="shared" si="285"/>
        <v>48.87</v>
      </c>
      <c r="L729" s="18">
        <v>49.57</v>
      </c>
      <c r="M729" s="4">
        <f t="shared" si="289"/>
        <v>0.70000000000000284</v>
      </c>
      <c r="N729" s="113">
        <f t="shared" si="290"/>
        <v>0.57142857142856918</v>
      </c>
      <c r="O729" s="5">
        <f t="shared" si="286"/>
        <v>0.42857142857143082</v>
      </c>
      <c r="P729" s="3">
        <v>0.4</v>
      </c>
      <c r="Q729" s="6"/>
      <c r="R729" s="6"/>
      <c r="S729" s="6"/>
      <c r="T729" s="3">
        <v>0.4</v>
      </c>
      <c r="U729" s="3">
        <v>0</v>
      </c>
      <c r="V729" s="187">
        <f t="shared" si="291"/>
        <v>0</v>
      </c>
      <c r="W729" s="3"/>
      <c r="X729" s="3"/>
      <c r="Y729" s="3">
        <v>15</v>
      </c>
      <c r="Z729" s="31">
        <f t="shared" si="288"/>
        <v>46.666666666666856</v>
      </c>
      <c r="AA729" s="6"/>
      <c r="AB729" s="6"/>
      <c r="AC729" s="6"/>
      <c r="AD729" s="6"/>
      <c r="AE729" s="6"/>
      <c r="AF729" s="6"/>
      <c r="AG729" s="3" t="s">
        <v>29</v>
      </c>
      <c r="AH729" s="3" t="s">
        <v>29</v>
      </c>
      <c r="AI729" s="18" t="str">
        <f>+VLOOKUP(AH729,Leyenda!$O$4:$U$10,6,FALSE)</f>
        <v>0,25-0,35</v>
      </c>
      <c r="AJ729" s="18" t="str">
        <f>+VLOOKUP(AG729,Leyenda!$O$4:$U$10,7,FALSE)</f>
        <v>No Blasting need</v>
      </c>
      <c r="AK729" s="18">
        <f>+VLOOKUP(AJ729,Leyenda!$U$4:$V$10,2,FALSE)</f>
        <v>2</v>
      </c>
      <c r="AL729" s="6"/>
      <c r="AM729" s="18" t="s">
        <v>29</v>
      </c>
      <c r="AN729" s="18" t="s">
        <v>64</v>
      </c>
      <c r="AO729" s="18" t="s">
        <v>79</v>
      </c>
      <c r="AP729" s="18" t="s">
        <v>100</v>
      </c>
      <c r="AQ729" s="18" t="s">
        <v>109</v>
      </c>
      <c r="AR729" s="18" t="s">
        <v>120</v>
      </c>
      <c r="AS729" s="18" t="s">
        <v>267</v>
      </c>
      <c r="AT729" s="18"/>
      <c r="AU729" s="6"/>
      <c r="AV729" s="36">
        <f>+VLOOKUP(AN729,Leyenda!$B$30:$E$34,3,FALSE)</f>
        <v>2</v>
      </c>
      <c r="AW729" s="36">
        <f>+VLOOKUP('2. Logging Brejo Seco'!AO729,Meteorizacion,3,FALSE)</f>
        <v>1</v>
      </c>
      <c r="AX729" s="36">
        <f>+VLOOKUP('2. Logging Brejo Seco'!AP729,Apertura,3,FALSE)</f>
        <v>0</v>
      </c>
      <c r="AY729" s="36">
        <f>+VLOOKUP('2. Logging Brejo Seco'!AQ729,Leyenda!$B$55:$D$59,3,FALSE)</f>
        <v>1</v>
      </c>
      <c r="AZ729" s="36">
        <f>+VLOOKUP('2. Logging Brejo Seco'!AR729,Relleno,3,FALSE)</f>
        <v>2</v>
      </c>
      <c r="BA729" s="36">
        <f t="shared" si="275"/>
        <v>6</v>
      </c>
      <c r="BB729" s="50">
        <f t="shared" si="276"/>
        <v>0</v>
      </c>
      <c r="BC729" s="49">
        <f>VLOOKUP(AH729,Leyenda!$B$4:$D$10,3,FALSE)</f>
        <v>2</v>
      </c>
      <c r="BD729" s="50">
        <f t="shared" si="277"/>
        <v>6</v>
      </c>
      <c r="BE729" s="50">
        <f t="shared" si="278"/>
        <v>6</v>
      </c>
      <c r="BF729" s="50">
        <f>VLOOKUP(AS729,Leyenda!$B$70:$D$75,3,FALSE)</f>
        <v>15</v>
      </c>
      <c r="BG729" s="110">
        <f t="shared" si="279"/>
        <v>9</v>
      </c>
      <c r="BH729" s="110">
        <f>VLOOKUP(AG729,Leyenda!$B$4:$E$10,4,FALSE)</f>
        <v>2</v>
      </c>
      <c r="BI729" s="67">
        <f t="shared" si="280"/>
        <v>5</v>
      </c>
      <c r="BJ729" s="110">
        <f t="shared" si="281"/>
        <v>0</v>
      </c>
      <c r="BK729" s="110">
        <f>+VLOOKUP('2. Logging Brejo Seco'!AP729,Leyenda!$B$47:$E$51,4,FALSE)</f>
        <v>0</v>
      </c>
      <c r="BL729" s="110">
        <f>+VLOOKUP('2. Logging Brejo Seco'!AQ729,Leyenda!$B$55:$E$59,4,FALSE)</f>
        <v>1</v>
      </c>
      <c r="BM729" s="110">
        <f>+VLOOKUP('2. Logging Brejo Seco'!AR729,Leyenda!$B$63:$E$67,3,FALSE)</f>
        <v>2</v>
      </c>
      <c r="BN729" s="110">
        <f>+VLOOKUP('2. Logging Brejo Seco'!AO729,Leyenda!$B$39:$E$43,4,FALSE)</f>
        <v>1</v>
      </c>
      <c r="BO729" s="110">
        <f>+VLOOKUP('2. Logging Brejo Seco'!AN729,Leyenda!$B$30:$E$34,4,FALSE)</f>
        <v>3</v>
      </c>
      <c r="BP729" s="110">
        <f>VLOOKUP(AS729,Leyenda!$B$71:$E$75,4,FALSE)</f>
        <v>10</v>
      </c>
      <c r="BQ729" s="110">
        <f t="shared" si="282"/>
        <v>24</v>
      </c>
      <c r="BR729" s="36">
        <f t="shared" si="283"/>
        <v>29</v>
      </c>
      <c r="BS729" s="240">
        <f t="shared" si="287"/>
        <v>0.42857142857143082</v>
      </c>
      <c r="BT729" s="6"/>
    </row>
    <row r="730" spans="1:72" x14ac:dyDescent="0.25">
      <c r="A730" s="18" t="s">
        <v>6</v>
      </c>
      <c r="B730" s="18">
        <v>2024</v>
      </c>
      <c r="C730" s="18" t="s">
        <v>138</v>
      </c>
      <c r="D730" s="18" t="s">
        <v>658</v>
      </c>
      <c r="E730" s="18">
        <v>30</v>
      </c>
      <c r="F730" s="191">
        <v>40</v>
      </c>
      <c r="G730" s="18" t="s">
        <v>152</v>
      </c>
      <c r="H730" s="3">
        <v>40</v>
      </c>
      <c r="I730" s="3" t="s">
        <v>757</v>
      </c>
      <c r="J730" s="3"/>
      <c r="K730" s="18">
        <f t="shared" si="285"/>
        <v>49.57</v>
      </c>
      <c r="L730" s="18">
        <v>50.72</v>
      </c>
      <c r="M730" s="4">
        <f t="shared" si="289"/>
        <v>1.1499999999999986</v>
      </c>
      <c r="N730" s="113">
        <f t="shared" si="290"/>
        <v>0.52173913043478326</v>
      </c>
      <c r="O730" s="5">
        <f t="shared" si="286"/>
        <v>0.47826086956521674</v>
      </c>
      <c r="P730" s="3">
        <v>0.6</v>
      </c>
      <c r="Q730" s="6"/>
      <c r="R730" s="6"/>
      <c r="S730" s="6"/>
      <c r="T730" s="3">
        <v>0.6</v>
      </c>
      <c r="U730" s="3">
        <v>0.34</v>
      </c>
      <c r="V730" s="187">
        <f t="shared" si="291"/>
        <v>29.565217391304387</v>
      </c>
      <c r="W730" s="3"/>
      <c r="X730" s="3"/>
      <c r="Y730" s="3">
        <v>8</v>
      </c>
      <c r="Z730" s="31">
        <f t="shared" si="288"/>
        <v>143.74999999999983</v>
      </c>
      <c r="AA730" s="6"/>
      <c r="AB730" s="6"/>
      <c r="AC730" s="6"/>
      <c r="AD730" s="6"/>
      <c r="AE730" s="6"/>
      <c r="AF730" s="6"/>
      <c r="AG730" s="3" t="s">
        <v>22</v>
      </c>
      <c r="AH730" s="3" t="s">
        <v>22</v>
      </c>
      <c r="AI730" s="18" t="str">
        <f>+VLOOKUP(AH730,Leyenda!$O$4:$U$10,6,FALSE)</f>
        <v>0,80-1,50</v>
      </c>
      <c r="AJ730" s="18" t="str">
        <f>+VLOOKUP(AG730,Leyenda!$O$4:$U$10,7,FALSE)</f>
        <v>Moderate to resistence to blast</v>
      </c>
      <c r="AK730" s="18">
        <f>+VLOOKUP(AJ730,Leyenda!$U$4:$V$10,2,FALSE)</f>
        <v>5</v>
      </c>
      <c r="AL730" s="3" t="s">
        <v>22</v>
      </c>
      <c r="AM730" s="18" t="s">
        <v>22</v>
      </c>
      <c r="AN730" s="18" t="s">
        <v>64</v>
      </c>
      <c r="AO730" s="18" t="s">
        <v>79</v>
      </c>
      <c r="AP730" s="18" t="s">
        <v>100</v>
      </c>
      <c r="AQ730" s="18" t="s">
        <v>105</v>
      </c>
      <c r="AR730" s="18" t="s">
        <v>118</v>
      </c>
      <c r="AS730" s="18" t="s">
        <v>267</v>
      </c>
      <c r="AT730" s="18"/>
      <c r="AU730" s="6"/>
      <c r="AV730" s="18">
        <f>+VLOOKUP(AN730,Leyenda!$B$30:$E$34,3,FALSE)</f>
        <v>2</v>
      </c>
      <c r="AW730" s="18">
        <f>+VLOOKUP('2. Logging Brejo Seco'!AO730,Meteorizacion,3,FALSE)</f>
        <v>1</v>
      </c>
      <c r="AX730" s="18">
        <f>+VLOOKUP('2. Logging Brejo Seco'!AP730,Apertura,3,FALSE)</f>
        <v>0</v>
      </c>
      <c r="AY730" s="18">
        <f>+VLOOKUP('2. Logging Brejo Seco'!AQ730,Leyenda!$B$55:$D$59,3,FALSE)</f>
        <v>4</v>
      </c>
      <c r="AZ730" s="18">
        <f>+VLOOKUP('2. Logging Brejo Seco'!AR730,Relleno,3,FALSE)</f>
        <v>2</v>
      </c>
      <c r="BA730" s="18">
        <f t="shared" si="275"/>
        <v>9</v>
      </c>
      <c r="BB730" s="49">
        <f t="shared" si="276"/>
        <v>6</v>
      </c>
      <c r="BC730" s="49">
        <f>VLOOKUP(AH730,Leyenda!$B$4:$D$10,3,FALSE)</f>
        <v>12</v>
      </c>
      <c r="BD730" s="49">
        <f t="shared" si="277"/>
        <v>8</v>
      </c>
      <c r="BE730" s="49">
        <f t="shared" si="278"/>
        <v>9</v>
      </c>
      <c r="BF730" s="49">
        <f>VLOOKUP(AS730,Leyenda!$B$70:$D$75,3,FALSE)</f>
        <v>15</v>
      </c>
      <c r="BG730" s="67">
        <f t="shared" si="279"/>
        <v>28.282608695652193</v>
      </c>
      <c r="BH730" s="208">
        <v>7</v>
      </c>
      <c r="BI730" s="125">
        <f t="shared" si="280"/>
        <v>10</v>
      </c>
      <c r="BJ730" s="125">
        <f t="shared" si="281"/>
        <v>6</v>
      </c>
      <c r="BK730" s="125">
        <f>+VLOOKUP('2. Logging Brejo Seco'!AP730,Leyenda!$B$47:$E$51,4,FALSE)</f>
        <v>0</v>
      </c>
      <c r="BL730" s="125">
        <f>+VLOOKUP('2. Logging Brejo Seco'!AQ730,Leyenda!$B$55:$E$59,4,FALSE)</f>
        <v>4</v>
      </c>
      <c r="BM730" s="125">
        <f>+VLOOKUP('2. Logging Brejo Seco'!AR730,Leyenda!$B$63:$E$67,3,FALSE)</f>
        <v>2</v>
      </c>
      <c r="BN730" s="125">
        <f>+VLOOKUP('2. Logging Brejo Seco'!AO730,Leyenda!$B$39:$E$43,4,FALSE)</f>
        <v>1</v>
      </c>
      <c r="BO730" s="125">
        <f>+VLOOKUP('2. Logging Brejo Seco'!AN730,Leyenda!$B$30:$E$34,4,FALSE)</f>
        <v>3</v>
      </c>
      <c r="BP730" s="125">
        <f>VLOOKUP(AS730,Leyenda!$B$71:$E$75,4,FALSE)</f>
        <v>10</v>
      </c>
      <c r="BQ730" s="125">
        <f t="shared" si="282"/>
        <v>43</v>
      </c>
      <c r="BR730" s="85">
        <f t="shared" si="283"/>
        <v>50</v>
      </c>
      <c r="BS730" s="240">
        <f t="shared" si="287"/>
        <v>0.47826086956521674</v>
      </c>
      <c r="BT730" s="6"/>
    </row>
    <row r="731" spans="1:72" x14ac:dyDescent="0.25">
      <c r="A731" s="18" t="s">
        <v>6</v>
      </c>
      <c r="B731" s="18">
        <v>2024</v>
      </c>
      <c r="C731" s="18" t="s">
        <v>138</v>
      </c>
      <c r="D731" s="18" t="s">
        <v>658</v>
      </c>
      <c r="E731" s="18">
        <v>30</v>
      </c>
      <c r="F731" s="191">
        <v>40</v>
      </c>
      <c r="G731" s="18" t="s">
        <v>152</v>
      </c>
      <c r="H731" s="3">
        <v>40</v>
      </c>
      <c r="I731" s="3" t="s">
        <v>757</v>
      </c>
      <c r="J731" s="3"/>
      <c r="K731" s="18">
        <f t="shared" si="285"/>
        <v>50.72</v>
      </c>
      <c r="L731" s="18">
        <v>52.08</v>
      </c>
      <c r="M731" s="4">
        <f t="shared" si="289"/>
        <v>1.3599999999999994</v>
      </c>
      <c r="N731" s="113">
        <f t="shared" si="290"/>
        <v>0.47794117647058842</v>
      </c>
      <c r="O731" s="5">
        <f t="shared" si="286"/>
        <v>0.52205882352941158</v>
      </c>
      <c r="P731" s="3">
        <v>0.65</v>
      </c>
      <c r="Q731" s="6"/>
      <c r="R731" s="6"/>
      <c r="S731" s="6"/>
      <c r="T731" s="3">
        <v>0.65</v>
      </c>
      <c r="U731" s="19">
        <v>0.6</v>
      </c>
      <c r="V731" s="203">
        <f t="shared" si="291"/>
        <v>44.117647058823543</v>
      </c>
      <c r="W731" s="3"/>
      <c r="X731" s="3"/>
      <c r="Y731" s="3">
        <v>10</v>
      </c>
      <c r="Z731" s="31">
        <f t="shared" si="288"/>
        <v>135.99999999999994</v>
      </c>
      <c r="AA731" s="6"/>
      <c r="AB731" s="6"/>
      <c r="AC731" s="6"/>
      <c r="AD731" s="6"/>
      <c r="AE731" s="6"/>
      <c r="AF731" s="6"/>
      <c r="AG731" s="3" t="s">
        <v>22</v>
      </c>
      <c r="AH731" s="3" t="s">
        <v>22</v>
      </c>
      <c r="AI731" s="18" t="str">
        <f>+VLOOKUP(AH731,Leyenda!$O$4:$U$10,6,FALSE)</f>
        <v>0,80-1,50</v>
      </c>
      <c r="AJ731" s="18" t="str">
        <f>+VLOOKUP(AG731,Leyenda!$O$4:$U$10,7,FALSE)</f>
        <v>Moderate to resistence to blast</v>
      </c>
      <c r="AK731" s="18">
        <f>+VLOOKUP(AJ731,Leyenda!$U$4:$V$10,2,FALSE)</f>
        <v>5</v>
      </c>
      <c r="AL731" s="3" t="s">
        <v>22</v>
      </c>
      <c r="AM731" s="18" t="s">
        <v>22</v>
      </c>
      <c r="AN731" s="18" t="s">
        <v>64</v>
      </c>
      <c r="AO731" s="18" t="s">
        <v>79</v>
      </c>
      <c r="AP731" s="18" t="s">
        <v>100</v>
      </c>
      <c r="AQ731" s="18" t="s">
        <v>105</v>
      </c>
      <c r="AR731" s="18" t="s">
        <v>118</v>
      </c>
      <c r="AS731" s="18" t="s">
        <v>267</v>
      </c>
      <c r="AT731" s="18"/>
      <c r="AU731" s="6"/>
      <c r="AV731" s="18">
        <f>+VLOOKUP(AN731,Leyenda!$B$30:$E$34,3,FALSE)</f>
        <v>2</v>
      </c>
      <c r="AW731" s="18">
        <f>+VLOOKUP('2. Logging Brejo Seco'!AO731,Meteorizacion,3,FALSE)</f>
        <v>1</v>
      </c>
      <c r="AX731" s="18">
        <f>+VLOOKUP('2. Logging Brejo Seco'!AP731,Apertura,3,FALSE)</f>
        <v>0</v>
      </c>
      <c r="AY731" s="18">
        <f>+VLOOKUP('2. Logging Brejo Seco'!AQ731,Leyenda!$B$55:$D$59,3,FALSE)</f>
        <v>4</v>
      </c>
      <c r="AZ731" s="18">
        <f>+VLOOKUP('2. Logging Brejo Seco'!AR731,Relleno,3,FALSE)</f>
        <v>2</v>
      </c>
      <c r="BA731" s="18">
        <f t="shared" si="275"/>
        <v>9</v>
      </c>
      <c r="BB731" s="49">
        <f t="shared" si="276"/>
        <v>9</v>
      </c>
      <c r="BC731" s="49">
        <f>VLOOKUP(AH731,Leyenda!$B$4:$D$10,3,FALSE)</f>
        <v>12</v>
      </c>
      <c r="BD731" s="49">
        <f t="shared" si="277"/>
        <v>8</v>
      </c>
      <c r="BE731" s="49">
        <f t="shared" si="278"/>
        <v>9</v>
      </c>
      <c r="BF731" s="49">
        <f>VLOOKUP(AS731,Leyenda!$B$70:$D$75,3,FALSE)</f>
        <v>15</v>
      </c>
      <c r="BG731" s="67">
        <f t="shared" si="279"/>
        <v>35.558823529411768</v>
      </c>
      <c r="BH731" s="208">
        <v>7</v>
      </c>
      <c r="BI731" s="125">
        <f t="shared" si="280"/>
        <v>10</v>
      </c>
      <c r="BJ731" s="125">
        <f t="shared" si="281"/>
        <v>9</v>
      </c>
      <c r="BK731" s="125">
        <f>+VLOOKUP('2. Logging Brejo Seco'!AP731,Leyenda!$B$47:$E$51,4,FALSE)</f>
        <v>0</v>
      </c>
      <c r="BL731" s="125">
        <f>+VLOOKUP('2. Logging Brejo Seco'!AQ731,Leyenda!$B$55:$E$59,4,FALSE)</f>
        <v>4</v>
      </c>
      <c r="BM731" s="125">
        <f>+VLOOKUP('2. Logging Brejo Seco'!AR731,Leyenda!$B$63:$E$67,3,FALSE)</f>
        <v>2</v>
      </c>
      <c r="BN731" s="125">
        <f>+VLOOKUP('2. Logging Brejo Seco'!AO731,Leyenda!$B$39:$E$43,4,FALSE)</f>
        <v>1</v>
      </c>
      <c r="BO731" s="125">
        <f>+VLOOKUP('2. Logging Brejo Seco'!AN731,Leyenda!$B$30:$E$34,4,FALSE)</f>
        <v>3</v>
      </c>
      <c r="BP731" s="125">
        <f>VLOOKUP(AS731,Leyenda!$B$71:$E$75,4,FALSE)</f>
        <v>10</v>
      </c>
      <c r="BQ731" s="125">
        <f t="shared" si="282"/>
        <v>46</v>
      </c>
      <c r="BR731" s="85">
        <f t="shared" si="283"/>
        <v>53</v>
      </c>
      <c r="BS731" s="240">
        <f t="shared" si="287"/>
        <v>0.52205882352941158</v>
      </c>
      <c r="BT731" s="6"/>
    </row>
    <row r="732" spans="1:72" x14ac:dyDescent="0.25">
      <c r="A732" s="18" t="s">
        <v>6</v>
      </c>
      <c r="B732" s="18">
        <v>2024</v>
      </c>
      <c r="C732" s="18" t="s">
        <v>138</v>
      </c>
      <c r="D732" s="18" t="s">
        <v>658</v>
      </c>
      <c r="E732" s="18">
        <v>30</v>
      </c>
      <c r="F732" s="191">
        <v>40</v>
      </c>
      <c r="G732" s="18" t="s">
        <v>152</v>
      </c>
      <c r="H732" s="3">
        <v>40</v>
      </c>
      <c r="I732" s="3" t="s">
        <v>757</v>
      </c>
      <c r="J732" s="3"/>
      <c r="K732" s="18">
        <f t="shared" si="285"/>
        <v>52.08</v>
      </c>
      <c r="L732" s="93">
        <v>53.13</v>
      </c>
      <c r="M732" s="4">
        <f t="shared" si="289"/>
        <v>1.0500000000000043</v>
      </c>
      <c r="N732" s="113">
        <f t="shared" si="290"/>
        <v>0.56190476190475958</v>
      </c>
      <c r="O732" s="5">
        <f t="shared" si="286"/>
        <v>0.43809523809524042</v>
      </c>
      <c r="P732" s="3">
        <v>0.59</v>
      </c>
      <c r="Q732" s="6"/>
      <c r="R732" s="6"/>
      <c r="S732" s="6"/>
      <c r="T732" s="3">
        <v>0.75</v>
      </c>
      <c r="U732" s="3">
        <v>0.37</v>
      </c>
      <c r="V732" s="203">
        <f t="shared" si="291"/>
        <v>35.238095238095099</v>
      </c>
      <c r="W732" s="3"/>
      <c r="X732" s="3"/>
      <c r="Y732" s="3">
        <v>8</v>
      </c>
      <c r="Z732" s="31">
        <f t="shared" si="288"/>
        <v>131.25000000000054</v>
      </c>
      <c r="AA732" s="6"/>
      <c r="AB732" s="6"/>
      <c r="AC732" s="6"/>
      <c r="AD732" s="6"/>
      <c r="AE732" s="6"/>
      <c r="AF732" s="6"/>
      <c r="AG732" s="3" t="s">
        <v>22</v>
      </c>
      <c r="AH732" s="3" t="s">
        <v>22</v>
      </c>
      <c r="AI732" s="18" t="str">
        <f>+VLOOKUP(AH732,Leyenda!$O$4:$U$10,6,FALSE)</f>
        <v>0,80-1,50</v>
      </c>
      <c r="AJ732" s="18" t="str">
        <f>+VLOOKUP(AG732,Leyenda!$O$4:$U$10,7,FALSE)</f>
        <v>Moderate to resistence to blast</v>
      </c>
      <c r="AK732" s="18">
        <f>+VLOOKUP(AJ732,Leyenda!$U$4:$V$10,2,FALSE)</f>
        <v>5</v>
      </c>
      <c r="AL732" s="3" t="s">
        <v>22</v>
      </c>
      <c r="AM732" s="18" t="s">
        <v>22</v>
      </c>
      <c r="AN732" s="18" t="s">
        <v>64</v>
      </c>
      <c r="AO732" s="18" t="s">
        <v>79</v>
      </c>
      <c r="AP732" s="18" t="s">
        <v>100</v>
      </c>
      <c r="AQ732" s="18" t="s">
        <v>105</v>
      </c>
      <c r="AR732" s="18" t="s">
        <v>118</v>
      </c>
      <c r="AS732" s="18" t="s">
        <v>267</v>
      </c>
      <c r="AT732" s="18"/>
      <c r="AU732" s="6"/>
      <c r="AV732" s="18">
        <f>+VLOOKUP(AN732,Leyenda!$B$30:$E$34,3,FALSE)</f>
        <v>2</v>
      </c>
      <c r="AW732" s="18">
        <f>+VLOOKUP('2. Logging Brejo Seco'!AO732,Meteorizacion,3,FALSE)</f>
        <v>1</v>
      </c>
      <c r="AX732" s="18">
        <f>+VLOOKUP('2. Logging Brejo Seco'!AP732,Apertura,3,FALSE)</f>
        <v>0</v>
      </c>
      <c r="AY732" s="18">
        <f>+VLOOKUP('2. Logging Brejo Seco'!AQ732,Leyenda!$B$55:$D$59,3,FALSE)</f>
        <v>4</v>
      </c>
      <c r="AZ732" s="18">
        <f>+VLOOKUP('2. Logging Brejo Seco'!AR732,Relleno,3,FALSE)</f>
        <v>2</v>
      </c>
      <c r="BA732" s="18">
        <f t="shared" si="275"/>
        <v>9</v>
      </c>
      <c r="BB732" s="49">
        <f t="shared" si="276"/>
        <v>7</v>
      </c>
      <c r="BC732" s="49">
        <f>VLOOKUP(AH732,Leyenda!$B$4:$D$10,3,FALSE)</f>
        <v>12</v>
      </c>
      <c r="BD732" s="49">
        <f t="shared" si="277"/>
        <v>8</v>
      </c>
      <c r="BE732" s="49">
        <f t="shared" si="278"/>
        <v>9</v>
      </c>
      <c r="BF732" s="49">
        <f>VLOOKUP(AS732,Leyenda!$B$70:$D$75,3,FALSE)</f>
        <v>15</v>
      </c>
      <c r="BG732" s="67">
        <f t="shared" si="279"/>
        <v>31.119047619047549</v>
      </c>
      <c r="BH732" s="208">
        <v>7</v>
      </c>
      <c r="BI732" s="125">
        <f t="shared" si="280"/>
        <v>10</v>
      </c>
      <c r="BJ732" s="125">
        <f t="shared" si="281"/>
        <v>7</v>
      </c>
      <c r="BK732" s="125">
        <f>+VLOOKUP('2. Logging Brejo Seco'!AP732,Leyenda!$B$47:$E$51,4,FALSE)</f>
        <v>0</v>
      </c>
      <c r="BL732" s="125">
        <f>+VLOOKUP('2. Logging Brejo Seco'!AQ732,Leyenda!$B$55:$E$59,4,FALSE)</f>
        <v>4</v>
      </c>
      <c r="BM732" s="125">
        <f>+VLOOKUP('2. Logging Brejo Seco'!AR732,Leyenda!$B$63:$E$67,3,FALSE)</f>
        <v>2</v>
      </c>
      <c r="BN732" s="125">
        <f>+VLOOKUP('2. Logging Brejo Seco'!AO732,Leyenda!$B$39:$E$43,4,FALSE)</f>
        <v>1</v>
      </c>
      <c r="BO732" s="125">
        <f>+VLOOKUP('2. Logging Brejo Seco'!AN732,Leyenda!$B$30:$E$34,4,FALSE)</f>
        <v>3</v>
      </c>
      <c r="BP732" s="125">
        <f>VLOOKUP(AS732,Leyenda!$B$71:$E$75,4,FALSE)</f>
        <v>10</v>
      </c>
      <c r="BQ732" s="125">
        <f t="shared" si="282"/>
        <v>44</v>
      </c>
      <c r="BR732" s="85">
        <f t="shared" si="283"/>
        <v>51</v>
      </c>
      <c r="BS732" s="240">
        <f t="shared" si="287"/>
        <v>0.43809523809524042</v>
      </c>
      <c r="BT732" s="6"/>
    </row>
    <row r="733" spans="1:72" x14ac:dyDescent="0.25">
      <c r="A733" s="18" t="s">
        <v>6</v>
      </c>
      <c r="B733" s="18">
        <v>2024</v>
      </c>
      <c r="C733" s="18" t="s">
        <v>138</v>
      </c>
      <c r="D733" s="18" t="s">
        <v>658</v>
      </c>
      <c r="E733" s="18">
        <v>30</v>
      </c>
      <c r="F733" s="191">
        <v>30</v>
      </c>
      <c r="G733" s="18" t="s">
        <v>152</v>
      </c>
      <c r="H733" s="3">
        <v>40</v>
      </c>
      <c r="I733" s="3" t="s">
        <v>757</v>
      </c>
      <c r="J733" s="3"/>
      <c r="K733" s="18">
        <v>53.13</v>
      </c>
      <c r="L733" s="18">
        <v>54.03</v>
      </c>
      <c r="M733" s="4">
        <f t="shared" si="289"/>
        <v>0.89999999999999858</v>
      </c>
      <c r="N733" s="113">
        <f>+P733/M734</f>
        <v>0.71</v>
      </c>
      <c r="O733" s="5">
        <f t="shared" si="286"/>
        <v>0.29000000000000004</v>
      </c>
      <c r="P733" s="3">
        <v>0.71</v>
      </c>
      <c r="Q733" s="6"/>
      <c r="R733" s="6"/>
      <c r="S733" s="6"/>
      <c r="T733" s="3">
        <v>0.62</v>
      </c>
      <c r="U733" s="3">
        <v>0.12</v>
      </c>
      <c r="V733" s="203">
        <f t="shared" si="291"/>
        <v>13.333333333333353</v>
      </c>
      <c r="W733" s="3"/>
      <c r="X733" s="3"/>
      <c r="Y733" s="3">
        <v>10</v>
      </c>
      <c r="Z733" s="31">
        <f t="shared" si="288"/>
        <v>89.999999999999858</v>
      </c>
      <c r="AA733" s="6"/>
      <c r="AB733" s="6"/>
      <c r="AC733" s="6"/>
      <c r="AD733" s="6"/>
      <c r="AE733" s="6"/>
      <c r="AF733" s="6"/>
      <c r="AG733" s="3" t="s">
        <v>27</v>
      </c>
      <c r="AH733" s="3" t="s">
        <v>27</v>
      </c>
      <c r="AI733" s="18" t="str">
        <f>+VLOOKUP(AH733,Leyenda!$O$4:$U$10,6,FALSE)</f>
        <v>0,35-0,50</v>
      </c>
      <c r="AJ733" s="18" t="str">
        <f>+VLOOKUP(AG733,Leyenda!$O$4:$U$10,7,FALSE)</f>
        <v>Easy to blast</v>
      </c>
      <c r="AK733" s="18">
        <f>+VLOOKUP(AJ733,Leyenda!$U$4:$V$10,2,FALSE)</f>
        <v>3</v>
      </c>
      <c r="AL733" s="6"/>
      <c r="AM733" s="3" t="s">
        <v>27</v>
      </c>
      <c r="AN733" s="18" t="s">
        <v>64</v>
      </c>
      <c r="AO733" s="18" t="s">
        <v>79</v>
      </c>
      <c r="AP733" s="18" t="s">
        <v>100</v>
      </c>
      <c r="AQ733" s="18" t="s">
        <v>105</v>
      </c>
      <c r="AR733" s="18" t="s">
        <v>118</v>
      </c>
      <c r="AS733" s="18" t="s">
        <v>267</v>
      </c>
      <c r="AT733" s="18"/>
      <c r="AU733" s="6"/>
      <c r="AV733" s="36">
        <f>+VLOOKUP(AN733,Leyenda!$B$30:$E$34,3,FALSE)</f>
        <v>2</v>
      </c>
      <c r="AW733" s="36">
        <f>+VLOOKUP('2. Logging Brejo Seco'!AO733,Meteorizacion,3,FALSE)</f>
        <v>1</v>
      </c>
      <c r="AX733" s="36">
        <f>+VLOOKUP('2. Logging Brejo Seco'!AP733,Apertura,3,FALSE)</f>
        <v>0</v>
      </c>
      <c r="AY733" s="36">
        <f>+VLOOKUP('2. Logging Brejo Seco'!AQ733,Leyenda!$B$55:$D$59,3,FALSE)</f>
        <v>4</v>
      </c>
      <c r="AZ733" s="36">
        <f>+VLOOKUP('2. Logging Brejo Seco'!AR733,Relleno,3,FALSE)</f>
        <v>2</v>
      </c>
      <c r="BA733" s="36">
        <f t="shared" si="275"/>
        <v>9</v>
      </c>
      <c r="BB733" s="50">
        <f t="shared" si="276"/>
        <v>3</v>
      </c>
      <c r="BC733" s="49">
        <f>VLOOKUP(AH733,Leyenda!$B$4:$D$10,3,FALSE)</f>
        <v>4</v>
      </c>
      <c r="BD733" s="50">
        <f t="shared" si="277"/>
        <v>7</v>
      </c>
      <c r="BE733" s="50">
        <f t="shared" si="278"/>
        <v>9</v>
      </c>
      <c r="BF733" s="50">
        <f>VLOOKUP(AS733,Leyenda!$B$70:$D$75,3,FALSE)</f>
        <v>15</v>
      </c>
      <c r="BG733" s="110">
        <f t="shared" si="279"/>
        <v>20.166666666666679</v>
      </c>
      <c r="BH733" s="110">
        <f>VLOOKUP(AG733,Leyenda!$B$4:$E$10,4,FALSE)</f>
        <v>4</v>
      </c>
      <c r="BI733" s="67">
        <f t="shared" si="280"/>
        <v>8</v>
      </c>
      <c r="BJ733" s="110">
        <f t="shared" si="281"/>
        <v>3</v>
      </c>
      <c r="BK733" s="110">
        <f>+VLOOKUP('2. Logging Brejo Seco'!AP733,Leyenda!$B$47:$E$51,4,FALSE)</f>
        <v>0</v>
      </c>
      <c r="BL733" s="110">
        <f>+VLOOKUP('2. Logging Brejo Seco'!AQ733,Leyenda!$B$55:$E$59,4,FALSE)</f>
        <v>4</v>
      </c>
      <c r="BM733" s="110">
        <f>+VLOOKUP('2. Logging Brejo Seco'!AR733,Leyenda!$B$63:$E$67,3,FALSE)</f>
        <v>2</v>
      </c>
      <c r="BN733" s="110">
        <f>+VLOOKUP('2. Logging Brejo Seco'!AO733,Leyenda!$B$39:$E$43,4,FALSE)</f>
        <v>1</v>
      </c>
      <c r="BO733" s="110">
        <f>+VLOOKUP('2. Logging Brejo Seco'!AN733,Leyenda!$B$30:$E$34,4,FALSE)</f>
        <v>3</v>
      </c>
      <c r="BP733" s="110">
        <f>VLOOKUP(AS733,Leyenda!$B$71:$E$75,4,FALSE)</f>
        <v>10</v>
      </c>
      <c r="BQ733" s="110">
        <f t="shared" si="282"/>
        <v>35</v>
      </c>
      <c r="BR733" s="36">
        <f t="shared" si="283"/>
        <v>38</v>
      </c>
      <c r="BS733" s="240">
        <f t="shared" si="287"/>
        <v>0.29000000000000004</v>
      </c>
      <c r="BT733" s="6"/>
    </row>
    <row r="734" spans="1:72" x14ac:dyDescent="0.25">
      <c r="A734" s="18" t="s">
        <v>6</v>
      </c>
      <c r="B734" s="18">
        <v>2024</v>
      </c>
      <c r="C734" s="18" t="s">
        <v>138</v>
      </c>
      <c r="D734" s="18" t="s">
        <v>658</v>
      </c>
      <c r="E734" s="18">
        <v>30</v>
      </c>
      <c r="F734" s="191">
        <v>30</v>
      </c>
      <c r="G734" s="18" t="s">
        <v>152</v>
      </c>
      <c r="H734" s="3">
        <v>40</v>
      </c>
      <c r="I734" s="3" t="s">
        <v>757</v>
      </c>
      <c r="J734" s="3"/>
      <c r="K734" s="18">
        <f>+L733</f>
        <v>54.03</v>
      </c>
      <c r="L734" s="18">
        <v>55.03</v>
      </c>
      <c r="M734" s="4">
        <f t="shared" si="289"/>
        <v>1</v>
      </c>
      <c r="N734" s="113">
        <f t="shared" ref="N734:N735" si="292">+P734/M735</f>
        <v>0.70000000000000251</v>
      </c>
      <c r="O734" s="5">
        <f t="shared" si="286"/>
        <v>0.29999999999999749</v>
      </c>
      <c r="P734" s="19">
        <v>0.28000000000000003</v>
      </c>
      <c r="T734" s="19">
        <v>0.57999999999999996</v>
      </c>
      <c r="U734" s="3">
        <v>0.13</v>
      </c>
      <c r="V734" s="203">
        <f t="shared" si="291"/>
        <v>13</v>
      </c>
      <c r="Y734" s="19">
        <v>8</v>
      </c>
      <c r="Z734" s="31">
        <f t="shared" si="288"/>
        <v>125</v>
      </c>
      <c r="AA734" s="6"/>
      <c r="AB734" s="6"/>
      <c r="AC734" s="6"/>
      <c r="AD734" s="6"/>
      <c r="AE734" s="6"/>
      <c r="AF734" s="6"/>
      <c r="AG734" s="3" t="s">
        <v>27</v>
      </c>
      <c r="AH734" s="3" t="s">
        <v>27</v>
      </c>
      <c r="AI734" s="18" t="str">
        <f>+VLOOKUP(AH734,Leyenda!$O$4:$U$10,6,FALSE)</f>
        <v>0,35-0,50</v>
      </c>
      <c r="AJ734" s="18" t="str">
        <f>+VLOOKUP(AG734,Leyenda!$O$4:$U$10,7,FALSE)</f>
        <v>Easy to blast</v>
      </c>
      <c r="AK734" s="18">
        <f>+VLOOKUP(AJ734,Leyenda!$U$4:$V$10,2,FALSE)</f>
        <v>3</v>
      </c>
      <c r="AL734" s="6"/>
      <c r="AM734" s="3" t="s">
        <v>27</v>
      </c>
      <c r="AN734" s="18" t="s">
        <v>64</v>
      </c>
      <c r="AO734" s="18" t="s">
        <v>79</v>
      </c>
      <c r="AP734" s="18" t="s">
        <v>100</v>
      </c>
      <c r="AQ734" s="18" t="s">
        <v>109</v>
      </c>
      <c r="AR734" s="18" t="s">
        <v>120</v>
      </c>
      <c r="AS734" s="18" t="s">
        <v>267</v>
      </c>
      <c r="AT734" s="18"/>
      <c r="AU734" s="6"/>
      <c r="AV734" s="36">
        <f>+VLOOKUP(AN734,Leyenda!$B$30:$E$34,3,FALSE)</f>
        <v>2</v>
      </c>
      <c r="AW734" s="36">
        <f>+VLOOKUP('2. Logging Brejo Seco'!AO734,Meteorizacion,3,FALSE)</f>
        <v>1</v>
      </c>
      <c r="AX734" s="36">
        <f>+VLOOKUP('2. Logging Brejo Seco'!AP734,Apertura,3,FALSE)</f>
        <v>0</v>
      </c>
      <c r="AY734" s="36">
        <f>+VLOOKUP('2. Logging Brejo Seco'!AQ734,Leyenda!$B$55:$D$59,3,FALSE)</f>
        <v>1</v>
      </c>
      <c r="AZ734" s="36">
        <f>+VLOOKUP('2. Logging Brejo Seco'!AR734,Relleno,3,FALSE)</f>
        <v>2</v>
      </c>
      <c r="BA734" s="36">
        <f t="shared" si="275"/>
        <v>6</v>
      </c>
      <c r="BB734" s="50">
        <f t="shared" si="276"/>
        <v>3</v>
      </c>
      <c r="BC734" s="49">
        <f>VLOOKUP(AH734,Leyenda!$B$4:$D$10,3,FALSE)</f>
        <v>4</v>
      </c>
      <c r="BD734" s="50">
        <f t="shared" si="277"/>
        <v>8</v>
      </c>
      <c r="BE734" s="50">
        <f t="shared" si="278"/>
        <v>6</v>
      </c>
      <c r="BF734" s="50">
        <f>VLOOKUP(AS734,Leyenda!$B$70:$D$75,3,FALSE)</f>
        <v>15</v>
      </c>
      <c r="BG734" s="110">
        <f t="shared" si="279"/>
        <v>15.5</v>
      </c>
      <c r="BH734" s="110">
        <f>VLOOKUP(AG734,Leyenda!$B$4:$E$10,4,FALSE)</f>
        <v>4</v>
      </c>
      <c r="BI734" s="67">
        <f t="shared" si="280"/>
        <v>10</v>
      </c>
      <c r="BJ734" s="110">
        <f t="shared" si="281"/>
        <v>3</v>
      </c>
      <c r="BK734" s="110">
        <f>+VLOOKUP('2. Logging Brejo Seco'!AP734,Leyenda!$B$47:$E$51,4,FALSE)</f>
        <v>0</v>
      </c>
      <c r="BL734" s="110">
        <f>+VLOOKUP('2. Logging Brejo Seco'!AQ734,Leyenda!$B$55:$E$59,4,FALSE)</f>
        <v>1</v>
      </c>
      <c r="BM734" s="110">
        <f>+VLOOKUP('2. Logging Brejo Seco'!AR734,Leyenda!$B$63:$E$67,3,FALSE)</f>
        <v>2</v>
      </c>
      <c r="BN734" s="110">
        <f>+VLOOKUP('2. Logging Brejo Seco'!AO734,Leyenda!$B$39:$E$43,4,FALSE)</f>
        <v>1</v>
      </c>
      <c r="BO734" s="110">
        <f>+VLOOKUP('2. Logging Brejo Seco'!AN734,Leyenda!$B$30:$E$34,4,FALSE)</f>
        <v>3</v>
      </c>
      <c r="BP734" s="110">
        <f>VLOOKUP(AS734,Leyenda!$B$71:$E$75,4,FALSE)</f>
        <v>10</v>
      </c>
      <c r="BQ734" s="110">
        <f t="shared" si="282"/>
        <v>34</v>
      </c>
      <c r="BR734" s="36">
        <f t="shared" si="283"/>
        <v>36</v>
      </c>
      <c r="BS734" s="240">
        <f t="shared" si="287"/>
        <v>0.29999999999999749</v>
      </c>
      <c r="BT734" s="6"/>
    </row>
    <row r="735" spans="1:72" x14ac:dyDescent="0.25">
      <c r="A735" s="18" t="s">
        <v>6</v>
      </c>
      <c r="B735" s="18">
        <v>2024</v>
      </c>
      <c r="C735" s="18" t="s">
        <v>138</v>
      </c>
      <c r="D735" s="18" t="s">
        <v>658</v>
      </c>
      <c r="E735" s="18">
        <v>30</v>
      </c>
      <c r="F735" s="191">
        <v>30</v>
      </c>
      <c r="G735" s="18" t="s">
        <v>152</v>
      </c>
      <c r="H735" s="3">
        <v>40</v>
      </c>
      <c r="I735" s="3" t="s">
        <v>757</v>
      </c>
      <c r="J735" s="3"/>
      <c r="K735" s="18">
        <f t="shared" si="285"/>
        <v>55.03</v>
      </c>
      <c r="L735" s="18">
        <v>55.43</v>
      </c>
      <c r="M735" s="4">
        <f t="shared" si="289"/>
        <v>0.39999999999999858</v>
      </c>
      <c r="N735" s="113">
        <f t="shared" si="292"/>
        <v>0.57999999999999996</v>
      </c>
      <c r="O735" s="5">
        <f t="shared" si="286"/>
        <v>0.42000000000000004</v>
      </c>
      <c r="P735" s="3">
        <v>0.28999999999999998</v>
      </c>
      <c r="Q735" s="6"/>
      <c r="R735" s="6"/>
      <c r="S735" s="6"/>
      <c r="T735" s="3">
        <v>0.28999999999999998</v>
      </c>
      <c r="U735" s="3">
        <v>0</v>
      </c>
      <c r="V735" s="203">
        <f t="shared" si="291"/>
        <v>0</v>
      </c>
      <c r="W735" s="3"/>
      <c r="X735" s="3"/>
      <c r="Y735" s="3">
        <v>20</v>
      </c>
      <c r="Z735" s="31">
        <f t="shared" si="288"/>
        <v>19.999999999999929</v>
      </c>
      <c r="AA735" s="6"/>
      <c r="AB735" s="6"/>
      <c r="AC735" s="6"/>
      <c r="AD735" s="6"/>
      <c r="AE735" s="6"/>
      <c r="AF735" s="6"/>
      <c r="AG735" s="3" t="s">
        <v>27</v>
      </c>
      <c r="AH735" s="3" t="s">
        <v>27</v>
      </c>
      <c r="AI735" s="18" t="str">
        <f>+VLOOKUP(AH735,Leyenda!$O$4:$U$10,6,FALSE)</f>
        <v>0,35-0,50</v>
      </c>
      <c r="AJ735" s="18" t="str">
        <f>+VLOOKUP(AG735,Leyenda!$O$4:$U$10,7,FALSE)</f>
        <v>Easy to blast</v>
      </c>
      <c r="AK735" s="18">
        <f>+VLOOKUP(AJ735,Leyenda!$U$4:$V$10,2,FALSE)</f>
        <v>3</v>
      </c>
      <c r="AL735" s="6"/>
      <c r="AM735" s="3" t="s">
        <v>27</v>
      </c>
      <c r="AN735" s="18" t="s">
        <v>66</v>
      </c>
      <c r="AO735" s="18" t="s">
        <v>79</v>
      </c>
      <c r="AP735" s="18" t="s">
        <v>100</v>
      </c>
      <c r="AQ735" s="18" t="s">
        <v>109</v>
      </c>
      <c r="AR735" s="18" t="s">
        <v>120</v>
      </c>
      <c r="AS735" s="18" t="s">
        <v>267</v>
      </c>
      <c r="AT735" s="18"/>
      <c r="AU735" s="6"/>
      <c r="AV735" s="36">
        <f>+VLOOKUP(AN735,Leyenda!$B$30:$E$34,3,FALSE)</f>
        <v>1</v>
      </c>
      <c r="AW735" s="36">
        <f>+VLOOKUP('2. Logging Brejo Seco'!AO735,Meteorizacion,3,FALSE)</f>
        <v>1</v>
      </c>
      <c r="AX735" s="36">
        <f>+VLOOKUP('2. Logging Brejo Seco'!AP735,Apertura,3,FALSE)</f>
        <v>0</v>
      </c>
      <c r="AY735" s="36">
        <f>+VLOOKUP('2. Logging Brejo Seco'!AQ735,Leyenda!$B$55:$D$59,3,FALSE)</f>
        <v>1</v>
      </c>
      <c r="AZ735" s="36">
        <f>+VLOOKUP('2. Logging Brejo Seco'!AR735,Relleno,3,FALSE)</f>
        <v>2</v>
      </c>
      <c r="BA735" s="36">
        <f t="shared" si="275"/>
        <v>5</v>
      </c>
      <c r="BB735" s="50">
        <f t="shared" si="276"/>
        <v>0</v>
      </c>
      <c r="BC735" s="49">
        <f>VLOOKUP(AH735,Leyenda!$B$4:$D$10,3,FALSE)</f>
        <v>4</v>
      </c>
      <c r="BD735" s="50">
        <f t="shared" si="277"/>
        <v>4</v>
      </c>
      <c r="BE735" s="50">
        <f t="shared" si="278"/>
        <v>5</v>
      </c>
      <c r="BF735" s="50">
        <f>VLOOKUP(AS735,Leyenda!$B$70:$D$75,3,FALSE)</f>
        <v>15</v>
      </c>
      <c r="BG735" s="110">
        <f t="shared" si="279"/>
        <v>7.5</v>
      </c>
      <c r="BH735" s="110">
        <f>VLOOKUP(AG735,Leyenda!$B$4:$E$10,4,FALSE)</f>
        <v>4</v>
      </c>
      <c r="BI735" s="67">
        <f t="shared" si="280"/>
        <v>5</v>
      </c>
      <c r="BJ735" s="110">
        <f t="shared" si="281"/>
        <v>0</v>
      </c>
      <c r="BK735" s="110">
        <f>+VLOOKUP('2. Logging Brejo Seco'!AP735,Leyenda!$B$47:$E$51,4,FALSE)</f>
        <v>0</v>
      </c>
      <c r="BL735" s="110">
        <f>+VLOOKUP('2. Logging Brejo Seco'!AQ735,Leyenda!$B$55:$E$59,4,FALSE)</f>
        <v>1</v>
      </c>
      <c r="BM735" s="110">
        <f>+VLOOKUP('2. Logging Brejo Seco'!AR735,Leyenda!$B$63:$E$67,3,FALSE)</f>
        <v>2</v>
      </c>
      <c r="BN735" s="110">
        <f>+VLOOKUP('2. Logging Brejo Seco'!AO735,Leyenda!$B$39:$E$43,4,FALSE)</f>
        <v>1</v>
      </c>
      <c r="BO735" s="110">
        <f>+VLOOKUP('2. Logging Brejo Seco'!AN735,Leyenda!$B$30:$E$34,4,FALSE)</f>
        <v>1</v>
      </c>
      <c r="BP735" s="110">
        <f>VLOOKUP(AS735,Leyenda!$B$71:$E$75,4,FALSE)</f>
        <v>10</v>
      </c>
      <c r="BQ735" s="110">
        <f t="shared" si="282"/>
        <v>24</v>
      </c>
      <c r="BR735" s="36">
        <f t="shared" si="283"/>
        <v>28</v>
      </c>
      <c r="BS735" s="240">
        <f t="shared" si="287"/>
        <v>0.42000000000000004</v>
      </c>
      <c r="BT735" s="6"/>
    </row>
    <row r="736" spans="1:72" x14ac:dyDescent="0.25">
      <c r="A736" s="18" t="s">
        <v>6</v>
      </c>
      <c r="B736" s="18">
        <v>2024</v>
      </c>
      <c r="C736" s="18" t="s">
        <v>138</v>
      </c>
      <c r="D736" s="18" t="s">
        <v>658</v>
      </c>
      <c r="E736" s="18">
        <v>30</v>
      </c>
      <c r="F736" s="191">
        <v>30</v>
      </c>
      <c r="G736" s="18" t="s">
        <v>152</v>
      </c>
      <c r="H736" s="3">
        <v>40</v>
      </c>
      <c r="I736" s="3" t="s">
        <v>757</v>
      </c>
      <c r="J736" s="3"/>
      <c r="K736" s="18">
        <f t="shared" si="285"/>
        <v>55.43</v>
      </c>
      <c r="L736" s="18">
        <v>55.93</v>
      </c>
      <c r="M736" s="4">
        <f t="shared" si="289"/>
        <v>0.5</v>
      </c>
      <c r="N736" s="113">
        <f t="shared" si="290"/>
        <v>0.62</v>
      </c>
      <c r="O736" s="5">
        <f t="shared" si="286"/>
        <v>0.38</v>
      </c>
      <c r="P736" s="3">
        <v>0.31</v>
      </c>
      <c r="Q736" s="6"/>
      <c r="R736" s="6"/>
      <c r="S736" s="6"/>
      <c r="T736" s="3">
        <f>0.1+0.21</f>
        <v>0.31</v>
      </c>
      <c r="U736" s="3">
        <v>0</v>
      </c>
      <c r="V736" s="203">
        <f t="shared" si="291"/>
        <v>0</v>
      </c>
      <c r="W736" s="3"/>
      <c r="X736" s="3"/>
      <c r="Y736" s="3">
        <v>20</v>
      </c>
      <c r="Z736" s="31">
        <f t="shared" si="288"/>
        <v>25</v>
      </c>
      <c r="AA736" s="6"/>
      <c r="AB736" s="6"/>
      <c r="AC736" s="6"/>
      <c r="AD736" s="6"/>
      <c r="AE736" s="6"/>
      <c r="AF736" s="6"/>
      <c r="AG736" s="3" t="s">
        <v>29</v>
      </c>
      <c r="AH736" s="3" t="s">
        <v>29</v>
      </c>
      <c r="AI736" s="18" t="str">
        <f>+VLOOKUP(AH736,Leyenda!$O$4:$U$10,6,FALSE)</f>
        <v>0,25-0,35</v>
      </c>
      <c r="AJ736" s="18" t="str">
        <f>+VLOOKUP(AG736,Leyenda!$O$4:$U$10,7,FALSE)</f>
        <v>No Blasting need</v>
      </c>
      <c r="AK736" s="18">
        <f>+VLOOKUP(AJ736,Leyenda!$U$4:$V$10,2,FALSE)</f>
        <v>2</v>
      </c>
      <c r="AL736" s="6"/>
      <c r="AM736" s="18" t="s">
        <v>29</v>
      </c>
      <c r="AN736" s="18" t="s">
        <v>66</v>
      </c>
      <c r="AO736" s="18" t="s">
        <v>79</v>
      </c>
      <c r="AP736" s="18" t="s">
        <v>100</v>
      </c>
      <c r="AQ736" s="18" t="s">
        <v>107</v>
      </c>
      <c r="AR736" s="18" t="s">
        <v>120</v>
      </c>
      <c r="AS736" s="18" t="s">
        <v>267</v>
      </c>
      <c r="AT736" s="18"/>
      <c r="AU736" s="6"/>
      <c r="AV736" s="36">
        <f>+VLOOKUP(AN736,Leyenda!$B$30:$E$34,3,FALSE)</f>
        <v>1</v>
      </c>
      <c r="AW736" s="36">
        <f>+VLOOKUP('2. Logging Brejo Seco'!AO736,Meteorizacion,3,FALSE)</f>
        <v>1</v>
      </c>
      <c r="AX736" s="36">
        <f>+VLOOKUP('2. Logging Brejo Seco'!AP736,Apertura,3,FALSE)</f>
        <v>0</v>
      </c>
      <c r="AY736" s="36">
        <f>+VLOOKUP('2. Logging Brejo Seco'!AQ736,Leyenda!$B$55:$D$59,3,FALSE)</f>
        <v>3</v>
      </c>
      <c r="AZ736" s="36">
        <f>+VLOOKUP('2. Logging Brejo Seco'!AR736,Relleno,3,FALSE)</f>
        <v>2</v>
      </c>
      <c r="BA736" s="36">
        <f t="shared" si="275"/>
        <v>7</v>
      </c>
      <c r="BB736" s="50">
        <f t="shared" si="276"/>
        <v>0</v>
      </c>
      <c r="BC736" s="49">
        <f>VLOOKUP(AH736,Leyenda!$B$4:$D$10,3,FALSE)</f>
        <v>2</v>
      </c>
      <c r="BD736" s="50">
        <f t="shared" si="277"/>
        <v>5</v>
      </c>
      <c r="BE736" s="50">
        <f t="shared" si="278"/>
        <v>7</v>
      </c>
      <c r="BF736" s="50">
        <f>VLOOKUP(AS736,Leyenda!$B$70:$D$75,3,FALSE)</f>
        <v>15</v>
      </c>
      <c r="BG736" s="110">
        <f t="shared" si="279"/>
        <v>10.5</v>
      </c>
      <c r="BH736" s="110">
        <f>VLOOKUP(AG736,Leyenda!$B$4:$E$10,4,FALSE)</f>
        <v>2</v>
      </c>
      <c r="BI736" s="67">
        <f t="shared" si="280"/>
        <v>5</v>
      </c>
      <c r="BJ736" s="110">
        <f t="shared" si="281"/>
        <v>0</v>
      </c>
      <c r="BK736" s="110">
        <f>+VLOOKUP('2. Logging Brejo Seco'!AP736,Leyenda!$B$47:$E$51,4,FALSE)</f>
        <v>0</v>
      </c>
      <c r="BL736" s="110">
        <f>+VLOOKUP('2. Logging Brejo Seco'!AQ736,Leyenda!$B$55:$E$59,4,FALSE)</f>
        <v>3</v>
      </c>
      <c r="BM736" s="110">
        <f>+VLOOKUP('2. Logging Brejo Seco'!AR736,Leyenda!$B$63:$E$67,3,FALSE)</f>
        <v>2</v>
      </c>
      <c r="BN736" s="110">
        <f>+VLOOKUP('2. Logging Brejo Seco'!AO736,Leyenda!$B$39:$E$43,4,FALSE)</f>
        <v>1</v>
      </c>
      <c r="BO736" s="110">
        <f>+VLOOKUP('2. Logging Brejo Seco'!AN736,Leyenda!$B$30:$E$34,4,FALSE)</f>
        <v>1</v>
      </c>
      <c r="BP736" s="110">
        <f>VLOOKUP(AS736,Leyenda!$B$71:$E$75,4,FALSE)</f>
        <v>10</v>
      </c>
      <c r="BQ736" s="110">
        <f t="shared" si="282"/>
        <v>24</v>
      </c>
      <c r="BR736" s="36">
        <f t="shared" si="283"/>
        <v>29</v>
      </c>
      <c r="BS736" s="240">
        <f t="shared" si="287"/>
        <v>0.38</v>
      </c>
      <c r="BT736" s="6"/>
    </row>
    <row r="737" spans="1:110" x14ac:dyDescent="0.25">
      <c r="A737" s="18" t="s">
        <v>6</v>
      </c>
      <c r="B737" s="18">
        <v>2024</v>
      </c>
      <c r="C737" s="18" t="s">
        <v>138</v>
      </c>
      <c r="D737" s="18" t="s">
        <v>658</v>
      </c>
      <c r="E737" s="18">
        <v>30</v>
      </c>
      <c r="F737" s="191">
        <v>30</v>
      </c>
      <c r="G737" s="18" t="s">
        <v>152</v>
      </c>
      <c r="H737" s="3">
        <v>40</v>
      </c>
      <c r="I737" s="3" t="s">
        <v>757</v>
      </c>
      <c r="J737" s="3"/>
      <c r="K737" s="18">
        <f t="shared" si="285"/>
        <v>55.93</v>
      </c>
      <c r="L737" s="18">
        <v>56.98</v>
      </c>
      <c r="M737" s="4">
        <f t="shared" si="289"/>
        <v>1.0499999999999972</v>
      </c>
      <c r="N737" s="113">
        <f t="shared" si="290"/>
        <v>0.51428571428571568</v>
      </c>
      <c r="O737" s="5">
        <f t="shared" si="286"/>
        <v>0.48571428571428432</v>
      </c>
      <c r="P737" s="3">
        <v>0.54</v>
      </c>
      <c r="Q737" s="6"/>
      <c r="R737" s="6"/>
      <c r="S737" s="6"/>
      <c r="T737" s="3">
        <v>0.54</v>
      </c>
      <c r="U737" s="3">
        <v>0.11</v>
      </c>
      <c r="V737" s="203">
        <f t="shared" si="291"/>
        <v>10.476190476190505</v>
      </c>
      <c r="W737" s="3"/>
      <c r="X737" s="3"/>
      <c r="Y737" s="3">
        <v>9</v>
      </c>
      <c r="Z737" s="31">
        <f t="shared" si="288"/>
        <v>116.66666666666636</v>
      </c>
      <c r="AA737" s="6"/>
      <c r="AB737" s="6"/>
      <c r="AC737" s="6"/>
      <c r="AD737" s="6"/>
      <c r="AE737" s="6"/>
      <c r="AF737" s="6"/>
      <c r="AG737" s="3" t="s">
        <v>29</v>
      </c>
      <c r="AH737" s="3" t="s">
        <v>29</v>
      </c>
      <c r="AI737" s="18" t="str">
        <f>+VLOOKUP(AH737,Leyenda!$O$4:$U$10,6,FALSE)</f>
        <v>0,25-0,35</v>
      </c>
      <c r="AJ737" s="18" t="str">
        <f>+VLOOKUP(AG737,Leyenda!$O$4:$U$10,7,FALSE)</f>
        <v>No Blasting need</v>
      </c>
      <c r="AK737" s="18">
        <f>+VLOOKUP(AJ737,Leyenda!$U$4:$V$10,2,FALSE)</f>
        <v>2</v>
      </c>
      <c r="AL737" s="6"/>
      <c r="AM737" s="18" t="s">
        <v>29</v>
      </c>
      <c r="AN737" s="18" t="s">
        <v>69</v>
      </c>
      <c r="AO737" s="18" t="s">
        <v>81</v>
      </c>
      <c r="AP737" s="18" t="s">
        <v>100</v>
      </c>
      <c r="AQ737" s="18" t="s">
        <v>109</v>
      </c>
      <c r="AR737" s="18" t="s">
        <v>122</v>
      </c>
      <c r="AS737" s="18" t="s">
        <v>267</v>
      </c>
      <c r="AT737" s="18"/>
      <c r="AU737" s="6"/>
      <c r="AV737" s="36">
        <f>+VLOOKUP(AN737,Leyenda!$B$30:$E$34,3,FALSE)</f>
        <v>0</v>
      </c>
      <c r="AW737" s="36">
        <f>+VLOOKUP('2. Logging Brejo Seco'!AO737,Meteorizacion,3,FALSE)</f>
        <v>0</v>
      </c>
      <c r="AX737" s="36">
        <f>+VLOOKUP('2. Logging Brejo Seco'!AP737,Apertura,3,FALSE)</f>
        <v>0</v>
      </c>
      <c r="AY737" s="36">
        <f>+VLOOKUP('2. Logging Brejo Seco'!AQ737,Leyenda!$B$55:$D$59,3,FALSE)</f>
        <v>1</v>
      </c>
      <c r="AZ737" s="36">
        <f>+VLOOKUP('2. Logging Brejo Seco'!AR737,Relleno,3,FALSE)</f>
        <v>0</v>
      </c>
      <c r="BA737" s="36">
        <f t="shared" si="275"/>
        <v>1</v>
      </c>
      <c r="BB737" s="50">
        <f t="shared" si="276"/>
        <v>2</v>
      </c>
      <c r="BC737" s="49">
        <f>VLOOKUP(AH737,Leyenda!$B$4:$D$10,3,FALSE)</f>
        <v>2</v>
      </c>
      <c r="BD737" s="50">
        <f t="shared" si="277"/>
        <v>8</v>
      </c>
      <c r="BE737" s="50">
        <f t="shared" si="278"/>
        <v>1</v>
      </c>
      <c r="BF737" s="50">
        <f>VLOOKUP(AS737,Leyenda!$B$70:$D$75,3,FALSE)</f>
        <v>15</v>
      </c>
      <c r="BG737" s="110">
        <f t="shared" si="279"/>
        <v>6.7380952380952523</v>
      </c>
      <c r="BH737" s="110">
        <f>VLOOKUP(AG737,Leyenda!$B$4:$E$10,4,FALSE)</f>
        <v>2</v>
      </c>
      <c r="BI737" s="67">
        <f t="shared" si="280"/>
        <v>9</v>
      </c>
      <c r="BJ737" s="110">
        <f t="shared" si="281"/>
        <v>2</v>
      </c>
      <c r="BK737" s="110">
        <f>+VLOOKUP('2. Logging Brejo Seco'!AP737,Leyenda!$B$47:$E$51,4,FALSE)</f>
        <v>0</v>
      </c>
      <c r="BL737" s="110">
        <f>+VLOOKUP('2. Logging Brejo Seco'!AQ737,Leyenda!$B$55:$E$59,4,FALSE)</f>
        <v>1</v>
      </c>
      <c r="BM737" s="110">
        <f>+VLOOKUP('2. Logging Brejo Seco'!AR737,Leyenda!$B$63:$E$67,3,FALSE)</f>
        <v>0</v>
      </c>
      <c r="BN737" s="110">
        <f>+VLOOKUP('2. Logging Brejo Seco'!AO737,Leyenda!$B$39:$E$43,4,FALSE)</f>
        <v>0</v>
      </c>
      <c r="BO737" s="110">
        <f>+VLOOKUP('2. Logging Brejo Seco'!AN737,Leyenda!$B$30:$E$34,4,FALSE)</f>
        <v>0</v>
      </c>
      <c r="BP737" s="110">
        <f>VLOOKUP(AS737,Leyenda!$B$71:$E$75,4,FALSE)</f>
        <v>10</v>
      </c>
      <c r="BQ737" s="110">
        <f t="shared" si="282"/>
        <v>24</v>
      </c>
      <c r="BR737" s="36">
        <f t="shared" si="283"/>
        <v>28</v>
      </c>
      <c r="BS737" s="240">
        <f t="shared" si="287"/>
        <v>0.48571428571428432</v>
      </c>
      <c r="BT737" s="6"/>
    </row>
    <row r="738" spans="1:110" x14ac:dyDescent="0.25">
      <c r="A738" s="18" t="s">
        <v>6</v>
      </c>
      <c r="B738" s="18">
        <v>2024</v>
      </c>
      <c r="C738" s="18" t="s">
        <v>138</v>
      </c>
      <c r="D738" s="18" t="s">
        <v>658</v>
      </c>
      <c r="E738" s="18">
        <v>30</v>
      </c>
      <c r="F738" s="191">
        <v>30</v>
      </c>
      <c r="G738" s="18" t="s">
        <v>152</v>
      </c>
      <c r="H738" s="3">
        <v>40</v>
      </c>
      <c r="I738" s="3" t="s">
        <v>757</v>
      </c>
      <c r="J738" s="3"/>
      <c r="K738" s="18">
        <f t="shared" si="285"/>
        <v>56.98</v>
      </c>
      <c r="L738" s="183">
        <v>57.08</v>
      </c>
      <c r="M738" s="4">
        <f t="shared" si="289"/>
        <v>0.10000000000000142</v>
      </c>
      <c r="N738" s="113">
        <f t="shared" si="290"/>
        <v>0.99999999999998579</v>
      </c>
      <c r="O738" s="5">
        <f t="shared" si="286"/>
        <v>1.4210854715202004E-14</v>
      </c>
      <c r="P738" s="18">
        <v>0.1</v>
      </c>
      <c r="Q738" s="182"/>
      <c r="R738" s="182"/>
      <c r="S738" s="182"/>
      <c r="T738" s="183">
        <v>0.1</v>
      </c>
      <c r="U738" s="183">
        <v>0</v>
      </c>
      <c r="V738" s="203">
        <f t="shared" si="291"/>
        <v>0</v>
      </c>
      <c r="W738" s="183"/>
      <c r="X738" s="183"/>
      <c r="Y738" s="183">
        <v>20</v>
      </c>
      <c r="Z738" s="31">
        <f t="shared" si="288"/>
        <v>5.0000000000000711</v>
      </c>
      <c r="AA738" s="6"/>
      <c r="AB738" s="6"/>
      <c r="AC738" s="6"/>
      <c r="AD738" s="6"/>
      <c r="AE738" s="6"/>
      <c r="AF738" s="6"/>
      <c r="AG738" s="3" t="s">
        <v>29</v>
      </c>
      <c r="AH738" s="3" t="s">
        <v>29</v>
      </c>
      <c r="AI738" s="18" t="str">
        <f>+VLOOKUP(AH738,Leyenda!$O$4:$U$10,6,FALSE)</f>
        <v>0,25-0,35</v>
      </c>
      <c r="AJ738" s="18" t="str">
        <f>+VLOOKUP(AG738,Leyenda!$O$4:$U$10,7,FALSE)</f>
        <v>No Blasting need</v>
      </c>
      <c r="AK738" s="18">
        <f>+VLOOKUP(AJ738,Leyenda!$U$4:$V$10,2,FALSE)</f>
        <v>2</v>
      </c>
      <c r="AL738" s="6"/>
      <c r="AM738" s="18" t="s">
        <v>29</v>
      </c>
      <c r="AN738" s="18" t="s">
        <v>66</v>
      </c>
      <c r="AO738" s="18" t="s">
        <v>79</v>
      </c>
      <c r="AP738" s="18" t="s">
        <v>100</v>
      </c>
      <c r="AQ738" s="18" t="s">
        <v>107</v>
      </c>
      <c r="AR738" s="18" t="s">
        <v>120</v>
      </c>
      <c r="AS738" s="18" t="s">
        <v>267</v>
      </c>
      <c r="AT738" s="18"/>
      <c r="AU738" s="6"/>
      <c r="AV738" s="36">
        <f>+VLOOKUP(AN738,Leyenda!$B$30:$E$34,3,FALSE)</f>
        <v>1</v>
      </c>
      <c r="AW738" s="36">
        <f>+VLOOKUP('2. Logging Brejo Seco'!AO738,Meteorizacion,3,FALSE)</f>
        <v>1</v>
      </c>
      <c r="AX738" s="36">
        <f>+VLOOKUP('2. Logging Brejo Seco'!AP738,Apertura,3,FALSE)</f>
        <v>0</v>
      </c>
      <c r="AY738" s="36">
        <f>+VLOOKUP('2. Logging Brejo Seco'!AQ738,Leyenda!$B$55:$D$59,3,FALSE)</f>
        <v>3</v>
      </c>
      <c r="AZ738" s="36">
        <f>+VLOOKUP('2. Logging Brejo Seco'!AR738,Relleno,3,FALSE)</f>
        <v>2</v>
      </c>
      <c r="BA738" s="36">
        <f t="shared" si="275"/>
        <v>7</v>
      </c>
      <c r="BB738" s="50">
        <f t="shared" si="276"/>
        <v>0</v>
      </c>
      <c r="BC738" s="49">
        <f>VLOOKUP(AH738,Leyenda!$B$4:$D$10,3,FALSE)</f>
        <v>2</v>
      </c>
      <c r="BD738" s="50">
        <f t="shared" si="277"/>
        <v>3</v>
      </c>
      <c r="BE738" s="50">
        <f t="shared" si="278"/>
        <v>7</v>
      </c>
      <c r="BF738" s="50">
        <f>VLOOKUP(AS738,Leyenda!$B$70:$D$75,3,FALSE)</f>
        <v>15</v>
      </c>
      <c r="BG738" s="110">
        <f t="shared" si="279"/>
        <v>10.5</v>
      </c>
      <c r="BH738" s="110">
        <f>VLOOKUP(AG738,Leyenda!$B$4:$E$10,4,FALSE)</f>
        <v>2</v>
      </c>
      <c r="BI738" s="67">
        <f t="shared" si="280"/>
        <v>5</v>
      </c>
      <c r="BJ738" s="110">
        <f t="shared" si="281"/>
        <v>0</v>
      </c>
      <c r="BK738" s="110">
        <f>+VLOOKUP('2. Logging Brejo Seco'!AP738,Leyenda!$B$47:$E$51,4,FALSE)</f>
        <v>0</v>
      </c>
      <c r="BL738" s="110">
        <f>+VLOOKUP('2. Logging Brejo Seco'!AQ738,Leyenda!$B$55:$E$59,4,FALSE)</f>
        <v>3</v>
      </c>
      <c r="BM738" s="110">
        <f>+VLOOKUP('2. Logging Brejo Seco'!AR738,Leyenda!$B$63:$E$67,3,FALSE)</f>
        <v>2</v>
      </c>
      <c r="BN738" s="110">
        <f>+VLOOKUP('2. Logging Brejo Seco'!AO738,Leyenda!$B$39:$E$43,4,FALSE)</f>
        <v>1</v>
      </c>
      <c r="BO738" s="110">
        <f>+VLOOKUP('2. Logging Brejo Seco'!AN738,Leyenda!$B$30:$E$34,4,FALSE)</f>
        <v>1</v>
      </c>
      <c r="BP738" s="110">
        <f>VLOOKUP(AS738,Leyenda!$B$71:$E$75,4,FALSE)</f>
        <v>10</v>
      </c>
      <c r="BQ738" s="110">
        <f t="shared" si="282"/>
        <v>24</v>
      </c>
      <c r="BR738" s="36">
        <f t="shared" si="283"/>
        <v>27</v>
      </c>
      <c r="BS738" s="240">
        <f t="shared" si="287"/>
        <v>1.4210854715202004E-14</v>
      </c>
      <c r="BT738" s="6"/>
    </row>
    <row r="739" spans="1:110" x14ac:dyDescent="0.25">
      <c r="A739" s="18" t="s">
        <v>6</v>
      </c>
      <c r="B739" s="18">
        <v>2024</v>
      </c>
      <c r="C739" s="18" t="s">
        <v>138</v>
      </c>
      <c r="D739" s="18" t="s">
        <v>658</v>
      </c>
      <c r="E739" s="18">
        <v>30</v>
      </c>
      <c r="F739" s="191">
        <v>30</v>
      </c>
      <c r="G739" s="18" t="s">
        <v>152</v>
      </c>
      <c r="H739" s="3">
        <v>40</v>
      </c>
      <c r="I739" s="3" t="s">
        <v>757</v>
      </c>
      <c r="J739" s="3"/>
      <c r="K739" s="18">
        <f t="shared" si="285"/>
        <v>57.08</v>
      </c>
      <c r="L739" s="183">
        <v>57.48</v>
      </c>
      <c r="M739" s="4">
        <f t="shared" si="289"/>
        <v>0.39999999999999858</v>
      </c>
      <c r="N739" s="113">
        <f t="shared" si="290"/>
        <v>0.67500000000000249</v>
      </c>
      <c r="O739" s="5">
        <f t="shared" si="286"/>
        <v>0.32499999999999751</v>
      </c>
      <c r="P739" s="18">
        <v>0.27</v>
      </c>
      <c r="Q739" s="182"/>
      <c r="R739" s="182"/>
      <c r="S739" s="182"/>
      <c r="T739" s="183">
        <v>0.27</v>
      </c>
      <c r="U739" s="183">
        <v>0</v>
      </c>
      <c r="V739" s="203">
        <f t="shared" si="291"/>
        <v>0</v>
      </c>
      <c r="W739" s="183"/>
      <c r="X739" s="183"/>
      <c r="Y739" s="183">
        <v>20</v>
      </c>
      <c r="Z739" s="31">
        <f t="shared" si="288"/>
        <v>19.999999999999929</v>
      </c>
      <c r="AA739" s="6"/>
      <c r="AB739" s="6"/>
      <c r="AC739" s="6"/>
      <c r="AD739" s="6"/>
      <c r="AE739" s="6"/>
      <c r="AF739" s="6"/>
      <c r="AG739" s="3" t="s">
        <v>32</v>
      </c>
      <c r="AH739" s="3" t="s">
        <v>32</v>
      </c>
      <c r="AI739" s="18" t="str">
        <f>+VLOOKUP(AH739,Leyenda!$O$4:$U$10,6,FALSE)</f>
        <v>0,15-0,25</v>
      </c>
      <c r="AJ739" s="18" t="str">
        <f>+VLOOKUP(AG739,Leyenda!$O$4:$U$10,7,FALSE)</f>
        <v>No Blasting need</v>
      </c>
      <c r="AK739" s="18">
        <f>+VLOOKUP(AJ739,Leyenda!$U$4:$V$10,2,FALSE)</f>
        <v>2</v>
      </c>
      <c r="AL739" s="6"/>
      <c r="AM739" s="18" t="s">
        <v>32</v>
      </c>
      <c r="AN739" s="18" t="s">
        <v>69</v>
      </c>
      <c r="AO739" s="18" t="s">
        <v>81</v>
      </c>
      <c r="AP739" s="18" t="s">
        <v>100</v>
      </c>
      <c r="AQ739" s="18" t="s">
        <v>109</v>
      </c>
      <c r="AR739" s="18" t="s">
        <v>122</v>
      </c>
      <c r="AS739" s="18" t="s">
        <v>267</v>
      </c>
      <c r="AT739" s="18"/>
      <c r="AU739" s="6"/>
      <c r="AV739" s="36">
        <f>+VLOOKUP(AN739,Leyenda!$B$30:$E$34,3,FALSE)</f>
        <v>0</v>
      </c>
      <c r="AW739" s="36">
        <f>+VLOOKUP('2. Logging Brejo Seco'!AO739,Meteorizacion,3,FALSE)</f>
        <v>0</v>
      </c>
      <c r="AX739" s="36">
        <f>+VLOOKUP('2. Logging Brejo Seco'!AP739,Apertura,3,FALSE)</f>
        <v>0</v>
      </c>
      <c r="AY739" s="36">
        <f>+VLOOKUP('2. Logging Brejo Seco'!AQ739,Leyenda!$B$55:$D$59,3,FALSE)</f>
        <v>1</v>
      </c>
      <c r="AZ739" s="36">
        <f>+VLOOKUP('2. Logging Brejo Seco'!AR739,Relleno,3,FALSE)</f>
        <v>0</v>
      </c>
      <c r="BA739" s="36">
        <f t="shared" si="275"/>
        <v>1</v>
      </c>
      <c r="BB739" s="50">
        <f t="shared" si="276"/>
        <v>0</v>
      </c>
      <c r="BC739" s="49">
        <f>VLOOKUP(AH739,Leyenda!$B$4:$D$10,3,FALSE)</f>
        <v>1</v>
      </c>
      <c r="BD739" s="50">
        <f t="shared" si="277"/>
        <v>4</v>
      </c>
      <c r="BE739" s="50">
        <f t="shared" si="278"/>
        <v>1</v>
      </c>
      <c r="BF739" s="50">
        <f>VLOOKUP(AS739,Leyenda!$B$70:$D$75,3,FALSE)</f>
        <v>15</v>
      </c>
      <c r="BG739" s="110">
        <f t="shared" si="279"/>
        <v>1.5</v>
      </c>
      <c r="BH739" s="110">
        <f>VLOOKUP(AG739,Leyenda!$B$4:$E$10,4,FALSE)</f>
        <v>1</v>
      </c>
      <c r="BI739" s="67">
        <f t="shared" si="280"/>
        <v>5</v>
      </c>
      <c r="BJ739" s="110">
        <f t="shared" si="281"/>
        <v>0</v>
      </c>
      <c r="BK739" s="110">
        <f>+VLOOKUP('2. Logging Brejo Seco'!AP739,Leyenda!$B$47:$E$51,4,FALSE)</f>
        <v>0</v>
      </c>
      <c r="BL739" s="110">
        <f>+VLOOKUP('2. Logging Brejo Seco'!AQ739,Leyenda!$B$55:$E$59,4,FALSE)</f>
        <v>1</v>
      </c>
      <c r="BM739" s="110">
        <f>+VLOOKUP('2. Logging Brejo Seco'!AR739,Leyenda!$B$63:$E$67,3,FALSE)</f>
        <v>0</v>
      </c>
      <c r="BN739" s="110">
        <f>+VLOOKUP('2. Logging Brejo Seco'!AO739,Leyenda!$B$39:$E$43,4,FALSE)</f>
        <v>0</v>
      </c>
      <c r="BO739" s="110">
        <f>+VLOOKUP('2. Logging Brejo Seco'!AN739,Leyenda!$B$30:$E$34,4,FALSE)</f>
        <v>0</v>
      </c>
      <c r="BP739" s="110">
        <f>VLOOKUP(AS739,Leyenda!$B$71:$E$75,4,FALSE)</f>
        <v>10</v>
      </c>
      <c r="BQ739" s="110">
        <f t="shared" si="282"/>
        <v>17</v>
      </c>
      <c r="BR739" s="36">
        <f t="shared" si="283"/>
        <v>21</v>
      </c>
      <c r="BS739" s="240">
        <f t="shared" si="287"/>
        <v>0.32499999999999751</v>
      </c>
      <c r="BT739" s="6"/>
    </row>
    <row r="740" spans="1:110" x14ac:dyDescent="0.25">
      <c r="A740" s="18" t="s">
        <v>6</v>
      </c>
      <c r="B740" s="18">
        <v>2024</v>
      </c>
      <c r="C740" s="18" t="s">
        <v>138</v>
      </c>
      <c r="D740" s="18" t="s">
        <v>658</v>
      </c>
      <c r="E740" s="18">
        <v>30</v>
      </c>
      <c r="F740" s="191">
        <v>30</v>
      </c>
      <c r="G740" s="18" t="s">
        <v>152</v>
      </c>
      <c r="H740" s="3">
        <v>40</v>
      </c>
      <c r="I740" s="3" t="s">
        <v>757</v>
      </c>
      <c r="J740" s="3"/>
      <c r="K740" s="18">
        <f t="shared" si="285"/>
        <v>57.48</v>
      </c>
      <c r="L740" s="183">
        <v>58.28</v>
      </c>
      <c r="M740" s="4">
        <f t="shared" si="289"/>
        <v>0.80000000000000426</v>
      </c>
      <c r="N740" s="113">
        <f t="shared" si="290"/>
        <v>0.5874999999999968</v>
      </c>
      <c r="O740" s="5">
        <f t="shared" si="286"/>
        <v>0.4125000000000032</v>
      </c>
      <c r="P740" s="18">
        <v>0.47</v>
      </c>
      <c r="Q740" s="182"/>
      <c r="R740" s="182"/>
      <c r="S740" s="182"/>
      <c r="T740" s="183">
        <v>0.47</v>
      </c>
      <c r="U740" s="183">
        <v>0.18</v>
      </c>
      <c r="V740" s="203">
        <f t="shared" si="291"/>
        <v>22.499999999999879</v>
      </c>
      <c r="W740" s="183"/>
      <c r="X740" s="183"/>
      <c r="Y740" s="183">
        <v>15</v>
      </c>
      <c r="Z740" s="31">
        <f t="shared" si="288"/>
        <v>53.33333333333362</v>
      </c>
      <c r="AA740" s="6"/>
      <c r="AB740" s="6"/>
      <c r="AC740" s="6"/>
      <c r="AD740" s="6"/>
      <c r="AE740" s="6"/>
      <c r="AF740" s="6"/>
      <c r="AG740" s="3" t="s">
        <v>32</v>
      </c>
      <c r="AH740" s="3" t="s">
        <v>32</v>
      </c>
      <c r="AI740" s="18" t="str">
        <f>+VLOOKUP(AH740,Leyenda!$O$4:$U$10,6,FALSE)</f>
        <v>0,15-0,25</v>
      </c>
      <c r="AJ740" s="18" t="str">
        <f>+VLOOKUP(AG740,Leyenda!$O$4:$U$10,7,FALSE)</f>
        <v>No Blasting need</v>
      </c>
      <c r="AK740" s="18">
        <f>+VLOOKUP(AJ740,Leyenda!$U$4:$V$10,2,FALSE)</f>
        <v>2</v>
      </c>
      <c r="AL740" s="6"/>
      <c r="AM740" s="18" t="s">
        <v>32</v>
      </c>
      <c r="AN740" s="18" t="s">
        <v>66</v>
      </c>
      <c r="AO740" s="18" t="s">
        <v>79</v>
      </c>
      <c r="AP740" s="18" t="s">
        <v>96</v>
      </c>
      <c r="AQ740" s="18" t="s">
        <v>107</v>
      </c>
      <c r="AR740" s="18" t="s">
        <v>120</v>
      </c>
      <c r="AS740" s="18" t="s">
        <v>267</v>
      </c>
      <c r="AT740" s="18"/>
      <c r="AU740" s="6"/>
      <c r="AV740" s="36">
        <f>+VLOOKUP(AN740,Leyenda!$B$30:$E$34,3,FALSE)</f>
        <v>1</v>
      </c>
      <c r="AW740" s="36">
        <f>+VLOOKUP('2. Logging Brejo Seco'!AO740,Meteorizacion,3,FALSE)</f>
        <v>1</v>
      </c>
      <c r="AX740" s="36">
        <f>+VLOOKUP('2. Logging Brejo Seco'!AP740,Apertura,3,FALSE)</f>
        <v>1</v>
      </c>
      <c r="AY740" s="36">
        <f>+VLOOKUP('2. Logging Brejo Seco'!AQ740,Leyenda!$B$55:$D$59,3,FALSE)</f>
        <v>3</v>
      </c>
      <c r="AZ740" s="36">
        <f>+VLOOKUP('2. Logging Brejo Seco'!AR740,Relleno,3,FALSE)</f>
        <v>2</v>
      </c>
      <c r="BA740" s="36">
        <f t="shared" si="275"/>
        <v>8</v>
      </c>
      <c r="BB740" s="50">
        <f t="shared" si="276"/>
        <v>5</v>
      </c>
      <c r="BC740" s="49">
        <f>VLOOKUP(AH740,Leyenda!$B$4:$D$10,3,FALSE)</f>
        <v>1</v>
      </c>
      <c r="BD740" s="50">
        <f t="shared" si="277"/>
        <v>6</v>
      </c>
      <c r="BE740" s="50">
        <f t="shared" si="278"/>
        <v>8</v>
      </c>
      <c r="BF740" s="50">
        <f>VLOOKUP(AS740,Leyenda!$B$70:$D$75,3,FALSE)</f>
        <v>15</v>
      </c>
      <c r="BG740" s="110">
        <f t="shared" si="279"/>
        <v>23.24999999999994</v>
      </c>
      <c r="BH740" s="110">
        <f>VLOOKUP(AG740,Leyenda!$B$4:$E$10,4,FALSE)</f>
        <v>1</v>
      </c>
      <c r="BI740" s="67">
        <f t="shared" si="280"/>
        <v>4</v>
      </c>
      <c r="BJ740" s="110">
        <f t="shared" si="281"/>
        <v>5</v>
      </c>
      <c r="BK740" s="110">
        <f>+VLOOKUP('2. Logging Brejo Seco'!AP740,Leyenda!$B$47:$E$51,4,FALSE)</f>
        <v>1</v>
      </c>
      <c r="BL740" s="110">
        <f>+VLOOKUP('2. Logging Brejo Seco'!AQ740,Leyenda!$B$55:$E$59,4,FALSE)</f>
        <v>3</v>
      </c>
      <c r="BM740" s="110">
        <f>+VLOOKUP('2. Logging Brejo Seco'!AR740,Leyenda!$B$63:$E$67,3,FALSE)</f>
        <v>2</v>
      </c>
      <c r="BN740" s="110">
        <f>+VLOOKUP('2. Logging Brejo Seco'!AO740,Leyenda!$B$39:$E$43,4,FALSE)</f>
        <v>1</v>
      </c>
      <c r="BO740" s="110">
        <f>+VLOOKUP('2. Logging Brejo Seco'!AN740,Leyenda!$B$30:$E$34,4,FALSE)</f>
        <v>1</v>
      </c>
      <c r="BP740" s="110">
        <f>VLOOKUP(AS740,Leyenda!$B$71:$E$75,4,FALSE)</f>
        <v>10</v>
      </c>
      <c r="BQ740" s="110">
        <f t="shared" si="282"/>
        <v>28</v>
      </c>
      <c r="BR740" s="36">
        <f t="shared" si="283"/>
        <v>35</v>
      </c>
      <c r="BS740" s="240">
        <f t="shared" si="287"/>
        <v>0.4125000000000032</v>
      </c>
      <c r="BT740" s="6"/>
    </row>
    <row r="741" spans="1:110" x14ac:dyDescent="0.25">
      <c r="A741" s="18" t="s">
        <v>6</v>
      </c>
      <c r="B741" s="18">
        <v>2024</v>
      </c>
      <c r="C741" s="18" t="s">
        <v>138</v>
      </c>
      <c r="D741" s="18" t="s">
        <v>658</v>
      </c>
      <c r="E741" s="18">
        <v>30</v>
      </c>
      <c r="F741" s="191">
        <v>30</v>
      </c>
      <c r="G741" s="18" t="s">
        <v>152</v>
      </c>
      <c r="H741" s="244">
        <f>+F741</f>
        <v>30</v>
      </c>
      <c r="I741" s="244" t="s">
        <v>759</v>
      </c>
      <c r="J741" s="244"/>
      <c r="K741" s="18">
        <f t="shared" si="285"/>
        <v>58.28</v>
      </c>
      <c r="L741" s="183">
        <v>59.48</v>
      </c>
      <c r="M741" s="4">
        <f t="shared" si="289"/>
        <v>1.1999999999999957</v>
      </c>
      <c r="N741" s="113">
        <f t="shared" si="290"/>
        <v>0.66666666666666907</v>
      </c>
      <c r="O741" s="5">
        <f t="shared" si="286"/>
        <v>0.33333333333333093</v>
      </c>
      <c r="P741" s="18">
        <v>0.8</v>
      </c>
      <c r="Q741" s="182"/>
      <c r="R741" s="182"/>
      <c r="S741" s="182"/>
      <c r="T741" s="183">
        <v>0.8</v>
      </c>
      <c r="U741" s="183">
        <v>0</v>
      </c>
      <c r="V741" s="203">
        <f t="shared" si="291"/>
        <v>0</v>
      </c>
      <c r="W741" s="183"/>
      <c r="X741" s="183"/>
      <c r="Y741" s="183">
        <v>20</v>
      </c>
      <c r="Z741" s="31">
        <f t="shared" si="288"/>
        <v>59.999999999999787</v>
      </c>
      <c r="AA741" s="6"/>
      <c r="AB741" s="6"/>
      <c r="AC741" s="6"/>
      <c r="AD741" s="6"/>
      <c r="AE741" s="6"/>
      <c r="AF741" s="6"/>
      <c r="AG741" s="3" t="s">
        <v>32</v>
      </c>
      <c r="AH741" s="3" t="s">
        <v>32</v>
      </c>
      <c r="AI741" s="18" t="str">
        <f>+VLOOKUP(AH741,Leyenda!$O$4:$U$10,6,FALSE)</f>
        <v>0,15-0,25</v>
      </c>
      <c r="AJ741" s="18" t="str">
        <f>+VLOOKUP(AG741,Leyenda!$O$4:$U$10,7,FALSE)</f>
        <v>No Blasting need</v>
      </c>
      <c r="AK741" s="18">
        <f>+VLOOKUP(AJ741,Leyenda!$U$4:$V$10,2,FALSE)</f>
        <v>2</v>
      </c>
      <c r="AL741" s="6"/>
      <c r="AM741" s="18" t="s">
        <v>32</v>
      </c>
      <c r="AN741" s="18" t="s">
        <v>69</v>
      </c>
      <c r="AO741" s="18" t="s">
        <v>81</v>
      </c>
      <c r="AP741" s="18" t="s">
        <v>100</v>
      </c>
      <c r="AQ741" s="18" t="s">
        <v>109</v>
      </c>
      <c r="AR741" s="18" t="s">
        <v>122</v>
      </c>
      <c r="AS741" s="18" t="s">
        <v>267</v>
      </c>
      <c r="AT741" s="18"/>
      <c r="AU741" s="6"/>
      <c r="AV741" s="36">
        <f>+VLOOKUP(AN741,Leyenda!$B$30:$E$34,3,FALSE)</f>
        <v>0</v>
      </c>
      <c r="AW741" s="36">
        <f>+VLOOKUP('2. Logging Brejo Seco'!AO741,Meteorizacion,3,FALSE)</f>
        <v>0</v>
      </c>
      <c r="AX741" s="36">
        <f>+VLOOKUP('2. Logging Brejo Seco'!AP741,Apertura,3,FALSE)</f>
        <v>0</v>
      </c>
      <c r="AY741" s="36">
        <f>+VLOOKUP('2. Logging Brejo Seco'!AQ741,Leyenda!$B$55:$D$59,3,FALSE)</f>
        <v>1</v>
      </c>
      <c r="AZ741" s="36">
        <f>+VLOOKUP('2. Logging Brejo Seco'!AR741,Relleno,3,FALSE)</f>
        <v>0</v>
      </c>
      <c r="BA741" s="36">
        <f t="shared" ref="BA741:BA805" si="293">+SUM(AV741:AZ741)</f>
        <v>1</v>
      </c>
      <c r="BB741" s="50">
        <f t="shared" ref="BB741:BB805" si="294">ROUND(-0.0002*POWER(V741,2)+0.2197*V741,0)</f>
        <v>0</v>
      </c>
      <c r="BC741" s="49">
        <f>VLOOKUP(AH741,Leyenda!$B$4:$D$10,3,FALSE)</f>
        <v>1</v>
      </c>
      <c r="BD741" s="50">
        <f t="shared" ref="BD741:BD805" si="295">IF(Z741="",ROUND((IF(Z741&lt;=400,1.5478*POWER(Z741,0.3351),-2*POWER(10,-6)*POWER(Z741,2)+0.0091*Z741+8.1704)),0),ROUND((IF(Z741&lt;=400,1.5478*POWER(Z741,0.3351),-2*POWER(10,-6)*POWER(Z741,2)+0.0091*Z741+8.1704)),0))</f>
        <v>6</v>
      </c>
      <c r="BE741" s="50">
        <f t="shared" ref="BE741:BE805" si="296">+BA741</f>
        <v>1</v>
      </c>
      <c r="BF741" s="50">
        <f>VLOOKUP(AS741,Leyenda!$B$70:$D$75,3,FALSE)</f>
        <v>15</v>
      </c>
      <c r="BG741" s="110">
        <f t="shared" ref="BG741:BG805" si="297">1.5*BA741+(V741*0.5)</f>
        <v>1.5</v>
      </c>
      <c r="BH741" s="110">
        <f>VLOOKUP(AG741,Leyenda!$B$4:$E$10,4,FALSE)</f>
        <v>1</v>
      </c>
      <c r="BI741" s="67">
        <f t="shared" ref="BI741:BI805" si="298">IF(Z741="",ROUND(IF(Z741&lt;=50,5,IF(Z741&gt;=3000,30,6.038*LN(Z741)-19.63)),0),ROUND(IF(Z741&lt;=50,5,IF(Z741&gt;=3000,30,6.038*LN(Z741)-19.63)),0))</f>
        <v>5</v>
      </c>
      <c r="BJ741" s="110">
        <f t="shared" ref="BJ741:BJ805" si="299">ROUND(-0.0002*POWER(V741,2)+0.2197*V741,0)</f>
        <v>0</v>
      </c>
      <c r="BK741" s="110">
        <f>+VLOOKUP('2. Logging Brejo Seco'!AP741,Leyenda!$B$47:$E$51,4,FALSE)</f>
        <v>0</v>
      </c>
      <c r="BL741" s="110">
        <f>+VLOOKUP('2. Logging Brejo Seco'!AQ741,Leyenda!$B$55:$E$59,4,FALSE)</f>
        <v>1</v>
      </c>
      <c r="BM741" s="110">
        <f>+VLOOKUP('2. Logging Brejo Seco'!AR741,Leyenda!$B$63:$E$67,3,FALSE)</f>
        <v>0</v>
      </c>
      <c r="BN741" s="110">
        <f>+VLOOKUP('2. Logging Brejo Seco'!AO741,Leyenda!$B$39:$E$43,4,FALSE)</f>
        <v>0</v>
      </c>
      <c r="BO741" s="110">
        <f>+VLOOKUP('2. Logging Brejo Seco'!AN741,Leyenda!$B$30:$E$34,4,FALSE)</f>
        <v>0</v>
      </c>
      <c r="BP741" s="110">
        <f>VLOOKUP(AS741,Leyenda!$B$71:$E$75,4,FALSE)</f>
        <v>10</v>
      </c>
      <c r="BQ741" s="110">
        <f t="shared" ref="BQ741:BQ805" si="300">+BH741+BI741+BJ741+BK741+BL741+BM741+BN741+BO741+BP741</f>
        <v>17</v>
      </c>
      <c r="BR741" s="36">
        <f t="shared" ref="BR741:BR805" si="301">+BC741+BD741+BB741+BE741+BF741</f>
        <v>23</v>
      </c>
      <c r="BS741" s="240">
        <f t="shared" si="287"/>
        <v>0.33333333333333093</v>
      </c>
      <c r="BT741" s="6"/>
    </row>
    <row r="742" spans="1:110" x14ac:dyDescent="0.25">
      <c r="A742" s="18" t="s">
        <v>6</v>
      </c>
      <c r="B742" s="18">
        <v>2024</v>
      </c>
      <c r="C742" s="18" t="s">
        <v>138</v>
      </c>
      <c r="D742" s="18" t="s">
        <v>658</v>
      </c>
      <c r="E742" s="18">
        <v>30</v>
      </c>
      <c r="F742" s="191">
        <v>30</v>
      </c>
      <c r="G742" s="18" t="s">
        <v>152</v>
      </c>
      <c r="H742" s="244">
        <f>+F742</f>
        <v>30</v>
      </c>
      <c r="I742" s="244" t="s">
        <v>759</v>
      </c>
      <c r="J742" s="244"/>
      <c r="K742" s="18">
        <f t="shared" si="285"/>
        <v>59.48</v>
      </c>
      <c r="L742" s="183">
        <v>60.98</v>
      </c>
      <c r="M742" s="4">
        <f t="shared" si="289"/>
        <v>1.5</v>
      </c>
      <c r="N742" s="113">
        <f t="shared" si="290"/>
        <v>0.58666666666666667</v>
      </c>
      <c r="O742" s="5">
        <f t="shared" si="286"/>
        <v>0.41333333333333333</v>
      </c>
      <c r="P742" s="18">
        <v>0.88</v>
      </c>
      <c r="Q742" s="182"/>
      <c r="R742" s="182"/>
      <c r="S742" s="182"/>
      <c r="T742" s="183">
        <v>0.88</v>
      </c>
      <c r="U742" s="183">
        <v>0.25</v>
      </c>
      <c r="V742" s="203">
        <f t="shared" si="291"/>
        <v>16.666666666666664</v>
      </c>
      <c r="W742" s="183"/>
      <c r="X742" s="183"/>
      <c r="Y742" s="183">
        <v>15</v>
      </c>
      <c r="Z742" s="31">
        <f t="shared" si="288"/>
        <v>100</v>
      </c>
      <c r="AA742" s="6"/>
      <c r="AB742" s="6"/>
      <c r="AC742" s="6"/>
      <c r="AD742" s="6"/>
      <c r="AE742" s="6"/>
      <c r="AF742" s="6"/>
      <c r="AG742" s="3" t="s">
        <v>32</v>
      </c>
      <c r="AH742" s="3" t="s">
        <v>32</v>
      </c>
      <c r="AI742" s="18" t="str">
        <f>+VLOOKUP(AH742,Leyenda!$O$4:$U$10,6,FALSE)</f>
        <v>0,15-0,25</v>
      </c>
      <c r="AJ742" s="18" t="str">
        <f>+VLOOKUP(AG742,Leyenda!$O$4:$U$10,7,FALSE)</f>
        <v>No Blasting need</v>
      </c>
      <c r="AK742" s="18">
        <f>+VLOOKUP(AJ742,Leyenda!$U$4:$V$10,2,FALSE)</f>
        <v>2</v>
      </c>
      <c r="AL742" s="6"/>
      <c r="AM742" s="18" t="s">
        <v>32</v>
      </c>
      <c r="AN742" s="18" t="s">
        <v>66</v>
      </c>
      <c r="AO742" s="18" t="s">
        <v>79</v>
      </c>
      <c r="AP742" s="18" t="s">
        <v>96</v>
      </c>
      <c r="AQ742" s="18" t="s">
        <v>107</v>
      </c>
      <c r="AR742" s="18" t="s">
        <v>120</v>
      </c>
      <c r="AS742" s="18" t="s">
        <v>267</v>
      </c>
      <c r="AT742" s="18"/>
      <c r="AU742" s="6"/>
      <c r="AV742" s="36">
        <f>+VLOOKUP(AN742,Leyenda!$B$30:$E$34,3,FALSE)</f>
        <v>1</v>
      </c>
      <c r="AW742" s="36">
        <f>+VLOOKUP('2. Logging Brejo Seco'!AO742,Meteorizacion,3,FALSE)</f>
        <v>1</v>
      </c>
      <c r="AX742" s="36">
        <f>+VLOOKUP('2. Logging Brejo Seco'!AP742,Apertura,3,FALSE)</f>
        <v>1</v>
      </c>
      <c r="AY742" s="36">
        <f>+VLOOKUP('2. Logging Brejo Seco'!AQ742,Leyenda!$B$55:$D$59,3,FALSE)</f>
        <v>3</v>
      </c>
      <c r="AZ742" s="36">
        <f>+VLOOKUP('2. Logging Brejo Seco'!AR742,Relleno,3,FALSE)</f>
        <v>2</v>
      </c>
      <c r="BA742" s="36">
        <f t="shared" si="293"/>
        <v>8</v>
      </c>
      <c r="BB742" s="50">
        <f t="shared" si="294"/>
        <v>4</v>
      </c>
      <c r="BC742" s="49">
        <f>VLOOKUP(AH742,Leyenda!$B$4:$D$10,3,FALSE)</f>
        <v>1</v>
      </c>
      <c r="BD742" s="50">
        <f t="shared" si="295"/>
        <v>7</v>
      </c>
      <c r="BE742" s="50">
        <f t="shared" si="296"/>
        <v>8</v>
      </c>
      <c r="BF742" s="50">
        <f>VLOOKUP(AS742,Leyenda!$B$70:$D$75,3,FALSE)</f>
        <v>15</v>
      </c>
      <c r="BG742" s="110">
        <f t="shared" si="297"/>
        <v>20.333333333333332</v>
      </c>
      <c r="BH742" s="110">
        <f>VLOOKUP(AG742,Leyenda!$B$4:$E$10,4,FALSE)</f>
        <v>1</v>
      </c>
      <c r="BI742" s="67">
        <f t="shared" si="298"/>
        <v>8</v>
      </c>
      <c r="BJ742" s="110">
        <f t="shared" si="299"/>
        <v>4</v>
      </c>
      <c r="BK742" s="110">
        <f>+VLOOKUP('2. Logging Brejo Seco'!AP742,Leyenda!$B$47:$E$51,4,FALSE)</f>
        <v>1</v>
      </c>
      <c r="BL742" s="110">
        <f>+VLOOKUP('2. Logging Brejo Seco'!AQ742,Leyenda!$B$55:$E$59,4,FALSE)</f>
        <v>3</v>
      </c>
      <c r="BM742" s="110">
        <f>+VLOOKUP('2. Logging Brejo Seco'!AR742,Leyenda!$B$63:$E$67,3,FALSE)</f>
        <v>2</v>
      </c>
      <c r="BN742" s="110">
        <f>+VLOOKUP('2. Logging Brejo Seco'!AO742,Leyenda!$B$39:$E$43,4,FALSE)</f>
        <v>1</v>
      </c>
      <c r="BO742" s="110">
        <f>+VLOOKUP('2. Logging Brejo Seco'!AN742,Leyenda!$B$30:$E$34,4,FALSE)</f>
        <v>1</v>
      </c>
      <c r="BP742" s="110">
        <f>VLOOKUP(AS742,Leyenda!$B$71:$E$75,4,FALSE)</f>
        <v>10</v>
      </c>
      <c r="BQ742" s="110">
        <f t="shared" si="300"/>
        <v>31</v>
      </c>
      <c r="BR742" s="36">
        <f t="shared" si="301"/>
        <v>35</v>
      </c>
      <c r="BS742" s="240">
        <f t="shared" si="287"/>
        <v>0.41333333333333333</v>
      </c>
      <c r="BT742" s="6"/>
    </row>
    <row r="743" spans="1:110" x14ac:dyDescent="0.25">
      <c r="A743" s="18" t="s">
        <v>6</v>
      </c>
      <c r="B743" s="18">
        <v>2024</v>
      </c>
      <c r="C743" s="18" t="s">
        <v>138</v>
      </c>
      <c r="D743" s="18" t="s">
        <v>658</v>
      </c>
      <c r="E743" s="18">
        <v>30</v>
      </c>
      <c r="F743" s="191">
        <v>30</v>
      </c>
      <c r="G743" s="18" t="s">
        <v>152</v>
      </c>
      <c r="H743" s="3">
        <v>40</v>
      </c>
      <c r="I743" s="3" t="s">
        <v>757</v>
      </c>
      <c r="J743" s="3"/>
      <c r="K743" s="18">
        <f t="shared" si="285"/>
        <v>60.98</v>
      </c>
      <c r="L743" s="183">
        <v>62.28</v>
      </c>
      <c r="M743" s="4">
        <f t="shared" si="289"/>
        <v>1.3000000000000043</v>
      </c>
      <c r="N743" s="113">
        <f t="shared" si="290"/>
        <v>0.73076923076922828</v>
      </c>
      <c r="O743" s="5">
        <f t="shared" si="286"/>
        <v>0.26923076923077172</v>
      </c>
      <c r="P743" s="18">
        <v>0.95</v>
      </c>
      <c r="Q743" s="182"/>
      <c r="R743" s="182"/>
      <c r="S743" s="182"/>
      <c r="T743" s="183">
        <v>0.95</v>
      </c>
      <c r="U743" s="183">
        <v>0</v>
      </c>
      <c r="V743" s="203">
        <f t="shared" si="291"/>
        <v>0</v>
      </c>
      <c r="W743" s="183"/>
      <c r="X743" s="183"/>
      <c r="Y743" s="183">
        <v>20</v>
      </c>
      <c r="Z743" s="31">
        <f t="shared" si="288"/>
        <v>65.000000000000213</v>
      </c>
      <c r="AA743" s="6"/>
      <c r="AB743" s="6"/>
      <c r="AC743" s="6"/>
      <c r="AD743" s="6"/>
      <c r="AE743" s="6"/>
      <c r="AF743" s="6"/>
      <c r="AG743" s="3" t="s">
        <v>32</v>
      </c>
      <c r="AH743" s="3" t="s">
        <v>32</v>
      </c>
      <c r="AI743" s="18" t="str">
        <f>+VLOOKUP(AH743,Leyenda!$O$4:$U$10,6,FALSE)</f>
        <v>0,15-0,25</v>
      </c>
      <c r="AJ743" s="18" t="str">
        <f>+VLOOKUP(AG743,Leyenda!$O$4:$U$10,7,FALSE)</f>
        <v>No Blasting need</v>
      </c>
      <c r="AK743" s="18">
        <f>+VLOOKUP(AJ743,Leyenda!$U$4:$V$10,2,FALSE)</f>
        <v>2</v>
      </c>
      <c r="AL743" s="6"/>
      <c r="AM743" s="18" t="s">
        <v>32</v>
      </c>
      <c r="AN743" s="18" t="s">
        <v>66</v>
      </c>
      <c r="AO743" s="18" t="s">
        <v>79</v>
      </c>
      <c r="AP743" s="18" t="s">
        <v>96</v>
      </c>
      <c r="AQ743" s="18" t="s">
        <v>107</v>
      </c>
      <c r="AR743" s="18" t="s">
        <v>120</v>
      </c>
      <c r="AS743" s="18" t="s">
        <v>267</v>
      </c>
      <c r="AT743" s="18"/>
      <c r="AU743" s="6"/>
      <c r="AV743" s="36">
        <f>+VLOOKUP(AN743,Leyenda!$B$30:$E$34,3,FALSE)</f>
        <v>1</v>
      </c>
      <c r="AW743" s="36">
        <f>+VLOOKUP('2. Logging Brejo Seco'!AO743,Meteorizacion,3,FALSE)</f>
        <v>1</v>
      </c>
      <c r="AX743" s="36">
        <f>+VLOOKUP('2. Logging Brejo Seco'!AP743,Apertura,3,FALSE)</f>
        <v>1</v>
      </c>
      <c r="AY743" s="36">
        <f>+VLOOKUP('2. Logging Brejo Seco'!AQ743,Leyenda!$B$55:$D$59,3,FALSE)</f>
        <v>3</v>
      </c>
      <c r="AZ743" s="36">
        <f>+VLOOKUP('2. Logging Brejo Seco'!AR743,Relleno,3,FALSE)</f>
        <v>2</v>
      </c>
      <c r="BA743" s="36">
        <f t="shared" si="293"/>
        <v>8</v>
      </c>
      <c r="BB743" s="50">
        <f t="shared" si="294"/>
        <v>0</v>
      </c>
      <c r="BC743" s="49">
        <f>VLOOKUP(AH743,Leyenda!$B$4:$D$10,3,FALSE)</f>
        <v>1</v>
      </c>
      <c r="BD743" s="50">
        <f t="shared" si="295"/>
        <v>6</v>
      </c>
      <c r="BE743" s="50">
        <f t="shared" si="296"/>
        <v>8</v>
      </c>
      <c r="BF743" s="50">
        <f>VLOOKUP(AS743,Leyenda!$B$70:$D$75,3,FALSE)</f>
        <v>15</v>
      </c>
      <c r="BG743" s="110">
        <f t="shared" si="297"/>
        <v>12</v>
      </c>
      <c r="BH743" s="110">
        <f>VLOOKUP(AG743,Leyenda!$B$4:$E$10,4,FALSE)</f>
        <v>1</v>
      </c>
      <c r="BI743" s="67">
        <f t="shared" si="298"/>
        <v>6</v>
      </c>
      <c r="BJ743" s="110">
        <f t="shared" si="299"/>
        <v>0</v>
      </c>
      <c r="BK743" s="110">
        <f>+VLOOKUP('2. Logging Brejo Seco'!AP743,Leyenda!$B$47:$E$51,4,FALSE)</f>
        <v>1</v>
      </c>
      <c r="BL743" s="110">
        <f>+VLOOKUP('2. Logging Brejo Seco'!AQ743,Leyenda!$B$55:$E$59,4,FALSE)</f>
        <v>3</v>
      </c>
      <c r="BM743" s="110">
        <f>+VLOOKUP('2. Logging Brejo Seco'!AR743,Leyenda!$B$63:$E$67,3,FALSE)</f>
        <v>2</v>
      </c>
      <c r="BN743" s="110">
        <f>+VLOOKUP('2. Logging Brejo Seco'!AO743,Leyenda!$B$39:$E$43,4,FALSE)</f>
        <v>1</v>
      </c>
      <c r="BO743" s="110">
        <f>+VLOOKUP('2. Logging Brejo Seco'!AN743,Leyenda!$B$30:$E$34,4,FALSE)</f>
        <v>1</v>
      </c>
      <c r="BP743" s="110">
        <f>VLOOKUP(AS743,Leyenda!$B$71:$E$75,4,FALSE)</f>
        <v>10</v>
      </c>
      <c r="BQ743" s="110">
        <f t="shared" si="300"/>
        <v>25</v>
      </c>
      <c r="BR743" s="36">
        <f t="shared" si="301"/>
        <v>30</v>
      </c>
      <c r="BS743" s="240">
        <f t="shared" si="287"/>
        <v>0.26923076923077172</v>
      </c>
      <c r="BT743" s="6"/>
    </row>
    <row r="744" spans="1:110" x14ac:dyDescent="0.25">
      <c r="A744" s="18" t="s">
        <v>6</v>
      </c>
      <c r="B744" s="18">
        <v>2024</v>
      </c>
      <c r="C744" s="18" t="s">
        <v>138</v>
      </c>
      <c r="D744" s="18" t="s">
        <v>658</v>
      </c>
      <c r="E744" s="18">
        <v>30</v>
      </c>
      <c r="F744" s="191">
        <v>30</v>
      </c>
      <c r="G744" s="18" t="s">
        <v>152</v>
      </c>
      <c r="H744" s="3">
        <v>40</v>
      </c>
      <c r="I744" s="3" t="s">
        <v>757</v>
      </c>
      <c r="J744" s="3"/>
      <c r="K744" s="18">
        <f t="shared" si="285"/>
        <v>62.28</v>
      </c>
      <c r="L744" s="183">
        <v>64.28</v>
      </c>
      <c r="M744" s="4">
        <f t="shared" si="289"/>
        <v>2</v>
      </c>
      <c r="N744" s="113">
        <f t="shared" si="290"/>
        <v>0.76</v>
      </c>
      <c r="O744" s="5">
        <f t="shared" si="286"/>
        <v>0.24</v>
      </c>
      <c r="P744" s="18">
        <v>1.52</v>
      </c>
      <c r="Q744" s="182"/>
      <c r="R744" s="182"/>
      <c r="S744" s="182"/>
      <c r="T744" s="183">
        <f>1.07+0.45</f>
        <v>1.52</v>
      </c>
      <c r="U744" s="183">
        <v>0.12</v>
      </c>
      <c r="V744" s="203">
        <f t="shared" si="291"/>
        <v>6</v>
      </c>
      <c r="W744" s="183"/>
      <c r="X744" s="183"/>
      <c r="Y744" s="183">
        <v>17</v>
      </c>
      <c r="Z744" s="31">
        <f t="shared" si="288"/>
        <v>117.64705882352941</v>
      </c>
      <c r="AA744" s="6"/>
      <c r="AB744" s="6"/>
      <c r="AC744" s="6"/>
      <c r="AD744" s="6"/>
      <c r="AE744" s="6"/>
      <c r="AF744" s="6"/>
      <c r="AG744" s="3" t="s">
        <v>32</v>
      </c>
      <c r="AH744" s="3" t="s">
        <v>32</v>
      </c>
      <c r="AI744" s="18" t="str">
        <f>+VLOOKUP(AH744,Leyenda!$O$4:$U$10,6,FALSE)</f>
        <v>0,15-0,25</v>
      </c>
      <c r="AJ744" s="18" t="str">
        <f>+VLOOKUP(AG744,Leyenda!$O$4:$U$10,7,FALSE)</f>
        <v>No Blasting need</v>
      </c>
      <c r="AK744" s="18">
        <f>+VLOOKUP(AJ744,Leyenda!$U$4:$V$10,2,FALSE)</f>
        <v>2</v>
      </c>
      <c r="AL744" s="6"/>
      <c r="AM744" s="18" t="s">
        <v>32</v>
      </c>
      <c r="AN744" s="18" t="s">
        <v>66</v>
      </c>
      <c r="AO744" s="18" t="s">
        <v>81</v>
      </c>
      <c r="AP744" s="18" t="s">
        <v>100</v>
      </c>
      <c r="AQ744" s="18" t="s">
        <v>109</v>
      </c>
      <c r="AR744" s="18" t="s">
        <v>122</v>
      </c>
      <c r="AS744" s="18" t="s">
        <v>267</v>
      </c>
      <c r="AT744" s="18"/>
      <c r="AU744" s="6"/>
      <c r="AV744" s="36">
        <f>+VLOOKUP(AN744,Leyenda!$B$30:$E$34,3,FALSE)</f>
        <v>1</v>
      </c>
      <c r="AW744" s="36">
        <f>+VLOOKUP('2. Logging Brejo Seco'!AO744,Meteorizacion,3,FALSE)</f>
        <v>0</v>
      </c>
      <c r="AX744" s="36">
        <f>+VLOOKUP('2. Logging Brejo Seco'!AP744,Apertura,3,FALSE)</f>
        <v>0</v>
      </c>
      <c r="AY744" s="36">
        <f>+VLOOKUP('2. Logging Brejo Seco'!AQ744,Leyenda!$B$55:$D$59,3,FALSE)</f>
        <v>1</v>
      </c>
      <c r="AZ744" s="36">
        <f>+VLOOKUP('2. Logging Brejo Seco'!AR744,Relleno,3,FALSE)</f>
        <v>0</v>
      </c>
      <c r="BA744" s="36">
        <f t="shared" si="293"/>
        <v>2</v>
      </c>
      <c r="BB744" s="50">
        <f t="shared" si="294"/>
        <v>1</v>
      </c>
      <c r="BC744" s="49">
        <f>VLOOKUP(AH744,Leyenda!$B$4:$D$10,3,FALSE)</f>
        <v>1</v>
      </c>
      <c r="BD744" s="50">
        <f t="shared" si="295"/>
        <v>8</v>
      </c>
      <c r="BE744" s="50">
        <f t="shared" si="296"/>
        <v>2</v>
      </c>
      <c r="BF744" s="50">
        <f>VLOOKUP(AS744,Leyenda!$B$70:$D$75,3,FALSE)</f>
        <v>15</v>
      </c>
      <c r="BG744" s="110">
        <f t="shared" si="297"/>
        <v>6</v>
      </c>
      <c r="BH744" s="110">
        <f>VLOOKUP(AG744,Leyenda!$B$4:$E$10,4,FALSE)</f>
        <v>1</v>
      </c>
      <c r="BI744" s="67">
        <f t="shared" si="298"/>
        <v>9</v>
      </c>
      <c r="BJ744" s="110">
        <f t="shared" si="299"/>
        <v>1</v>
      </c>
      <c r="BK744" s="110">
        <f>+VLOOKUP('2. Logging Brejo Seco'!AP744,Leyenda!$B$47:$E$51,4,FALSE)</f>
        <v>0</v>
      </c>
      <c r="BL744" s="110">
        <f>+VLOOKUP('2. Logging Brejo Seco'!AQ744,Leyenda!$B$55:$E$59,4,FALSE)</f>
        <v>1</v>
      </c>
      <c r="BM744" s="110">
        <f>+VLOOKUP('2. Logging Brejo Seco'!AR744,Leyenda!$B$63:$E$67,3,FALSE)</f>
        <v>0</v>
      </c>
      <c r="BN744" s="110">
        <f>+VLOOKUP('2. Logging Brejo Seco'!AO744,Leyenda!$B$39:$E$43,4,FALSE)</f>
        <v>0</v>
      </c>
      <c r="BO744" s="110">
        <f>+VLOOKUP('2. Logging Brejo Seco'!AN744,Leyenda!$B$30:$E$34,4,FALSE)</f>
        <v>1</v>
      </c>
      <c r="BP744" s="110">
        <f>VLOOKUP(AS744,Leyenda!$B$71:$E$75,4,FALSE)</f>
        <v>10</v>
      </c>
      <c r="BQ744" s="110">
        <f t="shared" si="300"/>
        <v>23</v>
      </c>
      <c r="BR744" s="36">
        <f t="shared" si="301"/>
        <v>27</v>
      </c>
      <c r="BS744" s="240">
        <f t="shared" si="287"/>
        <v>0.24</v>
      </c>
      <c r="BT744" s="6"/>
    </row>
    <row r="745" spans="1:110" x14ac:dyDescent="0.25">
      <c r="A745" s="18" t="s">
        <v>6</v>
      </c>
      <c r="B745" s="18">
        <v>2024</v>
      </c>
      <c r="C745" s="18" t="s">
        <v>138</v>
      </c>
      <c r="D745" s="18" t="s">
        <v>658</v>
      </c>
      <c r="E745" s="18">
        <v>30</v>
      </c>
      <c r="F745" s="191">
        <v>30</v>
      </c>
      <c r="G745" s="18" t="s">
        <v>152</v>
      </c>
      <c r="H745" s="3">
        <v>50</v>
      </c>
      <c r="I745" s="3" t="s">
        <v>756</v>
      </c>
      <c r="J745" s="3"/>
      <c r="K745" s="18">
        <f t="shared" si="285"/>
        <v>64.28</v>
      </c>
      <c r="L745" s="183">
        <v>66.28</v>
      </c>
      <c r="M745" s="4">
        <f t="shared" si="289"/>
        <v>2</v>
      </c>
      <c r="N745" s="113">
        <f t="shared" si="290"/>
        <v>0.72</v>
      </c>
      <c r="O745" s="5">
        <f t="shared" si="286"/>
        <v>0.28000000000000003</v>
      </c>
      <c r="P745" s="18">
        <v>1.44</v>
      </c>
      <c r="Q745" s="182"/>
      <c r="R745" s="182"/>
      <c r="S745" s="182"/>
      <c r="T745" s="183">
        <v>1.44</v>
      </c>
      <c r="U745" s="183">
        <v>0.91</v>
      </c>
      <c r="V745" s="203">
        <f t="shared" si="291"/>
        <v>45.5</v>
      </c>
      <c r="W745" s="183"/>
      <c r="X745" s="183"/>
      <c r="Y745" s="183">
        <v>11</v>
      </c>
      <c r="Z745" s="31">
        <f t="shared" si="288"/>
        <v>181.81818181818181</v>
      </c>
      <c r="AA745" s="6"/>
      <c r="AB745" s="6"/>
      <c r="AC745" s="6"/>
      <c r="AD745" s="6"/>
      <c r="AE745" s="6"/>
      <c r="AF745" s="6"/>
      <c r="AG745" s="3" t="s">
        <v>32</v>
      </c>
      <c r="AH745" s="3" t="s">
        <v>32</v>
      </c>
      <c r="AI745" s="18" t="str">
        <f>+VLOOKUP(AH745,Leyenda!$O$4:$U$10,6,FALSE)</f>
        <v>0,15-0,25</v>
      </c>
      <c r="AJ745" s="18" t="str">
        <f>+VLOOKUP(AG745,Leyenda!$O$4:$U$10,7,FALSE)</f>
        <v>No Blasting need</v>
      </c>
      <c r="AK745" s="18">
        <f>+VLOOKUP(AJ745,Leyenda!$U$4:$V$10,2,FALSE)</f>
        <v>2</v>
      </c>
      <c r="AL745" s="6"/>
      <c r="AM745" s="18" t="s">
        <v>32</v>
      </c>
      <c r="AN745" s="18" t="s">
        <v>66</v>
      </c>
      <c r="AO745" s="18" t="s">
        <v>79</v>
      </c>
      <c r="AP745" s="18" t="s">
        <v>96</v>
      </c>
      <c r="AQ745" s="18" t="s">
        <v>107</v>
      </c>
      <c r="AR745" s="18" t="s">
        <v>120</v>
      </c>
      <c r="AS745" s="18" t="s">
        <v>267</v>
      </c>
      <c r="AT745" s="18"/>
      <c r="AU745" s="6"/>
      <c r="AV745" s="36">
        <f>+VLOOKUP(AN745,Leyenda!$B$30:$E$34,3,FALSE)</f>
        <v>1</v>
      </c>
      <c r="AW745" s="36">
        <f>+VLOOKUP('2. Logging Brejo Seco'!AO745,Meteorizacion,3,FALSE)</f>
        <v>1</v>
      </c>
      <c r="AX745" s="36">
        <f>+VLOOKUP('2. Logging Brejo Seco'!AP745,Apertura,3,FALSE)</f>
        <v>1</v>
      </c>
      <c r="AY745" s="36">
        <f>+VLOOKUP('2. Logging Brejo Seco'!AQ745,Leyenda!$B$55:$D$59,3,FALSE)</f>
        <v>3</v>
      </c>
      <c r="AZ745" s="36">
        <f>+VLOOKUP('2. Logging Brejo Seco'!AR745,Relleno,3,FALSE)</f>
        <v>2</v>
      </c>
      <c r="BA745" s="36">
        <f t="shared" si="293"/>
        <v>8</v>
      </c>
      <c r="BB745" s="50">
        <f t="shared" si="294"/>
        <v>10</v>
      </c>
      <c r="BC745" s="49">
        <f>VLOOKUP(AH745,Leyenda!$B$4:$D$10,3,FALSE)</f>
        <v>1</v>
      </c>
      <c r="BD745" s="50">
        <f t="shared" si="295"/>
        <v>9</v>
      </c>
      <c r="BE745" s="50">
        <f t="shared" si="296"/>
        <v>8</v>
      </c>
      <c r="BF745" s="50">
        <f>VLOOKUP(AS745,Leyenda!$B$70:$D$75,3,FALSE)</f>
        <v>15</v>
      </c>
      <c r="BG745" s="110">
        <f t="shared" si="297"/>
        <v>34.75</v>
      </c>
      <c r="BH745" s="110">
        <f>VLOOKUP(AG745,Leyenda!$B$4:$E$10,4,FALSE)</f>
        <v>1</v>
      </c>
      <c r="BI745" s="67">
        <f t="shared" si="298"/>
        <v>12</v>
      </c>
      <c r="BJ745" s="110">
        <f t="shared" si="299"/>
        <v>10</v>
      </c>
      <c r="BK745" s="110">
        <f>+VLOOKUP('2. Logging Brejo Seco'!AP745,Leyenda!$B$47:$E$51,4,FALSE)</f>
        <v>1</v>
      </c>
      <c r="BL745" s="110">
        <f>+VLOOKUP('2. Logging Brejo Seco'!AQ745,Leyenda!$B$55:$E$59,4,FALSE)</f>
        <v>3</v>
      </c>
      <c r="BM745" s="110">
        <f>+VLOOKUP('2. Logging Brejo Seco'!AR745,Leyenda!$B$63:$E$67,3,FALSE)</f>
        <v>2</v>
      </c>
      <c r="BN745" s="110">
        <f>+VLOOKUP('2. Logging Brejo Seco'!AO745,Leyenda!$B$39:$E$43,4,FALSE)</f>
        <v>1</v>
      </c>
      <c r="BO745" s="110">
        <f>+VLOOKUP('2. Logging Brejo Seco'!AN745,Leyenda!$B$30:$E$34,4,FALSE)</f>
        <v>1</v>
      </c>
      <c r="BP745" s="110">
        <f>VLOOKUP(AS745,Leyenda!$B$71:$E$75,4,FALSE)</f>
        <v>10</v>
      </c>
      <c r="BQ745" s="110">
        <f t="shared" si="300"/>
        <v>41</v>
      </c>
      <c r="BR745" s="36">
        <f t="shared" si="301"/>
        <v>43</v>
      </c>
      <c r="BS745" s="240">
        <f t="shared" si="287"/>
        <v>0.28000000000000003</v>
      </c>
      <c r="BT745" s="6"/>
    </row>
    <row r="746" spans="1:110" x14ac:dyDescent="0.25">
      <c r="A746" s="18" t="s">
        <v>6</v>
      </c>
      <c r="B746" s="18">
        <v>2024</v>
      </c>
      <c r="C746" s="18" t="s">
        <v>138</v>
      </c>
      <c r="D746" s="18" t="s">
        <v>658</v>
      </c>
      <c r="E746" s="18">
        <v>30</v>
      </c>
      <c r="F746" s="191">
        <v>30</v>
      </c>
      <c r="G746" s="18" t="s">
        <v>152</v>
      </c>
      <c r="H746" s="3">
        <v>50</v>
      </c>
      <c r="I746" s="3" t="s">
        <v>756</v>
      </c>
      <c r="J746" s="3"/>
      <c r="K746" s="18">
        <f t="shared" ref="K746:K755" si="302">+L745</f>
        <v>66.28</v>
      </c>
      <c r="L746" s="183">
        <v>68.38</v>
      </c>
      <c r="M746" s="4">
        <f t="shared" si="289"/>
        <v>2.0999999999999943</v>
      </c>
      <c r="N746" s="113">
        <f t="shared" si="290"/>
        <v>0.83809523809524034</v>
      </c>
      <c r="O746" s="5">
        <f t="shared" si="286"/>
        <v>0.16190476190475966</v>
      </c>
      <c r="P746" s="18">
        <v>1.76</v>
      </c>
      <c r="Q746" s="182"/>
      <c r="R746" s="182"/>
      <c r="S746" s="182"/>
      <c r="T746" s="183">
        <v>1.76</v>
      </c>
      <c r="U746" s="183">
        <v>0.9</v>
      </c>
      <c r="V746" s="203">
        <f t="shared" si="291"/>
        <v>42.857142857142975</v>
      </c>
      <c r="W746" s="183"/>
      <c r="X746" s="183"/>
      <c r="Y746" s="183">
        <v>15</v>
      </c>
      <c r="Z746" s="31">
        <f t="shared" si="288"/>
        <v>139.99999999999963</v>
      </c>
      <c r="AA746" s="6"/>
      <c r="AB746" s="6"/>
      <c r="AC746" s="6"/>
      <c r="AD746" s="6"/>
      <c r="AE746" s="6"/>
      <c r="AF746" s="6"/>
      <c r="AG746" s="3" t="s">
        <v>29</v>
      </c>
      <c r="AH746" s="3" t="s">
        <v>29</v>
      </c>
      <c r="AI746" s="18" t="str">
        <f>+VLOOKUP(AH746,Leyenda!$O$4:$U$10,6,FALSE)</f>
        <v>0,25-0,35</v>
      </c>
      <c r="AJ746" s="18" t="str">
        <f>+VLOOKUP(AG746,Leyenda!$O$4:$U$10,7,FALSE)</f>
        <v>No Blasting need</v>
      </c>
      <c r="AK746" s="18">
        <f>+VLOOKUP(AJ746,Leyenda!$U$4:$V$10,2,FALSE)</f>
        <v>2</v>
      </c>
      <c r="AL746" s="6"/>
      <c r="AM746" s="18" t="s">
        <v>29</v>
      </c>
      <c r="AN746" s="18" t="s">
        <v>64</v>
      </c>
      <c r="AO746" s="18" t="s">
        <v>79</v>
      </c>
      <c r="AP746" s="18" t="s">
        <v>96</v>
      </c>
      <c r="AQ746" s="18" t="s">
        <v>107</v>
      </c>
      <c r="AR746" s="18" t="s">
        <v>120</v>
      </c>
      <c r="AS746" s="18" t="s">
        <v>267</v>
      </c>
      <c r="AT746" s="18"/>
      <c r="AU746" s="6"/>
      <c r="AV746" s="36">
        <f>+VLOOKUP(AN746,Leyenda!$B$30:$E$34,3,FALSE)</f>
        <v>2</v>
      </c>
      <c r="AW746" s="36">
        <f>+VLOOKUP('2. Logging Brejo Seco'!AO746,Meteorizacion,3,FALSE)</f>
        <v>1</v>
      </c>
      <c r="AX746" s="36">
        <f>+VLOOKUP('2. Logging Brejo Seco'!AP746,Apertura,3,FALSE)</f>
        <v>1</v>
      </c>
      <c r="AY746" s="36">
        <f>+VLOOKUP('2. Logging Brejo Seco'!AQ746,Leyenda!$B$55:$D$59,3,FALSE)</f>
        <v>3</v>
      </c>
      <c r="AZ746" s="36">
        <f>+VLOOKUP('2. Logging Brejo Seco'!AR746,Relleno,3,FALSE)</f>
        <v>2</v>
      </c>
      <c r="BA746" s="36">
        <f t="shared" si="293"/>
        <v>9</v>
      </c>
      <c r="BB746" s="50">
        <f t="shared" si="294"/>
        <v>9</v>
      </c>
      <c r="BC746" s="49">
        <f>VLOOKUP(AH746,Leyenda!$B$4:$D$10,3,FALSE)</f>
        <v>2</v>
      </c>
      <c r="BD746" s="50">
        <f t="shared" si="295"/>
        <v>8</v>
      </c>
      <c r="BE746" s="50">
        <f t="shared" si="296"/>
        <v>9</v>
      </c>
      <c r="BF746" s="50">
        <f>VLOOKUP(AS746,Leyenda!$B$70:$D$75,3,FALSE)</f>
        <v>15</v>
      </c>
      <c r="BG746" s="110">
        <f t="shared" si="297"/>
        <v>34.928571428571487</v>
      </c>
      <c r="BH746" s="110">
        <f>VLOOKUP(AG746,Leyenda!$B$4:$E$10,4,FALSE)</f>
        <v>2</v>
      </c>
      <c r="BI746" s="67">
        <f t="shared" si="298"/>
        <v>10</v>
      </c>
      <c r="BJ746" s="110">
        <f t="shared" si="299"/>
        <v>9</v>
      </c>
      <c r="BK746" s="110">
        <f>+VLOOKUP('2. Logging Brejo Seco'!AP746,Leyenda!$B$47:$E$51,4,FALSE)</f>
        <v>1</v>
      </c>
      <c r="BL746" s="110">
        <f>+VLOOKUP('2. Logging Brejo Seco'!AQ746,Leyenda!$B$55:$E$59,4,FALSE)</f>
        <v>3</v>
      </c>
      <c r="BM746" s="110">
        <f>+VLOOKUP('2. Logging Brejo Seco'!AR746,Leyenda!$B$63:$E$67,3,FALSE)</f>
        <v>2</v>
      </c>
      <c r="BN746" s="110">
        <f>+VLOOKUP('2. Logging Brejo Seco'!AO746,Leyenda!$B$39:$E$43,4,FALSE)</f>
        <v>1</v>
      </c>
      <c r="BO746" s="110">
        <f>+VLOOKUP('2. Logging Brejo Seco'!AN746,Leyenda!$B$30:$E$34,4,FALSE)</f>
        <v>3</v>
      </c>
      <c r="BP746" s="110">
        <f>VLOOKUP(AS746,Leyenda!$B$71:$E$75,4,FALSE)</f>
        <v>10</v>
      </c>
      <c r="BQ746" s="110">
        <f t="shared" si="300"/>
        <v>41</v>
      </c>
      <c r="BR746" s="36">
        <f t="shared" si="301"/>
        <v>43</v>
      </c>
      <c r="BS746" s="240">
        <f t="shared" si="287"/>
        <v>0.16190476190475966</v>
      </c>
      <c r="BT746" s="6"/>
    </row>
    <row r="747" spans="1:110" x14ac:dyDescent="0.25">
      <c r="A747" s="18" t="s">
        <v>6</v>
      </c>
      <c r="B747" s="18">
        <v>2024</v>
      </c>
      <c r="C747" s="18" t="s">
        <v>138</v>
      </c>
      <c r="D747" s="18" t="s">
        <v>658</v>
      </c>
      <c r="E747" s="18">
        <v>30</v>
      </c>
      <c r="F747" s="191">
        <v>30</v>
      </c>
      <c r="G747" s="18" t="s">
        <v>152</v>
      </c>
      <c r="H747" s="3">
        <v>50</v>
      </c>
      <c r="I747" s="3" t="s">
        <v>756</v>
      </c>
      <c r="J747" s="3"/>
      <c r="K747" s="18">
        <f t="shared" si="302"/>
        <v>68.38</v>
      </c>
      <c r="L747" s="183">
        <v>70.38</v>
      </c>
      <c r="M747" s="4">
        <f t="shared" si="289"/>
        <v>2</v>
      </c>
      <c r="N747" s="113">
        <f t="shared" si="290"/>
        <v>0.77</v>
      </c>
      <c r="O747" s="5">
        <f t="shared" si="286"/>
        <v>0.22999999999999998</v>
      </c>
      <c r="P747" s="18">
        <v>1.54</v>
      </c>
      <c r="Q747" s="182"/>
      <c r="R747" s="182"/>
      <c r="S747" s="182"/>
      <c r="T747" s="183">
        <f>0.99+0.55</f>
        <v>1.54</v>
      </c>
      <c r="U747" s="183">
        <v>0.35</v>
      </c>
      <c r="V747" s="203">
        <f t="shared" si="291"/>
        <v>17.5</v>
      </c>
      <c r="W747" s="183"/>
      <c r="X747" s="183"/>
      <c r="Y747" s="183">
        <v>14</v>
      </c>
      <c r="Z747" s="31">
        <f t="shared" si="288"/>
        <v>142.85714285714286</v>
      </c>
      <c r="AA747" s="6"/>
      <c r="AB747" s="6"/>
      <c r="AC747" s="6"/>
      <c r="AD747" s="6"/>
      <c r="AE747" s="6"/>
      <c r="AF747" s="6"/>
      <c r="AG747" s="3" t="s">
        <v>29</v>
      </c>
      <c r="AH747" s="3" t="s">
        <v>29</v>
      </c>
      <c r="AI747" s="18" t="str">
        <f>+VLOOKUP(AH747,Leyenda!$O$4:$U$10,6,FALSE)</f>
        <v>0,25-0,35</v>
      </c>
      <c r="AJ747" s="18" t="str">
        <f>+VLOOKUP(AG747,Leyenda!$O$4:$U$10,7,FALSE)</f>
        <v>No Blasting need</v>
      </c>
      <c r="AK747" s="18">
        <f>+VLOOKUP(AJ747,Leyenda!$U$4:$V$10,2,FALSE)</f>
        <v>2</v>
      </c>
      <c r="AL747" s="6"/>
      <c r="AM747" s="18" t="s">
        <v>29</v>
      </c>
      <c r="AN747" s="18" t="s">
        <v>64</v>
      </c>
      <c r="AO747" s="18" t="s">
        <v>79</v>
      </c>
      <c r="AP747" s="18" t="s">
        <v>96</v>
      </c>
      <c r="AQ747" s="18" t="s">
        <v>107</v>
      </c>
      <c r="AR747" s="18" t="s">
        <v>120</v>
      </c>
      <c r="AS747" s="18" t="s">
        <v>267</v>
      </c>
      <c r="AT747" s="18"/>
      <c r="AU747" s="6"/>
      <c r="AV747" s="36">
        <f>+VLOOKUP(AN747,Leyenda!$B$30:$E$34,3,FALSE)</f>
        <v>2</v>
      </c>
      <c r="AW747" s="36">
        <f>+VLOOKUP('2. Logging Brejo Seco'!AO747,Meteorizacion,3,FALSE)</f>
        <v>1</v>
      </c>
      <c r="AX747" s="36">
        <f>+VLOOKUP('2. Logging Brejo Seco'!AP747,Apertura,3,FALSE)</f>
        <v>1</v>
      </c>
      <c r="AY747" s="36">
        <f>+VLOOKUP('2. Logging Brejo Seco'!AQ747,Leyenda!$B$55:$D$59,3,FALSE)</f>
        <v>3</v>
      </c>
      <c r="AZ747" s="36">
        <f>+VLOOKUP('2. Logging Brejo Seco'!AR747,Relleno,3,FALSE)</f>
        <v>2</v>
      </c>
      <c r="BA747" s="36">
        <f t="shared" si="293"/>
        <v>9</v>
      </c>
      <c r="BB747" s="50">
        <f t="shared" si="294"/>
        <v>4</v>
      </c>
      <c r="BC747" s="49">
        <f>VLOOKUP(AH747,Leyenda!$B$4:$D$10,3,FALSE)</f>
        <v>2</v>
      </c>
      <c r="BD747" s="50">
        <f t="shared" si="295"/>
        <v>8</v>
      </c>
      <c r="BE747" s="50">
        <f t="shared" si="296"/>
        <v>9</v>
      </c>
      <c r="BF747" s="50">
        <f>VLOOKUP(AS747,Leyenda!$B$70:$D$75,3,FALSE)</f>
        <v>15</v>
      </c>
      <c r="BG747" s="110">
        <f t="shared" si="297"/>
        <v>22.25</v>
      </c>
      <c r="BH747" s="110">
        <f>VLOOKUP(AG747,Leyenda!$B$4:$E$10,4,FALSE)</f>
        <v>2</v>
      </c>
      <c r="BI747" s="67">
        <f t="shared" si="298"/>
        <v>10</v>
      </c>
      <c r="BJ747" s="110">
        <f t="shared" si="299"/>
        <v>4</v>
      </c>
      <c r="BK747" s="110">
        <f>+VLOOKUP('2. Logging Brejo Seco'!AP747,Leyenda!$B$47:$E$51,4,FALSE)</f>
        <v>1</v>
      </c>
      <c r="BL747" s="110">
        <f>+VLOOKUP('2. Logging Brejo Seco'!AQ747,Leyenda!$B$55:$E$59,4,FALSE)</f>
        <v>3</v>
      </c>
      <c r="BM747" s="110">
        <f>+VLOOKUP('2. Logging Brejo Seco'!AR747,Leyenda!$B$63:$E$67,3,FALSE)</f>
        <v>2</v>
      </c>
      <c r="BN747" s="110">
        <f>+VLOOKUP('2. Logging Brejo Seco'!AO747,Leyenda!$B$39:$E$43,4,FALSE)</f>
        <v>1</v>
      </c>
      <c r="BO747" s="110">
        <f>+VLOOKUP('2. Logging Brejo Seco'!AN747,Leyenda!$B$30:$E$34,4,FALSE)</f>
        <v>3</v>
      </c>
      <c r="BP747" s="110">
        <f>VLOOKUP(AS747,Leyenda!$B$71:$E$75,4,FALSE)</f>
        <v>10</v>
      </c>
      <c r="BQ747" s="110">
        <f t="shared" si="300"/>
        <v>36</v>
      </c>
      <c r="BR747" s="36">
        <f t="shared" si="301"/>
        <v>38</v>
      </c>
      <c r="BS747" s="240">
        <f t="shared" si="287"/>
        <v>0.22999999999999998</v>
      </c>
      <c r="BT747" s="6"/>
    </row>
    <row r="748" spans="1:110" x14ac:dyDescent="0.25">
      <c r="A748" s="18" t="s">
        <v>6</v>
      </c>
      <c r="B748" s="18">
        <v>2024</v>
      </c>
      <c r="C748" s="18" t="s">
        <v>138</v>
      </c>
      <c r="D748" s="18" t="s">
        <v>658</v>
      </c>
      <c r="E748" s="18">
        <v>30</v>
      </c>
      <c r="F748" s="191">
        <v>20</v>
      </c>
      <c r="G748" s="18" t="s">
        <v>152</v>
      </c>
      <c r="H748" s="3">
        <v>50</v>
      </c>
      <c r="I748" s="3" t="s">
        <v>756</v>
      </c>
      <c r="J748" s="3"/>
      <c r="K748" s="18">
        <f t="shared" si="302"/>
        <v>70.38</v>
      </c>
      <c r="L748" s="183">
        <v>71.38</v>
      </c>
      <c r="M748" s="4">
        <f t="shared" si="289"/>
        <v>1</v>
      </c>
      <c r="N748" s="113">
        <f t="shared" si="290"/>
        <v>0.76</v>
      </c>
      <c r="O748" s="5">
        <f t="shared" si="286"/>
        <v>0.24</v>
      </c>
      <c r="P748" s="18">
        <v>0.76</v>
      </c>
      <c r="Q748" s="182"/>
      <c r="R748" s="182"/>
      <c r="S748" s="182"/>
      <c r="T748" s="183">
        <v>0.76</v>
      </c>
      <c r="U748" s="183">
        <v>0</v>
      </c>
      <c r="V748" s="203">
        <f t="shared" si="291"/>
        <v>0</v>
      </c>
      <c r="W748" s="183"/>
      <c r="X748" s="183"/>
      <c r="Y748" s="183">
        <v>20</v>
      </c>
      <c r="Z748" s="31">
        <f t="shared" si="288"/>
        <v>50</v>
      </c>
      <c r="AA748" s="6"/>
      <c r="AB748" s="6"/>
      <c r="AC748" s="6"/>
      <c r="AD748" s="6"/>
      <c r="AE748" s="6"/>
      <c r="AF748" s="6"/>
      <c r="AG748" s="3" t="s">
        <v>29</v>
      </c>
      <c r="AH748" s="3" t="s">
        <v>29</v>
      </c>
      <c r="AI748" s="18" t="str">
        <f>+VLOOKUP(AH748,Leyenda!$O$4:$U$10,6,FALSE)</f>
        <v>0,25-0,35</v>
      </c>
      <c r="AJ748" s="18" t="str">
        <f>+VLOOKUP(AG748,Leyenda!$O$4:$U$10,7,FALSE)</f>
        <v>No Blasting need</v>
      </c>
      <c r="AK748" s="18">
        <f>+VLOOKUP(AJ748,Leyenda!$U$4:$V$10,2,FALSE)</f>
        <v>2</v>
      </c>
      <c r="AL748" s="6"/>
      <c r="AM748" s="18" t="s">
        <v>29</v>
      </c>
      <c r="AN748" s="18" t="s">
        <v>66</v>
      </c>
      <c r="AO748" s="18" t="s">
        <v>79</v>
      </c>
      <c r="AP748" s="18" t="s">
        <v>96</v>
      </c>
      <c r="AQ748" s="18" t="s">
        <v>107</v>
      </c>
      <c r="AR748" s="18" t="s">
        <v>120</v>
      </c>
      <c r="AS748" s="18" t="s">
        <v>267</v>
      </c>
      <c r="AT748" s="18"/>
      <c r="AU748" s="6"/>
      <c r="AV748" s="36">
        <f>+VLOOKUP(AN748,Leyenda!$B$30:$E$34,3,FALSE)</f>
        <v>1</v>
      </c>
      <c r="AW748" s="36">
        <f>+VLOOKUP('2. Logging Brejo Seco'!AO748,Meteorizacion,3,FALSE)</f>
        <v>1</v>
      </c>
      <c r="AX748" s="36">
        <f>+VLOOKUP('2. Logging Brejo Seco'!AP748,Apertura,3,FALSE)</f>
        <v>1</v>
      </c>
      <c r="AY748" s="36">
        <f>+VLOOKUP('2. Logging Brejo Seco'!AQ748,Leyenda!$B$55:$D$59,3,FALSE)</f>
        <v>3</v>
      </c>
      <c r="AZ748" s="36">
        <f>+VLOOKUP('2. Logging Brejo Seco'!AR748,Relleno,3,FALSE)</f>
        <v>2</v>
      </c>
      <c r="BA748" s="36">
        <f t="shared" si="293"/>
        <v>8</v>
      </c>
      <c r="BB748" s="50">
        <f t="shared" si="294"/>
        <v>0</v>
      </c>
      <c r="BC748" s="49">
        <f>VLOOKUP(AH748,Leyenda!$B$4:$D$10,3,FALSE)</f>
        <v>2</v>
      </c>
      <c r="BD748" s="50">
        <f t="shared" si="295"/>
        <v>6</v>
      </c>
      <c r="BE748" s="50">
        <f t="shared" si="296"/>
        <v>8</v>
      </c>
      <c r="BF748" s="50">
        <f>VLOOKUP(AS748,Leyenda!$B$70:$D$75,3,FALSE)</f>
        <v>15</v>
      </c>
      <c r="BG748" s="110">
        <f t="shared" si="297"/>
        <v>12</v>
      </c>
      <c r="BH748" s="110">
        <f>VLOOKUP(AG748,Leyenda!$B$4:$E$10,4,FALSE)</f>
        <v>2</v>
      </c>
      <c r="BI748" s="67">
        <f t="shared" si="298"/>
        <v>5</v>
      </c>
      <c r="BJ748" s="110">
        <f t="shared" si="299"/>
        <v>0</v>
      </c>
      <c r="BK748" s="110">
        <f>+VLOOKUP('2. Logging Brejo Seco'!AP748,Leyenda!$B$47:$E$51,4,FALSE)</f>
        <v>1</v>
      </c>
      <c r="BL748" s="110">
        <f>+VLOOKUP('2. Logging Brejo Seco'!AQ748,Leyenda!$B$55:$E$59,4,FALSE)</f>
        <v>3</v>
      </c>
      <c r="BM748" s="110">
        <f>+VLOOKUP('2. Logging Brejo Seco'!AR748,Leyenda!$B$63:$E$67,3,FALSE)</f>
        <v>2</v>
      </c>
      <c r="BN748" s="110">
        <f>+VLOOKUP('2. Logging Brejo Seco'!AO748,Leyenda!$B$39:$E$43,4,FALSE)</f>
        <v>1</v>
      </c>
      <c r="BO748" s="110">
        <f>+VLOOKUP('2. Logging Brejo Seco'!AN748,Leyenda!$B$30:$E$34,4,FALSE)</f>
        <v>1</v>
      </c>
      <c r="BP748" s="110">
        <f>VLOOKUP(AS748,Leyenda!$B$71:$E$75,4,FALSE)</f>
        <v>10</v>
      </c>
      <c r="BQ748" s="110">
        <f t="shared" si="300"/>
        <v>25</v>
      </c>
      <c r="BR748" s="36">
        <f t="shared" si="301"/>
        <v>31</v>
      </c>
      <c r="BS748" s="240">
        <f t="shared" si="287"/>
        <v>0.24</v>
      </c>
      <c r="BT748" s="6"/>
    </row>
    <row r="749" spans="1:110" x14ac:dyDescent="0.25">
      <c r="A749" s="18" t="s">
        <v>6</v>
      </c>
      <c r="B749" s="18">
        <v>2024</v>
      </c>
      <c r="C749" s="18" t="s">
        <v>138</v>
      </c>
      <c r="D749" s="18" t="s">
        <v>658</v>
      </c>
      <c r="E749" s="18">
        <v>30</v>
      </c>
      <c r="F749" s="191">
        <v>20</v>
      </c>
      <c r="G749" s="18" t="s">
        <v>152</v>
      </c>
      <c r="H749" s="3">
        <v>70</v>
      </c>
      <c r="I749" s="3" t="s">
        <v>758</v>
      </c>
      <c r="J749" s="3"/>
      <c r="K749" s="18">
        <f t="shared" si="302"/>
        <v>71.38</v>
      </c>
      <c r="L749" s="183">
        <v>72.88</v>
      </c>
      <c r="M749" s="4">
        <f t="shared" si="289"/>
        <v>1.5</v>
      </c>
      <c r="N749" s="113">
        <f t="shared" si="290"/>
        <v>0.77333333333333332</v>
      </c>
      <c r="O749" s="5">
        <f t="shared" si="286"/>
        <v>0.22666666666666668</v>
      </c>
      <c r="P749" s="18">
        <v>1.1599999999999999</v>
      </c>
      <c r="Q749" s="182"/>
      <c r="R749" s="182"/>
      <c r="S749" s="182"/>
      <c r="T749" s="183">
        <v>1.1599999999999999</v>
      </c>
      <c r="U749" s="183">
        <v>0.17</v>
      </c>
      <c r="V749" s="203">
        <f t="shared" si="291"/>
        <v>11.333333333333334</v>
      </c>
      <c r="W749" s="183"/>
      <c r="X749" s="183"/>
      <c r="Y749" s="183">
        <v>15</v>
      </c>
      <c r="Z749" s="31">
        <f t="shared" si="288"/>
        <v>100</v>
      </c>
      <c r="AA749" s="6"/>
      <c r="AB749" s="6"/>
      <c r="AC749" s="6"/>
      <c r="AD749" s="6"/>
      <c r="AE749" s="6"/>
      <c r="AF749" s="6"/>
      <c r="AG749" s="3" t="s">
        <v>29</v>
      </c>
      <c r="AH749" s="3" t="s">
        <v>29</v>
      </c>
      <c r="AI749" s="18" t="str">
        <f>+VLOOKUP(AH749,Leyenda!$O$4:$U$10,6,FALSE)</f>
        <v>0,25-0,35</v>
      </c>
      <c r="AJ749" s="18" t="str">
        <f>+VLOOKUP(AG749,Leyenda!$O$4:$U$10,7,FALSE)</f>
        <v>No Blasting need</v>
      </c>
      <c r="AK749" s="18">
        <f>+VLOOKUP(AJ749,Leyenda!$U$4:$V$10,2,FALSE)</f>
        <v>2</v>
      </c>
      <c r="AL749" s="6"/>
      <c r="AM749" s="18" t="s">
        <v>29</v>
      </c>
      <c r="AN749" s="18" t="s">
        <v>66</v>
      </c>
      <c r="AO749" s="18" t="s">
        <v>79</v>
      </c>
      <c r="AP749" s="18" t="s">
        <v>96</v>
      </c>
      <c r="AQ749" s="18" t="s">
        <v>107</v>
      </c>
      <c r="AR749" s="18" t="s">
        <v>120</v>
      </c>
      <c r="AS749" s="18" t="s">
        <v>267</v>
      </c>
      <c r="AT749" s="18"/>
      <c r="AU749" s="6"/>
      <c r="AV749" s="36">
        <f>+VLOOKUP(AN749,Leyenda!$B$30:$E$34,3,FALSE)</f>
        <v>1</v>
      </c>
      <c r="AW749" s="36">
        <f>+VLOOKUP('2. Logging Brejo Seco'!AO749,Meteorizacion,3,FALSE)</f>
        <v>1</v>
      </c>
      <c r="AX749" s="36">
        <f>+VLOOKUP('2. Logging Brejo Seco'!AP749,Apertura,3,FALSE)</f>
        <v>1</v>
      </c>
      <c r="AY749" s="36">
        <f>+VLOOKUP('2. Logging Brejo Seco'!AQ749,Leyenda!$B$55:$D$59,3,FALSE)</f>
        <v>3</v>
      </c>
      <c r="AZ749" s="36">
        <f>+VLOOKUP('2. Logging Brejo Seco'!AR749,Relleno,3,FALSE)</f>
        <v>2</v>
      </c>
      <c r="BA749" s="36">
        <f t="shared" si="293"/>
        <v>8</v>
      </c>
      <c r="BB749" s="50">
        <f t="shared" si="294"/>
        <v>2</v>
      </c>
      <c r="BC749" s="49">
        <f>VLOOKUP(AH749,Leyenda!$B$4:$D$10,3,FALSE)</f>
        <v>2</v>
      </c>
      <c r="BD749" s="50">
        <f t="shared" si="295"/>
        <v>7</v>
      </c>
      <c r="BE749" s="50">
        <f t="shared" si="296"/>
        <v>8</v>
      </c>
      <c r="BF749" s="50">
        <f>VLOOKUP(AS749,Leyenda!$B$70:$D$75,3,FALSE)</f>
        <v>15</v>
      </c>
      <c r="BG749" s="110">
        <f t="shared" si="297"/>
        <v>17.666666666666668</v>
      </c>
      <c r="BH749" s="110">
        <f>VLOOKUP(AG749,Leyenda!$B$4:$E$10,4,FALSE)</f>
        <v>2</v>
      </c>
      <c r="BI749" s="67">
        <f t="shared" si="298"/>
        <v>8</v>
      </c>
      <c r="BJ749" s="110">
        <f t="shared" si="299"/>
        <v>2</v>
      </c>
      <c r="BK749" s="110">
        <f>+VLOOKUP('2. Logging Brejo Seco'!AP749,Leyenda!$B$47:$E$51,4,FALSE)</f>
        <v>1</v>
      </c>
      <c r="BL749" s="110">
        <f>+VLOOKUP('2. Logging Brejo Seco'!AQ749,Leyenda!$B$55:$E$59,4,FALSE)</f>
        <v>3</v>
      </c>
      <c r="BM749" s="110">
        <f>+VLOOKUP('2. Logging Brejo Seco'!AR749,Leyenda!$B$63:$E$67,3,FALSE)</f>
        <v>2</v>
      </c>
      <c r="BN749" s="110">
        <f>+VLOOKUP('2. Logging Brejo Seco'!AO749,Leyenda!$B$39:$E$43,4,FALSE)</f>
        <v>1</v>
      </c>
      <c r="BO749" s="110">
        <f>+VLOOKUP('2. Logging Brejo Seco'!AN749,Leyenda!$B$30:$E$34,4,FALSE)</f>
        <v>1</v>
      </c>
      <c r="BP749" s="110">
        <f>VLOOKUP(AS749,Leyenda!$B$71:$E$75,4,FALSE)</f>
        <v>10</v>
      </c>
      <c r="BQ749" s="110">
        <f t="shared" si="300"/>
        <v>30</v>
      </c>
      <c r="BR749" s="36">
        <f t="shared" si="301"/>
        <v>34</v>
      </c>
      <c r="BS749" s="240">
        <f t="shared" si="287"/>
        <v>0.22666666666666668</v>
      </c>
      <c r="BT749" s="6"/>
    </row>
    <row r="750" spans="1:110" x14ac:dyDescent="0.25">
      <c r="A750" s="18" t="s">
        <v>6</v>
      </c>
      <c r="B750" s="18">
        <v>2024</v>
      </c>
      <c r="C750" s="18" t="s">
        <v>138</v>
      </c>
      <c r="D750" s="18" t="s">
        <v>658</v>
      </c>
      <c r="E750" s="18">
        <v>30</v>
      </c>
      <c r="F750" s="191">
        <v>20</v>
      </c>
      <c r="G750" s="18" t="s">
        <v>152</v>
      </c>
      <c r="H750" s="3">
        <v>70</v>
      </c>
      <c r="I750" s="3" t="s">
        <v>758</v>
      </c>
      <c r="J750" s="3"/>
      <c r="K750" s="18">
        <f t="shared" si="302"/>
        <v>72.88</v>
      </c>
      <c r="L750" s="183">
        <v>74.78</v>
      </c>
      <c r="M750" s="4">
        <f t="shared" si="289"/>
        <v>1.9000000000000057</v>
      </c>
      <c r="N750" s="113">
        <f t="shared" si="290"/>
        <v>0.5999999999999982</v>
      </c>
      <c r="O750" s="5">
        <f t="shared" si="286"/>
        <v>0.4000000000000018</v>
      </c>
      <c r="P750" s="18">
        <v>1.1399999999999999</v>
      </c>
      <c r="Q750" s="182"/>
      <c r="R750" s="182"/>
      <c r="S750" s="182"/>
      <c r="T750" s="183">
        <f>0.19+0.95</f>
        <v>1.1399999999999999</v>
      </c>
      <c r="U750" s="183">
        <v>0</v>
      </c>
      <c r="V750" s="203">
        <f t="shared" si="291"/>
        <v>0</v>
      </c>
      <c r="W750" s="183"/>
      <c r="X750" s="183"/>
      <c r="Y750" s="183">
        <v>20</v>
      </c>
      <c r="Z750" s="31">
        <f t="shared" si="288"/>
        <v>95.000000000000284</v>
      </c>
      <c r="AA750" s="6"/>
      <c r="AB750" s="6"/>
      <c r="AC750" s="6"/>
      <c r="AD750" s="6"/>
      <c r="AE750" s="6"/>
      <c r="AF750" s="6"/>
      <c r="AG750" s="3" t="s">
        <v>29</v>
      </c>
      <c r="AH750" s="3" t="s">
        <v>29</v>
      </c>
      <c r="AI750" s="18" t="str">
        <f>+VLOOKUP(AH750,Leyenda!$O$4:$U$10,6,FALSE)</f>
        <v>0,25-0,35</v>
      </c>
      <c r="AJ750" s="18" t="str">
        <f>+VLOOKUP(AG750,Leyenda!$O$4:$U$10,7,FALSE)</f>
        <v>No Blasting need</v>
      </c>
      <c r="AK750" s="18">
        <f>+VLOOKUP(AJ750,Leyenda!$U$4:$V$10,2,FALSE)</f>
        <v>2</v>
      </c>
      <c r="AL750" s="6"/>
      <c r="AM750" s="18" t="s">
        <v>29</v>
      </c>
      <c r="AN750" s="18" t="s">
        <v>66</v>
      </c>
      <c r="AO750" s="18" t="s">
        <v>79</v>
      </c>
      <c r="AP750" s="18" t="s">
        <v>96</v>
      </c>
      <c r="AQ750" s="18" t="s">
        <v>107</v>
      </c>
      <c r="AR750" s="18" t="s">
        <v>120</v>
      </c>
      <c r="AS750" s="18" t="s">
        <v>267</v>
      </c>
      <c r="AT750" s="18"/>
      <c r="AU750" s="6"/>
      <c r="AV750" s="36">
        <f>+VLOOKUP(AN750,Leyenda!$B$30:$E$34,3,FALSE)</f>
        <v>1</v>
      </c>
      <c r="AW750" s="36">
        <f>+VLOOKUP('2. Logging Brejo Seco'!AO750,Meteorizacion,3,FALSE)</f>
        <v>1</v>
      </c>
      <c r="AX750" s="36">
        <f>+VLOOKUP('2. Logging Brejo Seco'!AP750,Apertura,3,FALSE)</f>
        <v>1</v>
      </c>
      <c r="AY750" s="36">
        <f>+VLOOKUP('2. Logging Brejo Seco'!AQ750,Leyenda!$B$55:$D$59,3,FALSE)</f>
        <v>3</v>
      </c>
      <c r="AZ750" s="36">
        <f>+VLOOKUP('2. Logging Brejo Seco'!AR750,Relleno,3,FALSE)</f>
        <v>2</v>
      </c>
      <c r="BA750" s="36">
        <f t="shared" si="293"/>
        <v>8</v>
      </c>
      <c r="BB750" s="50">
        <f t="shared" si="294"/>
        <v>0</v>
      </c>
      <c r="BC750" s="49">
        <f>VLOOKUP(AH750,Leyenda!$B$4:$D$10,3,FALSE)</f>
        <v>2</v>
      </c>
      <c r="BD750" s="50">
        <f t="shared" si="295"/>
        <v>7</v>
      </c>
      <c r="BE750" s="50">
        <f t="shared" si="296"/>
        <v>8</v>
      </c>
      <c r="BF750" s="50">
        <f>VLOOKUP(AS750,Leyenda!$B$70:$D$75,3,FALSE)</f>
        <v>15</v>
      </c>
      <c r="BG750" s="110">
        <f t="shared" si="297"/>
        <v>12</v>
      </c>
      <c r="BH750" s="110">
        <f>VLOOKUP(AG750,Leyenda!$B$4:$E$10,4,FALSE)</f>
        <v>2</v>
      </c>
      <c r="BI750" s="67">
        <f t="shared" si="298"/>
        <v>8</v>
      </c>
      <c r="BJ750" s="110">
        <f t="shared" si="299"/>
        <v>0</v>
      </c>
      <c r="BK750" s="110">
        <f>+VLOOKUP('2. Logging Brejo Seco'!AP750,Leyenda!$B$47:$E$51,4,FALSE)</f>
        <v>1</v>
      </c>
      <c r="BL750" s="110">
        <f>+VLOOKUP('2. Logging Brejo Seco'!AQ750,Leyenda!$B$55:$E$59,4,FALSE)</f>
        <v>3</v>
      </c>
      <c r="BM750" s="110">
        <f>+VLOOKUP('2. Logging Brejo Seco'!AR750,Leyenda!$B$63:$E$67,3,FALSE)</f>
        <v>2</v>
      </c>
      <c r="BN750" s="110">
        <f>+VLOOKUP('2. Logging Brejo Seco'!AO750,Leyenda!$B$39:$E$43,4,FALSE)</f>
        <v>1</v>
      </c>
      <c r="BO750" s="110">
        <f>+VLOOKUP('2. Logging Brejo Seco'!AN750,Leyenda!$B$30:$E$34,4,FALSE)</f>
        <v>1</v>
      </c>
      <c r="BP750" s="110">
        <f>VLOOKUP(AS750,Leyenda!$B$71:$E$75,4,FALSE)</f>
        <v>10</v>
      </c>
      <c r="BQ750" s="110">
        <f t="shared" si="300"/>
        <v>28</v>
      </c>
      <c r="BR750" s="36">
        <f t="shared" si="301"/>
        <v>32</v>
      </c>
      <c r="BS750" s="240">
        <f t="shared" si="287"/>
        <v>0.4000000000000018</v>
      </c>
      <c r="BT750" s="6"/>
    </row>
    <row r="751" spans="1:110" x14ac:dyDescent="0.25">
      <c r="A751" s="18" t="s">
        <v>6</v>
      </c>
      <c r="B751" s="18">
        <v>2024</v>
      </c>
      <c r="C751" s="18" t="s">
        <v>138</v>
      </c>
      <c r="D751" s="18" t="s">
        <v>658</v>
      </c>
      <c r="E751" s="18">
        <v>30</v>
      </c>
      <c r="F751" s="191">
        <v>20</v>
      </c>
      <c r="G751" s="18" t="s">
        <v>152</v>
      </c>
      <c r="H751" s="3">
        <v>10</v>
      </c>
      <c r="I751" s="3" t="s">
        <v>761</v>
      </c>
      <c r="J751" s="3"/>
      <c r="K751" s="18">
        <f t="shared" si="302"/>
        <v>74.78</v>
      </c>
      <c r="L751" s="183">
        <v>75.98</v>
      </c>
      <c r="M751" s="4">
        <f t="shared" si="289"/>
        <v>1.2000000000000028</v>
      </c>
      <c r="N751" s="113">
        <f t="shared" si="290"/>
        <v>0.70833333333333159</v>
      </c>
      <c r="O751" s="5">
        <f t="shared" si="286"/>
        <v>0.29166666666666841</v>
      </c>
      <c r="P751" s="18">
        <v>0.85</v>
      </c>
      <c r="Q751" s="182"/>
      <c r="R751" s="182"/>
      <c r="S751" s="182"/>
      <c r="T751" s="183">
        <v>0.85</v>
      </c>
      <c r="U751" s="183">
        <v>0.15</v>
      </c>
      <c r="V751" s="203">
        <f t="shared" si="291"/>
        <v>12.49999999999997</v>
      </c>
      <c r="W751" s="183"/>
      <c r="X751" s="183"/>
      <c r="Y751" s="183">
        <v>15</v>
      </c>
      <c r="Z751" s="31">
        <f t="shared" si="288"/>
        <v>80.000000000000185</v>
      </c>
      <c r="AA751" s="6"/>
      <c r="AB751" s="6"/>
      <c r="AC751" s="6"/>
      <c r="AD751" s="6"/>
      <c r="AE751" s="6"/>
      <c r="AF751" s="6"/>
      <c r="AG751" s="3" t="s">
        <v>29</v>
      </c>
      <c r="AH751" s="3" t="s">
        <v>29</v>
      </c>
      <c r="AI751" s="18" t="str">
        <f>+VLOOKUP(AH751,Leyenda!$O$4:$U$10,6,FALSE)</f>
        <v>0,25-0,35</v>
      </c>
      <c r="AJ751" s="18" t="str">
        <f>+VLOOKUP(AG751,Leyenda!$O$4:$U$10,7,FALSE)</f>
        <v>No Blasting need</v>
      </c>
      <c r="AK751" s="18">
        <f>+VLOOKUP(AJ751,Leyenda!$U$4:$V$10,2,FALSE)</f>
        <v>2</v>
      </c>
      <c r="AL751" s="6"/>
      <c r="AM751" s="18" t="s">
        <v>29</v>
      </c>
      <c r="AN751" s="18" t="s">
        <v>66</v>
      </c>
      <c r="AO751" s="18" t="s">
        <v>79</v>
      </c>
      <c r="AP751" s="18" t="s">
        <v>96</v>
      </c>
      <c r="AQ751" s="18" t="s">
        <v>107</v>
      </c>
      <c r="AR751" s="18" t="s">
        <v>120</v>
      </c>
      <c r="AS751" s="18" t="s">
        <v>267</v>
      </c>
      <c r="AT751" s="18"/>
      <c r="AU751" s="6"/>
      <c r="AV751" s="36">
        <f>+VLOOKUP(AN751,Leyenda!$B$30:$E$34,3,FALSE)</f>
        <v>1</v>
      </c>
      <c r="AW751" s="36">
        <f>+VLOOKUP('2. Logging Brejo Seco'!AO751,Meteorizacion,3,FALSE)</f>
        <v>1</v>
      </c>
      <c r="AX751" s="36">
        <f>+VLOOKUP('2. Logging Brejo Seco'!AP751,Apertura,3,FALSE)</f>
        <v>1</v>
      </c>
      <c r="AY751" s="36">
        <f>+VLOOKUP('2. Logging Brejo Seco'!AQ751,Leyenda!$B$55:$D$59,3,FALSE)</f>
        <v>3</v>
      </c>
      <c r="AZ751" s="36">
        <f>+VLOOKUP('2. Logging Brejo Seco'!AR751,Relleno,3,FALSE)</f>
        <v>2</v>
      </c>
      <c r="BA751" s="36">
        <f t="shared" si="293"/>
        <v>8</v>
      </c>
      <c r="BB751" s="50">
        <f t="shared" si="294"/>
        <v>3</v>
      </c>
      <c r="BC751" s="49">
        <f>VLOOKUP(AH751,Leyenda!$B$4:$D$10,3,FALSE)</f>
        <v>2</v>
      </c>
      <c r="BD751" s="50">
        <f t="shared" si="295"/>
        <v>7</v>
      </c>
      <c r="BE751" s="50">
        <f t="shared" si="296"/>
        <v>8</v>
      </c>
      <c r="BF751" s="50">
        <f>VLOOKUP(AS751,Leyenda!$B$70:$D$75,3,FALSE)</f>
        <v>15</v>
      </c>
      <c r="BG751" s="110">
        <f t="shared" si="297"/>
        <v>18.249999999999986</v>
      </c>
      <c r="BH751" s="110">
        <f>VLOOKUP(AG751,Leyenda!$B$4:$E$10,4,FALSE)</f>
        <v>2</v>
      </c>
      <c r="BI751" s="67">
        <f t="shared" si="298"/>
        <v>7</v>
      </c>
      <c r="BJ751" s="110">
        <f t="shared" si="299"/>
        <v>3</v>
      </c>
      <c r="BK751" s="110">
        <f>+VLOOKUP('2. Logging Brejo Seco'!AP751,Leyenda!$B$47:$E$51,4,FALSE)</f>
        <v>1</v>
      </c>
      <c r="BL751" s="110">
        <f>+VLOOKUP('2. Logging Brejo Seco'!AQ751,Leyenda!$B$55:$E$59,4,FALSE)</f>
        <v>3</v>
      </c>
      <c r="BM751" s="110">
        <f>+VLOOKUP('2. Logging Brejo Seco'!AR751,Leyenda!$B$63:$E$67,3,FALSE)</f>
        <v>2</v>
      </c>
      <c r="BN751" s="110">
        <f>+VLOOKUP('2. Logging Brejo Seco'!AO751,Leyenda!$B$39:$E$43,4,FALSE)</f>
        <v>1</v>
      </c>
      <c r="BO751" s="110">
        <f>+VLOOKUP('2. Logging Brejo Seco'!AN751,Leyenda!$B$30:$E$34,4,FALSE)</f>
        <v>1</v>
      </c>
      <c r="BP751" s="110">
        <f>VLOOKUP(AS751,Leyenda!$B$71:$E$75,4,FALSE)</f>
        <v>10</v>
      </c>
      <c r="BQ751" s="110">
        <f t="shared" si="300"/>
        <v>30</v>
      </c>
      <c r="BR751" s="36">
        <f t="shared" si="301"/>
        <v>35</v>
      </c>
      <c r="BS751" s="240">
        <f t="shared" si="287"/>
        <v>0.29166666666666841</v>
      </c>
      <c r="BT751" s="6"/>
      <c r="DD751" s="43" t="s">
        <v>14</v>
      </c>
      <c r="DE751" s="43" t="s">
        <v>15</v>
      </c>
      <c r="DF751" s="43" t="s">
        <v>16</v>
      </c>
    </row>
    <row r="752" spans="1:110" x14ac:dyDescent="0.25">
      <c r="A752" s="18" t="s">
        <v>6</v>
      </c>
      <c r="B752" s="18">
        <v>2024</v>
      </c>
      <c r="C752" s="18" t="s">
        <v>138</v>
      </c>
      <c r="D752" s="18" t="s">
        <v>658</v>
      </c>
      <c r="E752" s="18">
        <v>30</v>
      </c>
      <c r="F752" s="191">
        <v>20</v>
      </c>
      <c r="G752" s="18" t="s">
        <v>152</v>
      </c>
      <c r="H752" s="3">
        <v>10</v>
      </c>
      <c r="I752" s="3" t="s">
        <v>761</v>
      </c>
      <c r="J752" s="3"/>
      <c r="K752" s="18">
        <f t="shared" si="302"/>
        <v>75.98</v>
      </c>
      <c r="L752" s="183">
        <v>76.680000000000007</v>
      </c>
      <c r="M752" s="4">
        <f t="shared" si="289"/>
        <v>0.70000000000000284</v>
      </c>
      <c r="N752" s="113">
        <f t="shared" si="290"/>
        <v>0.74285714285713988</v>
      </c>
      <c r="O752" s="5">
        <f t="shared" si="286"/>
        <v>0.25714285714286012</v>
      </c>
      <c r="P752" s="18">
        <v>0.52</v>
      </c>
      <c r="Q752" s="182"/>
      <c r="R752" s="182"/>
      <c r="S752" s="182"/>
      <c r="T752" s="183">
        <v>0.52</v>
      </c>
      <c r="U752" s="183">
        <v>0</v>
      </c>
      <c r="V752" s="203">
        <f t="shared" si="291"/>
        <v>0</v>
      </c>
      <c r="W752" s="183"/>
      <c r="X752" s="183"/>
      <c r="Y752" s="183">
        <v>20</v>
      </c>
      <c r="Z752" s="31">
        <f t="shared" si="288"/>
        <v>35.000000000000142</v>
      </c>
      <c r="AA752" s="6"/>
      <c r="AB752" s="6"/>
      <c r="AC752" s="6"/>
      <c r="AD752" s="6"/>
      <c r="AE752" s="6"/>
      <c r="AF752" s="6"/>
      <c r="AG752" s="3" t="s">
        <v>29</v>
      </c>
      <c r="AH752" s="3" t="s">
        <v>29</v>
      </c>
      <c r="AI752" s="18" t="str">
        <f>+VLOOKUP(AH752,Leyenda!$O$4:$U$10,6,FALSE)</f>
        <v>0,25-0,35</v>
      </c>
      <c r="AJ752" s="18" t="str">
        <f>+VLOOKUP(AG752,Leyenda!$O$4:$U$10,7,FALSE)</f>
        <v>No Blasting need</v>
      </c>
      <c r="AK752" s="18">
        <f>+VLOOKUP(AJ752,Leyenda!$U$4:$V$10,2,FALSE)</f>
        <v>2</v>
      </c>
      <c r="AL752" s="6"/>
      <c r="AM752" s="18" t="s">
        <v>29</v>
      </c>
      <c r="AN752" s="18" t="s">
        <v>66</v>
      </c>
      <c r="AO752" s="18" t="s">
        <v>79</v>
      </c>
      <c r="AP752" s="18" t="s">
        <v>96</v>
      </c>
      <c r="AQ752" s="18" t="s">
        <v>107</v>
      </c>
      <c r="AR752" s="18" t="s">
        <v>120</v>
      </c>
      <c r="AS752" s="18" t="s">
        <v>267</v>
      </c>
      <c r="AT752" s="18"/>
      <c r="AU752" s="6"/>
      <c r="AV752" s="36">
        <f>+VLOOKUP(AN752,Leyenda!$B$30:$E$34,3,FALSE)</f>
        <v>1</v>
      </c>
      <c r="AW752" s="36">
        <f>+VLOOKUP('2. Logging Brejo Seco'!AO752,Meteorizacion,3,FALSE)</f>
        <v>1</v>
      </c>
      <c r="AX752" s="36">
        <f>+VLOOKUP('2. Logging Brejo Seco'!AP752,Apertura,3,FALSE)</f>
        <v>1</v>
      </c>
      <c r="AY752" s="36">
        <f>+VLOOKUP('2. Logging Brejo Seco'!AQ752,Leyenda!$B$55:$D$59,3,FALSE)</f>
        <v>3</v>
      </c>
      <c r="AZ752" s="36">
        <f>+VLOOKUP('2. Logging Brejo Seco'!AR752,Relleno,3,FALSE)</f>
        <v>2</v>
      </c>
      <c r="BA752" s="36">
        <f t="shared" si="293"/>
        <v>8</v>
      </c>
      <c r="BB752" s="50">
        <f t="shared" si="294"/>
        <v>0</v>
      </c>
      <c r="BC752" s="49">
        <f>VLOOKUP(AH752,Leyenda!$B$4:$D$10,3,FALSE)</f>
        <v>2</v>
      </c>
      <c r="BD752" s="50">
        <f t="shared" si="295"/>
        <v>5</v>
      </c>
      <c r="BE752" s="50">
        <f t="shared" si="296"/>
        <v>8</v>
      </c>
      <c r="BF752" s="50">
        <f>VLOOKUP(AS752,Leyenda!$B$70:$D$75,3,FALSE)</f>
        <v>15</v>
      </c>
      <c r="BG752" s="110">
        <f t="shared" si="297"/>
        <v>12</v>
      </c>
      <c r="BH752" s="110">
        <f>VLOOKUP(AG752,Leyenda!$B$4:$E$10,4,FALSE)</f>
        <v>2</v>
      </c>
      <c r="BI752" s="67">
        <f t="shared" si="298"/>
        <v>5</v>
      </c>
      <c r="BJ752" s="110">
        <f t="shared" si="299"/>
        <v>0</v>
      </c>
      <c r="BK752" s="110">
        <f>+VLOOKUP('2. Logging Brejo Seco'!AP752,Leyenda!$B$47:$E$51,4,FALSE)</f>
        <v>1</v>
      </c>
      <c r="BL752" s="110">
        <f>+VLOOKUP('2. Logging Brejo Seco'!AQ752,Leyenda!$B$55:$E$59,4,FALSE)</f>
        <v>3</v>
      </c>
      <c r="BM752" s="110">
        <f>+VLOOKUP('2. Logging Brejo Seco'!AR752,Leyenda!$B$63:$E$67,3,FALSE)</f>
        <v>2</v>
      </c>
      <c r="BN752" s="110">
        <f>+VLOOKUP('2. Logging Brejo Seco'!AO752,Leyenda!$B$39:$E$43,4,FALSE)</f>
        <v>1</v>
      </c>
      <c r="BO752" s="110">
        <f>+VLOOKUP('2. Logging Brejo Seco'!AN752,Leyenda!$B$30:$E$34,4,FALSE)</f>
        <v>1</v>
      </c>
      <c r="BP752" s="110">
        <f>VLOOKUP(AS752,Leyenda!$B$71:$E$75,4,FALSE)</f>
        <v>10</v>
      </c>
      <c r="BQ752" s="110">
        <f t="shared" si="300"/>
        <v>25</v>
      </c>
      <c r="BR752" s="36">
        <f t="shared" si="301"/>
        <v>30</v>
      </c>
      <c r="BS752" s="240">
        <f t="shared" si="287"/>
        <v>0.25714285714286012</v>
      </c>
      <c r="BT752" s="6"/>
      <c r="DD752" s="9" t="s">
        <v>19</v>
      </c>
      <c r="DE752" s="10" t="s">
        <v>20</v>
      </c>
      <c r="DF752" s="9">
        <v>15</v>
      </c>
    </row>
    <row r="753" spans="1:110" x14ac:dyDescent="0.25">
      <c r="A753" s="18" t="s">
        <v>6</v>
      </c>
      <c r="B753" s="18">
        <v>2024</v>
      </c>
      <c r="C753" s="18" t="s">
        <v>138</v>
      </c>
      <c r="D753" s="18" t="s">
        <v>658</v>
      </c>
      <c r="E753" s="18">
        <v>30</v>
      </c>
      <c r="F753" s="191">
        <v>20</v>
      </c>
      <c r="G753" s="18" t="s">
        <v>152</v>
      </c>
      <c r="H753" s="3">
        <v>10</v>
      </c>
      <c r="I753" s="3" t="s">
        <v>761</v>
      </c>
      <c r="J753" s="3"/>
      <c r="K753" s="18">
        <f t="shared" si="302"/>
        <v>76.680000000000007</v>
      </c>
      <c r="L753" s="183">
        <v>77.88</v>
      </c>
      <c r="M753" s="4">
        <f t="shared" si="289"/>
        <v>1.1999999999999886</v>
      </c>
      <c r="N753" s="113">
        <f t="shared" si="290"/>
        <v>0.72500000000000686</v>
      </c>
      <c r="O753" s="5">
        <f t="shared" si="286"/>
        <v>0.27499999999999314</v>
      </c>
      <c r="P753" s="18">
        <v>0.87</v>
      </c>
      <c r="Q753" s="182"/>
      <c r="R753" s="182"/>
      <c r="S753" s="182"/>
      <c r="T753" s="183">
        <f>0.3+0.57</f>
        <v>0.86999999999999988</v>
      </c>
      <c r="U753" s="183">
        <v>0.11</v>
      </c>
      <c r="V753" s="203">
        <f t="shared" si="291"/>
        <v>9.1666666666667531</v>
      </c>
      <c r="W753" s="183"/>
      <c r="X753" s="183"/>
      <c r="Y753" s="183">
        <v>15</v>
      </c>
      <c r="Z753" s="31">
        <f t="shared" si="288"/>
        <v>79.999999999999247</v>
      </c>
      <c r="AA753" s="6"/>
      <c r="AB753" s="6"/>
      <c r="AC753" s="6"/>
      <c r="AD753" s="6"/>
      <c r="AE753" s="6"/>
      <c r="AF753" s="6"/>
      <c r="AG753" s="3" t="s">
        <v>34</v>
      </c>
      <c r="AH753" s="3" t="s">
        <v>34</v>
      </c>
      <c r="AI753" s="18">
        <f>+VLOOKUP(AH753,Leyenda!$O$4:$U$10,6,FALSE)</f>
        <v>0</v>
      </c>
      <c r="AJ753" s="18" t="str">
        <f>+VLOOKUP(AG753,Leyenda!$O$4:$U$10,7,FALSE)</f>
        <v>No Blasting need</v>
      </c>
      <c r="AK753" s="18">
        <f>+VLOOKUP(AJ753,Leyenda!$U$4:$V$10,2,FALSE)</f>
        <v>2</v>
      </c>
      <c r="AL753" s="6"/>
      <c r="AM753" s="18" t="s">
        <v>34</v>
      </c>
      <c r="AN753" s="18" t="s">
        <v>66</v>
      </c>
      <c r="AO753" s="18" t="s">
        <v>79</v>
      </c>
      <c r="AP753" s="18" t="s">
        <v>96</v>
      </c>
      <c r="AQ753" s="18" t="s">
        <v>107</v>
      </c>
      <c r="AR753" s="18" t="s">
        <v>120</v>
      </c>
      <c r="AS753" s="18" t="s">
        <v>267</v>
      </c>
      <c r="AT753" s="18"/>
      <c r="AU753" s="6"/>
      <c r="AV753" s="36">
        <f>+VLOOKUP(AN753,Leyenda!$B$30:$E$34,3,FALSE)</f>
        <v>1</v>
      </c>
      <c r="AW753" s="36">
        <f>+VLOOKUP('2. Logging Brejo Seco'!AO753,Meteorizacion,3,FALSE)</f>
        <v>1</v>
      </c>
      <c r="AX753" s="36">
        <f>+VLOOKUP('2. Logging Brejo Seco'!AP753,Apertura,3,FALSE)</f>
        <v>1</v>
      </c>
      <c r="AY753" s="36">
        <f>+VLOOKUP('2. Logging Brejo Seco'!AQ753,Leyenda!$B$55:$D$59,3,FALSE)</f>
        <v>3</v>
      </c>
      <c r="AZ753" s="36">
        <f>+VLOOKUP('2. Logging Brejo Seco'!AR753,Relleno,3,FALSE)</f>
        <v>2</v>
      </c>
      <c r="BA753" s="36">
        <f t="shared" si="293"/>
        <v>8</v>
      </c>
      <c r="BB753" s="50">
        <f t="shared" si="294"/>
        <v>2</v>
      </c>
      <c r="BC753" s="49">
        <f>VLOOKUP(AH753,Leyenda!$B$4:$D$10,3,FALSE)</f>
        <v>0</v>
      </c>
      <c r="BD753" s="50">
        <f t="shared" si="295"/>
        <v>7</v>
      </c>
      <c r="BE753" s="50">
        <f t="shared" si="296"/>
        <v>8</v>
      </c>
      <c r="BF753" s="50">
        <f>VLOOKUP(AS753,Leyenda!$B$70:$D$75,3,FALSE)</f>
        <v>15</v>
      </c>
      <c r="BG753" s="110">
        <f t="shared" si="297"/>
        <v>16.583333333333378</v>
      </c>
      <c r="BH753" s="110">
        <f>VLOOKUP(AG753,Leyenda!$B$4:$E$10,4,FALSE)</f>
        <v>0</v>
      </c>
      <c r="BI753" s="67">
        <f t="shared" si="298"/>
        <v>7</v>
      </c>
      <c r="BJ753" s="110">
        <f t="shared" si="299"/>
        <v>2</v>
      </c>
      <c r="BK753" s="110">
        <f>+VLOOKUP('2. Logging Brejo Seco'!AP753,Leyenda!$B$47:$E$51,4,FALSE)</f>
        <v>1</v>
      </c>
      <c r="BL753" s="110">
        <f>+VLOOKUP('2. Logging Brejo Seco'!AQ753,Leyenda!$B$55:$E$59,4,FALSE)</f>
        <v>3</v>
      </c>
      <c r="BM753" s="110">
        <f>+VLOOKUP('2. Logging Brejo Seco'!AR753,Leyenda!$B$63:$E$67,3,FALSE)</f>
        <v>2</v>
      </c>
      <c r="BN753" s="110">
        <f>+VLOOKUP('2. Logging Brejo Seco'!AO753,Leyenda!$B$39:$E$43,4,FALSE)</f>
        <v>1</v>
      </c>
      <c r="BO753" s="110">
        <f>+VLOOKUP('2. Logging Brejo Seco'!AN753,Leyenda!$B$30:$E$34,4,FALSE)</f>
        <v>1</v>
      </c>
      <c r="BP753" s="110">
        <f>VLOOKUP(AS753,Leyenda!$B$71:$E$75,4,FALSE)</f>
        <v>10</v>
      </c>
      <c r="BQ753" s="110">
        <f t="shared" si="300"/>
        <v>27</v>
      </c>
      <c r="BR753" s="36">
        <f t="shared" si="301"/>
        <v>32</v>
      </c>
      <c r="BS753" s="240">
        <f t="shared" si="287"/>
        <v>0.27499999999999314</v>
      </c>
      <c r="BT753" s="6"/>
      <c r="DD753" s="9" t="s">
        <v>22</v>
      </c>
      <c r="DE753" s="10" t="s">
        <v>23</v>
      </c>
      <c r="DF753" s="9">
        <v>12</v>
      </c>
    </row>
    <row r="754" spans="1:110" x14ac:dyDescent="0.25">
      <c r="A754" s="18" t="s">
        <v>6</v>
      </c>
      <c r="B754" s="18">
        <v>2024</v>
      </c>
      <c r="C754" s="18" t="s">
        <v>138</v>
      </c>
      <c r="D754" s="18" t="s">
        <v>658</v>
      </c>
      <c r="E754" s="3">
        <v>20</v>
      </c>
      <c r="F754" s="191">
        <v>20</v>
      </c>
      <c r="G754" s="18" t="s">
        <v>156</v>
      </c>
      <c r="H754" s="3">
        <v>10</v>
      </c>
      <c r="I754" s="3" t="s">
        <v>761</v>
      </c>
      <c r="J754" s="3"/>
      <c r="K754" s="18">
        <f t="shared" si="302"/>
        <v>77.88</v>
      </c>
      <c r="L754" s="183">
        <v>79.08</v>
      </c>
      <c r="M754" s="4">
        <f t="shared" si="289"/>
        <v>1.2000000000000028</v>
      </c>
      <c r="N754" s="113">
        <f t="shared" si="290"/>
        <v>0.71666666666666501</v>
      </c>
      <c r="O754" s="5">
        <f t="shared" ref="O754:O817" si="303">1-N754</f>
        <v>0.28333333333333499</v>
      </c>
      <c r="P754" s="18">
        <v>0.86</v>
      </c>
      <c r="Q754" s="182"/>
      <c r="R754" s="182"/>
      <c r="S754" s="182"/>
      <c r="T754" s="183">
        <v>0.86</v>
      </c>
      <c r="U754" s="183">
        <v>0.13</v>
      </c>
      <c r="V754" s="203">
        <f t="shared" si="291"/>
        <v>10.833333333333309</v>
      </c>
      <c r="W754" s="183"/>
      <c r="X754" s="183"/>
      <c r="Y754" s="183">
        <v>15</v>
      </c>
      <c r="Z754" s="31">
        <f t="shared" si="288"/>
        <v>80.000000000000185</v>
      </c>
      <c r="AA754" s="6"/>
      <c r="AB754" s="6"/>
      <c r="AC754" s="6"/>
      <c r="AD754" s="6"/>
      <c r="AE754" s="6"/>
      <c r="AF754" s="6"/>
      <c r="AG754" s="3" t="s">
        <v>34</v>
      </c>
      <c r="AH754" s="3" t="s">
        <v>34</v>
      </c>
      <c r="AI754" s="18">
        <f>+VLOOKUP(AH754,Leyenda!$O$4:$U$10,6,FALSE)</f>
        <v>0</v>
      </c>
      <c r="AJ754" s="18" t="str">
        <f>+VLOOKUP(AG754,Leyenda!$O$4:$U$10,7,FALSE)</f>
        <v>No Blasting need</v>
      </c>
      <c r="AK754" s="18">
        <f>+VLOOKUP(AJ754,Leyenda!$U$4:$V$10,2,FALSE)</f>
        <v>2</v>
      </c>
      <c r="AL754" s="6"/>
      <c r="AM754" s="18" t="s">
        <v>34</v>
      </c>
      <c r="AN754" s="18" t="s">
        <v>66</v>
      </c>
      <c r="AO754" s="18" t="s">
        <v>79</v>
      </c>
      <c r="AP754" s="18" t="s">
        <v>96</v>
      </c>
      <c r="AQ754" s="18" t="s">
        <v>107</v>
      </c>
      <c r="AR754" s="18" t="s">
        <v>120</v>
      </c>
      <c r="AS754" s="18" t="s">
        <v>267</v>
      </c>
      <c r="AT754" s="18"/>
      <c r="AU754" s="6"/>
      <c r="AV754" s="36">
        <f>+VLOOKUP(AN754,Leyenda!$B$30:$E$34,3,FALSE)</f>
        <v>1</v>
      </c>
      <c r="AW754" s="36">
        <f>+VLOOKUP('2. Logging Brejo Seco'!AO754,Meteorizacion,3,FALSE)</f>
        <v>1</v>
      </c>
      <c r="AX754" s="36">
        <f>+VLOOKUP('2. Logging Brejo Seco'!AP754,Apertura,3,FALSE)</f>
        <v>1</v>
      </c>
      <c r="AY754" s="36">
        <f>+VLOOKUP('2. Logging Brejo Seco'!AQ754,Leyenda!$B$55:$D$59,3,FALSE)</f>
        <v>3</v>
      </c>
      <c r="AZ754" s="36">
        <f>+VLOOKUP('2. Logging Brejo Seco'!AR754,Relleno,3,FALSE)</f>
        <v>2</v>
      </c>
      <c r="BA754" s="36">
        <f t="shared" si="293"/>
        <v>8</v>
      </c>
      <c r="BB754" s="50">
        <f t="shared" si="294"/>
        <v>2</v>
      </c>
      <c r="BC754" s="49">
        <f>VLOOKUP(AH754,Leyenda!$B$4:$D$10,3,FALSE)</f>
        <v>0</v>
      </c>
      <c r="BD754" s="50">
        <f t="shared" si="295"/>
        <v>7</v>
      </c>
      <c r="BE754" s="50">
        <f t="shared" si="296"/>
        <v>8</v>
      </c>
      <c r="BF754" s="50">
        <f>VLOOKUP(AS754,Leyenda!$B$70:$D$75,3,FALSE)</f>
        <v>15</v>
      </c>
      <c r="BG754" s="110">
        <f t="shared" si="297"/>
        <v>17.416666666666654</v>
      </c>
      <c r="BH754" s="110">
        <f>VLOOKUP(AG754,Leyenda!$B$4:$E$10,4,FALSE)</f>
        <v>0</v>
      </c>
      <c r="BI754" s="67">
        <f t="shared" si="298"/>
        <v>7</v>
      </c>
      <c r="BJ754" s="110">
        <f t="shared" si="299"/>
        <v>2</v>
      </c>
      <c r="BK754" s="110">
        <f>+VLOOKUP('2. Logging Brejo Seco'!AP754,Leyenda!$B$47:$E$51,4,FALSE)</f>
        <v>1</v>
      </c>
      <c r="BL754" s="110">
        <f>+VLOOKUP('2. Logging Brejo Seco'!AQ754,Leyenda!$B$55:$E$59,4,FALSE)</f>
        <v>3</v>
      </c>
      <c r="BM754" s="110">
        <f>+VLOOKUP('2. Logging Brejo Seco'!AR754,Leyenda!$B$63:$E$67,3,FALSE)</f>
        <v>2</v>
      </c>
      <c r="BN754" s="110">
        <f>+VLOOKUP('2. Logging Brejo Seco'!AO754,Leyenda!$B$39:$E$43,4,FALSE)</f>
        <v>1</v>
      </c>
      <c r="BO754" s="110">
        <f>+VLOOKUP('2. Logging Brejo Seco'!AN754,Leyenda!$B$30:$E$34,4,FALSE)</f>
        <v>1</v>
      </c>
      <c r="BP754" s="110">
        <f>VLOOKUP(AS754,Leyenda!$B$71:$E$75,4,FALSE)</f>
        <v>10</v>
      </c>
      <c r="BQ754" s="110">
        <f t="shared" si="300"/>
        <v>27</v>
      </c>
      <c r="BR754" s="36">
        <f t="shared" si="301"/>
        <v>32</v>
      </c>
      <c r="BS754" s="240">
        <f t="shared" si="287"/>
        <v>0.28333333333333499</v>
      </c>
      <c r="BT754" s="6"/>
      <c r="DD754" s="9" t="s">
        <v>24</v>
      </c>
      <c r="DE754" s="10" t="s">
        <v>25</v>
      </c>
      <c r="DF754" s="9">
        <v>7</v>
      </c>
    </row>
    <row r="755" spans="1:110" x14ac:dyDescent="0.25">
      <c r="A755" s="18" t="s">
        <v>6</v>
      </c>
      <c r="B755" s="18">
        <v>2024</v>
      </c>
      <c r="C755" s="18" t="s">
        <v>138</v>
      </c>
      <c r="D755" s="18" t="s">
        <v>658</v>
      </c>
      <c r="E755" s="3">
        <v>20</v>
      </c>
      <c r="F755" s="191">
        <v>20</v>
      </c>
      <c r="G755" s="18" t="s">
        <v>156</v>
      </c>
      <c r="H755" s="3">
        <v>10</v>
      </c>
      <c r="I755" s="3" t="s">
        <v>761</v>
      </c>
      <c r="J755" s="3"/>
      <c r="K755" s="18">
        <f t="shared" si="302"/>
        <v>79.08</v>
      </c>
      <c r="L755" s="183">
        <v>80</v>
      </c>
      <c r="M755" s="4">
        <f t="shared" si="289"/>
        <v>0.92000000000000171</v>
      </c>
      <c r="N755" s="113">
        <f t="shared" si="290"/>
        <v>0.51086956521739035</v>
      </c>
      <c r="O755" s="5">
        <f t="shared" si="303"/>
        <v>0.48913043478260965</v>
      </c>
      <c r="P755" s="18">
        <v>0.47</v>
      </c>
      <c r="Q755" s="182"/>
      <c r="R755" s="182"/>
      <c r="S755" s="182"/>
      <c r="T755" s="183">
        <v>0.47</v>
      </c>
      <c r="U755" s="183">
        <v>0</v>
      </c>
      <c r="V755" s="203">
        <f t="shared" si="291"/>
        <v>0</v>
      </c>
      <c r="W755" s="183"/>
      <c r="X755" s="183"/>
      <c r="Y755" s="183">
        <v>20</v>
      </c>
      <c r="Z755" s="31">
        <f t="shared" si="288"/>
        <v>46.000000000000085</v>
      </c>
      <c r="AA755" s="6"/>
      <c r="AB755" s="6"/>
      <c r="AC755" s="6"/>
      <c r="AD755" s="6"/>
      <c r="AE755" s="6"/>
      <c r="AF755" s="6"/>
      <c r="AG755" s="3" t="s">
        <v>34</v>
      </c>
      <c r="AH755" s="3" t="s">
        <v>34</v>
      </c>
      <c r="AI755" s="18">
        <f>+VLOOKUP(AH755,Leyenda!$O$4:$U$10,6,FALSE)</f>
        <v>0</v>
      </c>
      <c r="AJ755" s="18" t="str">
        <f>+VLOOKUP(AG755,Leyenda!$O$4:$U$10,7,FALSE)</f>
        <v>No Blasting need</v>
      </c>
      <c r="AK755" s="18">
        <f>+VLOOKUP(AJ755,Leyenda!$U$4:$V$10,2,FALSE)</f>
        <v>2</v>
      </c>
      <c r="AL755" s="6"/>
      <c r="AM755" s="18" t="s">
        <v>34</v>
      </c>
      <c r="AN755" s="18" t="s">
        <v>66</v>
      </c>
      <c r="AO755" s="18" t="s">
        <v>79</v>
      </c>
      <c r="AP755" s="18" t="s">
        <v>96</v>
      </c>
      <c r="AQ755" s="18" t="s">
        <v>107</v>
      </c>
      <c r="AR755" s="18" t="s">
        <v>120</v>
      </c>
      <c r="AS755" s="18" t="s">
        <v>267</v>
      </c>
      <c r="AT755" s="18"/>
      <c r="AU755" s="6"/>
      <c r="AV755" s="36">
        <f>+VLOOKUP(AN755,Leyenda!$B$30:$E$34,3,FALSE)</f>
        <v>1</v>
      </c>
      <c r="AW755" s="36">
        <f>+VLOOKUP('2. Logging Brejo Seco'!AO755,Meteorizacion,3,FALSE)</f>
        <v>1</v>
      </c>
      <c r="AX755" s="36">
        <f>+VLOOKUP('2. Logging Brejo Seco'!AP755,Apertura,3,FALSE)</f>
        <v>1</v>
      </c>
      <c r="AY755" s="36">
        <f>+VLOOKUP('2. Logging Brejo Seco'!AQ755,Leyenda!$B$55:$D$59,3,FALSE)</f>
        <v>3</v>
      </c>
      <c r="AZ755" s="36">
        <f>+VLOOKUP('2. Logging Brejo Seco'!AR755,Relleno,3,FALSE)</f>
        <v>2</v>
      </c>
      <c r="BA755" s="36">
        <f t="shared" si="293"/>
        <v>8</v>
      </c>
      <c r="BB755" s="50">
        <f t="shared" si="294"/>
        <v>0</v>
      </c>
      <c r="BC755" s="49">
        <f>VLOOKUP(AH755,Leyenda!$B$4:$D$10,3,FALSE)</f>
        <v>0</v>
      </c>
      <c r="BD755" s="50">
        <f t="shared" si="295"/>
        <v>6</v>
      </c>
      <c r="BE755" s="50">
        <f t="shared" si="296"/>
        <v>8</v>
      </c>
      <c r="BF755" s="50">
        <f>VLOOKUP(AS755,Leyenda!$B$70:$D$75,3,FALSE)</f>
        <v>15</v>
      </c>
      <c r="BG755" s="110">
        <f t="shared" si="297"/>
        <v>12</v>
      </c>
      <c r="BH755" s="110">
        <f>VLOOKUP(AG755,Leyenda!$B$4:$E$10,4,FALSE)</f>
        <v>0</v>
      </c>
      <c r="BI755" s="67">
        <f t="shared" si="298"/>
        <v>5</v>
      </c>
      <c r="BJ755" s="110">
        <f t="shared" si="299"/>
        <v>0</v>
      </c>
      <c r="BK755" s="110">
        <f>+VLOOKUP('2. Logging Brejo Seco'!AP755,Leyenda!$B$47:$E$51,4,FALSE)</f>
        <v>1</v>
      </c>
      <c r="BL755" s="110">
        <f>+VLOOKUP('2. Logging Brejo Seco'!AQ755,Leyenda!$B$55:$E$59,4,FALSE)</f>
        <v>3</v>
      </c>
      <c r="BM755" s="110">
        <f>+VLOOKUP('2. Logging Brejo Seco'!AR755,Leyenda!$B$63:$E$67,3,FALSE)</f>
        <v>2</v>
      </c>
      <c r="BN755" s="110">
        <f>+VLOOKUP('2. Logging Brejo Seco'!AO755,Leyenda!$B$39:$E$43,4,FALSE)</f>
        <v>1</v>
      </c>
      <c r="BO755" s="110">
        <f>+VLOOKUP('2. Logging Brejo Seco'!AN755,Leyenda!$B$30:$E$34,4,FALSE)</f>
        <v>1</v>
      </c>
      <c r="BP755" s="110">
        <f>VLOOKUP(AS755,Leyenda!$B$71:$E$75,4,FALSE)</f>
        <v>10</v>
      </c>
      <c r="BQ755" s="110">
        <f t="shared" si="300"/>
        <v>23</v>
      </c>
      <c r="BR755" s="36">
        <f t="shared" si="301"/>
        <v>29</v>
      </c>
      <c r="BS755" s="240">
        <f t="shared" si="287"/>
        <v>0.48913043478260965</v>
      </c>
      <c r="BT755" s="6"/>
      <c r="DD755" s="9" t="s">
        <v>27</v>
      </c>
      <c r="DE755" s="10" t="s">
        <v>28</v>
      </c>
      <c r="DF755" s="9">
        <v>4</v>
      </c>
    </row>
    <row r="756" spans="1:110" x14ac:dyDescent="0.25">
      <c r="A756" s="18" t="s">
        <v>6</v>
      </c>
      <c r="B756" s="18">
        <v>2024</v>
      </c>
      <c r="C756" s="18" t="s">
        <v>138</v>
      </c>
      <c r="D756" s="18" t="s">
        <v>659</v>
      </c>
      <c r="E756" s="3">
        <v>60</v>
      </c>
      <c r="F756" s="191">
        <v>60</v>
      </c>
      <c r="G756" s="3" t="s">
        <v>136</v>
      </c>
      <c r="H756" s="244">
        <f>+F756</f>
        <v>60</v>
      </c>
      <c r="I756" s="244" t="s">
        <v>762</v>
      </c>
      <c r="J756" s="244"/>
      <c r="K756" s="18">
        <v>0</v>
      </c>
      <c r="L756" s="183">
        <v>0.6</v>
      </c>
      <c r="M756" s="4">
        <f t="shared" si="289"/>
        <v>0.6</v>
      </c>
      <c r="N756" s="113">
        <f t="shared" si="290"/>
        <v>0.81666666666666665</v>
      </c>
      <c r="O756" s="5">
        <f t="shared" si="303"/>
        <v>0.18333333333333335</v>
      </c>
      <c r="P756" s="18">
        <v>0.49</v>
      </c>
      <c r="Q756" s="182"/>
      <c r="R756" s="182"/>
      <c r="S756" s="182"/>
      <c r="T756" s="183">
        <v>0.49</v>
      </c>
      <c r="U756" s="183">
        <v>0</v>
      </c>
      <c r="V756" s="203">
        <f t="shared" si="291"/>
        <v>0</v>
      </c>
      <c r="W756" s="183"/>
      <c r="X756" s="183"/>
      <c r="Y756" s="183">
        <v>20</v>
      </c>
      <c r="Z756" s="31">
        <f t="shared" si="288"/>
        <v>30</v>
      </c>
      <c r="AA756" s="6"/>
      <c r="AB756" s="6"/>
      <c r="AC756" s="6"/>
      <c r="AD756" s="6"/>
      <c r="AE756" s="6"/>
      <c r="AF756" s="6"/>
      <c r="AG756" s="3" t="s">
        <v>34</v>
      </c>
      <c r="AH756" s="3" t="s">
        <v>34</v>
      </c>
      <c r="AI756" s="18">
        <f>+VLOOKUP(AH756,Leyenda!$O$4:$U$10,6,FALSE)</f>
        <v>0</v>
      </c>
      <c r="AJ756" s="18" t="str">
        <f>+VLOOKUP(AG756,Leyenda!$O$4:$U$10,7,FALSE)</f>
        <v>No Blasting need</v>
      </c>
      <c r="AK756" s="18">
        <f>+VLOOKUP(AJ756,Leyenda!$U$4:$V$10,2,FALSE)</f>
        <v>2</v>
      </c>
      <c r="AL756" s="6"/>
      <c r="AM756" s="3" t="s">
        <v>34</v>
      </c>
      <c r="AN756" s="3" t="s">
        <v>69</v>
      </c>
      <c r="AO756" s="3" t="s">
        <v>81</v>
      </c>
      <c r="AP756" s="3" t="s">
        <v>100</v>
      </c>
      <c r="AQ756" s="3" t="s">
        <v>111</v>
      </c>
      <c r="AR756" s="3" t="s">
        <v>120</v>
      </c>
      <c r="AS756" s="3" t="s">
        <v>267</v>
      </c>
      <c r="AT756" s="18"/>
      <c r="AU756" s="6"/>
      <c r="AV756" s="36">
        <f>+VLOOKUP(AN756,Leyenda!$B$30:$E$34,3,FALSE)</f>
        <v>0</v>
      </c>
      <c r="AW756" s="36">
        <f>+VLOOKUP('2. Logging Brejo Seco'!AO756,Meteorizacion,3,FALSE)</f>
        <v>0</v>
      </c>
      <c r="AX756" s="36">
        <f>+VLOOKUP('2. Logging Brejo Seco'!AP756,Apertura,3,FALSE)</f>
        <v>0</v>
      </c>
      <c r="AY756" s="36">
        <f>+VLOOKUP('2. Logging Brejo Seco'!AQ756,Leyenda!$B$55:$D$59,3,FALSE)</f>
        <v>0</v>
      </c>
      <c r="AZ756" s="36">
        <f>+VLOOKUP('2. Logging Brejo Seco'!AR756,Relleno,3,FALSE)</f>
        <v>2</v>
      </c>
      <c r="BA756" s="36">
        <f t="shared" si="293"/>
        <v>2</v>
      </c>
      <c r="BB756" s="50">
        <f t="shared" si="294"/>
        <v>0</v>
      </c>
      <c r="BC756" s="49">
        <f>VLOOKUP(AH756,Leyenda!$B$4:$D$10,3,FALSE)</f>
        <v>0</v>
      </c>
      <c r="BD756" s="50">
        <f t="shared" si="295"/>
        <v>5</v>
      </c>
      <c r="BE756" s="50">
        <f t="shared" si="296"/>
        <v>2</v>
      </c>
      <c r="BF756" s="50">
        <f>VLOOKUP(AS756,Leyenda!$B$70:$D$75,3,FALSE)</f>
        <v>15</v>
      </c>
      <c r="BG756" s="110">
        <f t="shared" si="297"/>
        <v>3</v>
      </c>
      <c r="BH756" s="110">
        <f>VLOOKUP(AG756,Leyenda!$B$4:$E$10,4,FALSE)</f>
        <v>0</v>
      </c>
      <c r="BI756" s="67">
        <f t="shared" si="298"/>
        <v>5</v>
      </c>
      <c r="BJ756" s="110">
        <f t="shared" si="299"/>
        <v>0</v>
      </c>
      <c r="BK756" s="110">
        <f>+VLOOKUP('2. Logging Brejo Seco'!AP756,Leyenda!$B$47:$E$51,4,FALSE)</f>
        <v>0</v>
      </c>
      <c r="BL756" s="110">
        <f>+VLOOKUP('2. Logging Brejo Seco'!AQ756,Leyenda!$B$55:$E$59,4,FALSE)</f>
        <v>0</v>
      </c>
      <c r="BM756" s="110">
        <f>+VLOOKUP('2. Logging Brejo Seco'!AR756,Leyenda!$B$63:$E$67,3,FALSE)</f>
        <v>2</v>
      </c>
      <c r="BN756" s="110">
        <f>+VLOOKUP('2. Logging Brejo Seco'!AO756,Leyenda!$B$39:$E$43,4,FALSE)</f>
        <v>0</v>
      </c>
      <c r="BO756" s="110">
        <f>+VLOOKUP('2. Logging Brejo Seco'!AN756,Leyenda!$B$30:$E$34,4,FALSE)</f>
        <v>0</v>
      </c>
      <c r="BP756" s="110">
        <f>VLOOKUP(AS756,Leyenda!$B$71:$E$75,4,FALSE)</f>
        <v>10</v>
      </c>
      <c r="BQ756" s="110">
        <f t="shared" si="300"/>
        <v>17</v>
      </c>
      <c r="BR756" s="36">
        <f t="shared" si="301"/>
        <v>22</v>
      </c>
      <c r="BS756" s="240">
        <f t="shared" si="287"/>
        <v>0.18333333333333335</v>
      </c>
      <c r="BT756" s="6"/>
      <c r="DD756" s="9" t="s">
        <v>29</v>
      </c>
      <c r="DE756" s="10" t="s">
        <v>30</v>
      </c>
      <c r="DF756" s="9">
        <v>2</v>
      </c>
    </row>
    <row r="757" spans="1:110" x14ac:dyDescent="0.25">
      <c r="A757" s="18" t="s">
        <v>6</v>
      </c>
      <c r="B757" s="18">
        <v>2024</v>
      </c>
      <c r="C757" s="18" t="s">
        <v>138</v>
      </c>
      <c r="D757" s="18" t="s">
        <v>659</v>
      </c>
      <c r="E757" s="3">
        <v>60</v>
      </c>
      <c r="F757" s="191">
        <v>60</v>
      </c>
      <c r="G757" s="3" t="s">
        <v>136</v>
      </c>
      <c r="H757" s="244">
        <f t="shared" ref="H757:H759" si="304">+F757</f>
        <v>60</v>
      </c>
      <c r="I757" s="244" t="s">
        <v>762</v>
      </c>
      <c r="J757" s="244"/>
      <c r="K757" s="18">
        <f>+L756</f>
        <v>0.6</v>
      </c>
      <c r="L757" s="183">
        <v>1.2</v>
      </c>
      <c r="M757" s="4">
        <f t="shared" si="289"/>
        <v>0.6</v>
      </c>
      <c r="N757" s="113">
        <f t="shared" si="290"/>
        <v>0.73333333333333339</v>
      </c>
      <c r="O757" s="5">
        <f t="shared" si="303"/>
        <v>0.26666666666666661</v>
      </c>
      <c r="P757" s="18">
        <v>0.44</v>
      </c>
      <c r="Q757" s="182"/>
      <c r="R757" s="182"/>
      <c r="S757" s="182"/>
      <c r="T757" s="183">
        <v>0.44</v>
      </c>
      <c r="U757" s="183">
        <v>0</v>
      </c>
      <c r="V757" s="203">
        <f t="shared" si="291"/>
        <v>0</v>
      </c>
      <c r="W757" s="183"/>
      <c r="X757" s="183"/>
      <c r="Y757" s="183">
        <v>20</v>
      </c>
      <c r="Z757" s="31">
        <f t="shared" si="288"/>
        <v>30</v>
      </c>
      <c r="AA757" s="6"/>
      <c r="AB757" s="6"/>
      <c r="AC757" s="6"/>
      <c r="AD757" s="6"/>
      <c r="AE757" s="6"/>
      <c r="AF757" s="6"/>
      <c r="AG757" s="18" t="s">
        <v>34</v>
      </c>
      <c r="AH757" s="18" t="s">
        <v>34</v>
      </c>
      <c r="AI757" s="18">
        <f>+VLOOKUP(AH757,Leyenda!$O$4:$U$10,6,FALSE)</f>
        <v>0</v>
      </c>
      <c r="AJ757" s="18" t="str">
        <f>+VLOOKUP(AG757,Leyenda!$O$4:$U$10,7,FALSE)</f>
        <v>No Blasting need</v>
      </c>
      <c r="AK757" s="18">
        <f>+VLOOKUP(AJ757,Leyenda!$U$4:$V$10,2,FALSE)</f>
        <v>2</v>
      </c>
      <c r="AL757" s="6"/>
      <c r="AM757" s="3" t="s">
        <v>34</v>
      </c>
      <c r="AN757" s="3" t="s">
        <v>69</v>
      </c>
      <c r="AO757" s="3" t="s">
        <v>81</v>
      </c>
      <c r="AP757" s="3" t="s">
        <v>100</v>
      </c>
      <c r="AQ757" s="3" t="s">
        <v>111</v>
      </c>
      <c r="AR757" s="3" t="s">
        <v>120</v>
      </c>
      <c r="AS757" s="3" t="s">
        <v>267</v>
      </c>
      <c r="AT757" s="18"/>
      <c r="AU757" s="6"/>
      <c r="AV757" s="36">
        <f>+VLOOKUP(AN757,Leyenda!$B$30:$E$34,3,FALSE)</f>
        <v>0</v>
      </c>
      <c r="AW757" s="36">
        <f>+VLOOKUP('2. Logging Brejo Seco'!AO757,Meteorizacion,3,FALSE)</f>
        <v>0</v>
      </c>
      <c r="AX757" s="36">
        <f>+VLOOKUP('2. Logging Brejo Seco'!AP757,Apertura,3,FALSE)</f>
        <v>0</v>
      </c>
      <c r="AY757" s="36">
        <f>+VLOOKUP('2. Logging Brejo Seco'!AQ757,Leyenda!$B$55:$D$59,3,FALSE)</f>
        <v>0</v>
      </c>
      <c r="AZ757" s="36">
        <f>+VLOOKUP('2. Logging Brejo Seco'!AR757,Relleno,3,FALSE)</f>
        <v>2</v>
      </c>
      <c r="BA757" s="36">
        <f t="shared" si="293"/>
        <v>2</v>
      </c>
      <c r="BB757" s="50">
        <f t="shared" si="294"/>
        <v>0</v>
      </c>
      <c r="BC757" s="49">
        <f>VLOOKUP(AH757,Leyenda!$B$4:$D$10,3,FALSE)</f>
        <v>0</v>
      </c>
      <c r="BD757" s="50">
        <f t="shared" si="295"/>
        <v>5</v>
      </c>
      <c r="BE757" s="50">
        <f t="shared" si="296"/>
        <v>2</v>
      </c>
      <c r="BF757" s="50">
        <f>VLOOKUP(AS757,Leyenda!$B$70:$D$75,3,FALSE)</f>
        <v>15</v>
      </c>
      <c r="BG757" s="110">
        <f t="shared" si="297"/>
        <v>3</v>
      </c>
      <c r="BH757" s="110">
        <f>VLOOKUP(AG757,Leyenda!$B$4:$E$10,4,FALSE)</f>
        <v>0</v>
      </c>
      <c r="BI757" s="67">
        <f t="shared" si="298"/>
        <v>5</v>
      </c>
      <c r="BJ757" s="110">
        <f t="shared" si="299"/>
        <v>0</v>
      </c>
      <c r="BK757" s="110">
        <f>+VLOOKUP('2. Logging Brejo Seco'!AP757,Leyenda!$B$47:$E$51,4,FALSE)</f>
        <v>0</v>
      </c>
      <c r="BL757" s="110">
        <f>+VLOOKUP('2. Logging Brejo Seco'!AQ757,Leyenda!$B$55:$E$59,4,FALSE)</f>
        <v>0</v>
      </c>
      <c r="BM757" s="110">
        <f>+VLOOKUP('2. Logging Brejo Seco'!AR757,Leyenda!$B$63:$E$67,3,FALSE)</f>
        <v>2</v>
      </c>
      <c r="BN757" s="110">
        <f>+VLOOKUP('2. Logging Brejo Seco'!AO757,Leyenda!$B$39:$E$43,4,FALSE)</f>
        <v>0</v>
      </c>
      <c r="BO757" s="110">
        <f>+VLOOKUP('2. Logging Brejo Seco'!AN757,Leyenda!$B$30:$E$34,4,FALSE)</f>
        <v>0</v>
      </c>
      <c r="BP757" s="110">
        <f>VLOOKUP(AS757,Leyenda!$B$71:$E$75,4,FALSE)</f>
        <v>10</v>
      </c>
      <c r="BQ757" s="110">
        <f t="shared" si="300"/>
        <v>17</v>
      </c>
      <c r="BR757" s="36">
        <f t="shared" si="301"/>
        <v>22</v>
      </c>
      <c r="BS757" s="240">
        <f t="shared" si="287"/>
        <v>0.26666666666666661</v>
      </c>
      <c r="BT757" s="6"/>
      <c r="DD757" s="9" t="s">
        <v>32</v>
      </c>
      <c r="DE757" s="10" t="s">
        <v>33</v>
      </c>
      <c r="DF757" s="9">
        <v>1</v>
      </c>
    </row>
    <row r="758" spans="1:110" x14ac:dyDescent="0.25">
      <c r="A758" s="18" t="s">
        <v>6</v>
      </c>
      <c r="B758" s="18">
        <v>2024</v>
      </c>
      <c r="C758" s="18" t="s">
        <v>138</v>
      </c>
      <c r="D758" s="18" t="s">
        <v>659</v>
      </c>
      <c r="E758" s="3">
        <v>60</v>
      </c>
      <c r="F758" s="191">
        <v>60</v>
      </c>
      <c r="G758" s="3" t="s">
        <v>136</v>
      </c>
      <c r="H758" s="244">
        <f t="shared" si="304"/>
        <v>60</v>
      </c>
      <c r="I758" s="244" t="s">
        <v>762</v>
      </c>
      <c r="J758" s="244"/>
      <c r="K758" s="18">
        <f t="shared" ref="K758:K822" si="305">+L757</f>
        <v>1.2</v>
      </c>
      <c r="L758" s="183">
        <v>1.8</v>
      </c>
      <c r="M758" s="4">
        <f t="shared" si="289"/>
        <v>0.60000000000000009</v>
      </c>
      <c r="N758" s="113">
        <f t="shared" si="290"/>
        <v>0.78333333333333321</v>
      </c>
      <c r="O758" s="5">
        <f t="shared" si="303"/>
        <v>0.21666666666666679</v>
      </c>
      <c r="P758" s="18">
        <v>0.47</v>
      </c>
      <c r="Q758" s="182"/>
      <c r="R758" s="182"/>
      <c r="S758" s="182"/>
      <c r="T758" s="183">
        <v>0.47</v>
      </c>
      <c r="U758" s="183">
        <v>0</v>
      </c>
      <c r="V758" s="203">
        <f t="shared" si="291"/>
        <v>0</v>
      </c>
      <c r="W758" s="183"/>
      <c r="X758" s="183"/>
      <c r="Y758" s="183">
        <v>20</v>
      </c>
      <c r="Z758" s="31">
        <f t="shared" si="288"/>
        <v>30.000000000000007</v>
      </c>
      <c r="AA758" s="6"/>
      <c r="AB758" s="6"/>
      <c r="AC758" s="6"/>
      <c r="AD758" s="6"/>
      <c r="AE758" s="6"/>
      <c r="AF758" s="6"/>
      <c r="AG758" s="18" t="s">
        <v>34</v>
      </c>
      <c r="AH758" s="18" t="s">
        <v>34</v>
      </c>
      <c r="AI758" s="18">
        <f>+VLOOKUP(AH758,Leyenda!$O$4:$U$10,6,FALSE)</f>
        <v>0</v>
      </c>
      <c r="AJ758" s="18" t="str">
        <f>+VLOOKUP(AG758,Leyenda!$O$4:$U$10,7,FALSE)</f>
        <v>No Blasting need</v>
      </c>
      <c r="AK758" s="18">
        <f>+VLOOKUP(AJ758,Leyenda!$U$4:$V$10,2,FALSE)</f>
        <v>2</v>
      </c>
      <c r="AL758" s="6"/>
      <c r="AM758" s="3" t="s">
        <v>34</v>
      </c>
      <c r="AN758" s="3" t="s">
        <v>69</v>
      </c>
      <c r="AO758" s="3" t="s">
        <v>81</v>
      </c>
      <c r="AP758" s="3" t="s">
        <v>100</v>
      </c>
      <c r="AQ758" s="3" t="s">
        <v>111</v>
      </c>
      <c r="AR758" s="3" t="s">
        <v>120</v>
      </c>
      <c r="AS758" s="3" t="s">
        <v>267</v>
      </c>
      <c r="AT758" s="18"/>
      <c r="AU758" s="6"/>
      <c r="AV758" s="36">
        <f>+VLOOKUP(AN758,Leyenda!$B$30:$E$34,3,FALSE)</f>
        <v>0</v>
      </c>
      <c r="AW758" s="36">
        <f>+VLOOKUP('2. Logging Brejo Seco'!AO758,Meteorizacion,3,FALSE)</f>
        <v>0</v>
      </c>
      <c r="AX758" s="36">
        <f>+VLOOKUP('2. Logging Brejo Seco'!AP758,Apertura,3,FALSE)</f>
        <v>0</v>
      </c>
      <c r="AY758" s="36">
        <f>+VLOOKUP('2. Logging Brejo Seco'!AQ758,Leyenda!$B$55:$D$59,3,FALSE)</f>
        <v>0</v>
      </c>
      <c r="AZ758" s="36">
        <f>+VLOOKUP('2. Logging Brejo Seco'!AR758,Relleno,3,FALSE)</f>
        <v>2</v>
      </c>
      <c r="BA758" s="36">
        <f t="shared" si="293"/>
        <v>2</v>
      </c>
      <c r="BB758" s="50">
        <f t="shared" si="294"/>
        <v>0</v>
      </c>
      <c r="BC758" s="49">
        <f>VLOOKUP(AH758,Leyenda!$B$4:$D$10,3,FALSE)</f>
        <v>0</v>
      </c>
      <c r="BD758" s="50">
        <f t="shared" si="295"/>
        <v>5</v>
      </c>
      <c r="BE758" s="50">
        <f t="shared" si="296"/>
        <v>2</v>
      </c>
      <c r="BF758" s="50">
        <f>VLOOKUP(AS758,Leyenda!$B$70:$D$75,3,FALSE)</f>
        <v>15</v>
      </c>
      <c r="BG758" s="110">
        <f t="shared" si="297"/>
        <v>3</v>
      </c>
      <c r="BH758" s="110">
        <f>VLOOKUP(AG758,Leyenda!$B$4:$E$10,4,FALSE)</f>
        <v>0</v>
      </c>
      <c r="BI758" s="67">
        <f t="shared" si="298"/>
        <v>5</v>
      </c>
      <c r="BJ758" s="110">
        <f t="shared" si="299"/>
        <v>0</v>
      </c>
      <c r="BK758" s="110">
        <f>+VLOOKUP('2. Logging Brejo Seco'!AP758,Leyenda!$B$47:$E$51,4,FALSE)</f>
        <v>0</v>
      </c>
      <c r="BL758" s="110">
        <f>+VLOOKUP('2. Logging Brejo Seco'!AQ758,Leyenda!$B$55:$E$59,4,FALSE)</f>
        <v>0</v>
      </c>
      <c r="BM758" s="110">
        <f>+VLOOKUP('2. Logging Brejo Seco'!AR758,Leyenda!$B$63:$E$67,3,FALSE)</f>
        <v>2</v>
      </c>
      <c r="BN758" s="110">
        <f>+VLOOKUP('2. Logging Brejo Seco'!AO758,Leyenda!$B$39:$E$43,4,FALSE)</f>
        <v>0</v>
      </c>
      <c r="BO758" s="110">
        <f>+VLOOKUP('2. Logging Brejo Seco'!AN758,Leyenda!$B$30:$E$34,4,FALSE)</f>
        <v>0</v>
      </c>
      <c r="BP758" s="110">
        <f>VLOOKUP(AS758,Leyenda!$B$71:$E$75,4,FALSE)</f>
        <v>10</v>
      </c>
      <c r="BQ758" s="110">
        <f t="shared" si="300"/>
        <v>17</v>
      </c>
      <c r="BR758" s="36">
        <f t="shared" si="301"/>
        <v>22</v>
      </c>
      <c r="BS758" s="240">
        <f t="shared" si="287"/>
        <v>0.21666666666666679</v>
      </c>
      <c r="BT758" s="6"/>
      <c r="DD758" s="9" t="s">
        <v>34</v>
      </c>
      <c r="DE758" s="10" t="s">
        <v>35</v>
      </c>
      <c r="DF758" s="9">
        <v>0</v>
      </c>
    </row>
    <row r="759" spans="1:110" x14ac:dyDescent="0.25">
      <c r="A759" s="18" t="s">
        <v>6</v>
      </c>
      <c r="B759" s="18">
        <v>2024</v>
      </c>
      <c r="C759" s="18" t="s">
        <v>138</v>
      </c>
      <c r="D759" s="18" t="s">
        <v>659</v>
      </c>
      <c r="E759" s="3">
        <v>40</v>
      </c>
      <c r="F759" s="191">
        <v>60</v>
      </c>
      <c r="G759" s="36" t="s">
        <v>153</v>
      </c>
      <c r="H759" s="244">
        <f t="shared" si="304"/>
        <v>60</v>
      </c>
      <c r="I759" s="244" t="s">
        <v>762</v>
      </c>
      <c r="J759" s="244"/>
      <c r="K759" s="18">
        <f t="shared" si="305"/>
        <v>1.8</v>
      </c>
      <c r="L759" s="183">
        <v>2.5</v>
      </c>
      <c r="M759" s="4">
        <f t="shared" si="289"/>
        <v>0.7</v>
      </c>
      <c r="N759" s="113">
        <f t="shared" si="290"/>
        <v>0.74285714285714288</v>
      </c>
      <c r="O759" s="5">
        <f t="shared" si="303"/>
        <v>0.25714285714285712</v>
      </c>
      <c r="P759" s="18">
        <v>0.52</v>
      </c>
      <c r="Q759" s="182"/>
      <c r="R759" s="182"/>
      <c r="S759" s="182"/>
      <c r="T759" s="183">
        <v>0.52</v>
      </c>
      <c r="U759" s="183">
        <v>0</v>
      </c>
      <c r="V759" s="203">
        <f t="shared" si="291"/>
        <v>0</v>
      </c>
      <c r="W759" s="183"/>
      <c r="X759" s="183"/>
      <c r="Y759" s="183">
        <v>20</v>
      </c>
      <c r="Z759" s="31">
        <f t="shared" si="288"/>
        <v>35</v>
      </c>
      <c r="AA759" s="6"/>
      <c r="AB759" s="6"/>
      <c r="AC759" s="6"/>
      <c r="AD759" s="6"/>
      <c r="AE759" s="6"/>
      <c r="AF759" s="6"/>
      <c r="AG759" s="18" t="s">
        <v>34</v>
      </c>
      <c r="AH759" s="18" t="s">
        <v>34</v>
      </c>
      <c r="AI759" s="18">
        <f>+VLOOKUP(AH759,Leyenda!$O$4:$U$10,6,FALSE)</f>
        <v>0</v>
      </c>
      <c r="AJ759" s="18" t="str">
        <f>+VLOOKUP(AG759,Leyenda!$O$4:$U$10,7,FALSE)</f>
        <v>No Blasting need</v>
      </c>
      <c r="AK759" s="18">
        <f>+VLOOKUP(AJ759,Leyenda!$U$4:$V$10,2,FALSE)</f>
        <v>2</v>
      </c>
      <c r="AL759" s="6"/>
      <c r="AM759" s="3" t="s">
        <v>34</v>
      </c>
      <c r="AN759" s="3" t="s">
        <v>69</v>
      </c>
      <c r="AO759" s="3" t="s">
        <v>81</v>
      </c>
      <c r="AP759" s="3" t="s">
        <v>100</v>
      </c>
      <c r="AQ759" s="3" t="s">
        <v>111</v>
      </c>
      <c r="AR759" s="3" t="s">
        <v>120</v>
      </c>
      <c r="AS759" s="3" t="s">
        <v>267</v>
      </c>
      <c r="AT759" s="18"/>
      <c r="AU759" s="6"/>
      <c r="AV759" s="36">
        <f>+VLOOKUP(AN759,Leyenda!$B$30:$E$34,3,FALSE)</f>
        <v>0</v>
      </c>
      <c r="AW759" s="36">
        <f>+VLOOKUP('2. Logging Brejo Seco'!AO759,Meteorizacion,3,FALSE)</f>
        <v>0</v>
      </c>
      <c r="AX759" s="36">
        <f>+VLOOKUP('2. Logging Brejo Seco'!AP759,Apertura,3,FALSE)</f>
        <v>0</v>
      </c>
      <c r="AY759" s="36">
        <f>+VLOOKUP('2. Logging Brejo Seco'!AQ759,Leyenda!$B$55:$D$59,3,FALSE)</f>
        <v>0</v>
      </c>
      <c r="AZ759" s="36">
        <f>+VLOOKUP('2. Logging Brejo Seco'!AR759,Relleno,3,FALSE)</f>
        <v>2</v>
      </c>
      <c r="BA759" s="36">
        <f t="shared" si="293"/>
        <v>2</v>
      </c>
      <c r="BB759" s="50">
        <f t="shared" si="294"/>
        <v>0</v>
      </c>
      <c r="BC759" s="49">
        <f>VLOOKUP(AH759,Leyenda!$B$4:$D$10,3,FALSE)</f>
        <v>0</v>
      </c>
      <c r="BD759" s="50">
        <f t="shared" si="295"/>
        <v>5</v>
      </c>
      <c r="BE759" s="50">
        <f t="shared" si="296"/>
        <v>2</v>
      </c>
      <c r="BF759" s="50">
        <f>VLOOKUP(AS759,Leyenda!$B$70:$D$75,3,FALSE)</f>
        <v>15</v>
      </c>
      <c r="BG759" s="110">
        <f t="shared" si="297"/>
        <v>3</v>
      </c>
      <c r="BH759" s="110">
        <f>VLOOKUP(AG759,Leyenda!$B$4:$E$10,4,FALSE)</f>
        <v>0</v>
      </c>
      <c r="BI759" s="67">
        <f t="shared" si="298"/>
        <v>5</v>
      </c>
      <c r="BJ759" s="110">
        <f t="shared" si="299"/>
        <v>0</v>
      </c>
      <c r="BK759" s="110">
        <f>+VLOOKUP('2. Logging Brejo Seco'!AP759,Leyenda!$B$47:$E$51,4,FALSE)</f>
        <v>0</v>
      </c>
      <c r="BL759" s="110">
        <f>+VLOOKUP('2. Logging Brejo Seco'!AQ759,Leyenda!$B$55:$E$59,4,FALSE)</f>
        <v>0</v>
      </c>
      <c r="BM759" s="110">
        <f>+VLOOKUP('2. Logging Brejo Seco'!AR759,Leyenda!$B$63:$E$67,3,FALSE)</f>
        <v>2</v>
      </c>
      <c r="BN759" s="110">
        <f>+VLOOKUP('2. Logging Brejo Seco'!AO759,Leyenda!$B$39:$E$43,4,FALSE)</f>
        <v>0</v>
      </c>
      <c r="BO759" s="110">
        <f>+VLOOKUP('2. Logging Brejo Seco'!AN759,Leyenda!$B$30:$E$34,4,FALSE)</f>
        <v>0</v>
      </c>
      <c r="BP759" s="110">
        <f>VLOOKUP(AS759,Leyenda!$B$71:$E$75,4,FALSE)</f>
        <v>10</v>
      </c>
      <c r="BQ759" s="110">
        <f t="shared" si="300"/>
        <v>17</v>
      </c>
      <c r="BR759" s="36">
        <f t="shared" si="301"/>
        <v>22</v>
      </c>
      <c r="BS759" s="240">
        <f t="shared" si="287"/>
        <v>0.25714285714285712</v>
      </c>
      <c r="BT759" s="6"/>
    </row>
    <row r="760" spans="1:110" x14ac:dyDescent="0.25">
      <c r="A760" s="18" t="s">
        <v>6</v>
      </c>
      <c r="B760" s="18">
        <v>2024</v>
      </c>
      <c r="C760" s="18" t="s">
        <v>138</v>
      </c>
      <c r="D760" s="18" t="s">
        <v>659</v>
      </c>
      <c r="E760" s="3">
        <v>40</v>
      </c>
      <c r="F760" s="191">
        <v>60</v>
      </c>
      <c r="G760" s="36" t="s">
        <v>153</v>
      </c>
      <c r="H760" s="3">
        <v>40</v>
      </c>
      <c r="I760" s="3" t="s">
        <v>757</v>
      </c>
      <c r="J760" s="3"/>
      <c r="K760" s="18">
        <f t="shared" si="305"/>
        <v>2.5</v>
      </c>
      <c r="L760" s="183">
        <v>3.15</v>
      </c>
      <c r="M760" s="4">
        <f t="shared" si="289"/>
        <v>0.64999999999999991</v>
      </c>
      <c r="N760" s="113">
        <f t="shared" si="290"/>
        <v>1.0307692307692309</v>
      </c>
      <c r="O760" s="5">
        <f t="shared" si="303"/>
        <v>-3.0769230769230882E-2</v>
      </c>
      <c r="P760" s="18">
        <v>0.67</v>
      </c>
      <c r="Q760" s="182"/>
      <c r="R760" s="182"/>
      <c r="S760" s="182"/>
      <c r="T760" s="183">
        <f>0.28+0.39</f>
        <v>0.67</v>
      </c>
      <c r="U760" s="183">
        <v>0</v>
      </c>
      <c r="V760" s="203">
        <f t="shared" si="291"/>
        <v>0</v>
      </c>
      <c r="W760" s="183"/>
      <c r="X760" s="183"/>
      <c r="Y760" s="183">
        <v>20</v>
      </c>
      <c r="Z760" s="31">
        <f t="shared" si="288"/>
        <v>32.499999999999993</v>
      </c>
      <c r="AA760" s="6"/>
      <c r="AB760" s="6"/>
      <c r="AC760" s="6"/>
      <c r="AD760" s="6"/>
      <c r="AE760" s="6"/>
      <c r="AF760" s="6"/>
      <c r="AG760" s="18" t="s">
        <v>34</v>
      </c>
      <c r="AH760" s="18" t="s">
        <v>34</v>
      </c>
      <c r="AI760" s="18">
        <f>+VLOOKUP(AH760,Leyenda!$O$4:$U$10,6,FALSE)</f>
        <v>0</v>
      </c>
      <c r="AJ760" s="18" t="str">
        <f>+VLOOKUP(AG760,Leyenda!$O$4:$U$10,7,FALSE)</f>
        <v>No Blasting need</v>
      </c>
      <c r="AK760" s="18">
        <f>+VLOOKUP(AJ760,Leyenda!$U$4:$V$10,2,FALSE)</f>
        <v>2</v>
      </c>
      <c r="AL760" s="6"/>
      <c r="AM760" s="3" t="s">
        <v>34</v>
      </c>
      <c r="AN760" s="3" t="s">
        <v>69</v>
      </c>
      <c r="AO760" s="3" t="s">
        <v>81</v>
      </c>
      <c r="AP760" s="3" t="s">
        <v>100</v>
      </c>
      <c r="AQ760" s="3" t="s">
        <v>111</v>
      </c>
      <c r="AR760" s="3" t="s">
        <v>120</v>
      </c>
      <c r="AS760" s="3" t="s">
        <v>267</v>
      </c>
      <c r="AT760" s="18"/>
      <c r="AU760" s="6"/>
      <c r="AV760" s="36">
        <f>+VLOOKUP(AN760,Leyenda!$B$30:$E$34,3,FALSE)</f>
        <v>0</v>
      </c>
      <c r="AW760" s="36">
        <f>+VLOOKUP('2. Logging Brejo Seco'!AO760,Meteorizacion,3,FALSE)</f>
        <v>0</v>
      </c>
      <c r="AX760" s="36">
        <f>+VLOOKUP('2. Logging Brejo Seco'!AP760,Apertura,3,FALSE)</f>
        <v>0</v>
      </c>
      <c r="AY760" s="36">
        <f>+VLOOKUP('2. Logging Brejo Seco'!AQ760,Leyenda!$B$55:$D$59,3,FALSE)</f>
        <v>0</v>
      </c>
      <c r="AZ760" s="36">
        <f>+VLOOKUP('2. Logging Brejo Seco'!AR760,Relleno,3,FALSE)</f>
        <v>2</v>
      </c>
      <c r="BA760" s="36">
        <f t="shared" si="293"/>
        <v>2</v>
      </c>
      <c r="BB760" s="50">
        <f t="shared" si="294"/>
        <v>0</v>
      </c>
      <c r="BC760" s="49">
        <f>VLOOKUP(AH760,Leyenda!$B$4:$D$10,3,FALSE)</f>
        <v>0</v>
      </c>
      <c r="BD760" s="50">
        <f t="shared" si="295"/>
        <v>5</v>
      </c>
      <c r="BE760" s="50">
        <f t="shared" si="296"/>
        <v>2</v>
      </c>
      <c r="BF760" s="50">
        <f>VLOOKUP(AS760,Leyenda!$B$70:$D$75,3,FALSE)</f>
        <v>15</v>
      </c>
      <c r="BG760" s="110">
        <f t="shared" si="297"/>
        <v>3</v>
      </c>
      <c r="BH760" s="110">
        <f>VLOOKUP(AG760,Leyenda!$B$4:$E$10,4,FALSE)</f>
        <v>0</v>
      </c>
      <c r="BI760" s="67">
        <f t="shared" si="298"/>
        <v>5</v>
      </c>
      <c r="BJ760" s="110">
        <f t="shared" si="299"/>
        <v>0</v>
      </c>
      <c r="BK760" s="110">
        <f>+VLOOKUP('2. Logging Brejo Seco'!AP760,Leyenda!$B$47:$E$51,4,FALSE)</f>
        <v>0</v>
      </c>
      <c r="BL760" s="110">
        <f>+VLOOKUP('2. Logging Brejo Seco'!AQ760,Leyenda!$B$55:$E$59,4,FALSE)</f>
        <v>0</v>
      </c>
      <c r="BM760" s="110">
        <f>+VLOOKUP('2. Logging Brejo Seco'!AR760,Leyenda!$B$63:$E$67,3,FALSE)</f>
        <v>2</v>
      </c>
      <c r="BN760" s="110">
        <f>+VLOOKUP('2. Logging Brejo Seco'!AO760,Leyenda!$B$39:$E$43,4,FALSE)</f>
        <v>0</v>
      </c>
      <c r="BO760" s="110">
        <f>+VLOOKUP('2. Logging Brejo Seco'!AN760,Leyenda!$B$30:$E$34,4,FALSE)</f>
        <v>0</v>
      </c>
      <c r="BP760" s="110">
        <f>VLOOKUP(AS760,Leyenda!$B$71:$E$75,4,FALSE)</f>
        <v>10</v>
      </c>
      <c r="BQ760" s="110">
        <f t="shared" si="300"/>
        <v>17</v>
      </c>
      <c r="BR760" s="36">
        <f t="shared" si="301"/>
        <v>22</v>
      </c>
      <c r="BS760" s="240">
        <f t="shared" si="287"/>
        <v>-3.0769230769230882E-2</v>
      </c>
      <c r="BT760" s="6"/>
      <c r="DB760" s="40" t="s">
        <v>287</v>
      </c>
      <c r="DC760" s="40" t="s">
        <v>288</v>
      </c>
      <c r="DD760" s="40" t="s">
        <v>289</v>
      </c>
    </row>
    <row r="761" spans="1:110" x14ac:dyDescent="0.25">
      <c r="A761" s="18" t="s">
        <v>6</v>
      </c>
      <c r="B761" s="18">
        <v>2024</v>
      </c>
      <c r="C761" s="18" t="s">
        <v>138</v>
      </c>
      <c r="D761" s="18" t="s">
        <v>659</v>
      </c>
      <c r="E761" s="3">
        <v>40</v>
      </c>
      <c r="F761" s="191">
        <v>60</v>
      </c>
      <c r="G761" s="36" t="s">
        <v>153</v>
      </c>
      <c r="H761" s="3">
        <v>40</v>
      </c>
      <c r="I761" s="3" t="s">
        <v>757</v>
      </c>
      <c r="J761" s="3"/>
      <c r="K761" s="18">
        <f t="shared" si="305"/>
        <v>3.15</v>
      </c>
      <c r="L761" s="183">
        <v>4.05</v>
      </c>
      <c r="M761" s="4">
        <f t="shared" si="289"/>
        <v>0.89999999999999991</v>
      </c>
      <c r="N761" s="113">
        <f t="shared" si="290"/>
        <v>0.94444444444444453</v>
      </c>
      <c r="O761" s="5">
        <f t="shared" si="303"/>
        <v>5.5555555555555469E-2</v>
      </c>
      <c r="P761" s="18">
        <v>0.85</v>
      </c>
      <c r="Q761" s="182"/>
      <c r="R761" s="182"/>
      <c r="S761" s="182"/>
      <c r="T761" s="183">
        <v>0.85</v>
      </c>
      <c r="U761" s="183">
        <v>0</v>
      </c>
      <c r="V761" s="203">
        <f t="shared" si="291"/>
        <v>0</v>
      </c>
      <c r="W761" s="183"/>
      <c r="X761" s="183"/>
      <c r="Y761" s="183">
        <v>20</v>
      </c>
      <c r="Z761" s="31">
        <f t="shared" si="288"/>
        <v>44.999999999999993</v>
      </c>
      <c r="AA761" s="6"/>
      <c r="AB761" s="6"/>
      <c r="AC761" s="6"/>
      <c r="AD761" s="6"/>
      <c r="AE761" s="6"/>
      <c r="AF761" s="6"/>
      <c r="AG761" s="18" t="s">
        <v>34</v>
      </c>
      <c r="AH761" s="18" t="s">
        <v>34</v>
      </c>
      <c r="AI761" s="18">
        <f>+VLOOKUP(AH761,Leyenda!$O$4:$U$10,6,FALSE)</f>
        <v>0</v>
      </c>
      <c r="AJ761" s="18" t="str">
        <f>+VLOOKUP(AG761,Leyenda!$O$4:$U$10,7,FALSE)</f>
        <v>No Blasting need</v>
      </c>
      <c r="AK761" s="18">
        <f>+VLOOKUP(AJ761,Leyenda!$U$4:$V$10,2,FALSE)</f>
        <v>2</v>
      </c>
      <c r="AL761" s="6"/>
      <c r="AM761" s="3" t="s">
        <v>34</v>
      </c>
      <c r="AN761" s="3" t="s">
        <v>69</v>
      </c>
      <c r="AO761" s="3" t="s">
        <v>81</v>
      </c>
      <c r="AP761" s="3" t="s">
        <v>100</v>
      </c>
      <c r="AQ761" s="3" t="s">
        <v>111</v>
      </c>
      <c r="AR761" s="3" t="s">
        <v>120</v>
      </c>
      <c r="AS761" s="3" t="s">
        <v>267</v>
      </c>
      <c r="AT761" s="18"/>
      <c r="AU761" s="6"/>
      <c r="AV761" s="36">
        <f>+VLOOKUP(AN761,Leyenda!$B$30:$E$34,3,FALSE)</f>
        <v>0</v>
      </c>
      <c r="AW761" s="36">
        <f>+VLOOKUP('2. Logging Brejo Seco'!AO761,Meteorizacion,3,FALSE)</f>
        <v>0</v>
      </c>
      <c r="AX761" s="36">
        <f>+VLOOKUP('2. Logging Brejo Seco'!AP761,Apertura,3,FALSE)</f>
        <v>0</v>
      </c>
      <c r="AY761" s="36">
        <f>+VLOOKUP('2. Logging Brejo Seco'!AQ761,Leyenda!$B$55:$D$59,3,FALSE)</f>
        <v>0</v>
      </c>
      <c r="AZ761" s="36">
        <f>+VLOOKUP('2. Logging Brejo Seco'!AR761,Relleno,3,FALSE)</f>
        <v>2</v>
      </c>
      <c r="BA761" s="36">
        <f t="shared" si="293"/>
        <v>2</v>
      </c>
      <c r="BB761" s="50">
        <f t="shared" si="294"/>
        <v>0</v>
      </c>
      <c r="BC761" s="49">
        <f>VLOOKUP(AH761,Leyenda!$B$4:$D$10,3,FALSE)</f>
        <v>0</v>
      </c>
      <c r="BD761" s="50">
        <f t="shared" si="295"/>
        <v>6</v>
      </c>
      <c r="BE761" s="50">
        <f t="shared" si="296"/>
        <v>2</v>
      </c>
      <c r="BF761" s="50">
        <f>VLOOKUP(AS761,Leyenda!$B$70:$D$75,3,FALSE)</f>
        <v>15</v>
      </c>
      <c r="BG761" s="110">
        <f t="shared" si="297"/>
        <v>3</v>
      </c>
      <c r="BH761" s="110">
        <f>VLOOKUP(AG761,Leyenda!$B$4:$E$10,4,FALSE)</f>
        <v>0</v>
      </c>
      <c r="BI761" s="67">
        <f t="shared" si="298"/>
        <v>5</v>
      </c>
      <c r="BJ761" s="110">
        <f t="shared" si="299"/>
        <v>0</v>
      </c>
      <c r="BK761" s="110">
        <f>+VLOOKUP('2. Logging Brejo Seco'!AP761,Leyenda!$B$47:$E$51,4,FALSE)</f>
        <v>0</v>
      </c>
      <c r="BL761" s="110">
        <f>+VLOOKUP('2. Logging Brejo Seco'!AQ761,Leyenda!$B$55:$E$59,4,FALSE)</f>
        <v>0</v>
      </c>
      <c r="BM761" s="110">
        <f>+VLOOKUP('2. Logging Brejo Seco'!AR761,Leyenda!$B$63:$E$67,3,FALSE)</f>
        <v>2</v>
      </c>
      <c r="BN761" s="110">
        <f>+VLOOKUP('2. Logging Brejo Seco'!AO761,Leyenda!$B$39:$E$43,4,FALSE)</f>
        <v>0</v>
      </c>
      <c r="BO761" s="110">
        <f>+VLOOKUP('2. Logging Brejo Seco'!AN761,Leyenda!$B$30:$E$34,4,FALSE)</f>
        <v>0</v>
      </c>
      <c r="BP761" s="110">
        <f>VLOOKUP(AS761,Leyenda!$B$71:$E$75,4,FALSE)</f>
        <v>10</v>
      </c>
      <c r="BQ761" s="110">
        <f t="shared" si="300"/>
        <v>17</v>
      </c>
      <c r="BR761" s="36">
        <f t="shared" si="301"/>
        <v>23</v>
      </c>
      <c r="BS761" s="240">
        <f t="shared" si="287"/>
        <v>5.5555555555555469E-2</v>
      </c>
      <c r="BT761" s="6"/>
      <c r="DB761" s="3">
        <v>12</v>
      </c>
      <c r="DC761" s="3">
        <v>0</v>
      </c>
      <c r="DD761" s="41">
        <f>+DC761/$DC$766</f>
        <v>0</v>
      </c>
    </row>
    <row r="762" spans="1:110" x14ac:dyDescent="0.25">
      <c r="A762" s="18" t="s">
        <v>6</v>
      </c>
      <c r="B762" s="18">
        <v>2024</v>
      </c>
      <c r="C762" s="18" t="s">
        <v>138</v>
      </c>
      <c r="D762" s="18" t="s">
        <v>659</v>
      </c>
      <c r="E762" s="3">
        <v>40</v>
      </c>
      <c r="F762" s="191">
        <v>60</v>
      </c>
      <c r="G762" s="36" t="s">
        <v>153</v>
      </c>
      <c r="H762" s="3">
        <v>40</v>
      </c>
      <c r="I762" s="3" t="s">
        <v>757</v>
      </c>
      <c r="J762" s="3"/>
      <c r="K762" s="18">
        <f t="shared" si="305"/>
        <v>4.05</v>
      </c>
      <c r="L762" s="183">
        <v>5.35</v>
      </c>
      <c r="M762" s="4">
        <f t="shared" si="289"/>
        <v>1.2999999999999998</v>
      </c>
      <c r="N762" s="113">
        <f t="shared" si="290"/>
        <v>0.46153846153846156</v>
      </c>
      <c r="O762" s="5">
        <f t="shared" si="303"/>
        <v>0.53846153846153844</v>
      </c>
      <c r="P762" s="18">
        <v>0.6</v>
      </c>
      <c r="Q762" s="182"/>
      <c r="R762" s="182"/>
      <c r="S762" s="182"/>
      <c r="T762" s="183">
        <v>0.6</v>
      </c>
      <c r="U762" s="183">
        <v>0</v>
      </c>
      <c r="V762" s="203">
        <f t="shared" si="291"/>
        <v>0</v>
      </c>
      <c r="W762" s="183"/>
      <c r="X762" s="183"/>
      <c r="Y762" s="183">
        <v>20</v>
      </c>
      <c r="Z762" s="31">
        <f t="shared" si="288"/>
        <v>64.999999999999986</v>
      </c>
      <c r="AA762" s="6"/>
      <c r="AB762" s="6"/>
      <c r="AC762" s="6"/>
      <c r="AD762" s="6"/>
      <c r="AE762" s="6"/>
      <c r="AF762" s="6"/>
      <c r="AG762" s="18" t="s">
        <v>34</v>
      </c>
      <c r="AH762" s="18" t="s">
        <v>34</v>
      </c>
      <c r="AI762" s="18">
        <f>+VLOOKUP(AH762,Leyenda!$O$4:$U$10,6,FALSE)</f>
        <v>0</v>
      </c>
      <c r="AJ762" s="18" t="str">
        <f>+VLOOKUP(AG762,Leyenda!$O$4:$U$10,7,FALSE)</f>
        <v>No Blasting need</v>
      </c>
      <c r="AK762" s="18">
        <f>+VLOOKUP(AJ762,Leyenda!$U$4:$V$10,2,FALSE)</f>
        <v>2</v>
      </c>
      <c r="AL762" s="6"/>
      <c r="AM762" s="3" t="s">
        <v>34</v>
      </c>
      <c r="AN762" s="3" t="s">
        <v>69</v>
      </c>
      <c r="AO762" s="3" t="s">
        <v>81</v>
      </c>
      <c r="AP762" s="3" t="s">
        <v>100</v>
      </c>
      <c r="AQ762" s="3" t="s">
        <v>111</v>
      </c>
      <c r="AR762" s="3" t="s">
        <v>120</v>
      </c>
      <c r="AS762" s="3" t="s">
        <v>267</v>
      </c>
      <c r="AT762" s="18"/>
      <c r="AU762" s="6"/>
      <c r="AV762" s="36">
        <f>+VLOOKUP(AN762,Leyenda!$B$30:$E$34,3,FALSE)</f>
        <v>0</v>
      </c>
      <c r="AW762" s="36">
        <f>+VLOOKUP('2. Logging Brejo Seco'!AO762,Meteorizacion,3,FALSE)</f>
        <v>0</v>
      </c>
      <c r="AX762" s="36">
        <f>+VLOOKUP('2. Logging Brejo Seco'!AP762,Apertura,3,FALSE)</f>
        <v>0</v>
      </c>
      <c r="AY762" s="36">
        <f>+VLOOKUP('2. Logging Brejo Seco'!AQ762,Leyenda!$B$55:$D$59,3,FALSE)</f>
        <v>0</v>
      </c>
      <c r="AZ762" s="36">
        <f>+VLOOKUP('2. Logging Brejo Seco'!AR762,Relleno,3,FALSE)</f>
        <v>2</v>
      </c>
      <c r="BA762" s="36">
        <f t="shared" si="293"/>
        <v>2</v>
      </c>
      <c r="BB762" s="50">
        <f t="shared" si="294"/>
        <v>0</v>
      </c>
      <c r="BC762" s="49">
        <f>VLOOKUP(AH762,Leyenda!$B$4:$D$10,3,FALSE)</f>
        <v>0</v>
      </c>
      <c r="BD762" s="50">
        <f t="shared" si="295"/>
        <v>6</v>
      </c>
      <c r="BE762" s="50">
        <f t="shared" si="296"/>
        <v>2</v>
      </c>
      <c r="BF762" s="50">
        <f>VLOOKUP(AS762,Leyenda!$B$70:$D$75,3,FALSE)</f>
        <v>15</v>
      </c>
      <c r="BG762" s="110">
        <f t="shared" si="297"/>
        <v>3</v>
      </c>
      <c r="BH762" s="110">
        <f>VLOOKUP(AG762,Leyenda!$B$4:$E$10,4,FALSE)</f>
        <v>0</v>
      </c>
      <c r="BI762" s="67">
        <f t="shared" si="298"/>
        <v>6</v>
      </c>
      <c r="BJ762" s="110">
        <f t="shared" si="299"/>
        <v>0</v>
      </c>
      <c r="BK762" s="110">
        <f>+VLOOKUP('2. Logging Brejo Seco'!AP762,Leyenda!$B$47:$E$51,4,FALSE)</f>
        <v>0</v>
      </c>
      <c r="BL762" s="110">
        <f>+VLOOKUP('2. Logging Brejo Seco'!AQ762,Leyenda!$B$55:$E$59,4,FALSE)</f>
        <v>0</v>
      </c>
      <c r="BM762" s="110">
        <f>+VLOOKUP('2. Logging Brejo Seco'!AR762,Leyenda!$B$63:$E$67,3,FALSE)</f>
        <v>2</v>
      </c>
      <c r="BN762" s="110">
        <f>+VLOOKUP('2. Logging Brejo Seco'!AO762,Leyenda!$B$39:$E$43,4,FALSE)</f>
        <v>0</v>
      </c>
      <c r="BO762" s="110">
        <f>+VLOOKUP('2. Logging Brejo Seco'!AN762,Leyenda!$B$30:$E$34,4,FALSE)</f>
        <v>0</v>
      </c>
      <c r="BP762" s="110">
        <f>VLOOKUP(AS762,Leyenda!$B$71:$E$75,4,FALSE)</f>
        <v>10</v>
      </c>
      <c r="BQ762" s="110">
        <f t="shared" si="300"/>
        <v>18</v>
      </c>
      <c r="BR762" s="36">
        <f t="shared" si="301"/>
        <v>23</v>
      </c>
      <c r="BS762" s="240">
        <f t="shared" si="287"/>
        <v>0.53846153846153844</v>
      </c>
      <c r="BT762" s="6"/>
      <c r="DB762" s="9" t="s">
        <v>22</v>
      </c>
      <c r="DC762" s="3">
        <v>31</v>
      </c>
      <c r="DD762" s="41">
        <f>+DC762/$DC$766</f>
        <v>0.91176470588235292</v>
      </c>
    </row>
    <row r="763" spans="1:110" x14ac:dyDescent="0.25">
      <c r="A763" s="18" t="s">
        <v>6</v>
      </c>
      <c r="B763" s="18">
        <v>2024</v>
      </c>
      <c r="C763" s="18" t="s">
        <v>138</v>
      </c>
      <c r="D763" s="18" t="s">
        <v>659</v>
      </c>
      <c r="E763" s="18">
        <v>50</v>
      </c>
      <c r="F763" s="191">
        <v>60</v>
      </c>
      <c r="G763" s="18" t="s">
        <v>154</v>
      </c>
      <c r="H763" s="3">
        <v>40</v>
      </c>
      <c r="I763" s="3" t="s">
        <v>757</v>
      </c>
      <c r="J763" s="3"/>
      <c r="K763" s="18">
        <f t="shared" si="305"/>
        <v>5.35</v>
      </c>
      <c r="L763" s="183">
        <v>6.25</v>
      </c>
      <c r="M763" s="4">
        <f t="shared" si="289"/>
        <v>0.90000000000000036</v>
      </c>
      <c r="N763" s="113">
        <f t="shared" si="290"/>
        <v>0.37777777777777766</v>
      </c>
      <c r="O763" s="5">
        <f t="shared" si="303"/>
        <v>0.62222222222222234</v>
      </c>
      <c r="P763" s="18">
        <v>0.34</v>
      </c>
      <c r="Q763" s="182"/>
      <c r="R763" s="182"/>
      <c r="S763" s="182"/>
      <c r="T763" s="183">
        <v>0.34</v>
      </c>
      <c r="U763" s="183">
        <v>0</v>
      </c>
      <c r="V763" s="203">
        <f t="shared" si="291"/>
        <v>0</v>
      </c>
      <c r="W763" s="183"/>
      <c r="X763" s="183"/>
      <c r="Y763" s="183">
        <v>20</v>
      </c>
      <c r="Z763" s="31">
        <f t="shared" si="288"/>
        <v>45.000000000000014</v>
      </c>
      <c r="AA763" s="6"/>
      <c r="AB763" s="6"/>
      <c r="AC763" s="6"/>
      <c r="AD763" s="6"/>
      <c r="AE763" s="6"/>
      <c r="AF763" s="6"/>
      <c r="AG763" s="18" t="s">
        <v>34</v>
      </c>
      <c r="AH763" s="18" t="s">
        <v>34</v>
      </c>
      <c r="AI763" s="18">
        <f>+VLOOKUP(AH763,Leyenda!$O$4:$U$10,6,FALSE)</f>
        <v>0</v>
      </c>
      <c r="AJ763" s="18" t="str">
        <f>+VLOOKUP(AG763,Leyenda!$O$4:$U$10,7,FALSE)</f>
        <v>No Blasting need</v>
      </c>
      <c r="AK763" s="18">
        <f>+VLOOKUP(AJ763,Leyenda!$U$4:$V$10,2,FALSE)</f>
        <v>2</v>
      </c>
      <c r="AL763" s="6"/>
      <c r="AM763" s="3" t="s">
        <v>34</v>
      </c>
      <c r="AN763" s="3" t="s">
        <v>69</v>
      </c>
      <c r="AO763" s="3" t="s">
        <v>81</v>
      </c>
      <c r="AP763" s="3" t="s">
        <v>100</v>
      </c>
      <c r="AQ763" s="3" t="s">
        <v>111</v>
      </c>
      <c r="AR763" s="3" t="s">
        <v>120</v>
      </c>
      <c r="AS763" s="3" t="s">
        <v>267</v>
      </c>
      <c r="AT763" s="18"/>
      <c r="AU763" s="6"/>
      <c r="AV763" s="36">
        <f>+VLOOKUP(AN763,Leyenda!$B$30:$E$34,3,FALSE)</f>
        <v>0</v>
      </c>
      <c r="AW763" s="36">
        <f>+VLOOKUP('2. Logging Brejo Seco'!AO763,Meteorizacion,3,FALSE)</f>
        <v>0</v>
      </c>
      <c r="AX763" s="36">
        <f>+VLOOKUP('2. Logging Brejo Seco'!AP763,Apertura,3,FALSE)</f>
        <v>0</v>
      </c>
      <c r="AY763" s="36">
        <f>+VLOOKUP('2. Logging Brejo Seco'!AQ763,Leyenda!$B$55:$D$59,3,FALSE)</f>
        <v>0</v>
      </c>
      <c r="AZ763" s="36">
        <f>+VLOOKUP('2. Logging Brejo Seco'!AR763,Relleno,3,FALSE)</f>
        <v>2</v>
      </c>
      <c r="BA763" s="36">
        <f t="shared" si="293"/>
        <v>2</v>
      </c>
      <c r="BB763" s="50">
        <f t="shared" si="294"/>
        <v>0</v>
      </c>
      <c r="BC763" s="49">
        <f>VLOOKUP(AH763,Leyenda!$B$4:$D$10,3,FALSE)</f>
        <v>0</v>
      </c>
      <c r="BD763" s="50">
        <f t="shared" si="295"/>
        <v>6</v>
      </c>
      <c r="BE763" s="50">
        <f t="shared" si="296"/>
        <v>2</v>
      </c>
      <c r="BF763" s="50">
        <f>VLOOKUP(AS763,Leyenda!$B$70:$D$75,3,FALSE)</f>
        <v>15</v>
      </c>
      <c r="BG763" s="110">
        <f t="shared" si="297"/>
        <v>3</v>
      </c>
      <c r="BH763" s="110">
        <f>VLOOKUP(AG763,Leyenda!$B$4:$E$10,4,FALSE)</f>
        <v>0</v>
      </c>
      <c r="BI763" s="67">
        <f t="shared" si="298"/>
        <v>5</v>
      </c>
      <c r="BJ763" s="110">
        <f t="shared" si="299"/>
        <v>0</v>
      </c>
      <c r="BK763" s="110">
        <f>+VLOOKUP('2. Logging Brejo Seco'!AP763,Leyenda!$B$47:$E$51,4,FALSE)</f>
        <v>0</v>
      </c>
      <c r="BL763" s="110">
        <f>+VLOOKUP('2. Logging Brejo Seco'!AQ763,Leyenda!$B$55:$E$59,4,FALSE)</f>
        <v>0</v>
      </c>
      <c r="BM763" s="110">
        <f>+VLOOKUP('2. Logging Brejo Seco'!AR763,Leyenda!$B$63:$E$67,3,FALSE)</f>
        <v>2</v>
      </c>
      <c r="BN763" s="110">
        <f>+VLOOKUP('2. Logging Brejo Seco'!AO763,Leyenda!$B$39:$E$43,4,FALSE)</f>
        <v>0</v>
      </c>
      <c r="BO763" s="110">
        <f>+VLOOKUP('2. Logging Brejo Seco'!AN763,Leyenda!$B$30:$E$34,4,FALSE)</f>
        <v>0</v>
      </c>
      <c r="BP763" s="110">
        <f>VLOOKUP(AS763,Leyenda!$B$71:$E$75,4,FALSE)</f>
        <v>10</v>
      </c>
      <c r="BQ763" s="110">
        <f t="shared" si="300"/>
        <v>17</v>
      </c>
      <c r="BR763" s="36">
        <f t="shared" si="301"/>
        <v>23</v>
      </c>
      <c r="BS763" s="240">
        <f t="shared" si="287"/>
        <v>0.62222222222222234</v>
      </c>
      <c r="BT763" s="6"/>
      <c r="DB763" s="9" t="s">
        <v>24</v>
      </c>
      <c r="DC763" s="3">
        <v>3</v>
      </c>
      <c r="DD763" s="41">
        <f>+DC763/$DC$766</f>
        <v>8.8235294117647065E-2</v>
      </c>
    </row>
    <row r="764" spans="1:110" x14ac:dyDescent="0.25">
      <c r="A764" s="18" t="s">
        <v>6</v>
      </c>
      <c r="B764" s="18">
        <v>2024</v>
      </c>
      <c r="C764" s="18" t="s">
        <v>138</v>
      </c>
      <c r="D764" s="18" t="s">
        <v>659</v>
      </c>
      <c r="E764" s="18">
        <v>50</v>
      </c>
      <c r="F764" s="191">
        <v>50</v>
      </c>
      <c r="G764" s="18" t="s">
        <v>154</v>
      </c>
      <c r="H764" s="3">
        <v>40</v>
      </c>
      <c r="I764" s="3" t="s">
        <v>757</v>
      </c>
      <c r="J764" s="3"/>
      <c r="K764" s="18">
        <f t="shared" si="305"/>
        <v>6.25</v>
      </c>
      <c r="L764" s="183">
        <v>7.65</v>
      </c>
      <c r="M764" s="4">
        <f t="shared" si="289"/>
        <v>1.4000000000000004</v>
      </c>
      <c r="N764" s="113">
        <f t="shared" si="290"/>
        <v>0.34285714285714275</v>
      </c>
      <c r="O764" s="5">
        <f t="shared" si="303"/>
        <v>0.65714285714285725</v>
      </c>
      <c r="P764" s="18">
        <v>0.48</v>
      </c>
      <c r="Q764" s="182"/>
      <c r="R764" s="182"/>
      <c r="S764" s="182"/>
      <c r="T764" s="183">
        <f>0.2+0.28</f>
        <v>0.48000000000000004</v>
      </c>
      <c r="U764" s="183">
        <f>0.1+0.15</f>
        <v>0.25</v>
      </c>
      <c r="V764" s="203">
        <f t="shared" si="291"/>
        <v>17.857142857142851</v>
      </c>
      <c r="W764" s="183"/>
      <c r="X764" s="183"/>
      <c r="Y764" s="183">
        <v>10</v>
      </c>
      <c r="Z764" s="31">
        <f t="shared" si="288"/>
        <v>140.00000000000006</v>
      </c>
      <c r="AA764" s="6"/>
      <c r="AB764" s="6"/>
      <c r="AC764" s="6"/>
      <c r="AD764" s="6"/>
      <c r="AE764" s="6"/>
      <c r="AF764" s="6"/>
      <c r="AG764" s="3" t="s">
        <v>32</v>
      </c>
      <c r="AH764" s="3" t="s">
        <v>32</v>
      </c>
      <c r="AI764" s="18" t="str">
        <f>+VLOOKUP(AH764,Leyenda!$O$4:$U$10,6,FALSE)</f>
        <v>0,15-0,25</v>
      </c>
      <c r="AJ764" s="18" t="str">
        <f>+VLOOKUP(AG764,Leyenda!$O$4:$U$10,7,FALSE)</f>
        <v>No Blasting need</v>
      </c>
      <c r="AK764" s="18">
        <f>+VLOOKUP(AJ764,Leyenda!$U$4:$V$10,2,FALSE)</f>
        <v>2</v>
      </c>
      <c r="AL764" s="6"/>
      <c r="AM764" s="18" t="s">
        <v>29</v>
      </c>
      <c r="AN764" s="18" t="s">
        <v>64</v>
      </c>
      <c r="AO764" s="18" t="s">
        <v>79</v>
      </c>
      <c r="AP764" s="18" t="s">
        <v>96</v>
      </c>
      <c r="AQ764" s="18" t="s">
        <v>107</v>
      </c>
      <c r="AR764" s="18" t="s">
        <v>120</v>
      </c>
      <c r="AS764" s="18" t="s">
        <v>267</v>
      </c>
      <c r="AT764" s="18"/>
      <c r="AU764" s="6"/>
      <c r="AV764" s="36">
        <f>+VLOOKUP(AN764,Leyenda!$B$30:$E$34,3,FALSE)</f>
        <v>2</v>
      </c>
      <c r="AW764" s="36">
        <f>+VLOOKUP('2. Logging Brejo Seco'!AO764,Meteorizacion,3,FALSE)</f>
        <v>1</v>
      </c>
      <c r="AX764" s="36">
        <f>+VLOOKUP('2. Logging Brejo Seco'!AP764,Apertura,3,FALSE)</f>
        <v>1</v>
      </c>
      <c r="AY764" s="36">
        <f>+VLOOKUP('2. Logging Brejo Seco'!AQ764,Leyenda!$B$55:$D$59,3,FALSE)</f>
        <v>3</v>
      </c>
      <c r="AZ764" s="36">
        <f>+VLOOKUP('2. Logging Brejo Seco'!AR764,Relleno,3,FALSE)</f>
        <v>2</v>
      </c>
      <c r="BA764" s="36">
        <f t="shared" si="293"/>
        <v>9</v>
      </c>
      <c r="BB764" s="50">
        <f t="shared" si="294"/>
        <v>4</v>
      </c>
      <c r="BC764" s="49">
        <f>VLOOKUP(AH764,Leyenda!$B$4:$D$10,3,FALSE)</f>
        <v>1</v>
      </c>
      <c r="BD764" s="50">
        <f t="shared" si="295"/>
        <v>8</v>
      </c>
      <c r="BE764" s="50">
        <f t="shared" si="296"/>
        <v>9</v>
      </c>
      <c r="BF764" s="50">
        <f>VLOOKUP(AS764,Leyenda!$B$70:$D$75,3,FALSE)</f>
        <v>15</v>
      </c>
      <c r="BG764" s="110">
        <f t="shared" si="297"/>
        <v>22.428571428571423</v>
      </c>
      <c r="BH764" s="110">
        <f>VLOOKUP(AG764,Leyenda!$B$4:$E$10,4,FALSE)</f>
        <v>1</v>
      </c>
      <c r="BI764" s="67">
        <f t="shared" si="298"/>
        <v>10</v>
      </c>
      <c r="BJ764" s="110">
        <f t="shared" si="299"/>
        <v>4</v>
      </c>
      <c r="BK764" s="110">
        <f>+VLOOKUP('2. Logging Brejo Seco'!AP764,Leyenda!$B$47:$E$51,4,FALSE)</f>
        <v>1</v>
      </c>
      <c r="BL764" s="110">
        <f>+VLOOKUP('2. Logging Brejo Seco'!AQ764,Leyenda!$B$55:$E$59,4,FALSE)</f>
        <v>3</v>
      </c>
      <c r="BM764" s="110">
        <f>+VLOOKUP('2. Logging Brejo Seco'!AR764,Leyenda!$B$63:$E$67,3,FALSE)</f>
        <v>2</v>
      </c>
      <c r="BN764" s="110">
        <f>+VLOOKUP('2. Logging Brejo Seco'!AO764,Leyenda!$B$39:$E$43,4,FALSE)</f>
        <v>1</v>
      </c>
      <c r="BO764" s="110">
        <f>+VLOOKUP('2. Logging Brejo Seco'!AN764,Leyenda!$B$30:$E$34,4,FALSE)</f>
        <v>3</v>
      </c>
      <c r="BP764" s="110">
        <f>VLOOKUP(AS764,Leyenda!$B$71:$E$75,4,FALSE)</f>
        <v>10</v>
      </c>
      <c r="BQ764" s="110">
        <f t="shared" si="300"/>
        <v>35</v>
      </c>
      <c r="BR764" s="36">
        <f t="shared" si="301"/>
        <v>37</v>
      </c>
      <c r="BS764" s="240">
        <f t="shared" si="287"/>
        <v>0.65714285714285725</v>
      </c>
      <c r="BT764" s="6"/>
      <c r="DB764" s="9" t="s">
        <v>27</v>
      </c>
      <c r="DC764" s="3">
        <v>0</v>
      </c>
      <c r="DD764" s="41">
        <f>+DC764/$DC$766</f>
        <v>0</v>
      </c>
    </row>
    <row r="765" spans="1:110" x14ac:dyDescent="0.25">
      <c r="A765" s="18" t="s">
        <v>6</v>
      </c>
      <c r="B765" s="18">
        <v>2024</v>
      </c>
      <c r="C765" s="18" t="s">
        <v>138</v>
      </c>
      <c r="D765" s="18" t="s">
        <v>659</v>
      </c>
      <c r="E765" s="18">
        <v>50</v>
      </c>
      <c r="F765" s="191">
        <v>50</v>
      </c>
      <c r="G765" s="18" t="s">
        <v>154</v>
      </c>
      <c r="H765" s="3">
        <v>40</v>
      </c>
      <c r="I765" s="3" t="s">
        <v>757</v>
      </c>
      <c r="J765" s="3"/>
      <c r="K765" s="18">
        <f t="shared" si="305"/>
        <v>7.65</v>
      </c>
      <c r="L765" s="183">
        <v>8.65</v>
      </c>
      <c r="M765" s="4">
        <f t="shared" si="289"/>
        <v>1</v>
      </c>
      <c r="N765" s="113">
        <f t="shared" si="290"/>
        <v>0.73</v>
      </c>
      <c r="O765" s="5">
        <f t="shared" si="303"/>
        <v>0.27</v>
      </c>
      <c r="P765" s="18">
        <v>0.73</v>
      </c>
      <c r="Q765" s="182"/>
      <c r="R765" s="182"/>
      <c r="S765" s="182"/>
      <c r="T765" s="183">
        <v>0.73</v>
      </c>
      <c r="U765" s="183">
        <v>0</v>
      </c>
      <c r="V765" s="203">
        <f t="shared" si="291"/>
        <v>0</v>
      </c>
      <c r="W765" s="183"/>
      <c r="X765" s="183"/>
      <c r="Y765" s="183">
        <v>20</v>
      </c>
      <c r="Z765" s="31">
        <f t="shared" si="288"/>
        <v>50</v>
      </c>
      <c r="AA765" s="6"/>
      <c r="AB765" s="6"/>
      <c r="AC765" s="6"/>
      <c r="AD765" s="6"/>
      <c r="AE765" s="6"/>
      <c r="AF765" s="6"/>
      <c r="AG765" s="3" t="s">
        <v>32</v>
      </c>
      <c r="AH765" s="3" t="s">
        <v>32</v>
      </c>
      <c r="AI765" s="18" t="str">
        <f>+VLOOKUP(AH765,Leyenda!$O$4:$U$10,6,FALSE)</f>
        <v>0,15-0,25</v>
      </c>
      <c r="AJ765" s="18" t="str">
        <f>+VLOOKUP(AG765,Leyenda!$O$4:$U$10,7,FALSE)</f>
        <v>No Blasting need</v>
      </c>
      <c r="AK765" s="18">
        <f>+VLOOKUP(AJ765,Leyenda!$U$4:$V$10,2,FALSE)</f>
        <v>2</v>
      </c>
      <c r="AL765" s="6"/>
      <c r="AM765" s="18" t="s">
        <v>32</v>
      </c>
      <c r="AN765" s="18" t="s">
        <v>66</v>
      </c>
      <c r="AO765" s="18" t="s">
        <v>81</v>
      </c>
      <c r="AP765" s="18" t="s">
        <v>96</v>
      </c>
      <c r="AQ765" s="18" t="s">
        <v>107</v>
      </c>
      <c r="AR765" s="18" t="s">
        <v>120</v>
      </c>
      <c r="AS765" s="18" t="s">
        <v>267</v>
      </c>
      <c r="AT765" s="18"/>
      <c r="AU765" s="6"/>
      <c r="AV765" s="36">
        <f>+VLOOKUP(AN765,Leyenda!$B$30:$E$34,3,FALSE)</f>
        <v>1</v>
      </c>
      <c r="AW765" s="36">
        <f>+VLOOKUP('2. Logging Brejo Seco'!AO765,Meteorizacion,3,FALSE)</f>
        <v>0</v>
      </c>
      <c r="AX765" s="36">
        <f>+VLOOKUP('2. Logging Brejo Seco'!AP765,Apertura,3,FALSE)</f>
        <v>1</v>
      </c>
      <c r="AY765" s="36">
        <f>+VLOOKUP('2. Logging Brejo Seco'!AQ765,Leyenda!$B$55:$D$59,3,FALSE)</f>
        <v>3</v>
      </c>
      <c r="AZ765" s="36">
        <f>+VLOOKUP('2. Logging Brejo Seco'!AR765,Relleno,3,FALSE)</f>
        <v>2</v>
      </c>
      <c r="BA765" s="36">
        <f t="shared" si="293"/>
        <v>7</v>
      </c>
      <c r="BB765" s="50">
        <f t="shared" si="294"/>
        <v>0</v>
      </c>
      <c r="BC765" s="49">
        <f>VLOOKUP(AH765,Leyenda!$B$4:$D$10,3,FALSE)</f>
        <v>1</v>
      </c>
      <c r="BD765" s="50">
        <f t="shared" si="295"/>
        <v>6</v>
      </c>
      <c r="BE765" s="50">
        <f t="shared" si="296"/>
        <v>7</v>
      </c>
      <c r="BF765" s="50">
        <f>VLOOKUP(AS765,Leyenda!$B$70:$D$75,3,FALSE)</f>
        <v>15</v>
      </c>
      <c r="BG765" s="110">
        <f t="shared" si="297"/>
        <v>10.5</v>
      </c>
      <c r="BH765" s="110">
        <f>VLOOKUP(AG765,Leyenda!$B$4:$E$10,4,FALSE)</f>
        <v>1</v>
      </c>
      <c r="BI765" s="67">
        <f t="shared" si="298"/>
        <v>5</v>
      </c>
      <c r="BJ765" s="110">
        <f t="shared" si="299"/>
        <v>0</v>
      </c>
      <c r="BK765" s="110">
        <f>+VLOOKUP('2. Logging Brejo Seco'!AP765,Leyenda!$B$47:$E$51,4,FALSE)</f>
        <v>1</v>
      </c>
      <c r="BL765" s="110">
        <f>+VLOOKUP('2. Logging Brejo Seco'!AQ765,Leyenda!$B$55:$E$59,4,FALSE)</f>
        <v>3</v>
      </c>
      <c r="BM765" s="110">
        <f>+VLOOKUP('2. Logging Brejo Seco'!AR765,Leyenda!$B$63:$E$67,3,FALSE)</f>
        <v>2</v>
      </c>
      <c r="BN765" s="110">
        <f>+VLOOKUP('2. Logging Brejo Seco'!AO765,Leyenda!$B$39:$E$43,4,FALSE)</f>
        <v>0</v>
      </c>
      <c r="BO765" s="110">
        <f>+VLOOKUP('2. Logging Brejo Seco'!AN765,Leyenda!$B$30:$E$34,4,FALSE)</f>
        <v>1</v>
      </c>
      <c r="BP765" s="110">
        <f>VLOOKUP(AS765,Leyenda!$B$71:$E$75,4,FALSE)</f>
        <v>10</v>
      </c>
      <c r="BQ765" s="110">
        <f t="shared" si="300"/>
        <v>23</v>
      </c>
      <c r="BR765" s="36">
        <f t="shared" si="301"/>
        <v>29</v>
      </c>
      <c r="BS765" s="240">
        <f t="shared" si="287"/>
        <v>0.27</v>
      </c>
      <c r="BT765" s="6"/>
      <c r="DB765" s="9" t="s">
        <v>29</v>
      </c>
      <c r="DC765" s="3">
        <v>0</v>
      </c>
      <c r="DD765" s="41">
        <f>+DC765/$DC$766</f>
        <v>0</v>
      </c>
    </row>
    <row r="766" spans="1:110" x14ac:dyDescent="0.25">
      <c r="A766" s="18" t="s">
        <v>6</v>
      </c>
      <c r="B766" s="18">
        <v>2024</v>
      </c>
      <c r="C766" s="18" t="s">
        <v>138</v>
      </c>
      <c r="D766" s="18" t="s">
        <v>659</v>
      </c>
      <c r="E766" s="18">
        <v>50</v>
      </c>
      <c r="F766" s="191">
        <v>50</v>
      </c>
      <c r="G766" s="18" t="s">
        <v>154</v>
      </c>
      <c r="H766" s="3">
        <v>40</v>
      </c>
      <c r="I766" s="3" t="s">
        <v>757</v>
      </c>
      <c r="J766" s="3"/>
      <c r="K766" s="18">
        <f t="shared" si="305"/>
        <v>8.65</v>
      </c>
      <c r="L766" s="183">
        <v>10.15</v>
      </c>
      <c r="M766" s="4">
        <f t="shared" si="289"/>
        <v>1.5</v>
      </c>
      <c r="N766" s="113">
        <f t="shared" si="290"/>
        <v>0.62666666666666659</v>
      </c>
      <c r="O766" s="5">
        <f t="shared" si="303"/>
        <v>0.37333333333333341</v>
      </c>
      <c r="P766" s="18">
        <v>0.94</v>
      </c>
      <c r="Q766" s="182"/>
      <c r="R766" s="182"/>
      <c r="S766" s="182"/>
      <c r="T766" s="183">
        <v>0.94</v>
      </c>
      <c r="U766" s="183">
        <v>0.36</v>
      </c>
      <c r="V766" s="203">
        <f t="shared" si="291"/>
        <v>24</v>
      </c>
      <c r="W766" s="183"/>
      <c r="X766" s="183"/>
      <c r="Y766" s="183">
        <v>8</v>
      </c>
      <c r="Z766" s="31">
        <f t="shared" si="288"/>
        <v>187.5</v>
      </c>
      <c r="AA766" s="6"/>
      <c r="AB766" s="6"/>
      <c r="AC766" s="6"/>
      <c r="AD766" s="6"/>
      <c r="AE766" s="6"/>
      <c r="AF766" s="6"/>
      <c r="AG766" s="3" t="s">
        <v>32</v>
      </c>
      <c r="AH766" s="3" t="s">
        <v>32</v>
      </c>
      <c r="AI766" s="18" t="str">
        <f>+VLOOKUP(AH766,Leyenda!$O$4:$U$10,6,FALSE)</f>
        <v>0,15-0,25</v>
      </c>
      <c r="AJ766" s="18" t="str">
        <f>+VLOOKUP(AG766,Leyenda!$O$4:$U$10,7,FALSE)</f>
        <v>No Blasting need</v>
      </c>
      <c r="AK766" s="18">
        <f>+VLOOKUP(AJ766,Leyenda!$U$4:$V$10,2,FALSE)</f>
        <v>2</v>
      </c>
      <c r="AL766" s="6"/>
      <c r="AM766" s="18" t="s">
        <v>32</v>
      </c>
      <c r="AN766" s="18" t="s">
        <v>66</v>
      </c>
      <c r="AO766" s="18" t="s">
        <v>79</v>
      </c>
      <c r="AP766" s="18" t="s">
        <v>96</v>
      </c>
      <c r="AQ766" s="18" t="s">
        <v>107</v>
      </c>
      <c r="AR766" s="18" t="s">
        <v>120</v>
      </c>
      <c r="AS766" s="18" t="s">
        <v>267</v>
      </c>
      <c r="AT766" s="18"/>
      <c r="AU766" s="6"/>
      <c r="AV766" s="36">
        <f>+VLOOKUP(AN766,Leyenda!$B$30:$E$34,3,FALSE)</f>
        <v>1</v>
      </c>
      <c r="AW766" s="36">
        <f>+VLOOKUP('2. Logging Brejo Seco'!AO766,Meteorizacion,3,FALSE)</f>
        <v>1</v>
      </c>
      <c r="AX766" s="36">
        <f>+VLOOKUP('2. Logging Brejo Seco'!AP766,Apertura,3,FALSE)</f>
        <v>1</v>
      </c>
      <c r="AY766" s="36">
        <f>+VLOOKUP('2. Logging Brejo Seco'!AQ766,Leyenda!$B$55:$D$59,3,FALSE)</f>
        <v>3</v>
      </c>
      <c r="AZ766" s="36">
        <f>+VLOOKUP('2. Logging Brejo Seco'!AR766,Relleno,3,FALSE)</f>
        <v>2</v>
      </c>
      <c r="BA766" s="36">
        <f t="shared" si="293"/>
        <v>8</v>
      </c>
      <c r="BB766" s="50">
        <f t="shared" si="294"/>
        <v>5</v>
      </c>
      <c r="BC766" s="49">
        <f>VLOOKUP(AH766,Leyenda!$B$4:$D$10,3,FALSE)</f>
        <v>1</v>
      </c>
      <c r="BD766" s="50">
        <f t="shared" si="295"/>
        <v>9</v>
      </c>
      <c r="BE766" s="50">
        <f t="shared" si="296"/>
        <v>8</v>
      </c>
      <c r="BF766" s="50">
        <f>VLOOKUP(AS766,Leyenda!$B$70:$D$75,3,FALSE)</f>
        <v>15</v>
      </c>
      <c r="BG766" s="110">
        <f t="shared" si="297"/>
        <v>24</v>
      </c>
      <c r="BH766" s="110">
        <f>VLOOKUP(AG766,Leyenda!$B$4:$E$10,4,FALSE)</f>
        <v>1</v>
      </c>
      <c r="BI766" s="67">
        <f t="shared" si="298"/>
        <v>12</v>
      </c>
      <c r="BJ766" s="110">
        <f t="shared" si="299"/>
        <v>5</v>
      </c>
      <c r="BK766" s="110">
        <f>+VLOOKUP('2. Logging Brejo Seco'!AP766,Leyenda!$B$47:$E$51,4,FALSE)</f>
        <v>1</v>
      </c>
      <c r="BL766" s="110">
        <f>+VLOOKUP('2. Logging Brejo Seco'!AQ766,Leyenda!$B$55:$E$59,4,FALSE)</f>
        <v>3</v>
      </c>
      <c r="BM766" s="110">
        <f>+VLOOKUP('2. Logging Brejo Seco'!AR766,Leyenda!$B$63:$E$67,3,FALSE)</f>
        <v>2</v>
      </c>
      <c r="BN766" s="110">
        <f>+VLOOKUP('2. Logging Brejo Seco'!AO766,Leyenda!$B$39:$E$43,4,FALSE)</f>
        <v>1</v>
      </c>
      <c r="BO766" s="110">
        <f>+VLOOKUP('2. Logging Brejo Seco'!AN766,Leyenda!$B$30:$E$34,4,FALSE)</f>
        <v>1</v>
      </c>
      <c r="BP766" s="110">
        <f>VLOOKUP(AS766,Leyenda!$B$71:$E$75,4,FALSE)</f>
        <v>10</v>
      </c>
      <c r="BQ766" s="110">
        <f t="shared" si="300"/>
        <v>36</v>
      </c>
      <c r="BR766" s="36">
        <f t="shared" si="301"/>
        <v>38</v>
      </c>
      <c r="BS766" s="240">
        <f t="shared" si="287"/>
        <v>0.37333333333333341</v>
      </c>
      <c r="BT766" s="6"/>
      <c r="DB766" s="9" t="s">
        <v>32</v>
      </c>
      <c r="DC766">
        <f>+SUM(DC761:DC765)</f>
        <v>34</v>
      </c>
    </row>
    <row r="767" spans="1:110" x14ac:dyDescent="0.25">
      <c r="A767" s="18" t="s">
        <v>6</v>
      </c>
      <c r="B767" s="18">
        <v>2024</v>
      </c>
      <c r="C767" s="18" t="s">
        <v>138</v>
      </c>
      <c r="D767" s="18" t="s">
        <v>659</v>
      </c>
      <c r="E767" s="18">
        <v>50</v>
      </c>
      <c r="F767" s="191">
        <v>50</v>
      </c>
      <c r="G767" s="18" t="s">
        <v>154</v>
      </c>
      <c r="H767" s="3">
        <v>40</v>
      </c>
      <c r="I767" s="3" t="s">
        <v>757</v>
      </c>
      <c r="J767" s="3"/>
      <c r="K767" s="18">
        <f t="shared" si="305"/>
        <v>10.15</v>
      </c>
      <c r="L767" s="183">
        <v>11.8</v>
      </c>
      <c r="M767" s="4">
        <f t="shared" si="289"/>
        <v>1.6500000000000004</v>
      </c>
      <c r="N767" s="113">
        <f t="shared" si="290"/>
        <v>0.9696969696969695</v>
      </c>
      <c r="O767" s="5">
        <f t="shared" si="303"/>
        <v>3.0303030303030498E-2</v>
      </c>
      <c r="P767" s="18">
        <v>1.6</v>
      </c>
      <c r="Q767" s="182"/>
      <c r="R767" s="182"/>
      <c r="S767" s="182"/>
      <c r="T767" s="183">
        <f>0.18+0.15</f>
        <v>0.32999999999999996</v>
      </c>
      <c r="U767" s="183">
        <v>0.39</v>
      </c>
      <c r="V767" s="203">
        <f t="shared" si="291"/>
        <v>23.636363636363633</v>
      </c>
      <c r="W767" s="183"/>
      <c r="X767" s="183"/>
      <c r="Y767" s="183">
        <v>11</v>
      </c>
      <c r="Z767" s="31">
        <f t="shared" si="288"/>
        <v>150.00000000000003</v>
      </c>
      <c r="AA767" s="6"/>
      <c r="AB767" s="6"/>
      <c r="AC767" s="6"/>
      <c r="AD767" s="6"/>
      <c r="AE767" s="6"/>
      <c r="AF767" s="6"/>
      <c r="AG767" s="3" t="s">
        <v>32</v>
      </c>
      <c r="AH767" s="3" t="s">
        <v>32</v>
      </c>
      <c r="AI767" s="18" t="str">
        <f>+VLOOKUP(AH767,Leyenda!$O$4:$U$10,6,FALSE)</f>
        <v>0,15-0,25</v>
      </c>
      <c r="AJ767" s="18" t="str">
        <f>+VLOOKUP(AG767,Leyenda!$O$4:$U$10,7,FALSE)</f>
        <v>No Blasting need</v>
      </c>
      <c r="AK767" s="18">
        <f>+VLOOKUP(AJ767,Leyenda!$U$4:$V$10,2,FALSE)</f>
        <v>2</v>
      </c>
      <c r="AL767" s="6"/>
      <c r="AM767" s="18" t="s">
        <v>32</v>
      </c>
      <c r="AN767" s="18" t="s">
        <v>66</v>
      </c>
      <c r="AO767" s="18" t="s">
        <v>79</v>
      </c>
      <c r="AP767" s="18" t="s">
        <v>96</v>
      </c>
      <c r="AQ767" s="18" t="s">
        <v>107</v>
      </c>
      <c r="AR767" s="18" t="s">
        <v>120</v>
      </c>
      <c r="AS767" s="18" t="s">
        <v>267</v>
      </c>
      <c r="AT767" s="18"/>
      <c r="AU767" s="6"/>
      <c r="AV767" s="36">
        <f>+VLOOKUP(AN767,Leyenda!$B$30:$E$34,3,FALSE)</f>
        <v>1</v>
      </c>
      <c r="AW767" s="36">
        <f>+VLOOKUP('2. Logging Brejo Seco'!AO767,Meteorizacion,3,FALSE)</f>
        <v>1</v>
      </c>
      <c r="AX767" s="36">
        <f>+VLOOKUP('2. Logging Brejo Seco'!AP767,Apertura,3,FALSE)</f>
        <v>1</v>
      </c>
      <c r="AY767" s="36">
        <f>+VLOOKUP('2. Logging Brejo Seco'!AQ767,Leyenda!$B$55:$D$59,3,FALSE)</f>
        <v>3</v>
      </c>
      <c r="AZ767" s="36">
        <f>+VLOOKUP('2. Logging Brejo Seco'!AR767,Relleno,3,FALSE)</f>
        <v>2</v>
      </c>
      <c r="BA767" s="36">
        <f t="shared" si="293"/>
        <v>8</v>
      </c>
      <c r="BB767" s="50">
        <f t="shared" si="294"/>
        <v>5</v>
      </c>
      <c r="BC767" s="49">
        <f>VLOOKUP(AH767,Leyenda!$B$4:$D$10,3,FALSE)</f>
        <v>1</v>
      </c>
      <c r="BD767" s="50">
        <f t="shared" si="295"/>
        <v>8</v>
      </c>
      <c r="BE767" s="50">
        <f t="shared" si="296"/>
        <v>8</v>
      </c>
      <c r="BF767" s="50">
        <f>VLOOKUP(AS767,Leyenda!$B$70:$D$75,3,FALSE)</f>
        <v>15</v>
      </c>
      <c r="BG767" s="110">
        <f t="shared" si="297"/>
        <v>23.818181818181817</v>
      </c>
      <c r="BH767" s="110">
        <f>VLOOKUP(AG767,Leyenda!$B$4:$E$10,4,FALSE)</f>
        <v>1</v>
      </c>
      <c r="BI767" s="67">
        <f t="shared" si="298"/>
        <v>11</v>
      </c>
      <c r="BJ767" s="110">
        <f t="shared" si="299"/>
        <v>5</v>
      </c>
      <c r="BK767" s="110">
        <f>+VLOOKUP('2. Logging Brejo Seco'!AP767,Leyenda!$B$47:$E$51,4,FALSE)</f>
        <v>1</v>
      </c>
      <c r="BL767" s="110">
        <f>+VLOOKUP('2. Logging Brejo Seco'!AQ767,Leyenda!$B$55:$E$59,4,FALSE)</f>
        <v>3</v>
      </c>
      <c r="BM767" s="110">
        <f>+VLOOKUP('2. Logging Brejo Seco'!AR767,Leyenda!$B$63:$E$67,3,FALSE)</f>
        <v>2</v>
      </c>
      <c r="BN767" s="110">
        <f>+VLOOKUP('2. Logging Brejo Seco'!AO767,Leyenda!$B$39:$E$43,4,FALSE)</f>
        <v>1</v>
      </c>
      <c r="BO767" s="110">
        <f>+VLOOKUP('2. Logging Brejo Seco'!AN767,Leyenda!$B$30:$E$34,4,FALSE)</f>
        <v>1</v>
      </c>
      <c r="BP767" s="110">
        <f>VLOOKUP(AS767,Leyenda!$B$71:$E$75,4,FALSE)</f>
        <v>10</v>
      </c>
      <c r="BQ767" s="110">
        <f t="shared" si="300"/>
        <v>35</v>
      </c>
      <c r="BR767" s="36">
        <f t="shared" si="301"/>
        <v>37</v>
      </c>
      <c r="BS767" s="240">
        <f t="shared" si="287"/>
        <v>3.0303030303030498E-2</v>
      </c>
      <c r="BT767" s="6"/>
    </row>
    <row r="768" spans="1:110" x14ac:dyDescent="0.25">
      <c r="A768" s="18" t="s">
        <v>6</v>
      </c>
      <c r="B768" s="18">
        <v>2024</v>
      </c>
      <c r="C768" s="18" t="s">
        <v>138</v>
      </c>
      <c r="D768" s="18" t="s">
        <v>659</v>
      </c>
      <c r="E768" s="18">
        <v>50</v>
      </c>
      <c r="F768" s="191">
        <v>50</v>
      </c>
      <c r="G768" s="18" t="s">
        <v>154</v>
      </c>
      <c r="H768" s="3">
        <v>40</v>
      </c>
      <c r="I768" s="3" t="s">
        <v>757</v>
      </c>
      <c r="J768" s="3"/>
      <c r="K768" s="18">
        <f t="shared" si="305"/>
        <v>11.8</v>
      </c>
      <c r="L768" s="183">
        <v>12.3</v>
      </c>
      <c r="M768" s="4">
        <f t="shared" si="289"/>
        <v>0.5</v>
      </c>
      <c r="N768" s="113">
        <f t="shared" si="290"/>
        <v>0.68</v>
      </c>
      <c r="O768" s="5">
        <f t="shared" si="303"/>
        <v>0.31999999999999995</v>
      </c>
      <c r="P768" s="18">
        <v>0.34</v>
      </c>
      <c r="Q768" s="182"/>
      <c r="R768" s="182"/>
      <c r="S768" s="182"/>
      <c r="T768" s="183">
        <v>0.34</v>
      </c>
      <c r="U768" s="183">
        <v>0</v>
      </c>
      <c r="V768" s="203">
        <f t="shared" si="291"/>
        <v>0</v>
      </c>
      <c r="W768" s="183"/>
      <c r="X768" s="183"/>
      <c r="Y768" s="183">
        <v>20</v>
      </c>
      <c r="Z768" s="31">
        <f t="shared" si="288"/>
        <v>25</v>
      </c>
      <c r="AA768" s="6"/>
      <c r="AB768" s="6"/>
      <c r="AC768" s="6"/>
      <c r="AD768" s="6"/>
      <c r="AE768" s="6"/>
      <c r="AF768" s="6"/>
      <c r="AG768" s="3" t="s">
        <v>32</v>
      </c>
      <c r="AH768" s="3" t="s">
        <v>32</v>
      </c>
      <c r="AI768" s="18" t="str">
        <f>+VLOOKUP(AH768,Leyenda!$O$4:$U$10,6,FALSE)</f>
        <v>0,15-0,25</v>
      </c>
      <c r="AJ768" s="18" t="str">
        <f>+VLOOKUP(AG768,Leyenda!$O$4:$U$10,7,FALSE)</f>
        <v>No Blasting need</v>
      </c>
      <c r="AK768" s="18">
        <f>+VLOOKUP(AJ768,Leyenda!$U$4:$V$10,2,FALSE)</f>
        <v>2</v>
      </c>
      <c r="AL768" s="6"/>
      <c r="AM768" s="18" t="s">
        <v>32</v>
      </c>
      <c r="AN768" s="18" t="s">
        <v>66</v>
      </c>
      <c r="AO768" s="18" t="s">
        <v>79</v>
      </c>
      <c r="AP768" s="18" t="s">
        <v>100</v>
      </c>
      <c r="AQ768" s="18" t="s">
        <v>111</v>
      </c>
      <c r="AR768" s="18" t="s">
        <v>118</v>
      </c>
      <c r="AS768" s="18" t="s">
        <v>267</v>
      </c>
      <c r="AT768" s="18"/>
      <c r="AU768" s="6"/>
      <c r="AV768" s="36">
        <f>+VLOOKUP(AN768,Leyenda!$B$30:$E$34,3,FALSE)</f>
        <v>1</v>
      </c>
      <c r="AW768" s="36">
        <f>+VLOOKUP('2. Logging Brejo Seco'!AO768,Meteorizacion,3,FALSE)</f>
        <v>1</v>
      </c>
      <c r="AX768" s="36">
        <f>+VLOOKUP('2. Logging Brejo Seco'!AP768,Apertura,3,FALSE)</f>
        <v>0</v>
      </c>
      <c r="AY768" s="36">
        <f>+VLOOKUP('2. Logging Brejo Seco'!AQ768,Leyenda!$B$55:$D$59,3,FALSE)</f>
        <v>0</v>
      </c>
      <c r="AZ768" s="36">
        <f>+VLOOKUP('2. Logging Brejo Seco'!AR768,Relleno,3,FALSE)</f>
        <v>2</v>
      </c>
      <c r="BA768" s="36">
        <f t="shared" si="293"/>
        <v>4</v>
      </c>
      <c r="BB768" s="50">
        <f t="shared" si="294"/>
        <v>0</v>
      </c>
      <c r="BC768" s="49">
        <f>VLOOKUP(AH768,Leyenda!$B$4:$D$10,3,FALSE)</f>
        <v>1</v>
      </c>
      <c r="BD768" s="50">
        <f t="shared" si="295"/>
        <v>5</v>
      </c>
      <c r="BE768" s="50">
        <f t="shared" si="296"/>
        <v>4</v>
      </c>
      <c r="BF768" s="50">
        <f>VLOOKUP(AS768,Leyenda!$B$70:$D$75,3,FALSE)</f>
        <v>15</v>
      </c>
      <c r="BG768" s="110">
        <f t="shared" si="297"/>
        <v>6</v>
      </c>
      <c r="BH768" s="110">
        <f>VLOOKUP(AG768,Leyenda!$B$4:$E$10,4,FALSE)</f>
        <v>1</v>
      </c>
      <c r="BI768" s="67">
        <f t="shared" si="298"/>
        <v>5</v>
      </c>
      <c r="BJ768" s="110">
        <f t="shared" si="299"/>
        <v>0</v>
      </c>
      <c r="BK768" s="110">
        <f>+VLOOKUP('2. Logging Brejo Seco'!AP768,Leyenda!$B$47:$E$51,4,FALSE)</f>
        <v>0</v>
      </c>
      <c r="BL768" s="110">
        <f>+VLOOKUP('2. Logging Brejo Seco'!AQ768,Leyenda!$B$55:$E$59,4,FALSE)</f>
        <v>0</v>
      </c>
      <c r="BM768" s="110">
        <f>+VLOOKUP('2. Logging Brejo Seco'!AR768,Leyenda!$B$63:$E$67,3,FALSE)</f>
        <v>2</v>
      </c>
      <c r="BN768" s="110">
        <f>+VLOOKUP('2. Logging Brejo Seco'!AO768,Leyenda!$B$39:$E$43,4,FALSE)</f>
        <v>1</v>
      </c>
      <c r="BO768" s="110">
        <f>+VLOOKUP('2. Logging Brejo Seco'!AN768,Leyenda!$B$30:$E$34,4,FALSE)</f>
        <v>1</v>
      </c>
      <c r="BP768" s="110">
        <f>VLOOKUP(AS768,Leyenda!$B$71:$E$75,4,FALSE)</f>
        <v>10</v>
      </c>
      <c r="BQ768" s="110">
        <f t="shared" si="300"/>
        <v>20</v>
      </c>
      <c r="BR768" s="36">
        <f t="shared" si="301"/>
        <v>25</v>
      </c>
      <c r="BS768" s="240">
        <f t="shared" si="287"/>
        <v>0.31999999999999995</v>
      </c>
      <c r="BT768" s="6"/>
    </row>
    <row r="769" spans="1:72" x14ac:dyDescent="0.25">
      <c r="A769" s="18" t="s">
        <v>6</v>
      </c>
      <c r="B769" s="18">
        <v>2024</v>
      </c>
      <c r="C769" s="18" t="s">
        <v>138</v>
      </c>
      <c r="D769" s="18" t="s">
        <v>659</v>
      </c>
      <c r="E769" s="18">
        <v>30</v>
      </c>
      <c r="F769" s="3">
        <v>30</v>
      </c>
      <c r="G769" s="18" t="s">
        <v>152</v>
      </c>
      <c r="H769" s="244">
        <f>+F769</f>
        <v>30</v>
      </c>
      <c r="I769" s="244" t="s">
        <v>759</v>
      </c>
      <c r="J769" s="244"/>
      <c r="K769" s="18">
        <f t="shared" si="305"/>
        <v>12.3</v>
      </c>
      <c r="L769" s="183">
        <v>14</v>
      </c>
      <c r="M769" s="4">
        <f t="shared" si="289"/>
        <v>1.6999999999999993</v>
      </c>
      <c r="N769" s="113">
        <f t="shared" si="290"/>
        <v>0.58235294117647085</v>
      </c>
      <c r="O769" s="5">
        <f t="shared" si="303"/>
        <v>0.41764705882352915</v>
      </c>
      <c r="P769" s="18">
        <f>0.94+0.05</f>
        <v>0.99</v>
      </c>
      <c r="Q769" s="182"/>
      <c r="R769" s="182"/>
      <c r="S769" s="182"/>
      <c r="T769" s="183">
        <v>0.99</v>
      </c>
      <c r="U769" s="183">
        <v>0.4</v>
      </c>
      <c r="V769" s="203">
        <f t="shared" si="291"/>
        <v>23.529411764705895</v>
      </c>
      <c r="W769" s="183"/>
      <c r="X769" s="183"/>
      <c r="Y769" s="222">
        <v>10</v>
      </c>
      <c r="Z769" s="31">
        <f t="shared" si="288"/>
        <v>169.99999999999994</v>
      </c>
      <c r="AA769" s="6"/>
      <c r="AB769" s="6"/>
      <c r="AC769" s="6"/>
      <c r="AD769" s="6"/>
      <c r="AE769" s="6"/>
      <c r="AF769" s="6"/>
      <c r="AG769" s="3" t="s">
        <v>34</v>
      </c>
      <c r="AH769" s="3" t="s">
        <v>34</v>
      </c>
      <c r="AI769" s="18">
        <f>+VLOOKUP(AH769,Leyenda!$O$4:$U$10,6,FALSE)</f>
        <v>0</v>
      </c>
      <c r="AJ769" s="18" t="str">
        <f>+VLOOKUP(AG769,Leyenda!$O$4:$U$10,7,FALSE)</f>
        <v>No Blasting need</v>
      </c>
      <c r="AK769" s="18">
        <f>+VLOOKUP(AJ769,Leyenda!$U$4:$V$10,2,FALSE)</f>
        <v>2</v>
      </c>
      <c r="AL769" s="6"/>
      <c r="AM769" s="3" t="s">
        <v>34</v>
      </c>
      <c r="AN769" s="18" t="s">
        <v>66</v>
      </c>
      <c r="AO769" s="18" t="s">
        <v>81</v>
      </c>
      <c r="AP769" s="18" t="s">
        <v>96</v>
      </c>
      <c r="AQ769" s="18" t="s">
        <v>107</v>
      </c>
      <c r="AR769" s="18" t="s">
        <v>120</v>
      </c>
      <c r="AS769" s="18" t="s">
        <v>267</v>
      </c>
      <c r="AT769" s="18"/>
      <c r="AU769" s="6"/>
      <c r="AV769" s="36">
        <f>+VLOOKUP(AN769,Leyenda!$B$30:$E$34,3,FALSE)</f>
        <v>1</v>
      </c>
      <c r="AW769" s="36">
        <f>+VLOOKUP('2. Logging Brejo Seco'!AO769,Meteorizacion,3,FALSE)</f>
        <v>0</v>
      </c>
      <c r="AX769" s="36">
        <f>+VLOOKUP('2. Logging Brejo Seco'!AP769,Apertura,3,FALSE)</f>
        <v>1</v>
      </c>
      <c r="AY769" s="36">
        <f>+VLOOKUP('2. Logging Brejo Seco'!AQ769,Leyenda!$B$55:$D$59,3,FALSE)</f>
        <v>3</v>
      </c>
      <c r="AZ769" s="36">
        <f>+VLOOKUP('2. Logging Brejo Seco'!AR769,Relleno,3,FALSE)</f>
        <v>2</v>
      </c>
      <c r="BA769" s="36">
        <f t="shared" si="293"/>
        <v>7</v>
      </c>
      <c r="BB769" s="225">
        <f t="shared" si="294"/>
        <v>5</v>
      </c>
      <c r="BC769" s="49">
        <f>VLOOKUP(AH769,Leyenda!$B$4:$D$10,3,FALSE)</f>
        <v>0</v>
      </c>
      <c r="BD769" s="50">
        <f t="shared" si="295"/>
        <v>9</v>
      </c>
      <c r="BE769" s="50">
        <f t="shared" si="296"/>
        <v>7</v>
      </c>
      <c r="BF769" s="50">
        <f>VLOOKUP(AS769,Leyenda!$B$70:$D$75,3,FALSE)</f>
        <v>15</v>
      </c>
      <c r="BG769" s="110">
        <f t="shared" si="297"/>
        <v>22.264705882352949</v>
      </c>
      <c r="BH769" s="110">
        <f>VLOOKUP(AG769,Leyenda!$B$4:$E$10,4,FALSE)</f>
        <v>0</v>
      </c>
      <c r="BI769" s="67">
        <f t="shared" si="298"/>
        <v>11</v>
      </c>
      <c r="BJ769" s="110">
        <f t="shared" si="299"/>
        <v>5</v>
      </c>
      <c r="BK769" s="110">
        <f>+VLOOKUP('2. Logging Brejo Seco'!AP769,Leyenda!$B$47:$E$51,4,FALSE)</f>
        <v>1</v>
      </c>
      <c r="BL769" s="110">
        <f>+VLOOKUP('2. Logging Brejo Seco'!AQ769,Leyenda!$B$55:$E$59,4,FALSE)</f>
        <v>3</v>
      </c>
      <c r="BM769" s="110">
        <f>+VLOOKUP('2. Logging Brejo Seco'!AR769,Leyenda!$B$63:$E$67,3,FALSE)</f>
        <v>2</v>
      </c>
      <c r="BN769" s="110">
        <f>+VLOOKUP('2. Logging Brejo Seco'!AO769,Leyenda!$B$39:$E$43,4,FALSE)</f>
        <v>0</v>
      </c>
      <c r="BO769" s="110">
        <f>+VLOOKUP('2. Logging Brejo Seco'!AN769,Leyenda!$B$30:$E$34,4,FALSE)</f>
        <v>1</v>
      </c>
      <c r="BP769" s="110">
        <f>VLOOKUP(AS769,Leyenda!$B$71:$E$75,4,FALSE)</f>
        <v>10</v>
      </c>
      <c r="BQ769" s="110">
        <f t="shared" si="300"/>
        <v>33</v>
      </c>
      <c r="BR769" s="36">
        <f t="shared" si="301"/>
        <v>36</v>
      </c>
      <c r="BS769" s="240">
        <f t="shared" si="287"/>
        <v>0.41764705882352915</v>
      </c>
      <c r="BT769" s="6"/>
    </row>
    <row r="770" spans="1:72" x14ac:dyDescent="0.25">
      <c r="A770" s="18" t="s">
        <v>6</v>
      </c>
      <c r="B770" s="18">
        <v>2024</v>
      </c>
      <c r="C770" s="18" t="s">
        <v>138</v>
      </c>
      <c r="D770" s="18" t="s">
        <v>659</v>
      </c>
      <c r="E770" s="18">
        <v>30</v>
      </c>
      <c r="F770" s="3">
        <v>30</v>
      </c>
      <c r="G770" s="18" t="s">
        <v>152</v>
      </c>
      <c r="H770" s="244">
        <f t="shared" ref="H770:H771" si="306">+F770</f>
        <v>30</v>
      </c>
      <c r="I770" s="244" t="s">
        <v>759</v>
      </c>
      <c r="J770" s="244"/>
      <c r="K770" s="18">
        <f t="shared" si="305"/>
        <v>14</v>
      </c>
      <c r="L770" s="183">
        <v>14.5</v>
      </c>
      <c r="M770" s="4">
        <f t="shared" si="289"/>
        <v>0.5</v>
      </c>
      <c r="N770" s="113">
        <f t="shared" si="290"/>
        <v>0.64</v>
      </c>
      <c r="O770" s="5">
        <f t="shared" si="303"/>
        <v>0.36</v>
      </c>
      <c r="P770" s="18">
        <v>0.32</v>
      </c>
      <c r="Q770" s="182"/>
      <c r="R770" s="182"/>
      <c r="S770" s="182"/>
      <c r="T770" s="183">
        <v>0.32</v>
      </c>
      <c r="U770" s="183">
        <v>0.13</v>
      </c>
      <c r="V770" s="203">
        <f t="shared" si="291"/>
        <v>26</v>
      </c>
      <c r="W770" s="183"/>
      <c r="X770" s="183"/>
      <c r="Y770" s="222">
        <v>5</v>
      </c>
      <c r="Z770" s="31">
        <f t="shared" si="288"/>
        <v>100</v>
      </c>
      <c r="AA770" s="6"/>
      <c r="AB770" s="6"/>
      <c r="AC770" s="6"/>
      <c r="AD770" s="6"/>
      <c r="AE770" s="6"/>
      <c r="AF770" s="6"/>
      <c r="AG770" s="3" t="s">
        <v>34</v>
      </c>
      <c r="AH770" s="3" t="s">
        <v>34</v>
      </c>
      <c r="AI770" s="18">
        <f>+VLOOKUP(AH770,Leyenda!$O$4:$U$10,6,FALSE)</f>
        <v>0</v>
      </c>
      <c r="AJ770" s="18" t="str">
        <f>+VLOOKUP(AG770,Leyenda!$O$4:$U$10,7,FALSE)</f>
        <v>No Blasting need</v>
      </c>
      <c r="AK770" s="18">
        <f>+VLOOKUP(AJ770,Leyenda!$U$4:$V$10,2,FALSE)</f>
        <v>2</v>
      </c>
      <c r="AL770" s="6"/>
      <c r="AM770" s="3" t="s">
        <v>34</v>
      </c>
      <c r="AN770" s="18" t="s">
        <v>66</v>
      </c>
      <c r="AO770" s="18" t="s">
        <v>81</v>
      </c>
      <c r="AP770" s="18" t="s">
        <v>96</v>
      </c>
      <c r="AQ770" s="18" t="s">
        <v>107</v>
      </c>
      <c r="AR770" s="18" t="s">
        <v>120</v>
      </c>
      <c r="AS770" s="18" t="s">
        <v>267</v>
      </c>
      <c r="AT770" s="18"/>
      <c r="AU770" s="6"/>
      <c r="AV770" s="36">
        <f>+VLOOKUP(AN770,Leyenda!$B$30:$E$34,3,FALSE)</f>
        <v>1</v>
      </c>
      <c r="AW770" s="36">
        <f>+VLOOKUP('2. Logging Brejo Seco'!AO770,Meteorizacion,3,FALSE)</f>
        <v>0</v>
      </c>
      <c r="AX770" s="36">
        <f>+VLOOKUP('2. Logging Brejo Seco'!AP770,Apertura,3,FALSE)</f>
        <v>1</v>
      </c>
      <c r="AY770" s="36">
        <f>+VLOOKUP('2. Logging Brejo Seco'!AQ770,Leyenda!$B$55:$D$59,3,FALSE)</f>
        <v>3</v>
      </c>
      <c r="AZ770" s="36">
        <f>+VLOOKUP('2. Logging Brejo Seco'!AR770,Relleno,3,FALSE)</f>
        <v>2</v>
      </c>
      <c r="BA770" s="36">
        <f t="shared" si="293"/>
        <v>7</v>
      </c>
      <c r="BB770" s="225">
        <f t="shared" si="294"/>
        <v>6</v>
      </c>
      <c r="BC770" s="49">
        <f>VLOOKUP(AH770,Leyenda!$B$4:$D$10,3,FALSE)</f>
        <v>0</v>
      </c>
      <c r="BD770" s="50">
        <f t="shared" si="295"/>
        <v>7</v>
      </c>
      <c r="BE770" s="50">
        <f t="shared" si="296"/>
        <v>7</v>
      </c>
      <c r="BF770" s="50">
        <f>VLOOKUP(AS770,Leyenda!$B$70:$D$75,3,FALSE)</f>
        <v>15</v>
      </c>
      <c r="BG770" s="110">
        <f t="shared" si="297"/>
        <v>23.5</v>
      </c>
      <c r="BH770" s="110">
        <f>VLOOKUP(AG770,Leyenda!$B$4:$E$10,4,FALSE)</f>
        <v>0</v>
      </c>
      <c r="BI770" s="67">
        <f t="shared" si="298"/>
        <v>8</v>
      </c>
      <c r="BJ770" s="110">
        <f t="shared" si="299"/>
        <v>6</v>
      </c>
      <c r="BK770" s="110">
        <f>+VLOOKUP('2. Logging Brejo Seco'!AP770,Leyenda!$B$47:$E$51,4,FALSE)</f>
        <v>1</v>
      </c>
      <c r="BL770" s="110">
        <f>+VLOOKUP('2. Logging Brejo Seco'!AQ770,Leyenda!$B$55:$E$59,4,FALSE)</f>
        <v>3</v>
      </c>
      <c r="BM770" s="110">
        <f>+VLOOKUP('2. Logging Brejo Seco'!AR770,Leyenda!$B$63:$E$67,3,FALSE)</f>
        <v>2</v>
      </c>
      <c r="BN770" s="110">
        <f>+VLOOKUP('2. Logging Brejo Seco'!AO770,Leyenda!$B$39:$E$43,4,FALSE)</f>
        <v>0</v>
      </c>
      <c r="BO770" s="110">
        <f>+VLOOKUP('2. Logging Brejo Seco'!AN770,Leyenda!$B$30:$E$34,4,FALSE)</f>
        <v>1</v>
      </c>
      <c r="BP770" s="110">
        <f>VLOOKUP(AS770,Leyenda!$B$71:$E$75,4,FALSE)</f>
        <v>10</v>
      </c>
      <c r="BQ770" s="110">
        <f t="shared" si="300"/>
        <v>31</v>
      </c>
      <c r="BR770" s="36">
        <f t="shared" si="301"/>
        <v>35</v>
      </c>
      <c r="BS770" s="240">
        <f t="shared" si="287"/>
        <v>0.36</v>
      </c>
      <c r="BT770" s="6"/>
    </row>
    <row r="771" spans="1:72" x14ac:dyDescent="0.25">
      <c r="A771" s="18" t="s">
        <v>6</v>
      </c>
      <c r="B771" s="18">
        <v>2024</v>
      </c>
      <c r="C771" s="18" t="s">
        <v>138</v>
      </c>
      <c r="D771" s="18" t="s">
        <v>659</v>
      </c>
      <c r="E771" s="18">
        <v>30</v>
      </c>
      <c r="F771" s="3">
        <v>30</v>
      </c>
      <c r="G771" s="18" t="s">
        <v>152</v>
      </c>
      <c r="H771" s="244">
        <f t="shared" si="306"/>
        <v>30</v>
      </c>
      <c r="I771" s="244" t="s">
        <v>759</v>
      </c>
      <c r="J771" s="244"/>
      <c r="K771" s="18">
        <f t="shared" si="305"/>
        <v>14.5</v>
      </c>
      <c r="L771" s="183">
        <v>16.3</v>
      </c>
      <c r="M771" s="4">
        <f t="shared" si="289"/>
        <v>1.8000000000000007</v>
      </c>
      <c r="N771" s="113">
        <f t="shared" si="290"/>
        <v>0.72222222222222199</v>
      </c>
      <c r="O771" s="5">
        <f t="shared" si="303"/>
        <v>0.27777777777777801</v>
      </c>
      <c r="P771" s="18">
        <v>1.3</v>
      </c>
      <c r="Q771" s="182"/>
      <c r="R771" s="182"/>
      <c r="S771" s="182"/>
      <c r="T771" s="183">
        <v>1.3</v>
      </c>
      <c r="U771" s="183">
        <v>0.12</v>
      </c>
      <c r="V771" s="203">
        <f t="shared" si="291"/>
        <v>6.6666666666666634</v>
      </c>
      <c r="W771" s="183"/>
      <c r="X771" s="183"/>
      <c r="Y771" s="222">
        <v>15</v>
      </c>
      <c r="Z771" s="31">
        <f t="shared" si="288"/>
        <v>120.00000000000004</v>
      </c>
      <c r="AA771" s="6"/>
      <c r="AB771" s="6"/>
      <c r="AC771" s="6"/>
      <c r="AD771" s="6"/>
      <c r="AE771" s="6"/>
      <c r="AF771" s="6"/>
      <c r="AG771" s="3" t="s">
        <v>34</v>
      </c>
      <c r="AH771" s="3" t="s">
        <v>34</v>
      </c>
      <c r="AI771" s="18">
        <f>+VLOOKUP(AH771,Leyenda!$O$4:$U$10,6,FALSE)</f>
        <v>0</v>
      </c>
      <c r="AJ771" s="18" t="str">
        <f>+VLOOKUP(AG771,Leyenda!$O$4:$U$10,7,FALSE)</f>
        <v>No Blasting need</v>
      </c>
      <c r="AK771" s="18">
        <f>+VLOOKUP(AJ771,Leyenda!$U$4:$V$10,2,FALSE)</f>
        <v>2</v>
      </c>
      <c r="AL771" s="6"/>
      <c r="AM771" s="3" t="s">
        <v>34</v>
      </c>
      <c r="AN771" s="18" t="s">
        <v>66</v>
      </c>
      <c r="AO771" s="18" t="s">
        <v>81</v>
      </c>
      <c r="AP771" s="18" t="s">
        <v>96</v>
      </c>
      <c r="AQ771" s="18" t="s">
        <v>107</v>
      </c>
      <c r="AR771" s="18" t="s">
        <v>120</v>
      </c>
      <c r="AS771" s="18" t="s">
        <v>267</v>
      </c>
      <c r="AT771" s="18"/>
      <c r="AU771" s="6"/>
      <c r="AV771" s="36">
        <f>+VLOOKUP(AN771,Leyenda!$B$30:$E$34,3,FALSE)</f>
        <v>1</v>
      </c>
      <c r="AW771" s="36">
        <f>+VLOOKUP('2. Logging Brejo Seco'!AO771,Meteorizacion,3,FALSE)</f>
        <v>0</v>
      </c>
      <c r="AX771" s="36">
        <f>+VLOOKUP('2. Logging Brejo Seco'!AP771,Apertura,3,FALSE)</f>
        <v>1</v>
      </c>
      <c r="AY771" s="36">
        <f>+VLOOKUP('2. Logging Brejo Seco'!AQ771,Leyenda!$B$55:$D$59,3,FALSE)</f>
        <v>3</v>
      </c>
      <c r="AZ771" s="36">
        <f>+VLOOKUP('2. Logging Brejo Seco'!AR771,Relleno,3,FALSE)</f>
        <v>2</v>
      </c>
      <c r="BA771" s="36">
        <f t="shared" si="293"/>
        <v>7</v>
      </c>
      <c r="BB771" s="225">
        <f t="shared" si="294"/>
        <v>1</v>
      </c>
      <c r="BC771" s="49">
        <f>VLOOKUP(AH771,Leyenda!$B$4:$D$10,3,FALSE)</f>
        <v>0</v>
      </c>
      <c r="BD771" s="50">
        <f t="shared" si="295"/>
        <v>8</v>
      </c>
      <c r="BE771" s="50">
        <f t="shared" si="296"/>
        <v>7</v>
      </c>
      <c r="BF771" s="50">
        <f>VLOOKUP(AS771,Leyenda!$B$70:$D$75,3,FALSE)</f>
        <v>15</v>
      </c>
      <c r="BG771" s="110">
        <f t="shared" si="297"/>
        <v>13.833333333333332</v>
      </c>
      <c r="BH771" s="110">
        <f>VLOOKUP(AG771,Leyenda!$B$4:$E$10,4,FALSE)</f>
        <v>0</v>
      </c>
      <c r="BI771" s="67">
        <f t="shared" si="298"/>
        <v>9</v>
      </c>
      <c r="BJ771" s="110">
        <f t="shared" si="299"/>
        <v>1</v>
      </c>
      <c r="BK771" s="110">
        <f>+VLOOKUP('2. Logging Brejo Seco'!AP771,Leyenda!$B$47:$E$51,4,FALSE)</f>
        <v>1</v>
      </c>
      <c r="BL771" s="110">
        <f>+VLOOKUP('2. Logging Brejo Seco'!AQ771,Leyenda!$B$55:$E$59,4,FALSE)</f>
        <v>3</v>
      </c>
      <c r="BM771" s="110">
        <f>+VLOOKUP('2. Logging Brejo Seco'!AR771,Leyenda!$B$63:$E$67,3,FALSE)</f>
        <v>2</v>
      </c>
      <c r="BN771" s="110">
        <f>+VLOOKUP('2. Logging Brejo Seco'!AO771,Leyenda!$B$39:$E$43,4,FALSE)</f>
        <v>0</v>
      </c>
      <c r="BO771" s="110">
        <f>+VLOOKUP('2. Logging Brejo Seco'!AN771,Leyenda!$B$30:$E$34,4,FALSE)</f>
        <v>1</v>
      </c>
      <c r="BP771" s="110">
        <f>VLOOKUP(AS771,Leyenda!$B$71:$E$75,4,FALSE)</f>
        <v>10</v>
      </c>
      <c r="BQ771" s="110">
        <f t="shared" si="300"/>
        <v>27</v>
      </c>
      <c r="BR771" s="36">
        <f t="shared" si="301"/>
        <v>31</v>
      </c>
      <c r="BS771" s="240">
        <f t="shared" si="287"/>
        <v>0.27777777777777801</v>
      </c>
      <c r="BT771" s="6"/>
    </row>
    <row r="772" spans="1:72" x14ac:dyDescent="0.25">
      <c r="A772" s="18" t="s">
        <v>6</v>
      </c>
      <c r="B772" s="18">
        <v>2024</v>
      </c>
      <c r="C772" s="18" t="s">
        <v>138</v>
      </c>
      <c r="D772" s="18" t="s">
        <v>659</v>
      </c>
      <c r="E772" s="18">
        <v>30</v>
      </c>
      <c r="F772" s="3">
        <v>30</v>
      </c>
      <c r="G772" s="18" t="s">
        <v>152</v>
      </c>
      <c r="H772" s="3">
        <v>40</v>
      </c>
      <c r="I772" s="3" t="s">
        <v>757</v>
      </c>
      <c r="J772" s="3"/>
      <c r="K772" s="18">
        <f t="shared" si="305"/>
        <v>16.3</v>
      </c>
      <c r="L772" s="183">
        <v>17.2</v>
      </c>
      <c r="M772" s="4">
        <f t="shared" si="289"/>
        <v>0.89999999999999858</v>
      </c>
      <c r="N772" s="113">
        <f t="shared" si="290"/>
        <v>0.74444444444444569</v>
      </c>
      <c r="O772" s="5">
        <f t="shared" si="303"/>
        <v>0.25555555555555431</v>
      </c>
      <c r="P772" s="18">
        <v>0.67</v>
      </c>
      <c r="Q772" s="182"/>
      <c r="R772" s="182"/>
      <c r="S772" s="182"/>
      <c r="T772" s="183">
        <v>0.67</v>
      </c>
      <c r="U772" s="183">
        <v>0</v>
      </c>
      <c r="V772" s="203">
        <f t="shared" si="291"/>
        <v>0</v>
      </c>
      <c r="W772" s="183"/>
      <c r="X772" s="183"/>
      <c r="Y772" s="222">
        <v>8</v>
      </c>
      <c r="Z772" s="31">
        <f t="shared" si="288"/>
        <v>112.49999999999983</v>
      </c>
      <c r="AA772" s="6"/>
      <c r="AB772" s="6"/>
      <c r="AC772" s="6"/>
      <c r="AD772" s="6"/>
      <c r="AE772" s="6"/>
      <c r="AF772" s="6"/>
      <c r="AG772" s="3" t="s">
        <v>34</v>
      </c>
      <c r="AH772" s="3" t="s">
        <v>34</v>
      </c>
      <c r="AI772" s="18">
        <f>+VLOOKUP(AH772,Leyenda!$O$4:$U$10,6,FALSE)</f>
        <v>0</v>
      </c>
      <c r="AJ772" s="18" t="str">
        <f>+VLOOKUP(AG772,Leyenda!$O$4:$U$10,7,FALSE)</f>
        <v>No Blasting need</v>
      </c>
      <c r="AK772" s="18">
        <f>+VLOOKUP(AJ772,Leyenda!$U$4:$V$10,2,FALSE)</f>
        <v>2</v>
      </c>
      <c r="AL772" s="6"/>
      <c r="AM772" s="3" t="s">
        <v>34</v>
      </c>
      <c r="AN772" s="18" t="s">
        <v>66</v>
      </c>
      <c r="AO772" s="18" t="s">
        <v>81</v>
      </c>
      <c r="AP772" s="18" t="s">
        <v>96</v>
      </c>
      <c r="AQ772" s="18" t="s">
        <v>107</v>
      </c>
      <c r="AR772" s="18" t="s">
        <v>120</v>
      </c>
      <c r="AS772" s="18" t="s">
        <v>267</v>
      </c>
      <c r="AT772" s="18"/>
      <c r="AU772" s="6"/>
      <c r="AV772" s="36">
        <f>+VLOOKUP(AN772,Leyenda!$B$30:$E$34,3,FALSE)</f>
        <v>1</v>
      </c>
      <c r="AW772" s="36">
        <f>+VLOOKUP('2. Logging Brejo Seco'!AO772,Meteorizacion,3,FALSE)</f>
        <v>0</v>
      </c>
      <c r="AX772" s="36">
        <f>+VLOOKUP('2. Logging Brejo Seco'!AP772,Apertura,3,FALSE)</f>
        <v>1</v>
      </c>
      <c r="AY772" s="36">
        <f>+VLOOKUP('2. Logging Brejo Seco'!AQ772,Leyenda!$B$55:$D$59,3,FALSE)</f>
        <v>3</v>
      </c>
      <c r="AZ772" s="36">
        <f>+VLOOKUP('2. Logging Brejo Seco'!AR772,Relleno,3,FALSE)</f>
        <v>2</v>
      </c>
      <c r="BA772" s="36">
        <f t="shared" si="293"/>
        <v>7</v>
      </c>
      <c r="BB772" s="225">
        <f t="shared" si="294"/>
        <v>0</v>
      </c>
      <c r="BC772" s="49">
        <f>VLOOKUP(AH772,Leyenda!$B$4:$D$10,3,FALSE)</f>
        <v>0</v>
      </c>
      <c r="BD772" s="50">
        <f t="shared" si="295"/>
        <v>8</v>
      </c>
      <c r="BE772" s="50">
        <f t="shared" si="296"/>
        <v>7</v>
      </c>
      <c r="BF772" s="50">
        <f>VLOOKUP(AS772,Leyenda!$B$70:$D$75,3,FALSE)</f>
        <v>15</v>
      </c>
      <c r="BG772" s="110">
        <f t="shared" si="297"/>
        <v>10.5</v>
      </c>
      <c r="BH772" s="110">
        <f>VLOOKUP(AG772,Leyenda!$B$4:$E$10,4,FALSE)</f>
        <v>0</v>
      </c>
      <c r="BI772" s="67">
        <f t="shared" si="298"/>
        <v>9</v>
      </c>
      <c r="BJ772" s="110">
        <f t="shared" si="299"/>
        <v>0</v>
      </c>
      <c r="BK772" s="110">
        <f>+VLOOKUP('2. Logging Brejo Seco'!AP772,Leyenda!$B$47:$E$51,4,FALSE)</f>
        <v>1</v>
      </c>
      <c r="BL772" s="110">
        <f>+VLOOKUP('2. Logging Brejo Seco'!AQ772,Leyenda!$B$55:$E$59,4,FALSE)</f>
        <v>3</v>
      </c>
      <c r="BM772" s="110">
        <f>+VLOOKUP('2. Logging Brejo Seco'!AR772,Leyenda!$B$63:$E$67,3,FALSE)</f>
        <v>2</v>
      </c>
      <c r="BN772" s="110">
        <f>+VLOOKUP('2. Logging Brejo Seco'!AO772,Leyenda!$B$39:$E$43,4,FALSE)</f>
        <v>0</v>
      </c>
      <c r="BO772" s="110">
        <f>+VLOOKUP('2. Logging Brejo Seco'!AN772,Leyenda!$B$30:$E$34,4,FALSE)</f>
        <v>1</v>
      </c>
      <c r="BP772" s="110">
        <f>VLOOKUP(AS772,Leyenda!$B$71:$E$75,4,FALSE)</f>
        <v>10</v>
      </c>
      <c r="BQ772" s="110">
        <f t="shared" si="300"/>
        <v>26</v>
      </c>
      <c r="BR772" s="36">
        <f t="shared" si="301"/>
        <v>30</v>
      </c>
      <c r="BS772" s="240">
        <f t="shared" ref="BS772:BS835" si="307">1-N772</f>
        <v>0.25555555555555431</v>
      </c>
      <c r="BT772" s="6"/>
    </row>
    <row r="773" spans="1:72" x14ac:dyDescent="0.25">
      <c r="A773" s="18" t="s">
        <v>6</v>
      </c>
      <c r="B773" s="18">
        <v>2024</v>
      </c>
      <c r="C773" s="18" t="s">
        <v>138</v>
      </c>
      <c r="D773" s="18" t="s">
        <v>659</v>
      </c>
      <c r="E773" s="18">
        <v>30</v>
      </c>
      <c r="F773" s="3">
        <v>30</v>
      </c>
      <c r="G773" s="18" t="s">
        <v>152</v>
      </c>
      <c r="H773" s="3">
        <v>40</v>
      </c>
      <c r="I773" s="3" t="s">
        <v>757</v>
      </c>
      <c r="J773" s="3"/>
      <c r="K773" s="18">
        <f t="shared" si="305"/>
        <v>17.2</v>
      </c>
      <c r="L773" s="183">
        <v>18</v>
      </c>
      <c r="M773" s="4">
        <f t="shared" si="289"/>
        <v>0.80000000000000071</v>
      </c>
      <c r="N773" s="113">
        <f t="shared" si="290"/>
        <v>0.49999999999999956</v>
      </c>
      <c r="O773" s="5">
        <f t="shared" si="303"/>
        <v>0.50000000000000044</v>
      </c>
      <c r="P773" s="18">
        <f>0.15+0.25</f>
        <v>0.4</v>
      </c>
      <c r="Q773" s="182"/>
      <c r="R773" s="182"/>
      <c r="S773" s="182"/>
      <c r="T773" s="183">
        <v>0.4</v>
      </c>
      <c r="U773" s="183">
        <v>0.14000000000000001</v>
      </c>
      <c r="V773" s="203">
        <f t="shared" si="291"/>
        <v>17.499999999999986</v>
      </c>
      <c r="W773" s="183"/>
      <c r="X773" s="183"/>
      <c r="Y773" s="222">
        <v>7</v>
      </c>
      <c r="Z773" s="31">
        <f t="shared" si="288"/>
        <v>114.28571428571438</v>
      </c>
      <c r="AA773" s="6"/>
      <c r="AB773" s="6"/>
      <c r="AC773" s="6"/>
      <c r="AD773" s="6"/>
      <c r="AE773" s="6"/>
      <c r="AF773" s="6"/>
      <c r="AG773" s="18" t="s">
        <v>32</v>
      </c>
      <c r="AH773" s="18" t="s">
        <v>32</v>
      </c>
      <c r="AI773" s="18" t="str">
        <f>+VLOOKUP(AH773,Leyenda!$O$4:$U$10,6,FALSE)</f>
        <v>0,15-0,25</v>
      </c>
      <c r="AJ773" s="18" t="str">
        <f>+VLOOKUP(AG773,Leyenda!$O$4:$U$10,7,FALSE)</f>
        <v>No Blasting need</v>
      </c>
      <c r="AK773" s="18">
        <f>+VLOOKUP(AJ773,Leyenda!$U$4:$V$10,2,FALSE)</f>
        <v>2</v>
      </c>
      <c r="AL773" s="18"/>
      <c r="AM773" s="18" t="s">
        <v>32</v>
      </c>
      <c r="AN773" s="18" t="s">
        <v>66</v>
      </c>
      <c r="AO773" s="18" t="s">
        <v>79</v>
      </c>
      <c r="AP773" s="18" t="s">
        <v>96</v>
      </c>
      <c r="AQ773" s="18" t="s">
        <v>107</v>
      </c>
      <c r="AR773" s="18" t="s">
        <v>120</v>
      </c>
      <c r="AS773" s="18" t="s">
        <v>267</v>
      </c>
      <c r="AT773" s="18"/>
      <c r="AU773" s="6"/>
      <c r="AV773" s="36">
        <f>+VLOOKUP(AN773,Leyenda!$B$30:$E$34,3,FALSE)</f>
        <v>1</v>
      </c>
      <c r="AW773" s="36">
        <f>+VLOOKUP('2. Logging Brejo Seco'!AO773,Meteorizacion,3,FALSE)</f>
        <v>1</v>
      </c>
      <c r="AX773" s="36">
        <f>+VLOOKUP('2. Logging Brejo Seco'!AP773,Apertura,3,FALSE)</f>
        <v>1</v>
      </c>
      <c r="AY773" s="36">
        <f>+VLOOKUP('2. Logging Brejo Seco'!AQ773,Leyenda!$B$55:$D$59,3,FALSE)</f>
        <v>3</v>
      </c>
      <c r="AZ773" s="36">
        <f>+VLOOKUP('2. Logging Brejo Seco'!AR773,Relleno,3,FALSE)</f>
        <v>2</v>
      </c>
      <c r="BA773" s="36">
        <f t="shared" si="293"/>
        <v>8</v>
      </c>
      <c r="BB773" s="225">
        <f t="shared" si="294"/>
        <v>4</v>
      </c>
      <c r="BC773" s="49">
        <f>VLOOKUP(AH773,Leyenda!$B$4:$D$10,3,FALSE)</f>
        <v>1</v>
      </c>
      <c r="BD773" s="50">
        <f t="shared" si="295"/>
        <v>8</v>
      </c>
      <c r="BE773" s="50">
        <f t="shared" si="296"/>
        <v>8</v>
      </c>
      <c r="BF773" s="50">
        <f>VLOOKUP(AS773,Leyenda!$B$70:$D$75,3,FALSE)</f>
        <v>15</v>
      </c>
      <c r="BG773" s="110">
        <f t="shared" si="297"/>
        <v>20.749999999999993</v>
      </c>
      <c r="BH773" s="110">
        <f>VLOOKUP(AG773,Leyenda!$B$4:$E$10,4,FALSE)</f>
        <v>1</v>
      </c>
      <c r="BI773" s="67">
        <f t="shared" si="298"/>
        <v>9</v>
      </c>
      <c r="BJ773" s="110">
        <f t="shared" si="299"/>
        <v>4</v>
      </c>
      <c r="BK773" s="110">
        <f>+VLOOKUP('2. Logging Brejo Seco'!AP773,Leyenda!$B$47:$E$51,4,FALSE)</f>
        <v>1</v>
      </c>
      <c r="BL773" s="110">
        <f>+VLOOKUP('2. Logging Brejo Seco'!AQ773,Leyenda!$B$55:$E$59,4,FALSE)</f>
        <v>3</v>
      </c>
      <c r="BM773" s="110">
        <f>+VLOOKUP('2. Logging Brejo Seco'!AR773,Leyenda!$B$63:$E$67,3,FALSE)</f>
        <v>2</v>
      </c>
      <c r="BN773" s="110">
        <f>+VLOOKUP('2. Logging Brejo Seco'!AO773,Leyenda!$B$39:$E$43,4,FALSE)</f>
        <v>1</v>
      </c>
      <c r="BO773" s="110">
        <f>+VLOOKUP('2. Logging Brejo Seco'!AN773,Leyenda!$B$30:$E$34,4,FALSE)</f>
        <v>1</v>
      </c>
      <c r="BP773" s="110">
        <f>VLOOKUP(AS773,Leyenda!$B$71:$E$75,4,FALSE)</f>
        <v>10</v>
      </c>
      <c r="BQ773" s="110">
        <f t="shared" si="300"/>
        <v>32</v>
      </c>
      <c r="BR773" s="36">
        <f t="shared" si="301"/>
        <v>36</v>
      </c>
      <c r="BS773" s="240">
        <f t="shared" si="307"/>
        <v>0.50000000000000044</v>
      </c>
      <c r="BT773" s="6"/>
    </row>
    <row r="774" spans="1:72" x14ac:dyDescent="0.25">
      <c r="A774" s="18" t="s">
        <v>6</v>
      </c>
      <c r="B774" s="18">
        <v>2024</v>
      </c>
      <c r="C774" s="18" t="s">
        <v>138</v>
      </c>
      <c r="D774" s="18" t="s">
        <v>659</v>
      </c>
      <c r="E774" s="18">
        <v>30</v>
      </c>
      <c r="F774" s="3">
        <v>30</v>
      </c>
      <c r="G774" s="18" t="s">
        <v>152</v>
      </c>
      <c r="H774" s="3">
        <v>40</v>
      </c>
      <c r="I774" s="3" t="s">
        <v>757</v>
      </c>
      <c r="J774" s="3"/>
      <c r="K774" s="18">
        <f t="shared" si="305"/>
        <v>18</v>
      </c>
      <c r="L774" s="183">
        <v>18.3</v>
      </c>
      <c r="M774" s="4">
        <f t="shared" si="289"/>
        <v>0.30000000000000071</v>
      </c>
      <c r="N774" s="113">
        <f t="shared" si="290"/>
        <v>0.63333333333333186</v>
      </c>
      <c r="O774" s="5">
        <f t="shared" si="303"/>
        <v>0.36666666666666814</v>
      </c>
      <c r="P774" s="18">
        <v>0.19</v>
      </c>
      <c r="Q774" s="182"/>
      <c r="R774" s="182"/>
      <c r="S774" s="182"/>
      <c r="T774" s="183">
        <v>0.19</v>
      </c>
      <c r="U774" s="183">
        <v>0</v>
      </c>
      <c r="V774" s="203">
        <f t="shared" si="291"/>
        <v>0</v>
      </c>
      <c r="W774" s="183"/>
      <c r="X774" s="183"/>
      <c r="Y774" s="222">
        <v>8</v>
      </c>
      <c r="Z774" s="31">
        <f t="shared" si="288"/>
        <v>37.500000000000085</v>
      </c>
      <c r="AA774" s="6"/>
      <c r="AB774" s="6"/>
      <c r="AC774" s="6"/>
      <c r="AD774" s="6"/>
      <c r="AE774" s="6"/>
      <c r="AF774" s="6"/>
      <c r="AG774" s="18" t="s">
        <v>32</v>
      </c>
      <c r="AH774" s="18" t="s">
        <v>32</v>
      </c>
      <c r="AI774" s="18" t="str">
        <f>+VLOOKUP(AH774,Leyenda!$O$4:$U$10,6,FALSE)</f>
        <v>0,15-0,25</v>
      </c>
      <c r="AJ774" s="18" t="str">
        <f>+VLOOKUP(AG774,Leyenda!$O$4:$U$10,7,FALSE)</f>
        <v>No Blasting need</v>
      </c>
      <c r="AK774" s="18">
        <f>+VLOOKUP(AJ774,Leyenda!$U$4:$V$10,2,FALSE)</f>
        <v>2</v>
      </c>
      <c r="AL774" s="18"/>
      <c r="AM774" s="18" t="s">
        <v>32</v>
      </c>
      <c r="AN774" s="18" t="s">
        <v>66</v>
      </c>
      <c r="AO774" s="18" t="s">
        <v>79</v>
      </c>
      <c r="AP774" s="18" t="s">
        <v>96</v>
      </c>
      <c r="AQ774" s="18" t="s">
        <v>107</v>
      </c>
      <c r="AR774" s="18" t="s">
        <v>120</v>
      </c>
      <c r="AS774" s="18" t="s">
        <v>267</v>
      </c>
      <c r="AT774" s="18"/>
      <c r="AU774" s="6"/>
      <c r="AV774" s="36">
        <f>+VLOOKUP(AN774,Leyenda!$B$30:$E$34,3,FALSE)</f>
        <v>1</v>
      </c>
      <c r="AW774" s="36">
        <f>+VLOOKUP('2. Logging Brejo Seco'!AO774,Meteorizacion,3,FALSE)</f>
        <v>1</v>
      </c>
      <c r="AX774" s="36">
        <f>+VLOOKUP('2. Logging Brejo Seco'!AP774,Apertura,3,FALSE)</f>
        <v>1</v>
      </c>
      <c r="AY774" s="36">
        <f>+VLOOKUP('2. Logging Brejo Seco'!AQ774,Leyenda!$B$55:$D$59,3,FALSE)</f>
        <v>3</v>
      </c>
      <c r="AZ774" s="36">
        <f>+VLOOKUP('2. Logging Brejo Seco'!AR774,Relleno,3,FALSE)</f>
        <v>2</v>
      </c>
      <c r="BA774" s="36">
        <f t="shared" si="293"/>
        <v>8</v>
      </c>
      <c r="BB774" s="225">
        <f t="shared" si="294"/>
        <v>0</v>
      </c>
      <c r="BC774" s="49">
        <f>VLOOKUP(AH774,Leyenda!$B$4:$D$10,3,FALSE)</f>
        <v>1</v>
      </c>
      <c r="BD774" s="50">
        <f t="shared" si="295"/>
        <v>5</v>
      </c>
      <c r="BE774" s="50">
        <f t="shared" si="296"/>
        <v>8</v>
      </c>
      <c r="BF774" s="50">
        <f>VLOOKUP(AS774,Leyenda!$B$70:$D$75,3,FALSE)</f>
        <v>15</v>
      </c>
      <c r="BG774" s="110">
        <f t="shared" si="297"/>
        <v>12</v>
      </c>
      <c r="BH774" s="110">
        <f>VLOOKUP(AG774,Leyenda!$B$4:$E$10,4,FALSE)</f>
        <v>1</v>
      </c>
      <c r="BI774" s="67">
        <f t="shared" si="298"/>
        <v>5</v>
      </c>
      <c r="BJ774" s="110">
        <f t="shared" si="299"/>
        <v>0</v>
      </c>
      <c r="BK774" s="110">
        <f>+VLOOKUP('2. Logging Brejo Seco'!AP774,Leyenda!$B$47:$E$51,4,FALSE)</f>
        <v>1</v>
      </c>
      <c r="BL774" s="110">
        <f>+VLOOKUP('2. Logging Brejo Seco'!AQ774,Leyenda!$B$55:$E$59,4,FALSE)</f>
        <v>3</v>
      </c>
      <c r="BM774" s="110">
        <f>+VLOOKUP('2. Logging Brejo Seco'!AR774,Leyenda!$B$63:$E$67,3,FALSE)</f>
        <v>2</v>
      </c>
      <c r="BN774" s="110">
        <f>+VLOOKUP('2. Logging Brejo Seco'!AO774,Leyenda!$B$39:$E$43,4,FALSE)</f>
        <v>1</v>
      </c>
      <c r="BO774" s="110">
        <f>+VLOOKUP('2. Logging Brejo Seco'!AN774,Leyenda!$B$30:$E$34,4,FALSE)</f>
        <v>1</v>
      </c>
      <c r="BP774" s="110">
        <f>VLOOKUP(AS774,Leyenda!$B$71:$E$75,4,FALSE)</f>
        <v>10</v>
      </c>
      <c r="BQ774" s="110">
        <f t="shared" si="300"/>
        <v>24</v>
      </c>
      <c r="BR774" s="36">
        <f t="shared" si="301"/>
        <v>29</v>
      </c>
      <c r="BS774" s="240">
        <f t="shared" si="307"/>
        <v>0.36666666666666814</v>
      </c>
      <c r="BT774" s="6"/>
    </row>
    <row r="775" spans="1:72" x14ac:dyDescent="0.25">
      <c r="A775" s="18" t="s">
        <v>6</v>
      </c>
      <c r="B775" s="18">
        <v>2024</v>
      </c>
      <c r="C775" s="18" t="s">
        <v>138</v>
      </c>
      <c r="D775" s="18" t="s">
        <v>659</v>
      </c>
      <c r="E775" s="18">
        <v>30</v>
      </c>
      <c r="F775" s="3">
        <v>30</v>
      </c>
      <c r="G775" s="18" t="s">
        <v>152</v>
      </c>
      <c r="H775" s="3">
        <v>40</v>
      </c>
      <c r="I775" s="3" t="s">
        <v>757</v>
      </c>
      <c r="J775" s="3"/>
      <c r="K775" s="18">
        <f t="shared" si="305"/>
        <v>18.3</v>
      </c>
      <c r="L775" s="183">
        <v>18.7</v>
      </c>
      <c r="M775" s="4">
        <f t="shared" si="289"/>
        <v>0.39999999999999858</v>
      </c>
      <c r="N775" s="113">
        <f t="shared" si="290"/>
        <v>0.60000000000000209</v>
      </c>
      <c r="O775" s="5">
        <f t="shared" si="303"/>
        <v>0.39999999999999791</v>
      </c>
      <c r="P775" s="18">
        <v>0.24</v>
      </c>
      <c r="Q775" s="182"/>
      <c r="R775" s="182"/>
      <c r="S775" s="182"/>
      <c r="T775" s="183">
        <v>0.24</v>
      </c>
      <c r="U775" s="183">
        <v>0</v>
      </c>
      <c r="V775" s="203">
        <f t="shared" si="291"/>
        <v>0</v>
      </c>
      <c r="W775" s="183"/>
      <c r="X775" s="183"/>
      <c r="Y775" s="222">
        <v>8</v>
      </c>
      <c r="Z775" s="31">
        <f t="shared" si="288"/>
        <v>49.999999999999822</v>
      </c>
      <c r="AA775" s="6"/>
      <c r="AB775" s="6"/>
      <c r="AC775" s="6"/>
      <c r="AD775" s="6"/>
      <c r="AE775" s="6"/>
      <c r="AF775" s="6"/>
      <c r="AG775" s="18" t="s">
        <v>34</v>
      </c>
      <c r="AH775" s="18" t="s">
        <v>34</v>
      </c>
      <c r="AI775" s="18">
        <f>+VLOOKUP(AH775,Leyenda!$O$4:$U$10,6,FALSE)</f>
        <v>0</v>
      </c>
      <c r="AJ775" s="18" t="str">
        <f>+VLOOKUP(AG775,Leyenda!$O$4:$U$10,7,FALSE)</f>
        <v>No Blasting need</v>
      </c>
      <c r="AK775" s="18">
        <f>+VLOOKUP(AJ775,Leyenda!$U$4:$V$10,2,FALSE)</f>
        <v>2</v>
      </c>
      <c r="AL775" s="18"/>
      <c r="AM775" s="18" t="s">
        <v>34</v>
      </c>
      <c r="AN775" s="18" t="s">
        <v>66</v>
      </c>
      <c r="AO775" s="18" t="s">
        <v>79</v>
      </c>
      <c r="AP775" s="18" t="s">
        <v>96</v>
      </c>
      <c r="AQ775" s="18" t="s">
        <v>107</v>
      </c>
      <c r="AR775" s="18" t="s">
        <v>120</v>
      </c>
      <c r="AS775" s="18" t="s">
        <v>267</v>
      </c>
      <c r="AT775" s="18"/>
      <c r="AU775" s="6"/>
      <c r="AV775" s="36">
        <f>+VLOOKUP(AN775,Leyenda!$B$30:$E$34,3,FALSE)</f>
        <v>1</v>
      </c>
      <c r="AW775" s="36">
        <f>+VLOOKUP('2. Logging Brejo Seco'!AO775,Meteorizacion,3,FALSE)</f>
        <v>1</v>
      </c>
      <c r="AX775" s="36">
        <f>+VLOOKUP('2. Logging Brejo Seco'!AP775,Apertura,3,FALSE)</f>
        <v>1</v>
      </c>
      <c r="AY775" s="36">
        <f>+VLOOKUP('2. Logging Brejo Seco'!AQ775,Leyenda!$B$55:$D$59,3,FALSE)</f>
        <v>3</v>
      </c>
      <c r="AZ775" s="36">
        <f>+VLOOKUP('2. Logging Brejo Seco'!AR775,Relleno,3,FALSE)</f>
        <v>2</v>
      </c>
      <c r="BA775" s="36">
        <f t="shared" si="293"/>
        <v>8</v>
      </c>
      <c r="BB775" s="225">
        <f t="shared" si="294"/>
        <v>0</v>
      </c>
      <c r="BC775" s="49">
        <f>VLOOKUP(AH775,Leyenda!$B$4:$D$10,3,FALSE)</f>
        <v>0</v>
      </c>
      <c r="BD775" s="50">
        <f t="shared" si="295"/>
        <v>6</v>
      </c>
      <c r="BE775" s="50">
        <f t="shared" si="296"/>
        <v>8</v>
      </c>
      <c r="BF775" s="50">
        <f>VLOOKUP(AS775,Leyenda!$B$70:$D$75,3,FALSE)</f>
        <v>15</v>
      </c>
      <c r="BG775" s="110">
        <f t="shared" si="297"/>
        <v>12</v>
      </c>
      <c r="BH775" s="110">
        <f>VLOOKUP(AG775,Leyenda!$B$4:$E$10,4,FALSE)</f>
        <v>0</v>
      </c>
      <c r="BI775" s="67">
        <f t="shared" si="298"/>
        <v>5</v>
      </c>
      <c r="BJ775" s="110">
        <f t="shared" si="299"/>
        <v>0</v>
      </c>
      <c r="BK775" s="110">
        <f>+VLOOKUP('2. Logging Brejo Seco'!AP775,Leyenda!$B$47:$E$51,4,FALSE)</f>
        <v>1</v>
      </c>
      <c r="BL775" s="110">
        <f>+VLOOKUP('2. Logging Brejo Seco'!AQ775,Leyenda!$B$55:$E$59,4,FALSE)</f>
        <v>3</v>
      </c>
      <c r="BM775" s="110">
        <f>+VLOOKUP('2. Logging Brejo Seco'!AR775,Leyenda!$B$63:$E$67,3,FALSE)</f>
        <v>2</v>
      </c>
      <c r="BN775" s="110">
        <f>+VLOOKUP('2. Logging Brejo Seco'!AO775,Leyenda!$B$39:$E$43,4,FALSE)</f>
        <v>1</v>
      </c>
      <c r="BO775" s="110">
        <f>+VLOOKUP('2. Logging Brejo Seco'!AN775,Leyenda!$B$30:$E$34,4,FALSE)</f>
        <v>1</v>
      </c>
      <c r="BP775" s="110">
        <f>VLOOKUP(AS775,Leyenda!$B$71:$E$75,4,FALSE)</f>
        <v>10</v>
      </c>
      <c r="BQ775" s="110">
        <f t="shared" si="300"/>
        <v>23</v>
      </c>
      <c r="BR775" s="36">
        <f t="shared" si="301"/>
        <v>29</v>
      </c>
      <c r="BS775" s="240">
        <f t="shared" si="307"/>
        <v>0.39999999999999791</v>
      </c>
      <c r="BT775" s="6"/>
    </row>
    <row r="776" spans="1:72" x14ac:dyDescent="0.25">
      <c r="A776" s="18" t="s">
        <v>6</v>
      </c>
      <c r="B776" s="18">
        <v>2024</v>
      </c>
      <c r="C776" s="18" t="s">
        <v>138</v>
      </c>
      <c r="D776" s="18" t="s">
        <v>659</v>
      </c>
      <c r="E776" s="18">
        <v>30</v>
      </c>
      <c r="F776" s="3">
        <v>40</v>
      </c>
      <c r="G776" s="18" t="s">
        <v>153</v>
      </c>
      <c r="H776" s="3">
        <v>40</v>
      </c>
      <c r="I776" s="3" t="s">
        <v>757</v>
      </c>
      <c r="J776" s="3"/>
      <c r="K776" s="18">
        <f t="shared" si="305"/>
        <v>18.7</v>
      </c>
      <c r="L776" s="183">
        <v>19.05</v>
      </c>
      <c r="M776" s="4">
        <f t="shared" si="289"/>
        <v>0.35000000000000142</v>
      </c>
      <c r="N776" s="113">
        <f t="shared" si="290"/>
        <v>0.51428571428571213</v>
      </c>
      <c r="O776" s="5">
        <f t="shared" si="303"/>
        <v>0.48571428571428787</v>
      </c>
      <c r="P776" s="18">
        <v>0.18</v>
      </c>
      <c r="Q776" s="182"/>
      <c r="R776" s="182"/>
      <c r="S776" s="182"/>
      <c r="T776" s="183">
        <v>0.18</v>
      </c>
      <c r="U776" s="183">
        <v>0</v>
      </c>
      <c r="V776" s="203">
        <f t="shared" si="291"/>
        <v>0</v>
      </c>
      <c r="W776" s="183"/>
      <c r="X776" s="183"/>
      <c r="Y776" s="183">
        <v>10</v>
      </c>
      <c r="Z776" s="31">
        <f t="shared" si="288"/>
        <v>35.000000000000142</v>
      </c>
      <c r="AA776" s="6"/>
      <c r="AB776" s="6"/>
      <c r="AC776" s="6"/>
      <c r="AD776" s="6"/>
      <c r="AE776" s="6"/>
      <c r="AF776" s="6"/>
      <c r="AG776" s="18" t="s">
        <v>34</v>
      </c>
      <c r="AH776" s="18" t="s">
        <v>34</v>
      </c>
      <c r="AI776" s="18">
        <f>+VLOOKUP(AH776,Leyenda!$O$4:$U$10,6,FALSE)</f>
        <v>0</v>
      </c>
      <c r="AJ776" s="18" t="str">
        <f>+VLOOKUP(AG776,Leyenda!$O$4:$U$10,7,FALSE)</f>
        <v>No Blasting need</v>
      </c>
      <c r="AK776" s="18">
        <f>+VLOOKUP(AJ776,Leyenda!$U$4:$V$10,2,FALSE)</f>
        <v>2</v>
      </c>
      <c r="AL776" s="18"/>
      <c r="AM776" s="18" t="s">
        <v>34</v>
      </c>
      <c r="AN776" s="18" t="s">
        <v>66</v>
      </c>
      <c r="AO776" s="18" t="s">
        <v>79</v>
      </c>
      <c r="AP776" s="18" t="s">
        <v>96</v>
      </c>
      <c r="AQ776" s="18" t="s">
        <v>107</v>
      </c>
      <c r="AR776" s="18" t="s">
        <v>120</v>
      </c>
      <c r="AS776" s="18" t="s">
        <v>267</v>
      </c>
      <c r="AT776" s="18"/>
      <c r="AU776" s="6"/>
      <c r="AV776" s="18">
        <f>+VLOOKUP(AN776,Leyenda!$B$30:$E$34,3,FALSE)</f>
        <v>1</v>
      </c>
      <c r="AW776" s="18">
        <f>+VLOOKUP('2. Logging Brejo Seco'!AO776,Meteorizacion,3,FALSE)</f>
        <v>1</v>
      </c>
      <c r="AX776" s="18">
        <f>+VLOOKUP('2. Logging Brejo Seco'!AP776,Apertura,3,FALSE)</f>
        <v>1</v>
      </c>
      <c r="AY776" s="18">
        <f>+VLOOKUP('2. Logging Brejo Seco'!AQ776,Leyenda!$B$55:$D$59,3,FALSE)</f>
        <v>3</v>
      </c>
      <c r="AZ776" s="18">
        <f>+VLOOKUP('2. Logging Brejo Seco'!AR776,Relleno,3,FALSE)</f>
        <v>2</v>
      </c>
      <c r="BA776" s="18">
        <f t="shared" si="293"/>
        <v>8</v>
      </c>
      <c r="BB776" s="49">
        <f t="shared" si="294"/>
        <v>0</v>
      </c>
      <c r="BC776" s="49">
        <f>VLOOKUP(AH776,Leyenda!$B$4:$D$10,3,FALSE)</f>
        <v>0</v>
      </c>
      <c r="BD776" s="49">
        <f t="shared" si="295"/>
        <v>5</v>
      </c>
      <c r="BE776" s="49">
        <f t="shared" si="296"/>
        <v>8</v>
      </c>
      <c r="BF776" s="49">
        <f>VLOOKUP(AS776,Leyenda!$B$70:$D$75,3,FALSE)</f>
        <v>15</v>
      </c>
      <c r="BG776" s="67">
        <f t="shared" si="297"/>
        <v>12</v>
      </c>
      <c r="BH776" s="67">
        <f>VLOOKUP(AG776,Leyenda!$B$4:$E$10,4,FALSE)</f>
        <v>0</v>
      </c>
      <c r="BI776" s="67">
        <f t="shared" si="298"/>
        <v>5</v>
      </c>
      <c r="BJ776" s="67">
        <f t="shared" si="299"/>
        <v>0</v>
      </c>
      <c r="BK776" s="67">
        <f>+VLOOKUP('2. Logging Brejo Seco'!AP776,Leyenda!$B$47:$E$51,4,FALSE)</f>
        <v>1</v>
      </c>
      <c r="BL776" s="67">
        <f>+VLOOKUP('2. Logging Brejo Seco'!AQ776,Leyenda!$B$55:$E$59,4,FALSE)</f>
        <v>3</v>
      </c>
      <c r="BM776" s="67">
        <f>+VLOOKUP('2. Logging Brejo Seco'!AR776,Leyenda!$B$63:$E$67,3,FALSE)</f>
        <v>2</v>
      </c>
      <c r="BN776" s="67">
        <f>+VLOOKUP('2. Logging Brejo Seco'!AO776,Leyenda!$B$39:$E$43,4,FALSE)</f>
        <v>1</v>
      </c>
      <c r="BO776" s="67">
        <f>+VLOOKUP('2. Logging Brejo Seco'!AN776,Leyenda!$B$30:$E$34,4,FALSE)</f>
        <v>1</v>
      </c>
      <c r="BP776" s="67">
        <f>VLOOKUP(AS776,Leyenda!$B$71:$E$75,4,FALSE)</f>
        <v>10</v>
      </c>
      <c r="BQ776" s="67">
        <f t="shared" si="300"/>
        <v>23</v>
      </c>
      <c r="BR776" s="18">
        <f t="shared" si="301"/>
        <v>28</v>
      </c>
      <c r="BS776" s="240">
        <f t="shared" si="307"/>
        <v>0.48571428571428787</v>
      </c>
      <c r="BT776" s="6"/>
    </row>
    <row r="777" spans="1:72" x14ac:dyDescent="0.25">
      <c r="A777" s="18" t="s">
        <v>6</v>
      </c>
      <c r="B777" s="18">
        <v>2024</v>
      </c>
      <c r="C777" s="18" t="s">
        <v>138</v>
      </c>
      <c r="D777" s="18" t="s">
        <v>659</v>
      </c>
      <c r="E777" s="18">
        <v>30</v>
      </c>
      <c r="F777" s="3">
        <v>40</v>
      </c>
      <c r="G777" s="18" t="s">
        <v>153</v>
      </c>
      <c r="H777" s="3">
        <v>40</v>
      </c>
      <c r="I777" s="3" t="s">
        <v>757</v>
      </c>
      <c r="J777" s="3"/>
      <c r="K777" s="18">
        <f t="shared" si="305"/>
        <v>19.05</v>
      </c>
      <c r="L777" s="183">
        <v>19.5</v>
      </c>
      <c r="M777" s="4">
        <f t="shared" si="289"/>
        <v>0.44999999999999929</v>
      </c>
      <c r="N777" s="113">
        <f t="shared" si="290"/>
        <v>0.60000000000000098</v>
      </c>
      <c r="O777" s="5">
        <f t="shared" si="303"/>
        <v>0.39999999999999902</v>
      </c>
      <c r="P777" s="18">
        <v>0.27</v>
      </c>
      <c r="Q777" s="182"/>
      <c r="R777" s="182"/>
      <c r="S777" s="182"/>
      <c r="T777" s="183">
        <v>0.27</v>
      </c>
      <c r="U777" s="183">
        <v>0.27</v>
      </c>
      <c r="V777" s="203">
        <f t="shared" si="291"/>
        <v>60.000000000000099</v>
      </c>
      <c r="W777" s="183"/>
      <c r="X777" s="183"/>
      <c r="Y777" s="183">
        <v>4</v>
      </c>
      <c r="Z777" s="31">
        <f t="shared" si="288"/>
        <v>112.49999999999983</v>
      </c>
      <c r="AA777" s="6"/>
      <c r="AB777" s="6"/>
      <c r="AC777" s="6"/>
      <c r="AD777" s="6"/>
      <c r="AE777" s="6"/>
      <c r="AF777" s="6"/>
      <c r="AG777" s="18" t="s">
        <v>22</v>
      </c>
      <c r="AH777" s="18" t="s">
        <v>22</v>
      </c>
      <c r="AI777" s="18" t="str">
        <f>+VLOOKUP(AH777,Leyenda!$O$4:$U$10,6,FALSE)</f>
        <v>0,80-1,50</v>
      </c>
      <c r="AJ777" s="18" t="str">
        <f>+VLOOKUP(AG777,Leyenda!$O$4:$U$10,7,FALSE)</f>
        <v>Moderate to resistence to blast</v>
      </c>
      <c r="AK777" s="18">
        <f>+VLOOKUP(AJ777,Leyenda!$U$4:$V$10,2,FALSE)</f>
        <v>5</v>
      </c>
      <c r="AL777" s="18" t="s">
        <v>22</v>
      </c>
      <c r="AM777" s="18" t="s">
        <v>22</v>
      </c>
      <c r="AN777" s="18" t="s">
        <v>64</v>
      </c>
      <c r="AO777" s="18" t="s">
        <v>79</v>
      </c>
      <c r="AP777" s="18" t="s">
        <v>92</v>
      </c>
      <c r="AQ777" s="18" t="s">
        <v>105</v>
      </c>
      <c r="AR777" s="18" t="s">
        <v>118</v>
      </c>
      <c r="AS777" s="18" t="s">
        <v>267</v>
      </c>
      <c r="AT777" s="18"/>
      <c r="AU777" s="6"/>
      <c r="AV777" s="18">
        <f>+VLOOKUP(AN777,Leyenda!$B$30:$E$34,3,FALSE)</f>
        <v>2</v>
      </c>
      <c r="AW777" s="18">
        <f>+VLOOKUP('2. Logging Brejo Seco'!AO777,Meteorizacion,3,FALSE)</f>
        <v>1</v>
      </c>
      <c r="AX777" s="18">
        <f>+VLOOKUP('2. Logging Brejo Seco'!AP777,Apertura,3,FALSE)</f>
        <v>3</v>
      </c>
      <c r="AY777" s="18">
        <f>+VLOOKUP('2. Logging Brejo Seco'!AQ777,Leyenda!$B$55:$D$59,3,FALSE)</f>
        <v>4</v>
      </c>
      <c r="AZ777" s="18">
        <f>+VLOOKUP('2. Logging Brejo Seco'!AR777,Relleno,3,FALSE)</f>
        <v>2</v>
      </c>
      <c r="BA777" s="18">
        <f t="shared" si="293"/>
        <v>12</v>
      </c>
      <c r="BB777" s="49">
        <f t="shared" si="294"/>
        <v>12</v>
      </c>
      <c r="BC777" s="49">
        <f>VLOOKUP(AH777,Leyenda!$B$4:$D$10,3,FALSE)</f>
        <v>12</v>
      </c>
      <c r="BD777" s="49">
        <f t="shared" si="295"/>
        <v>8</v>
      </c>
      <c r="BE777" s="49">
        <f t="shared" si="296"/>
        <v>12</v>
      </c>
      <c r="BF777" s="49">
        <f>VLOOKUP(AS777,Leyenda!$B$70:$D$75,3,FALSE)</f>
        <v>15</v>
      </c>
      <c r="BG777" s="67">
        <f t="shared" si="297"/>
        <v>48.00000000000005</v>
      </c>
      <c r="BH777" s="208">
        <v>7</v>
      </c>
      <c r="BI777" s="125">
        <f t="shared" si="298"/>
        <v>9</v>
      </c>
      <c r="BJ777" s="125">
        <f t="shared" si="299"/>
        <v>12</v>
      </c>
      <c r="BK777" s="125">
        <f>+VLOOKUP('2. Logging Brejo Seco'!AP777,Leyenda!$B$47:$E$51,4,FALSE)</f>
        <v>3</v>
      </c>
      <c r="BL777" s="125">
        <f>+VLOOKUP('2. Logging Brejo Seco'!AQ777,Leyenda!$B$55:$E$59,4,FALSE)</f>
        <v>4</v>
      </c>
      <c r="BM777" s="125">
        <f>+VLOOKUP('2. Logging Brejo Seco'!AR777,Leyenda!$B$63:$E$67,3,FALSE)</f>
        <v>2</v>
      </c>
      <c r="BN777" s="125">
        <f>+VLOOKUP('2. Logging Brejo Seco'!AO777,Leyenda!$B$39:$E$43,4,FALSE)</f>
        <v>1</v>
      </c>
      <c r="BO777" s="125">
        <f>+VLOOKUP('2. Logging Brejo Seco'!AN777,Leyenda!$B$30:$E$34,4,FALSE)</f>
        <v>3</v>
      </c>
      <c r="BP777" s="125">
        <f>VLOOKUP(AS777,Leyenda!$B$71:$E$75,4,FALSE)</f>
        <v>10</v>
      </c>
      <c r="BQ777" s="125">
        <f t="shared" si="300"/>
        <v>51</v>
      </c>
      <c r="BR777" s="85">
        <f t="shared" si="301"/>
        <v>59</v>
      </c>
      <c r="BS777" s="240">
        <f t="shared" si="307"/>
        <v>0.39999999999999902</v>
      </c>
      <c r="BT777" s="6"/>
    </row>
    <row r="778" spans="1:72" x14ac:dyDescent="0.25">
      <c r="A778" s="18" t="s">
        <v>6</v>
      </c>
      <c r="B778" s="18">
        <v>2024</v>
      </c>
      <c r="C778" s="18" t="s">
        <v>138</v>
      </c>
      <c r="D778" s="18" t="s">
        <v>659</v>
      </c>
      <c r="E778" s="18">
        <v>30</v>
      </c>
      <c r="F778" s="3">
        <v>40</v>
      </c>
      <c r="G778" s="18" t="s">
        <v>153</v>
      </c>
      <c r="H778" s="3">
        <v>40</v>
      </c>
      <c r="I778" s="3" t="s">
        <v>757</v>
      </c>
      <c r="J778" s="3"/>
      <c r="K778" s="18">
        <f t="shared" si="305"/>
        <v>19.5</v>
      </c>
      <c r="L778" s="183">
        <v>20</v>
      </c>
      <c r="M778" s="4">
        <f t="shared" si="289"/>
        <v>0.5</v>
      </c>
      <c r="N778" s="113">
        <f t="shared" si="290"/>
        <v>0.46</v>
      </c>
      <c r="O778" s="5">
        <f t="shared" si="303"/>
        <v>0.54</v>
      </c>
      <c r="P778" s="18">
        <v>0.23</v>
      </c>
      <c r="Q778" s="182"/>
      <c r="R778" s="182"/>
      <c r="S778" s="182"/>
      <c r="T778" s="183">
        <v>0.23</v>
      </c>
      <c r="U778" s="183">
        <v>0.23</v>
      </c>
      <c r="V778" s="203">
        <f t="shared" si="291"/>
        <v>46</v>
      </c>
      <c r="W778" s="183"/>
      <c r="X778" s="183"/>
      <c r="Y778" s="183">
        <v>3</v>
      </c>
      <c r="Z778" s="31">
        <f t="shared" si="288"/>
        <v>166.66666666666666</v>
      </c>
      <c r="AA778" s="6"/>
      <c r="AB778" s="6"/>
      <c r="AC778" s="6"/>
      <c r="AD778" s="6"/>
      <c r="AE778" s="6"/>
      <c r="AF778" s="6"/>
      <c r="AG778" s="18" t="s">
        <v>22</v>
      </c>
      <c r="AH778" s="18" t="s">
        <v>22</v>
      </c>
      <c r="AI778" s="18" t="str">
        <f>+VLOOKUP(AH778,Leyenda!$O$4:$U$10,6,FALSE)</f>
        <v>0,80-1,50</v>
      </c>
      <c r="AJ778" s="18" t="str">
        <f>+VLOOKUP(AG778,Leyenda!$O$4:$U$10,7,FALSE)</f>
        <v>Moderate to resistence to blast</v>
      </c>
      <c r="AK778" s="18">
        <f>+VLOOKUP(AJ778,Leyenda!$U$4:$V$10,2,FALSE)</f>
        <v>5</v>
      </c>
      <c r="AL778" s="18" t="s">
        <v>22</v>
      </c>
      <c r="AM778" s="18" t="s">
        <v>22</v>
      </c>
      <c r="AN778" s="18" t="s">
        <v>64</v>
      </c>
      <c r="AO778" s="18" t="s">
        <v>79</v>
      </c>
      <c r="AP778" s="18" t="s">
        <v>92</v>
      </c>
      <c r="AQ778" s="18" t="s">
        <v>105</v>
      </c>
      <c r="AR778" s="18" t="s">
        <v>118</v>
      </c>
      <c r="AS778" s="18" t="s">
        <v>267</v>
      </c>
      <c r="AT778" s="18"/>
      <c r="AU778" s="6"/>
      <c r="AV778" s="18">
        <f>+VLOOKUP(AN778,Leyenda!$B$30:$E$34,3,FALSE)</f>
        <v>2</v>
      </c>
      <c r="AW778" s="18">
        <f>+VLOOKUP('2. Logging Brejo Seco'!AO778,Meteorizacion,3,FALSE)</f>
        <v>1</v>
      </c>
      <c r="AX778" s="18">
        <f>+VLOOKUP('2. Logging Brejo Seco'!AP778,Apertura,3,FALSE)</f>
        <v>3</v>
      </c>
      <c r="AY778" s="18">
        <f>+VLOOKUP('2. Logging Brejo Seco'!AQ778,Leyenda!$B$55:$D$59,3,FALSE)</f>
        <v>4</v>
      </c>
      <c r="AZ778" s="18">
        <f>+VLOOKUP('2. Logging Brejo Seco'!AR778,Relleno,3,FALSE)</f>
        <v>2</v>
      </c>
      <c r="BA778" s="18">
        <f t="shared" si="293"/>
        <v>12</v>
      </c>
      <c r="BB778" s="49">
        <f t="shared" si="294"/>
        <v>10</v>
      </c>
      <c r="BC778" s="49">
        <f>VLOOKUP(AH778,Leyenda!$B$4:$D$10,3,FALSE)</f>
        <v>12</v>
      </c>
      <c r="BD778" s="49">
        <f t="shared" si="295"/>
        <v>9</v>
      </c>
      <c r="BE778" s="49">
        <f t="shared" si="296"/>
        <v>12</v>
      </c>
      <c r="BF778" s="49">
        <f>VLOOKUP(AS778,Leyenda!$B$70:$D$75,3,FALSE)</f>
        <v>15</v>
      </c>
      <c r="BG778" s="67">
        <f t="shared" si="297"/>
        <v>41</v>
      </c>
      <c r="BH778" s="208">
        <v>7</v>
      </c>
      <c r="BI778" s="125">
        <f t="shared" si="298"/>
        <v>11</v>
      </c>
      <c r="BJ778" s="125">
        <f t="shared" si="299"/>
        <v>10</v>
      </c>
      <c r="BK778" s="125">
        <f>+VLOOKUP('2. Logging Brejo Seco'!AP778,Leyenda!$B$47:$E$51,4,FALSE)</f>
        <v>3</v>
      </c>
      <c r="BL778" s="125">
        <f>+VLOOKUP('2. Logging Brejo Seco'!AQ778,Leyenda!$B$55:$E$59,4,FALSE)</f>
        <v>4</v>
      </c>
      <c r="BM778" s="125">
        <f>+VLOOKUP('2. Logging Brejo Seco'!AR778,Leyenda!$B$63:$E$67,3,FALSE)</f>
        <v>2</v>
      </c>
      <c r="BN778" s="125">
        <f>+VLOOKUP('2. Logging Brejo Seco'!AO778,Leyenda!$B$39:$E$43,4,FALSE)</f>
        <v>1</v>
      </c>
      <c r="BO778" s="125">
        <f>+VLOOKUP('2. Logging Brejo Seco'!AN778,Leyenda!$B$30:$E$34,4,FALSE)</f>
        <v>3</v>
      </c>
      <c r="BP778" s="125">
        <f>VLOOKUP(AS778,Leyenda!$B$71:$E$75,4,FALSE)</f>
        <v>10</v>
      </c>
      <c r="BQ778" s="125">
        <f t="shared" si="300"/>
        <v>51</v>
      </c>
      <c r="BR778" s="85">
        <f t="shared" si="301"/>
        <v>58</v>
      </c>
      <c r="BS778" s="240">
        <f t="shared" si="307"/>
        <v>0.54</v>
      </c>
      <c r="BT778" s="6"/>
    </row>
    <row r="779" spans="1:72" x14ac:dyDescent="0.25">
      <c r="A779" s="18" t="s">
        <v>6</v>
      </c>
      <c r="B779" s="18">
        <v>2024</v>
      </c>
      <c r="C779" s="18" t="s">
        <v>138</v>
      </c>
      <c r="D779" s="18" t="s">
        <v>659</v>
      </c>
      <c r="E779" s="18">
        <v>30</v>
      </c>
      <c r="F779" s="3">
        <v>40</v>
      </c>
      <c r="G779" s="18" t="s">
        <v>153</v>
      </c>
      <c r="H779" s="3">
        <v>40</v>
      </c>
      <c r="I779" s="3" t="s">
        <v>757</v>
      </c>
      <c r="J779" s="3"/>
      <c r="K779" s="18">
        <f t="shared" si="305"/>
        <v>20</v>
      </c>
      <c r="L779" s="183">
        <v>20.399999999999999</v>
      </c>
      <c r="M779" s="4">
        <f t="shared" si="289"/>
        <v>0.39999999999999858</v>
      </c>
      <c r="N779" s="113">
        <f t="shared" si="290"/>
        <v>0.55000000000000193</v>
      </c>
      <c r="O779" s="5">
        <f t="shared" si="303"/>
        <v>0.44999999999999807</v>
      </c>
      <c r="P779" s="18">
        <v>0.22</v>
      </c>
      <c r="Q779" s="182"/>
      <c r="R779" s="182"/>
      <c r="S779" s="182"/>
      <c r="T779" s="183">
        <v>0.22</v>
      </c>
      <c r="U779" s="183">
        <v>0</v>
      </c>
      <c r="V779" s="203">
        <f t="shared" si="291"/>
        <v>0</v>
      </c>
      <c r="W779" s="183"/>
      <c r="X779" s="183"/>
      <c r="Y779" s="183">
        <v>6</v>
      </c>
      <c r="Z779" s="31">
        <f t="shared" si="288"/>
        <v>66.66666666666643</v>
      </c>
      <c r="AA779" s="6"/>
      <c r="AB779" s="6"/>
      <c r="AC779" s="6"/>
      <c r="AD779" s="6"/>
      <c r="AE779" s="6"/>
      <c r="AF779" s="6"/>
      <c r="AG779" s="18" t="s">
        <v>22</v>
      </c>
      <c r="AH779" s="18" t="s">
        <v>22</v>
      </c>
      <c r="AI779" s="18" t="str">
        <f>+VLOOKUP(AH779,Leyenda!$O$4:$U$10,6,FALSE)</f>
        <v>0,80-1,50</v>
      </c>
      <c r="AJ779" s="18" t="str">
        <f>+VLOOKUP(AG779,Leyenda!$O$4:$U$10,7,FALSE)</f>
        <v>Moderate to resistence to blast</v>
      </c>
      <c r="AK779" s="18">
        <f>+VLOOKUP(AJ779,Leyenda!$U$4:$V$10,2,FALSE)</f>
        <v>5</v>
      </c>
      <c r="AL779" s="18" t="s">
        <v>22</v>
      </c>
      <c r="AM779" s="18" t="s">
        <v>22</v>
      </c>
      <c r="AN779" s="18" t="s">
        <v>64</v>
      </c>
      <c r="AO779" s="18" t="s">
        <v>79</v>
      </c>
      <c r="AP779" s="18" t="s">
        <v>92</v>
      </c>
      <c r="AQ779" s="18" t="s">
        <v>105</v>
      </c>
      <c r="AR779" s="18" t="s">
        <v>118</v>
      </c>
      <c r="AS779" s="18" t="s">
        <v>267</v>
      </c>
      <c r="AT779" s="18"/>
      <c r="AU779" s="6"/>
      <c r="AV779" s="18">
        <f>+VLOOKUP(AN779,Leyenda!$B$30:$E$34,3,FALSE)</f>
        <v>2</v>
      </c>
      <c r="AW779" s="18">
        <f>+VLOOKUP('2. Logging Brejo Seco'!AO779,Meteorizacion,3,FALSE)</f>
        <v>1</v>
      </c>
      <c r="AX779" s="18">
        <f>+VLOOKUP('2. Logging Brejo Seco'!AP779,Apertura,3,FALSE)</f>
        <v>3</v>
      </c>
      <c r="AY779" s="18">
        <f>+VLOOKUP('2. Logging Brejo Seco'!AQ779,Leyenda!$B$55:$D$59,3,FALSE)</f>
        <v>4</v>
      </c>
      <c r="AZ779" s="18">
        <f>+VLOOKUP('2. Logging Brejo Seco'!AR779,Relleno,3,FALSE)</f>
        <v>2</v>
      </c>
      <c r="BA779" s="18">
        <f t="shared" si="293"/>
        <v>12</v>
      </c>
      <c r="BB779" s="49">
        <f t="shared" si="294"/>
        <v>0</v>
      </c>
      <c r="BC779" s="49">
        <f>VLOOKUP(AH779,Leyenda!$B$4:$D$10,3,FALSE)</f>
        <v>12</v>
      </c>
      <c r="BD779" s="49">
        <f t="shared" si="295"/>
        <v>6</v>
      </c>
      <c r="BE779" s="49">
        <f t="shared" si="296"/>
        <v>12</v>
      </c>
      <c r="BF779" s="49">
        <f>VLOOKUP(AS779,Leyenda!$B$70:$D$75,3,FALSE)</f>
        <v>15</v>
      </c>
      <c r="BG779" s="67">
        <f t="shared" si="297"/>
        <v>18</v>
      </c>
      <c r="BH779" s="208">
        <v>7</v>
      </c>
      <c r="BI779" s="125">
        <f t="shared" si="298"/>
        <v>6</v>
      </c>
      <c r="BJ779" s="125">
        <f t="shared" si="299"/>
        <v>0</v>
      </c>
      <c r="BK779" s="125">
        <f>+VLOOKUP('2. Logging Brejo Seco'!AP779,Leyenda!$B$47:$E$51,4,FALSE)</f>
        <v>3</v>
      </c>
      <c r="BL779" s="125">
        <f>+VLOOKUP('2. Logging Brejo Seco'!AQ779,Leyenda!$B$55:$E$59,4,FALSE)</f>
        <v>4</v>
      </c>
      <c r="BM779" s="125">
        <f>+VLOOKUP('2. Logging Brejo Seco'!AR779,Leyenda!$B$63:$E$67,3,FALSE)</f>
        <v>2</v>
      </c>
      <c r="BN779" s="125">
        <f>+VLOOKUP('2. Logging Brejo Seco'!AO779,Leyenda!$B$39:$E$43,4,FALSE)</f>
        <v>1</v>
      </c>
      <c r="BO779" s="125">
        <f>+VLOOKUP('2. Logging Brejo Seco'!AN779,Leyenda!$B$30:$E$34,4,FALSE)</f>
        <v>3</v>
      </c>
      <c r="BP779" s="125">
        <f>VLOOKUP(AS779,Leyenda!$B$71:$E$75,4,FALSE)</f>
        <v>10</v>
      </c>
      <c r="BQ779" s="125">
        <f t="shared" si="300"/>
        <v>36</v>
      </c>
      <c r="BR779" s="85">
        <f t="shared" si="301"/>
        <v>45</v>
      </c>
      <c r="BS779" s="240">
        <f t="shared" si="307"/>
        <v>0.44999999999999807</v>
      </c>
      <c r="BT779" s="6"/>
    </row>
    <row r="780" spans="1:72" x14ac:dyDescent="0.25">
      <c r="A780" s="18" t="s">
        <v>6</v>
      </c>
      <c r="B780" s="18">
        <v>2024</v>
      </c>
      <c r="C780" s="18" t="s">
        <v>138</v>
      </c>
      <c r="D780" s="18" t="s">
        <v>659</v>
      </c>
      <c r="E780" s="18">
        <v>30</v>
      </c>
      <c r="F780" s="3">
        <v>40</v>
      </c>
      <c r="G780" s="18" t="s">
        <v>153</v>
      </c>
      <c r="H780" s="3">
        <v>40</v>
      </c>
      <c r="I780" s="3" t="s">
        <v>757</v>
      </c>
      <c r="J780" s="3"/>
      <c r="K780" s="18">
        <f t="shared" si="305"/>
        <v>20.399999999999999</v>
      </c>
      <c r="L780" s="183">
        <v>20.95</v>
      </c>
      <c r="M780" s="4">
        <f t="shared" si="289"/>
        <v>0.55000000000000071</v>
      </c>
      <c r="N780" s="113">
        <f t="shared" si="290"/>
        <v>0.54545454545454475</v>
      </c>
      <c r="O780" s="5">
        <f t="shared" si="303"/>
        <v>0.45454545454545525</v>
      </c>
      <c r="P780" s="18">
        <v>0.3</v>
      </c>
      <c r="Q780" s="182"/>
      <c r="R780" s="182"/>
      <c r="S780" s="182"/>
      <c r="T780" s="183">
        <v>0.3</v>
      </c>
      <c r="U780" s="183">
        <v>0.18</v>
      </c>
      <c r="V780" s="203">
        <f t="shared" si="291"/>
        <v>32.727272727272684</v>
      </c>
      <c r="W780" s="183"/>
      <c r="X780" s="183"/>
      <c r="Y780" s="183">
        <f>2+2</f>
        <v>4</v>
      </c>
      <c r="Z780" s="31">
        <f t="shared" ref="Z780:Z843" si="308">+IF(M780=0,"",(M780*1000)/Y780)</f>
        <v>137.50000000000017</v>
      </c>
      <c r="AA780" s="6"/>
      <c r="AB780" s="6"/>
      <c r="AC780" s="6"/>
      <c r="AD780" s="6"/>
      <c r="AE780" s="6"/>
      <c r="AF780" s="6"/>
      <c r="AG780" s="18" t="s">
        <v>22</v>
      </c>
      <c r="AH780" s="18" t="s">
        <v>22</v>
      </c>
      <c r="AI780" s="18" t="str">
        <f>+VLOOKUP(AH780,Leyenda!$O$4:$U$10,6,FALSE)</f>
        <v>0,80-1,50</v>
      </c>
      <c r="AJ780" s="18" t="str">
        <f>+VLOOKUP(AG780,Leyenda!$O$4:$U$10,7,FALSE)</f>
        <v>Moderate to resistence to blast</v>
      </c>
      <c r="AK780" s="18">
        <f>+VLOOKUP(AJ780,Leyenda!$U$4:$V$10,2,FALSE)</f>
        <v>5</v>
      </c>
      <c r="AL780" s="18" t="s">
        <v>22</v>
      </c>
      <c r="AM780" s="18" t="s">
        <v>22</v>
      </c>
      <c r="AN780" s="18" t="s">
        <v>64</v>
      </c>
      <c r="AO780" s="18" t="s">
        <v>79</v>
      </c>
      <c r="AP780" s="18" t="s">
        <v>92</v>
      </c>
      <c r="AQ780" s="18" t="s">
        <v>105</v>
      </c>
      <c r="AR780" s="18" t="s">
        <v>118</v>
      </c>
      <c r="AS780" s="18" t="s">
        <v>267</v>
      </c>
      <c r="AT780" s="18"/>
      <c r="AU780" s="6"/>
      <c r="AV780" s="18">
        <f>+VLOOKUP(AN780,Leyenda!$B$30:$E$34,3,FALSE)</f>
        <v>2</v>
      </c>
      <c r="AW780" s="18">
        <f>+VLOOKUP('2. Logging Brejo Seco'!AO780,Meteorizacion,3,FALSE)</f>
        <v>1</v>
      </c>
      <c r="AX780" s="18">
        <f>+VLOOKUP('2. Logging Brejo Seco'!AP780,Apertura,3,FALSE)</f>
        <v>3</v>
      </c>
      <c r="AY780" s="18">
        <f>+VLOOKUP('2. Logging Brejo Seco'!AQ780,Leyenda!$B$55:$D$59,3,FALSE)</f>
        <v>4</v>
      </c>
      <c r="AZ780" s="18">
        <f>+VLOOKUP('2. Logging Brejo Seco'!AR780,Relleno,3,FALSE)</f>
        <v>2</v>
      </c>
      <c r="BA780" s="18">
        <f t="shared" si="293"/>
        <v>12</v>
      </c>
      <c r="BB780" s="49">
        <f t="shared" si="294"/>
        <v>7</v>
      </c>
      <c r="BC780" s="49">
        <f>VLOOKUP(AH780,Leyenda!$B$4:$D$10,3,FALSE)</f>
        <v>12</v>
      </c>
      <c r="BD780" s="49">
        <f t="shared" si="295"/>
        <v>8</v>
      </c>
      <c r="BE780" s="49">
        <f t="shared" si="296"/>
        <v>12</v>
      </c>
      <c r="BF780" s="49">
        <f>VLOOKUP(AS780,Leyenda!$B$70:$D$75,3,FALSE)</f>
        <v>15</v>
      </c>
      <c r="BG780" s="67">
        <f t="shared" si="297"/>
        <v>34.363636363636346</v>
      </c>
      <c r="BH780" s="208">
        <v>7</v>
      </c>
      <c r="BI780" s="125">
        <f t="shared" si="298"/>
        <v>10</v>
      </c>
      <c r="BJ780" s="125">
        <f t="shared" si="299"/>
        <v>7</v>
      </c>
      <c r="BK780" s="125">
        <f>+VLOOKUP('2. Logging Brejo Seco'!AP780,Leyenda!$B$47:$E$51,4,FALSE)</f>
        <v>3</v>
      </c>
      <c r="BL780" s="125">
        <f>+VLOOKUP('2. Logging Brejo Seco'!AQ780,Leyenda!$B$55:$E$59,4,FALSE)</f>
        <v>4</v>
      </c>
      <c r="BM780" s="125">
        <f>+VLOOKUP('2. Logging Brejo Seco'!AR780,Leyenda!$B$63:$E$67,3,FALSE)</f>
        <v>2</v>
      </c>
      <c r="BN780" s="125">
        <f>+VLOOKUP('2. Logging Brejo Seco'!AO780,Leyenda!$B$39:$E$43,4,FALSE)</f>
        <v>1</v>
      </c>
      <c r="BO780" s="125">
        <f>+VLOOKUP('2. Logging Brejo Seco'!AN780,Leyenda!$B$30:$E$34,4,FALSE)</f>
        <v>3</v>
      </c>
      <c r="BP780" s="125">
        <f>VLOOKUP(AS780,Leyenda!$B$71:$E$75,4,FALSE)</f>
        <v>10</v>
      </c>
      <c r="BQ780" s="125">
        <f t="shared" si="300"/>
        <v>47</v>
      </c>
      <c r="BR780" s="85">
        <f t="shared" si="301"/>
        <v>54</v>
      </c>
      <c r="BS780" s="240">
        <f t="shared" si="307"/>
        <v>0.45454545454545525</v>
      </c>
      <c r="BT780" s="6"/>
    </row>
    <row r="781" spans="1:72" x14ac:dyDescent="0.25">
      <c r="A781" s="18" t="s">
        <v>6</v>
      </c>
      <c r="B781" s="18">
        <v>2024</v>
      </c>
      <c r="C781" s="18" t="s">
        <v>138</v>
      </c>
      <c r="D781" s="18" t="s">
        <v>659</v>
      </c>
      <c r="E781" s="18">
        <v>30</v>
      </c>
      <c r="F781" s="3">
        <v>30</v>
      </c>
      <c r="G781" s="18" t="s">
        <v>152</v>
      </c>
      <c r="H781" s="244">
        <f>+F781</f>
        <v>30</v>
      </c>
      <c r="I781" s="244" t="s">
        <v>759</v>
      </c>
      <c r="J781" s="244"/>
      <c r="K781" s="18">
        <f t="shared" si="305"/>
        <v>20.95</v>
      </c>
      <c r="L781" s="183">
        <v>21.8</v>
      </c>
      <c r="M781" s="4">
        <f t="shared" si="289"/>
        <v>0.85000000000000142</v>
      </c>
      <c r="N781" s="113">
        <f t="shared" si="290"/>
        <v>0.6588235294117637</v>
      </c>
      <c r="O781" s="5">
        <f t="shared" si="303"/>
        <v>0.3411764705882363</v>
      </c>
      <c r="P781" s="18">
        <v>0.56000000000000005</v>
      </c>
      <c r="Q781" s="182"/>
      <c r="R781" s="182"/>
      <c r="S781" s="182"/>
      <c r="T781" s="183">
        <f>0.1+0.46</f>
        <v>0.56000000000000005</v>
      </c>
      <c r="U781" s="183">
        <v>0</v>
      </c>
      <c r="V781" s="203">
        <f t="shared" si="291"/>
        <v>0</v>
      </c>
      <c r="W781" s="183"/>
      <c r="X781" s="183"/>
      <c r="Y781" s="222">
        <v>10</v>
      </c>
      <c r="Z781" s="31">
        <f t="shared" si="308"/>
        <v>85.000000000000142</v>
      </c>
      <c r="AA781" s="6"/>
      <c r="AB781" s="6"/>
      <c r="AC781" s="6"/>
      <c r="AD781" s="6"/>
      <c r="AE781" s="6"/>
      <c r="AF781" s="6"/>
      <c r="AG781" s="18" t="s">
        <v>32</v>
      </c>
      <c r="AH781" s="18" t="s">
        <v>32</v>
      </c>
      <c r="AI781" s="18" t="str">
        <f>+VLOOKUP(AH781,Leyenda!$O$4:$U$10,6,FALSE)</f>
        <v>0,15-0,25</v>
      </c>
      <c r="AJ781" s="18" t="str">
        <f>+VLOOKUP(AG781,Leyenda!$O$4:$U$10,7,FALSE)</f>
        <v>No Blasting need</v>
      </c>
      <c r="AK781" s="18">
        <f>+VLOOKUP(AJ781,Leyenda!$U$4:$V$10,2,FALSE)</f>
        <v>2</v>
      </c>
      <c r="AL781" s="18"/>
      <c r="AM781" s="18" t="s">
        <v>32</v>
      </c>
      <c r="AN781" s="18" t="s">
        <v>66</v>
      </c>
      <c r="AO781" s="18" t="s">
        <v>81</v>
      </c>
      <c r="AP781" s="18" t="s">
        <v>96</v>
      </c>
      <c r="AQ781" s="18" t="s">
        <v>107</v>
      </c>
      <c r="AR781" s="18" t="s">
        <v>118</v>
      </c>
      <c r="AS781" s="18" t="s">
        <v>267</v>
      </c>
      <c r="AT781" s="18"/>
      <c r="AU781" s="6"/>
      <c r="AV781" s="36">
        <f>+VLOOKUP(AN781,Leyenda!$B$30:$E$34,3,FALSE)</f>
        <v>1</v>
      </c>
      <c r="AW781" s="36">
        <f>+VLOOKUP('2. Logging Brejo Seco'!AO781,Meteorizacion,3,FALSE)</f>
        <v>0</v>
      </c>
      <c r="AX781" s="36">
        <f>+VLOOKUP('2. Logging Brejo Seco'!AP781,Apertura,3,FALSE)</f>
        <v>1</v>
      </c>
      <c r="AY781" s="36">
        <f>+VLOOKUP('2. Logging Brejo Seco'!AQ781,Leyenda!$B$55:$D$59,3,FALSE)</f>
        <v>3</v>
      </c>
      <c r="AZ781" s="36">
        <f>+VLOOKUP('2. Logging Brejo Seco'!AR781,Relleno,3,FALSE)</f>
        <v>2</v>
      </c>
      <c r="BA781" s="36">
        <f t="shared" si="293"/>
        <v>7</v>
      </c>
      <c r="BB781" s="225">
        <f t="shared" si="294"/>
        <v>0</v>
      </c>
      <c r="BC781" s="49">
        <f>VLOOKUP(AH781,Leyenda!$B$4:$D$10,3,FALSE)</f>
        <v>1</v>
      </c>
      <c r="BD781" s="50">
        <f t="shared" si="295"/>
        <v>7</v>
      </c>
      <c r="BE781" s="50">
        <f t="shared" si="296"/>
        <v>7</v>
      </c>
      <c r="BF781" s="50">
        <f>VLOOKUP(AS781,Leyenda!$B$70:$D$75,3,FALSE)</f>
        <v>15</v>
      </c>
      <c r="BG781" s="110">
        <f t="shared" si="297"/>
        <v>10.5</v>
      </c>
      <c r="BH781" s="110">
        <f>VLOOKUP(AG781,Leyenda!$B$4:$E$10,4,FALSE)</f>
        <v>1</v>
      </c>
      <c r="BI781" s="67">
        <f t="shared" si="298"/>
        <v>7</v>
      </c>
      <c r="BJ781" s="110">
        <f t="shared" si="299"/>
        <v>0</v>
      </c>
      <c r="BK781" s="110">
        <f>+VLOOKUP('2. Logging Brejo Seco'!AP781,Leyenda!$B$47:$E$51,4,FALSE)</f>
        <v>1</v>
      </c>
      <c r="BL781" s="110">
        <f>+VLOOKUP('2. Logging Brejo Seco'!AQ781,Leyenda!$B$55:$E$59,4,FALSE)</f>
        <v>3</v>
      </c>
      <c r="BM781" s="110">
        <f>+VLOOKUP('2. Logging Brejo Seco'!AR781,Leyenda!$B$63:$E$67,3,FALSE)</f>
        <v>2</v>
      </c>
      <c r="BN781" s="110">
        <f>+VLOOKUP('2. Logging Brejo Seco'!AO781,Leyenda!$B$39:$E$43,4,FALSE)</f>
        <v>0</v>
      </c>
      <c r="BO781" s="110">
        <f>+VLOOKUP('2. Logging Brejo Seco'!AN781,Leyenda!$B$30:$E$34,4,FALSE)</f>
        <v>1</v>
      </c>
      <c r="BP781" s="110">
        <f>VLOOKUP(AS781,Leyenda!$B$71:$E$75,4,FALSE)</f>
        <v>10</v>
      </c>
      <c r="BQ781" s="110">
        <f t="shared" si="300"/>
        <v>25</v>
      </c>
      <c r="BR781" s="36">
        <f t="shared" si="301"/>
        <v>30</v>
      </c>
      <c r="BS781" s="240">
        <f t="shared" si="307"/>
        <v>0.3411764705882363</v>
      </c>
      <c r="BT781" s="6"/>
    </row>
    <row r="782" spans="1:72" x14ac:dyDescent="0.25">
      <c r="A782" s="18" t="s">
        <v>6</v>
      </c>
      <c r="B782" s="18">
        <v>2024</v>
      </c>
      <c r="C782" s="18" t="s">
        <v>138</v>
      </c>
      <c r="D782" s="18" t="s">
        <v>659</v>
      </c>
      <c r="E782" s="18">
        <v>30</v>
      </c>
      <c r="F782" s="3">
        <v>30</v>
      </c>
      <c r="G782" s="18" t="s">
        <v>152</v>
      </c>
      <c r="H782" s="244">
        <f t="shared" ref="H782:H783" si="309">+F782</f>
        <v>30</v>
      </c>
      <c r="I782" s="244" t="s">
        <v>759</v>
      </c>
      <c r="J782" s="244"/>
      <c r="K782" s="18">
        <f t="shared" si="305"/>
        <v>21.8</v>
      </c>
      <c r="L782" s="183">
        <v>22.15</v>
      </c>
      <c r="M782" s="4">
        <f t="shared" si="289"/>
        <v>0.34999999999999787</v>
      </c>
      <c r="N782" s="113">
        <f t="shared" si="290"/>
        <v>0.60000000000000364</v>
      </c>
      <c r="O782" s="5">
        <f t="shared" si="303"/>
        <v>0.39999999999999636</v>
      </c>
      <c r="P782" s="18">
        <v>0.21</v>
      </c>
      <c r="Q782" s="182"/>
      <c r="R782" s="182"/>
      <c r="S782" s="182"/>
      <c r="T782" s="183">
        <v>0.21</v>
      </c>
      <c r="U782" s="183">
        <v>0</v>
      </c>
      <c r="V782" s="203">
        <f t="shared" si="291"/>
        <v>0</v>
      </c>
      <c r="W782" s="183"/>
      <c r="X782" s="183"/>
      <c r="Y782" s="222">
        <v>10</v>
      </c>
      <c r="Z782" s="31">
        <f t="shared" si="308"/>
        <v>34.999999999999787</v>
      </c>
      <c r="AA782" s="6"/>
      <c r="AB782" s="6"/>
      <c r="AC782" s="6"/>
      <c r="AD782" s="6"/>
      <c r="AE782" s="6"/>
      <c r="AF782" s="6"/>
      <c r="AG782" s="18" t="s">
        <v>32</v>
      </c>
      <c r="AH782" s="18" t="s">
        <v>32</v>
      </c>
      <c r="AI782" s="18" t="str">
        <f>+VLOOKUP(AH782,Leyenda!$O$4:$U$10,6,FALSE)</f>
        <v>0,15-0,25</v>
      </c>
      <c r="AJ782" s="18" t="str">
        <f>+VLOOKUP(AG782,Leyenda!$O$4:$U$10,7,FALSE)</f>
        <v>No Blasting need</v>
      </c>
      <c r="AK782" s="18">
        <f>+VLOOKUP(AJ782,Leyenda!$U$4:$V$10,2,FALSE)</f>
        <v>2</v>
      </c>
      <c r="AL782" s="18"/>
      <c r="AM782" s="18" t="s">
        <v>32</v>
      </c>
      <c r="AN782" s="18" t="s">
        <v>66</v>
      </c>
      <c r="AO782" s="18" t="s">
        <v>81</v>
      </c>
      <c r="AP782" s="18" t="s">
        <v>96</v>
      </c>
      <c r="AQ782" s="18" t="s">
        <v>107</v>
      </c>
      <c r="AR782" s="18" t="s">
        <v>118</v>
      </c>
      <c r="AS782" s="18" t="s">
        <v>267</v>
      </c>
      <c r="AT782" s="18"/>
      <c r="AU782" s="6"/>
      <c r="AV782" s="36">
        <f>+VLOOKUP(AN782,Leyenda!$B$30:$E$34,3,FALSE)</f>
        <v>1</v>
      </c>
      <c r="AW782" s="36">
        <f>+VLOOKUP('2. Logging Brejo Seco'!AO782,Meteorizacion,3,FALSE)</f>
        <v>0</v>
      </c>
      <c r="AX782" s="36">
        <f>+VLOOKUP('2. Logging Brejo Seco'!AP782,Apertura,3,FALSE)</f>
        <v>1</v>
      </c>
      <c r="AY782" s="36">
        <f>+VLOOKUP('2. Logging Brejo Seco'!AQ782,Leyenda!$B$55:$D$59,3,FALSE)</f>
        <v>3</v>
      </c>
      <c r="AZ782" s="36">
        <f>+VLOOKUP('2. Logging Brejo Seco'!AR782,Relleno,3,FALSE)</f>
        <v>2</v>
      </c>
      <c r="BA782" s="36">
        <f t="shared" si="293"/>
        <v>7</v>
      </c>
      <c r="BB782" s="225">
        <f t="shared" si="294"/>
        <v>0</v>
      </c>
      <c r="BC782" s="49">
        <f>VLOOKUP(AH782,Leyenda!$B$4:$D$10,3,FALSE)</f>
        <v>1</v>
      </c>
      <c r="BD782" s="50">
        <f t="shared" si="295"/>
        <v>5</v>
      </c>
      <c r="BE782" s="50">
        <f t="shared" si="296"/>
        <v>7</v>
      </c>
      <c r="BF782" s="50">
        <f>VLOOKUP(AS782,Leyenda!$B$70:$D$75,3,FALSE)</f>
        <v>15</v>
      </c>
      <c r="BG782" s="110">
        <f t="shared" si="297"/>
        <v>10.5</v>
      </c>
      <c r="BH782" s="110">
        <f>VLOOKUP(AG782,Leyenda!$B$4:$E$10,4,FALSE)</f>
        <v>1</v>
      </c>
      <c r="BI782" s="67">
        <f t="shared" si="298"/>
        <v>5</v>
      </c>
      <c r="BJ782" s="110">
        <f t="shared" si="299"/>
        <v>0</v>
      </c>
      <c r="BK782" s="110">
        <f>+VLOOKUP('2. Logging Brejo Seco'!AP782,Leyenda!$B$47:$E$51,4,FALSE)</f>
        <v>1</v>
      </c>
      <c r="BL782" s="110">
        <f>+VLOOKUP('2. Logging Brejo Seco'!AQ782,Leyenda!$B$55:$E$59,4,FALSE)</f>
        <v>3</v>
      </c>
      <c r="BM782" s="110">
        <f>+VLOOKUP('2. Logging Brejo Seco'!AR782,Leyenda!$B$63:$E$67,3,FALSE)</f>
        <v>2</v>
      </c>
      <c r="BN782" s="110">
        <f>+VLOOKUP('2. Logging Brejo Seco'!AO782,Leyenda!$B$39:$E$43,4,FALSE)</f>
        <v>0</v>
      </c>
      <c r="BO782" s="110">
        <f>+VLOOKUP('2. Logging Brejo Seco'!AN782,Leyenda!$B$30:$E$34,4,FALSE)</f>
        <v>1</v>
      </c>
      <c r="BP782" s="110">
        <f>VLOOKUP(AS782,Leyenda!$B$71:$E$75,4,FALSE)</f>
        <v>10</v>
      </c>
      <c r="BQ782" s="110">
        <f t="shared" si="300"/>
        <v>23</v>
      </c>
      <c r="BR782" s="36">
        <f t="shared" si="301"/>
        <v>28</v>
      </c>
      <c r="BS782" s="240">
        <f t="shared" si="307"/>
        <v>0.39999999999999636</v>
      </c>
      <c r="BT782" s="6"/>
    </row>
    <row r="783" spans="1:72" x14ac:dyDescent="0.25">
      <c r="A783" s="18" t="s">
        <v>6</v>
      </c>
      <c r="B783" s="18">
        <v>2024</v>
      </c>
      <c r="C783" s="18" t="s">
        <v>138</v>
      </c>
      <c r="D783" s="18" t="s">
        <v>659</v>
      </c>
      <c r="E783" s="18">
        <v>30</v>
      </c>
      <c r="F783" s="3">
        <v>30</v>
      </c>
      <c r="G783" s="18" t="s">
        <v>152</v>
      </c>
      <c r="H783" s="244">
        <f t="shared" si="309"/>
        <v>30</v>
      </c>
      <c r="I783" s="244" t="s">
        <v>759</v>
      </c>
      <c r="J783" s="244"/>
      <c r="K783" s="18">
        <f t="shared" si="305"/>
        <v>22.15</v>
      </c>
      <c r="L783" s="183">
        <v>22.55</v>
      </c>
      <c r="M783" s="4">
        <f t="shared" si="289"/>
        <v>0.40000000000000213</v>
      </c>
      <c r="N783" s="113">
        <f t="shared" si="290"/>
        <v>0.54999999999999705</v>
      </c>
      <c r="O783" s="5">
        <f t="shared" si="303"/>
        <v>0.45000000000000295</v>
      </c>
      <c r="P783" s="18">
        <v>0.22</v>
      </c>
      <c r="Q783" s="182"/>
      <c r="R783" s="182"/>
      <c r="S783" s="182"/>
      <c r="T783" s="183">
        <v>0.22</v>
      </c>
      <c r="U783" s="183">
        <v>0</v>
      </c>
      <c r="V783" s="203">
        <f t="shared" si="291"/>
        <v>0</v>
      </c>
      <c r="W783" s="183"/>
      <c r="X783" s="183"/>
      <c r="Y783" s="222">
        <v>10</v>
      </c>
      <c r="Z783" s="31">
        <f t="shared" si="308"/>
        <v>40.000000000000213</v>
      </c>
      <c r="AA783" s="6"/>
      <c r="AB783" s="6"/>
      <c r="AC783" s="6"/>
      <c r="AD783" s="6"/>
      <c r="AE783" s="6"/>
      <c r="AF783" s="6"/>
      <c r="AG783" s="18" t="s">
        <v>32</v>
      </c>
      <c r="AH783" s="18" t="s">
        <v>32</v>
      </c>
      <c r="AI783" s="18" t="str">
        <f>+VLOOKUP(AH783,Leyenda!$O$4:$U$10,6,FALSE)</f>
        <v>0,15-0,25</v>
      </c>
      <c r="AJ783" s="18" t="str">
        <f>+VLOOKUP(AG783,Leyenda!$O$4:$U$10,7,FALSE)</f>
        <v>No Blasting need</v>
      </c>
      <c r="AK783" s="18">
        <f>+VLOOKUP(AJ783,Leyenda!$U$4:$V$10,2,FALSE)</f>
        <v>2</v>
      </c>
      <c r="AL783" s="18"/>
      <c r="AM783" s="18" t="s">
        <v>32</v>
      </c>
      <c r="AN783" s="18" t="s">
        <v>66</v>
      </c>
      <c r="AO783" s="18" t="s">
        <v>81</v>
      </c>
      <c r="AP783" s="18" t="s">
        <v>96</v>
      </c>
      <c r="AQ783" s="18" t="s">
        <v>109</v>
      </c>
      <c r="AR783" s="18" t="s">
        <v>120</v>
      </c>
      <c r="AS783" s="18" t="s">
        <v>267</v>
      </c>
      <c r="AT783" s="18"/>
      <c r="AU783" s="6"/>
      <c r="AV783" s="36">
        <f>+VLOOKUP(AN783,Leyenda!$B$30:$E$34,3,FALSE)</f>
        <v>1</v>
      </c>
      <c r="AW783" s="36">
        <f>+VLOOKUP('2. Logging Brejo Seco'!AO783,Meteorizacion,3,FALSE)</f>
        <v>0</v>
      </c>
      <c r="AX783" s="36">
        <f>+VLOOKUP('2. Logging Brejo Seco'!AP783,Apertura,3,FALSE)</f>
        <v>1</v>
      </c>
      <c r="AY783" s="36">
        <f>+VLOOKUP('2. Logging Brejo Seco'!AQ783,Leyenda!$B$55:$D$59,3,FALSE)</f>
        <v>1</v>
      </c>
      <c r="AZ783" s="36">
        <f>+VLOOKUP('2. Logging Brejo Seco'!AR783,Relleno,3,FALSE)</f>
        <v>2</v>
      </c>
      <c r="BA783" s="36">
        <f t="shared" si="293"/>
        <v>5</v>
      </c>
      <c r="BB783" s="225">
        <f t="shared" si="294"/>
        <v>0</v>
      </c>
      <c r="BC783" s="49">
        <f>VLOOKUP(AH783,Leyenda!$B$4:$D$10,3,FALSE)</f>
        <v>1</v>
      </c>
      <c r="BD783" s="50">
        <f t="shared" si="295"/>
        <v>5</v>
      </c>
      <c r="BE783" s="50">
        <f t="shared" si="296"/>
        <v>5</v>
      </c>
      <c r="BF783" s="50">
        <f>VLOOKUP(AS783,Leyenda!$B$70:$D$75,3,FALSE)</f>
        <v>15</v>
      </c>
      <c r="BG783" s="110">
        <f t="shared" si="297"/>
        <v>7.5</v>
      </c>
      <c r="BH783" s="110">
        <f>VLOOKUP(AG783,Leyenda!$B$4:$E$10,4,FALSE)</f>
        <v>1</v>
      </c>
      <c r="BI783" s="67">
        <f t="shared" si="298"/>
        <v>5</v>
      </c>
      <c r="BJ783" s="110">
        <f t="shared" si="299"/>
        <v>0</v>
      </c>
      <c r="BK783" s="110">
        <f>+VLOOKUP('2. Logging Brejo Seco'!AP783,Leyenda!$B$47:$E$51,4,FALSE)</f>
        <v>1</v>
      </c>
      <c r="BL783" s="110">
        <f>+VLOOKUP('2. Logging Brejo Seco'!AQ783,Leyenda!$B$55:$E$59,4,FALSE)</f>
        <v>1</v>
      </c>
      <c r="BM783" s="110">
        <f>+VLOOKUP('2. Logging Brejo Seco'!AR783,Leyenda!$B$63:$E$67,3,FALSE)</f>
        <v>2</v>
      </c>
      <c r="BN783" s="110">
        <f>+VLOOKUP('2. Logging Brejo Seco'!AO783,Leyenda!$B$39:$E$43,4,FALSE)</f>
        <v>0</v>
      </c>
      <c r="BO783" s="110">
        <f>+VLOOKUP('2. Logging Brejo Seco'!AN783,Leyenda!$B$30:$E$34,4,FALSE)</f>
        <v>1</v>
      </c>
      <c r="BP783" s="110">
        <f>VLOOKUP(AS783,Leyenda!$B$71:$E$75,4,FALSE)</f>
        <v>10</v>
      </c>
      <c r="BQ783" s="110">
        <f t="shared" si="300"/>
        <v>21</v>
      </c>
      <c r="BR783" s="36">
        <f t="shared" si="301"/>
        <v>26</v>
      </c>
      <c r="BS783" s="240">
        <f t="shared" si="307"/>
        <v>0.45000000000000295</v>
      </c>
      <c r="BT783" s="6"/>
    </row>
    <row r="784" spans="1:72" x14ac:dyDescent="0.25">
      <c r="A784" s="18" t="s">
        <v>6</v>
      </c>
      <c r="B784" s="18">
        <v>2024</v>
      </c>
      <c r="C784" s="18" t="s">
        <v>138</v>
      </c>
      <c r="D784" s="18" t="s">
        <v>659</v>
      </c>
      <c r="E784" s="18">
        <v>30</v>
      </c>
      <c r="F784" s="3">
        <v>30</v>
      </c>
      <c r="G784" s="18" t="s">
        <v>152</v>
      </c>
      <c r="H784" s="244">
        <v>30</v>
      </c>
      <c r="I784" s="244" t="s">
        <v>759</v>
      </c>
      <c r="J784" s="244"/>
      <c r="K784" s="18">
        <v>22.5</v>
      </c>
      <c r="L784" s="183">
        <v>23.55</v>
      </c>
      <c r="M784" s="4">
        <f t="shared" si="289"/>
        <v>1.0500000000000007</v>
      </c>
      <c r="N784" s="113">
        <f t="shared" si="290"/>
        <v>0.29523809523809502</v>
      </c>
      <c r="O784" s="5">
        <f t="shared" si="303"/>
        <v>0.70476190476190492</v>
      </c>
      <c r="P784" s="18">
        <v>0.31</v>
      </c>
      <c r="Q784" s="182"/>
      <c r="R784" s="182"/>
      <c r="S784" s="182"/>
      <c r="T784" s="183">
        <v>0.31</v>
      </c>
      <c r="U784" s="183">
        <v>0</v>
      </c>
      <c r="V784" s="203">
        <f t="shared" si="291"/>
        <v>0</v>
      </c>
      <c r="W784" s="183"/>
      <c r="X784" s="183"/>
      <c r="Y784" s="183">
        <v>20</v>
      </c>
      <c r="Z784" s="31">
        <f t="shared" si="308"/>
        <v>52.500000000000036</v>
      </c>
      <c r="AA784" s="6"/>
      <c r="AB784" s="6"/>
      <c r="AC784" s="6"/>
      <c r="AD784" s="6"/>
      <c r="AE784" s="6"/>
      <c r="AF784" s="6"/>
      <c r="AG784" s="18" t="s">
        <v>32</v>
      </c>
      <c r="AH784" s="18" t="s">
        <v>32</v>
      </c>
      <c r="AI784" s="18" t="str">
        <f>+VLOOKUP(AH784,Leyenda!$O$4:$U$10,6,FALSE)</f>
        <v>0,15-0,25</v>
      </c>
      <c r="AJ784" s="18" t="str">
        <f>+VLOOKUP(AG784,Leyenda!$O$4:$U$10,7,FALSE)</f>
        <v>No Blasting need</v>
      </c>
      <c r="AK784" s="18"/>
      <c r="AL784" s="18"/>
      <c r="AM784" s="18" t="s">
        <v>32</v>
      </c>
      <c r="AN784" s="18" t="s">
        <v>66</v>
      </c>
      <c r="AO784" s="18" t="s">
        <v>81</v>
      </c>
      <c r="AP784" s="18" t="s">
        <v>96</v>
      </c>
      <c r="AQ784" s="18" t="s">
        <v>109</v>
      </c>
      <c r="AR784" s="18" t="s">
        <v>120</v>
      </c>
      <c r="AS784" s="18" t="s">
        <v>267</v>
      </c>
      <c r="AT784" s="18"/>
      <c r="AU784" s="6"/>
      <c r="AV784" s="36"/>
      <c r="AW784" s="36"/>
      <c r="AX784" s="36"/>
      <c r="AY784" s="36"/>
      <c r="AZ784" s="36"/>
      <c r="BA784" s="36"/>
      <c r="BB784" s="50"/>
      <c r="BC784" s="49">
        <f>VLOOKUP(AH784,Leyenda!$B$4:$D$10,3,FALSE)</f>
        <v>1</v>
      </c>
      <c r="BD784" s="50">
        <f t="shared" si="295"/>
        <v>6</v>
      </c>
      <c r="BE784" s="50"/>
      <c r="BF784" s="50"/>
      <c r="BG784" s="110"/>
      <c r="BH784" s="110"/>
      <c r="BI784" s="67">
        <f t="shared" si="298"/>
        <v>4</v>
      </c>
      <c r="BJ784" s="110"/>
      <c r="BK784" s="110"/>
      <c r="BL784" s="110"/>
      <c r="BM784" s="110"/>
      <c r="BN784" s="110"/>
      <c r="BO784" s="110"/>
      <c r="BP784" s="110"/>
      <c r="BQ784" s="110"/>
      <c r="BR784" s="36"/>
      <c r="BS784" s="240">
        <f t="shared" si="307"/>
        <v>0.70476190476190492</v>
      </c>
      <c r="BT784" s="6"/>
    </row>
    <row r="785" spans="1:72" x14ac:dyDescent="0.25">
      <c r="A785" s="18" t="s">
        <v>6</v>
      </c>
      <c r="B785" s="18">
        <v>2024</v>
      </c>
      <c r="C785" s="18" t="s">
        <v>138</v>
      </c>
      <c r="D785" s="18" t="s">
        <v>659</v>
      </c>
      <c r="E785" s="3">
        <v>20</v>
      </c>
      <c r="F785" s="3">
        <v>20</v>
      </c>
      <c r="G785" s="18" t="s">
        <v>156</v>
      </c>
      <c r="H785" s="3">
        <v>30</v>
      </c>
      <c r="I785" s="3" t="s">
        <v>759</v>
      </c>
      <c r="J785" s="3"/>
      <c r="K785" s="18">
        <f>+L783</f>
        <v>22.55</v>
      </c>
      <c r="L785" s="183">
        <v>23.95</v>
      </c>
      <c r="M785" s="4">
        <f t="shared" si="289"/>
        <v>1.3999999999999986</v>
      </c>
      <c r="N785" s="113">
        <f t="shared" si="290"/>
        <v>0.18571428571428591</v>
      </c>
      <c r="O785" s="5">
        <f t="shared" si="303"/>
        <v>0.81428571428571406</v>
      </c>
      <c r="P785" s="18">
        <v>0.26</v>
      </c>
      <c r="Q785" s="182"/>
      <c r="R785" s="182"/>
      <c r="S785" s="182"/>
      <c r="T785" s="183">
        <v>0.26</v>
      </c>
      <c r="U785" s="183">
        <v>0</v>
      </c>
      <c r="V785" s="203">
        <f t="shared" si="291"/>
        <v>0</v>
      </c>
      <c r="W785" s="183"/>
      <c r="X785" s="183"/>
      <c r="Y785" s="183">
        <v>18</v>
      </c>
      <c r="Z785" s="31">
        <f t="shared" si="308"/>
        <v>77.7777777777777</v>
      </c>
      <c r="AA785" s="6"/>
      <c r="AB785" s="6"/>
      <c r="AC785" s="6"/>
      <c r="AD785" s="6"/>
      <c r="AE785" s="6"/>
      <c r="AF785" s="6"/>
      <c r="AG785" s="18" t="s">
        <v>29</v>
      </c>
      <c r="AH785" s="18" t="s">
        <v>29</v>
      </c>
      <c r="AI785" s="18" t="str">
        <f>+VLOOKUP(AH785,Leyenda!$O$4:$U$10,6,FALSE)</f>
        <v>0,25-0,35</v>
      </c>
      <c r="AJ785" s="18" t="str">
        <f>+VLOOKUP(AG785,Leyenda!$O$4:$U$10,7,FALSE)</f>
        <v>No Blasting need</v>
      </c>
      <c r="AK785" s="18">
        <f>+VLOOKUP(AJ785,Leyenda!$U$4:$V$10,2,FALSE)</f>
        <v>2</v>
      </c>
      <c r="AL785" s="18"/>
      <c r="AM785" s="18" t="s">
        <v>29</v>
      </c>
      <c r="AN785" s="18" t="s">
        <v>66</v>
      </c>
      <c r="AO785" s="18" t="s">
        <v>81</v>
      </c>
      <c r="AP785" s="18" t="s">
        <v>96</v>
      </c>
      <c r="AQ785" s="18" t="s">
        <v>107</v>
      </c>
      <c r="AR785" s="18" t="s">
        <v>118</v>
      </c>
      <c r="AS785" s="18" t="s">
        <v>267</v>
      </c>
      <c r="AT785" s="18"/>
      <c r="AU785" s="6"/>
      <c r="AV785" s="36">
        <f>+VLOOKUP(AN785,Leyenda!$B$30:$E$34,3,FALSE)</f>
        <v>1</v>
      </c>
      <c r="AW785" s="36">
        <f>+VLOOKUP('2. Logging Brejo Seco'!AO785,Meteorizacion,3,FALSE)</f>
        <v>0</v>
      </c>
      <c r="AX785" s="36">
        <f>+VLOOKUP('2. Logging Brejo Seco'!AP785,Apertura,3,FALSE)</f>
        <v>1</v>
      </c>
      <c r="AY785" s="36">
        <f>+VLOOKUP('2. Logging Brejo Seco'!AQ785,Leyenda!$B$55:$D$59,3,FALSE)</f>
        <v>3</v>
      </c>
      <c r="AZ785" s="36">
        <f>+VLOOKUP('2. Logging Brejo Seco'!AR785,Relleno,3,FALSE)</f>
        <v>2</v>
      </c>
      <c r="BA785" s="36">
        <f t="shared" si="293"/>
        <v>7</v>
      </c>
      <c r="BB785" s="50">
        <f t="shared" si="294"/>
        <v>0</v>
      </c>
      <c r="BC785" s="49">
        <f>VLOOKUP(AH785,Leyenda!$B$4:$D$10,3,FALSE)</f>
        <v>2</v>
      </c>
      <c r="BD785" s="50">
        <f t="shared" si="295"/>
        <v>7</v>
      </c>
      <c r="BE785" s="50">
        <f t="shared" si="296"/>
        <v>7</v>
      </c>
      <c r="BF785" s="50">
        <f>VLOOKUP(AS785,Leyenda!$B$70:$D$75,3,FALSE)</f>
        <v>15</v>
      </c>
      <c r="BG785" s="110">
        <f t="shared" si="297"/>
        <v>10.5</v>
      </c>
      <c r="BH785" s="110">
        <f>VLOOKUP(AG785,Leyenda!$B$4:$E$10,4,FALSE)</f>
        <v>2</v>
      </c>
      <c r="BI785" s="67">
        <f t="shared" si="298"/>
        <v>7</v>
      </c>
      <c r="BJ785" s="110">
        <f t="shared" si="299"/>
        <v>0</v>
      </c>
      <c r="BK785" s="110">
        <f>+VLOOKUP('2. Logging Brejo Seco'!AP785,Leyenda!$B$47:$E$51,4,FALSE)</f>
        <v>1</v>
      </c>
      <c r="BL785" s="110">
        <f>+VLOOKUP('2. Logging Brejo Seco'!AQ785,Leyenda!$B$55:$E$59,4,FALSE)</f>
        <v>3</v>
      </c>
      <c r="BM785" s="110">
        <f>+VLOOKUP('2. Logging Brejo Seco'!AR785,Leyenda!$B$63:$E$67,3,FALSE)</f>
        <v>2</v>
      </c>
      <c r="BN785" s="110">
        <f>+VLOOKUP('2. Logging Brejo Seco'!AO785,Leyenda!$B$39:$E$43,4,FALSE)</f>
        <v>0</v>
      </c>
      <c r="BO785" s="110">
        <f>+VLOOKUP('2. Logging Brejo Seco'!AN785,Leyenda!$B$30:$E$34,4,FALSE)</f>
        <v>1</v>
      </c>
      <c r="BP785" s="110">
        <f>VLOOKUP(AS785,Leyenda!$B$71:$E$75,4,FALSE)</f>
        <v>10</v>
      </c>
      <c r="BQ785" s="110">
        <f t="shared" si="300"/>
        <v>26</v>
      </c>
      <c r="BR785" s="36">
        <f t="shared" si="301"/>
        <v>31</v>
      </c>
      <c r="BS785" s="240">
        <f t="shared" si="307"/>
        <v>0.81428571428571406</v>
      </c>
      <c r="BT785" s="6"/>
    </row>
    <row r="786" spans="1:72" x14ac:dyDescent="0.25">
      <c r="A786" s="18" t="s">
        <v>6</v>
      </c>
      <c r="B786" s="18">
        <v>2024</v>
      </c>
      <c r="C786" s="18" t="s">
        <v>138</v>
      </c>
      <c r="D786" s="18" t="s">
        <v>659</v>
      </c>
      <c r="E786" s="3">
        <v>20</v>
      </c>
      <c r="F786" s="3">
        <v>20</v>
      </c>
      <c r="G786" s="18" t="s">
        <v>156</v>
      </c>
      <c r="H786" s="3">
        <v>30</v>
      </c>
      <c r="I786" s="3" t="s">
        <v>759</v>
      </c>
      <c r="J786" s="3"/>
      <c r="K786" s="18">
        <f t="shared" si="305"/>
        <v>23.95</v>
      </c>
      <c r="L786" s="183">
        <v>24.45</v>
      </c>
      <c r="M786" s="4">
        <f t="shared" si="289"/>
        <v>0.5</v>
      </c>
      <c r="N786" s="113">
        <f t="shared" si="290"/>
        <v>0.64</v>
      </c>
      <c r="O786" s="5">
        <f t="shared" si="303"/>
        <v>0.36</v>
      </c>
      <c r="P786" s="18">
        <v>0.32</v>
      </c>
      <c r="Q786" s="182"/>
      <c r="R786" s="182"/>
      <c r="S786" s="182"/>
      <c r="T786" s="183">
        <v>0.32</v>
      </c>
      <c r="U786" s="183">
        <v>0</v>
      </c>
      <c r="V786" s="203">
        <f t="shared" si="291"/>
        <v>0</v>
      </c>
      <c r="W786" s="183"/>
      <c r="X786" s="183"/>
      <c r="Y786" s="183">
        <v>15</v>
      </c>
      <c r="Z786" s="31">
        <f t="shared" si="308"/>
        <v>33.333333333333336</v>
      </c>
      <c r="AA786" s="6"/>
      <c r="AB786" s="6"/>
      <c r="AC786" s="6"/>
      <c r="AD786" s="6"/>
      <c r="AE786" s="6"/>
      <c r="AF786" s="6"/>
      <c r="AG786" s="18" t="s">
        <v>29</v>
      </c>
      <c r="AH786" s="18" t="s">
        <v>29</v>
      </c>
      <c r="AI786" s="18" t="str">
        <f>+VLOOKUP(AH786,Leyenda!$O$4:$U$10,6,FALSE)</f>
        <v>0,25-0,35</v>
      </c>
      <c r="AJ786" s="18" t="str">
        <f>+VLOOKUP(AG786,Leyenda!$O$4:$U$10,7,FALSE)</f>
        <v>No Blasting need</v>
      </c>
      <c r="AK786" s="18">
        <f>+VLOOKUP(AJ786,Leyenda!$U$4:$V$10,2,FALSE)</f>
        <v>2</v>
      </c>
      <c r="AL786" s="18"/>
      <c r="AM786" s="18" t="s">
        <v>29</v>
      </c>
      <c r="AN786" s="18" t="s">
        <v>66</v>
      </c>
      <c r="AO786" s="18" t="s">
        <v>81</v>
      </c>
      <c r="AP786" s="18" t="s">
        <v>96</v>
      </c>
      <c r="AQ786" s="18" t="s">
        <v>107</v>
      </c>
      <c r="AR786" s="18" t="s">
        <v>118</v>
      </c>
      <c r="AS786" s="18" t="s">
        <v>267</v>
      </c>
      <c r="AT786" s="18"/>
      <c r="AU786" s="6"/>
      <c r="AV786" s="36">
        <f>+VLOOKUP(AN786,Leyenda!$B$30:$E$34,3,FALSE)</f>
        <v>1</v>
      </c>
      <c r="AW786" s="36">
        <f>+VLOOKUP('2. Logging Brejo Seco'!AO786,Meteorizacion,3,FALSE)</f>
        <v>0</v>
      </c>
      <c r="AX786" s="36">
        <f>+VLOOKUP('2. Logging Brejo Seco'!AP786,Apertura,3,FALSE)</f>
        <v>1</v>
      </c>
      <c r="AY786" s="36">
        <f>+VLOOKUP('2. Logging Brejo Seco'!AQ786,Leyenda!$B$55:$D$59,3,FALSE)</f>
        <v>3</v>
      </c>
      <c r="AZ786" s="36">
        <f>+VLOOKUP('2. Logging Brejo Seco'!AR786,Relleno,3,FALSE)</f>
        <v>2</v>
      </c>
      <c r="BA786" s="36">
        <f t="shared" si="293"/>
        <v>7</v>
      </c>
      <c r="BB786" s="50">
        <f t="shared" si="294"/>
        <v>0</v>
      </c>
      <c r="BC786" s="49">
        <f>VLOOKUP(AH786,Leyenda!$B$4:$D$10,3,FALSE)</f>
        <v>2</v>
      </c>
      <c r="BD786" s="50">
        <f t="shared" si="295"/>
        <v>5</v>
      </c>
      <c r="BE786" s="50">
        <f t="shared" si="296"/>
        <v>7</v>
      </c>
      <c r="BF786" s="50">
        <f>VLOOKUP(AS786,Leyenda!$B$70:$D$75,3,FALSE)</f>
        <v>15</v>
      </c>
      <c r="BG786" s="110">
        <f t="shared" si="297"/>
        <v>10.5</v>
      </c>
      <c r="BH786" s="110">
        <f>VLOOKUP(AG786,Leyenda!$B$4:$E$10,4,FALSE)</f>
        <v>2</v>
      </c>
      <c r="BI786" s="67">
        <f t="shared" si="298"/>
        <v>5</v>
      </c>
      <c r="BJ786" s="110">
        <f t="shared" si="299"/>
        <v>0</v>
      </c>
      <c r="BK786" s="110">
        <f>+VLOOKUP('2. Logging Brejo Seco'!AP786,Leyenda!$B$47:$E$51,4,FALSE)</f>
        <v>1</v>
      </c>
      <c r="BL786" s="110">
        <f>+VLOOKUP('2. Logging Brejo Seco'!AQ786,Leyenda!$B$55:$E$59,4,FALSE)</f>
        <v>3</v>
      </c>
      <c r="BM786" s="110">
        <f>+VLOOKUP('2. Logging Brejo Seco'!AR786,Leyenda!$B$63:$E$67,3,FALSE)</f>
        <v>2</v>
      </c>
      <c r="BN786" s="110">
        <f>+VLOOKUP('2. Logging Brejo Seco'!AO786,Leyenda!$B$39:$E$43,4,FALSE)</f>
        <v>0</v>
      </c>
      <c r="BO786" s="110">
        <f>+VLOOKUP('2. Logging Brejo Seco'!AN786,Leyenda!$B$30:$E$34,4,FALSE)</f>
        <v>1</v>
      </c>
      <c r="BP786" s="110">
        <f>VLOOKUP(AS786,Leyenda!$B$71:$E$75,4,FALSE)</f>
        <v>10</v>
      </c>
      <c r="BQ786" s="110">
        <f t="shared" si="300"/>
        <v>24</v>
      </c>
      <c r="BR786" s="36">
        <f t="shared" si="301"/>
        <v>29</v>
      </c>
      <c r="BS786" s="240">
        <f t="shared" si="307"/>
        <v>0.36</v>
      </c>
      <c r="BT786" s="6"/>
    </row>
    <row r="787" spans="1:72" x14ac:dyDescent="0.25">
      <c r="A787" s="18" t="s">
        <v>6</v>
      </c>
      <c r="B787" s="18">
        <v>2024</v>
      </c>
      <c r="C787" s="18" t="s">
        <v>138</v>
      </c>
      <c r="D787" s="18" t="s">
        <v>659</v>
      </c>
      <c r="E787" s="3">
        <v>20</v>
      </c>
      <c r="F787" s="3">
        <v>20</v>
      </c>
      <c r="G787" s="18" t="s">
        <v>156</v>
      </c>
      <c r="H787" s="3">
        <v>30</v>
      </c>
      <c r="I787" s="3" t="s">
        <v>759</v>
      </c>
      <c r="J787" s="3"/>
      <c r="K787" s="18">
        <f t="shared" si="305"/>
        <v>24.45</v>
      </c>
      <c r="L787" s="183">
        <v>25</v>
      </c>
      <c r="M787" s="4">
        <f t="shared" ref="M787:M789" si="310">+L787-K787</f>
        <v>0.55000000000000071</v>
      </c>
      <c r="N787" s="113">
        <f t="shared" ref="N787:N788" si="311">+P787/M787</f>
        <v>0.65454545454545365</v>
      </c>
      <c r="O787" s="5">
        <f t="shared" si="303"/>
        <v>0.34545454545454635</v>
      </c>
      <c r="P787" s="18">
        <v>0.36</v>
      </c>
      <c r="Q787" s="182"/>
      <c r="R787" s="182"/>
      <c r="S787" s="182"/>
      <c r="T787" s="183">
        <v>0.36</v>
      </c>
      <c r="U787" s="183">
        <v>0</v>
      </c>
      <c r="V787" s="203">
        <f t="shared" si="291"/>
        <v>0</v>
      </c>
      <c r="W787" s="183"/>
      <c r="X787" s="183"/>
      <c r="Y787" s="183">
        <v>15</v>
      </c>
      <c r="Z787" s="31">
        <f t="shared" si="308"/>
        <v>36.666666666666714</v>
      </c>
      <c r="AA787" s="6"/>
      <c r="AB787" s="6"/>
      <c r="AC787" s="6"/>
      <c r="AD787" s="6"/>
      <c r="AE787" s="6"/>
      <c r="AF787" s="6"/>
      <c r="AG787" s="18" t="s">
        <v>29</v>
      </c>
      <c r="AH787" s="18" t="s">
        <v>29</v>
      </c>
      <c r="AI787" s="18" t="str">
        <f>+VLOOKUP(AH787,Leyenda!$O$4:$U$10,6,FALSE)</f>
        <v>0,25-0,35</v>
      </c>
      <c r="AJ787" s="18" t="str">
        <f>+VLOOKUP(AG787,Leyenda!$O$4:$U$10,7,FALSE)</f>
        <v>No Blasting need</v>
      </c>
      <c r="AK787" s="18">
        <f>+VLOOKUP(AJ787,Leyenda!$U$4:$V$10,2,FALSE)</f>
        <v>2</v>
      </c>
      <c r="AL787" s="18"/>
      <c r="AM787" s="18" t="s">
        <v>29</v>
      </c>
      <c r="AN787" s="18" t="s">
        <v>66</v>
      </c>
      <c r="AO787" s="18" t="s">
        <v>81</v>
      </c>
      <c r="AP787" s="18" t="s">
        <v>96</v>
      </c>
      <c r="AQ787" s="18" t="s">
        <v>107</v>
      </c>
      <c r="AR787" s="18" t="s">
        <v>118</v>
      </c>
      <c r="AS787" s="18" t="s">
        <v>267</v>
      </c>
      <c r="AT787" s="18"/>
      <c r="AU787" s="6"/>
      <c r="AV787" s="36">
        <f>+VLOOKUP(AN787,Leyenda!$B$30:$E$34,3,FALSE)</f>
        <v>1</v>
      </c>
      <c r="AW787" s="36">
        <f>+VLOOKUP('2. Logging Brejo Seco'!AO787,Meteorizacion,3,FALSE)</f>
        <v>0</v>
      </c>
      <c r="AX787" s="36">
        <f>+VLOOKUP('2. Logging Brejo Seco'!AP787,Apertura,3,FALSE)</f>
        <v>1</v>
      </c>
      <c r="AY787" s="36">
        <f>+VLOOKUP('2. Logging Brejo Seco'!AQ787,Leyenda!$B$55:$D$59,3,FALSE)</f>
        <v>3</v>
      </c>
      <c r="AZ787" s="36">
        <f>+VLOOKUP('2. Logging Brejo Seco'!AR787,Relleno,3,FALSE)</f>
        <v>2</v>
      </c>
      <c r="BA787" s="36">
        <f t="shared" si="293"/>
        <v>7</v>
      </c>
      <c r="BB787" s="50">
        <f t="shared" si="294"/>
        <v>0</v>
      </c>
      <c r="BC787" s="49">
        <f>VLOOKUP(AH787,Leyenda!$B$4:$D$10,3,FALSE)</f>
        <v>2</v>
      </c>
      <c r="BD787" s="50">
        <f t="shared" si="295"/>
        <v>5</v>
      </c>
      <c r="BE787" s="50">
        <f t="shared" si="296"/>
        <v>7</v>
      </c>
      <c r="BF787" s="50">
        <f>VLOOKUP(AS787,Leyenda!$B$70:$D$75,3,FALSE)</f>
        <v>15</v>
      </c>
      <c r="BG787" s="110">
        <f t="shared" si="297"/>
        <v>10.5</v>
      </c>
      <c r="BH787" s="110">
        <f>VLOOKUP(AG787,Leyenda!$B$4:$E$10,4,FALSE)</f>
        <v>2</v>
      </c>
      <c r="BI787" s="67">
        <f t="shared" si="298"/>
        <v>5</v>
      </c>
      <c r="BJ787" s="110">
        <f t="shared" si="299"/>
        <v>0</v>
      </c>
      <c r="BK787" s="110">
        <f>+VLOOKUP('2. Logging Brejo Seco'!AP787,Leyenda!$B$47:$E$51,4,FALSE)</f>
        <v>1</v>
      </c>
      <c r="BL787" s="110">
        <f>+VLOOKUP('2. Logging Brejo Seco'!AQ787,Leyenda!$B$55:$E$59,4,FALSE)</f>
        <v>3</v>
      </c>
      <c r="BM787" s="110">
        <f>+VLOOKUP('2. Logging Brejo Seco'!AR787,Leyenda!$B$63:$E$67,3,FALSE)</f>
        <v>2</v>
      </c>
      <c r="BN787" s="110">
        <f>+VLOOKUP('2. Logging Brejo Seco'!AO787,Leyenda!$B$39:$E$43,4,FALSE)</f>
        <v>0</v>
      </c>
      <c r="BO787" s="110">
        <f>+VLOOKUP('2. Logging Brejo Seco'!AN787,Leyenda!$B$30:$E$34,4,FALSE)</f>
        <v>1</v>
      </c>
      <c r="BP787" s="110">
        <f>VLOOKUP(AS787,Leyenda!$B$71:$E$75,4,FALSE)</f>
        <v>10</v>
      </c>
      <c r="BQ787" s="110">
        <f t="shared" si="300"/>
        <v>24</v>
      </c>
      <c r="BR787" s="36">
        <f t="shared" si="301"/>
        <v>29</v>
      </c>
      <c r="BS787" s="240">
        <f t="shared" si="307"/>
        <v>0.34545454545454635</v>
      </c>
      <c r="BT787" s="6"/>
    </row>
    <row r="788" spans="1:72" x14ac:dyDescent="0.25">
      <c r="A788" s="18" t="s">
        <v>6</v>
      </c>
      <c r="B788" s="18">
        <v>2024</v>
      </c>
      <c r="C788" s="18" t="s">
        <v>138</v>
      </c>
      <c r="D788" s="18" t="s">
        <v>659</v>
      </c>
      <c r="E788" s="3">
        <v>20</v>
      </c>
      <c r="F788" s="3">
        <v>20</v>
      </c>
      <c r="G788" s="18" t="s">
        <v>156</v>
      </c>
      <c r="H788" s="3">
        <v>40</v>
      </c>
      <c r="I788" s="3" t="s">
        <v>757</v>
      </c>
      <c r="J788" s="3"/>
      <c r="K788" s="18">
        <f t="shared" si="305"/>
        <v>25</v>
      </c>
      <c r="L788" s="183">
        <v>25.3</v>
      </c>
      <c r="M788" s="4">
        <f t="shared" si="310"/>
        <v>0.30000000000000071</v>
      </c>
      <c r="N788" s="113">
        <f t="shared" si="311"/>
        <v>0</v>
      </c>
      <c r="O788" s="5">
        <f t="shared" si="303"/>
        <v>1</v>
      </c>
      <c r="P788" s="18">
        <v>0</v>
      </c>
      <c r="Q788" s="182"/>
      <c r="R788" s="182"/>
      <c r="S788" s="182"/>
      <c r="T788" s="183">
        <v>0.19</v>
      </c>
      <c r="U788" s="183">
        <v>0</v>
      </c>
      <c r="V788" s="203">
        <f t="shared" si="291"/>
        <v>0</v>
      </c>
      <c r="W788" s="183"/>
      <c r="X788" s="183"/>
      <c r="Y788" s="183">
        <v>15</v>
      </c>
      <c r="Z788" s="31">
        <f t="shared" si="308"/>
        <v>20.000000000000046</v>
      </c>
      <c r="AA788" s="6"/>
      <c r="AB788" s="6"/>
      <c r="AC788" s="6"/>
      <c r="AD788" s="6"/>
      <c r="AE788" s="6"/>
      <c r="AF788" s="6"/>
      <c r="AG788" s="18" t="s">
        <v>29</v>
      </c>
      <c r="AH788" s="18" t="s">
        <v>29</v>
      </c>
      <c r="AI788" s="18" t="str">
        <f>+VLOOKUP(AH788,Leyenda!$O$4:$U$10,6,FALSE)</f>
        <v>0,25-0,35</v>
      </c>
      <c r="AJ788" s="18" t="str">
        <f>+VLOOKUP(AG788,Leyenda!$O$4:$U$10,7,FALSE)</f>
        <v>No Blasting need</v>
      </c>
      <c r="AK788" s="18">
        <f>+VLOOKUP(AJ788,Leyenda!$U$4:$V$10,2,FALSE)</f>
        <v>2</v>
      </c>
      <c r="AL788" s="18"/>
      <c r="AM788" s="18" t="s">
        <v>29</v>
      </c>
      <c r="AN788" s="18" t="s">
        <v>66</v>
      </c>
      <c r="AO788" s="18" t="s">
        <v>81</v>
      </c>
      <c r="AP788" s="18" t="s">
        <v>96</v>
      </c>
      <c r="AQ788" s="18" t="s">
        <v>107</v>
      </c>
      <c r="AR788" s="18" t="s">
        <v>118</v>
      </c>
      <c r="AS788" s="18" t="s">
        <v>267</v>
      </c>
      <c r="AT788" s="18"/>
      <c r="AU788" s="6"/>
      <c r="AV788" s="36">
        <f>+VLOOKUP(AN788,Leyenda!$B$30:$E$34,3,FALSE)</f>
        <v>1</v>
      </c>
      <c r="AW788" s="36">
        <f>+VLOOKUP('2. Logging Brejo Seco'!AO788,Meteorizacion,3,FALSE)</f>
        <v>0</v>
      </c>
      <c r="AX788" s="36">
        <f>+VLOOKUP('2. Logging Brejo Seco'!AP788,Apertura,3,FALSE)</f>
        <v>1</v>
      </c>
      <c r="AY788" s="36">
        <f>+VLOOKUP('2. Logging Brejo Seco'!AQ788,Leyenda!$B$55:$D$59,3,FALSE)</f>
        <v>3</v>
      </c>
      <c r="AZ788" s="36">
        <f>+VLOOKUP('2. Logging Brejo Seco'!AR788,Relleno,3,FALSE)</f>
        <v>2</v>
      </c>
      <c r="BA788" s="36">
        <f t="shared" si="293"/>
        <v>7</v>
      </c>
      <c r="BB788" s="50">
        <f t="shared" si="294"/>
        <v>0</v>
      </c>
      <c r="BC788" s="49">
        <f>VLOOKUP(AH788,Leyenda!$B$4:$D$10,3,FALSE)</f>
        <v>2</v>
      </c>
      <c r="BD788" s="50">
        <f t="shared" si="295"/>
        <v>4</v>
      </c>
      <c r="BE788" s="50">
        <f t="shared" si="296"/>
        <v>7</v>
      </c>
      <c r="BF788" s="50">
        <f>VLOOKUP(AS788,Leyenda!$B$70:$D$75,3,FALSE)</f>
        <v>15</v>
      </c>
      <c r="BG788" s="110">
        <f t="shared" si="297"/>
        <v>10.5</v>
      </c>
      <c r="BH788" s="110">
        <f>VLOOKUP(AG788,Leyenda!$B$4:$E$10,4,FALSE)</f>
        <v>2</v>
      </c>
      <c r="BI788" s="67">
        <f t="shared" si="298"/>
        <v>5</v>
      </c>
      <c r="BJ788" s="110">
        <f t="shared" si="299"/>
        <v>0</v>
      </c>
      <c r="BK788" s="110">
        <f>+VLOOKUP('2. Logging Brejo Seco'!AP788,Leyenda!$B$47:$E$51,4,FALSE)</f>
        <v>1</v>
      </c>
      <c r="BL788" s="110">
        <f>+VLOOKUP('2. Logging Brejo Seco'!AQ788,Leyenda!$B$55:$E$59,4,FALSE)</f>
        <v>3</v>
      </c>
      <c r="BM788" s="110">
        <f>+VLOOKUP('2. Logging Brejo Seco'!AR788,Leyenda!$B$63:$E$67,3,FALSE)</f>
        <v>2</v>
      </c>
      <c r="BN788" s="110">
        <f>+VLOOKUP('2. Logging Brejo Seco'!AO788,Leyenda!$B$39:$E$43,4,FALSE)</f>
        <v>0</v>
      </c>
      <c r="BO788" s="110">
        <f>+VLOOKUP('2. Logging Brejo Seco'!AN788,Leyenda!$B$30:$E$34,4,FALSE)</f>
        <v>1</v>
      </c>
      <c r="BP788" s="110">
        <f>VLOOKUP(AS788,Leyenda!$B$71:$E$75,4,FALSE)</f>
        <v>10</v>
      </c>
      <c r="BQ788" s="110">
        <f t="shared" si="300"/>
        <v>24</v>
      </c>
      <c r="BR788" s="36">
        <f t="shared" si="301"/>
        <v>28</v>
      </c>
      <c r="BS788" s="240">
        <f t="shared" si="307"/>
        <v>1</v>
      </c>
      <c r="BT788" s="6"/>
    </row>
    <row r="789" spans="1:72" x14ac:dyDescent="0.25">
      <c r="A789" s="18" t="s">
        <v>6</v>
      </c>
      <c r="B789" s="18">
        <v>2024</v>
      </c>
      <c r="C789" s="18" t="s">
        <v>138</v>
      </c>
      <c r="D789" s="18" t="s">
        <v>659</v>
      </c>
      <c r="E789" s="3">
        <v>20</v>
      </c>
      <c r="F789" s="3">
        <v>20</v>
      </c>
      <c r="G789" s="18" t="s">
        <v>156</v>
      </c>
      <c r="H789" s="3">
        <v>40</v>
      </c>
      <c r="I789" s="3" t="s">
        <v>757</v>
      </c>
      <c r="J789" s="3"/>
      <c r="K789" s="18">
        <f t="shared" si="305"/>
        <v>25.3</v>
      </c>
      <c r="L789" s="183">
        <v>25.6</v>
      </c>
      <c r="M789" s="4">
        <f t="shared" si="310"/>
        <v>0.30000000000000071</v>
      </c>
      <c r="N789" s="113">
        <f t="shared" ref="N789:N852" si="312">+P789/M789</f>
        <v>0.36666666666666581</v>
      </c>
      <c r="O789" s="5">
        <f t="shared" si="303"/>
        <v>0.63333333333333419</v>
      </c>
      <c r="P789" s="18">
        <v>0.11</v>
      </c>
      <c r="Q789" s="182"/>
      <c r="R789" s="182"/>
      <c r="S789" s="182"/>
      <c r="T789" s="183">
        <v>0.11</v>
      </c>
      <c r="U789" s="183">
        <v>0</v>
      </c>
      <c r="V789" s="203">
        <f t="shared" si="291"/>
        <v>0</v>
      </c>
      <c r="W789" s="183"/>
      <c r="X789" s="183"/>
      <c r="Y789" s="183">
        <v>10</v>
      </c>
      <c r="Z789" s="31">
        <f t="shared" si="308"/>
        <v>30.000000000000068</v>
      </c>
      <c r="AA789" s="6"/>
      <c r="AB789" s="6"/>
      <c r="AC789" s="6"/>
      <c r="AD789" s="6"/>
      <c r="AE789" s="6"/>
      <c r="AF789" s="6"/>
      <c r="AG789" s="18" t="s">
        <v>29</v>
      </c>
      <c r="AH789" s="18" t="s">
        <v>29</v>
      </c>
      <c r="AI789" s="18" t="str">
        <f>+VLOOKUP(AH789,Leyenda!$O$4:$U$10,6,FALSE)</f>
        <v>0,25-0,35</v>
      </c>
      <c r="AJ789" s="18" t="str">
        <f>+VLOOKUP(AG789,Leyenda!$O$4:$U$10,7,FALSE)</f>
        <v>No Blasting need</v>
      </c>
      <c r="AK789" s="18">
        <f>+VLOOKUP(AJ789,Leyenda!$U$4:$V$10,2,FALSE)</f>
        <v>2</v>
      </c>
      <c r="AL789" s="18"/>
      <c r="AM789" s="18" t="s">
        <v>29</v>
      </c>
      <c r="AN789" s="18" t="s">
        <v>66</v>
      </c>
      <c r="AO789" s="18" t="s">
        <v>81</v>
      </c>
      <c r="AP789" s="18" t="s">
        <v>96</v>
      </c>
      <c r="AQ789" s="18" t="s">
        <v>107</v>
      </c>
      <c r="AR789" s="18" t="s">
        <v>118</v>
      </c>
      <c r="AS789" s="18" t="s">
        <v>267</v>
      </c>
      <c r="AT789" s="18"/>
      <c r="AU789" s="6"/>
      <c r="AV789" s="36">
        <f>+VLOOKUP(AN789,Leyenda!$B$30:$E$34,3,FALSE)</f>
        <v>1</v>
      </c>
      <c r="AW789" s="36">
        <f>+VLOOKUP('2. Logging Brejo Seco'!AO789,Meteorizacion,3,FALSE)</f>
        <v>0</v>
      </c>
      <c r="AX789" s="36">
        <f>+VLOOKUP('2. Logging Brejo Seco'!AP789,Apertura,3,FALSE)</f>
        <v>1</v>
      </c>
      <c r="AY789" s="36">
        <f>+VLOOKUP('2. Logging Brejo Seco'!AQ789,Leyenda!$B$55:$D$59,3,FALSE)</f>
        <v>3</v>
      </c>
      <c r="AZ789" s="36">
        <f>+VLOOKUP('2. Logging Brejo Seco'!AR789,Relleno,3,FALSE)</f>
        <v>2</v>
      </c>
      <c r="BA789" s="36">
        <f t="shared" si="293"/>
        <v>7</v>
      </c>
      <c r="BB789" s="50">
        <f t="shared" si="294"/>
        <v>0</v>
      </c>
      <c r="BC789" s="49">
        <f>VLOOKUP(AH789,Leyenda!$B$4:$D$10,3,FALSE)</f>
        <v>2</v>
      </c>
      <c r="BD789" s="50">
        <f t="shared" si="295"/>
        <v>5</v>
      </c>
      <c r="BE789" s="50">
        <f t="shared" si="296"/>
        <v>7</v>
      </c>
      <c r="BF789" s="50">
        <f>VLOOKUP(AS789,Leyenda!$B$70:$D$75,3,FALSE)</f>
        <v>15</v>
      </c>
      <c r="BG789" s="110">
        <f t="shared" si="297"/>
        <v>10.5</v>
      </c>
      <c r="BH789" s="110">
        <f>VLOOKUP(AG789,Leyenda!$B$4:$E$10,4,FALSE)</f>
        <v>2</v>
      </c>
      <c r="BI789" s="67">
        <f t="shared" si="298"/>
        <v>5</v>
      </c>
      <c r="BJ789" s="110">
        <f t="shared" si="299"/>
        <v>0</v>
      </c>
      <c r="BK789" s="110">
        <f>+VLOOKUP('2. Logging Brejo Seco'!AP789,Leyenda!$B$47:$E$51,4,FALSE)</f>
        <v>1</v>
      </c>
      <c r="BL789" s="110">
        <f>+VLOOKUP('2. Logging Brejo Seco'!AQ789,Leyenda!$B$55:$E$59,4,FALSE)</f>
        <v>3</v>
      </c>
      <c r="BM789" s="110">
        <f>+VLOOKUP('2. Logging Brejo Seco'!AR789,Leyenda!$B$63:$E$67,3,FALSE)</f>
        <v>2</v>
      </c>
      <c r="BN789" s="110">
        <f>+VLOOKUP('2. Logging Brejo Seco'!AO789,Leyenda!$B$39:$E$43,4,FALSE)</f>
        <v>0</v>
      </c>
      <c r="BO789" s="110">
        <f>+VLOOKUP('2. Logging Brejo Seco'!AN789,Leyenda!$B$30:$E$34,4,FALSE)</f>
        <v>1</v>
      </c>
      <c r="BP789" s="110">
        <f>VLOOKUP(AS789,Leyenda!$B$71:$E$75,4,FALSE)</f>
        <v>10</v>
      </c>
      <c r="BQ789" s="110">
        <f t="shared" si="300"/>
        <v>24</v>
      </c>
      <c r="BR789" s="36">
        <f t="shared" si="301"/>
        <v>29</v>
      </c>
      <c r="BS789" s="240">
        <f t="shared" si="307"/>
        <v>0.63333333333333419</v>
      </c>
      <c r="BT789" s="6"/>
    </row>
    <row r="790" spans="1:72" x14ac:dyDescent="0.25">
      <c r="A790" s="18" t="s">
        <v>6</v>
      </c>
      <c r="B790" s="18">
        <v>2024</v>
      </c>
      <c r="C790" s="18" t="s">
        <v>138</v>
      </c>
      <c r="D790" s="18" t="s">
        <v>659</v>
      </c>
      <c r="E790" s="3">
        <v>20</v>
      </c>
      <c r="F790" s="3">
        <v>20</v>
      </c>
      <c r="G790" s="18" t="s">
        <v>156</v>
      </c>
      <c r="H790" s="3">
        <v>40</v>
      </c>
      <c r="I790" s="3" t="s">
        <v>757</v>
      </c>
      <c r="J790" s="3"/>
      <c r="K790" s="18">
        <f t="shared" si="305"/>
        <v>25.6</v>
      </c>
      <c r="L790" s="183">
        <v>25.95</v>
      </c>
      <c r="M790" s="4">
        <f t="shared" ref="M790:M845" si="313">+L790-K790</f>
        <v>0.34999999999999787</v>
      </c>
      <c r="N790" s="113">
        <f t="shared" si="312"/>
        <v>0.65714285714286114</v>
      </c>
      <c r="O790" s="5">
        <f t="shared" si="303"/>
        <v>0.34285714285713886</v>
      </c>
      <c r="P790" s="18">
        <v>0.23</v>
      </c>
      <c r="Q790" s="182"/>
      <c r="R790" s="182"/>
      <c r="S790" s="182"/>
      <c r="T790" s="204">
        <v>0.23</v>
      </c>
      <c r="U790" s="204">
        <v>0</v>
      </c>
      <c r="V790" s="203">
        <f t="shared" si="291"/>
        <v>0</v>
      </c>
      <c r="W790" s="183"/>
      <c r="X790" s="183"/>
      <c r="Y790" s="183">
        <v>8</v>
      </c>
      <c r="Z790" s="31">
        <f t="shared" si="308"/>
        <v>43.74999999999973</v>
      </c>
      <c r="AA790" s="6"/>
      <c r="AB790" s="6"/>
      <c r="AC790" s="6"/>
      <c r="AD790" s="6"/>
      <c r="AE790" s="6"/>
      <c r="AF790" s="6"/>
      <c r="AG790" s="18" t="s">
        <v>29</v>
      </c>
      <c r="AH790" s="18" t="s">
        <v>29</v>
      </c>
      <c r="AI790" s="18" t="str">
        <f>+VLOOKUP(AH790,Leyenda!$O$4:$U$10,6,FALSE)</f>
        <v>0,25-0,35</v>
      </c>
      <c r="AJ790" s="18" t="str">
        <f>+VLOOKUP(AG790,Leyenda!$O$4:$U$10,7,FALSE)</f>
        <v>No Blasting need</v>
      </c>
      <c r="AK790" s="18">
        <f>+VLOOKUP(AJ790,Leyenda!$U$4:$V$10,2,FALSE)</f>
        <v>2</v>
      </c>
      <c r="AL790" s="18"/>
      <c r="AM790" s="18" t="s">
        <v>29</v>
      </c>
      <c r="AN790" s="18" t="s">
        <v>64</v>
      </c>
      <c r="AO790" s="18" t="s">
        <v>79</v>
      </c>
      <c r="AP790" s="18" t="s">
        <v>96</v>
      </c>
      <c r="AQ790" s="18" t="s">
        <v>107</v>
      </c>
      <c r="AR790" s="18" t="s">
        <v>118</v>
      </c>
      <c r="AS790" s="18" t="s">
        <v>267</v>
      </c>
      <c r="AT790" s="18"/>
      <c r="AU790" s="6"/>
      <c r="AV790" s="36">
        <f>+VLOOKUP(AN790,Leyenda!$B$30:$E$34,3,FALSE)</f>
        <v>2</v>
      </c>
      <c r="AW790" s="36">
        <f>+VLOOKUP('2. Logging Brejo Seco'!AO790,Meteorizacion,3,FALSE)</f>
        <v>1</v>
      </c>
      <c r="AX790" s="36">
        <f>+VLOOKUP('2. Logging Brejo Seco'!AP790,Apertura,3,FALSE)</f>
        <v>1</v>
      </c>
      <c r="AY790" s="36">
        <f>+VLOOKUP('2. Logging Brejo Seco'!AQ790,Leyenda!$B$55:$D$59,3,FALSE)</f>
        <v>3</v>
      </c>
      <c r="AZ790" s="36">
        <f>+VLOOKUP('2. Logging Brejo Seco'!AR790,Relleno,3,FALSE)</f>
        <v>2</v>
      </c>
      <c r="BA790" s="36">
        <f t="shared" si="293"/>
        <v>9</v>
      </c>
      <c r="BB790" s="50">
        <f t="shared" si="294"/>
        <v>0</v>
      </c>
      <c r="BC790" s="49">
        <f>VLOOKUP(AH790,Leyenda!$B$4:$D$10,3,FALSE)</f>
        <v>2</v>
      </c>
      <c r="BD790" s="50">
        <f t="shared" si="295"/>
        <v>5</v>
      </c>
      <c r="BE790" s="50">
        <f t="shared" si="296"/>
        <v>9</v>
      </c>
      <c r="BF790" s="50">
        <f>VLOOKUP(AS790,Leyenda!$B$70:$D$75,3,FALSE)</f>
        <v>15</v>
      </c>
      <c r="BG790" s="110">
        <f t="shared" si="297"/>
        <v>13.5</v>
      </c>
      <c r="BH790" s="110">
        <f>VLOOKUP(AG790,Leyenda!$B$4:$E$10,4,FALSE)</f>
        <v>2</v>
      </c>
      <c r="BI790" s="67">
        <f t="shared" si="298"/>
        <v>5</v>
      </c>
      <c r="BJ790" s="110">
        <f t="shared" si="299"/>
        <v>0</v>
      </c>
      <c r="BK790" s="110">
        <f>+VLOOKUP('2. Logging Brejo Seco'!AP790,Leyenda!$B$47:$E$51,4,FALSE)</f>
        <v>1</v>
      </c>
      <c r="BL790" s="110">
        <f>+VLOOKUP('2. Logging Brejo Seco'!AQ790,Leyenda!$B$55:$E$59,4,FALSE)</f>
        <v>3</v>
      </c>
      <c r="BM790" s="110">
        <f>+VLOOKUP('2. Logging Brejo Seco'!AR790,Leyenda!$B$63:$E$67,3,FALSE)</f>
        <v>2</v>
      </c>
      <c r="BN790" s="110">
        <f>+VLOOKUP('2. Logging Brejo Seco'!AO790,Leyenda!$B$39:$E$43,4,FALSE)</f>
        <v>1</v>
      </c>
      <c r="BO790" s="110">
        <f>+VLOOKUP('2. Logging Brejo Seco'!AN790,Leyenda!$B$30:$E$34,4,FALSE)</f>
        <v>3</v>
      </c>
      <c r="BP790" s="110">
        <f>VLOOKUP(AS790,Leyenda!$B$71:$E$75,4,FALSE)</f>
        <v>10</v>
      </c>
      <c r="BQ790" s="110">
        <f t="shared" si="300"/>
        <v>27</v>
      </c>
      <c r="BR790" s="36">
        <f t="shared" si="301"/>
        <v>31</v>
      </c>
      <c r="BS790" s="240">
        <f t="shared" si="307"/>
        <v>0.34285714285713886</v>
      </c>
      <c r="BT790" s="6"/>
    </row>
    <row r="791" spans="1:72" x14ac:dyDescent="0.25">
      <c r="A791" s="18" t="s">
        <v>6</v>
      </c>
      <c r="B791" s="18">
        <v>2024</v>
      </c>
      <c r="C791" s="18" t="s">
        <v>138</v>
      </c>
      <c r="D791" s="18" t="s">
        <v>659</v>
      </c>
      <c r="E791" s="3">
        <v>20</v>
      </c>
      <c r="F791" s="3">
        <v>20</v>
      </c>
      <c r="G791" s="18" t="s">
        <v>156</v>
      </c>
      <c r="H791" s="3">
        <v>40</v>
      </c>
      <c r="I791" s="3" t="s">
        <v>757</v>
      </c>
      <c r="J791" s="3"/>
      <c r="K791" s="18">
        <f t="shared" si="305"/>
        <v>25.95</v>
      </c>
      <c r="L791" s="183">
        <v>26.25</v>
      </c>
      <c r="M791" s="4">
        <f t="shared" si="313"/>
        <v>0.30000000000000071</v>
      </c>
      <c r="N791" s="113">
        <f t="shared" si="312"/>
        <v>0.5333333333333321</v>
      </c>
      <c r="O791" s="5">
        <f t="shared" si="303"/>
        <v>0.4666666666666679</v>
      </c>
      <c r="P791" s="18">
        <v>0.16</v>
      </c>
      <c r="Q791" s="182"/>
      <c r="R791" s="182"/>
      <c r="S791" s="182"/>
      <c r="T791" s="204">
        <v>0.16</v>
      </c>
      <c r="U791" s="204">
        <v>0</v>
      </c>
      <c r="V791" s="203">
        <f t="shared" si="291"/>
        <v>0</v>
      </c>
      <c r="W791" s="183"/>
      <c r="X791" s="183"/>
      <c r="Y791" s="183">
        <v>7</v>
      </c>
      <c r="Z791" s="31">
        <f t="shared" si="308"/>
        <v>42.857142857142954</v>
      </c>
      <c r="AA791" s="6"/>
      <c r="AB791" s="6"/>
      <c r="AC791" s="6"/>
      <c r="AD791" s="6"/>
      <c r="AE791" s="6"/>
      <c r="AF791" s="6"/>
      <c r="AG791" s="18" t="s">
        <v>29</v>
      </c>
      <c r="AH791" s="18" t="s">
        <v>29</v>
      </c>
      <c r="AI791" s="18" t="str">
        <f>+VLOOKUP(AH791,Leyenda!$O$4:$U$10,6,FALSE)</f>
        <v>0,25-0,35</v>
      </c>
      <c r="AJ791" s="18" t="str">
        <f>+VLOOKUP(AG791,Leyenda!$O$4:$U$10,7,FALSE)</f>
        <v>No Blasting need</v>
      </c>
      <c r="AK791" s="18">
        <f>+VLOOKUP(AJ791,Leyenda!$U$4:$V$10,2,FALSE)</f>
        <v>2</v>
      </c>
      <c r="AL791" s="18"/>
      <c r="AM791" s="18" t="s">
        <v>29</v>
      </c>
      <c r="AN791" s="18" t="s">
        <v>64</v>
      </c>
      <c r="AO791" s="18" t="s">
        <v>79</v>
      </c>
      <c r="AP791" s="18" t="s">
        <v>96</v>
      </c>
      <c r="AQ791" s="18" t="s">
        <v>107</v>
      </c>
      <c r="AR791" s="18" t="s">
        <v>118</v>
      </c>
      <c r="AS791" s="18" t="s">
        <v>267</v>
      </c>
      <c r="AT791" s="18"/>
      <c r="AU791" s="6"/>
      <c r="AV791" s="36">
        <f>+VLOOKUP(AN791,Leyenda!$B$30:$E$34,3,FALSE)</f>
        <v>2</v>
      </c>
      <c r="AW791" s="36">
        <f>+VLOOKUP('2. Logging Brejo Seco'!AO791,Meteorizacion,3,FALSE)</f>
        <v>1</v>
      </c>
      <c r="AX791" s="36">
        <f>+VLOOKUP('2. Logging Brejo Seco'!AP791,Apertura,3,FALSE)</f>
        <v>1</v>
      </c>
      <c r="AY791" s="36">
        <f>+VLOOKUP('2. Logging Brejo Seco'!AQ791,Leyenda!$B$55:$D$59,3,FALSE)</f>
        <v>3</v>
      </c>
      <c r="AZ791" s="36">
        <f>+VLOOKUP('2. Logging Brejo Seco'!AR791,Relleno,3,FALSE)</f>
        <v>2</v>
      </c>
      <c r="BA791" s="36">
        <f t="shared" si="293"/>
        <v>9</v>
      </c>
      <c r="BB791" s="50">
        <f t="shared" si="294"/>
        <v>0</v>
      </c>
      <c r="BC791" s="49">
        <f>VLOOKUP(AH791,Leyenda!$B$4:$D$10,3,FALSE)</f>
        <v>2</v>
      </c>
      <c r="BD791" s="50">
        <f t="shared" si="295"/>
        <v>5</v>
      </c>
      <c r="BE791" s="50">
        <f t="shared" si="296"/>
        <v>9</v>
      </c>
      <c r="BF791" s="50">
        <f>VLOOKUP(AS791,Leyenda!$B$70:$D$75,3,FALSE)</f>
        <v>15</v>
      </c>
      <c r="BG791" s="110">
        <f t="shared" si="297"/>
        <v>13.5</v>
      </c>
      <c r="BH791" s="110">
        <f>VLOOKUP(AG791,Leyenda!$B$4:$E$10,4,FALSE)</f>
        <v>2</v>
      </c>
      <c r="BI791" s="67">
        <f t="shared" si="298"/>
        <v>5</v>
      </c>
      <c r="BJ791" s="110">
        <f t="shared" si="299"/>
        <v>0</v>
      </c>
      <c r="BK791" s="110">
        <f>+VLOOKUP('2. Logging Brejo Seco'!AP791,Leyenda!$B$47:$E$51,4,FALSE)</f>
        <v>1</v>
      </c>
      <c r="BL791" s="110">
        <f>+VLOOKUP('2. Logging Brejo Seco'!AQ791,Leyenda!$B$55:$E$59,4,FALSE)</f>
        <v>3</v>
      </c>
      <c r="BM791" s="110">
        <f>+VLOOKUP('2. Logging Brejo Seco'!AR791,Leyenda!$B$63:$E$67,3,FALSE)</f>
        <v>2</v>
      </c>
      <c r="BN791" s="110">
        <f>+VLOOKUP('2. Logging Brejo Seco'!AO791,Leyenda!$B$39:$E$43,4,FALSE)</f>
        <v>1</v>
      </c>
      <c r="BO791" s="110">
        <f>+VLOOKUP('2. Logging Brejo Seco'!AN791,Leyenda!$B$30:$E$34,4,FALSE)</f>
        <v>3</v>
      </c>
      <c r="BP791" s="110">
        <f>VLOOKUP(AS791,Leyenda!$B$71:$E$75,4,FALSE)</f>
        <v>10</v>
      </c>
      <c r="BQ791" s="110">
        <f t="shared" si="300"/>
        <v>27</v>
      </c>
      <c r="BR791" s="36">
        <f t="shared" si="301"/>
        <v>31</v>
      </c>
      <c r="BS791" s="240">
        <f t="shared" si="307"/>
        <v>0.4666666666666679</v>
      </c>
      <c r="BT791" s="6"/>
    </row>
    <row r="792" spans="1:72" x14ac:dyDescent="0.25">
      <c r="A792" s="18" t="s">
        <v>6</v>
      </c>
      <c r="B792" s="18">
        <v>2024</v>
      </c>
      <c r="C792" s="18" t="s">
        <v>138</v>
      </c>
      <c r="D792" s="18" t="s">
        <v>659</v>
      </c>
      <c r="E792" s="3">
        <v>20</v>
      </c>
      <c r="F792" s="3">
        <v>20</v>
      </c>
      <c r="G792" s="18" t="s">
        <v>156</v>
      </c>
      <c r="H792" s="3">
        <v>40</v>
      </c>
      <c r="I792" s="3" t="s">
        <v>757</v>
      </c>
      <c r="J792" s="3"/>
      <c r="K792" s="18">
        <f t="shared" si="305"/>
        <v>26.25</v>
      </c>
      <c r="L792" s="183">
        <v>26.65</v>
      </c>
      <c r="M792" s="4">
        <f t="shared" si="313"/>
        <v>0.39999999999999858</v>
      </c>
      <c r="N792" s="113">
        <f t="shared" si="312"/>
        <v>0.62500000000000222</v>
      </c>
      <c r="O792" s="5">
        <f t="shared" si="303"/>
        <v>0.37499999999999778</v>
      </c>
      <c r="P792" s="18">
        <v>0.25</v>
      </c>
      <c r="Q792" s="182"/>
      <c r="R792" s="182"/>
      <c r="S792" s="182"/>
      <c r="T792" s="204">
        <v>0.25</v>
      </c>
      <c r="U792" s="204">
        <v>0</v>
      </c>
      <c r="V792" s="203">
        <f t="shared" ref="V792:V832" si="314">+U792/M792*100</f>
        <v>0</v>
      </c>
      <c r="W792" s="183"/>
      <c r="X792" s="183"/>
      <c r="Y792" s="183">
        <v>3</v>
      </c>
      <c r="Z792" s="31">
        <f t="shared" si="308"/>
        <v>133.33333333333286</v>
      </c>
      <c r="AA792" s="6"/>
      <c r="AB792" s="6"/>
      <c r="AC792" s="6"/>
      <c r="AD792" s="6"/>
      <c r="AE792" s="6"/>
      <c r="AF792" s="6"/>
      <c r="AG792" s="18" t="s">
        <v>29</v>
      </c>
      <c r="AH792" s="18" t="s">
        <v>29</v>
      </c>
      <c r="AI792" s="18" t="str">
        <f>+VLOOKUP(AH792,Leyenda!$O$4:$U$10,6,FALSE)</f>
        <v>0,25-0,35</v>
      </c>
      <c r="AJ792" s="18" t="str">
        <f>+VLOOKUP(AG792,Leyenda!$O$4:$U$10,7,FALSE)</f>
        <v>No Blasting need</v>
      </c>
      <c r="AK792" s="18">
        <f>+VLOOKUP(AJ792,Leyenda!$U$4:$V$10,2,FALSE)</f>
        <v>2</v>
      </c>
      <c r="AL792" s="18"/>
      <c r="AM792" s="18" t="s">
        <v>29</v>
      </c>
      <c r="AN792" s="18" t="s">
        <v>66</v>
      </c>
      <c r="AO792" s="18" t="s">
        <v>79</v>
      </c>
      <c r="AP792" s="18" t="s">
        <v>96</v>
      </c>
      <c r="AQ792" s="18" t="s">
        <v>107</v>
      </c>
      <c r="AR792" s="18" t="s">
        <v>118</v>
      </c>
      <c r="AS792" s="18" t="s">
        <v>267</v>
      </c>
      <c r="AT792" s="18"/>
      <c r="AU792" s="6"/>
      <c r="AV792" s="36">
        <f>+VLOOKUP(AN792,Leyenda!$B$30:$E$34,3,FALSE)</f>
        <v>1</v>
      </c>
      <c r="AW792" s="36">
        <f>+VLOOKUP('2. Logging Brejo Seco'!AO792,Meteorizacion,3,FALSE)</f>
        <v>1</v>
      </c>
      <c r="AX792" s="36">
        <f>+VLOOKUP('2. Logging Brejo Seco'!AP792,Apertura,3,FALSE)</f>
        <v>1</v>
      </c>
      <c r="AY792" s="36">
        <f>+VLOOKUP('2. Logging Brejo Seco'!AQ792,Leyenda!$B$55:$D$59,3,FALSE)</f>
        <v>3</v>
      </c>
      <c r="AZ792" s="36">
        <f>+VLOOKUP('2. Logging Brejo Seco'!AR792,Relleno,3,FALSE)</f>
        <v>2</v>
      </c>
      <c r="BA792" s="36">
        <f t="shared" si="293"/>
        <v>8</v>
      </c>
      <c r="BB792" s="50">
        <f t="shared" si="294"/>
        <v>0</v>
      </c>
      <c r="BC792" s="49">
        <f>VLOOKUP(AH792,Leyenda!$B$4:$D$10,3,FALSE)</f>
        <v>2</v>
      </c>
      <c r="BD792" s="50">
        <f t="shared" si="295"/>
        <v>8</v>
      </c>
      <c r="BE792" s="50">
        <f t="shared" si="296"/>
        <v>8</v>
      </c>
      <c r="BF792" s="50">
        <f>VLOOKUP(AS792,Leyenda!$B$70:$D$75,3,FALSE)</f>
        <v>15</v>
      </c>
      <c r="BG792" s="110">
        <f t="shared" si="297"/>
        <v>12</v>
      </c>
      <c r="BH792" s="110">
        <f>VLOOKUP(AG792,Leyenda!$B$4:$E$10,4,FALSE)</f>
        <v>2</v>
      </c>
      <c r="BI792" s="67">
        <f t="shared" si="298"/>
        <v>10</v>
      </c>
      <c r="BJ792" s="110">
        <f t="shared" si="299"/>
        <v>0</v>
      </c>
      <c r="BK792" s="110">
        <f>+VLOOKUP('2. Logging Brejo Seco'!AP792,Leyenda!$B$47:$E$51,4,FALSE)</f>
        <v>1</v>
      </c>
      <c r="BL792" s="110">
        <f>+VLOOKUP('2. Logging Brejo Seco'!AQ792,Leyenda!$B$55:$E$59,4,FALSE)</f>
        <v>3</v>
      </c>
      <c r="BM792" s="110">
        <f>+VLOOKUP('2. Logging Brejo Seco'!AR792,Leyenda!$B$63:$E$67,3,FALSE)</f>
        <v>2</v>
      </c>
      <c r="BN792" s="110">
        <f>+VLOOKUP('2. Logging Brejo Seco'!AO792,Leyenda!$B$39:$E$43,4,FALSE)</f>
        <v>1</v>
      </c>
      <c r="BO792" s="110">
        <f>+VLOOKUP('2. Logging Brejo Seco'!AN792,Leyenda!$B$30:$E$34,4,FALSE)</f>
        <v>1</v>
      </c>
      <c r="BP792" s="110">
        <f>VLOOKUP(AS792,Leyenda!$B$71:$E$75,4,FALSE)</f>
        <v>10</v>
      </c>
      <c r="BQ792" s="110">
        <f t="shared" si="300"/>
        <v>30</v>
      </c>
      <c r="BR792" s="36">
        <f t="shared" si="301"/>
        <v>33</v>
      </c>
      <c r="BS792" s="240">
        <f t="shared" si="307"/>
        <v>0.37499999999999778</v>
      </c>
      <c r="BT792" s="6"/>
    </row>
    <row r="793" spans="1:72" x14ac:dyDescent="0.25">
      <c r="A793" s="18" t="s">
        <v>6</v>
      </c>
      <c r="B793" s="18">
        <v>2024</v>
      </c>
      <c r="C793" s="18" t="s">
        <v>138</v>
      </c>
      <c r="D793" s="18" t="s">
        <v>659</v>
      </c>
      <c r="E793" s="3">
        <v>20</v>
      </c>
      <c r="F793" s="3">
        <v>20</v>
      </c>
      <c r="G793" s="18" t="s">
        <v>156</v>
      </c>
      <c r="H793" s="3">
        <v>40</v>
      </c>
      <c r="I793" s="3" t="s">
        <v>757</v>
      </c>
      <c r="J793" s="3"/>
      <c r="K793" s="18">
        <f t="shared" si="305"/>
        <v>26.65</v>
      </c>
      <c r="L793" s="183">
        <v>27.05</v>
      </c>
      <c r="M793" s="4">
        <f t="shared" si="313"/>
        <v>0.40000000000000213</v>
      </c>
      <c r="N793" s="113">
        <f t="shared" si="312"/>
        <v>0.59999999999999676</v>
      </c>
      <c r="O793" s="5">
        <f t="shared" si="303"/>
        <v>0.40000000000000324</v>
      </c>
      <c r="P793" s="18">
        <v>0.24</v>
      </c>
      <c r="Q793" s="182"/>
      <c r="R793" s="182"/>
      <c r="S793" s="182"/>
      <c r="T793" s="204">
        <v>0.24</v>
      </c>
      <c r="U793" s="204">
        <v>0</v>
      </c>
      <c r="V793" s="205">
        <f t="shared" si="314"/>
        <v>0</v>
      </c>
      <c r="W793" s="183"/>
      <c r="X793" s="183"/>
      <c r="Y793" s="183">
        <v>7</v>
      </c>
      <c r="Z793" s="31">
        <f t="shared" si="308"/>
        <v>57.142857142857451</v>
      </c>
      <c r="AA793" s="6"/>
      <c r="AB793" s="6"/>
      <c r="AC793" s="6"/>
      <c r="AD793" s="6"/>
      <c r="AE793" s="6"/>
      <c r="AF793" s="6"/>
      <c r="AG793" s="18" t="s">
        <v>29</v>
      </c>
      <c r="AH793" s="18" t="s">
        <v>29</v>
      </c>
      <c r="AI793" s="18" t="str">
        <f>+VLOOKUP(AH793,Leyenda!$O$4:$U$10,6,FALSE)</f>
        <v>0,25-0,35</v>
      </c>
      <c r="AJ793" s="18" t="str">
        <f>+VLOOKUP(AG793,Leyenda!$O$4:$U$10,7,FALSE)</f>
        <v>No Blasting need</v>
      </c>
      <c r="AK793" s="18">
        <f>+VLOOKUP(AJ793,Leyenda!$U$4:$V$10,2,FALSE)</f>
        <v>2</v>
      </c>
      <c r="AL793" s="18"/>
      <c r="AM793" s="18" t="s">
        <v>29</v>
      </c>
      <c r="AN793" s="18" t="s">
        <v>66</v>
      </c>
      <c r="AO793" s="18" t="s">
        <v>79</v>
      </c>
      <c r="AP793" s="18" t="s">
        <v>96</v>
      </c>
      <c r="AQ793" s="18" t="s">
        <v>107</v>
      </c>
      <c r="AR793" s="18" t="s">
        <v>118</v>
      </c>
      <c r="AS793" s="18" t="s">
        <v>267</v>
      </c>
      <c r="AT793" s="18"/>
      <c r="AU793" s="6"/>
      <c r="AV793" s="36">
        <f>+VLOOKUP(AN793,Leyenda!$B$30:$E$34,3,FALSE)</f>
        <v>1</v>
      </c>
      <c r="AW793" s="36">
        <f>+VLOOKUP('2. Logging Brejo Seco'!AO793,Meteorizacion,3,FALSE)</f>
        <v>1</v>
      </c>
      <c r="AX793" s="36">
        <f>+VLOOKUP('2. Logging Brejo Seco'!AP793,Apertura,3,FALSE)</f>
        <v>1</v>
      </c>
      <c r="AY793" s="36">
        <f>+VLOOKUP('2. Logging Brejo Seco'!AQ793,Leyenda!$B$55:$D$59,3,FALSE)</f>
        <v>3</v>
      </c>
      <c r="AZ793" s="36">
        <f>+VLOOKUP('2. Logging Brejo Seco'!AR793,Relleno,3,FALSE)</f>
        <v>2</v>
      </c>
      <c r="BA793" s="36">
        <f t="shared" si="293"/>
        <v>8</v>
      </c>
      <c r="BB793" s="50">
        <f t="shared" si="294"/>
        <v>0</v>
      </c>
      <c r="BC793" s="49">
        <f>VLOOKUP(AH793,Leyenda!$B$4:$D$10,3,FALSE)</f>
        <v>2</v>
      </c>
      <c r="BD793" s="50">
        <f t="shared" si="295"/>
        <v>6</v>
      </c>
      <c r="BE793" s="50">
        <f t="shared" si="296"/>
        <v>8</v>
      </c>
      <c r="BF793" s="50">
        <f>VLOOKUP(AS793,Leyenda!$B$70:$D$75,3,FALSE)</f>
        <v>15</v>
      </c>
      <c r="BG793" s="110">
        <f t="shared" si="297"/>
        <v>12</v>
      </c>
      <c r="BH793" s="110">
        <f>VLOOKUP(AG793,Leyenda!$B$4:$E$10,4,FALSE)</f>
        <v>2</v>
      </c>
      <c r="BI793" s="67">
        <f t="shared" si="298"/>
        <v>5</v>
      </c>
      <c r="BJ793" s="110">
        <f t="shared" si="299"/>
        <v>0</v>
      </c>
      <c r="BK793" s="110">
        <f>+VLOOKUP('2. Logging Brejo Seco'!AP793,Leyenda!$B$47:$E$51,4,FALSE)</f>
        <v>1</v>
      </c>
      <c r="BL793" s="110">
        <f>+VLOOKUP('2. Logging Brejo Seco'!AQ793,Leyenda!$B$55:$E$59,4,FALSE)</f>
        <v>3</v>
      </c>
      <c r="BM793" s="110">
        <f>+VLOOKUP('2. Logging Brejo Seco'!AR793,Leyenda!$B$63:$E$67,3,FALSE)</f>
        <v>2</v>
      </c>
      <c r="BN793" s="110">
        <f>+VLOOKUP('2. Logging Brejo Seco'!AO793,Leyenda!$B$39:$E$43,4,FALSE)</f>
        <v>1</v>
      </c>
      <c r="BO793" s="110">
        <f>+VLOOKUP('2. Logging Brejo Seco'!AN793,Leyenda!$B$30:$E$34,4,FALSE)</f>
        <v>1</v>
      </c>
      <c r="BP793" s="110">
        <f>VLOOKUP(AS793,Leyenda!$B$71:$E$75,4,FALSE)</f>
        <v>10</v>
      </c>
      <c r="BQ793" s="110">
        <f t="shared" si="300"/>
        <v>25</v>
      </c>
      <c r="BR793" s="36">
        <f t="shared" si="301"/>
        <v>31</v>
      </c>
      <c r="BS793" s="240">
        <f t="shared" si="307"/>
        <v>0.40000000000000324</v>
      </c>
      <c r="BT793" s="6"/>
    </row>
    <row r="794" spans="1:72" x14ac:dyDescent="0.25">
      <c r="A794" s="18" t="s">
        <v>6</v>
      </c>
      <c r="B794" s="18">
        <v>2024</v>
      </c>
      <c r="C794" s="18" t="s">
        <v>138</v>
      </c>
      <c r="D794" s="18" t="s">
        <v>659</v>
      </c>
      <c r="E794" s="3">
        <v>20</v>
      </c>
      <c r="F794" s="3">
        <v>40</v>
      </c>
      <c r="G794" s="18" t="s">
        <v>153</v>
      </c>
      <c r="H794" s="244">
        <f t="shared" ref="H794:H798" si="315">+F794</f>
        <v>40</v>
      </c>
      <c r="I794" s="244" t="s">
        <v>757</v>
      </c>
      <c r="J794" s="244"/>
      <c r="K794" s="18">
        <f t="shared" si="305"/>
        <v>27.05</v>
      </c>
      <c r="L794" s="183">
        <v>27.7</v>
      </c>
      <c r="M794" s="4">
        <f t="shared" si="313"/>
        <v>0.64999999999999858</v>
      </c>
      <c r="N794" s="113">
        <f t="shared" si="312"/>
        <v>0.73846153846154006</v>
      </c>
      <c r="O794" s="5">
        <f t="shared" si="303"/>
        <v>0.26153846153845994</v>
      </c>
      <c r="P794" s="18">
        <v>0.48</v>
      </c>
      <c r="Q794" s="182"/>
      <c r="R794" s="182"/>
      <c r="S794" s="182"/>
      <c r="T794" s="204">
        <v>0.48</v>
      </c>
      <c r="U794" s="204">
        <v>0</v>
      </c>
      <c r="V794" s="183">
        <f t="shared" si="314"/>
        <v>0</v>
      </c>
      <c r="W794" s="183"/>
      <c r="X794" s="183"/>
      <c r="Y794" s="183">
        <v>9</v>
      </c>
      <c r="Z794" s="31">
        <f t="shared" si="308"/>
        <v>72.222222222222072</v>
      </c>
      <c r="AA794" s="6"/>
      <c r="AB794" s="6"/>
      <c r="AC794" s="6"/>
      <c r="AD794" s="6"/>
      <c r="AE794" s="6"/>
      <c r="AF794" s="6"/>
      <c r="AG794" s="18" t="s">
        <v>27</v>
      </c>
      <c r="AH794" s="18" t="s">
        <v>27</v>
      </c>
      <c r="AI794" s="18" t="str">
        <f>+VLOOKUP(AH794,Leyenda!$O$4:$U$10,6,FALSE)</f>
        <v>0,35-0,50</v>
      </c>
      <c r="AJ794" s="18" t="str">
        <f>+VLOOKUP(AG794,Leyenda!$O$4:$U$10,7,FALSE)</f>
        <v>Easy to blast</v>
      </c>
      <c r="AK794" s="18">
        <f>+VLOOKUP(AJ794,Leyenda!$U$4:$V$10,2,FALSE)</f>
        <v>3</v>
      </c>
      <c r="AL794" s="18"/>
      <c r="AM794" s="18" t="s">
        <v>27</v>
      </c>
      <c r="AN794" s="18" t="s">
        <v>66</v>
      </c>
      <c r="AO794" s="18" t="s">
        <v>79</v>
      </c>
      <c r="AP794" s="18" t="s">
        <v>96</v>
      </c>
      <c r="AQ794" s="18" t="s">
        <v>107</v>
      </c>
      <c r="AR794" s="18" t="s">
        <v>118</v>
      </c>
      <c r="AS794" s="18" t="s">
        <v>267</v>
      </c>
      <c r="AT794" s="18"/>
      <c r="AU794" s="6"/>
      <c r="AV794" s="18">
        <f>+VLOOKUP(AN794,Leyenda!$B$30:$E$34,3,FALSE)</f>
        <v>1</v>
      </c>
      <c r="AW794" s="18">
        <f>+VLOOKUP('2. Logging Brejo Seco'!AO794,Meteorizacion,3,FALSE)</f>
        <v>1</v>
      </c>
      <c r="AX794" s="18">
        <f>+VLOOKUP('2. Logging Brejo Seco'!AP794,Apertura,3,FALSE)</f>
        <v>1</v>
      </c>
      <c r="AY794" s="18">
        <f>+VLOOKUP('2. Logging Brejo Seco'!AQ794,Leyenda!$B$55:$D$59,3,FALSE)</f>
        <v>3</v>
      </c>
      <c r="AZ794" s="18">
        <f>+VLOOKUP('2. Logging Brejo Seco'!AR794,Relleno,3,FALSE)</f>
        <v>2</v>
      </c>
      <c r="BA794" s="18">
        <f t="shared" si="293"/>
        <v>8</v>
      </c>
      <c r="BB794" s="49">
        <f t="shared" si="294"/>
        <v>0</v>
      </c>
      <c r="BC794" s="49">
        <f>VLOOKUP(AH794,Leyenda!$B$4:$D$10,3,FALSE)</f>
        <v>4</v>
      </c>
      <c r="BD794" s="49">
        <f t="shared" si="295"/>
        <v>6</v>
      </c>
      <c r="BE794" s="49">
        <f t="shared" si="296"/>
        <v>8</v>
      </c>
      <c r="BF794" s="49">
        <f>VLOOKUP(AS794,Leyenda!$B$70:$D$75,3,FALSE)</f>
        <v>15</v>
      </c>
      <c r="BG794" s="67">
        <f t="shared" si="297"/>
        <v>12</v>
      </c>
      <c r="BH794" s="67">
        <f>VLOOKUP(AG794,Leyenda!$B$4:$E$10,4,FALSE)</f>
        <v>4</v>
      </c>
      <c r="BI794" s="67">
        <f t="shared" si="298"/>
        <v>6</v>
      </c>
      <c r="BJ794" s="67">
        <f t="shared" si="299"/>
        <v>0</v>
      </c>
      <c r="BK794" s="67">
        <f>+VLOOKUP('2. Logging Brejo Seco'!AP794,Leyenda!$B$47:$E$51,4,FALSE)</f>
        <v>1</v>
      </c>
      <c r="BL794" s="67">
        <f>+VLOOKUP('2. Logging Brejo Seco'!AQ794,Leyenda!$B$55:$E$59,4,FALSE)</f>
        <v>3</v>
      </c>
      <c r="BM794" s="67">
        <f>+VLOOKUP('2. Logging Brejo Seco'!AR794,Leyenda!$B$63:$E$67,3,FALSE)</f>
        <v>2</v>
      </c>
      <c r="BN794" s="67">
        <f>+VLOOKUP('2. Logging Brejo Seco'!AO794,Leyenda!$B$39:$E$43,4,FALSE)</f>
        <v>1</v>
      </c>
      <c r="BO794" s="67">
        <f>+VLOOKUP('2. Logging Brejo Seco'!AN794,Leyenda!$B$30:$E$34,4,FALSE)</f>
        <v>1</v>
      </c>
      <c r="BP794" s="67">
        <f>VLOOKUP(AS794,Leyenda!$B$71:$E$75,4,FALSE)</f>
        <v>10</v>
      </c>
      <c r="BQ794" s="67">
        <f t="shared" si="300"/>
        <v>28</v>
      </c>
      <c r="BR794" s="18">
        <f t="shared" si="301"/>
        <v>33</v>
      </c>
      <c r="BS794" s="240">
        <f t="shared" si="307"/>
        <v>0.26153846153845994</v>
      </c>
      <c r="BT794" s="6"/>
    </row>
    <row r="795" spans="1:72" x14ac:dyDescent="0.25">
      <c r="A795" s="18" t="s">
        <v>6</v>
      </c>
      <c r="B795" s="18">
        <v>2024</v>
      </c>
      <c r="C795" s="18" t="s">
        <v>138</v>
      </c>
      <c r="D795" s="18" t="s">
        <v>659</v>
      </c>
      <c r="E795" s="3">
        <v>20</v>
      </c>
      <c r="F795" s="3">
        <v>40</v>
      </c>
      <c r="G795" s="18" t="s">
        <v>153</v>
      </c>
      <c r="H795" s="244">
        <f t="shared" si="315"/>
        <v>40</v>
      </c>
      <c r="I795" s="244" t="s">
        <v>757</v>
      </c>
      <c r="J795" s="244"/>
      <c r="K795" s="18">
        <f t="shared" si="305"/>
        <v>27.7</v>
      </c>
      <c r="L795" s="183">
        <v>28.25</v>
      </c>
      <c r="M795" s="4">
        <f t="shared" si="313"/>
        <v>0.55000000000000071</v>
      </c>
      <c r="N795" s="113">
        <f t="shared" si="312"/>
        <v>0.61818181818181739</v>
      </c>
      <c r="O795" s="5">
        <f t="shared" si="303"/>
        <v>0.38181818181818261</v>
      </c>
      <c r="P795" s="18">
        <v>0.34</v>
      </c>
      <c r="Q795" s="182"/>
      <c r="R795" s="182"/>
      <c r="S795" s="182"/>
      <c r="T795" s="204">
        <v>0.34</v>
      </c>
      <c r="U795" s="204">
        <v>0</v>
      </c>
      <c r="V795" s="183">
        <f t="shared" si="314"/>
        <v>0</v>
      </c>
      <c r="W795" s="183"/>
      <c r="X795" s="183"/>
      <c r="Y795" s="183">
        <v>4</v>
      </c>
      <c r="Z795" s="31">
        <f t="shared" si="308"/>
        <v>137.50000000000017</v>
      </c>
      <c r="AA795" s="6"/>
      <c r="AB795" s="6"/>
      <c r="AC795" s="6"/>
      <c r="AD795" s="6"/>
      <c r="AE795" s="6"/>
      <c r="AF795" s="6"/>
      <c r="AG795" s="18" t="s">
        <v>27</v>
      </c>
      <c r="AH795" s="18" t="s">
        <v>27</v>
      </c>
      <c r="AI795" s="18" t="str">
        <f>+VLOOKUP(AH795,Leyenda!$O$4:$U$10,6,FALSE)</f>
        <v>0,35-0,50</v>
      </c>
      <c r="AJ795" s="18" t="str">
        <f>+VLOOKUP(AG795,Leyenda!$O$4:$U$10,7,FALSE)</f>
        <v>Easy to blast</v>
      </c>
      <c r="AK795" s="18">
        <f>+VLOOKUP(AJ795,Leyenda!$U$4:$V$10,2,FALSE)</f>
        <v>3</v>
      </c>
      <c r="AL795" s="18"/>
      <c r="AM795" s="18" t="s">
        <v>27</v>
      </c>
      <c r="AN795" s="18" t="s">
        <v>66</v>
      </c>
      <c r="AO795" s="18" t="s">
        <v>79</v>
      </c>
      <c r="AP795" s="18" t="s">
        <v>96</v>
      </c>
      <c r="AQ795" s="18" t="s">
        <v>107</v>
      </c>
      <c r="AR795" s="18" t="s">
        <v>118</v>
      </c>
      <c r="AS795" s="18" t="s">
        <v>267</v>
      </c>
      <c r="AT795" s="18"/>
      <c r="AU795" s="6"/>
      <c r="AV795" s="18">
        <f>+VLOOKUP(AN795,Leyenda!$B$30:$E$34,3,FALSE)</f>
        <v>1</v>
      </c>
      <c r="AW795" s="18">
        <f>+VLOOKUP('2. Logging Brejo Seco'!AO795,Meteorizacion,3,FALSE)</f>
        <v>1</v>
      </c>
      <c r="AX795" s="18">
        <f>+VLOOKUP('2. Logging Brejo Seco'!AP795,Apertura,3,FALSE)</f>
        <v>1</v>
      </c>
      <c r="AY795" s="18">
        <f>+VLOOKUP('2. Logging Brejo Seco'!AQ795,Leyenda!$B$55:$D$59,3,FALSE)</f>
        <v>3</v>
      </c>
      <c r="AZ795" s="18">
        <f>+VLOOKUP('2. Logging Brejo Seco'!AR795,Relleno,3,FALSE)</f>
        <v>2</v>
      </c>
      <c r="BA795" s="18">
        <f t="shared" si="293"/>
        <v>8</v>
      </c>
      <c r="BB795" s="49">
        <f t="shared" si="294"/>
        <v>0</v>
      </c>
      <c r="BC795" s="49">
        <f>VLOOKUP(AH795,Leyenda!$B$4:$D$10,3,FALSE)</f>
        <v>4</v>
      </c>
      <c r="BD795" s="49">
        <f t="shared" si="295"/>
        <v>8</v>
      </c>
      <c r="BE795" s="49">
        <f t="shared" si="296"/>
        <v>8</v>
      </c>
      <c r="BF795" s="49">
        <f>VLOOKUP(AS795,Leyenda!$B$70:$D$75,3,FALSE)</f>
        <v>15</v>
      </c>
      <c r="BG795" s="67">
        <f t="shared" si="297"/>
        <v>12</v>
      </c>
      <c r="BH795" s="67">
        <f>VLOOKUP(AG795,Leyenda!$B$4:$E$10,4,FALSE)</f>
        <v>4</v>
      </c>
      <c r="BI795" s="67">
        <f t="shared" si="298"/>
        <v>10</v>
      </c>
      <c r="BJ795" s="67">
        <f t="shared" si="299"/>
        <v>0</v>
      </c>
      <c r="BK795" s="67">
        <f>+VLOOKUP('2. Logging Brejo Seco'!AP795,Leyenda!$B$47:$E$51,4,FALSE)</f>
        <v>1</v>
      </c>
      <c r="BL795" s="67">
        <f>+VLOOKUP('2. Logging Brejo Seco'!AQ795,Leyenda!$B$55:$E$59,4,FALSE)</f>
        <v>3</v>
      </c>
      <c r="BM795" s="67">
        <f>+VLOOKUP('2. Logging Brejo Seco'!AR795,Leyenda!$B$63:$E$67,3,FALSE)</f>
        <v>2</v>
      </c>
      <c r="BN795" s="67">
        <f>+VLOOKUP('2. Logging Brejo Seco'!AO795,Leyenda!$B$39:$E$43,4,FALSE)</f>
        <v>1</v>
      </c>
      <c r="BO795" s="67">
        <f>+VLOOKUP('2. Logging Brejo Seco'!AN795,Leyenda!$B$30:$E$34,4,FALSE)</f>
        <v>1</v>
      </c>
      <c r="BP795" s="67">
        <f>VLOOKUP(AS795,Leyenda!$B$71:$E$75,4,FALSE)</f>
        <v>10</v>
      </c>
      <c r="BQ795" s="67">
        <f t="shared" si="300"/>
        <v>32</v>
      </c>
      <c r="BR795" s="18">
        <f t="shared" si="301"/>
        <v>35</v>
      </c>
      <c r="BS795" s="240">
        <f t="shared" si="307"/>
        <v>0.38181818181818261</v>
      </c>
      <c r="BT795" s="6"/>
    </row>
    <row r="796" spans="1:72" x14ac:dyDescent="0.25">
      <c r="A796" s="18" t="s">
        <v>6</v>
      </c>
      <c r="B796" s="18">
        <v>2024</v>
      </c>
      <c r="C796" s="18" t="s">
        <v>138</v>
      </c>
      <c r="D796" s="18" t="s">
        <v>659</v>
      </c>
      <c r="E796" s="3">
        <v>20</v>
      </c>
      <c r="F796" s="3">
        <v>40</v>
      </c>
      <c r="G796" s="18" t="s">
        <v>153</v>
      </c>
      <c r="H796" s="244">
        <f t="shared" si="315"/>
        <v>40</v>
      </c>
      <c r="I796" s="244" t="s">
        <v>757</v>
      </c>
      <c r="J796" s="244"/>
      <c r="K796" s="18">
        <f t="shared" si="305"/>
        <v>28.25</v>
      </c>
      <c r="L796" s="183">
        <v>28.85</v>
      </c>
      <c r="M796" s="4">
        <f t="shared" si="313"/>
        <v>0.60000000000000142</v>
      </c>
      <c r="N796" s="113">
        <f t="shared" si="312"/>
        <v>0.5333333333333321</v>
      </c>
      <c r="O796" s="5">
        <f t="shared" si="303"/>
        <v>0.4666666666666679</v>
      </c>
      <c r="P796" s="18">
        <v>0.32</v>
      </c>
      <c r="Q796" s="182"/>
      <c r="R796" s="182"/>
      <c r="S796" s="182"/>
      <c r="T796" s="204">
        <v>0.34</v>
      </c>
      <c r="U796" s="204">
        <v>0.26</v>
      </c>
      <c r="V796" s="183">
        <f t="shared" si="314"/>
        <v>43.333333333333236</v>
      </c>
      <c r="W796" s="183"/>
      <c r="X796" s="183"/>
      <c r="Y796" s="183">
        <v>5</v>
      </c>
      <c r="Z796" s="31">
        <f t="shared" si="308"/>
        <v>120.00000000000027</v>
      </c>
      <c r="AA796" s="6"/>
      <c r="AB796" s="6"/>
      <c r="AC796" s="6"/>
      <c r="AD796" s="6"/>
      <c r="AE796" s="6"/>
      <c r="AF796" s="6"/>
      <c r="AG796" s="18" t="s">
        <v>27</v>
      </c>
      <c r="AH796" s="18" t="s">
        <v>27</v>
      </c>
      <c r="AI796" s="18" t="str">
        <f>+VLOOKUP(AH796,Leyenda!$O$4:$U$10,6,FALSE)</f>
        <v>0,35-0,50</v>
      </c>
      <c r="AJ796" s="18" t="str">
        <f>+VLOOKUP(AG796,Leyenda!$O$4:$U$10,7,FALSE)</f>
        <v>Easy to blast</v>
      </c>
      <c r="AK796" s="18">
        <f>+VLOOKUP(AJ796,Leyenda!$U$4:$V$10,2,FALSE)</f>
        <v>3</v>
      </c>
      <c r="AL796" s="18"/>
      <c r="AM796" s="18" t="s">
        <v>27</v>
      </c>
      <c r="AN796" s="18" t="s">
        <v>64</v>
      </c>
      <c r="AO796" s="18" t="s">
        <v>79</v>
      </c>
      <c r="AP796" s="18" t="s">
        <v>92</v>
      </c>
      <c r="AQ796" s="18" t="s">
        <v>107</v>
      </c>
      <c r="AR796" s="18" t="s">
        <v>118</v>
      </c>
      <c r="AS796" s="18" t="s">
        <v>267</v>
      </c>
      <c r="AT796" s="18"/>
      <c r="AU796" s="6"/>
      <c r="AV796" s="18">
        <f>+VLOOKUP(AN796,Leyenda!$B$30:$E$34,3,FALSE)</f>
        <v>2</v>
      </c>
      <c r="AW796" s="18">
        <f>+VLOOKUP('2. Logging Brejo Seco'!AO796,Meteorizacion,3,FALSE)</f>
        <v>1</v>
      </c>
      <c r="AX796" s="18">
        <f>+VLOOKUP('2. Logging Brejo Seco'!AP796,Apertura,3,FALSE)</f>
        <v>3</v>
      </c>
      <c r="AY796" s="18">
        <f>+VLOOKUP('2. Logging Brejo Seco'!AQ796,Leyenda!$B$55:$D$59,3,FALSE)</f>
        <v>3</v>
      </c>
      <c r="AZ796" s="18">
        <f>+VLOOKUP('2. Logging Brejo Seco'!AR796,Relleno,3,FALSE)</f>
        <v>2</v>
      </c>
      <c r="BA796" s="18">
        <f t="shared" si="293"/>
        <v>11</v>
      </c>
      <c r="BB796" s="49">
        <f t="shared" si="294"/>
        <v>9</v>
      </c>
      <c r="BC796" s="49">
        <f>VLOOKUP(AH796,Leyenda!$B$4:$D$10,3,FALSE)</f>
        <v>4</v>
      </c>
      <c r="BD796" s="49">
        <f t="shared" si="295"/>
        <v>8</v>
      </c>
      <c r="BE796" s="49">
        <f t="shared" si="296"/>
        <v>11</v>
      </c>
      <c r="BF796" s="49">
        <f>VLOOKUP(AS796,Leyenda!$B$70:$D$75,3,FALSE)</f>
        <v>15</v>
      </c>
      <c r="BG796" s="67">
        <f t="shared" si="297"/>
        <v>38.166666666666615</v>
      </c>
      <c r="BH796" s="67">
        <f>VLOOKUP(AG796,Leyenda!$B$4:$E$10,4,FALSE)</f>
        <v>4</v>
      </c>
      <c r="BI796" s="67">
        <f t="shared" si="298"/>
        <v>9</v>
      </c>
      <c r="BJ796" s="67">
        <f t="shared" si="299"/>
        <v>9</v>
      </c>
      <c r="BK796" s="67">
        <f>+VLOOKUP('2. Logging Brejo Seco'!AP796,Leyenda!$B$47:$E$51,4,FALSE)</f>
        <v>3</v>
      </c>
      <c r="BL796" s="67">
        <f>+VLOOKUP('2. Logging Brejo Seco'!AQ796,Leyenda!$B$55:$E$59,4,FALSE)</f>
        <v>3</v>
      </c>
      <c r="BM796" s="67">
        <f>+VLOOKUP('2. Logging Brejo Seco'!AR796,Leyenda!$B$63:$E$67,3,FALSE)</f>
        <v>2</v>
      </c>
      <c r="BN796" s="67">
        <f>+VLOOKUP('2. Logging Brejo Seco'!AO796,Leyenda!$B$39:$E$43,4,FALSE)</f>
        <v>1</v>
      </c>
      <c r="BO796" s="67">
        <f>+VLOOKUP('2. Logging Brejo Seco'!AN796,Leyenda!$B$30:$E$34,4,FALSE)</f>
        <v>3</v>
      </c>
      <c r="BP796" s="67">
        <f>VLOOKUP(AS796,Leyenda!$B$71:$E$75,4,FALSE)</f>
        <v>10</v>
      </c>
      <c r="BQ796" s="67">
        <f t="shared" si="300"/>
        <v>44</v>
      </c>
      <c r="BR796" s="18">
        <f t="shared" si="301"/>
        <v>47</v>
      </c>
      <c r="BS796" s="240">
        <f t="shared" si="307"/>
        <v>0.4666666666666679</v>
      </c>
      <c r="BT796" s="6"/>
    </row>
    <row r="797" spans="1:72" x14ac:dyDescent="0.25">
      <c r="A797" s="18" t="s">
        <v>6</v>
      </c>
      <c r="B797" s="18">
        <v>2024</v>
      </c>
      <c r="C797" s="18" t="s">
        <v>138</v>
      </c>
      <c r="D797" s="18" t="s">
        <v>659</v>
      </c>
      <c r="E797" s="3">
        <v>20</v>
      </c>
      <c r="F797" s="3">
        <v>40</v>
      </c>
      <c r="G797" s="18" t="s">
        <v>153</v>
      </c>
      <c r="H797" s="244">
        <f t="shared" si="315"/>
        <v>40</v>
      </c>
      <c r="I797" s="244" t="s">
        <v>757</v>
      </c>
      <c r="J797" s="244"/>
      <c r="K797" s="18">
        <f t="shared" si="305"/>
        <v>28.85</v>
      </c>
      <c r="L797" s="183">
        <v>29.65</v>
      </c>
      <c r="M797" s="4">
        <f t="shared" si="313"/>
        <v>0.79999999999999716</v>
      </c>
      <c r="N797" s="113">
        <f t="shared" si="312"/>
        <v>0.92500000000000326</v>
      </c>
      <c r="O797" s="5">
        <f t="shared" si="303"/>
        <v>7.4999999999996736E-2</v>
      </c>
      <c r="P797" s="18">
        <v>0.74</v>
      </c>
      <c r="Q797" s="182"/>
      <c r="R797" s="182"/>
      <c r="S797" s="182"/>
      <c r="T797" s="204">
        <f>0.7+0.04</f>
        <v>0.74</v>
      </c>
      <c r="U797" s="204">
        <v>0.13</v>
      </c>
      <c r="V797" s="183">
        <f t="shared" si="314"/>
        <v>16.25000000000006</v>
      </c>
      <c r="W797" s="183"/>
      <c r="X797" s="183"/>
      <c r="Y797" s="183">
        <v>5</v>
      </c>
      <c r="Z797" s="31">
        <f t="shared" si="308"/>
        <v>159.99999999999943</v>
      </c>
      <c r="AA797" s="6"/>
      <c r="AB797" s="6"/>
      <c r="AC797" s="6"/>
      <c r="AD797" s="6"/>
      <c r="AE797" s="6"/>
      <c r="AF797" s="6"/>
      <c r="AG797" s="3" t="s">
        <v>29</v>
      </c>
      <c r="AH797" s="3" t="s">
        <v>29</v>
      </c>
      <c r="AI797" s="18" t="str">
        <f>+VLOOKUP(AH797,Leyenda!$O$4:$U$10,6,FALSE)</f>
        <v>0,25-0,35</v>
      </c>
      <c r="AJ797" s="18" t="str">
        <f>+VLOOKUP(AG797,Leyenda!$O$4:$U$10,7,FALSE)</f>
        <v>No Blasting need</v>
      </c>
      <c r="AK797" s="18">
        <f>+VLOOKUP(AJ797,Leyenda!$U$4:$V$10,2,FALSE)</f>
        <v>2</v>
      </c>
      <c r="AL797" s="6"/>
      <c r="AM797" s="3" t="s">
        <v>29</v>
      </c>
      <c r="AN797" s="18" t="s">
        <v>64</v>
      </c>
      <c r="AO797" s="18" t="s">
        <v>79</v>
      </c>
      <c r="AP797" s="18" t="s">
        <v>96</v>
      </c>
      <c r="AQ797" s="18" t="s">
        <v>107</v>
      </c>
      <c r="AR797" s="18" t="s">
        <v>120</v>
      </c>
      <c r="AS797" s="18" t="s">
        <v>267</v>
      </c>
      <c r="AT797" s="18"/>
      <c r="AU797" s="6"/>
      <c r="AV797" s="18">
        <f>+VLOOKUP(AN797,Leyenda!$B$30:$E$34,3,FALSE)</f>
        <v>2</v>
      </c>
      <c r="AW797" s="18">
        <f>+VLOOKUP('2. Logging Brejo Seco'!AO797,Meteorizacion,3,FALSE)</f>
        <v>1</v>
      </c>
      <c r="AX797" s="18">
        <f>+VLOOKUP('2. Logging Brejo Seco'!AP797,Apertura,3,FALSE)</f>
        <v>1</v>
      </c>
      <c r="AY797" s="18">
        <f>+VLOOKUP('2. Logging Brejo Seco'!AQ797,Leyenda!$B$55:$D$59,3,FALSE)</f>
        <v>3</v>
      </c>
      <c r="AZ797" s="18">
        <f>+VLOOKUP('2. Logging Brejo Seco'!AR797,Relleno,3,FALSE)</f>
        <v>2</v>
      </c>
      <c r="BA797" s="18">
        <f t="shared" si="293"/>
        <v>9</v>
      </c>
      <c r="BB797" s="49">
        <f t="shared" si="294"/>
        <v>4</v>
      </c>
      <c r="BC797" s="49">
        <f>VLOOKUP(AH797,Leyenda!$B$4:$D$10,3,FALSE)</f>
        <v>2</v>
      </c>
      <c r="BD797" s="49">
        <f t="shared" si="295"/>
        <v>8</v>
      </c>
      <c r="BE797" s="49">
        <f t="shared" si="296"/>
        <v>9</v>
      </c>
      <c r="BF797" s="49">
        <f>VLOOKUP(AS797,Leyenda!$B$70:$D$75,3,FALSE)</f>
        <v>15</v>
      </c>
      <c r="BG797" s="67">
        <f t="shared" si="297"/>
        <v>21.625000000000028</v>
      </c>
      <c r="BH797" s="67">
        <f>VLOOKUP(AG797,Leyenda!$B$4:$E$10,4,FALSE)</f>
        <v>2</v>
      </c>
      <c r="BI797" s="67">
        <f t="shared" si="298"/>
        <v>11</v>
      </c>
      <c r="BJ797" s="67">
        <f t="shared" si="299"/>
        <v>4</v>
      </c>
      <c r="BK797" s="67">
        <f>+VLOOKUP('2. Logging Brejo Seco'!AP797,Leyenda!$B$47:$E$51,4,FALSE)</f>
        <v>1</v>
      </c>
      <c r="BL797" s="67">
        <f>+VLOOKUP('2. Logging Brejo Seco'!AQ797,Leyenda!$B$55:$E$59,4,FALSE)</f>
        <v>3</v>
      </c>
      <c r="BM797" s="67">
        <f>+VLOOKUP('2. Logging Brejo Seco'!AR797,Leyenda!$B$63:$E$67,3,FALSE)</f>
        <v>2</v>
      </c>
      <c r="BN797" s="67">
        <f>+VLOOKUP('2. Logging Brejo Seco'!AO797,Leyenda!$B$39:$E$43,4,FALSE)</f>
        <v>1</v>
      </c>
      <c r="BO797" s="67">
        <f>+VLOOKUP('2. Logging Brejo Seco'!AN797,Leyenda!$B$30:$E$34,4,FALSE)</f>
        <v>3</v>
      </c>
      <c r="BP797" s="67">
        <f>VLOOKUP(AS797,Leyenda!$B$71:$E$75,4,FALSE)</f>
        <v>10</v>
      </c>
      <c r="BQ797" s="67">
        <f t="shared" si="300"/>
        <v>37</v>
      </c>
      <c r="BR797" s="18">
        <f t="shared" si="301"/>
        <v>38</v>
      </c>
      <c r="BS797" s="240">
        <f t="shared" si="307"/>
        <v>7.4999999999996736E-2</v>
      </c>
      <c r="BT797" s="6"/>
    </row>
    <row r="798" spans="1:72" x14ac:dyDescent="0.25">
      <c r="A798" s="18" t="s">
        <v>6</v>
      </c>
      <c r="B798" s="18">
        <v>2024</v>
      </c>
      <c r="C798" s="18" t="s">
        <v>138</v>
      </c>
      <c r="D798" s="18" t="s">
        <v>659</v>
      </c>
      <c r="E798" s="3">
        <v>20</v>
      </c>
      <c r="F798" s="3">
        <v>40</v>
      </c>
      <c r="G798" s="18" t="s">
        <v>153</v>
      </c>
      <c r="H798" s="244">
        <f t="shared" si="315"/>
        <v>40</v>
      </c>
      <c r="I798" s="244" t="s">
        <v>757</v>
      </c>
      <c r="J798" s="244"/>
      <c r="K798" s="18">
        <f t="shared" si="305"/>
        <v>29.65</v>
      </c>
      <c r="L798" s="183">
        <v>30.3</v>
      </c>
      <c r="M798" s="4">
        <f t="shared" si="313"/>
        <v>0.65000000000000213</v>
      </c>
      <c r="N798" s="113">
        <f t="shared" si="312"/>
        <v>0.64615384615384397</v>
      </c>
      <c r="O798" s="5">
        <f t="shared" si="303"/>
        <v>0.35384615384615603</v>
      </c>
      <c r="P798" s="18">
        <v>0.42</v>
      </c>
      <c r="Q798" s="182"/>
      <c r="R798" s="182"/>
      <c r="S798" s="182"/>
      <c r="T798" s="204">
        <v>0.42</v>
      </c>
      <c r="U798" s="204">
        <v>0</v>
      </c>
      <c r="V798" s="183">
        <f t="shared" si="314"/>
        <v>0</v>
      </c>
      <c r="W798" s="183"/>
      <c r="X798" s="183"/>
      <c r="Y798" s="183">
        <v>7</v>
      </c>
      <c r="Z798" s="31">
        <f t="shared" si="308"/>
        <v>92.85714285714316</v>
      </c>
      <c r="AA798" s="6"/>
      <c r="AB798" s="6"/>
      <c r="AC798" s="6"/>
      <c r="AD798" s="6"/>
      <c r="AE798" s="6"/>
      <c r="AF798" s="6"/>
      <c r="AG798" s="3" t="s">
        <v>29</v>
      </c>
      <c r="AH798" s="3" t="s">
        <v>29</v>
      </c>
      <c r="AI798" s="18" t="str">
        <f>+VLOOKUP(AH798,Leyenda!$O$4:$U$10,6,FALSE)</f>
        <v>0,25-0,35</v>
      </c>
      <c r="AJ798" s="18" t="str">
        <f>+VLOOKUP(AG798,Leyenda!$O$4:$U$10,7,FALSE)</f>
        <v>No Blasting need</v>
      </c>
      <c r="AK798" s="18">
        <f>+VLOOKUP(AJ798,Leyenda!$U$4:$V$10,2,FALSE)</f>
        <v>2</v>
      </c>
      <c r="AL798" s="6"/>
      <c r="AM798" s="3" t="s">
        <v>29</v>
      </c>
      <c r="AN798" s="18" t="s">
        <v>64</v>
      </c>
      <c r="AO798" s="18" t="s">
        <v>79</v>
      </c>
      <c r="AP798" s="18" t="s">
        <v>96</v>
      </c>
      <c r="AQ798" s="18" t="s">
        <v>107</v>
      </c>
      <c r="AR798" s="18" t="s">
        <v>120</v>
      </c>
      <c r="AS798" s="18" t="s">
        <v>267</v>
      </c>
      <c r="AT798" s="18"/>
      <c r="AU798" s="6"/>
      <c r="AV798" s="18">
        <f>+VLOOKUP(AN798,Leyenda!$B$30:$E$34,3,FALSE)</f>
        <v>2</v>
      </c>
      <c r="AW798" s="18">
        <f>+VLOOKUP('2. Logging Brejo Seco'!AO798,Meteorizacion,3,FALSE)</f>
        <v>1</v>
      </c>
      <c r="AX798" s="18">
        <f>+VLOOKUP('2. Logging Brejo Seco'!AP798,Apertura,3,FALSE)</f>
        <v>1</v>
      </c>
      <c r="AY798" s="18">
        <f>+VLOOKUP('2. Logging Brejo Seco'!AQ798,Leyenda!$B$55:$D$59,3,FALSE)</f>
        <v>3</v>
      </c>
      <c r="AZ798" s="18">
        <f>+VLOOKUP('2. Logging Brejo Seco'!AR798,Relleno,3,FALSE)</f>
        <v>2</v>
      </c>
      <c r="BA798" s="18">
        <f t="shared" si="293"/>
        <v>9</v>
      </c>
      <c r="BB798" s="49">
        <f t="shared" si="294"/>
        <v>0</v>
      </c>
      <c r="BC798" s="49">
        <f>VLOOKUP(AH798,Leyenda!$B$4:$D$10,3,FALSE)</f>
        <v>2</v>
      </c>
      <c r="BD798" s="49">
        <f t="shared" si="295"/>
        <v>7</v>
      </c>
      <c r="BE798" s="49">
        <f t="shared" si="296"/>
        <v>9</v>
      </c>
      <c r="BF798" s="49">
        <f>VLOOKUP(AS798,Leyenda!$B$70:$D$75,3,FALSE)</f>
        <v>15</v>
      </c>
      <c r="BG798" s="67">
        <f t="shared" si="297"/>
        <v>13.5</v>
      </c>
      <c r="BH798" s="67">
        <f>VLOOKUP(AG798,Leyenda!$B$4:$E$10,4,FALSE)</f>
        <v>2</v>
      </c>
      <c r="BI798" s="67">
        <f t="shared" si="298"/>
        <v>8</v>
      </c>
      <c r="BJ798" s="67">
        <f t="shared" si="299"/>
        <v>0</v>
      </c>
      <c r="BK798" s="67">
        <f>+VLOOKUP('2. Logging Brejo Seco'!AP798,Leyenda!$B$47:$E$51,4,FALSE)</f>
        <v>1</v>
      </c>
      <c r="BL798" s="67">
        <f>+VLOOKUP('2. Logging Brejo Seco'!AQ798,Leyenda!$B$55:$E$59,4,FALSE)</f>
        <v>3</v>
      </c>
      <c r="BM798" s="67">
        <f>+VLOOKUP('2. Logging Brejo Seco'!AR798,Leyenda!$B$63:$E$67,3,FALSE)</f>
        <v>2</v>
      </c>
      <c r="BN798" s="67">
        <f>+VLOOKUP('2. Logging Brejo Seco'!AO798,Leyenda!$B$39:$E$43,4,FALSE)</f>
        <v>1</v>
      </c>
      <c r="BO798" s="67">
        <f>+VLOOKUP('2. Logging Brejo Seco'!AN798,Leyenda!$B$30:$E$34,4,FALSE)</f>
        <v>3</v>
      </c>
      <c r="BP798" s="67">
        <f>VLOOKUP(AS798,Leyenda!$B$71:$E$75,4,FALSE)</f>
        <v>10</v>
      </c>
      <c r="BQ798" s="67">
        <f t="shared" si="300"/>
        <v>30</v>
      </c>
      <c r="BR798" s="18">
        <f t="shared" si="301"/>
        <v>33</v>
      </c>
      <c r="BS798" s="240">
        <f t="shared" si="307"/>
        <v>0.35384615384615603</v>
      </c>
      <c r="BT798" s="6"/>
    </row>
    <row r="799" spans="1:72" x14ac:dyDescent="0.25">
      <c r="A799" s="18" t="s">
        <v>6</v>
      </c>
      <c r="B799" s="18">
        <v>2024</v>
      </c>
      <c r="C799" s="18" t="s">
        <v>138</v>
      </c>
      <c r="D799" s="18" t="s">
        <v>659</v>
      </c>
      <c r="E799" s="3">
        <v>20</v>
      </c>
      <c r="F799" s="3">
        <v>40</v>
      </c>
      <c r="G799" s="18" t="s">
        <v>153</v>
      </c>
      <c r="H799" s="3">
        <v>40</v>
      </c>
      <c r="I799" s="3" t="s">
        <v>757</v>
      </c>
      <c r="J799" s="3"/>
      <c r="K799" s="18">
        <f t="shared" si="305"/>
        <v>30.3</v>
      </c>
      <c r="L799" s="183">
        <v>31</v>
      </c>
      <c r="M799" s="4">
        <f t="shared" si="313"/>
        <v>0.69999999999999929</v>
      </c>
      <c r="N799" s="113">
        <f t="shared" si="312"/>
        <v>0.65714285714285781</v>
      </c>
      <c r="O799" s="5">
        <f t="shared" si="303"/>
        <v>0.34285714285714219</v>
      </c>
      <c r="P799" s="18">
        <v>0.46</v>
      </c>
      <c r="Q799" s="182"/>
      <c r="R799" s="182"/>
      <c r="S799" s="182"/>
      <c r="T799" s="204">
        <v>0.46</v>
      </c>
      <c r="U799" s="204">
        <v>0</v>
      </c>
      <c r="V799" s="183">
        <f t="shared" si="314"/>
        <v>0</v>
      </c>
      <c r="W799" s="183"/>
      <c r="X799" s="183"/>
      <c r="Y799" s="183">
        <v>9</v>
      </c>
      <c r="Z799" s="31">
        <f t="shared" si="308"/>
        <v>77.7777777777777</v>
      </c>
      <c r="AA799" s="6"/>
      <c r="AB799" s="6"/>
      <c r="AC799" s="6"/>
      <c r="AD799" s="6"/>
      <c r="AE799" s="6"/>
      <c r="AF799" s="6"/>
      <c r="AG799" s="3" t="s">
        <v>29</v>
      </c>
      <c r="AH799" s="3" t="s">
        <v>29</v>
      </c>
      <c r="AI799" s="18" t="str">
        <f>+VLOOKUP(AH799,Leyenda!$O$4:$U$10,6,FALSE)</f>
        <v>0,25-0,35</v>
      </c>
      <c r="AJ799" s="18" t="str">
        <f>+VLOOKUP(AG799,Leyenda!$O$4:$U$10,7,FALSE)</f>
        <v>No Blasting need</v>
      </c>
      <c r="AK799" s="18">
        <f>+VLOOKUP(AJ799,Leyenda!$U$4:$V$10,2,FALSE)</f>
        <v>2</v>
      </c>
      <c r="AL799" s="6"/>
      <c r="AM799" s="3" t="s">
        <v>29</v>
      </c>
      <c r="AN799" s="18" t="s">
        <v>64</v>
      </c>
      <c r="AO799" s="18" t="s">
        <v>79</v>
      </c>
      <c r="AP799" s="18" t="s">
        <v>96</v>
      </c>
      <c r="AQ799" s="18" t="s">
        <v>107</v>
      </c>
      <c r="AR799" s="18" t="s">
        <v>120</v>
      </c>
      <c r="AS799" s="18" t="s">
        <v>267</v>
      </c>
      <c r="AT799" s="18"/>
      <c r="AU799" s="6"/>
      <c r="AV799" s="18">
        <f>+VLOOKUP(AN799,Leyenda!$B$30:$E$34,3,FALSE)</f>
        <v>2</v>
      </c>
      <c r="AW799" s="18">
        <f>+VLOOKUP('2. Logging Brejo Seco'!AO799,Meteorizacion,3,FALSE)</f>
        <v>1</v>
      </c>
      <c r="AX799" s="18">
        <f>+VLOOKUP('2. Logging Brejo Seco'!AP799,Apertura,3,FALSE)</f>
        <v>1</v>
      </c>
      <c r="AY799" s="18">
        <f>+VLOOKUP('2. Logging Brejo Seco'!AQ799,Leyenda!$B$55:$D$59,3,FALSE)</f>
        <v>3</v>
      </c>
      <c r="AZ799" s="18">
        <f>+VLOOKUP('2. Logging Brejo Seco'!AR799,Relleno,3,FALSE)</f>
        <v>2</v>
      </c>
      <c r="BA799" s="18">
        <f t="shared" si="293"/>
        <v>9</v>
      </c>
      <c r="BB799" s="49">
        <f t="shared" si="294"/>
        <v>0</v>
      </c>
      <c r="BC799" s="49">
        <f>VLOOKUP(AH799,Leyenda!$B$4:$D$10,3,FALSE)</f>
        <v>2</v>
      </c>
      <c r="BD799" s="49">
        <f t="shared" si="295"/>
        <v>7</v>
      </c>
      <c r="BE799" s="49">
        <f t="shared" si="296"/>
        <v>9</v>
      </c>
      <c r="BF799" s="49">
        <f>VLOOKUP(AS799,Leyenda!$B$70:$D$75,3,FALSE)</f>
        <v>15</v>
      </c>
      <c r="BG799" s="67">
        <f t="shared" si="297"/>
        <v>13.5</v>
      </c>
      <c r="BH799" s="67">
        <f>VLOOKUP(AG799,Leyenda!$B$4:$E$10,4,FALSE)</f>
        <v>2</v>
      </c>
      <c r="BI799" s="67">
        <f t="shared" si="298"/>
        <v>7</v>
      </c>
      <c r="BJ799" s="67">
        <f t="shared" si="299"/>
        <v>0</v>
      </c>
      <c r="BK799" s="67">
        <f>+VLOOKUP('2. Logging Brejo Seco'!AP799,Leyenda!$B$47:$E$51,4,FALSE)</f>
        <v>1</v>
      </c>
      <c r="BL799" s="67">
        <f>+VLOOKUP('2. Logging Brejo Seco'!AQ799,Leyenda!$B$55:$E$59,4,FALSE)</f>
        <v>3</v>
      </c>
      <c r="BM799" s="67">
        <f>+VLOOKUP('2. Logging Brejo Seco'!AR799,Leyenda!$B$63:$E$67,3,FALSE)</f>
        <v>2</v>
      </c>
      <c r="BN799" s="67">
        <f>+VLOOKUP('2. Logging Brejo Seco'!AO799,Leyenda!$B$39:$E$43,4,FALSE)</f>
        <v>1</v>
      </c>
      <c r="BO799" s="67">
        <f>+VLOOKUP('2. Logging Brejo Seco'!AN799,Leyenda!$B$30:$E$34,4,FALSE)</f>
        <v>3</v>
      </c>
      <c r="BP799" s="67">
        <f>VLOOKUP(AS799,Leyenda!$B$71:$E$75,4,FALSE)</f>
        <v>10</v>
      </c>
      <c r="BQ799" s="67">
        <f t="shared" si="300"/>
        <v>29</v>
      </c>
      <c r="BR799" s="18">
        <f t="shared" si="301"/>
        <v>33</v>
      </c>
      <c r="BS799" s="240">
        <f t="shared" si="307"/>
        <v>0.34285714285714219</v>
      </c>
      <c r="BT799" s="6"/>
    </row>
    <row r="800" spans="1:72" x14ac:dyDescent="0.25">
      <c r="A800" s="18" t="s">
        <v>6</v>
      </c>
      <c r="B800" s="18">
        <v>2024</v>
      </c>
      <c r="C800" s="18" t="s">
        <v>138</v>
      </c>
      <c r="D800" s="18" t="s">
        <v>659</v>
      </c>
      <c r="E800" s="3">
        <v>20</v>
      </c>
      <c r="F800" s="3">
        <v>40</v>
      </c>
      <c r="G800" s="18" t="s">
        <v>153</v>
      </c>
      <c r="H800" s="3">
        <v>40</v>
      </c>
      <c r="I800" s="3" t="s">
        <v>757</v>
      </c>
      <c r="J800" s="3"/>
      <c r="K800" s="18">
        <f t="shared" si="305"/>
        <v>31</v>
      </c>
      <c r="L800" s="183">
        <v>31.6</v>
      </c>
      <c r="M800" s="4">
        <f t="shared" si="313"/>
        <v>0.60000000000000142</v>
      </c>
      <c r="N800" s="113">
        <f t="shared" si="312"/>
        <v>0.69999999999999829</v>
      </c>
      <c r="O800" s="5">
        <f t="shared" si="303"/>
        <v>0.30000000000000171</v>
      </c>
      <c r="P800" s="18">
        <v>0.42</v>
      </c>
      <c r="Q800" s="182"/>
      <c r="R800" s="182"/>
      <c r="S800" s="182"/>
      <c r="T800" s="204">
        <v>0.42</v>
      </c>
      <c r="U800" s="204">
        <v>0</v>
      </c>
      <c r="V800" s="183">
        <f t="shared" si="314"/>
        <v>0</v>
      </c>
      <c r="W800" s="183"/>
      <c r="X800" s="183"/>
      <c r="Y800" s="183">
        <v>9</v>
      </c>
      <c r="Z800" s="31">
        <f t="shared" si="308"/>
        <v>66.666666666666814</v>
      </c>
      <c r="AA800" s="6"/>
      <c r="AB800" s="6"/>
      <c r="AC800" s="6"/>
      <c r="AD800" s="6"/>
      <c r="AE800" s="6"/>
      <c r="AF800" s="6"/>
      <c r="AG800" s="3" t="s">
        <v>29</v>
      </c>
      <c r="AH800" s="3" t="s">
        <v>29</v>
      </c>
      <c r="AI800" s="18" t="str">
        <f>+VLOOKUP(AH800,Leyenda!$O$4:$U$10,6,FALSE)</f>
        <v>0,25-0,35</v>
      </c>
      <c r="AJ800" s="18" t="str">
        <f>+VLOOKUP(AG800,Leyenda!$O$4:$U$10,7,FALSE)</f>
        <v>No Blasting need</v>
      </c>
      <c r="AK800" s="18">
        <f>+VLOOKUP(AJ800,Leyenda!$U$4:$V$10,2,FALSE)</f>
        <v>2</v>
      </c>
      <c r="AL800" s="6"/>
      <c r="AM800" s="3" t="s">
        <v>29</v>
      </c>
      <c r="AN800" s="18" t="s">
        <v>64</v>
      </c>
      <c r="AO800" s="18" t="s">
        <v>79</v>
      </c>
      <c r="AP800" s="18" t="s">
        <v>96</v>
      </c>
      <c r="AQ800" s="18" t="s">
        <v>107</v>
      </c>
      <c r="AR800" s="18" t="s">
        <v>120</v>
      </c>
      <c r="AS800" s="18" t="s">
        <v>267</v>
      </c>
      <c r="AT800" s="18"/>
      <c r="AU800" s="6"/>
      <c r="AV800" s="18">
        <f>+VLOOKUP(AN800,Leyenda!$B$30:$E$34,3,FALSE)</f>
        <v>2</v>
      </c>
      <c r="AW800" s="18">
        <f>+VLOOKUP('2. Logging Brejo Seco'!AO800,Meteorizacion,3,FALSE)</f>
        <v>1</v>
      </c>
      <c r="AX800" s="18">
        <f>+VLOOKUP('2. Logging Brejo Seco'!AP800,Apertura,3,FALSE)</f>
        <v>1</v>
      </c>
      <c r="AY800" s="18">
        <f>+VLOOKUP('2. Logging Brejo Seco'!AQ800,Leyenda!$B$55:$D$59,3,FALSE)</f>
        <v>3</v>
      </c>
      <c r="AZ800" s="18">
        <f>+VLOOKUP('2. Logging Brejo Seco'!AR800,Relleno,3,FALSE)</f>
        <v>2</v>
      </c>
      <c r="BA800" s="18">
        <f t="shared" si="293"/>
        <v>9</v>
      </c>
      <c r="BB800" s="49">
        <f t="shared" si="294"/>
        <v>0</v>
      </c>
      <c r="BC800" s="49">
        <f>VLOOKUP(AH800,Leyenda!$B$4:$D$10,3,FALSE)</f>
        <v>2</v>
      </c>
      <c r="BD800" s="49">
        <f t="shared" si="295"/>
        <v>6</v>
      </c>
      <c r="BE800" s="49">
        <f t="shared" si="296"/>
        <v>9</v>
      </c>
      <c r="BF800" s="49">
        <f>VLOOKUP(AS800,Leyenda!$B$70:$D$75,3,FALSE)</f>
        <v>15</v>
      </c>
      <c r="BG800" s="67">
        <f t="shared" si="297"/>
        <v>13.5</v>
      </c>
      <c r="BH800" s="67">
        <f>VLOOKUP(AG800,Leyenda!$B$4:$E$10,4,FALSE)</f>
        <v>2</v>
      </c>
      <c r="BI800" s="67">
        <f t="shared" si="298"/>
        <v>6</v>
      </c>
      <c r="BJ800" s="67">
        <f t="shared" si="299"/>
        <v>0</v>
      </c>
      <c r="BK800" s="67">
        <f>+VLOOKUP('2. Logging Brejo Seco'!AP800,Leyenda!$B$47:$E$51,4,FALSE)</f>
        <v>1</v>
      </c>
      <c r="BL800" s="67">
        <f>+VLOOKUP('2. Logging Brejo Seco'!AQ800,Leyenda!$B$55:$E$59,4,FALSE)</f>
        <v>3</v>
      </c>
      <c r="BM800" s="67">
        <f>+VLOOKUP('2. Logging Brejo Seco'!AR800,Leyenda!$B$63:$E$67,3,FALSE)</f>
        <v>2</v>
      </c>
      <c r="BN800" s="67">
        <f>+VLOOKUP('2. Logging Brejo Seco'!AO800,Leyenda!$B$39:$E$43,4,FALSE)</f>
        <v>1</v>
      </c>
      <c r="BO800" s="67">
        <f>+VLOOKUP('2. Logging Brejo Seco'!AN800,Leyenda!$B$30:$E$34,4,FALSE)</f>
        <v>3</v>
      </c>
      <c r="BP800" s="67">
        <f>VLOOKUP(AS800,Leyenda!$B$71:$E$75,4,FALSE)</f>
        <v>10</v>
      </c>
      <c r="BQ800" s="67">
        <f t="shared" si="300"/>
        <v>28</v>
      </c>
      <c r="BR800" s="18">
        <f t="shared" si="301"/>
        <v>32</v>
      </c>
      <c r="BS800" s="240">
        <f t="shared" si="307"/>
        <v>0.30000000000000171</v>
      </c>
      <c r="BT800" s="6"/>
    </row>
    <row r="801" spans="1:72" x14ac:dyDescent="0.25">
      <c r="A801" s="18" t="s">
        <v>6</v>
      </c>
      <c r="B801" s="18">
        <v>2024</v>
      </c>
      <c r="C801" s="18" t="s">
        <v>138</v>
      </c>
      <c r="D801" s="18" t="s">
        <v>659</v>
      </c>
      <c r="E801" s="3">
        <v>20</v>
      </c>
      <c r="F801" s="3">
        <v>40</v>
      </c>
      <c r="G801" s="18" t="s">
        <v>153</v>
      </c>
      <c r="H801" s="3">
        <v>40</v>
      </c>
      <c r="I801" s="3" t="s">
        <v>757</v>
      </c>
      <c r="J801" s="3"/>
      <c r="K801" s="18">
        <f t="shared" si="305"/>
        <v>31.6</v>
      </c>
      <c r="L801" s="183">
        <v>32.6</v>
      </c>
      <c r="M801" s="4">
        <f t="shared" si="313"/>
        <v>1</v>
      </c>
      <c r="N801" s="113">
        <f t="shared" si="312"/>
        <v>0.68</v>
      </c>
      <c r="O801" s="5">
        <f t="shared" si="303"/>
        <v>0.31999999999999995</v>
      </c>
      <c r="P801" s="18">
        <v>0.68</v>
      </c>
      <c r="Q801" s="182"/>
      <c r="R801" s="182"/>
      <c r="S801" s="182"/>
      <c r="T801" s="204">
        <v>0.68</v>
      </c>
      <c r="U801" s="204">
        <v>0</v>
      </c>
      <c r="V801" s="183">
        <f t="shared" si="314"/>
        <v>0</v>
      </c>
      <c r="W801" s="183"/>
      <c r="X801" s="183"/>
      <c r="Y801" s="183">
        <v>10</v>
      </c>
      <c r="Z801" s="31">
        <f t="shared" si="308"/>
        <v>100</v>
      </c>
      <c r="AA801" s="6"/>
      <c r="AB801" s="6"/>
      <c r="AC801" s="6"/>
      <c r="AD801" s="6"/>
      <c r="AE801" s="6"/>
      <c r="AF801" s="6"/>
      <c r="AG801" s="3" t="s">
        <v>29</v>
      </c>
      <c r="AH801" s="3" t="s">
        <v>29</v>
      </c>
      <c r="AI801" s="18" t="str">
        <f>+VLOOKUP(AH801,Leyenda!$O$4:$U$10,6,FALSE)</f>
        <v>0,25-0,35</v>
      </c>
      <c r="AJ801" s="18" t="str">
        <f>+VLOOKUP(AG801,Leyenda!$O$4:$U$10,7,FALSE)</f>
        <v>No Blasting need</v>
      </c>
      <c r="AK801" s="18">
        <f>+VLOOKUP(AJ801,Leyenda!$U$4:$V$10,2,FALSE)</f>
        <v>2</v>
      </c>
      <c r="AL801" s="6"/>
      <c r="AM801" s="3" t="s">
        <v>29</v>
      </c>
      <c r="AN801" s="18" t="s">
        <v>64</v>
      </c>
      <c r="AO801" s="18" t="s">
        <v>79</v>
      </c>
      <c r="AP801" s="18" t="s">
        <v>96</v>
      </c>
      <c r="AQ801" s="18" t="s">
        <v>107</v>
      </c>
      <c r="AR801" s="18" t="s">
        <v>120</v>
      </c>
      <c r="AS801" s="18" t="s">
        <v>267</v>
      </c>
      <c r="AT801" s="18"/>
      <c r="AU801" s="6"/>
      <c r="AV801" s="18">
        <f>+VLOOKUP(AN801,Leyenda!$B$30:$E$34,3,FALSE)</f>
        <v>2</v>
      </c>
      <c r="AW801" s="18">
        <f>+VLOOKUP('2. Logging Brejo Seco'!AO801,Meteorizacion,3,FALSE)</f>
        <v>1</v>
      </c>
      <c r="AX801" s="18">
        <f>+VLOOKUP('2. Logging Brejo Seco'!AP801,Apertura,3,FALSE)</f>
        <v>1</v>
      </c>
      <c r="AY801" s="18">
        <f>+VLOOKUP('2. Logging Brejo Seco'!AQ801,Leyenda!$B$55:$D$59,3,FALSE)</f>
        <v>3</v>
      </c>
      <c r="AZ801" s="18">
        <f>+VLOOKUP('2. Logging Brejo Seco'!AR801,Relleno,3,FALSE)</f>
        <v>2</v>
      </c>
      <c r="BA801" s="18">
        <f t="shared" si="293"/>
        <v>9</v>
      </c>
      <c r="BB801" s="49">
        <f t="shared" si="294"/>
        <v>0</v>
      </c>
      <c r="BC801" s="49">
        <f>VLOOKUP(AH801,Leyenda!$B$4:$D$10,3,FALSE)</f>
        <v>2</v>
      </c>
      <c r="BD801" s="49">
        <f t="shared" si="295"/>
        <v>7</v>
      </c>
      <c r="BE801" s="49">
        <f t="shared" si="296"/>
        <v>9</v>
      </c>
      <c r="BF801" s="49">
        <f>VLOOKUP(AS801,Leyenda!$B$70:$D$75,3,FALSE)</f>
        <v>15</v>
      </c>
      <c r="BG801" s="67">
        <f t="shared" si="297"/>
        <v>13.5</v>
      </c>
      <c r="BH801" s="67">
        <f>VLOOKUP(AG801,Leyenda!$B$4:$E$10,4,FALSE)</f>
        <v>2</v>
      </c>
      <c r="BI801" s="67">
        <f t="shared" si="298"/>
        <v>8</v>
      </c>
      <c r="BJ801" s="67">
        <f t="shared" si="299"/>
        <v>0</v>
      </c>
      <c r="BK801" s="67">
        <f>+VLOOKUP('2. Logging Brejo Seco'!AP801,Leyenda!$B$47:$E$51,4,FALSE)</f>
        <v>1</v>
      </c>
      <c r="BL801" s="67">
        <f>+VLOOKUP('2. Logging Brejo Seco'!AQ801,Leyenda!$B$55:$E$59,4,FALSE)</f>
        <v>3</v>
      </c>
      <c r="BM801" s="67">
        <f>+VLOOKUP('2. Logging Brejo Seco'!AR801,Leyenda!$B$63:$E$67,3,FALSE)</f>
        <v>2</v>
      </c>
      <c r="BN801" s="67">
        <f>+VLOOKUP('2. Logging Brejo Seco'!AO801,Leyenda!$B$39:$E$43,4,FALSE)</f>
        <v>1</v>
      </c>
      <c r="BO801" s="67">
        <f>+VLOOKUP('2. Logging Brejo Seco'!AN801,Leyenda!$B$30:$E$34,4,FALSE)</f>
        <v>3</v>
      </c>
      <c r="BP801" s="67">
        <f>VLOOKUP(AS801,Leyenda!$B$71:$E$75,4,FALSE)</f>
        <v>10</v>
      </c>
      <c r="BQ801" s="67">
        <f t="shared" si="300"/>
        <v>30</v>
      </c>
      <c r="BR801" s="18">
        <f t="shared" si="301"/>
        <v>33</v>
      </c>
      <c r="BS801" s="240">
        <f t="shared" si="307"/>
        <v>0.31999999999999995</v>
      </c>
      <c r="BT801" s="6"/>
    </row>
    <row r="802" spans="1:72" x14ac:dyDescent="0.25">
      <c r="A802" s="18" t="s">
        <v>6</v>
      </c>
      <c r="B802" s="18">
        <v>2024</v>
      </c>
      <c r="C802" s="18" t="s">
        <v>138</v>
      </c>
      <c r="D802" s="18" t="s">
        <v>659</v>
      </c>
      <c r="E802" s="3">
        <v>20</v>
      </c>
      <c r="F802" s="3">
        <v>20</v>
      </c>
      <c r="G802" s="18" t="s">
        <v>156</v>
      </c>
      <c r="H802" s="3">
        <v>40</v>
      </c>
      <c r="I802" s="3" t="s">
        <v>757</v>
      </c>
      <c r="J802" s="3"/>
      <c r="K802" s="18">
        <f t="shared" si="305"/>
        <v>32.6</v>
      </c>
      <c r="L802" s="183">
        <v>32.9</v>
      </c>
      <c r="M802" s="4">
        <f t="shared" si="313"/>
        <v>0.29999999999999716</v>
      </c>
      <c r="N802" s="113">
        <f t="shared" si="312"/>
        <v>0.43333333333333746</v>
      </c>
      <c r="O802" s="5">
        <f t="shared" si="303"/>
        <v>0.56666666666666254</v>
      </c>
      <c r="P802" s="18">
        <v>0.13</v>
      </c>
      <c r="Q802" s="182"/>
      <c r="R802" s="182"/>
      <c r="S802" s="182"/>
      <c r="T802" s="204">
        <v>0.13</v>
      </c>
      <c r="U802" s="204">
        <v>0</v>
      </c>
      <c r="V802" s="205">
        <f t="shared" si="314"/>
        <v>0</v>
      </c>
      <c r="W802" s="183"/>
      <c r="X802" s="183"/>
      <c r="Y802" s="183">
        <v>5</v>
      </c>
      <c r="Z802" s="31">
        <f t="shared" si="308"/>
        <v>59.999999999999432</v>
      </c>
      <c r="AA802" s="6"/>
      <c r="AB802" s="6"/>
      <c r="AC802" s="6"/>
      <c r="AD802" s="6"/>
      <c r="AE802" s="6"/>
      <c r="AF802" s="6"/>
      <c r="AG802" s="3" t="s">
        <v>29</v>
      </c>
      <c r="AH802" s="3" t="s">
        <v>29</v>
      </c>
      <c r="AI802" s="18" t="str">
        <f>+VLOOKUP(AH802,Leyenda!$O$4:$U$10,6,FALSE)</f>
        <v>0,25-0,35</v>
      </c>
      <c r="AJ802" s="18" t="str">
        <f>+VLOOKUP(AG802,Leyenda!$O$4:$U$10,7,FALSE)</f>
        <v>No Blasting need</v>
      </c>
      <c r="AK802" s="18">
        <f>+VLOOKUP(AJ802,Leyenda!$U$4:$V$10,2,FALSE)</f>
        <v>2</v>
      </c>
      <c r="AL802" s="6"/>
      <c r="AM802" s="3" t="s">
        <v>29</v>
      </c>
      <c r="AN802" s="18" t="s">
        <v>64</v>
      </c>
      <c r="AO802" s="18" t="s">
        <v>79</v>
      </c>
      <c r="AP802" s="18" t="s">
        <v>96</v>
      </c>
      <c r="AQ802" s="18" t="s">
        <v>107</v>
      </c>
      <c r="AR802" s="18" t="s">
        <v>120</v>
      </c>
      <c r="AS802" s="18" t="s">
        <v>267</v>
      </c>
      <c r="AT802" s="18"/>
      <c r="AU802" s="6"/>
      <c r="AV802" s="36">
        <f>+VLOOKUP(AN802,Leyenda!$B$30:$E$34,3,FALSE)</f>
        <v>2</v>
      </c>
      <c r="AW802" s="36">
        <f>+VLOOKUP('2. Logging Brejo Seco'!AO802,Meteorizacion,3,FALSE)</f>
        <v>1</v>
      </c>
      <c r="AX802" s="36">
        <f>+VLOOKUP('2. Logging Brejo Seco'!AP802,Apertura,3,FALSE)</f>
        <v>1</v>
      </c>
      <c r="AY802" s="36">
        <f>+VLOOKUP('2. Logging Brejo Seco'!AQ802,Leyenda!$B$55:$D$59,3,FALSE)</f>
        <v>3</v>
      </c>
      <c r="AZ802" s="36">
        <f>+VLOOKUP('2. Logging Brejo Seco'!AR802,Relleno,3,FALSE)</f>
        <v>2</v>
      </c>
      <c r="BA802" s="36">
        <f t="shared" si="293"/>
        <v>9</v>
      </c>
      <c r="BB802" s="50">
        <f t="shared" si="294"/>
        <v>0</v>
      </c>
      <c r="BC802" s="49">
        <f>VLOOKUP(AH802,Leyenda!$B$4:$D$10,3,FALSE)</f>
        <v>2</v>
      </c>
      <c r="BD802" s="50">
        <f t="shared" si="295"/>
        <v>6</v>
      </c>
      <c r="BE802" s="50">
        <f t="shared" si="296"/>
        <v>9</v>
      </c>
      <c r="BF802" s="50">
        <f>VLOOKUP(AS802,Leyenda!$B$70:$D$75,3,FALSE)</f>
        <v>15</v>
      </c>
      <c r="BG802" s="110">
        <f t="shared" si="297"/>
        <v>13.5</v>
      </c>
      <c r="BH802" s="110">
        <f>VLOOKUP(AG802,Leyenda!$B$4:$E$10,4,FALSE)</f>
        <v>2</v>
      </c>
      <c r="BI802" s="67">
        <f t="shared" si="298"/>
        <v>5</v>
      </c>
      <c r="BJ802" s="110">
        <f t="shared" si="299"/>
        <v>0</v>
      </c>
      <c r="BK802" s="110">
        <f>+VLOOKUP('2. Logging Brejo Seco'!AP802,Leyenda!$B$47:$E$51,4,FALSE)</f>
        <v>1</v>
      </c>
      <c r="BL802" s="110">
        <f>+VLOOKUP('2. Logging Brejo Seco'!AQ802,Leyenda!$B$55:$E$59,4,FALSE)</f>
        <v>3</v>
      </c>
      <c r="BM802" s="110">
        <f>+VLOOKUP('2. Logging Brejo Seco'!AR802,Leyenda!$B$63:$E$67,3,FALSE)</f>
        <v>2</v>
      </c>
      <c r="BN802" s="110">
        <f>+VLOOKUP('2. Logging Brejo Seco'!AO802,Leyenda!$B$39:$E$43,4,FALSE)</f>
        <v>1</v>
      </c>
      <c r="BO802" s="110">
        <f>+VLOOKUP('2. Logging Brejo Seco'!AN802,Leyenda!$B$30:$E$34,4,FALSE)</f>
        <v>3</v>
      </c>
      <c r="BP802" s="110">
        <f>VLOOKUP(AS802,Leyenda!$B$71:$E$75,4,FALSE)</f>
        <v>10</v>
      </c>
      <c r="BQ802" s="110">
        <f t="shared" si="300"/>
        <v>27</v>
      </c>
      <c r="BR802" s="36">
        <f t="shared" si="301"/>
        <v>32</v>
      </c>
      <c r="BS802" s="240">
        <f t="shared" si="307"/>
        <v>0.56666666666666254</v>
      </c>
      <c r="BT802" s="6"/>
    </row>
    <row r="803" spans="1:72" x14ac:dyDescent="0.25">
      <c r="A803" s="18" t="s">
        <v>6</v>
      </c>
      <c r="B803" s="18">
        <v>2024</v>
      </c>
      <c r="C803" s="18" t="s">
        <v>138</v>
      </c>
      <c r="D803" s="18" t="s">
        <v>659</v>
      </c>
      <c r="E803" s="3">
        <v>20</v>
      </c>
      <c r="F803" s="3">
        <v>20</v>
      </c>
      <c r="G803" s="18" t="s">
        <v>156</v>
      </c>
      <c r="H803" s="3">
        <v>40</v>
      </c>
      <c r="I803" s="3" t="s">
        <v>757</v>
      </c>
      <c r="J803" s="3"/>
      <c r="K803" s="18">
        <f t="shared" si="305"/>
        <v>32.9</v>
      </c>
      <c r="L803" s="183">
        <v>33.85</v>
      </c>
      <c r="M803" s="4">
        <f t="shared" si="313"/>
        <v>0.95000000000000284</v>
      </c>
      <c r="N803" s="113">
        <f t="shared" si="312"/>
        <v>0.68421052631578749</v>
      </c>
      <c r="O803" s="5">
        <f t="shared" si="303"/>
        <v>0.31578947368421251</v>
      </c>
      <c r="P803" s="18">
        <v>0.65</v>
      </c>
      <c r="Q803" s="182"/>
      <c r="R803" s="182"/>
      <c r="S803" s="182"/>
      <c r="T803" s="204">
        <v>0.65</v>
      </c>
      <c r="U803" s="204">
        <v>0.12</v>
      </c>
      <c r="V803" s="205">
        <f t="shared" si="314"/>
        <v>12.631578947368382</v>
      </c>
      <c r="W803" s="183"/>
      <c r="X803" s="183"/>
      <c r="Y803" s="183">
        <v>9</v>
      </c>
      <c r="Z803" s="31">
        <f t="shared" si="308"/>
        <v>105.55555555555587</v>
      </c>
      <c r="AA803" s="6"/>
      <c r="AB803" s="6"/>
      <c r="AC803" s="6"/>
      <c r="AD803" s="6"/>
      <c r="AE803" s="6"/>
      <c r="AF803" s="6"/>
      <c r="AG803" s="3" t="s">
        <v>27</v>
      </c>
      <c r="AH803" s="3" t="s">
        <v>27</v>
      </c>
      <c r="AI803" s="18" t="str">
        <f>+VLOOKUP(AH803,Leyenda!$O$4:$U$10,6,FALSE)</f>
        <v>0,35-0,50</v>
      </c>
      <c r="AJ803" s="18" t="str">
        <f>+VLOOKUP(AG803,Leyenda!$O$4:$U$10,7,FALSE)</f>
        <v>Easy to blast</v>
      </c>
      <c r="AK803" s="18">
        <f>+VLOOKUP(AJ803,Leyenda!$U$4:$V$10,2,FALSE)</f>
        <v>3</v>
      </c>
      <c r="AL803" s="6"/>
      <c r="AM803" s="18" t="s">
        <v>27</v>
      </c>
      <c r="AN803" s="18" t="s">
        <v>64</v>
      </c>
      <c r="AO803" s="18" t="s">
        <v>79</v>
      </c>
      <c r="AP803" s="18" t="s">
        <v>96</v>
      </c>
      <c r="AQ803" s="18" t="s">
        <v>107</v>
      </c>
      <c r="AR803" s="18" t="s">
        <v>120</v>
      </c>
      <c r="AS803" s="18" t="s">
        <v>267</v>
      </c>
      <c r="AT803" s="18"/>
      <c r="AU803" s="6"/>
      <c r="AV803" s="36">
        <f>+VLOOKUP(AN803,Leyenda!$B$30:$E$34,3,FALSE)</f>
        <v>2</v>
      </c>
      <c r="AW803" s="36">
        <f>+VLOOKUP('2. Logging Brejo Seco'!AO803,Meteorizacion,3,FALSE)</f>
        <v>1</v>
      </c>
      <c r="AX803" s="36">
        <f>+VLOOKUP('2. Logging Brejo Seco'!AP803,Apertura,3,FALSE)</f>
        <v>1</v>
      </c>
      <c r="AY803" s="36">
        <f>+VLOOKUP('2. Logging Brejo Seco'!AQ803,Leyenda!$B$55:$D$59,3,FALSE)</f>
        <v>3</v>
      </c>
      <c r="AZ803" s="36">
        <f>+VLOOKUP('2. Logging Brejo Seco'!AR803,Relleno,3,FALSE)</f>
        <v>2</v>
      </c>
      <c r="BA803" s="36">
        <f t="shared" si="293"/>
        <v>9</v>
      </c>
      <c r="BB803" s="50">
        <f t="shared" si="294"/>
        <v>3</v>
      </c>
      <c r="BC803" s="49">
        <f>VLOOKUP(AH803,Leyenda!$B$4:$D$10,3,FALSE)</f>
        <v>4</v>
      </c>
      <c r="BD803" s="50">
        <f t="shared" si="295"/>
        <v>7</v>
      </c>
      <c r="BE803" s="50">
        <f t="shared" si="296"/>
        <v>9</v>
      </c>
      <c r="BF803" s="50">
        <f>VLOOKUP(AS803,Leyenda!$B$70:$D$75,3,FALSE)</f>
        <v>15</v>
      </c>
      <c r="BG803" s="110">
        <f t="shared" si="297"/>
        <v>19.815789473684191</v>
      </c>
      <c r="BH803" s="110">
        <f>VLOOKUP(AG803,Leyenda!$B$4:$E$10,4,FALSE)</f>
        <v>4</v>
      </c>
      <c r="BI803" s="67">
        <f t="shared" si="298"/>
        <v>9</v>
      </c>
      <c r="BJ803" s="110">
        <f t="shared" si="299"/>
        <v>3</v>
      </c>
      <c r="BK803" s="110">
        <f>+VLOOKUP('2. Logging Brejo Seco'!AP803,Leyenda!$B$47:$E$51,4,FALSE)</f>
        <v>1</v>
      </c>
      <c r="BL803" s="110">
        <f>+VLOOKUP('2. Logging Brejo Seco'!AQ803,Leyenda!$B$55:$E$59,4,FALSE)</f>
        <v>3</v>
      </c>
      <c r="BM803" s="110">
        <f>+VLOOKUP('2. Logging Brejo Seco'!AR803,Leyenda!$B$63:$E$67,3,FALSE)</f>
        <v>2</v>
      </c>
      <c r="BN803" s="110">
        <f>+VLOOKUP('2. Logging Brejo Seco'!AO803,Leyenda!$B$39:$E$43,4,FALSE)</f>
        <v>1</v>
      </c>
      <c r="BO803" s="110">
        <f>+VLOOKUP('2. Logging Brejo Seco'!AN803,Leyenda!$B$30:$E$34,4,FALSE)</f>
        <v>3</v>
      </c>
      <c r="BP803" s="110">
        <f>VLOOKUP(AS803,Leyenda!$B$71:$E$75,4,FALSE)</f>
        <v>10</v>
      </c>
      <c r="BQ803" s="110">
        <f t="shared" si="300"/>
        <v>36</v>
      </c>
      <c r="BR803" s="36">
        <f t="shared" si="301"/>
        <v>38</v>
      </c>
      <c r="BS803" s="240">
        <f t="shared" si="307"/>
        <v>0.31578947368421251</v>
      </c>
      <c r="BT803" s="6"/>
    </row>
    <row r="804" spans="1:72" x14ac:dyDescent="0.25">
      <c r="A804" s="18" t="s">
        <v>6</v>
      </c>
      <c r="B804" s="18">
        <v>2024</v>
      </c>
      <c r="C804" s="18" t="s">
        <v>138</v>
      </c>
      <c r="D804" s="18" t="s">
        <v>659</v>
      </c>
      <c r="E804" s="3">
        <v>20</v>
      </c>
      <c r="F804" s="3">
        <v>20</v>
      </c>
      <c r="G804" s="18" t="s">
        <v>156</v>
      </c>
      <c r="H804" s="3">
        <v>40</v>
      </c>
      <c r="I804" s="3" t="s">
        <v>757</v>
      </c>
      <c r="J804" s="3"/>
      <c r="K804" s="18">
        <f t="shared" si="305"/>
        <v>33.85</v>
      </c>
      <c r="L804" s="183">
        <v>34.450000000000003</v>
      </c>
      <c r="M804" s="4">
        <f t="shared" si="313"/>
        <v>0.60000000000000142</v>
      </c>
      <c r="N804" s="113">
        <f t="shared" si="312"/>
        <v>0.5333333333333321</v>
      </c>
      <c r="O804" s="5">
        <f t="shared" si="303"/>
        <v>0.4666666666666679</v>
      </c>
      <c r="P804" s="18">
        <v>0.32</v>
      </c>
      <c r="Q804" s="182"/>
      <c r="R804" s="182"/>
      <c r="S804" s="182"/>
      <c r="T804" s="204">
        <v>0.32</v>
      </c>
      <c r="U804" s="204">
        <v>0.18</v>
      </c>
      <c r="V804" s="205">
        <f t="shared" si="314"/>
        <v>29.999999999999925</v>
      </c>
      <c r="W804" s="183"/>
      <c r="X804" s="183"/>
      <c r="Y804" s="183">
        <v>5</v>
      </c>
      <c r="Z804" s="31">
        <f t="shared" si="308"/>
        <v>120.00000000000027</v>
      </c>
      <c r="AA804" s="6"/>
      <c r="AB804" s="6"/>
      <c r="AC804" s="6"/>
      <c r="AD804" s="6"/>
      <c r="AE804" s="6"/>
      <c r="AF804" s="6"/>
      <c r="AG804" s="3" t="s">
        <v>27</v>
      </c>
      <c r="AH804" s="3" t="s">
        <v>27</v>
      </c>
      <c r="AI804" s="18" t="str">
        <f>+VLOOKUP(AH804,Leyenda!$O$4:$U$10,6,FALSE)</f>
        <v>0,35-0,50</v>
      </c>
      <c r="AJ804" s="18" t="str">
        <f>+VLOOKUP(AG804,Leyenda!$O$4:$U$10,7,FALSE)</f>
        <v>Easy to blast</v>
      </c>
      <c r="AK804" s="18">
        <f>+VLOOKUP(AJ804,Leyenda!$U$4:$V$10,2,FALSE)</f>
        <v>3</v>
      </c>
      <c r="AL804" s="6"/>
      <c r="AM804" s="18" t="s">
        <v>27</v>
      </c>
      <c r="AN804" s="18" t="s">
        <v>64</v>
      </c>
      <c r="AO804" s="18" t="s">
        <v>79</v>
      </c>
      <c r="AP804" s="18" t="s">
        <v>96</v>
      </c>
      <c r="AQ804" s="18" t="s">
        <v>107</v>
      </c>
      <c r="AR804" s="18" t="s">
        <v>120</v>
      </c>
      <c r="AS804" s="18" t="s">
        <v>267</v>
      </c>
      <c r="AT804" s="18"/>
      <c r="AU804" s="6"/>
      <c r="AV804" s="36">
        <f>+VLOOKUP(AN804,Leyenda!$B$30:$E$34,3,FALSE)</f>
        <v>2</v>
      </c>
      <c r="AW804" s="36">
        <f>+VLOOKUP('2. Logging Brejo Seco'!AO804,Meteorizacion,3,FALSE)</f>
        <v>1</v>
      </c>
      <c r="AX804" s="36">
        <f>+VLOOKUP('2. Logging Brejo Seco'!AP804,Apertura,3,FALSE)</f>
        <v>1</v>
      </c>
      <c r="AY804" s="36">
        <f>+VLOOKUP('2. Logging Brejo Seco'!AQ804,Leyenda!$B$55:$D$59,3,FALSE)</f>
        <v>3</v>
      </c>
      <c r="AZ804" s="36">
        <f>+VLOOKUP('2. Logging Brejo Seco'!AR804,Relleno,3,FALSE)</f>
        <v>2</v>
      </c>
      <c r="BA804" s="36">
        <f t="shared" si="293"/>
        <v>9</v>
      </c>
      <c r="BB804" s="50">
        <f t="shared" si="294"/>
        <v>6</v>
      </c>
      <c r="BC804" s="49">
        <f>VLOOKUP(AH804,Leyenda!$B$4:$D$10,3,FALSE)</f>
        <v>4</v>
      </c>
      <c r="BD804" s="50">
        <f t="shared" si="295"/>
        <v>8</v>
      </c>
      <c r="BE804" s="50">
        <f t="shared" si="296"/>
        <v>9</v>
      </c>
      <c r="BF804" s="50">
        <f>VLOOKUP(AS804,Leyenda!$B$70:$D$75,3,FALSE)</f>
        <v>15</v>
      </c>
      <c r="BG804" s="110">
        <f t="shared" si="297"/>
        <v>28.499999999999964</v>
      </c>
      <c r="BH804" s="110">
        <f>VLOOKUP(AG804,Leyenda!$B$4:$E$10,4,FALSE)</f>
        <v>4</v>
      </c>
      <c r="BI804" s="67">
        <f t="shared" si="298"/>
        <v>9</v>
      </c>
      <c r="BJ804" s="110">
        <f t="shared" si="299"/>
        <v>6</v>
      </c>
      <c r="BK804" s="110">
        <f>+VLOOKUP('2. Logging Brejo Seco'!AP804,Leyenda!$B$47:$E$51,4,FALSE)</f>
        <v>1</v>
      </c>
      <c r="BL804" s="110">
        <f>+VLOOKUP('2. Logging Brejo Seco'!AQ804,Leyenda!$B$55:$E$59,4,FALSE)</f>
        <v>3</v>
      </c>
      <c r="BM804" s="110">
        <f>+VLOOKUP('2. Logging Brejo Seco'!AR804,Leyenda!$B$63:$E$67,3,FALSE)</f>
        <v>2</v>
      </c>
      <c r="BN804" s="110">
        <f>+VLOOKUP('2. Logging Brejo Seco'!AO804,Leyenda!$B$39:$E$43,4,FALSE)</f>
        <v>1</v>
      </c>
      <c r="BO804" s="110">
        <f>+VLOOKUP('2. Logging Brejo Seco'!AN804,Leyenda!$B$30:$E$34,4,FALSE)</f>
        <v>3</v>
      </c>
      <c r="BP804" s="110">
        <f>VLOOKUP(AS804,Leyenda!$B$71:$E$75,4,FALSE)</f>
        <v>10</v>
      </c>
      <c r="BQ804" s="110">
        <f t="shared" si="300"/>
        <v>39</v>
      </c>
      <c r="BR804" s="36">
        <f t="shared" si="301"/>
        <v>42</v>
      </c>
      <c r="BS804" s="240">
        <f t="shared" si="307"/>
        <v>0.4666666666666679</v>
      </c>
      <c r="BT804" s="6"/>
    </row>
    <row r="805" spans="1:72" x14ac:dyDescent="0.25">
      <c r="A805" s="18" t="s">
        <v>6</v>
      </c>
      <c r="B805" s="18">
        <v>2024</v>
      </c>
      <c r="C805" s="18" t="s">
        <v>138</v>
      </c>
      <c r="D805" s="18" t="s">
        <v>659</v>
      </c>
      <c r="E805" s="3">
        <v>20</v>
      </c>
      <c r="F805" s="3">
        <v>20</v>
      </c>
      <c r="G805" s="18" t="s">
        <v>156</v>
      </c>
      <c r="H805" s="3">
        <v>40</v>
      </c>
      <c r="I805" s="3" t="s">
        <v>757</v>
      </c>
      <c r="J805" s="3"/>
      <c r="K805" s="18">
        <f t="shared" si="305"/>
        <v>34.450000000000003</v>
      </c>
      <c r="L805" s="183">
        <v>34.950000000000003</v>
      </c>
      <c r="M805" s="4">
        <f t="shared" si="313"/>
        <v>0.5</v>
      </c>
      <c r="N805" s="113">
        <f t="shared" si="312"/>
        <v>0.7</v>
      </c>
      <c r="O805" s="5">
        <f t="shared" si="303"/>
        <v>0.30000000000000004</v>
      </c>
      <c r="P805" s="18">
        <v>0.35</v>
      </c>
      <c r="Q805" s="182"/>
      <c r="R805" s="182"/>
      <c r="S805" s="182"/>
      <c r="T805" s="204">
        <v>0.35</v>
      </c>
      <c r="U805" s="204">
        <v>0</v>
      </c>
      <c r="V805" s="205">
        <f t="shared" si="314"/>
        <v>0</v>
      </c>
      <c r="W805" s="183"/>
      <c r="X805" s="183"/>
      <c r="Y805" s="183">
        <v>8</v>
      </c>
      <c r="Z805" s="31">
        <f t="shared" si="308"/>
        <v>62.5</v>
      </c>
      <c r="AA805" s="6"/>
      <c r="AB805" s="6"/>
      <c r="AC805" s="6"/>
      <c r="AD805" s="6"/>
      <c r="AE805" s="6"/>
      <c r="AF805" s="6"/>
      <c r="AG805" s="3" t="s">
        <v>29</v>
      </c>
      <c r="AH805" s="3" t="s">
        <v>29</v>
      </c>
      <c r="AI805" s="18" t="str">
        <f>+VLOOKUP(AH805,Leyenda!$O$4:$U$10,6,FALSE)</f>
        <v>0,25-0,35</v>
      </c>
      <c r="AJ805" s="18" t="str">
        <f>+VLOOKUP(AG805,Leyenda!$O$4:$U$10,7,FALSE)</f>
        <v>No Blasting need</v>
      </c>
      <c r="AK805" s="18">
        <f>+VLOOKUP(AJ805,Leyenda!$U$4:$V$10,2,FALSE)</f>
        <v>2</v>
      </c>
      <c r="AL805" s="6"/>
      <c r="AM805" s="18" t="s">
        <v>29</v>
      </c>
      <c r="AN805" s="18" t="s">
        <v>66</v>
      </c>
      <c r="AO805" s="18" t="s">
        <v>79</v>
      </c>
      <c r="AP805" s="18" t="s">
        <v>96</v>
      </c>
      <c r="AQ805" s="18" t="s">
        <v>107</v>
      </c>
      <c r="AR805" s="18" t="s">
        <v>120</v>
      </c>
      <c r="AS805" s="18" t="s">
        <v>267</v>
      </c>
      <c r="AT805" s="18"/>
      <c r="AU805" s="6"/>
      <c r="AV805" s="36">
        <f>+VLOOKUP(AN805,Leyenda!$B$30:$E$34,3,FALSE)</f>
        <v>1</v>
      </c>
      <c r="AW805" s="36">
        <f>+VLOOKUP('2. Logging Brejo Seco'!AO805,Meteorizacion,3,FALSE)</f>
        <v>1</v>
      </c>
      <c r="AX805" s="36">
        <f>+VLOOKUP('2. Logging Brejo Seco'!AP805,Apertura,3,FALSE)</f>
        <v>1</v>
      </c>
      <c r="AY805" s="36">
        <f>+VLOOKUP('2. Logging Brejo Seco'!AQ805,Leyenda!$B$55:$D$59,3,FALSE)</f>
        <v>3</v>
      </c>
      <c r="AZ805" s="36">
        <f>+VLOOKUP('2. Logging Brejo Seco'!AR805,Relleno,3,FALSE)</f>
        <v>2</v>
      </c>
      <c r="BA805" s="36">
        <f t="shared" si="293"/>
        <v>8</v>
      </c>
      <c r="BB805" s="50">
        <f t="shared" si="294"/>
        <v>0</v>
      </c>
      <c r="BC805" s="49">
        <f>VLOOKUP(AH805,Leyenda!$B$4:$D$10,3,FALSE)</f>
        <v>2</v>
      </c>
      <c r="BD805" s="50">
        <f t="shared" si="295"/>
        <v>6</v>
      </c>
      <c r="BE805" s="50">
        <f t="shared" si="296"/>
        <v>8</v>
      </c>
      <c r="BF805" s="50">
        <f>VLOOKUP(AS805,Leyenda!$B$70:$D$75,3,FALSE)</f>
        <v>15</v>
      </c>
      <c r="BG805" s="110">
        <f t="shared" si="297"/>
        <v>12</v>
      </c>
      <c r="BH805" s="110">
        <f>VLOOKUP(AG805,Leyenda!$B$4:$E$10,4,FALSE)</f>
        <v>2</v>
      </c>
      <c r="BI805" s="67">
        <f t="shared" si="298"/>
        <v>5</v>
      </c>
      <c r="BJ805" s="110">
        <f t="shared" si="299"/>
        <v>0</v>
      </c>
      <c r="BK805" s="110">
        <f>+VLOOKUP('2. Logging Brejo Seco'!AP805,Leyenda!$B$47:$E$51,4,FALSE)</f>
        <v>1</v>
      </c>
      <c r="BL805" s="110">
        <f>+VLOOKUP('2. Logging Brejo Seco'!AQ805,Leyenda!$B$55:$E$59,4,FALSE)</f>
        <v>3</v>
      </c>
      <c r="BM805" s="110">
        <f>+VLOOKUP('2. Logging Brejo Seco'!AR805,Leyenda!$B$63:$E$67,3,FALSE)</f>
        <v>2</v>
      </c>
      <c r="BN805" s="110">
        <f>+VLOOKUP('2. Logging Brejo Seco'!AO805,Leyenda!$B$39:$E$43,4,FALSE)</f>
        <v>1</v>
      </c>
      <c r="BO805" s="110">
        <f>+VLOOKUP('2. Logging Brejo Seco'!AN805,Leyenda!$B$30:$E$34,4,FALSE)</f>
        <v>1</v>
      </c>
      <c r="BP805" s="110">
        <f>VLOOKUP(AS805,Leyenda!$B$71:$E$75,4,FALSE)</f>
        <v>10</v>
      </c>
      <c r="BQ805" s="110">
        <f t="shared" si="300"/>
        <v>25</v>
      </c>
      <c r="BR805" s="36">
        <f t="shared" si="301"/>
        <v>31</v>
      </c>
      <c r="BS805" s="240">
        <f t="shared" si="307"/>
        <v>0.30000000000000004</v>
      </c>
      <c r="BT805" s="6"/>
    </row>
    <row r="806" spans="1:72" x14ac:dyDescent="0.25">
      <c r="A806" s="18" t="s">
        <v>6</v>
      </c>
      <c r="B806" s="18">
        <v>2024</v>
      </c>
      <c r="C806" s="18" t="s">
        <v>138</v>
      </c>
      <c r="D806" s="18" t="s">
        <v>659</v>
      </c>
      <c r="E806" s="3">
        <v>20</v>
      </c>
      <c r="F806" s="191">
        <v>20</v>
      </c>
      <c r="G806" s="18" t="s">
        <v>156</v>
      </c>
      <c r="H806" s="3">
        <v>40</v>
      </c>
      <c r="I806" s="3" t="s">
        <v>757</v>
      </c>
      <c r="J806" s="3"/>
      <c r="K806" s="18">
        <f t="shared" si="305"/>
        <v>34.950000000000003</v>
      </c>
      <c r="L806" s="183">
        <v>35.799999999999997</v>
      </c>
      <c r="M806" s="4">
        <f t="shared" si="313"/>
        <v>0.84999999999999432</v>
      </c>
      <c r="N806" s="113">
        <f t="shared" si="312"/>
        <v>0.58823529411765096</v>
      </c>
      <c r="O806" s="5">
        <f t="shared" si="303"/>
        <v>0.41176470588234904</v>
      </c>
      <c r="P806" s="18">
        <v>0.5</v>
      </c>
      <c r="Q806" s="182"/>
      <c r="R806" s="182"/>
      <c r="S806" s="182"/>
      <c r="T806" s="204">
        <v>0.5</v>
      </c>
      <c r="U806" s="204">
        <v>0</v>
      </c>
      <c r="V806" s="205">
        <f t="shared" si="314"/>
        <v>0</v>
      </c>
      <c r="W806" s="183"/>
      <c r="X806" s="183"/>
      <c r="Y806" s="183">
        <v>9</v>
      </c>
      <c r="Z806" s="31">
        <f t="shared" si="308"/>
        <v>94.444444444443818</v>
      </c>
      <c r="AA806" s="6"/>
      <c r="AB806" s="6"/>
      <c r="AC806" s="6"/>
      <c r="AD806" s="6"/>
      <c r="AE806" s="6"/>
      <c r="AF806" s="6"/>
      <c r="AG806" s="3" t="s">
        <v>29</v>
      </c>
      <c r="AH806" s="3" t="s">
        <v>29</v>
      </c>
      <c r="AI806" s="18" t="str">
        <f>+VLOOKUP(AH806,Leyenda!$O$4:$U$10,6,FALSE)</f>
        <v>0,25-0,35</v>
      </c>
      <c r="AJ806" s="18" t="str">
        <f>+VLOOKUP(AG806,Leyenda!$O$4:$U$10,7,FALSE)</f>
        <v>No Blasting need</v>
      </c>
      <c r="AK806" s="18">
        <f>+VLOOKUP(AJ806,Leyenda!$U$4:$V$10,2,FALSE)</f>
        <v>2</v>
      </c>
      <c r="AL806" s="6"/>
      <c r="AM806" s="18" t="s">
        <v>29</v>
      </c>
      <c r="AN806" s="18" t="s">
        <v>66</v>
      </c>
      <c r="AO806" s="18" t="s">
        <v>79</v>
      </c>
      <c r="AP806" s="18" t="s">
        <v>96</v>
      </c>
      <c r="AQ806" s="18" t="s">
        <v>107</v>
      </c>
      <c r="AR806" s="18" t="s">
        <v>120</v>
      </c>
      <c r="AS806" s="18" t="s">
        <v>267</v>
      </c>
      <c r="AT806" s="18"/>
      <c r="AU806" s="6"/>
      <c r="AV806" s="36">
        <f>+VLOOKUP(AN806,Leyenda!$B$30:$E$34,3,FALSE)</f>
        <v>1</v>
      </c>
      <c r="AW806" s="36">
        <f>+VLOOKUP('2. Logging Brejo Seco'!AO806,Meteorizacion,3,FALSE)</f>
        <v>1</v>
      </c>
      <c r="AX806" s="36">
        <f>+VLOOKUP('2. Logging Brejo Seco'!AP806,Apertura,3,FALSE)</f>
        <v>1</v>
      </c>
      <c r="AY806" s="36">
        <f>+VLOOKUP('2. Logging Brejo Seco'!AQ806,Leyenda!$B$55:$D$59,3,FALSE)</f>
        <v>3</v>
      </c>
      <c r="AZ806" s="36">
        <f>+VLOOKUP('2. Logging Brejo Seco'!AR806,Relleno,3,FALSE)</f>
        <v>2</v>
      </c>
      <c r="BA806" s="36">
        <f t="shared" ref="BA806:BA871" si="316">+SUM(AV806:AZ806)</f>
        <v>8</v>
      </c>
      <c r="BB806" s="50">
        <f t="shared" ref="BB806:BB871" si="317">ROUND(-0.0002*POWER(V806,2)+0.2197*V806,0)</f>
        <v>0</v>
      </c>
      <c r="BC806" s="49">
        <f>VLOOKUP(AH806,Leyenda!$B$4:$D$10,3,FALSE)</f>
        <v>2</v>
      </c>
      <c r="BD806" s="50">
        <f t="shared" ref="BD806:BD871" si="318">IF(Z806="",ROUND((IF(Z806&lt;=400,1.5478*POWER(Z806,0.3351),-2*POWER(10,-6)*POWER(Z806,2)+0.0091*Z806+8.1704)),0),ROUND((IF(Z806&lt;=400,1.5478*POWER(Z806,0.3351),-2*POWER(10,-6)*POWER(Z806,2)+0.0091*Z806+8.1704)),0))</f>
        <v>7</v>
      </c>
      <c r="BE806" s="50">
        <f t="shared" ref="BE806:BE871" si="319">+BA806</f>
        <v>8</v>
      </c>
      <c r="BF806" s="50">
        <f>VLOOKUP(AS806,Leyenda!$B$70:$D$75,3,FALSE)</f>
        <v>15</v>
      </c>
      <c r="BG806" s="110">
        <f t="shared" ref="BG806:BG871" si="320">1.5*BA806+(V806*0.5)</f>
        <v>12</v>
      </c>
      <c r="BH806" s="110">
        <f>VLOOKUP(AG806,Leyenda!$B$4:$E$10,4,FALSE)</f>
        <v>2</v>
      </c>
      <c r="BI806" s="67">
        <f t="shared" ref="BI806:BI871" si="321">IF(Z806="",ROUND(IF(Z806&lt;=50,5,IF(Z806&gt;=3000,30,6.038*LN(Z806)-19.63)),0),ROUND(IF(Z806&lt;=50,5,IF(Z806&gt;=3000,30,6.038*LN(Z806)-19.63)),0))</f>
        <v>8</v>
      </c>
      <c r="BJ806" s="110">
        <f t="shared" ref="BJ806:BJ871" si="322">ROUND(-0.0002*POWER(V806,2)+0.2197*V806,0)</f>
        <v>0</v>
      </c>
      <c r="BK806" s="110">
        <f>+VLOOKUP('2. Logging Brejo Seco'!AP806,Leyenda!$B$47:$E$51,4,FALSE)</f>
        <v>1</v>
      </c>
      <c r="BL806" s="110">
        <f>+VLOOKUP('2. Logging Brejo Seco'!AQ806,Leyenda!$B$55:$E$59,4,FALSE)</f>
        <v>3</v>
      </c>
      <c r="BM806" s="110">
        <f>+VLOOKUP('2. Logging Brejo Seco'!AR806,Leyenda!$B$63:$E$67,3,FALSE)</f>
        <v>2</v>
      </c>
      <c r="BN806" s="110">
        <f>+VLOOKUP('2. Logging Brejo Seco'!AO806,Leyenda!$B$39:$E$43,4,FALSE)</f>
        <v>1</v>
      </c>
      <c r="BO806" s="110">
        <f>+VLOOKUP('2. Logging Brejo Seco'!AN806,Leyenda!$B$30:$E$34,4,FALSE)</f>
        <v>1</v>
      </c>
      <c r="BP806" s="110">
        <f>VLOOKUP(AS806,Leyenda!$B$71:$E$75,4,FALSE)</f>
        <v>10</v>
      </c>
      <c r="BQ806" s="110">
        <f t="shared" ref="BQ806:BQ871" si="323">+BH806+BI806+BJ806+BK806+BL806+BM806+BN806+BO806+BP806</f>
        <v>28</v>
      </c>
      <c r="BR806" s="36">
        <f t="shared" ref="BR806:BR871" si="324">+BC806+BD806+BB806+BE806+BF806</f>
        <v>32</v>
      </c>
      <c r="BS806" s="240">
        <f t="shared" si="307"/>
        <v>0.41176470588234904</v>
      </c>
      <c r="BT806" s="6"/>
    </row>
    <row r="807" spans="1:72" x14ac:dyDescent="0.25">
      <c r="A807" s="18" t="s">
        <v>6</v>
      </c>
      <c r="B807" s="18">
        <v>2024</v>
      </c>
      <c r="C807" s="18" t="s">
        <v>138</v>
      </c>
      <c r="D807" s="18" t="s">
        <v>659</v>
      </c>
      <c r="E807" s="3">
        <v>20</v>
      </c>
      <c r="F807" s="191">
        <v>20</v>
      </c>
      <c r="G807" s="18" t="s">
        <v>156</v>
      </c>
      <c r="H807" s="3">
        <v>40</v>
      </c>
      <c r="I807" s="3" t="s">
        <v>757</v>
      </c>
      <c r="J807" s="3"/>
      <c r="K807" s="18">
        <f t="shared" si="305"/>
        <v>35.799999999999997</v>
      </c>
      <c r="L807" s="183">
        <v>36.6</v>
      </c>
      <c r="M807" s="4">
        <f t="shared" si="313"/>
        <v>0.80000000000000426</v>
      </c>
      <c r="N807" s="113">
        <f t="shared" si="312"/>
        <v>0.69999999999999629</v>
      </c>
      <c r="O807" s="5">
        <f t="shared" si="303"/>
        <v>0.30000000000000371</v>
      </c>
      <c r="P807" s="18">
        <v>0.56000000000000005</v>
      </c>
      <c r="Q807" s="182"/>
      <c r="R807" s="182"/>
      <c r="S807" s="182"/>
      <c r="T807" s="204">
        <v>0.56000000000000005</v>
      </c>
      <c r="U807" s="204">
        <v>0</v>
      </c>
      <c r="V807" s="205">
        <f t="shared" si="314"/>
        <v>0</v>
      </c>
      <c r="W807" s="183"/>
      <c r="X807" s="183"/>
      <c r="Y807" s="183">
        <v>12</v>
      </c>
      <c r="Z807" s="31">
        <f t="shared" si="308"/>
        <v>66.666666666667027</v>
      </c>
      <c r="AA807" s="6"/>
      <c r="AB807" s="6"/>
      <c r="AC807" s="6"/>
      <c r="AD807" s="6"/>
      <c r="AE807" s="6"/>
      <c r="AF807" s="6"/>
      <c r="AG807" s="3" t="s">
        <v>29</v>
      </c>
      <c r="AH807" s="3" t="s">
        <v>29</v>
      </c>
      <c r="AI807" s="18" t="str">
        <f>+VLOOKUP(AH807,Leyenda!$O$4:$U$10,6,FALSE)</f>
        <v>0,25-0,35</v>
      </c>
      <c r="AJ807" s="18" t="str">
        <f>+VLOOKUP(AG807,Leyenda!$O$4:$U$10,7,FALSE)</f>
        <v>No Blasting need</v>
      </c>
      <c r="AK807" s="18">
        <f>+VLOOKUP(AJ807,Leyenda!$U$4:$V$10,2,FALSE)</f>
        <v>2</v>
      </c>
      <c r="AL807" s="6"/>
      <c r="AM807" s="18" t="s">
        <v>29</v>
      </c>
      <c r="AN807" s="18" t="s">
        <v>66</v>
      </c>
      <c r="AO807" s="18" t="s">
        <v>79</v>
      </c>
      <c r="AP807" s="18" t="s">
        <v>96</v>
      </c>
      <c r="AQ807" s="18" t="s">
        <v>107</v>
      </c>
      <c r="AR807" s="18" t="s">
        <v>120</v>
      </c>
      <c r="AS807" s="18" t="s">
        <v>267</v>
      </c>
      <c r="AT807" s="18"/>
      <c r="AU807" s="6"/>
      <c r="AV807" s="36">
        <f>+VLOOKUP(AN807,Leyenda!$B$30:$E$34,3,FALSE)</f>
        <v>1</v>
      </c>
      <c r="AW807" s="36">
        <f>+VLOOKUP('2. Logging Brejo Seco'!AO807,Meteorizacion,3,FALSE)</f>
        <v>1</v>
      </c>
      <c r="AX807" s="36">
        <f>+VLOOKUP('2. Logging Brejo Seco'!AP807,Apertura,3,FALSE)</f>
        <v>1</v>
      </c>
      <c r="AY807" s="36">
        <f>+VLOOKUP('2. Logging Brejo Seco'!AQ807,Leyenda!$B$55:$D$59,3,FALSE)</f>
        <v>3</v>
      </c>
      <c r="AZ807" s="36">
        <f>+VLOOKUP('2. Logging Brejo Seco'!AR807,Relleno,3,FALSE)</f>
        <v>2</v>
      </c>
      <c r="BA807" s="36">
        <f t="shared" si="316"/>
        <v>8</v>
      </c>
      <c r="BB807" s="50">
        <f t="shared" si="317"/>
        <v>0</v>
      </c>
      <c r="BC807" s="49">
        <f>VLOOKUP(AH807,Leyenda!$B$4:$D$10,3,FALSE)</f>
        <v>2</v>
      </c>
      <c r="BD807" s="50">
        <f t="shared" si="318"/>
        <v>6</v>
      </c>
      <c r="BE807" s="50">
        <f t="shared" si="319"/>
        <v>8</v>
      </c>
      <c r="BF807" s="50">
        <f>VLOOKUP(AS807,Leyenda!$B$70:$D$75,3,FALSE)</f>
        <v>15</v>
      </c>
      <c r="BG807" s="110">
        <f t="shared" si="320"/>
        <v>12</v>
      </c>
      <c r="BH807" s="110">
        <f>VLOOKUP(AG807,Leyenda!$B$4:$E$10,4,FALSE)</f>
        <v>2</v>
      </c>
      <c r="BI807" s="67">
        <f t="shared" si="321"/>
        <v>6</v>
      </c>
      <c r="BJ807" s="110">
        <f t="shared" si="322"/>
        <v>0</v>
      </c>
      <c r="BK807" s="110">
        <f>+VLOOKUP('2. Logging Brejo Seco'!AP807,Leyenda!$B$47:$E$51,4,FALSE)</f>
        <v>1</v>
      </c>
      <c r="BL807" s="110">
        <f>+VLOOKUP('2. Logging Brejo Seco'!AQ807,Leyenda!$B$55:$E$59,4,FALSE)</f>
        <v>3</v>
      </c>
      <c r="BM807" s="110">
        <f>+VLOOKUP('2. Logging Brejo Seco'!AR807,Leyenda!$B$63:$E$67,3,FALSE)</f>
        <v>2</v>
      </c>
      <c r="BN807" s="110">
        <f>+VLOOKUP('2. Logging Brejo Seco'!AO807,Leyenda!$B$39:$E$43,4,FALSE)</f>
        <v>1</v>
      </c>
      <c r="BO807" s="110">
        <f>+VLOOKUP('2. Logging Brejo Seco'!AN807,Leyenda!$B$30:$E$34,4,FALSE)</f>
        <v>1</v>
      </c>
      <c r="BP807" s="110">
        <f>VLOOKUP(AS807,Leyenda!$B$71:$E$75,4,FALSE)</f>
        <v>10</v>
      </c>
      <c r="BQ807" s="110">
        <f t="shared" si="323"/>
        <v>26</v>
      </c>
      <c r="BR807" s="36">
        <f t="shared" si="324"/>
        <v>31</v>
      </c>
      <c r="BS807" s="240">
        <f t="shared" si="307"/>
        <v>0.30000000000000371</v>
      </c>
      <c r="BT807" s="6"/>
    </row>
    <row r="808" spans="1:72" x14ac:dyDescent="0.25">
      <c r="A808" s="18" t="s">
        <v>6</v>
      </c>
      <c r="B808" s="18">
        <v>2024</v>
      </c>
      <c r="C808" s="18" t="s">
        <v>138</v>
      </c>
      <c r="D808" s="18" t="s">
        <v>659</v>
      </c>
      <c r="E808" s="3">
        <v>20</v>
      </c>
      <c r="F808" s="191">
        <v>40</v>
      </c>
      <c r="G808" s="18" t="s">
        <v>156</v>
      </c>
      <c r="H808" s="3">
        <v>40</v>
      </c>
      <c r="I808" s="3" t="s">
        <v>757</v>
      </c>
      <c r="J808" s="3"/>
      <c r="K808" s="18">
        <f t="shared" si="305"/>
        <v>36.6</v>
      </c>
      <c r="L808" s="18">
        <v>37.25</v>
      </c>
      <c r="M808" s="4">
        <f t="shared" si="313"/>
        <v>0.64999999999999858</v>
      </c>
      <c r="N808" s="113">
        <f t="shared" si="312"/>
        <v>0.4153846153846163</v>
      </c>
      <c r="O808" s="5">
        <f t="shared" si="303"/>
        <v>0.58461538461538365</v>
      </c>
      <c r="P808" s="4">
        <v>0.27</v>
      </c>
      <c r="Q808" s="18"/>
      <c r="R808" s="18"/>
      <c r="S808" s="18"/>
      <c r="T808" s="49">
        <v>0.27</v>
      </c>
      <c r="U808" s="49">
        <v>0</v>
      </c>
      <c r="V808" s="18">
        <f t="shared" si="314"/>
        <v>0</v>
      </c>
      <c r="W808" s="18"/>
      <c r="X808" s="18"/>
      <c r="Y808" s="18">
        <v>4</v>
      </c>
      <c r="Z808" s="31">
        <f t="shared" si="308"/>
        <v>162.49999999999966</v>
      </c>
      <c r="AA808" s="6"/>
      <c r="AB808" s="6"/>
      <c r="AC808" s="6"/>
      <c r="AD808" s="6"/>
      <c r="AE808" s="6"/>
      <c r="AF808" s="6"/>
      <c r="AG808" s="3" t="s">
        <v>29</v>
      </c>
      <c r="AH808" s="3" t="s">
        <v>29</v>
      </c>
      <c r="AI808" s="18" t="str">
        <f>+VLOOKUP(AH808,Leyenda!$O$4:$U$10,6,FALSE)</f>
        <v>0,25-0,35</v>
      </c>
      <c r="AJ808" s="18" t="str">
        <f>+VLOOKUP(AG808,Leyenda!$O$4:$U$10,7,FALSE)</f>
        <v>No Blasting need</v>
      </c>
      <c r="AK808" s="18">
        <f>+VLOOKUP(AJ808,Leyenda!$U$4:$V$10,2,FALSE)</f>
        <v>2</v>
      </c>
      <c r="AL808" s="6"/>
      <c r="AM808" s="18" t="s">
        <v>29</v>
      </c>
      <c r="AN808" s="18" t="s">
        <v>66</v>
      </c>
      <c r="AO808" s="18" t="s">
        <v>79</v>
      </c>
      <c r="AP808" s="18" t="s">
        <v>96</v>
      </c>
      <c r="AQ808" s="18" t="s">
        <v>107</v>
      </c>
      <c r="AR808" s="18" t="s">
        <v>120</v>
      </c>
      <c r="AS808" s="18" t="s">
        <v>267</v>
      </c>
      <c r="AT808" s="18"/>
      <c r="AU808" s="6"/>
      <c r="AV808" s="18">
        <f>+VLOOKUP(AN808,Leyenda!$B$30:$E$34,3,FALSE)</f>
        <v>1</v>
      </c>
      <c r="AW808" s="18">
        <f>+VLOOKUP('2. Logging Brejo Seco'!AO808,Meteorizacion,3,FALSE)</f>
        <v>1</v>
      </c>
      <c r="AX808" s="18">
        <f>+VLOOKUP('2. Logging Brejo Seco'!AP808,Apertura,3,FALSE)</f>
        <v>1</v>
      </c>
      <c r="AY808" s="18">
        <f>+VLOOKUP('2. Logging Brejo Seco'!AQ808,Leyenda!$B$55:$D$59,3,FALSE)</f>
        <v>3</v>
      </c>
      <c r="AZ808" s="18">
        <f>+VLOOKUP('2. Logging Brejo Seco'!AR808,Relleno,3,FALSE)</f>
        <v>2</v>
      </c>
      <c r="BA808" s="18">
        <f t="shared" si="316"/>
        <v>8</v>
      </c>
      <c r="BB808" s="49">
        <f t="shared" si="317"/>
        <v>0</v>
      </c>
      <c r="BC808" s="49">
        <f>VLOOKUP(AH808,Leyenda!$B$4:$D$10,3,FALSE)</f>
        <v>2</v>
      </c>
      <c r="BD808" s="49">
        <f t="shared" si="318"/>
        <v>9</v>
      </c>
      <c r="BE808" s="49">
        <f t="shared" si="319"/>
        <v>8</v>
      </c>
      <c r="BF808" s="49">
        <f>VLOOKUP(AS808,Leyenda!$B$70:$D$75,3,FALSE)</f>
        <v>15</v>
      </c>
      <c r="BG808" s="67">
        <f t="shared" si="320"/>
        <v>12</v>
      </c>
      <c r="BH808" s="67">
        <f>VLOOKUP(AG808,Leyenda!$B$4:$E$10,4,FALSE)</f>
        <v>2</v>
      </c>
      <c r="BI808" s="67">
        <f t="shared" si="321"/>
        <v>11</v>
      </c>
      <c r="BJ808" s="67">
        <f t="shared" si="322"/>
        <v>0</v>
      </c>
      <c r="BK808" s="67">
        <f>+VLOOKUP('2. Logging Brejo Seco'!AP808,Leyenda!$B$47:$E$51,4,FALSE)</f>
        <v>1</v>
      </c>
      <c r="BL808" s="67">
        <f>+VLOOKUP('2. Logging Brejo Seco'!AQ808,Leyenda!$B$55:$E$59,4,FALSE)</f>
        <v>3</v>
      </c>
      <c r="BM808" s="67">
        <f>+VLOOKUP('2. Logging Brejo Seco'!AR808,Leyenda!$B$63:$E$67,3,FALSE)</f>
        <v>2</v>
      </c>
      <c r="BN808" s="67">
        <f>+VLOOKUP('2. Logging Brejo Seco'!AO808,Leyenda!$B$39:$E$43,4,FALSE)</f>
        <v>1</v>
      </c>
      <c r="BO808" s="67">
        <f>+VLOOKUP('2. Logging Brejo Seco'!AN808,Leyenda!$B$30:$E$34,4,FALSE)</f>
        <v>1</v>
      </c>
      <c r="BP808" s="67">
        <f>VLOOKUP(AS808,Leyenda!$B$71:$E$75,4,FALSE)</f>
        <v>10</v>
      </c>
      <c r="BQ808" s="67">
        <f t="shared" si="323"/>
        <v>31</v>
      </c>
      <c r="BR808" s="18">
        <f t="shared" si="324"/>
        <v>34</v>
      </c>
      <c r="BS808" s="240">
        <f t="shared" si="307"/>
        <v>0.58461538461538365</v>
      </c>
      <c r="BT808" s="6"/>
    </row>
    <row r="809" spans="1:72" x14ac:dyDescent="0.25">
      <c r="A809" s="18" t="s">
        <v>6</v>
      </c>
      <c r="B809" s="18">
        <v>2024</v>
      </c>
      <c r="C809" s="18" t="s">
        <v>138</v>
      </c>
      <c r="D809" s="18" t="s">
        <v>659</v>
      </c>
      <c r="E809" s="3">
        <v>20</v>
      </c>
      <c r="F809" s="191">
        <v>40</v>
      </c>
      <c r="G809" s="18" t="s">
        <v>156</v>
      </c>
      <c r="H809" s="3">
        <v>40</v>
      </c>
      <c r="I809" s="3" t="s">
        <v>757</v>
      </c>
      <c r="J809" s="3"/>
      <c r="K809" s="18">
        <f t="shared" si="305"/>
        <v>37.25</v>
      </c>
      <c r="L809" s="18">
        <v>38.65</v>
      </c>
      <c r="M809" s="4">
        <f t="shared" si="313"/>
        <v>1.3999999999999986</v>
      </c>
      <c r="N809" s="113">
        <f t="shared" si="312"/>
        <v>0.7214285714285722</v>
      </c>
      <c r="O809" s="5">
        <f t="shared" si="303"/>
        <v>0.2785714285714278</v>
      </c>
      <c r="P809" s="4">
        <v>1.01</v>
      </c>
      <c r="Q809" s="18"/>
      <c r="R809" s="18"/>
      <c r="S809" s="18"/>
      <c r="T809" s="49">
        <v>1.01</v>
      </c>
      <c r="U809" s="49">
        <v>0.22</v>
      </c>
      <c r="V809" s="18">
        <f t="shared" si="314"/>
        <v>15.714285714285731</v>
      </c>
      <c r="W809" s="18"/>
      <c r="X809" s="18"/>
      <c r="Y809" s="18">
        <v>13</v>
      </c>
      <c r="Z809" s="31">
        <f t="shared" si="308"/>
        <v>107.69230769230759</v>
      </c>
      <c r="AA809" s="6"/>
      <c r="AB809" s="6"/>
      <c r="AC809" s="6"/>
      <c r="AD809" s="6"/>
      <c r="AE809" s="6"/>
      <c r="AF809" s="6"/>
      <c r="AG809" s="3" t="s">
        <v>32</v>
      </c>
      <c r="AH809" s="3" t="s">
        <v>32</v>
      </c>
      <c r="AI809" s="18" t="str">
        <f>+VLOOKUP(AH809,Leyenda!$O$4:$U$10,6,FALSE)</f>
        <v>0,15-0,25</v>
      </c>
      <c r="AJ809" s="18" t="str">
        <f>+VLOOKUP(AG809,Leyenda!$O$4:$U$10,7,FALSE)</f>
        <v>No Blasting need</v>
      </c>
      <c r="AK809" s="18">
        <f>+VLOOKUP(AJ809,Leyenda!$U$4:$V$10,2,FALSE)</f>
        <v>2</v>
      </c>
      <c r="AL809" s="6"/>
      <c r="AM809" s="18" t="s">
        <v>32</v>
      </c>
      <c r="AN809" s="18" t="s">
        <v>66</v>
      </c>
      <c r="AO809" s="18" t="s">
        <v>79</v>
      </c>
      <c r="AP809" s="18" t="s">
        <v>96</v>
      </c>
      <c r="AQ809" s="18" t="s">
        <v>109</v>
      </c>
      <c r="AR809" s="18" t="s">
        <v>120</v>
      </c>
      <c r="AS809" s="18" t="s">
        <v>267</v>
      </c>
      <c r="AT809" s="18"/>
      <c r="AU809" s="6"/>
      <c r="AV809" s="18">
        <f>+VLOOKUP(AN809,Leyenda!$B$30:$E$34,3,FALSE)</f>
        <v>1</v>
      </c>
      <c r="AW809" s="18">
        <f>+VLOOKUP('2. Logging Brejo Seco'!AO809,Meteorizacion,3,FALSE)</f>
        <v>1</v>
      </c>
      <c r="AX809" s="18">
        <f>+VLOOKUP('2. Logging Brejo Seco'!AP809,Apertura,3,FALSE)</f>
        <v>1</v>
      </c>
      <c r="AY809" s="18">
        <f>+VLOOKUP('2. Logging Brejo Seco'!AQ809,Leyenda!$B$55:$D$59,3,FALSE)</f>
        <v>1</v>
      </c>
      <c r="AZ809" s="18">
        <f>+VLOOKUP('2. Logging Brejo Seco'!AR809,Relleno,3,FALSE)</f>
        <v>2</v>
      </c>
      <c r="BA809" s="18">
        <f t="shared" si="316"/>
        <v>6</v>
      </c>
      <c r="BB809" s="49">
        <f t="shared" si="317"/>
        <v>3</v>
      </c>
      <c r="BC809" s="49">
        <f>VLOOKUP(AH809,Leyenda!$B$4:$D$10,3,FALSE)</f>
        <v>1</v>
      </c>
      <c r="BD809" s="49">
        <f t="shared" si="318"/>
        <v>7</v>
      </c>
      <c r="BE809" s="49">
        <f t="shared" si="319"/>
        <v>6</v>
      </c>
      <c r="BF809" s="49">
        <f>VLOOKUP(AS809,Leyenda!$B$70:$D$75,3,FALSE)</f>
        <v>15</v>
      </c>
      <c r="BG809" s="67">
        <f t="shared" si="320"/>
        <v>16.857142857142865</v>
      </c>
      <c r="BH809" s="67">
        <f>VLOOKUP(AG809,Leyenda!$B$4:$E$10,4,FALSE)</f>
        <v>1</v>
      </c>
      <c r="BI809" s="67">
        <f t="shared" si="321"/>
        <v>9</v>
      </c>
      <c r="BJ809" s="67">
        <f t="shared" si="322"/>
        <v>3</v>
      </c>
      <c r="BK809" s="67">
        <f>+VLOOKUP('2. Logging Brejo Seco'!AP809,Leyenda!$B$47:$E$51,4,FALSE)</f>
        <v>1</v>
      </c>
      <c r="BL809" s="67">
        <f>+VLOOKUP('2. Logging Brejo Seco'!AQ809,Leyenda!$B$55:$E$59,4,FALSE)</f>
        <v>1</v>
      </c>
      <c r="BM809" s="67">
        <f>+VLOOKUP('2. Logging Brejo Seco'!AR809,Leyenda!$B$63:$E$67,3,FALSE)</f>
        <v>2</v>
      </c>
      <c r="BN809" s="67">
        <f>+VLOOKUP('2. Logging Brejo Seco'!AO809,Leyenda!$B$39:$E$43,4,FALSE)</f>
        <v>1</v>
      </c>
      <c r="BO809" s="67">
        <f>+VLOOKUP('2. Logging Brejo Seco'!AN809,Leyenda!$B$30:$E$34,4,FALSE)</f>
        <v>1</v>
      </c>
      <c r="BP809" s="67">
        <f>VLOOKUP(AS809,Leyenda!$B$71:$E$75,4,FALSE)</f>
        <v>10</v>
      </c>
      <c r="BQ809" s="67">
        <f t="shared" si="323"/>
        <v>29</v>
      </c>
      <c r="BR809" s="18">
        <f t="shared" si="324"/>
        <v>32</v>
      </c>
      <c r="BS809" s="240">
        <f t="shared" si="307"/>
        <v>0.2785714285714278</v>
      </c>
      <c r="BT809" s="6"/>
    </row>
    <row r="810" spans="1:72" x14ac:dyDescent="0.25">
      <c r="A810" s="18" t="s">
        <v>6</v>
      </c>
      <c r="B810" s="18">
        <v>2024</v>
      </c>
      <c r="C810" s="18" t="s">
        <v>138</v>
      </c>
      <c r="D810" s="18" t="s">
        <v>659</v>
      </c>
      <c r="E810" s="3">
        <v>20</v>
      </c>
      <c r="F810" s="191">
        <v>20</v>
      </c>
      <c r="G810" s="18" t="s">
        <v>156</v>
      </c>
      <c r="H810" s="3">
        <v>40</v>
      </c>
      <c r="I810" s="3" t="s">
        <v>757</v>
      </c>
      <c r="J810" s="3"/>
      <c r="K810" s="18">
        <f t="shared" si="305"/>
        <v>38.65</v>
      </c>
      <c r="L810" s="18">
        <v>39.299999999999997</v>
      </c>
      <c r="M810" s="4">
        <f t="shared" si="313"/>
        <v>0.64999999999999858</v>
      </c>
      <c r="N810" s="113">
        <f t="shared" si="312"/>
        <v>0.64615384615384752</v>
      </c>
      <c r="O810" s="5">
        <f t="shared" si="303"/>
        <v>0.35384615384615248</v>
      </c>
      <c r="P810" s="4">
        <v>0.42</v>
      </c>
      <c r="Q810" s="18"/>
      <c r="R810" s="18"/>
      <c r="S810" s="18"/>
      <c r="T810" s="49">
        <v>0.42</v>
      </c>
      <c r="U810" s="49">
        <v>0</v>
      </c>
      <c r="V810" s="4">
        <f t="shared" si="314"/>
        <v>0</v>
      </c>
      <c r="W810" s="18"/>
      <c r="X810" s="18"/>
      <c r="Y810" s="18">
        <v>10</v>
      </c>
      <c r="Z810" s="31">
        <f t="shared" si="308"/>
        <v>64.999999999999858</v>
      </c>
      <c r="AA810" s="6"/>
      <c r="AB810" s="6"/>
      <c r="AC810" s="6"/>
      <c r="AD810" s="6"/>
      <c r="AE810" s="6"/>
      <c r="AF810" s="6"/>
      <c r="AG810" s="3" t="s">
        <v>32</v>
      </c>
      <c r="AH810" s="3" t="s">
        <v>32</v>
      </c>
      <c r="AI810" s="18" t="str">
        <f>+VLOOKUP(AH810,Leyenda!$O$4:$U$10,6,FALSE)</f>
        <v>0,15-0,25</v>
      </c>
      <c r="AJ810" s="18" t="str">
        <f>+VLOOKUP(AG810,Leyenda!$O$4:$U$10,7,FALSE)</f>
        <v>No Blasting need</v>
      </c>
      <c r="AK810" s="18">
        <f>+VLOOKUP(AJ810,Leyenda!$U$4:$V$10,2,FALSE)</f>
        <v>2</v>
      </c>
      <c r="AL810" s="6"/>
      <c r="AM810" s="18" t="s">
        <v>32</v>
      </c>
      <c r="AN810" s="18" t="s">
        <v>66</v>
      </c>
      <c r="AO810" s="18" t="s">
        <v>81</v>
      </c>
      <c r="AP810" s="18" t="s">
        <v>100</v>
      </c>
      <c r="AQ810" s="18" t="s">
        <v>109</v>
      </c>
      <c r="AR810" s="18" t="s">
        <v>120</v>
      </c>
      <c r="AS810" s="18" t="s">
        <v>267</v>
      </c>
      <c r="AT810" s="18"/>
      <c r="AU810" s="6"/>
      <c r="AV810" s="36">
        <f>+VLOOKUP(AN810,Leyenda!$B$30:$E$34,3,FALSE)</f>
        <v>1</v>
      </c>
      <c r="AW810" s="36">
        <f>+VLOOKUP('2. Logging Brejo Seco'!AO810,Meteorizacion,3,FALSE)</f>
        <v>0</v>
      </c>
      <c r="AX810" s="36">
        <f>+VLOOKUP('2. Logging Brejo Seco'!AP810,Apertura,3,FALSE)</f>
        <v>0</v>
      </c>
      <c r="AY810" s="36">
        <f>+VLOOKUP('2. Logging Brejo Seco'!AQ810,Leyenda!$B$55:$D$59,3,FALSE)</f>
        <v>1</v>
      </c>
      <c r="AZ810" s="36">
        <f>+VLOOKUP('2. Logging Brejo Seco'!AR810,Relleno,3,FALSE)</f>
        <v>2</v>
      </c>
      <c r="BA810" s="36">
        <f t="shared" si="316"/>
        <v>4</v>
      </c>
      <c r="BB810" s="50">
        <f t="shared" si="317"/>
        <v>0</v>
      </c>
      <c r="BC810" s="49">
        <f>VLOOKUP(AH810,Leyenda!$B$4:$D$10,3,FALSE)</f>
        <v>1</v>
      </c>
      <c r="BD810" s="50">
        <f t="shared" si="318"/>
        <v>6</v>
      </c>
      <c r="BE810" s="50">
        <f t="shared" si="319"/>
        <v>4</v>
      </c>
      <c r="BF810" s="50">
        <f>VLOOKUP(AS810,Leyenda!$B$70:$D$75,3,FALSE)</f>
        <v>15</v>
      </c>
      <c r="BG810" s="110">
        <f t="shared" si="320"/>
        <v>6</v>
      </c>
      <c r="BH810" s="110">
        <f>VLOOKUP(AG810,Leyenda!$B$4:$E$10,4,FALSE)</f>
        <v>1</v>
      </c>
      <c r="BI810" s="67">
        <f t="shared" si="321"/>
        <v>6</v>
      </c>
      <c r="BJ810" s="110">
        <f t="shared" si="322"/>
        <v>0</v>
      </c>
      <c r="BK810" s="110">
        <f>+VLOOKUP('2. Logging Brejo Seco'!AP810,Leyenda!$B$47:$E$51,4,FALSE)</f>
        <v>0</v>
      </c>
      <c r="BL810" s="110">
        <f>+VLOOKUP('2. Logging Brejo Seco'!AQ810,Leyenda!$B$55:$E$59,4,FALSE)</f>
        <v>1</v>
      </c>
      <c r="BM810" s="110">
        <f>+VLOOKUP('2. Logging Brejo Seco'!AR810,Leyenda!$B$63:$E$67,3,FALSE)</f>
        <v>2</v>
      </c>
      <c r="BN810" s="110">
        <f>+VLOOKUP('2. Logging Brejo Seco'!AO810,Leyenda!$B$39:$E$43,4,FALSE)</f>
        <v>0</v>
      </c>
      <c r="BO810" s="110">
        <f>+VLOOKUP('2. Logging Brejo Seco'!AN810,Leyenda!$B$30:$E$34,4,FALSE)</f>
        <v>1</v>
      </c>
      <c r="BP810" s="110">
        <f>VLOOKUP(AS810,Leyenda!$B$71:$E$75,4,FALSE)</f>
        <v>10</v>
      </c>
      <c r="BQ810" s="110">
        <f t="shared" si="323"/>
        <v>21</v>
      </c>
      <c r="BR810" s="36">
        <f t="shared" si="324"/>
        <v>26</v>
      </c>
      <c r="BS810" s="240">
        <f t="shared" si="307"/>
        <v>0.35384615384615248</v>
      </c>
      <c r="BT810" s="6"/>
    </row>
    <row r="811" spans="1:72" x14ac:dyDescent="0.25">
      <c r="A811" s="18" t="s">
        <v>6</v>
      </c>
      <c r="B811" s="18">
        <v>2024</v>
      </c>
      <c r="C811" s="18" t="s">
        <v>138</v>
      </c>
      <c r="D811" s="18" t="s">
        <v>659</v>
      </c>
      <c r="E811" s="3">
        <v>20</v>
      </c>
      <c r="F811" s="191">
        <v>20</v>
      </c>
      <c r="G811" s="18" t="s">
        <v>156</v>
      </c>
      <c r="H811" s="3">
        <v>40</v>
      </c>
      <c r="I811" s="3" t="s">
        <v>757</v>
      </c>
      <c r="J811" s="3"/>
      <c r="K811" s="18">
        <f t="shared" si="305"/>
        <v>39.299999999999997</v>
      </c>
      <c r="L811" s="18">
        <v>40.1</v>
      </c>
      <c r="M811" s="4">
        <f t="shared" si="313"/>
        <v>0.80000000000000426</v>
      </c>
      <c r="N811" s="113">
        <f t="shared" si="312"/>
        <v>0.66249999999999654</v>
      </c>
      <c r="O811" s="5">
        <f t="shared" si="303"/>
        <v>0.33750000000000346</v>
      </c>
      <c r="P811" s="4">
        <v>0.53</v>
      </c>
      <c r="Q811" s="18"/>
      <c r="R811" s="18"/>
      <c r="S811" s="18"/>
      <c r="T811" s="49">
        <v>0.53</v>
      </c>
      <c r="U811" s="49">
        <v>0</v>
      </c>
      <c r="V811" s="4">
        <f t="shared" si="314"/>
        <v>0</v>
      </c>
      <c r="W811" s="18"/>
      <c r="X811" s="18"/>
      <c r="Y811" s="18">
        <v>10</v>
      </c>
      <c r="Z811" s="31">
        <f t="shared" si="308"/>
        <v>80.000000000000426</v>
      </c>
      <c r="AA811" s="6"/>
      <c r="AB811" s="6"/>
      <c r="AC811" s="6"/>
      <c r="AD811" s="6"/>
      <c r="AE811" s="6"/>
      <c r="AF811" s="6"/>
      <c r="AG811" s="3" t="s">
        <v>32</v>
      </c>
      <c r="AH811" s="3" t="s">
        <v>32</v>
      </c>
      <c r="AI811" s="18" t="str">
        <f>+VLOOKUP(AH811,Leyenda!$O$4:$U$10,6,FALSE)</f>
        <v>0,15-0,25</v>
      </c>
      <c r="AJ811" s="18" t="str">
        <f>+VLOOKUP(AG811,Leyenda!$O$4:$U$10,7,FALSE)</f>
        <v>No Blasting need</v>
      </c>
      <c r="AK811" s="18">
        <f>+VLOOKUP(AJ811,Leyenda!$U$4:$V$10,2,FALSE)</f>
        <v>2</v>
      </c>
      <c r="AL811" s="6"/>
      <c r="AM811" s="18" t="s">
        <v>32</v>
      </c>
      <c r="AN811" s="18" t="s">
        <v>66</v>
      </c>
      <c r="AO811" s="18" t="s">
        <v>81</v>
      </c>
      <c r="AP811" s="18" t="s">
        <v>100</v>
      </c>
      <c r="AQ811" s="18" t="s">
        <v>109</v>
      </c>
      <c r="AR811" s="18" t="s">
        <v>120</v>
      </c>
      <c r="AS811" s="18" t="s">
        <v>267</v>
      </c>
      <c r="AT811" s="18"/>
      <c r="AU811" s="6"/>
      <c r="AV811" s="36">
        <f>+VLOOKUP(AN811,Leyenda!$B$30:$E$34,3,FALSE)</f>
        <v>1</v>
      </c>
      <c r="AW811" s="36">
        <f>+VLOOKUP('2. Logging Brejo Seco'!AO811,Meteorizacion,3,FALSE)</f>
        <v>0</v>
      </c>
      <c r="AX811" s="36">
        <f>+VLOOKUP('2. Logging Brejo Seco'!AP811,Apertura,3,FALSE)</f>
        <v>0</v>
      </c>
      <c r="AY811" s="36">
        <f>+VLOOKUP('2. Logging Brejo Seco'!AQ811,Leyenda!$B$55:$D$59,3,FALSE)</f>
        <v>1</v>
      </c>
      <c r="AZ811" s="36">
        <f>+VLOOKUP('2. Logging Brejo Seco'!AR811,Relleno,3,FALSE)</f>
        <v>2</v>
      </c>
      <c r="BA811" s="36">
        <f t="shared" si="316"/>
        <v>4</v>
      </c>
      <c r="BB811" s="50">
        <f t="shared" si="317"/>
        <v>0</v>
      </c>
      <c r="BC811" s="49">
        <f>VLOOKUP(AH811,Leyenda!$B$4:$D$10,3,FALSE)</f>
        <v>1</v>
      </c>
      <c r="BD811" s="50">
        <f t="shared" si="318"/>
        <v>7</v>
      </c>
      <c r="BE811" s="50">
        <f t="shared" si="319"/>
        <v>4</v>
      </c>
      <c r="BF811" s="50">
        <f>VLOOKUP(AS811,Leyenda!$B$70:$D$75,3,FALSE)</f>
        <v>15</v>
      </c>
      <c r="BG811" s="110">
        <f t="shared" si="320"/>
        <v>6</v>
      </c>
      <c r="BH811" s="110">
        <f>VLOOKUP(AG811,Leyenda!$B$4:$E$10,4,FALSE)</f>
        <v>1</v>
      </c>
      <c r="BI811" s="67">
        <f t="shared" si="321"/>
        <v>7</v>
      </c>
      <c r="BJ811" s="110">
        <f t="shared" si="322"/>
        <v>0</v>
      </c>
      <c r="BK811" s="110">
        <f>+VLOOKUP('2. Logging Brejo Seco'!AP811,Leyenda!$B$47:$E$51,4,FALSE)</f>
        <v>0</v>
      </c>
      <c r="BL811" s="110">
        <f>+VLOOKUP('2. Logging Brejo Seco'!AQ811,Leyenda!$B$55:$E$59,4,FALSE)</f>
        <v>1</v>
      </c>
      <c r="BM811" s="110">
        <f>+VLOOKUP('2. Logging Brejo Seco'!AR811,Leyenda!$B$63:$E$67,3,FALSE)</f>
        <v>2</v>
      </c>
      <c r="BN811" s="110">
        <f>+VLOOKUP('2. Logging Brejo Seco'!AO811,Leyenda!$B$39:$E$43,4,FALSE)</f>
        <v>0</v>
      </c>
      <c r="BO811" s="110">
        <f>+VLOOKUP('2. Logging Brejo Seco'!AN811,Leyenda!$B$30:$E$34,4,FALSE)</f>
        <v>1</v>
      </c>
      <c r="BP811" s="110">
        <f>VLOOKUP(AS811,Leyenda!$B$71:$E$75,4,FALSE)</f>
        <v>10</v>
      </c>
      <c r="BQ811" s="110">
        <f t="shared" si="323"/>
        <v>22</v>
      </c>
      <c r="BR811" s="36">
        <f t="shared" si="324"/>
        <v>27</v>
      </c>
      <c r="BS811" s="240">
        <f t="shared" si="307"/>
        <v>0.33750000000000346</v>
      </c>
      <c r="BT811" s="6"/>
    </row>
    <row r="812" spans="1:72" x14ac:dyDescent="0.25">
      <c r="A812" s="18" t="s">
        <v>6</v>
      </c>
      <c r="B812" s="18">
        <v>2024</v>
      </c>
      <c r="C812" s="18" t="s">
        <v>138</v>
      </c>
      <c r="D812" s="18" t="s">
        <v>659</v>
      </c>
      <c r="E812" s="3">
        <v>20</v>
      </c>
      <c r="F812" s="191">
        <v>20</v>
      </c>
      <c r="G812" s="18" t="s">
        <v>156</v>
      </c>
      <c r="H812" s="3">
        <v>30</v>
      </c>
      <c r="I812" s="3" t="s">
        <v>759</v>
      </c>
      <c r="J812" s="3"/>
      <c r="K812" s="18">
        <f t="shared" si="305"/>
        <v>40.1</v>
      </c>
      <c r="L812" s="18">
        <v>42</v>
      </c>
      <c r="M812" s="4">
        <f t="shared" si="313"/>
        <v>1.8999999999999986</v>
      </c>
      <c r="N812" s="113">
        <f t="shared" si="312"/>
        <v>0.70526315789473737</v>
      </c>
      <c r="O812" s="5">
        <f t="shared" si="303"/>
        <v>0.29473684210526263</v>
      </c>
      <c r="P812" s="4">
        <f>1.02+0.32</f>
        <v>1.34</v>
      </c>
      <c r="Q812" s="18"/>
      <c r="R812" s="18"/>
      <c r="S812" s="18"/>
      <c r="T812" s="49">
        <v>1.3</v>
      </c>
      <c r="U812" s="49">
        <v>0</v>
      </c>
      <c r="V812" s="4">
        <f t="shared" si="314"/>
        <v>0</v>
      </c>
      <c r="W812" s="18"/>
      <c r="X812" s="18"/>
      <c r="Y812" s="18">
        <v>20</v>
      </c>
      <c r="Z812" s="31">
        <f t="shared" si="308"/>
        <v>94.999999999999929</v>
      </c>
      <c r="AA812" s="6"/>
      <c r="AB812" s="6"/>
      <c r="AC812" s="6"/>
      <c r="AD812" s="6"/>
      <c r="AE812" s="6"/>
      <c r="AF812" s="6"/>
      <c r="AG812" s="3" t="s">
        <v>32</v>
      </c>
      <c r="AH812" s="3" t="s">
        <v>32</v>
      </c>
      <c r="AI812" s="18" t="str">
        <f>+VLOOKUP(AH812,Leyenda!$O$4:$U$10,6,FALSE)</f>
        <v>0,15-0,25</v>
      </c>
      <c r="AJ812" s="18" t="str">
        <f>+VLOOKUP(AG812,Leyenda!$O$4:$U$10,7,FALSE)</f>
        <v>No Blasting need</v>
      </c>
      <c r="AK812" s="18">
        <f>+VLOOKUP(AJ812,Leyenda!$U$4:$V$10,2,FALSE)</f>
        <v>2</v>
      </c>
      <c r="AL812" s="6"/>
      <c r="AM812" s="18" t="s">
        <v>32</v>
      </c>
      <c r="AN812" s="18" t="s">
        <v>66</v>
      </c>
      <c r="AO812" s="18" t="s">
        <v>81</v>
      </c>
      <c r="AP812" s="18" t="s">
        <v>100</v>
      </c>
      <c r="AQ812" s="18" t="s">
        <v>109</v>
      </c>
      <c r="AR812" s="18" t="s">
        <v>120</v>
      </c>
      <c r="AS812" s="18" t="s">
        <v>267</v>
      </c>
      <c r="AT812" s="18"/>
      <c r="AU812" s="6"/>
      <c r="AV812" s="36">
        <f>+VLOOKUP(AN812,Leyenda!$B$30:$E$34,3,FALSE)</f>
        <v>1</v>
      </c>
      <c r="AW812" s="36">
        <f>+VLOOKUP('2. Logging Brejo Seco'!AO812,Meteorizacion,3,FALSE)</f>
        <v>0</v>
      </c>
      <c r="AX812" s="36">
        <f>+VLOOKUP('2. Logging Brejo Seco'!AP812,Apertura,3,FALSE)</f>
        <v>0</v>
      </c>
      <c r="AY812" s="36">
        <f>+VLOOKUP('2. Logging Brejo Seco'!AQ812,Leyenda!$B$55:$D$59,3,FALSE)</f>
        <v>1</v>
      </c>
      <c r="AZ812" s="36">
        <f>+VLOOKUP('2. Logging Brejo Seco'!AR812,Relleno,3,FALSE)</f>
        <v>2</v>
      </c>
      <c r="BA812" s="36">
        <f t="shared" si="316"/>
        <v>4</v>
      </c>
      <c r="BB812" s="50">
        <f t="shared" si="317"/>
        <v>0</v>
      </c>
      <c r="BC812" s="49">
        <f>VLOOKUP(AH812,Leyenda!$B$4:$D$10,3,FALSE)</f>
        <v>1</v>
      </c>
      <c r="BD812" s="50">
        <f t="shared" si="318"/>
        <v>7</v>
      </c>
      <c r="BE812" s="50">
        <f t="shared" si="319"/>
        <v>4</v>
      </c>
      <c r="BF812" s="50">
        <f>VLOOKUP(AS812,Leyenda!$B$70:$D$75,3,FALSE)</f>
        <v>15</v>
      </c>
      <c r="BG812" s="110">
        <f t="shared" si="320"/>
        <v>6</v>
      </c>
      <c r="BH812" s="110">
        <f>VLOOKUP(AG812,Leyenda!$B$4:$E$10,4,FALSE)</f>
        <v>1</v>
      </c>
      <c r="BI812" s="67">
        <f t="shared" si="321"/>
        <v>8</v>
      </c>
      <c r="BJ812" s="110">
        <f t="shared" si="322"/>
        <v>0</v>
      </c>
      <c r="BK812" s="110">
        <f>+VLOOKUP('2. Logging Brejo Seco'!AP812,Leyenda!$B$47:$E$51,4,FALSE)</f>
        <v>0</v>
      </c>
      <c r="BL812" s="110">
        <f>+VLOOKUP('2. Logging Brejo Seco'!AQ812,Leyenda!$B$55:$E$59,4,FALSE)</f>
        <v>1</v>
      </c>
      <c r="BM812" s="110">
        <f>+VLOOKUP('2. Logging Brejo Seco'!AR812,Leyenda!$B$63:$E$67,3,FALSE)</f>
        <v>2</v>
      </c>
      <c r="BN812" s="110">
        <f>+VLOOKUP('2. Logging Brejo Seco'!AO812,Leyenda!$B$39:$E$43,4,FALSE)</f>
        <v>0</v>
      </c>
      <c r="BO812" s="110">
        <f>+VLOOKUP('2. Logging Brejo Seco'!AN812,Leyenda!$B$30:$E$34,4,FALSE)</f>
        <v>1</v>
      </c>
      <c r="BP812" s="110">
        <f>VLOOKUP(AS812,Leyenda!$B$71:$E$75,4,FALSE)</f>
        <v>10</v>
      </c>
      <c r="BQ812" s="110">
        <f t="shared" si="323"/>
        <v>23</v>
      </c>
      <c r="BR812" s="36">
        <f t="shared" si="324"/>
        <v>27</v>
      </c>
      <c r="BS812" s="240">
        <f t="shared" si="307"/>
        <v>0.29473684210526263</v>
      </c>
      <c r="BT812" s="6"/>
    </row>
    <row r="813" spans="1:72" x14ac:dyDescent="0.25">
      <c r="A813" s="18" t="s">
        <v>6</v>
      </c>
      <c r="B813" s="18">
        <v>2024</v>
      </c>
      <c r="C813" s="18" t="s">
        <v>138</v>
      </c>
      <c r="D813" s="18" t="s">
        <v>659</v>
      </c>
      <c r="E813" s="3">
        <v>20</v>
      </c>
      <c r="F813" s="191">
        <v>20</v>
      </c>
      <c r="G813" s="18" t="s">
        <v>156</v>
      </c>
      <c r="H813" s="3">
        <v>30</v>
      </c>
      <c r="I813" s="3" t="s">
        <v>759</v>
      </c>
      <c r="J813" s="3"/>
      <c r="K813" s="18">
        <f t="shared" si="305"/>
        <v>42</v>
      </c>
      <c r="L813" s="18">
        <v>43</v>
      </c>
      <c r="M813" s="4">
        <f t="shared" si="313"/>
        <v>1</v>
      </c>
      <c r="N813" s="113">
        <f t="shared" si="312"/>
        <v>0.72</v>
      </c>
      <c r="O813" s="5">
        <f t="shared" si="303"/>
        <v>0.28000000000000003</v>
      </c>
      <c r="P813" s="4">
        <v>0.72</v>
      </c>
      <c r="Q813" s="18"/>
      <c r="R813" s="18"/>
      <c r="S813" s="18"/>
      <c r="T813" s="49">
        <v>0.72</v>
      </c>
      <c r="U813" s="49">
        <v>0</v>
      </c>
      <c r="V813" s="4">
        <f t="shared" si="314"/>
        <v>0</v>
      </c>
      <c r="W813" s="18"/>
      <c r="X813" s="18"/>
      <c r="Y813" s="18">
        <v>15</v>
      </c>
      <c r="Z813" s="31">
        <f t="shared" si="308"/>
        <v>66.666666666666671</v>
      </c>
      <c r="AA813" s="6"/>
      <c r="AB813" s="6"/>
      <c r="AC813" s="6"/>
      <c r="AD813" s="6"/>
      <c r="AE813" s="6"/>
      <c r="AF813" s="6"/>
      <c r="AG813" s="3" t="s">
        <v>32</v>
      </c>
      <c r="AH813" s="3" t="s">
        <v>32</v>
      </c>
      <c r="AI813" s="18" t="str">
        <f>+VLOOKUP(AH813,Leyenda!$O$4:$U$10,6,FALSE)</f>
        <v>0,15-0,25</v>
      </c>
      <c r="AJ813" s="18" t="str">
        <f>+VLOOKUP(AG813,Leyenda!$O$4:$U$10,7,FALSE)</f>
        <v>No Blasting need</v>
      </c>
      <c r="AK813" s="18">
        <f>+VLOOKUP(AJ813,Leyenda!$U$4:$V$10,2,FALSE)</f>
        <v>2</v>
      </c>
      <c r="AL813" s="6"/>
      <c r="AM813" s="18" t="s">
        <v>32</v>
      </c>
      <c r="AN813" s="18" t="s">
        <v>66</v>
      </c>
      <c r="AO813" s="18" t="s">
        <v>81</v>
      </c>
      <c r="AP813" s="18" t="s">
        <v>100</v>
      </c>
      <c r="AQ813" s="18" t="s">
        <v>109</v>
      </c>
      <c r="AR813" s="18" t="s">
        <v>120</v>
      </c>
      <c r="AS813" s="18" t="s">
        <v>267</v>
      </c>
      <c r="AT813" s="18"/>
      <c r="AU813" s="6"/>
      <c r="AV813" s="36">
        <f>+VLOOKUP(AN813,Leyenda!$B$30:$E$34,3,FALSE)</f>
        <v>1</v>
      </c>
      <c r="AW813" s="36">
        <f>+VLOOKUP('2. Logging Brejo Seco'!AO813,Meteorizacion,3,FALSE)</f>
        <v>0</v>
      </c>
      <c r="AX813" s="36">
        <f>+VLOOKUP('2. Logging Brejo Seco'!AP813,Apertura,3,FALSE)</f>
        <v>0</v>
      </c>
      <c r="AY813" s="36">
        <f>+VLOOKUP('2. Logging Brejo Seco'!AQ813,Leyenda!$B$55:$D$59,3,FALSE)</f>
        <v>1</v>
      </c>
      <c r="AZ813" s="36">
        <f>+VLOOKUP('2. Logging Brejo Seco'!AR813,Relleno,3,FALSE)</f>
        <v>2</v>
      </c>
      <c r="BA813" s="36">
        <f t="shared" si="316"/>
        <v>4</v>
      </c>
      <c r="BB813" s="50">
        <f t="shared" si="317"/>
        <v>0</v>
      </c>
      <c r="BC813" s="49">
        <f>VLOOKUP(AH813,Leyenda!$B$4:$D$10,3,FALSE)</f>
        <v>1</v>
      </c>
      <c r="BD813" s="50">
        <f t="shared" si="318"/>
        <v>6</v>
      </c>
      <c r="BE813" s="50">
        <f t="shared" si="319"/>
        <v>4</v>
      </c>
      <c r="BF813" s="50">
        <f>VLOOKUP(AS813,Leyenda!$B$70:$D$75,3,FALSE)</f>
        <v>15</v>
      </c>
      <c r="BG813" s="110">
        <f t="shared" si="320"/>
        <v>6</v>
      </c>
      <c r="BH813" s="110">
        <f>VLOOKUP(AG813,Leyenda!$B$4:$E$10,4,FALSE)</f>
        <v>1</v>
      </c>
      <c r="BI813" s="67">
        <f t="shared" si="321"/>
        <v>6</v>
      </c>
      <c r="BJ813" s="110">
        <f t="shared" si="322"/>
        <v>0</v>
      </c>
      <c r="BK813" s="110">
        <f>+VLOOKUP('2. Logging Brejo Seco'!AP813,Leyenda!$B$47:$E$51,4,FALSE)</f>
        <v>0</v>
      </c>
      <c r="BL813" s="110">
        <f>+VLOOKUP('2. Logging Brejo Seco'!AQ813,Leyenda!$B$55:$E$59,4,FALSE)</f>
        <v>1</v>
      </c>
      <c r="BM813" s="110">
        <f>+VLOOKUP('2. Logging Brejo Seco'!AR813,Leyenda!$B$63:$E$67,3,FALSE)</f>
        <v>2</v>
      </c>
      <c r="BN813" s="110">
        <f>+VLOOKUP('2. Logging Brejo Seco'!AO813,Leyenda!$B$39:$E$43,4,FALSE)</f>
        <v>0</v>
      </c>
      <c r="BO813" s="110">
        <f>+VLOOKUP('2. Logging Brejo Seco'!AN813,Leyenda!$B$30:$E$34,4,FALSE)</f>
        <v>1</v>
      </c>
      <c r="BP813" s="110">
        <f>VLOOKUP(AS813,Leyenda!$B$71:$E$75,4,FALSE)</f>
        <v>10</v>
      </c>
      <c r="BQ813" s="110">
        <f t="shared" si="323"/>
        <v>21</v>
      </c>
      <c r="BR813" s="36">
        <f t="shared" si="324"/>
        <v>26</v>
      </c>
      <c r="BS813" s="240">
        <f t="shared" si="307"/>
        <v>0.28000000000000003</v>
      </c>
      <c r="BT813" s="6"/>
    </row>
    <row r="814" spans="1:72" x14ac:dyDescent="0.25">
      <c r="A814" s="18" t="s">
        <v>6</v>
      </c>
      <c r="B814" s="18">
        <v>2024</v>
      </c>
      <c r="C814" s="18" t="s">
        <v>138</v>
      </c>
      <c r="D814" s="18" t="s">
        <v>659</v>
      </c>
      <c r="E814" s="3">
        <v>20</v>
      </c>
      <c r="F814" s="191">
        <v>20</v>
      </c>
      <c r="G814" s="18" t="s">
        <v>156</v>
      </c>
      <c r="H814" s="3">
        <v>30</v>
      </c>
      <c r="I814" s="3" t="s">
        <v>759</v>
      </c>
      <c r="J814" s="3"/>
      <c r="K814" s="18">
        <f t="shared" si="305"/>
        <v>43</v>
      </c>
      <c r="L814" s="18">
        <v>44.8</v>
      </c>
      <c r="M814" s="4">
        <f t="shared" si="313"/>
        <v>1.7999999999999972</v>
      </c>
      <c r="N814" s="113">
        <f t="shared" si="312"/>
        <v>0.74444444444444569</v>
      </c>
      <c r="O814" s="5">
        <f t="shared" si="303"/>
        <v>0.25555555555555431</v>
      </c>
      <c r="P814" s="4">
        <f>1.1+0.24</f>
        <v>1.34</v>
      </c>
      <c r="Q814" s="18"/>
      <c r="R814" s="18"/>
      <c r="S814" s="18"/>
      <c r="T814" s="49">
        <f>1.1+0.24</f>
        <v>1.34</v>
      </c>
      <c r="U814" s="49">
        <v>0</v>
      </c>
      <c r="V814" s="4">
        <f t="shared" si="314"/>
        <v>0</v>
      </c>
      <c r="W814" s="18"/>
      <c r="X814" s="18"/>
      <c r="Y814" s="18">
        <v>20</v>
      </c>
      <c r="Z814" s="31">
        <f t="shared" si="308"/>
        <v>89.999999999999858</v>
      </c>
      <c r="AA814" s="6"/>
      <c r="AB814" s="6"/>
      <c r="AC814" s="6"/>
      <c r="AD814" s="6"/>
      <c r="AE814" s="6"/>
      <c r="AF814" s="6"/>
      <c r="AG814" s="3" t="s">
        <v>32</v>
      </c>
      <c r="AH814" s="3" t="s">
        <v>32</v>
      </c>
      <c r="AI814" s="18" t="str">
        <f>+VLOOKUP(AH814,Leyenda!$O$4:$U$10,6,FALSE)</f>
        <v>0,15-0,25</v>
      </c>
      <c r="AJ814" s="18" t="str">
        <f>+VLOOKUP(AG814,Leyenda!$O$4:$U$10,7,FALSE)</f>
        <v>No Blasting need</v>
      </c>
      <c r="AK814" s="18">
        <f>+VLOOKUP(AJ814,Leyenda!$U$4:$V$10,2,FALSE)</f>
        <v>2</v>
      </c>
      <c r="AL814" s="6"/>
      <c r="AM814" s="18" t="s">
        <v>32</v>
      </c>
      <c r="AN814" s="18" t="s">
        <v>66</v>
      </c>
      <c r="AO814" s="18" t="s">
        <v>81</v>
      </c>
      <c r="AP814" s="18" t="s">
        <v>100</v>
      </c>
      <c r="AQ814" s="18" t="s">
        <v>109</v>
      </c>
      <c r="AR814" s="18" t="s">
        <v>120</v>
      </c>
      <c r="AS814" s="18" t="s">
        <v>267</v>
      </c>
      <c r="AT814" s="18"/>
      <c r="AU814" s="6"/>
      <c r="AV814" s="36">
        <f>+VLOOKUP(AN814,Leyenda!$B$30:$E$34,3,FALSE)</f>
        <v>1</v>
      </c>
      <c r="AW814" s="36">
        <f>+VLOOKUP('2. Logging Brejo Seco'!AO814,Meteorizacion,3,FALSE)</f>
        <v>0</v>
      </c>
      <c r="AX814" s="36">
        <f>+VLOOKUP('2. Logging Brejo Seco'!AP814,Apertura,3,FALSE)</f>
        <v>0</v>
      </c>
      <c r="AY814" s="36">
        <f>+VLOOKUP('2. Logging Brejo Seco'!AQ814,Leyenda!$B$55:$D$59,3,FALSE)</f>
        <v>1</v>
      </c>
      <c r="AZ814" s="36">
        <f>+VLOOKUP('2. Logging Brejo Seco'!AR814,Relleno,3,FALSE)</f>
        <v>2</v>
      </c>
      <c r="BA814" s="36">
        <f t="shared" si="316"/>
        <v>4</v>
      </c>
      <c r="BB814" s="50">
        <f t="shared" si="317"/>
        <v>0</v>
      </c>
      <c r="BC814" s="49">
        <f>VLOOKUP(AH814,Leyenda!$B$4:$D$10,3,FALSE)</f>
        <v>1</v>
      </c>
      <c r="BD814" s="50">
        <f t="shared" si="318"/>
        <v>7</v>
      </c>
      <c r="BE814" s="50">
        <f t="shared" si="319"/>
        <v>4</v>
      </c>
      <c r="BF814" s="50">
        <f>VLOOKUP(AS814,Leyenda!$B$70:$D$75,3,FALSE)</f>
        <v>15</v>
      </c>
      <c r="BG814" s="110">
        <f t="shared" si="320"/>
        <v>6</v>
      </c>
      <c r="BH814" s="110">
        <f>VLOOKUP(AG814,Leyenda!$B$4:$E$10,4,FALSE)</f>
        <v>1</v>
      </c>
      <c r="BI814" s="67">
        <f t="shared" si="321"/>
        <v>8</v>
      </c>
      <c r="BJ814" s="110">
        <f t="shared" si="322"/>
        <v>0</v>
      </c>
      <c r="BK814" s="110">
        <f>+VLOOKUP('2. Logging Brejo Seco'!AP814,Leyenda!$B$47:$E$51,4,FALSE)</f>
        <v>0</v>
      </c>
      <c r="BL814" s="110">
        <f>+VLOOKUP('2. Logging Brejo Seco'!AQ814,Leyenda!$B$55:$E$59,4,FALSE)</f>
        <v>1</v>
      </c>
      <c r="BM814" s="110">
        <f>+VLOOKUP('2. Logging Brejo Seco'!AR814,Leyenda!$B$63:$E$67,3,FALSE)</f>
        <v>2</v>
      </c>
      <c r="BN814" s="110">
        <f>+VLOOKUP('2. Logging Brejo Seco'!AO814,Leyenda!$B$39:$E$43,4,FALSE)</f>
        <v>0</v>
      </c>
      <c r="BO814" s="110">
        <f>+VLOOKUP('2. Logging Brejo Seco'!AN814,Leyenda!$B$30:$E$34,4,FALSE)</f>
        <v>1</v>
      </c>
      <c r="BP814" s="110">
        <f>VLOOKUP(AS814,Leyenda!$B$71:$E$75,4,FALSE)</f>
        <v>10</v>
      </c>
      <c r="BQ814" s="110">
        <f t="shared" si="323"/>
        <v>23</v>
      </c>
      <c r="BR814" s="36">
        <f t="shared" si="324"/>
        <v>27</v>
      </c>
      <c r="BS814" s="240">
        <f t="shared" si="307"/>
        <v>0.25555555555555431</v>
      </c>
      <c r="BT814" s="6"/>
    </row>
    <row r="815" spans="1:72" x14ac:dyDescent="0.25">
      <c r="A815" s="18" t="s">
        <v>6</v>
      </c>
      <c r="B815" s="18">
        <v>2024</v>
      </c>
      <c r="C815" s="18" t="s">
        <v>138</v>
      </c>
      <c r="D815" s="18" t="s">
        <v>659</v>
      </c>
      <c r="E815" s="3">
        <v>20</v>
      </c>
      <c r="F815" s="191">
        <v>20</v>
      </c>
      <c r="G815" s="18" t="s">
        <v>156</v>
      </c>
      <c r="H815" s="3">
        <v>30</v>
      </c>
      <c r="I815" s="3" t="s">
        <v>759</v>
      </c>
      <c r="J815" s="3"/>
      <c r="K815" s="18">
        <f t="shared" si="305"/>
        <v>44.8</v>
      </c>
      <c r="L815" s="18">
        <v>45.8</v>
      </c>
      <c r="M815" s="4">
        <f t="shared" si="313"/>
        <v>1</v>
      </c>
      <c r="N815" s="113">
        <f t="shared" si="312"/>
        <v>0.69</v>
      </c>
      <c r="O815" s="5">
        <f t="shared" si="303"/>
        <v>0.31000000000000005</v>
      </c>
      <c r="P815" s="4">
        <v>0.69</v>
      </c>
      <c r="Q815" s="18"/>
      <c r="R815" s="18"/>
      <c r="S815" s="18"/>
      <c r="T815" s="49">
        <v>0.69</v>
      </c>
      <c r="U815" s="49">
        <v>0</v>
      </c>
      <c r="V815" s="4">
        <f t="shared" si="314"/>
        <v>0</v>
      </c>
      <c r="W815" s="18"/>
      <c r="X815" s="18"/>
      <c r="Y815" s="18">
        <v>8</v>
      </c>
      <c r="Z815" s="31">
        <f t="shared" si="308"/>
        <v>125</v>
      </c>
      <c r="AA815" s="6"/>
      <c r="AB815" s="6"/>
      <c r="AC815" s="6"/>
      <c r="AD815" s="6"/>
      <c r="AE815" s="6"/>
      <c r="AF815" s="6"/>
      <c r="AG815" s="3" t="s">
        <v>32</v>
      </c>
      <c r="AH815" s="3" t="s">
        <v>32</v>
      </c>
      <c r="AI815" s="18" t="str">
        <f>+VLOOKUP(AH815,Leyenda!$O$4:$U$10,6,FALSE)</f>
        <v>0,15-0,25</v>
      </c>
      <c r="AJ815" s="18" t="str">
        <f>+VLOOKUP(AG815,Leyenda!$O$4:$U$10,7,FALSE)</f>
        <v>No Blasting need</v>
      </c>
      <c r="AK815" s="18">
        <f>+VLOOKUP(AJ815,Leyenda!$U$4:$V$10,2,FALSE)</f>
        <v>2</v>
      </c>
      <c r="AL815" s="6"/>
      <c r="AM815" s="18" t="s">
        <v>32</v>
      </c>
      <c r="AN815" s="18" t="s">
        <v>66</v>
      </c>
      <c r="AO815" s="18" t="s">
        <v>81</v>
      </c>
      <c r="AP815" s="18" t="s">
        <v>100</v>
      </c>
      <c r="AQ815" s="18" t="s">
        <v>109</v>
      </c>
      <c r="AR815" s="18" t="s">
        <v>120</v>
      </c>
      <c r="AS815" s="18" t="s">
        <v>267</v>
      </c>
      <c r="AT815" s="18"/>
      <c r="AU815" s="6"/>
      <c r="AV815" s="36">
        <f>+VLOOKUP(AN815,Leyenda!$B$30:$E$34,3,FALSE)</f>
        <v>1</v>
      </c>
      <c r="AW815" s="36">
        <f>+VLOOKUP('2. Logging Brejo Seco'!AO815,Meteorizacion,3,FALSE)</f>
        <v>0</v>
      </c>
      <c r="AX815" s="36">
        <f>+VLOOKUP('2. Logging Brejo Seco'!AP815,Apertura,3,FALSE)</f>
        <v>0</v>
      </c>
      <c r="AY815" s="36">
        <f>+VLOOKUP('2. Logging Brejo Seco'!AQ815,Leyenda!$B$55:$D$59,3,FALSE)</f>
        <v>1</v>
      </c>
      <c r="AZ815" s="36">
        <f>+VLOOKUP('2. Logging Brejo Seco'!AR815,Relleno,3,FALSE)</f>
        <v>2</v>
      </c>
      <c r="BA815" s="36">
        <f t="shared" si="316"/>
        <v>4</v>
      </c>
      <c r="BB815" s="50">
        <f t="shared" si="317"/>
        <v>0</v>
      </c>
      <c r="BC815" s="49">
        <f>VLOOKUP(AH815,Leyenda!$B$4:$D$10,3,FALSE)</f>
        <v>1</v>
      </c>
      <c r="BD815" s="50">
        <f t="shared" si="318"/>
        <v>8</v>
      </c>
      <c r="BE815" s="50">
        <f t="shared" si="319"/>
        <v>4</v>
      </c>
      <c r="BF815" s="50">
        <f>VLOOKUP(AS815,Leyenda!$B$70:$D$75,3,FALSE)</f>
        <v>15</v>
      </c>
      <c r="BG815" s="110">
        <f t="shared" si="320"/>
        <v>6</v>
      </c>
      <c r="BH815" s="110">
        <f>VLOOKUP(AG815,Leyenda!$B$4:$E$10,4,FALSE)</f>
        <v>1</v>
      </c>
      <c r="BI815" s="67">
        <f t="shared" si="321"/>
        <v>10</v>
      </c>
      <c r="BJ815" s="110">
        <f t="shared" si="322"/>
        <v>0</v>
      </c>
      <c r="BK815" s="110">
        <f>+VLOOKUP('2. Logging Brejo Seco'!AP815,Leyenda!$B$47:$E$51,4,FALSE)</f>
        <v>0</v>
      </c>
      <c r="BL815" s="110">
        <f>+VLOOKUP('2. Logging Brejo Seco'!AQ815,Leyenda!$B$55:$E$59,4,FALSE)</f>
        <v>1</v>
      </c>
      <c r="BM815" s="110">
        <f>+VLOOKUP('2. Logging Brejo Seco'!AR815,Leyenda!$B$63:$E$67,3,FALSE)</f>
        <v>2</v>
      </c>
      <c r="BN815" s="110">
        <f>+VLOOKUP('2. Logging Brejo Seco'!AO815,Leyenda!$B$39:$E$43,4,FALSE)</f>
        <v>0</v>
      </c>
      <c r="BO815" s="110">
        <f>+VLOOKUP('2. Logging Brejo Seco'!AN815,Leyenda!$B$30:$E$34,4,FALSE)</f>
        <v>1</v>
      </c>
      <c r="BP815" s="110">
        <f>VLOOKUP(AS815,Leyenda!$B$71:$E$75,4,FALSE)</f>
        <v>10</v>
      </c>
      <c r="BQ815" s="110">
        <f t="shared" si="323"/>
        <v>25</v>
      </c>
      <c r="BR815" s="36">
        <f t="shared" si="324"/>
        <v>28</v>
      </c>
      <c r="BS815" s="240">
        <f t="shared" si="307"/>
        <v>0.31000000000000005</v>
      </c>
      <c r="BT815" s="6"/>
    </row>
    <row r="816" spans="1:72" x14ac:dyDescent="0.25">
      <c r="A816" s="18" t="s">
        <v>6</v>
      </c>
      <c r="B816" s="18">
        <v>2024</v>
      </c>
      <c r="C816" s="18" t="s">
        <v>138</v>
      </c>
      <c r="D816" s="18" t="s">
        <v>659</v>
      </c>
      <c r="E816" s="3">
        <v>20</v>
      </c>
      <c r="F816" s="191">
        <v>40</v>
      </c>
      <c r="G816" s="18" t="s">
        <v>156</v>
      </c>
      <c r="H816" s="3">
        <v>30</v>
      </c>
      <c r="I816" s="3" t="s">
        <v>759</v>
      </c>
      <c r="J816" s="3"/>
      <c r="K816" s="18">
        <f t="shared" si="305"/>
        <v>45.8</v>
      </c>
      <c r="L816" s="18">
        <v>46.5</v>
      </c>
      <c r="M816" s="4">
        <f t="shared" si="313"/>
        <v>0.70000000000000284</v>
      </c>
      <c r="N816" s="113">
        <f t="shared" si="312"/>
        <v>0.62857142857142601</v>
      </c>
      <c r="O816" s="5">
        <f t="shared" si="303"/>
        <v>0.37142857142857399</v>
      </c>
      <c r="P816" s="4">
        <v>0.44</v>
      </c>
      <c r="Q816" s="18"/>
      <c r="R816" s="18"/>
      <c r="S816" s="18"/>
      <c r="T816" s="49">
        <v>0.44</v>
      </c>
      <c r="U816" s="49">
        <v>0</v>
      </c>
      <c r="V816" s="18">
        <f t="shared" si="314"/>
        <v>0</v>
      </c>
      <c r="W816" s="18"/>
      <c r="X816" s="18"/>
      <c r="Y816" s="18">
        <v>7</v>
      </c>
      <c r="Z816" s="31">
        <f t="shared" si="308"/>
        <v>100.00000000000041</v>
      </c>
      <c r="AA816" s="6"/>
      <c r="AB816" s="6"/>
      <c r="AC816" s="6"/>
      <c r="AD816" s="6"/>
      <c r="AE816" s="6"/>
      <c r="AF816" s="6"/>
      <c r="AG816" s="18" t="s">
        <v>29</v>
      </c>
      <c r="AH816" s="18" t="s">
        <v>29</v>
      </c>
      <c r="AI816" s="18" t="str">
        <f>+VLOOKUP(AH816,Leyenda!$O$4:$U$10,6,FALSE)</f>
        <v>0,25-0,35</v>
      </c>
      <c r="AJ816" s="18" t="str">
        <f>+VLOOKUP(AG816,Leyenda!$O$4:$U$10,7,FALSE)</f>
        <v>No Blasting need</v>
      </c>
      <c r="AK816" s="18">
        <f>+VLOOKUP(AJ816,Leyenda!$U$4:$V$10,2,FALSE)</f>
        <v>2</v>
      </c>
      <c r="AL816" s="18"/>
      <c r="AM816" s="18" t="s">
        <v>29</v>
      </c>
      <c r="AN816" s="18" t="s">
        <v>64</v>
      </c>
      <c r="AO816" s="18" t="s">
        <v>79</v>
      </c>
      <c r="AP816" s="18" t="s">
        <v>96</v>
      </c>
      <c r="AQ816" s="18" t="s">
        <v>109</v>
      </c>
      <c r="AR816" s="18" t="s">
        <v>120</v>
      </c>
      <c r="AS816" s="18" t="s">
        <v>267</v>
      </c>
      <c r="AT816" s="18"/>
      <c r="AU816" s="6"/>
      <c r="AV816" s="18">
        <f>+VLOOKUP(AN816,Leyenda!$B$30:$E$34,3,FALSE)</f>
        <v>2</v>
      </c>
      <c r="AW816" s="18">
        <f>+VLOOKUP('2. Logging Brejo Seco'!AO816,Meteorizacion,3,FALSE)</f>
        <v>1</v>
      </c>
      <c r="AX816" s="18">
        <f>+VLOOKUP('2. Logging Brejo Seco'!AP816,Apertura,3,FALSE)</f>
        <v>1</v>
      </c>
      <c r="AY816" s="18">
        <f>+VLOOKUP('2. Logging Brejo Seco'!AQ816,Leyenda!$B$55:$D$59,3,FALSE)</f>
        <v>1</v>
      </c>
      <c r="AZ816" s="18">
        <f>+VLOOKUP('2. Logging Brejo Seco'!AR816,Relleno,3,FALSE)</f>
        <v>2</v>
      </c>
      <c r="BA816" s="18">
        <f t="shared" si="316"/>
        <v>7</v>
      </c>
      <c r="BB816" s="49">
        <f t="shared" si="317"/>
        <v>0</v>
      </c>
      <c r="BC816" s="49">
        <f>VLOOKUP(AH816,Leyenda!$B$4:$D$10,3,FALSE)</f>
        <v>2</v>
      </c>
      <c r="BD816" s="49">
        <f t="shared" si="318"/>
        <v>7</v>
      </c>
      <c r="BE816" s="49">
        <f t="shared" si="319"/>
        <v>7</v>
      </c>
      <c r="BF816" s="49">
        <f>VLOOKUP(AS816,Leyenda!$B$70:$D$75,3,FALSE)</f>
        <v>15</v>
      </c>
      <c r="BG816" s="67">
        <f t="shared" si="320"/>
        <v>10.5</v>
      </c>
      <c r="BH816" s="67">
        <f>VLOOKUP(AG816,Leyenda!$B$4:$E$10,4,FALSE)</f>
        <v>2</v>
      </c>
      <c r="BI816" s="67">
        <f t="shared" si="321"/>
        <v>8</v>
      </c>
      <c r="BJ816" s="67">
        <f t="shared" si="322"/>
        <v>0</v>
      </c>
      <c r="BK816" s="67">
        <f>+VLOOKUP('2. Logging Brejo Seco'!AP816,Leyenda!$B$47:$E$51,4,FALSE)</f>
        <v>1</v>
      </c>
      <c r="BL816" s="67">
        <f>+VLOOKUP('2. Logging Brejo Seco'!AQ816,Leyenda!$B$55:$E$59,4,FALSE)</f>
        <v>1</v>
      </c>
      <c r="BM816" s="67">
        <f>+VLOOKUP('2. Logging Brejo Seco'!AR816,Leyenda!$B$63:$E$67,3,FALSE)</f>
        <v>2</v>
      </c>
      <c r="BN816" s="67">
        <f>+VLOOKUP('2. Logging Brejo Seco'!AO816,Leyenda!$B$39:$E$43,4,FALSE)</f>
        <v>1</v>
      </c>
      <c r="BO816" s="67">
        <f>+VLOOKUP('2. Logging Brejo Seco'!AN816,Leyenda!$B$30:$E$34,4,FALSE)</f>
        <v>3</v>
      </c>
      <c r="BP816" s="67">
        <f>VLOOKUP(AS816,Leyenda!$B$71:$E$75,4,FALSE)</f>
        <v>10</v>
      </c>
      <c r="BQ816" s="67">
        <f t="shared" si="323"/>
        <v>28</v>
      </c>
      <c r="BR816" s="18">
        <f t="shared" si="324"/>
        <v>31</v>
      </c>
      <c r="BS816" s="240">
        <f t="shared" si="307"/>
        <v>0.37142857142857399</v>
      </c>
      <c r="BT816" s="6"/>
    </row>
    <row r="817" spans="1:72" x14ac:dyDescent="0.25">
      <c r="A817" s="18" t="s">
        <v>6</v>
      </c>
      <c r="B817" s="18">
        <v>2024</v>
      </c>
      <c r="C817" s="18" t="s">
        <v>138</v>
      </c>
      <c r="D817" s="18" t="s">
        <v>659</v>
      </c>
      <c r="E817" s="3">
        <v>20</v>
      </c>
      <c r="F817" s="191">
        <v>20</v>
      </c>
      <c r="G817" s="18" t="s">
        <v>156</v>
      </c>
      <c r="H817" s="3">
        <v>30</v>
      </c>
      <c r="I817" s="3" t="s">
        <v>759</v>
      </c>
      <c r="J817" s="3"/>
      <c r="K817" s="18">
        <f t="shared" si="305"/>
        <v>46.5</v>
      </c>
      <c r="L817" s="18">
        <v>47.7</v>
      </c>
      <c r="M817" s="4">
        <f t="shared" si="313"/>
        <v>1.2000000000000028</v>
      </c>
      <c r="N817" s="113">
        <f t="shared" si="312"/>
        <v>0.60833333333333184</v>
      </c>
      <c r="O817" s="5">
        <f t="shared" si="303"/>
        <v>0.39166666666666816</v>
      </c>
      <c r="P817" s="4">
        <v>0.73</v>
      </c>
      <c r="Q817" s="18"/>
      <c r="R817" s="18"/>
      <c r="S817" s="18"/>
      <c r="T817" s="49">
        <v>0.73</v>
      </c>
      <c r="U817" s="49">
        <v>0</v>
      </c>
      <c r="V817" s="4">
        <f t="shared" si="314"/>
        <v>0</v>
      </c>
      <c r="W817" s="18"/>
      <c r="X817" s="18"/>
      <c r="Y817" s="18">
        <v>12</v>
      </c>
      <c r="Z817" s="31">
        <f t="shared" si="308"/>
        <v>100.00000000000023</v>
      </c>
      <c r="AA817" s="40"/>
      <c r="AB817" s="40"/>
      <c r="AC817" s="40"/>
      <c r="AD817" s="40"/>
      <c r="AE817" s="40"/>
      <c r="AF817" s="40"/>
      <c r="AG817" s="3" t="s">
        <v>32</v>
      </c>
      <c r="AH817" s="3" t="s">
        <v>32</v>
      </c>
      <c r="AI817" s="18" t="str">
        <f>+VLOOKUP(AH817,Leyenda!$O$4:$U$10,6,FALSE)</f>
        <v>0,15-0,25</v>
      </c>
      <c r="AJ817" s="18" t="str">
        <f>+VLOOKUP(AG817,Leyenda!$O$4:$U$10,7,FALSE)</f>
        <v>No Blasting need</v>
      </c>
      <c r="AK817" s="18">
        <f>+VLOOKUP(AJ817,Leyenda!$U$4:$V$10,2,FALSE)</f>
        <v>2</v>
      </c>
      <c r="AL817" s="18"/>
      <c r="AM817" s="18" t="s">
        <v>32</v>
      </c>
      <c r="AN817" s="18" t="s">
        <v>64</v>
      </c>
      <c r="AO817" s="18" t="s">
        <v>79</v>
      </c>
      <c r="AP817" s="18" t="s">
        <v>96</v>
      </c>
      <c r="AQ817" s="18" t="s">
        <v>109</v>
      </c>
      <c r="AR817" s="18" t="s">
        <v>120</v>
      </c>
      <c r="AS817" s="18" t="s">
        <v>267</v>
      </c>
      <c r="AT817" s="18"/>
      <c r="AU817" s="6"/>
      <c r="AV817" s="36">
        <f>+VLOOKUP(AN817,Leyenda!$B$30:$E$34,3,FALSE)</f>
        <v>2</v>
      </c>
      <c r="AW817" s="36">
        <f>+VLOOKUP('2. Logging Brejo Seco'!AO817,Meteorizacion,3,FALSE)</f>
        <v>1</v>
      </c>
      <c r="AX817" s="36">
        <f>+VLOOKUP('2. Logging Brejo Seco'!AP817,Apertura,3,FALSE)</f>
        <v>1</v>
      </c>
      <c r="AY817" s="36">
        <f>+VLOOKUP('2. Logging Brejo Seco'!AQ817,Leyenda!$B$55:$D$59,3,FALSE)</f>
        <v>1</v>
      </c>
      <c r="AZ817" s="36">
        <f>+VLOOKUP('2. Logging Brejo Seco'!AR817,Relleno,3,FALSE)</f>
        <v>2</v>
      </c>
      <c r="BA817" s="36">
        <f t="shared" si="316"/>
        <v>7</v>
      </c>
      <c r="BB817" s="50">
        <f t="shared" si="317"/>
        <v>0</v>
      </c>
      <c r="BC817" s="49">
        <f>VLOOKUP(AH817,Leyenda!$B$4:$D$10,3,FALSE)</f>
        <v>1</v>
      </c>
      <c r="BD817" s="50">
        <f t="shared" si="318"/>
        <v>7</v>
      </c>
      <c r="BE817" s="50">
        <f t="shared" si="319"/>
        <v>7</v>
      </c>
      <c r="BF817" s="50">
        <f>VLOOKUP(AS817,Leyenda!$B$70:$D$75,3,FALSE)</f>
        <v>15</v>
      </c>
      <c r="BG817" s="110">
        <f t="shared" si="320"/>
        <v>10.5</v>
      </c>
      <c r="BH817" s="110">
        <f>VLOOKUP(AG817,Leyenda!$B$4:$E$10,4,FALSE)</f>
        <v>1</v>
      </c>
      <c r="BI817" s="67">
        <f t="shared" si="321"/>
        <v>8</v>
      </c>
      <c r="BJ817" s="110">
        <f t="shared" si="322"/>
        <v>0</v>
      </c>
      <c r="BK817" s="110">
        <f>+VLOOKUP('2. Logging Brejo Seco'!AP817,Leyenda!$B$47:$E$51,4,FALSE)</f>
        <v>1</v>
      </c>
      <c r="BL817" s="110">
        <f>+VLOOKUP('2. Logging Brejo Seco'!AQ817,Leyenda!$B$55:$E$59,4,FALSE)</f>
        <v>1</v>
      </c>
      <c r="BM817" s="110">
        <f>+VLOOKUP('2. Logging Brejo Seco'!AR817,Leyenda!$B$63:$E$67,3,FALSE)</f>
        <v>2</v>
      </c>
      <c r="BN817" s="110">
        <f>+VLOOKUP('2. Logging Brejo Seco'!AO817,Leyenda!$B$39:$E$43,4,FALSE)</f>
        <v>1</v>
      </c>
      <c r="BO817" s="110">
        <f>+VLOOKUP('2. Logging Brejo Seco'!AN817,Leyenda!$B$30:$E$34,4,FALSE)</f>
        <v>3</v>
      </c>
      <c r="BP817" s="110">
        <f>VLOOKUP(AS817,Leyenda!$B$71:$E$75,4,FALSE)</f>
        <v>10</v>
      </c>
      <c r="BQ817" s="110">
        <f t="shared" si="323"/>
        <v>27</v>
      </c>
      <c r="BR817" s="36">
        <f t="shared" si="324"/>
        <v>30</v>
      </c>
      <c r="BS817" s="240">
        <f t="shared" si="307"/>
        <v>0.39166666666666816</v>
      </c>
      <c r="BT817" s="6"/>
    </row>
    <row r="818" spans="1:72" x14ac:dyDescent="0.25">
      <c r="A818" s="18" t="s">
        <v>6</v>
      </c>
      <c r="B818" s="18">
        <v>2024</v>
      </c>
      <c r="C818" s="18" t="s">
        <v>138</v>
      </c>
      <c r="D818" s="18" t="s">
        <v>659</v>
      </c>
      <c r="E818" s="3">
        <v>20</v>
      </c>
      <c r="F818" s="191">
        <v>20</v>
      </c>
      <c r="G818" s="18" t="s">
        <v>156</v>
      </c>
      <c r="H818" s="3">
        <v>70</v>
      </c>
      <c r="I818" s="3" t="s">
        <v>764</v>
      </c>
      <c r="J818" s="3"/>
      <c r="K818" s="18">
        <f t="shared" si="305"/>
        <v>47.7</v>
      </c>
      <c r="L818" s="18">
        <v>48.9</v>
      </c>
      <c r="M818" s="4">
        <f t="shared" si="313"/>
        <v>1.1999999999999957</v>
      </c>
      <c r="N818" s="113">
        <f t="shared" si="312"/>
        <v>0.72500000000000253</v>
      </c>
      <c r="O818" s="5">
        <f t="shared" ref="O818:O881" si="325">1-N818</f>
        <v>0.27499999999999747</v>
      </c>
      <c r="P818" s="4">
        <v>0.87</v>
      </c>
      <c r="Q818" s="18"/>
      <c r="R818" s="18"/>
      <c r="S818" s="18"/>
      <c r="T818" s="49">
        <f>0.33+0.54</f>
        <v>0.87000000000000011</v>
      </c>
      <c r="U818" s="49">
        <v>0</v>
      </c>
      <c r="V818" s="4">
        <f t="shared" si="314"/>
        <v>0</v>
      </c>
      <c r="W818" s="18"/>
      <c r="X818" s="18"/>
      <c r="Y818" s="18">
        <v>15</v>
      </c>
      <c r="Z818" s="31">
        <f t="shared" si="308"/>
        <v>79.999999999999716</v>
      </c>
      <c r="AA818" s="6"/>
      <c r="AB818" s="6"/>
      <c r="AC818" s="184"/>
      <c r="AD818" s="6"/>
      <c r="AE818" s="184"/>
      <c r="AF818" s="184"/>
      <c r="AG818" s="196" t="s">
        <v>34</v>
      </c>
      <c r="AH818" s="196" t="s">
        <v>34</v>
      </c>
      <c r="AI818" s="18">
        <f>+VLOOKUP(AH818,Leyenda!$O$4:$U$10,6,FALSE)</f>
        <v>0</v>
      </c>
      <c r="AJ818" s="18" t="str">
        <f>+VLOOKUP(AG818,Leyenda!$O$4:$U$10,7,FALSE)</f>
        <v>No Blasting need</v>
      </c>
      <c r="AK818" s="18">
        <f>+VLOOKUP(AJ818,Leyenda!$U$4:$V$10,2,FALSE)</f>
        <v>2</v>
      </c>
      <c r="AL818" s="18"/>
      <c r="AM818" s="18" t="s">
        <v>34</v>
      </c>
      <c r="AN818" s="18" t="s">
        <v>66</v>
      </c>
      <c r="AO818" s="18" t="s">
        <v>81</v>
      </c>
      <c r="AP818" s="18" t="s">
        <v>100</v>
      </c>
      <c r="AQ818" s="18" t="s">
        <v>109</v>
      </c>
      <c r="AR818" s="18" t="s">
        <v>120</v>
      </c>
      <c r="AS818" s="18" t="s">
        <v>267</v>
      </c>
      <c r="AT818" s="18"/>
      <c r="AU818" s="6"/>
      <c r="AV818" s="36">
        <f>+VLOOKUP(AN818,Leyenda!$B$30:$E$34,3,FALSE)</f>
        <v>1</v>
      </c>
      <c r="AW818" s="36">
        <f>+VLOOKUP('2. Logging Brejo Seco'!AO818,Meteorizacion,3,FALSE)</f>
        <v>0</v>
      </c>
      <c r="AX818" s="36">
        <f>+VLOOKUP('2. Logging Brejo Seco'!AP818,Apertura,3,FALSE)</f>
        <v>0</v>
      </c>
      <c r="AY818" s="36">
        <f>+VLOOKUP('2. Logging Brejo Seco'!AQ818,Leyenda!$B$55:$D$59,3,FALSE)</f>
        <v>1</v>
      </c>
      <c r="AZ818" s="36">
        <f>+VLOOKUP('2. Logging Brejo Seco'!AR818,Relleno,3,FALSE)</f>
        <v>2</v>
      </c>
      <c r="BA818" s="36">
        <f t="shared" si="316"/>
        <v>4</v>
      </c>
      <c r="BB818" s="50">
        <f t="shared" si="317"/>
        <v>0</v>
      </c>
      <c r="BC818" s="49">
        <f>VLOOKUP(AH818,Leyenda!$B$4:$D$10,3,FALSE)</f>
        <v>0</v>
      </c>
      <c r="BD818" s="50">
        <f t="shared" si="318"/>
        <v>7</v>
      </c>
      <c r="BE818" s="50">
        <f t="shared" si="319"/>
        <v>4</v>
      </c>
      <c r="BF818" s="50">
        <f>VLOOKUP(AS818,Leyenda!$B$70:$D$75,3,FALSE)</f>
        <v>15</v>
      </c>
      <c r="BG818" s="110">
        <f t="shared" si="320"/>
        <v>6</v>
      </c>
      <c r="BH818" s="110">
        <f>VLOOKUP(AG818,Leyenda!$B$4:$E$10,4,FALSE)</f>
        <v>0</v>
      </c>
      <c r="BI818" s="67">
        <f t="shared" si="321"/>
        <v>7</v>
      </c>
      <c r="BJ818" s="110">
        <f t="shared" si="322"/>
        <v>0</v>
      </c>
      <c r="BK818" s="110">
        <f>+VLOOKUP('2. Logging Brejo Seco'!AP818,Leyenda!$B$47:$E$51,4,FALSE)</f>
        <v>0</v>
      </c>
      <c r="BL818" s="110">
        <f>+VLOOKUP('2. Logging Brejo Seco'!AQ818,Leyenda!$B$55:$E$59,4,FALSE)</f>
        <v>1</v>
      </c>
      <c r="BM818" s="110">
        <f>+VLOOKUP('2. Logging Brejo Seco'!AR818,Leyenda!$B$63:$E$67,3,FALSE)</f>
        <v>2</v>
      </c>
      <c r="BN818" s="110">
        <f>+VLOOKUP('2. Logging Brejo Seco'!AO818,Leyenda!$B$39:$E$43,4,FALSE)</f>
        <v>0</v>
      </c>
      <c r="BO818" s="110">
        <f>+VLOOKUP('2. Logging Brejo Seco'!AN818,Leyenda!$B$30:$E$34,4,FALSE)</f>
        <v>1</v>
      </c>
      <c r="BP818" s="110">
        <f>VLOOKUP(AS818,Leyenda!$B$71:$E$75,4,FALSE)</f>
        <v>10</v>
      </c>
      <c r="BQ818" s="110">
        <f t="shared" si="323"/>
        <v>21</v>
      </c>
      <c r="BR818" s="36">
        <f t="shared" si="324"/>
        <v>26</v>
      </c>
      <c r="BS818" s="240">
        <f t="shared" si="307"/>
        <v>0.27499999999999747</v>
      </c>
      <c r="BT818" s="6"/>
    </row>
    <row r="819" spans="1:72" x14ac:dyDescent="0.25">
      <c r="A819" s="18" t="s">
        <v>6</v>
      </c>
      <c r="B819" s="18">
        <v>2024</v>
      </c>
      <c r="C819" s="18" t="s">
        <v>138</v>
      </c>
      <c r="D819" s="18" t="s">
        <v>659</v>
      </c>
      <c r="E819" s="3">
        <v>20</v>
      </c>
      <c r="F819" s="191">
        <v>20</v>
      </c>
      <c r="G819" s="18" t="s">
        <v>156</v>
      </c>
      <c r="H819" s="3">
        <v>70</v>
      </c>
      <c r="I819" s="3" t="s">
        <v>764</v>
      </c>
      <c r="J819" s="3"/>
      <c r="K819" s="18">
        <f t="shared" si="305"/>
        <v>48.9</v>
      </c>
      <c r="L819" s="18">
        <v>49.7</v>
      </c>
      <c r="M819" s="4">
        <f t="shared" si="313"/>
        <v>0.80000000000000426</v>
      </c>
      <c r="N819" s="113">
        <f t="shared" si="312"/>
        <v>0.63749999999999662</v>
      </c>
      <c r="O819" s="5">
        <f t="shared" si="325"/>
        <v>0.36250000000000338</v>
      </c>
      <c r="P819" s="4">
        <v>0.51</v>
      </c>
      <c r="Q819" s="18"/>
      <c r="R819" s="18"/>
      <c r="S819" s="18"/>
      <c r="T819" s="49">
        <v>0.51</v>
      </c>
      <c r="U819" s="49">
        <v>0</v>
      </c>
      <c r="V819" s="4">
        <f t="shared" si="314"/>
        <v>0</v>
      </c>
      <c r="W819" s="18"/>
      <c r="X819" s="18"/>
      <c r="Y819" s="18">
        <v>20</v>
      </c>
      <c r="Z819" s="31">
        <f t="shared" si="308"/>
        <v>40.000000000000213</v>
      </c>
      <c r="AA819" s="6"/>
      <c r="AB819" s="6"/>
      <c r="AC819" s="184"/>
      <c r="AD819" s="6"/>
      <c r="AE819" s="184"/>
      <c r="AF819" s="184"/>
      <c r="AG819" s="196" t="s">
        <v>29</v>
      </c>
      <c r="AH819" s="196" t="s">
        <v>29</v>
      </c>
      <c r="AI819" s="18" t="str">
        <f>+VLOOKUP(AH819,Leyenda!$O$4:$U$10,6,FALSE)</f>
        <v>0,25-0,35</v>
      </c>
      <c r="AJ819" s="18" t="str">
        <f>+VLOOKUP(AG819,Leyenda!$O$4:$U$10,7,FALSE)</f>
        <v>No Blasting need</v>
      </c>
      <c r="AK819" s="18">
        <f>+VLOOKUP(AJ819,Leyenda!$U$4:$V$10,2,FALSE)</f>
        <v>2</v>
      </c>
      <c r="AL819" s="18"/>
      <c r="AM819" s="18" t="s">
        <v>29</v>
      </c>
      <c r="AN819" s="18" t="s">
        <v>64</v>
      </c>
      <c r="AO819" s="18" t="s">
        <v>79</v>
      </c>
      <c r="AP819" s="18" t="s">
        <v>96</v>
      </c>
      <c r="AQ819" s="18" t="s">
        <v>107</v>
      </c>
      <c r="AR819" s="18" t="s">
        <v>120</v>
      </c>
      <c r="AS819" s="18" t="s">
        <v>267</v>
      </c>
      <c r="AT819" s="18"/>
      <c r="AU819" s="6"/>
      <c r="AV819" s="36">
        <f>+VLOOKUP(AN819,Leyenda!$B$30:$E$34,3,FALSE)</f>
        <v>2</v>
      </c>
      <c r="AW819" s="36">
        <f>+VLOOKUP('2. Logging Brejo Seco'!AO819,Meteorizacion,3,FALSE)</f>
        <v>1</v>
      </c>
      <c r="AX819" s="36">
        <f>+VLOOKUP('2. Logging Brejo Seco'!AP819,Apertura,3,FALSE)</f>
        <v>1</v>
      </c>
      <c r="AY819" s="36">
        <f>+VLOOKUP('2. Logging Brejo Seco'!AQ819,Leyenda!$B$55:$D$59,3,FALSE)</f>
        <v>3</v>
      </c>
      <c r="AZ819" s="36">
        <f>+VLOOKUP('2. Logging Brejo Seco'!AR819,Relleno,3,FALSE)</f>
        <v>2</v>
      </c>
      <c r="BA819" s="36">
        <f t="shared" si="316"/>
        <v>9</v>
      </c>
      <c r="BB819" s="50">
        <f t="shared" si="317"/>
        <v>0</v>
      </c>
      <c r="BC819" s="49">
        <f>VLOOKUP(AH819,Leyenda!$B$4:$D$10,3,FALSE)</f>
        <v>2</v>
      </c>
      <c r="BD819" s="50">
        <f t="shared" si="318"/>
        <v>5</v>
      </c>
      <c r="BE819" s="50">
        <f t="shared" si="319"/>
        <v>9</v>
      </c>
      <c r="BF819" s="50">
        <f>VLOOKUP(AS819,Leyenda!$B$70:$D$75,3,FALSE)</f>
        <v>15</v>
      </c>
      <c r="BG819" s="110">
        <f t="shared" si="320"/>
        <v>13.5</v>
      </c>
      <c r="BH819" s="110">
        <f>VLOOKUP(AG819,Leyenda!$B$4:$E$10,4,FALSE)</f>
        <v>2</v>
      </c>
      <c r="BI819" s="67">
        <f t="shared" si="321"/>
        <v>5</v>
      </c>
      <c r="BJ819" s="110">
        <f t="shared" si="322"/>
        <v>0</v>
      </c>
      <c r="BK819" s="110">
        <f>+VLOOKUP('2. Logging Brejo Seco'!AP819,Leyenda!$B$47:$E$51,4,FALSE)</f>
        <v>1</v>
      </c>
      <c r="BL819" s="110">
        <f>+VLOOKUP('2. Logging Brejo Seco'!AQ819,Leyenda!$B$55:$E$59,4,FALSE)</f>
        <v>3</v>
      </c>
      <c r="BM819" s="110">
        <f>+VLOOKUP('2. Logging Brejo Seco'!AR819,Leyenda!$B$63:$E$67,3,FALSE)</f>
        <v>2</v>
      </c>
      <c r="BN819" s="110">
        <f>+VLOOKUP('2. Logging Brejo Seco'!AO819,Leyenda!$B$39:$E$43,4,FALSE)</f>
        <v>1</v>
      </c>
      <c r="BO819" s="110">
        <f>+VLOOKUP('2. Logging Brejo Seco'!AN819,Leyenda!$B$30:$E$34,4,FALSE)</f>
        <v>3</v>
      </c>
      <c r="BP819" s="110">
        <f>VLOOKUP(AS819,Leyenda!$B$71:$E$75,4,FALSE)</f>
        <v>10</v>
      </c>
      <c r="BQ819" s="110">
        <f t="shared" si="323"/>
        <v>27</v>
      </c>
      <c r="BR819" s="36">
        <f t="shared" si="324"/>
        <v>31</v>
      </c>
      <c r="BS819" s="240">
        <f t="shared" si="307"/>
        <v>0.36250000000000338</v>
      </c>
      <c r="BT819" s="6"/>
    </row>
    <row r="820" spans="1:72" x14ac:dyDescent="0.25">
      <c r="A820" s="18" t="s">
        <v>6</v>
      </c>
      <c r="B820" s="18">
        <v>2024</v>
      </c>
      <c r="C820" s="18" t="s">
        <v>138</v>
      </c>
      <c r="D820" s="18" t="s">
        <v>659</v>
      </c>
      <c r="E820" s="3">
        <v>20</v>
      </c>
      <c r="F820" s="191">
        <v>20</v>
      </c>
      <c r="G820" s="18" t="s">
        <v>156</v>
      </c>
      <c r="H820" s="244">
        <v>20</v>
      </c>
      <c r="I820" s="244" t="s">
        <v>760</v>
      </c>
      <c r="J820" s="244"/>
      <c r="K820" s="18">
        <f t="shared" si="305"/>
        <v>49.7</v>
      </c>
      <c r="L820" s="18">
        <v>51.6</v>
      </c>
      <c r="M820" s="4">
        <f t="shared" si="313"/>
        <v>1.8999999999999986</v>
      </c>
      <c r="N820" s="113">
        <f t="shared" si="312"/>
        <v>0.73684210526315841</v>
      </c>
      <c r="O820" s="5">
        <f t="shared" si="325"/>
        <v>0.26315789473684159</v>
      </c>
      <c r="P820" s="4">
        <v>1.4</v>
      </c>
      <c r="Q820" s="18"/>
      <c r="R820" s="18"/>
      <c r="S820" s="18"/>
      <c r="T820" s="49">
        <v>1.4</v>
      </c>
      <c r="U820" s="49">
        <v>0.32</v>
      </c>
      <c r="V820" s="4">
        <f t="shared" si="314"/>
        <v>16.842105263157908</v>
      </c>
      <c r="W820" s="18"/>
      <c r="X820" s="18"/>
      <c r="Y820" s="18">
        <v>14</v>
      </c>
      <c r="Z820" s="31">
        <f t="shared" si="308"/>
        <v>135.71428571428561</v>
      </c>
      <c r="AA820" s="6"/>
      <c r="AB820" s="6"/>
      <c r="AC820" s="184"/>
      <c r="AD820" s="6"/>
      <c r="AE820" s="184"/>
      <c r="AF820" s="184"/>
      <c r="AG820" s="196" t="s">
        <v>29</v>
      </c>
      <c r="AH820" s="196" t="s">
        <v>29</v>
      </c>
      <c r="AI820" s="18" t="str">
        <f>+VLOOKUP(AH820,Leyenda!$O$4:$U$10,6,FALSE)</f>
        <v>0,25-0,35</v>
      </c>
      <c r="AJ820" s="18" t="str">
        <f>+VLOOKUP(AG820,Leyenda!$O$4:$U$10,7,FALSE)</f>
        <v>No Blasting need</v>
      </c>
      <c r="AK820" s="18">
        <f>+VLOOKUP(AJ820,Leyenda!$U$4:$V$10,2,FALSE)</f>
        <v>2</v>
      </c>
      <c r="AL820" s="18"/>
      <c r="AM820" s="18" t="s">
        <v>29</v>
      </c>
      <c r="AN820" s="18" t="s">
        <v>64</v>
      </c>
      <c r="AO820" s="18" t="s">
        <v>79</v>
      </c>
      <c r="AP820" s="18" t="s">
        <v>96</v>
      </c>
      <c r="AQ820" s="18" t="s">
        <v>107</v>
      </c>
      <c r="AR820" s="18" t="s">
        <v>120</v>
      </c>
      <c r="AS820" s="18" t="s">
        <v>267</v>
      </c>
      <c r="AT820" s="18"/>
      <c r="AU820" s="6"/>
      <c r="AV820" s="36">
        <f>+VLOOKUP(AN820,Leyenda!$B$30:$E$34,3,FALSE)</f>
        <v>2</v>
      </c>
      <c r="AW820" s="36">
        <f>+VLOOKUP('2. Logging Brejo Seco'!AO820,Meteorizacion,3,FALSE)</f>
        <v>1</v>
      </c>
      <c r="AX820" s="36">
        <f>+VLOOKUP('2. Logging Brejo Seco'!AP820,Apertura,3,FALSE)</f>
        <v>1</v>
      </c>
      <c r="AY820" s="36">
        <f>+VLOOKUP('2. Logging Brejo Seco'!AQ820,Leyenda!$B$55:$D$59,3,FALSE)</f>
        <v>3</v>
      </c>
      <c r="AZ820" s="36">
        <f>+VLOOKUP('2. Logging Brejo Seco'!AR820,Relleno,3,FALSE)</f>
        <v>2</v>
      </c>
      <c r="BA820" s="36">
        <f t="shared" si="316"/>
        <v>9</v>
      </c>
      <c r="BB820" s="50">
        <f t="shared" si="317"/>
        <v>4</v>
      </c>
      <c r="BC820" s="49">
        <f>VLOOKUP(AH820,Leyenda!$B$4:$D$10,3,FALSE)</f>
        <v>2</v>
      </c>
      <c r="BD820" s="50">
        <f t="shared" si="318"/>
        <v>8</v>
      </c>
      <c r="BE820" s="50">
        <f t="shared" si="319"/>
        <v>9</v>
      </c>
      <c r="BF820" s="50">
        <f>VLOOKUP(AS820,Leyenda!$B$70:$D$75,3,FALSE)</f>
        <v>15</v>
      </c>
      <c r="BG820" s="110">
        <f t="shared" si="320"/>
        <v>21.921052631578952</v>
      </c>
      <c r="BH820" s="110">
        <f>VLOOKUP(AG820,Leyenda!$B$4:$E$10,4,FALSE)</f>
        <v>2</v>
      </c>
      <c r="BI820" s="67">
        <f t="shared" si="321"/>
        <v>10</v>
      </c>
      <c r="BJ820" s="110">
        <f t="shared" si="322"/>
        <v>4</v>
      </c>
      <c r="BK820" s="110">
        <f>+VLOOKUP('2. Logging Brejo Seco'!AP820,Leyenda!$B$47:$E$51,4,FALSE)</f>
        <v>1</v>
      </c>
      <c r="BL820" s="110">
        <f>+VLOOKUP('2. Logging Brejo Seco'!AQ820,Leyenda!$B$55:$E$59,4,FALSE)</f>
        <v>3</v>
      </c>
      <c r="BM820" s="110">
        <f>+VLOOKUP('2. Logging Brejo Seco'!AR820,Leyenda!$B$63:$E$67,3,FALSE)</f>
        <v>2</v>
      </c>
      <c r="BN820" s="110">
        <f>+VLOOKUP('2. Logging Brejo Seco'!AO820,Leyenda!$B$39:$E$43,4,FALSE)</f>
        <v>1</v>
      </c>
      <c r="BO820" s="110">
        <f>+VLOOKUP('2. Logging Brejo Seco'!AN820,Leyenda!$B$30:$E$34,4,FALSE)</f>
        <v>3</v>
      </c>
      <c r="BP820" s="110">
        <f>VLOOKUP(AS820,Leyenda!$B$71:$E$75,4,FALSE)</f>
        <v>10</v>
      </c>
      <c r="BQ820" s="110">
        <f t="shared" si="323"/>
        <v>36</v>
      </c>
      <c r="BR820" s="36">
        <f t="shared" si="324"/>
        <v>38</v>
      </c>
      <c r="BS820" s="240">
        <f t="shared" si="307"/>
        <v>0.26315789473684159</v>
      </c>
      <c r="BT820" s="6"/>
    </row>
    <row r="821" spans="1:72" x14ac:dyDescent="0.25">
      <c r="A821" s="18" t="s">
        <v>6</v>
      </c>
      <c r="B821" s="18">
        <v>2024</v>
      </c>
      <c r="C821" s="18" t="s">
        <v>138</v>
      </c>
      <c r="D821" s="18" t="s">
        <v>659</v>
      </c>
      <c r="E821" s="3">
        <v>20</v>
      </c>
      <c r="F821" s="191">
        <v>20</v>
      </c>
      <c r="G821" s="18" t="s">
        <v>156</v>
      </c>
      <c r="H821" s="244">
        <v>20</v>
      </c>
      <c r="I821" s="244" t="s">
        <v>760</v>
      </c>
      <c r="J821" s="244"/>
      <c r="K821" s="18">
        <f t="shared" si="305"/>
        <v>51.6</v>
      </c>
      <c r="L821" s="18">
        <v>53.1</v>
      </c>
      <c r="M821" s="4">
        <f t="shared" si="313"/>
        <v>1.5</v>
      </c>
      <c r="N821" s="113">
        <f t="shared" si="312"/>
        <v>0.7400000000000001</v>
      </c>
      <c r="O821" s="5">
        <f t="shared" si="325"/>
        <v>0.2599999999999999</v>
      </c>
      <c r="P821" s="4">
        <v>1.1100000000000001</v>
      </c>
      <c r="Q821" s="18"/>
      <c r="R821" s="18"/>
      <c r="S821" s="18"/>
      <c r="T821" s="49">
        <v>1.1100000000000001</v>
      </c>
      <c r="U821" s="49">
        <v>0.43</v>
      </c>
      <c r="V821" s="4">
        <f t="shared" si="314"/>
        <v>28.666666666666668</v>
      </c>
      <c r="W821" s="18"/>
      <c r="X821" s="18"/>
      <c r="Y821" s="18">
        <v>8</v>
      </c>
      <c r="Z821" s="31">
        <f t="shared" si="308"/>
        <v>187.5</v>
      </c>
      <c r="AA821" s="6"/>
      <c r="AB821" s="6"/>
      <c r="AC821" s="184"/>
      <c r="AD821" s="6"/>
      <c r="AE821" s="184"/>
      <c r="AF821" s="184"/>
      <c r="AG821" s="195" t="s">
        <v>29</v>
      </c>
      <c r="AH821" s="195" t="s">
        <v>29</v>
      </c>
      <c r="AI821" s="18" t="str">
        <f>+VLOOKUP(AH821,Leyenda!$O$4:$U$10,6,FALSE)</f>
        <v>0,25-0,35</v>
      </c>
      <c r="AJ821" s="18" t="str">
        <f>+VLOOKUP(AG821,Leyenda!$O$4:$U$10,7,FALSE)</f>
        <v>No Blasting need</v>
      </c>
      <c r="AK821" s="18">
        <f>+VLOOKUP(AJ821,Leyenda!$U$4:$V$10,2,FALSE)</f>
        <v>2</v>
      </c>
      <c r="AL821" s="3"/>
      <c r="AM821" s="18" t="s">
        <v>29</v>
      </c>
      <c r="AN821" s="18" t="s">
        <v>64</v>
      </c>
      <c r="AO821" s="18" t="s">
        <v>79</v>
      </c>
      <c r="AP821" s="18" t="s">
        <v>96</v>
      </c>
      <c r="AQ821" s="18" t="s">
        <v>107</v>
      </c>
      <c r="AR821" s="18" t="s">
        <v>120</v>
      </c>
      <c r="AS821" s="18" t="s">
        <v>267</v>
      </c>
      <c r="AT821" s="18"/>
      <c r="AU821" s="6"/>
      <c r="AV821" s="36">
        <f>+VLOOKUP(AN821,Leyenda!$B$30:$E$34,3,FALSE)</f>
        <v>2</v>
      </c>
      <c r="AW821" s="36">
        <f>+VLOOKUP('2. Logging Brejo Seco'!AO821,Meteorizacion,3,FALSE)</f>
        <v>1</v>
      </c>
      <c r="AX821" s="36">
        <f>+VLOOKUP('2. Logging Brejo Seco'!AP821,Apertura,3,FALSE)</f>
        <v>1</v>
      </c>
      <c r="AY821" s="36">
        <f>+VLOOKUP('2. Logging Brejo Seco'!AQ821,Leyenda!$B$55:$D$59,3,FALSE)</f>
        <v>3</v>
      </c>
      <c r="AZ821" s="36">
        <f>+VLOOKUP('2. Logging Brejo Seco'!AR821,Relleno,3,FALSE)</f>
        <v>2</v>
      </c>
      <c r="BA821" s="36">
        <f t="shared" si="316"/>
        <v>9</v>
      </c>
      <c r="BB821" s="50">
        <f t="shared" si="317"/>
        <v>6</v>
      </c>
      <c r="BC821" s="49">
        <f>VLOOKUP(AH821,Leyenda!$B$4:$D$10,3,FALSE)</f>
        <v>2</v>
      </c>
      <c r="BD821" s="50">
        <f t="shared" si="318"/>
        <v>9</v>
      </c>
      <c r="BE821" s="50">
        <f t="shared" si="319"/>
        <v>9</v>
      </c>
      <c r="BF821" s="50">
        <f>VLOOKUP(AS821,Leyenda!$B$70:$D$75,3,FALSE)</f>
        <v>15</v>
      </c>
      <c r="BG821" s="110">
        <f t="shared" si="320"/>
        <v>27.833333333333336</v>
      </c>
      <c r="BH821" s="110">
        <f>VLOOKUP(AG821,Leyenda!$B$4:$E$10,4,FALSE)</f>
        <v>2</v>
      </c>
      <c r="BI821" s="67">
        <f t="shared" si="321"/>
        <v>12</v>
      </c>
      <c r="BJ821" s="110">
        <f t="shared" si="322"/>
        <v>6</v>
      </c>
      <c r="BK821" s="110">
        <f>+VLOOKUP('2. Logging Brejo Seco'!AP821,Leyenda!$B$47:$E$51,4,FALSE)</f>
        <v>1</v>
      </c>
      <c r="BL821" s="110">
        <f>+VLOOKUP('2. Logging Brejo Seco'!AQ821,Leyenda!$B$55:$E$59,4,FALSE)</f>
        <v>3</v>
      </c>
      <c r="BM821" s="110">
        <f>+VLOOKUP('2. Logging Brejo Seco'!AR821,Leyenda!$B$63:$E$67,3,FALSE)</f>
        <v>2</v>
      </c>
      <c r="BN821" s="110">
        <f>+VLOOKUP('2. Logging Brejo Seco'!AO821,Leyenda!$B$39:$E$43,4,FALSE)</f>
        <v>1</v>
      </c>
      <c r="BO821" s="110">
        <f>+VLOOKUP('2. Logging Brejo Seco'!AN821,Leyenda!$B$30:$E$34,4,FALSE)</f>
        <v>3</v>
      </c>
      <c r="BP821" s="110">
        <f>VLOOKUP(AS821,Leyenda!$B$71:$E$75,4,FALSE)</f>
        <v>10</v>
      </c>
      <c r="BQ821" s="110">
        <f t="shared" si="323"/>
        <v>40</v>
      </c>
      <c r="BR821" s="36">
        <f t="shared" si="324"/>
        <v>41</v>
      </c>
      <c r="BS821" s="240">
        <f t="shared" si="307"/>
        <v>0.2599999999999999</v>
      </c>
      <c r="BT821" s="6"/>
    </row>
    <row r="822" spans="1:72" x14ac:dyDescent="0.25">
      <c r="A822" s="18" t="s">
        <v>6</v>
      </c>
      <c r="B822" s="18">
        <v>2024</v>
      </c>
      <c r="C822" s="18" t="s">
        <v>138</v>
      </c>
      <c r="D822" s="18" t="s">
        <v>659</v>
      </c>
      <c r="E822" s="3">
        <v>20</v>
      </c>
      <c r="F822" s="191">
        <v>20</v>
      </c>
      <c r="G822" s="18" t="s">
        <v>156</v>
      </c>
      <c r="H822" s="244">
        <v>20</v>
      </c>
      <c r="I822" s="244" t="s">
        <v>760</v>
      </c>
      <c r="J822" s="244"/>
      <c r="K822" s="18">
        <f t="shared" si="305"/>
        <v>53.1</v>
      </c>
      <c r="L822" s="18">
        <v>54.3</v>
      </c>
      <c r="M822" s="4">
        <f t="shared" si="313"/>
        <v>1.1999999999999957</v>
      </c>
      <c r="N822" s="113">
        <f t="shared" si="312"/>
        <v>0.64166666666666894</v>
      </c>
      <c r="O822" s="5">
        <f t="shared" si="325"/>
        <v>0.35833333333333106</v>
      </c>
      <c r="P822" s="4">
        <v>0.77</v>
      </c>
      <c r="Q822" s="18"/>
      <c r="R822" s="18"/>
      <c r="S822" s="18"/>
      <c r="T822" s="49">
        <v>0.77</v>
      </c>
      <c r="U822" s="49">
        <v>0.38</v>
      </c>
      <c r="V822" s="4">
        <f t="shared" si="314"/>
        <v>31.666666666666782</v>
      </c>
      <c r="W822" s="18"/>
      <c r="X822" s="18"/>
      <c r="Y822" s="18">
        <f>7+3</f>
        <v>10</v>
      </c>
      <c r="Z822" s="31">
        <f t="shared" si="308"/>
        <v>119.99999999999957</v>
      </c>
      <c r="AA822" s="6"/>
      <c r="AB822" s="6"/>
      <c r="AC822" s="184"/>
      <c r="AD822" s="6"/>
      <c r="AE822" s="184"/>
      <c r="AF822" s="184"/>
      <c r="AG822" s="195" t="s">
        <v>29</v>
      </c>
      <c r="AH822" s="195" t="s">
        <v>29</v>
      </c>
      <c r="AI822" s="18" t="str">
        <f>+VLOOKUP(AH822,Leyenda!$O$4:$U$10,6,FALSE)</f>
        <v>0,25-0,35</v>
      </c>
      <c r="AJ822" s="18" t="str">
        <f>+VLOOKUP(AG822,Leyenda!$O$4:$U$10,7,FALSE)</f>
        <v>No Blasting need</v>
      </c>
      <c r="AK822" s="18">
        <f>+VLOOKUP(AJ822,Leyenda!$U$4:$V$10,2,FALSE)</f>
        <v>2</v>
      </c>
      <c r="AL822" s="3"/>
      <c r="AM822" s="18" t="s">
        <v>29</v>
      </c>
      <c r="AN822" s="18" t="s">
        <v>64</v>
      </c>
      <c r="AO822" s="18" t="s">
        <v>79</v>
      </c>
      <c r="AP822" s="18" t="s">
        <v>96</v>
      </c>
      <c r="AQ822" s="18" t="s">
        <v>107</v>
      </c>
      <c r="AR822" s="18" t="s">
        <v>120</v>
      </c>
      <c r="AS822" s="18" t="s">
        <v>267</v>
      </c>
      <c r="AT822" s="18"/>
      <c r="AU822" s="6"/>
      <c r="AV822" s="36">
        <f>+VLOOKUP(AN822,Leyenda!$B$30:$E$34,3,FALSE)</f>
        <v>2</v>
      </c>
      <c r="AW822" s="36">
        <f>+VLOOKUP('2. Logging Brejo Seco'!AO822,Meteorizacion,3,FALSE)</f>
        <v>1</v>
      </c>
      <c r="AX822" s="36">
        <f>+VLOOKUP('2. Logging Brejo Seco'!AP822,Apertura,3,FALSE)</f>
        <v>1</v>
      </c>
      <c r="AY822" s="36">
        <f>+VLOOKUP('2. Logging Brejo Seco'!AQ822,Leyenda!$B$55:$D$59,3,FALSE)</f>
        <v>3</v>
      </c>
      <c r="AZ822" s="36">
        <f>+VLOOKUP('2. Logging Brejo Seco'!AR822,Relleno,3,FALSE)</f>
        <v>2</v>
      </c>
      <c r="BA822" s="36">
        <f t="shared" si="316"/>
        <v>9</v>
      </c>
      <c r="BB822" s="50">
        <f t="shared" si="317"/>
        <v>7</v>
      </c>
      <c r="BC822" s="49">
        <f>VLOOKUP(AH822,Leyenda!$B$4:$D$10,3,FALSE)</f>
        <v>2</v>
      </c>
      <c r="BD822" s="50">
        <f t="shared" si="318"/>
        <v>8</v>
      </c>
      <c r="BE822" s="50">
        <f t="shared" si="319"/>
        <v>9</v>
      </c>
      <c r="BF822" s="50">
        <f>VLOOKUP(AS822,Leyenda!$B$70:$D$75,3,FALSE)</f>
        <v>15</v>
      </c>
      <c r="BG822" s="110">
        <f t="shared" si="320"/>
        <v>29.333333333333393</v>
      </c>
      <c r="BH822" s="110">
        <f>VLOOKUP(AG822,Leyenda!$B$4:$E$10,4,FALSE)</f>
        <v>2</v>
      </c>
      <c r="BI822" s="67">
        <f t="shared" si="321"/>
        <v>9</v>
      </c>
      <c r="BJ822" s="110">
        <f t="shared" si="322"/>
        <v>7</v>
      </c>
      <c r="BK822" s="110">
        <f>+VLOOKUP('2. Logging Brejo Seco'!AP822,Leyenda!$B$47:$E$51,4,FALSE)</f>
        <v>1</v>
      </c>
      <c r="BL822" s="110">
        <f>+VLOOKUP('2. Logging Brejo Seco'!AQ822,Leyenda!$B$55:$E$59,4,FALSE)</f>
        <v>3</v>
      </c>
      <c r="BM822" s="110">
        <f>+VLOOKUP('2. Logging Brejo Seco'!AR822,Leyenda!$B$63:$E$67,3,FALSE)</f>
        <v>2</v>
      </c>
      <c r="BN822" s="110">
        <f>+VLOOKUP('2. Logging Brejo Seco'!AO822,Leyenda!$B$39:$E$43,4,FALSE)</f>
        <v>1</v>
      </c>
      <c r="BO822" s="110">
        <f>+VLOOKUP('2. Logging Brejo Seco'!AN822,Leyenda!$B$30:$E$34,4,FALSE)</f>
        <v>3</v>
      </c>
      <c r="BP822" s="110">
        <f>VLOOKUP(AS822,Leyenda!$B$71:$E$75,4,FALSE)</f>
        <v>10</v>
      </c>
      <c r="BQ822" s="110">
        <f t="shared" si="323"/>
        <v>38</v>
      </c>
      <c r="BR822" s="36">
        <f t="shared" si="324"/>
        <v>41</v>
      </c>
      <c r="BS822" s="240">
        <f t="shared" si="307"/>
        <v>0.35833333333333106</v>
      </c>
      <c r="BT822" s="6"/>
    </row>
    <row r="823" spans="1:72" x14ac:dyDescent="0.25">
      <c r="A823" s="18" t="s">
        <v>6</v>
      </c>
      <c r="B823" s="18">
        <v>2024</v>
      </c>
      <c r="C823" s="18" t="s">
        <v>138</v>
      </c>
      <c r="D823" s="18" t="s">
        <v>659</v>
      </c>
      <c r="E823" s="3">
        <v>20</v>
      </c>
      <c r="F823" s="191">
        <v>20</v>
      </c>
      <c r="G823" s="18" t="s">
        <v>156</v>
      </c>
      <c r="H823" s="244">
        <v>20</v>
      </c>
      <c r="I823" s="244" t="s">
        <v>760</v>
      </c>
      <c r="J823" s="244"/>
      <c r="K823" s="18">
        <f t="shared" ref="K823:K837" si="326">+L822</f>
        <v>54.3</v>
      </c>
      <c r="L823" s="18">
        <v>54.8</v>
      </c>
      <c r="M823" s="4">
        <f t="shared" si="313"/>
        <v>0.5</v>
      </c>
      <c r="N823" s="113">
        <f t="shared" si="312"/>
        <v>0.7</v>
      </c>
      <c r="O823" s="5">
        <f t="shared" si="325"/>
        <v>0.30000000000000004</v>
      </c>
      <c r="P823" s="4">
        <v>0.35</v>
      </c>
      <c r="Q823" s="18"/>
      <c r="R823" s="18"/>
      <c r="S823" s="18"/>
      <c r="T823" s="49">
        <v>0.35</v>
      </c>
      <c r="U823" s="49">
        <v>0</v>
      </c>
      <c r="V823" s="4">
        <f t="shared" si="314"/>
        <v>0</v>
      </c>
      <c r="W823" s="18"/>
      <c r="X823" s="18"/>
      <c r="Y823" s="18">
        <f>6+3</f>
        <v>9</v>
      </c>
      <c r="Z823" s="31">
        <f t="shared" si="308"/>
        <v>55.555555555555557</v>
      </c>
      <c r="AA823" s="6"/>
      <c r="AB823" s="6"/>
      <c r="AC823" s="184"/>
      <c r="AD823" s="6"/>
      <c r="AE823" s="184"/>
      <c r="AF823" s="184"/>
      <c r="AG823" s="195" t="s">
        <v>29</v>
      </c>
      <c r="AH823" s="195" t="s">
        <v>29</v>
      </c>
      <c r="AI823" s="18" t="str">
        <f>+VLOOKUP(AH823,Leyenda!$O$4:$U$10,6,FALSE)</f>
        <v>0,25-0,35</v>
      </c>
      <c r="AJ823" s="18" t="str">
        <f>+VLOOKUP(AG823,Leyenda!$O$4:$U$10,7,FALSE)</f>
        <v>No Blasting need</v>
      </c>
      <c r="AK823" s="18">
        <f>+VLOOKUP(AJ823,Leyenda!$U$4:$V$10,2,FALSE)</f>
        <v>2</v>
      </c>
      <c r="AL823" s="3"/>
      <c r="AM823" s="18" t="s">
        <v>29</v>
      </c>
      <c r="AN823" s="18" t="s">
        <v>64</v>
      </c>
      <c r="AO823" s="18" t="s">
        <v>79</v>
      </c>
      <c r="AP823" s="18" t="s">
        <v>96</v>
      </c>
      <c r="AQ823" s="18" t="s">
        <v>107</v>
      </c>
      <c r="AR823" s="18" t="s">
        <v>120</v>
      </c>
      <c r="AS823" s="18" t="s">
        <v>267</v>
      </c>
      <c r="AT823" s="18"/>
      <c r="AU823" s="6"/>
      <c r="AV823" s="36">
        <f>+VLOOKUP(AN823,Leyenda!$B$30:$E$34,3,FALSE)</f>
        <v>2</v>
      </c>
      <c r="AW823" s="36">
        <f>+VLOOKUP('2. Logging Brejo Seco'!AO823,Meteorizacion,3,FALSE)</f>
        <v>1</v>
      </c>
      <c r="AX823" s="36">
        <f>+VLOOKUP('2. Logging Brejo Seco'!AP823,Apertura,3,FALSE)</f>
        <v>1</v>
      </c>
      <c r="AY823" s="36">
        <f>+VLOOKUP('2. Logging Brejo Seco'!AQ823,Leyenda!$B$55:$D$59,3,FALSE)</f>
        <v>3</v>
      </c>
      <c r="AZ823" s="36">
        <f>+VLOOKUP('2. Logging Brejo Seco'!AR823,Relleno,3,FALSE)</f>
        <v>2</v>
      </c>
      <c r="BA823" s="36">
        <f t="shared" si="316"/>
        <v>9</v>
      </c>
      <c r="BB823" s="50">
        <f t="shared" si="317"/>
        <v>0</v>
      </c>
      <c r="BC823" s="49">
        <f>VLOOKUP(AH823,Leyenda!$B$4:$D$10,3,FALSE)</f>
        <v>2</v>
      </c>
      <c r="BD823" s="50">
        <f t="shared" si="318"/>
        <v>6</v>
      </c>
      <c r="BE823" s="50">
        <f t="shared" si="319"/>
        <v>9</v>
      </c>
      <c r="BF823" s="50">
        <f>VLOOKUP(AS823,Leyenda!$B$70:$D$75,3,FALSE)</f>
        <v>15</v>
      </c>
      <c r="BG823" s="110">
        <f t="shared" si="320"/>
        <v>13.5</v>
      </c>
      <c r="BH823" s="110">
        <f>VLOOKUP(AG823,Leyenda!$B$4:$E$10,4,FALSE)</f>
        <v>2</v>
      </c>
      <c r="BI823" s="67">
        <f t="shared" si="321"/>
        <v>5</v>
      </c>
      <c r="BJ823" s="110">
        <f t="shared" si="322"/>
        <v>0</v>
      </c>
      <c r="BK823" s="110">
        <f>+VLOOKUP('2. Logging Brejo Seco'!AP823,Leyenda!$B$47:$E$51,4,FALSE)</f>
        <v>1</v>
      </c>
      <c r="BL823" s="110">
        <f>+VLOOKUP('2. Logging Brejo Seco'!AQ823,Leyenda!$B$55:$E$59,4,FALSE)</f>
        <v>3</v>
      </c>
      <c r="BM823" s="110">
        <f>+VLOOKUP('2. Logging Brejo Seco'!AR823,Leyenda!$B$63:$E$67,3,FALSE)</f>
        <v>2</v>
      </c>
      <c r="BN823" s="110">
        <f>+VLOOKUP('2. Logging Brejo Seco'!AO823,Leyenda!$B$39:$E$43,4,FALSE)</f>
        <v>1</v>
      </c>
      <c r="BO823" s="110">
        <f>+VLOOKUP('2. Logging Brejo Seco'!AN823,Leyenda!$B$30:$E$34,4,FALSE)</f>
        <v>3</v>
      </c>
      <c r="BP823" s="110">
        <f>VLOOKUP(AS823,Leyenda!$B$71:$E$75,4,FALSE)</f>
        <v>10</v>
      </c>
      <c r="BQ823" s="110">
        <f t="shared" si="323"/>
        <v>27</v>
      </c>
      <c r="BR823" s="36">
        <f t="shared" si="324"/>
        <v>32</v>
      </c>
      <c r="BS823" s="240">
        <f t="shared" si="307"/>
        <v>0.30000000000000004</v>
      </c>
      <c r="BT823" s="6"/>
    </row>
    <row r="824" spans="1:72" x14ac:dyDescent="0.25">
      <c r="A824" s="18" t="s">
        <v>6</v>
      </c>
      <c r="B824" s="18">
        <v>2024</v>
      </c>
      <c r="C824" s="18" t="s">
        <v>138</v>
      </c>
      <c r="D824" s="18" t="s">
        <v>659</v>
      </c>
      <c r="E824" s="3">
        <v>20</v>
      </c>
      <c r="F824" s="191">
        <v>20</v>
      </c>
      <c r="G824" s="18" t="s">
        <v>156</v>
      </c>
      <c r="H824" s="244">
        <v>20</v>
      </c>
      <c r="I824" s="244" t="s">
        <v>760</v>
      </c>
      <c r="J824" s="244"/>
      <c r="K824" s="18">
        <f t="shared" si="326"/>
        <v>54.8</v>
      </c>
      <c r="L824" s="18">
        <v>56</v>
      </c>
      <c r="M824" s="4">
        <f t="shared" si="313"/>
        <v>1.2000000000000028</v>
      </c>
      <c r="N824" s="113">
        <f t="shared" si="312"/>
        <v>0.31666666666666593</v>
      </c>
      <c r="O824" s="5">
        <f t="shared" si="325"/>
        <v>0.68333333333333401</v>
      </c>
      <c r="P824" s="4">
        <v>0.38</v>
      </c>
      <c r="Q824" s="18"/>
      <c r="R824" s="18"/>
      <c r="S824" s="18"/>
      <c r="T824" s="49">
        <v>0.38</v>
      </c>
      <c r="U824" s="49">
        <v>0</v>
      </c>
      <c r="V824" s="4">
        <f t="shared" si="314"/>
        <v>0</v>
      </c>
      <c r="W824" s="18"/>
      <c r="X824" s="18"/>
      <c r="Y824" s="18">
        <v>7</v>
      </c>
      <c r="Z824" s="31">
        <f t="shared" si="308"/>
        <v>171.42857142857181</v>
      </c>
      <c r="AA824" s="6"/>
      <c r="AB824" s="6"/>
      <c r="AC824" s="6" t="e" vm="2">
        <v>#VALUE!</v>
      </c>
      <c r="AD824" s="6"/>
      <c r="AE824" s="6"/>
      <c r="AF824" s="6"/>
      <c r="AG824" s="3" t="s">
        <v>29</v>
      </c>
      <c r="AH824" s="3" t="s">
        <v>29</v>
      </c>
      <c r="AI824" s="18" t="str">
        <f>+VLOOKUP(AH824,Leyenda!$O$4:$U$10,6,FALSE)</f>
        <v>0,25-0,35</v>
      </c>
      <c r="AJ824" s="18" t="str">
        <f>+VLOOKUP(AG824,Leyenda!$O$4:$U$10,7,FALSE)</f>
        <v>No Blasting need</v>
      </c>
      <c r="AK824" s="18">
        <f>+VLOOKUP(AJ824,Leyenda!$U$4:$V$10,2,FALSE)</f>
        <v>2</v>
      </c>
      <c r="AL824" s="3"/>
      <c r="AM824" s="18" t="s">
        <v>29</v>
      </c>
      <c r="AN824" s="18" t="s">
        <v>64</v>
      </c>
      <c r="AO824" s="18" t="s">
        <v>79</v>
      </c>
      <c r="AP824" s="18" t="s">
        <v>96</v>
      </c>
      <c r="AQ824" s="18" t="s">
        <v>107</v>
      </c>
      <c r="AR824" s="18" t="s">
        <v>120</v>
      </c>
      <c r="AS824" s="18" t="s">
        <v>267</v>
      </c>
      <c r="AT824" s="18"/>
      <c r="AU824" s="6"/>
      <c r="AV824" s="36">
        <f>+VLOOKUP(AN824,Leyenda!$B$30:$E$34,3,FALSE)</f>
        <v>2</v>
      </c>
      <c r="AW824" s="36">
        <f>+VLOOKUP('2. Logging Brejo Seco'!AO824,Meteorizacion,3,FALSE)</f>
        <v>1</v>
      </c>
      <c r="AX824" s="36">
        <f>+VLOOKUP('2. Logging Brejo Seco'!AP824,Apertura,3,FALSE)</f>
        <v>1</v>
      </c>
      <c r="AY824" s="36">
        <f>+VLOOKUP('2. Logging Brejo Seco'!AQ824,Leyenda!$B$55:$D$59,3,FALSE)</f>
        <v>3</v>
      </c>
      <c r="AZ824" s="36">
        <f>+VLOOKUP('2. Logging Brejo Seco'!AR824,Relleno,3,FALSE)</f>
        <v>2</v>
      </c>
      <c r="BA824" s="36">
        <f t="shared" si="316"/>
        <v>9</v>
      </c>
      <c r="BB824" s="50">
        <f t="shared" si="317"/>
        <v>0</v>
      </c>
      <c r="BC824" s="49">
        <f>VLOOKUP(AH824,Leyenda!$B$4:$D$10,3,FALSE)</f>
        <v>2</v>
      </c>
      <c r="BD824" s="50">
        <f t="shared" si="318"/>
        <v>9</v>
      </c>
      <c r="BE824" s="50">
        <f t="shared" si="319"/>
        <v>9</v>
      </c>
      <c r="BF824" s="50">
        <f>VLOOKUP(AS824,Leyenda!$B$70:$D$75,3,FALSE)</f>
        <v>15</v>
      </c>
      <c r="BG824" s="110">
        <f t="shared" si="320"/>
        <v>13.5</v>
      </c>
      <c r="BH824" s="110">
        <f>VLOOKUP(AG824,Leyenda!$B$4:$E$10,4,FALSE)</f>
        <v>2</v>
      </c>
      <c r="BI824" s="67">
        <f t="shared" si="321"/>
        <v>11</v>
      </c>
      <c r="BJ824" s="110">
        <f t="shared" si="322"/>
        <v>0</v>
      </c>
      <c r="BK824" s="110">
        <f>+VLOOKUP('2. Logging Brejo Seco'!AP824,Leyenda!$B$47:$E$51,4,FALSE)</f>
        <v>1</v>
      </c>
      <c r="BL824" s="110">
        <f>+VLOOKUP('2. Logging Brejo Seco'!AQ824,Leyenda!$B$55:$E$59,4,FALSE)</f>
        <v>3</v>
      </c>
      <c r="BM824" s="110">
        <f>+VLOOKUP('2. Logging Brejo Seco'!AR824,Leyenda!$B$63:$E$67,3,FALSE)</f>
        <v>2</v>
      </c>
      <c r="BN824" s="110">
        <f>+VLOOKUP('2. Logging Brejo Seco'!AO824,Leyenda!$B$39:$E$43,4,FALSE)</f>
        <v>1</v>
      </c>
      <c r="BO824" s="110">
        <f>+VLOOKUP('2. Logging Brejo Seco'!AN824,Leyenda!$B$30:$E$34,4,FALSE)</f>
        <v>3</v>
      </c>
      <c r="BP824" s="110">
        <f>VLOOKUP(AS824,Leyenda!$B$71:$E$75,4,FALSE)</f>
        <v>10</v>
      </c>
      <c r="BQ824" s="110">
        <f t="shared" si="323"/>
        <v>33</v>
      </c>
      <c r="BR824" s="36">
        <f t="shared" si="324"/>
        <v>35</v>
      </c>
      <c r="BS824" s="240">
        <f t="shared" si="307"/>
        <v>0.68333333333333401</v>
      </c>
      <c r="BT824" s="6"/>
    </row>
    <row r="825" spans="1:72" x14ac:dyDescent="0.25">
      <c r="A825" s="18" t="s">
        <v>6</v>
      </c>
      <c r="B825" s="18">
        <v>2024</v>
      </c>
      <c r="C825" s="18" t="s">
        <v>138</v>
      </c>
      <c r="D825" s="18" t="s">
        <v>659</v>
      </c>
      <c r="E825" s="3">
        <v>20</v>
      </c>
      <c r="F825" s="191">
        <v>20</v>
      </c>
      <c r="G825" s="18" t="s">
        <v>156</v>
      </c>
      <c r="H825" s="3">
        <v>30</v>
      </c>
      <c r="I825" s="3" t="s">
        <v>759</v>
      </c>
      <c r="J825" s="3"/>
      <c r="K825" s="18">
        <f t="shared" si="326"/>
        <v>56</v>
      </c>
      <c r="L825" s="18">
        <v>57.2</v>
      </c>
      <c r="M825" s="4">
        <f t="shared" si="313"/>
        <v>1.2000000000000028</v>
      </c>
      <c r="N825" s="113">
        <f t="shared" si="312"/>
        <v>0.36666666666666581</v>
      </c>
      <c r="O825" s="5">
        <f t="shared" si="325"/>
        <v>0.63333333333333419</v>
      </c>
      <c r="P825" s="4">
        <v>0.44</v>
      </c>
      <c r="Q825" s="18"/>
      <c r="R825" s="18"/>
      <c r="S825" s="18"/>
      <c r="T825" s="49">
        <v>0.44</v>
      </c>
      <c r="U825" s="49">
        <v>0.11</v>
      </c>
      <c r="V825" s="4">
        <f t="shared" si="314"/>
        <v>9.1666666666666448</v>
      </c>
      <c r="W825" s="18"/>
      <c r="X825" s="18"/>
      <c r="Y825" s="18">
        <v>10</v>
      </c>
      <c r="Z825" s="31">
        <f t="shared" si="308"/>
        <v>120.00000000000027</v>
      </c>
      <c r="AA825" s="6"/>
      <c r="AB825" s="6"/>
      <c r="AC825" s="6"/>
      <c r="AD825" s="6"/>
      <c r="AE825" s="6"/>
      <c r="AF825" s="6"/>
      <c r="AG825" s="3" t="s">
        <v>27</v>
      </c>
      <c r="AH825" s="3" t="s">
        <v>27</v>
      </c>
      <c r="AI825" s="18" t="str">
        <f>+VLOOKUP(AH825,Leyenda!$O$4:$U$10,6,FALSE)</f>
        <v>0,35-0,50</v>
      </c>
      <c r="AJ825" s="18" t="str">
        <f>+VLOOKUP(AG825,Leyenda!$O$4:$U$10,7,FALSE)</f>
        <v>Easy to blast</v>
      </c>
      <c r="AK825" s="18">
        <f>+VLOOKUP(AJ825,Leyenda!$U$4:$V$10,2,FALSE)</f>
        <v>3</v>
      </c>
      <c r="AL825" s="3"/>
      <c r="AM825" s="18" t="s">
        <v>27</v>
      </c>
      <c r="AN825" s="18" t="s">
        <v>66</v>
      </c>
      <c r="AO825" s="18" t="s">
        <v>79</v>
      </c>
      <c r="AP825" s="18" t="s">
        <v>96</v>
      </c>
      <c r="AQ825" s="18" t="s">
        <v>107</v>
      </c>
      <c r="AR825" s="18" t="s">
        <v>120</v>
      </c>
      <c r="AS825" s="18" t="s">
        <v>267</v>
      </c>
      <c r="AT825" s="18"/>
      <c r="AU825" s="6"/>
      <c r="AV825" s="36">
        <f>+VLOOKUP(AN825,Leyenda!$B$30:$E$34,3,FALSE)</f>
        <v>1</v>
      </c>
      <c r="AW825" s="36">
        <f>+VLOOKUP('2. Logging Brejo Seco'!AO825,Meteorizacion,3,FALSE)</f>
        <v>1</v>
      </c>
      <c r="AX825" s="36">
        <f>+VLOOKUP('2. Logging Brejo Seco'!AP825,Apertura,3,FALSE)</f>
        <v>1</v>
      </c>
      <c r="AY825" s="36">
        <f>+VLOOKUP('2. Logging Brejo Seco'!AQ825,Leyenda!$B$55:$D$59,3,FALSE)</f>
        <v>3</v>
      </c>
      <c r="AZ825" s="36">
        <f>+VLOOKUP('2. Logging Brejo Seco'!AR825,Relleno,3,FALSE)</f>
        <v>2</v>
      </c>
      <c r="BA825" s="36">
        <f t="shared" si="316"/>
        <v>8</v>
      </c>
      <c r="BB825" s="50">
        <f t="shared" si="317"/>
        <v>2</v>
      </c>
      <c r="BC825" s="49">
        <f>VLOOKUP(AH825,Leyenda!$B$4:$D$10,3,FALSE)</f>
        <v>4</v>
      </c>
      <c r="BD825" s="50">
        <f t="shared" si="318"/>
        <v>8</v>
      </c>
      <c r="BE825" s="50">
        <f t="shared" si="319"/>
        <v>8</v>
      </c>
      <c r="BF825" s="50">
        <f>VLOOKUP(AS825,Leyenda!$B$70:$D$75,3,FALSE)</f>
        <v>15</v>
      </c>
      <c r="BG825" s="110">
        <f t="shared" si="320"/>
        <v>16.583333333333321</v>
      </c>
      <c r="BH825" s="110">
        <f>VLOOKUP(AG825,Leyenda!$B$4:$E$10,4,FALSE)</f>
        <v>4</v>
      </c>
      <c r="BI825" s="67">
        <f t="shared" si="321"/>
        <v>9</v>
      </c>
      <c r="BJ825" s="110">
        <f t="shared" si="322"/>
        <v>2</v>
      </c>
      <c r="BK825" s="110">
        <f>+VLOOKUP('2. Logging Brejo Seco'!AP825,Leyenda!$B$47:$E$51,4,FALSE)</f>
        <v>1</v>
      </c>
      <c r="BL825" s="110">
        <f>+VLOOKUP('2. Logging Brejo Seco'!AQ825,Leyenda!$B$55:$E$59,4,FALSE)</f>
        <v>3</v>
      </c>
      <c r="BM825" s="110">
        <f>+VLOOKUP('2. Logging Brejo Seco'!AR825,Leyenda!$B$63:$E$67,3,FALSE)</f>
        <v>2</v>
      </c>
      <c r="BN825" s="110">
        <f>+VLOOKUP('2. Logging Brejo Seco'!AO825,Leyenda!$B$39:$E$43,4,FALSE)</f>
        <v>1</v>
      </c>
      <c r="BO825" s="110">
        <f>+VLOOKUP('2. Logging Brejo Seco'!AN825,Leyenda!$B$30:$E$34,4,FALSE)</f>
        <v>1</v>
      </c>
      <c r="BP825" s="110">
        <f>VLOOKUP(AS825,Leyenda!$B$71:$E$75,4,FALSE)</f>
        <v>10</v>
      </c>
      <c r="BQ825" s="110">
        <f t="shared" si="323"/>
        <v>33</v>
      </c>
      <c r="BR825" s="36">
        <f t="shared" si="324"/>
        <v>37</v>
      </c>
      <c r="BS825" s="240">
        <f t="shared" si="307"/>
        <v>0.63333333333333419</v>
      </c>
      <c r="BT825" s="6"/>
    </row>
    <row r="826" spans="1:72" x14ac:dyDescent="0.25">
      <c r="A826" s="18" t="s">
        <v>6</v>
      </c>
      <c r="B826" s="18">
        <v>2024</v>
      </c>
      <c r="C826" s="18" t="s">
        <v>138</v>
      </c>
      <c r="D826" s="18" t="s">
        <v>659</v>
      </c>
      <c r="E826" s="3">
        <v>20</v>
      </c>
      <c r="F826" s="191">
        <v>20</v>
      </c>
      <c r="G826" s="18" t="s">
        <v>156</v>
      </c>
      <c r="H826" s="3">
        <v>30</v>
      </c>
      <c r="I826" s="3" t="s">
        <v>759</v>
      </c>
      <c r="J826" s="3"/>
      <c r="K826" s="18">
        <f t="shared" si="326"/>
        <v>57.2</v>
      </c>
      <c r="L826" s="18">
        <v>57.9</v>
      </c>
      <c r="M826" s="4">
        <f t="shared" si="313"/>
        <v>0.69999999999999574</v>
      </c>
      <c r="N826" s="113">
        <f t="shared" si="312"/>
        <v>1.000000000000006</v>
      </c>
      <c r="O826" s="5">
        <f t="shared" si="325"/>
        <v>-5.9952043329758453E-15</v>
      </c>
      <c r="P826" s="4">
        <v>0.7</v>
      </c>
      <c r="Q826" s="18"/>
      <c r="R826" s="18"/>
      <c r="S826" s="18"/>
      <c r="T826" s="49">
        <v>0.7</v>
      </c>
      <c r="U826" s="49">
        <v>0</v>
      </c>
      <c r="V826" s="4">
        <f t="shared" si="314"/>
        <v>0</v>
      </c>
      <c r="W826" s="18"/>
      <c r="X826" s="18"/>
      <c r="Y826" s="18">
        <v>9</v>
      </c>
      <c r="Z826" s="31">
        <f t="shared" si="308"/>
        <v>77.777777777777303</v>
      </c>
      <c r="AA826" s="6"/>
      <c r="AB826" s="6"/>
      <c r="AC826" s="6"/>
      <c r="AD826" s="6"/>
      <c r="AE826" s="6"/>
      <c r="AF826" s="6"/>
      <c r="AG826" s="3" t="s">
        <v>27</v>
      </c>
      <c r="AH826" s="3" t="s">
        <v>27</v>
      </c>
      <c r="AI826" s="18" t="str">
        <f>+VLOOKUP(AH826,Leyenda!$O$4:$U$10,6,FALSE)</f>
        <v>0,35-0,50</v>
      </c>
      <c r="AJ826" s="18" t="str">
        <f>+VLOOKUP(AG826,Leyenda!$O$4:$U$10,7,FALSE)</f>
        <v>Easy to blast</v>
      </c>
      <c r="AK826" s="18">
        <f>+VLOOKUP(AJ826,Leyenda!$U$4:$V$10,2,FALSE)</f>
        <v>3</v>
      </c>
      <c r="AL826" s="3"/>
      <c r="AM826" s="18" t="s">
        <v>27</v>
      </c>
      <c r="AN826" s="18" t="s">
        <v>64</v>
      </c>
      <c r="AO826" s="18" t="s">
        <v>79</v>
      </c>
      <c r="AP826" s="18" t="s">
        <v>96</v>
      </c>
      <c r="AQ826" s="18" t="s">
        <v>107</v>
      </c>
      <c r="AR826" s="18" t="s">
        <v>120</v>
      </c>
      <c r="AS826" s="18" t="s">
        <v>267</v>
      </c>
      <c r="AT826" s="18"/>
      <c r="AU826" s="6"/>
      <c r="AV826" s="36">
        <f>+VLOOKUP(AN826,Leyenda!$B$30:$E$34,3,FALSE)</f>
        <v>2</v>
      </c>
      <c r="AW826" s="36">
        <f>+VLOOKUP('2. Logging Brejo Seco'!AO826,Meteorizacion,3,FALSE)</f>
        <v>1</v>
      </c>
      <c r="AX826" s="36">
        <f>+VLOOKUP('2. Logging Brejo Seco'!AP826,Apertura,3,FALSE)</f>
        <v>1</v>
      </c>
      <c r="AY826" s="36">
        <f>+VLOOKUP('2. Logging Brejo Seco'!AQ826,Leyenda!$B$55:$D$59,3,FALSE)</f>
        <v>3</v>
      </c>
      <c r="AZ826" s="36">
        <f>+VLOOKUP('2. Logging Brejo Seco'!AR826,Relleno,3,FALSE)</f>
        <v>2</v>
      </c>
      <c r="BA826" s="36">
        <f t="shared" si="316"/>
        <v>9</v>
      </c>
      <c r="BB826" s="50">
        <f t="shared" si="317"/>
        <v>0</v>
      </c>
      <c r="BC826" s="49">
        <f>VLOOKUP(AH826,Leyenda!$B$4:$D$10,3,FALSE)</f>
        <v>4</v>
      </c>
      <c r="BD826" s="50">
        <f t="shared" si="318"/>
        <v>7</v>
      </c>
      <c r="BE826" s="50">
        <f t="shared" si="319"/>
        <v>9</v>
      </c>
      <c r="BF826" s="50">
        <f>VLOOKUP(AS826,Leyenda!$B$70:$D$75,3,FALSE)</f>
        <v>15</v>
      </c>
      <c r="BG826" s="110">
        <f t="shared" si="320"/>
        <v>13.5</v>
      </c>
      <c r="BH826" s="110">
        <f>VLOOKUP(AG826,Leyenda!$B$4:$E$10,4,FALSE)</f>
        <v>4</v>
      </c>
      <c r="BI826" s="67">
        <f t="shared" si="321"/>
        <v>7</v>
      </c>
      <c r="BJ826" s="110">
        <f t="shared" si="322"/>
        <v>0</v>
      </c>
      <c r="BK826" s="110">
        <f>+VLOOKUP('2. Logging Brejo Seco'!AP826,Leyenda!$B$47:$E$51,4,FALSE)</f>
        <v>1</v>
      </c>
      <c r="BL826" s="110">
        <f>+VLOOKUP('2. Logging Brejo Seco'!AQ826,Leyenda!$B$55:$E$59,4,FALSE)</f>
        <v>3</v>
      </c>
      <c r="BM826" s="110">
        <f>+VLOOKUP('2. Logging Brejo Seco'!AR826,Leyenda!$B$63:$E$67,3,FALSE)</f>
        <v>2</v>
      </c>
      <c r="BN826" s="110">
        <f>+VLOOKUP('2. Logging Brejo Seco'!AO826,Leyenda!$B$39:$E$43,4,FALSE)</f>
        <v>1</v>
      </c>
      <c r="BO826" s="110">
        <f>+VLOOKUP('2. Logging Brejo Seco'!AN826,Leyenda!$B$30:$E$34,4,FALSE)</f>
        <v>3</v>
      </c>
      <c r="BP826" s="110">
        <f>VLOOKUP(AS826,Leyenda!$B$71:$E$75,4,FALSE)</f>
        <v>10</v>
      </c>
      <c r="BQ826" s="110">
        <f t="shared" si="323"/>
        <v>31</v>
      </c>
      <c r="BR826" s="36">
        <f t="shared" si="324"/>
        <v>35</v>
      </c>
      <c r="BS826" s="240">
        <f t="shared" si="307"/>
        <v>-5.9952043329758453E-15</v>
      </c>
      <c r="BT826" s="6"/>
    </row>
    <row r="827" spans="1:72" x14ac:dyDescent="0.25">
      <c r="A827" s="18" t="s">
        <v>6</v>
      </c>
      <c r="B827" s="18">
        <v>2024</v>
      </c>
      <c r="C827" s="18" t="s">
        <v>138</v>
      </c>
      <c r="D827" s="18" t="s">
        <v>659</v>
      </c>
      <c r="E827" s="3">
        <v>20</v>
      </c>
      <c r="F827" s="191">
        <v>20</v>
      </c>
      <c r="G827" s="18" t="s">
        <v>156</v>
      </c>
      <c r="H827" s="3">
        <v>30</v>
      </c>
      <c r="I827" s="3" t="s">
        <v>759</v>
      </c>
      <c r="J827" s="3"/>
      <c r="K827" s="18">
        <f t="shared" si="326"/>
        <v>57.9</v>
      </c>
      <c r="L827" s="18">
        <v>58.4</v>
      </c>
      <c r="M827" s="4">
        <f t="shared" si="313"/>
        <v>0.5</v>
      </c>
      <c r="N827" s="113">
        <f t="shared" si="312"/>
        <v>0.64</v>
      </c>
      <c r="O827" s="5">
        <f t="shared" si="325"/>
        <v>0.36</v>
      </c>
      <c r="P827" s="4">
        <v>0.32</v>
      </c>
      <c r="Q827" s="18"/>
      <c r="R827" s="18"/>
      <c r="S827" s="18"/>
      <c r="T827" s="49">
        <v>0.32</v>
      </c>
      <c r="U827" s="49">
        <v>0.32</v>
      </c>
      <c r="V827" s="4">
        <f t="shared" si="314"/>
        <v>64</v>
      </c>
      <c r="W827" s="18"/>
      <c r="X827" s="18"/>
      <c r="Y827" s="18">
        <v>4</v>
      </c>
      <c r="Z827" s="31">
        <f t="shared" si="308"/>
        <v>125</v>
      </c>
      <c r="AA827" s="6"/>
      <c r="AB827" s="6"/>
      <c r="AC827" s="6"/>
      <c r="AD827" s="6"/>
      <c r="AE827" s="6"/>
      <c r="AF827" s="6"/>
      <c r="AG827" s="3" t="s">
        <v>27</v>
      </c>
      <c r="AH827" s="3" t="s">
        <v>27</v>
      </c>
      <c r="AI827" s="18" t="str">
        <f>+VLOOKUP(AH827,Leyenda!$O$4:$U$10,6,FALSE)</f>
        <v>0,35-0,50</v>
      </c>
      <c r="AJ827" s="18" t="str">
        <f>+VLOOKUP(AG827,Leyenda!$O$4:$U$10,7,FALSE)</f>
        <v>Easy to blast</v>
      </c>
      <c r="AK827" s="18">
        <f>+VLOOKUP(AJ827,Leyenda!$U$4:$V$10,2,FALSE)</f>
        <v>3</v>
      </c>
      <c r="AL827" s="3"/>
      <c r="AM827" s="18" t="s">
        <v>27</v>
      </c>
      <c r="AN827" s="18" t="s">
        <v>64</v>
      </c>
      <c r="AO827" s="18" t="s">
        <v>79</v>
      </c>
      <c r="AP827" s="18" t="s">
        <v>96</v>
      </c>
      <c r="AQ827" s="18" t="s">
        <v>107</v>
      </c>
      <c r="AR827" s="18" t="s">
        <v>120</v>
      </c>
      <c r="AS827" s="18" t="s">
        <v>267</v>
      </c>
      <c r="AT827" s="18"/>
      <c r="AU827" s="6"/>
      <c r="AV827" s="36">
        <f>+VLOOKUP(AN827,Leyenda!$B$30:$E$34,3,FALSE)</f>
        <v>2</v>
      </c>
      <c r="AW827" s="36">
        <f>+VLOOKUP('2. Logging Brejo Seco'!AO827,Meteorizacion,3,FALSE)</f>
        <v>1</v>
      </c>
      <c r="AX827" s="36">
        <f>+VLOOKUP('2. Logging Brejo Seco'!AP827,Apertura,3,FALSE)</f>
        <v>1</v>
      </c>
      <c r="AY827" s="36">
        <f>+VLOOKUP('2. Logging Brejo Seco'!AQ827,Leyenda!$B$55:$D$59,3,FALSE)</f>
        <v>3</v>
      </c>
      <c r="AZ827" s="36">
        <f>+VLOOKUP('2. Logging Brejo Seco'!AR827,Relleno,3,FALSE)</f>
        <v>2</v>
      </c>
      <c r="BA827" s="36">
        <f t="shared" si="316"/>
        <v>9</v>
      </c>
      <c r="BB827" s="50">
        <f t="shared" si="317"/>
        <v>13</v>
      </c>
      <c r="BC827" s="49">
        <f>VLOOKUP(AH827,Leyenda!$B$4:$D$10,3,FALSE)</f>
        <v>4</v>
      </c>
      <c r="BD827" s="50">
        <f t="shared" si="318"/>
        <v>8</v>
      </c>
      <c r="BE827" s="50">
        <f t="shared" si="319"/>
        <v>9</v>
      </c>
      <c r="BF827" s="50">
        <f>VLOOKUP(AS827,Leyenda!$B$70:$D$75,3,FALSE)</f>
        <v>15</v>
      </c>
      <c r="BG827" s="110">
        <f t="shared" si="320"/>
        <v>45.5</v>
      </c>
      <c r="BH827" s="110">
        <f>VLOOKUP(AG827,Leyenda!$B$4:$E$10,4,FALSE)</f>
        <v>4</v>
      </c>
      <c r="BI827" s="67">
        <f t="shared" si="321"/>
        <v>10</v>
      </c>
      <c r="BJ827" s="110">
        <f t="shared" si="322"/>
        <v>13</v>
      </c>
      <c r="BK827" s="110">
        <f>+VLOOKUP('2. Logging Brejo Seco'!AP827,Leyenda!$B$47:$E$51,4,FALSE)</f>
        <v>1</v>
      </c>
      <c r="BL827" s="110">
        <f>+VLOOKUP('2. Logging Brejo Seco'!AQ827,Leyenda!$B$55:$E$59,4,FALSE)</f>
        <v>3</v>
      </c>
      <c r="BM827" s="110">
        <f>+VLOOKUP('2. Logging Brejo Seco'!AR827,Leyenda!$B$63:$E$67,3,FALSE)</f>
        <v>2</v>
      </c>
      <c r="BN827" s="110">
        <f>+VLOOKUP('2. Logging Brejo Seco'!AO827,Leyenda!$B$39:$E$43,4,FALSE)</f>
        <v>1</v>
      </c>
      <c r="BO827" s="110">
        <f>+VLOOKUP('2. Logging Brejo Seco'!AN827,Leyenda!$B$30:$E$34,4,FALSE)</f>
        <v>3</v>
      </c>
      <c r="BP827" s="110">
        <f>VLOOKUP(AS827,Leyenda!$B$71:$E$75,4,FALSE)</f>
        <v>10</v>
      </c>
      <c r="BQ827" s="110">
        <f t="shared" si="323"/>
        <v>47</v>
      </c>
      <c r="BR827" s="36">
        <f t="shared" si="324"/>
        <v>49</v>
      </c>
      <c r="BS827" s="240">
        <f t="shared" si="307"/>
        <v>0.36</v>
      </c>
      <c r="BT827" s="6"/>
    </row>
    <row r="828" spans="1:72" x14ac:dyDescent="0.25">
      <c r="A828" s="18" t="s">
        <v>6</v>
      </c>
      <c r="B828" s="18">
        <v>2024</v>
      </c>
      <c r="C828" s="18" t="s">
        <v>138</v>
      </c>
      <c r="D828" s="18" t="s">
        <v>659</v>
      </c>
      <c r="E828" s="3">
        <v>20</v>
      </c>
      <c r="F828" s="191">
        <v>20</v>
      </c>
      <c r="G828" s="18" t="s">
        <v>156</v>
      </c>
      <c r="H828" s="3">
        <v>30</v>
      </c>
      <c r="I828" s="3" t="s">
        <v>759</v>
      </c>
      <c r="J828" s="3"/>
      <c r="K828" s="18">
        <f t="shared" si="326"/>
        <v>58.4</v>
      </c>
      <c r="L828" s="18">
        <v>58.85</v>
      </c>
      <c r="M828" s="4">
        <f t="shared" si="313"/>
        <v>0.45000000000000284</v>
      </c>
      <c r="N828" s="113">
        <f t="shared" si="312"/>
        <v>0.75555555555555087</v>
      </c>
      <c r="O828" s="5">
        <f t="shared" si="325"/>
        <v>0.24444444444444913</v>
      </c>
      <c r="P828" s="4">
        <v>0.34</v>
      </c>
      <c r="Q828" s="18"/>
      <c r="R828" s="18"/>
      <c r="S828" s="18"/>
      <c r="T828" s="49">
        <v>0.34</v>
      </c>
      <c r="U828" s="49">
        <v>0</v>
      </c>
      <c r="V828" s="4">
        <f t="shared" si="314"/>
        <v>0</v>
      </c>
      <c r="W828" s="18"/>
      <c r="X828" s="18"/>
      <c r="Y828" s="18">
        <v>4</v>
      </c>
      <c r="Z828" s="31">
        <f t="shared" si="308"/>
        <v>112.50000000000071</v>
      </c>
      <c r="AA828" s="6"/>
      <c r="AB828" s="6"/>
      <c r="AC828" s="6"/>
      <c r="AD828" s="6"/>
      <c r="AE828" s="6"/>
      <c r="AF828" s="6"/>
      <c r="AG828" s="3" t="s">
        <v>27</v>
      </c>
      <c r="AH828" s="3" t="s">
        <v>27</v>
      </c>
      <c r="AI828" s="18" t="str">
        <f>+VLOOKUP(AH828,Leyenda!$O$4:$U$10,6,FALSE)</f>
        <v>0,35-0,50</v>
      </c>
      <c r="AJ828" s="18" t="str">
        <f>+VLOOKUP(AG828,Leyenda!$O$4:$U$10,7,FALSE)</f>
        <v>Easy to blast</v>
      </c>
      <c r="AK828" s="18">
        <f>+VLOOKUP(AJ828,Leyenda!$U$4:$V$10,2,FALSE)</f>
        <v>3</v>
      </c>
      <c r="AL828" s="3"/>
      <c r="AM828" s="18" t="s">
        <v>27</v>
      </c>
      <c r="AN828" s="18" t="s">
        <v>64</v>
      </c>
      <c r="AO828" s="18" t="s">
        <v>79</v>
      </c>
      <c r="AP828" s="18" t="s">
        <v>96</v>
      </c>
      <c r="AQ828" s="18" t="s">
        <v>107</v>
      </c>
      <c r="AR828" s="18" t="s">
        <v>120</v>
      </c>
      <c r="AS828" s="18" t="s">
        <v>267</v>
      </c>
      <c r="AT828" s="18"/>
      <c r="AU828" s="6"/>
      <c r="AV828" s="36">
        <f>+VLOOKUP(AN828,Leyenda!$B$30:$E$34,3,FALSE)</f>
        <v>2</v>
      </c>
      <c r="AW828" s="36">
        <f>+VLOOKUP('2. Logging Brejo Seco'!AO828,Meteorizacion,3,FALSE)</f>
        <v>1</v>
      </c>
      <c r="AX828" s="36">
        <f>+VLOOKUP('2. Logging Brejo Seco'!AP828,Apertura,3,FALSE)</f>
        <v>1</v>
      </c>
      <c r="AY828" s="36">
        <f>+VLOOKUP('2. Logging Brejo Seco'!AQ828,Leyenda!$B$55:$D$59,3,FALSE)</f>
        <v>3</v>
      </c>
      <c r="AZ828" s="36">
        <f>+VLOOKUP('2. Logging Brejo Seco'!AR828,Relleno,3,FALSE)</f>
        <v>2</v>
      </c>
      <c r="BA828" s="36">
        <f t="shared" si="316"/>
        <v>9</v>
      </c>
      <c r="BB828" s="50">
        <f t="shared" si="317"/>
        <v>0</v>
      </c>
      <c r="BC828" s="49">
        <f>VLOOKUP(AH828,Leyenda!$B$4:$D$10,3,FALSE)</f>
        <v>4</v>
      </c>
      <c r="BD828" s="50">
        <f t="shared" si="318"/>
        <v>8</v>
      </c>
      <c r="BE828" s="50">
        <f t="shared" si="319"/>
        <v>9</v>
      </c>
      <c r="BF828" s="50">
        <f>VLOOKUP(AS828,Leyenda!$B$70:$D$75,3,FALSE)</f>
        <v>15</v>
      </c>
      <c r="BG828" s="110">
        <f t="shared" si="320"/>
        <v>13.5</v>
      </c>
      <c r="BH828" s="110">
        <f>VLOOKUP(AG828,Leyenda!$B$4:$E$10,4,FALSE)</f>
        <v>4</v>
      </c>
      <c r="BI828" s="67">
        <f t="shared" si="321"/>
        <v>9</v>
      </c>
      <c r="BJ828" s="110">
        <f t="shared" si="322"/>
        <v>0</v>
      </c>
      <c r="BK828" s="110">
        <f>+VLOOKUP('2. Logging Brejo Seco'!AP828,Leyenda!$B$47:$E$51,4,FALSE)</f>
        <v>1</v>
      </c>
      <c r="BL828" s="110">
        <f>+VLOOKUP('2. Logging Brejo Seco'!AQ828,Leyenda!$B$55:$E$59,4,FALSE)</f>
        <v>3</v>
      </c>
      <c r="BM828" s="110">
        <f>+VLOOKUP('2. Logging Brejo Seco'!AR828,Leyenda!$B$63:$E$67,3,FALSE)</f>
        <v>2</v>
      </c>
      <c r="BN828" s="110">
        <f>+VLOOKUP('2. Logging Brejo Seco'!AO828,Leyenda!$B$39:$E$43,4,FALSE)</f>
        <v>1</v>
      </c>
      <c r="BO828" s="110">
        <f>+VLOOKUP('2. Logging Brejo Seco'!AN828,Leyenda!$B$30:$E$34,4,FALSE)</f>
        <v>3</v>
      </c>
      <c r="BP828" s="110">
        <f>VLOOKUP(AS828,Leyenda!$B$71:$E$75,4,FALSE)</f>
        <v>10</v>
      </c>
      <c r="BQ828" s="110">
        <f t="shared" si="323"/>
        <v>33</v>
      </c>
      <c r="BR828" s="36">
        <f t="shared" si="324"/>
        <v>36</v>
      </c>
      <c r="BS828" s="240">
        <f t="shared" si="307"/>
        <v>0.24444444444444913</v>
      </c>
      <c r="BT828" s="6"/>
    </row>
    <row r="829" spans="1:72" x14ac:dyDescent="0.25">
      <c r="A829" s="18" t="s">
        <v>6</v>
      </c>
      <c r="B829" s="18">
        <v>2024</v>
      </c>
      <c r="C829" s="18" t="s">
        <v>138</v>
      </c>
      <c r="D829" s="18" t="s">
        <v>659</v>
      </c>
      <c r="E829" s="3">
        <v>20</v>
      </c>
      <c r="F829" s="191">
        <v>20</v>
      </c>
      <c r="G829" s="18" t="s">
        <v>156</v>
      </c>
      <c r="H829" s="244">
        <f>+F829</f>
        <v>20</v>
      </c>
      <c r="I829" s="244" t="s">
        <v>760</v>
      </c>
      <c r="J829" s="244"/>
      <c r="K829" s="18">
        <f t="shared" si="326"/>
        <v>58.85</v>
      </c>
      <c r="L829" s="18">
        <v>59.4</v>
      </c>
      <c r="M829" s="4">
        <f t="shared" si="313"/>
        <v>0.54999999999999716</v>
      </c>
      <c r="N829" s="113">
        <f t="shared" si="312"/>
        <v>0.47272727272727516</v>
      </c>
      <c r="O829" s="5">
        <f t="shared" si="325"/>
        <v>0.52727272727272489</v>
      </c>
      <c r="P829" s="4">
        <v>0.26</v>
      </c>
      <c r="Q829" s="18"/>
      <c r="R829" s="18"/>
      <c r="S829" s="18"/>
      <c r="T829" s="49">
        <v>0.26</v>
      </c>
      <c r="U829" s="49">
        <v>0</v>
      </c>
      <c r="V829" s="4">
        <f t="shared" si="314"/>
        <v>0</v>
      </c>
      <c r="W829" s="18"/>
      <c r="X829" s="18"/>
      <c r="Y829" s="18">
        <v>5</v>
      </c>
      <c r="Z829" s="31">
        <f t="shared" si="308"/>
        <v>109.99999999999943</v>
      </c>
      <c r="AA829" s="40"/>
      <c r="AB829" s="40"/>
      <c r="AC829" s="40"/>
      <c r="AD829" s="40"/>
      <c r="AE829" s="40"/>
      <c r="AF829" s="40"/>
      <c r="AG829" s="40" t="s">
        <v>27</v>
      </c>
      <c r="AH829" s="40" t="s">
        <v>27</v>
      </c>
      <c r="AI829" s="18" t="str">
        <f>+VLOOKUP(AH829,Leyenda!$O$4:$U$10,6,FALSE)</f>
        <v>0,35-0,50</v>
      </c>
      <c r="AJ829" s="18" t="str">
        <f>+VLOOKUP(AG829,Leyenda!$O$4:$U$10,7,FALSE)</f>
        <v>Easy to blast</v>
      </c>
      <c r="AK829" s="18">
        <f>+VLOOKUP(AJ829,Leyenda!$U$4:$V$10,2,FALSE)</f>
        <v>3</v>
      </c>
      <c r="AL829" s="40"/>
      <c r="AM829" s="18" t="s">
        <v>27</v>
      </c>
      <c r="AN829" s="18" t="s">
        <v>64</v>
      </c>
      <c r="AO829" s="18" t="s">
        <v>79</v>
      </c>
      <c r="AP829" s="18" t="s">
        <v>96</v>
      </c>
      <c r="AQ829" s="18" t="s">
        <v>107</v>
      </c>
      <c r="AR829" s="18" t="s">
        <v>120</v>
      </c>
      <c r="AS829" s="18" t="s">
        <v>267</v>
      </c>
      <c r="AT829" s="18"/>
      <c r="AU829" s="6"/>
      <c r="AV829" s="36">
        <f>+VLOOKUP(AN829,Leyenda!$B$30:$E$34,3,FALSE)</f>
        <v>2</v>
      </c>
      <c r="AW829" s="36">
        <f>+VLOOKUP('2. Logging Brejo Seco'!AO829,Meteorizacion,3,FALSE)</f>
        <v>1</v>
      </c>
      <c r="AX829" s="36">
        <f>+VLOOKUP('2. Logging Brejo Seco'!AP829,Apertura,3,FALSE)</f>
        <v>1</v>
      </c>
      <c r="AY829" s="36">
        <f>+VLOOKUP('2. Logging Brejo Seco'!AQ829,Leyenda!$B$55:$D$59,3,FALSE)</f>
        <v>3</v>
      </c>
      <c r="AZ829" s="36">
        <f>+VLOOKUP('2. Logging Brejo Seco'!AR829,Relleno,3,FALSE)</f>
        <v>2</v>
      </c>
      <c r="BA829" s="36">
        <f t="shared" si="316"/>
        <v>9</v>
      </c>
      <c r="BB829" s="50">
        <f t="shared" si="317"/>
        <v>0</v>
      </c>
      <c r="BC829" s="49">
        <f>VLOOKUP(AH829,Leyenda!$B$4:$D$10,3,FALSE)</f>
        <v>4</v>
      </c>
      <c r="BD829" s="50">
        <f t="shared" si="318"/>
        <v>7</v>
      </c>
      <c r="BE829" s="50">
        <f t="shared" si="319"/>
        <v>9</v>
      </c>
      <c r="BF829" s="50">
        <f>VLOOKUP(AS829,Leyenda!$B$70:$D$75,3,FALSE)</f>
        <v>15</v>
      </c>
      <c r="BG829" s="110">
        <f t="shared" si="320"/>
        <v>13.5</v>
      </c>
      <c r="BH829" s="110">
        <f>VLOOKUP(AG829,Leyenda!$B$4:$E$10,4,FALSE)</f>
        <v>4</v>
      </c>
      <c r="BI829" s="67">
        <f t="shared" si="321"/>
        <v>9</v>
      </c>
      <c r="BJ829" s="110">
        <f t="shared" si="322"/>
        <v>0</v>
      </c>
      <c r="BK829" s="110">
        <f>+VLOOKUP('2. Logging Brejo Seco'!AP829,Leyenda!$B$47:$E$51,4,FALSE)</f>
        <v>1</v>
      </c>
      <c r="BL829" s="110">
        <f>+VLOOKUP('2. Logging Brejo Seco'!AQ829,Leyenda!$B$55:$E$59,4,FALSE)</f>
        <v>3</v>
      </c>
      <c r="BM829" s="110">
        <f>+VLOOKUP('2. Logging Brejo Seco'!AR829,Leyenda!$B$63:$E$67,3,FALSE)</f>
        <v>2</v>
      </c>
      <c r="BN829" s="110">
        <f>+VLOOKUP('2. Logging Brejo Seco'!AO829,Leyenda!$B$39:$E$43,4,FALSE)</f>
        <v>1</v>
      </c>
      <c r="BO829" s="110">
        <f>+VLOOKUP('2. Logging Brejo Seco'!AN829,Leyenda!$B$30:$E$34,4,FALSE)</f>
        <v>3</v>
      </c>
      <c r="BP829" s="110">
        <f>VLOOKUP(AS829,Leyenda!$B$71:$E$75,4,FALSE)</f>
        <v>10</v>
      </c>
      <c r="BQ829" s="110">
        <f t="shared" si="323"/>
        <v>33</v>
      </c>
      <c r="BR829" s="36">
        <f t="shared" si="324"/>
        <v>35</v>
      </c>
      <c r="BS829" s="240">
        <f t="shared" si="307"/>
        <v>0.52727272727272489</v>
      </c>
      <c r="BT829" s="6"/>
    </row>
    <row r="830" spans="1:72" x14ac:dyDescent="0.25">
      <c r="A830" s="18" t="s">
        <v>6</v>
      </c>
      <c r="B830" s="18">
        <v>2024</v>
      </c>
      <c r="C830" s="18" t="s">
        <v>138</v>
      </c>
      <c r="D830" s="18" t="s">
        <v>659</v>
      </c>
      <c r="E830" s="3">
        <v>20</v>
      </c>
      <c r="F830" s="191">
        <v>20</v>
      </c>
      <c r="G830" s="18" t="s">
        <v>156</v>
      </c>
      <c r="H830" s="244">
        <f t="shared" ref="H830:H831" si="327">+F830</f>
        <v>20</v>
      </c>
      <c r="I830" s="244" t="s">
        <v>760</v>
      </c>
      <c r="J830" s="244"/>
      <c r="K830" s="18">
        <f t="shared" si="326"/>
        <v>59.4</v>
      </c>
      <c r="L830" s="18">
        <v>59.9</v>
      </c>
      <c r="M830" s="4">
        <f t="shared" si="313"/>
        <v>0.5</v>
      </c>
      <c r="N830" s="113">
        <f t="shared" si="312"/>
        <v>0.64</v>
      </c>
      <c r="O830" s="5">
        <f t="shared" si="325"/>
        <v>0.36</v>
      </c>
      <c r="P830" s="4">
        <f>0.22+0.1</f>
        <v>0.32</v>
      </c>
      <c r="Q830" s="18"/>
      <c r="R830" s="18"/>
      <c r="S830" s="18"/>
      <c r="T830" s="49">
        <f>0.22+0.1</f>
        <v>0.32</v>
      </c>
      <c r="U830" s="49">
        <v>0</v>
      </c>
      <c r="V830" s="4">
        <f t="shared" si="314"/>
        <v>0</v>
      </c>
      <c r="W830" s="18"/>
      <c r="X830" s="18"/>
      <c r="Y830" s="18">
        <v>8</v>
      </c>
      <c r="Z830" s="31">
        <f t="shared" si="308"/>
        <v>62.5</v>
      </c>
      <c r="AA830" s="6"/>
      <c r="AB830" s="6"/>
      <c r="AC830" s="184"/>
      <c r="AD830" s="6"/>
      <c r="AE830" s="184"/>
      <c r="AF830" s="184"/>
      <c r="AG830" s="195" t="s">
        <v>24</v>
      </c>
      <c r="AH830" s="195" t="s">
        <v>24</v>
      </c>
      <c r="AI830" s="18" t="str">
        <f>+VLOOKUP(AH830,Leyenda!$O$4:$U$10,6,FALSE)</f>
        <v>0,50-0,80</v>
      </c>
      <c r="AJ830" s="18" t="str">
        <f>+VLOOKUP(AG830,Leyenda!$O$4:$U$10,7,FALSE)</f>
        <v>Fairly easy to blast</v>
      </c>
      <c r="AK830" s="18">
        <f>+VLOOKUP(AJ830,Leyenda!$U$4:$V$10,2,FALSE)</f>
        <v>4</v>
      </c>
      <c r="AL830" s="5"/>
      <c r="AM830" s="18" t="s">
        <v>24</v>
      </c>
      <c r="AN830" s="18" t="s">
        <v>64</v>
      </c>
      <c r="AO830" s="18" t="s">
        <v>79</v>
      </c>
      <c r="AP830" s="18" t="s">
        <v>96</v>
      </c>
      <c r="AQ830" s="18" t="s">
        <v>107</v>
      </c>
      <c r="AR830" s="18" t="s">
        <v>120</v>
      </c>
      <c r="AS830" s="18" t="s">
        <v>267</v>
      </c>
      <c r="AT830" s="18"/>
      <c r="AU830" s="6"/>
      <c r="AV830" s="36">
        <f>+VLOOKUP(AN830,Leyenda!$B$30:$E$34,3,FALSE)</f>
        <v>2</v>
      </c>
      <c r="AW830" s="36">
        <f>+VLOOKUP('2. Logging Brejo Seco'!AO830,Meteorizacion,3,FALSE)</f>
        <v>1</v>
      </c>
      <c r="AX830" s="36">
        <f>+VLOOKUP('2. Logging Brejo Seco'!AP830,Apertura,3,FALSE)</f>
        <v>1</v>
      </c>
      <c r="AY830" s="36">
        <f>+VLOOKUP('2. Logging Brejo Seco'!AQ830,Leyenda!$B$55:$D$59,3,FALSE)</f>
        <v>3</v>
      </c>
      <c r="AZ830" s="36">
        <f>+VLOOKUP('2. Logging Brejo Seco'!AR830,Relleno,3,FALSE)</f>
        <v>2</v>
      </c>
      <c r="BA830" s="36">
        <f t="shared" si="316"/>
        <v>9</v>
      </c>
      <c r="BB830" s="50">
        <f t="shared" si="317"/>
        <v>0</v>
      </c>
      <c r="BC830" s="49">
        <f>VLOOKUP(AH830,Leyenda!$B$4:$D$10,3,FALSE)</f>
        <v>7</v>
      </c>
      <c r="BD830" s="50">
        <f t="shared" si="318"/>
        <v>6</v>
      </c>
      <c r="BE830" s="50">
        <f t="shared" si="319"/>
        <v>9</v>
      </c>
      <c r="BF830" s="50">
        <f>VLOOKUP(AS830,Leyenda!$B$70:$D$75,3,FALSE)</f>
        <v>15</v>
      </c>
      <c r="BG830" s="110">
        <f t="shared" si="320"/>
        <v>13.5</v>
      </c>
      <c r="BH830" s="110">
        <f>VLOOKUP(AG830,Leyenda!$B$4:$E$10,4,FALSE)</f>
        <v>7</v>
      </c>
      <c r="BI830" s="67">
        <f t="shared" si="321"/>
        <v>5</v>
      </c>
      <c r="BJ830" s="110">
        <f t="shared" si="322"/>
        <v>0</v>
      </c>
      <c r="BK830" s="110">
        <f>+VLOOKUP('2. Logging Brejo Seco'!AP830,Leyenda!$B$47:$E$51,4,FALSE)</f>
        <v>1</v>
      </c>
      <c r="BL830" s="110">
        <f>+VLOOKUP('2. Logging Brejo Seco'!AQ830,Leyenda!$B$55:$E$59,4,FALSE)</f>
        <v>3</v>
      </c>
      <c r="BM830" s="110">
        <f>+VLOOKUP('2. Logging Brejo Seco'!AR830,Leyenda!$B$63:$E$67,3,FALSE)</f>
        <v>2</v>
      </c>
      <c r="BN830" s="110">
        <f>+VLOOKUP('2. Logging Brejo Seco'!AO830,Leyenda!$B$39:$E$43,4,FALSE)</f>
        <v>1</v>
      </c>
      <c r="BO830" s="110">
        <f>+VLOOKUP('2. Logging Brejo Seco'!AN830,Leyenda!$B$30:$E$34,4,FALSE)</f>
        <v>3</v>
      </c>
      <c r="BP830" s="110">
        <f>VLOOKUP(AS830,Leyenda!$B$71:$E$75,4,FALSE)</f>
        <v>10</v>
      </c>
      <c r="BQ830" s="110">
        <f t="shared" si="323"/>
        <v>32</v>
      </c>
      <c r="BR830" s="36">
        <f t="shared" si="324"/>
        <v>37</v>
      </c>
      <c r="BS830" s="240">
        <f t="shared" si="307"/>
        <v>0.36</v>
      </c>
      <c r="BT830" s="6"/>
    </row>
    <row r="831" spans="1:72" x14ac:dyDescent="0.25">
      <c r="A831" s="18" t="s">
        <v>6</v>
      </c>
      <c r="B831" s="18">
        <v>2024</v>
      </c>
      <c r="C831" s="18" t="s">
        <v>138</v>
      </c>
      <c r="D831" s="18" t="s">
        <v>659</v>
      </c>
      <c r="E831" s="3">
        <v>10</v>
      </c>
      <c r="F831" s="191">
        <v>20</v>
      </c>
      <c r="G831" s="18" t="s">
        <v>156</v>
      </c>
      <c r="H831" s="244">
        <f t="shared" si="327"/>
        <v>20</v>
      </c>
      <c r="I831" s="244" t="s">
        <v>760</v>
      </c>
      <c r="J831" s="244"/>
      <c r="K831" s="18">
        <f t="shared" si="326"/>
        <v>59.9</v>
      </c>
      <c r="L831" s="18">
        <v>60.6</v>
      </c>
      <c r="M831" s="4">
        <f t="shared" si="313"/>
        <v>0.70000000000000284</v>
      </c>
      <c r="N831" s="113">
        <f t="shared" si="312"/>
        <v>0.54285714285714071</v>
      </c>
      <c r="O831" s="5">
        <f t="shared" si="325"/>
        <v>0.45714285714285929</v>
      </c>
      <c r="P831" s="4">
        <v>0.38</v>
      </c>
      <c r="Q831" s="18"/>
      <c r="R831" s="18"/>
      <c r="S831" s="18"/>
      <c r="T831" s="49">
        <v>0.38</v>
      </c>
      <c r="U831" s="49">
        <v>0</v>
      </c>
      <c r="V831" s="4">
        <f t="shared" si="314"/>
        <v>0</v>
      </c>
      <c r="W831" s="18"/>
      <c r="X831" s="18"/>
      <c r="Y831" s="18">
        <f>6+5</f>
        <v>11</v>
      </c>
      <c r="Z831" s="31">
        <f t="shared" si="308"/>
        <v>63.636363636363896</v>
      </c>
      <c r="AA831" s="6"/>
      <c r="AB831" s="6"/>
      <c r="AC831" s="184"/>
      <c r="AD831" s="6"/>
      <c r="AE831" s="184"/>
      <c r="AF831" s="184"/>
      <c r="AG831" s="195" t="s">
        <v>32</v>
      </c>
      <c r="AH831" s="195" t="s">
        <v>32</v>
      </c>
      <c r="AI831" s="18" t="str">
        <f>+VLOOKUP(AH831,Leyenda!$O$4:$U$10,6,FALSE)</f>
        <v>0,15-0,25</v>
      </c>
      <c r="AJ831" s="18" t="str">
        <f>+VLOOKUP(AG831,Leyenda!$O$4:$U$10,7,FALSE)</f>
        <v>No Blasting need</v>
      </c>
      <c r="AK831" s="18">
        <f>+VLOOKUP(AJ831,Leyenda!$U$4:$V$10,2,FALSE)</f>
        <v>2</v>
      </c>
      <c r="AL831" s="5"/>
      <c r="AM831" s="18" t="s">
        <v>32</v>
      </c>
      <c r="AN831" s="18" t="s">
        <v>66</v>
      </c>
      <c r="AO831" s="18" t="s">
        <v>79</v>
      </c>
      <c r="AP831" s="18" t="s">
        <v>96</v>
      </c>
      <c r="AQ831" s="18" t="s">
        <v>107</v>
      </c>
      <c r="AR831" s="18" t="s">
        <v>120</v>
      </c>
      <c r="AS831" s="18" t="s">
        <v>267</v>
      </c>
      <c r="AT831" s="18"/>
      <c r="AU831" s="6"/>
      <c r="AV831" s="36">
        <f>+VLOOKUP(AN831,Leyenda!$B$30:$E$34,3,FALSE)</f>
        <v>1</v>
      </c>
      <c r="AW831" s="36">
        <f>+VLOOKUP('2. Logging Brejo Seco'!AO831,Meteorizacion,3,FALSE)</f>
        <v>1</v>
      </c>
      <c r="AX831" s="36">
        <f>+VLOOKUP('2. Logging Brejo Seco'!AP831,Apertura,3,FALSE)</f>
        <v>1</v>
      </c>
      <c r="AY831" s="36">
        <f>+VLOOKUP('2. Logging Brejo Seco'!AQ831,Leyenda!$B$55:$D$59,3,FALSE)</f>
        <v>3</v>
      </c>
      <c r="AZ831" s="36">
        <f>+VLOOKUP('2. Logging Brejo Seco'!AR831,Relleno,3,FALSE)</f>
        <v>2</v>
      </c>
      <c r="BA831" s="36">
        <f t="shared" si="316"/>
        <v>8</v>
      </c>
      <c r="BB831" s="50">
        <f t="shared" si="317"/>
        <v>0</v>
      </c>
      <c r="BC831" s="49">
        <f>VLOOKUP(AH831,Leyenda!$B$4:$D$10,3,FALSE)</f>
        <v>1</v>
      </c>
      <c r="BD831" s="50">
        <f t="shared" si="318"/>
        <v>6</v>
      </c>
      <c r="BE831" s="50">
        <f t="shared" si="319"/>
        <v>8</v>
      </c>
      <c r="BF831" s="50">
        <f>VLOOKUP(AS831,Leyenda!$B$70:$D$75,3,FALSE)</f>
        <v>15</v>
      </c>
      <c r="BG831" s="110">
        <f t="shared" si="320"/>
        <v>12</v>
      </c>
      <c r="BH831" s="110">
        <f>VLOOKUP(AG831,Leyenda!$B$4:$E$10,4,FALSE)</f>
        <v>1</v>
      </c>
      <c r="BI831" s="67">
        <f t="shared" si="321"/>
        <v>5</v>
      </c>
      <c r="BJ831" s="110">
        <f t="shared" si="322"/>
        <v>0</v>
      </c>
      <c r="BK831" s="110">
        <f>+VLOOKUP('2. Logging Brejo Seco'!AP831,Leyenda!$B$47:$E$51,4,FALSE)</f>
        <v>1</v>
      </c>
      <c r="BL831" s="110">
        <f>+VLOOKUP('2. Logging Brejo Seco'!AQ831,Leyenda!$B$55:$E$59,4,FALSE)</f>
        <v>3</v>
      </c>
      <c r="BM831" s="110">
        <f>+VLOOKUP('2. Logging Brejo Seco'!AR831,Leyenda!$B$63:$E$67,3,FALSE)</f>
        <v>2</v>
      </c>
      <c r="BN831" s="110">
        <f>+VLOOKUP('2. Logging Brejo Seco'!AO831,Leyenda!$B$39:$E$43,4,FALSE)</f>
        <v>1</v>
      </c>
      <c r="BO831" s="110">
        <f>+VLOOKUP('2. Logging Brejo Seco'!AN831,Leyenda!$B$30:$E$34,4,FALSE)</f>
        <v>1</v>
      </c>
      <c r="BP831" s="110">
        <f>VLOOKUP(AS831,Leyenda!$B$71:$E$75,4,FALSE)</f>
        <v>10</v>
      </c>
      <c r="BQ831" s="110">
        <f t="shared" si="323"/>
        <v>24</v>
      </c>
      <c r="BR831" s="36">
        <f t="shared" si="324"/>
        <v>30</v>
      </c>
      <c r="BS831" s="240">
        <f t="shared" si="307"/>
        <v>0.45714285714285929</v>
      </c>
      <c r="BT831" s="6"/>
    </row>
    <row r="832" spans="1:72" x14ac:dyDescent="0.25">
      <c r="A832" s="18" t="s">
        <v>6</v>
      </c>
      <c r="B832" s="18">
        <v>2024</v>
      </c>
      <c r="C832" s="18" t="s">
        <v>138</v>
      </c>
      <c r="D832" s="18" t="s">
        <v>659</v>
      </c>
      <c r="E832" s="3">
        <v>10</v>
      </c>
      <c r="F832" s="191">
        <v>20</v>
      </c>
      <c r="G832" s="18" t="s">
        <v>156</v>
      </c>
      <c r="H832" s="3">
        <v>30</v>
      </c>
      <c r="I832" s="3" t="s">
        <v>759</v>
      </c>
      <c r="J832" s="3"/>
      <c r="K832" s="18">
        <f t="shared" si="326"/>
        <v>60.6</v>
      </c>
      <c r="L832" s="18">
        <v>61.3</v>
      </c>
      <c r="M832" s="4">
        <f t="shared" si="313"/>
        <v>0.69999999999999574</v>
      </c>
      <c r="N832" s="113">
        <f t="shared" si="312"/>
        <v>0.5857142857142893</v>
      </c>
      <c r="O832" s="5">
        <f t="shared" si="325"/>
        <v>0.4142857142857107</v>
      </c>
      <c r="P832" s="4">
        <v>0.41</v>
      </c>
      <c r="Q832" s="18"/>
      <c r="R832" s="18"/>
      <c r="S832" s="18"/>
      <c r="T832" s="49">
        <v>0.41</v>
      </c>
      <c r="U832" s="49">
        <v>0.24</v>
      </c>
      <c r="V832" s="4">
        <f t="shared" si="314"/>
        <v>34.285714285714491</v>
      </c>
      <c r="W832" s="18"/>
      <c r="X832" s="18"/>
      <c r="Y832" s="18">
        <f>3+3</f>
        <v>6</v>
      </c>
      <c r="Z832" s="31">
        <f t="shared" si="308"/>
        <v>116.66666666666595</v>
      </c>
      <c r="AA832" s="6"/>
      <c r="AB832" s="6"/>
      <c r="AC832" s="184"/>
      <c r="AD832" s="6"/>
      <c r="AE832" s="184"/>
      <c r="AF832" s="184"/>
      <c r="AG832" s="195" t="s">
        <v>32</v>
      </c>
      <c r="AH832" s="195" t="s">
        <v>32</v>
      </c>
      <c r="AI832" s="18" t="str">
        <f>+VLOOKUP(AH832,Leyenda!$O$4:$U$10,6,FALSE)</f>
        <v>0,15-0,25</v>
      </c>
      <c r="AJ832" s="18" t="str">
        <f>+VLOOKUP(AG832,Leyenda!$O$4:$U$10,7,FALSE)</f>
        <v>No Blasting need</v>
      </c>
      <c r="AK832" s="18">
        <f>+VLOOKUP(AJ832,Leyenda!$U$4:$V$10,2,FALSE)</f>
        <v>2</v>
      </c>
      <c r="AL832" s="5"/>
      <c r="AM832" s="18" t="s">
        <v>32</v>
      </c>
      <c r="AN832" s="18" t="s">
        <v>66</v>
      </c>
      <c r="AO832" s="18" t="s">
        <v>79</v>
      </c>
      <c r="AP832" s="18" t="s">
        <v>96</v>
      </c>
      <c r="AQ832" s="18" t="s">
        <v>107</v>
      </c>
      <c r="AR832" s="18" t="s">
        <v>120</v>
      </c>
      <c r="AS832" s="18" t="s">
        <v>267</v>
      </c>
      <c r="AT832" s="18"/>
      <c r="AU832" s="6"/>
      <c r="AV832" s="36">
        <f>+VLOOKUP(AN832,Leyenda!$B$30:$E$34,3,FALSE)</f>
        <v>1</v>
      </c>
      <c r="AW832" s="36">
        <f>+VLOOKUP('2. Logging Brejo Seco'!AO832,Meteorizacion,3,FALSE)</f>
        <v>1</v>
      </c>
      <c r="AX832" s="36">
        <f>+VLOOKUP('2. Logging Brejo Seco'!AP832,Apertura,3,FALSE)</f>
        <v>1</v>
      </c>
      <c r="AY832" s="36">
        <f>+VLOOKUP('2. Logging Brejo Seco'!AQ832,Leyenda!$B$55:$D$59,3,FALSE)</f>
        <v>3</v>
      </c>
      <c r="AZ832" s="36">
        <f>+VLOOKUP('2. Logging Brejo Seco'!AR832,Relleno,3,FALSE)</f>
        <v>2</v>
      </c>
      <c r="BA832" s="36">
        <f t="shared" si="316"/>
        <v>8</v>
      </c>
      <c r="BB832" s="50">
        <f t="shared" si="317"/>
        <v>7</v>
      </c>
      <c r="BC832" s="49">
        <f>VLOOKUP(AH832,Leyenda!$B$4:$D$10,3,FALSE)</f>
        <v>1</v>
      </c>
      <c r="BD832" s="50">
        <f t="shared" si="318"/>
        <v>8</v>
      </c>
      <c r="BE832" s="50">
        <f t="shared" si="319"/>
        <v>8</v>
      </c>
      <c r="BF832" s="50">
        <f>VLOOKUP(AS832,Leyenda!$B$70:$D$75,3,FALSE)</f>
        <v>15</v>
      </c>
      <c r="BG832" s="110">
        <f t="shared" si="320"/>
        <v>29.142857142857245</v>
      </c>
      <c r="BH832" s="110">
        <f>VLOOKUP(AG832,Leyenda!$B$4:$E$10,4,FALSE)</f>
        <v>1</v>
      </c>
      <c r="BI832" s="67">
        <f t="shared" si="321"/>
        <v>9</v>
      </c>
      <c r="BJ832" s="110">
        <f t="shared" si="322"/>
        <v>7</v>
      </c>
      <c r="BK832" s="110">
        <f>+VLOOKUP('2. Logging Brejo Seco'!AP832,Leyenda!$B$47:$E$51,4,FALSE)</f>
        <v>1</v>
      </c>
      <c r="BL832" s="110">
        <f>+VLOOKUP('2. Logging Brejo Seco'!AQ832,Leyenda!$B$55:$E$59,4,FALSE)</f>
        <v>3</v>
      </c>
      <c r="BM832" s="110">
        <f>+VLOOKUP('2. Logging Brejo Seco'!AR832,Leyenda!$B$63:$E$67,3,FALSE)</f>
        <v>2</v>
      </c>
      <c r="BN832" s="110">
        <f>+VLOOKUP('2. Logging Brejo Seco'!AO832,Leyenda!$B$39:$E$43,4,FALSE)</f>
        <v>1</v>
      </c>
      <c r="BO832" s="110">
        <f>+VLOOKUP('2. Logging Brejo Seco'!AN832,Leyenda!$B$30:$E$34,4,FALSE)</f>
        <v>1</v>
      </c>
      <c r="BP832" s="110">
        <f>VLOOKUP(AS832,Leyenda!$B$71:$E$75,4,FALSE)</f>
        <v>10</v>
      </c>
      <c r="BQ832" s="110">
        <f t="shared" si="323"/>
        <v>35</v>
      </c>
      <c r="BR832" s="36">
        <f t="shared" si="324"/>
        <v>39</v>
      </c>
      <c r="BS832" s="240">
        <f t="shared" si="307"/>
        <v>0.4142857142857107</v>
      </c>
      <c r="BT832" s="6"/>
    </row>
    <row r="833" spans="1:72" x14ac:dyDescent="0.25">
      <c r="A833" s="18" t="s">
        <v>6</v>
      </c>
      <c r="B833" s="18">
        <v>2024</v>
      </c>
      <c r="C833" s="18" t="s">
        <v>138</v>
      </c>
      <c r="D833" s="18" t="s">
        <v>659</v>
      </c>
      <c r="E833" s="3">
        <v>10</v>
      </c>
      <c r="F833" s="191">
        <v>20</v>
      </c>
      <c r="G833" s="18" t="s">
        <v>156</v>
      </c>
      <c r="H833" s="244">
        <f>+F833</f>
        <v>20</v>
      </c>
      <c r="I833" s="244" t="s">
        <v>760</v>
      </c>
      <c r="J833" s="244"/>
      <c r="K833" s="18">
        <f t="shared" si="326"/>
        <v>61.3</v>
      </c>
      <c r="L833" s="18">
        <v>62.8</v>
      </c>
      <c r="M833" s="4">
        <f t="shared" si="313"/>
        <v>1.5</v>
      </c>
      <c r="N833" s="113">
        <f t="shared" si="312"/>
        <v>0.34666666666666668</v>
      </c>
      <c r="O833" s="5">
        <f t="shared" si="325"/>
        <v>0.65333333333333332</v>
      </c>
      <c r="P833" s="4">
        <v>0.52</v>
      </c>
      <c r="Q833" s="18"/>
      <c r="R833" s="18"/>
      <c r="S833" s="18"/>
      <c r="T833" s="49">
        <v>0.52</v>
      </c>
      <c r="U833" s="49">
        <v>0</v>
      </c>
      <c r="V833" s="4">
        <f>+U833/M833*100</f>
        <v>0</v>
      </c>
      <c r="W833" s="18"/>
      <c r="X833" s="18"/>
      <c r="Y833" s="18">
        <v>10</v>
      </c>
      <c r="Z833" s="31">
        <f t="shared" si="308"/>
        <v>150</v>
      </c>
      <c r="AA833" s="6"/>
      <c r="AB833" s="6"/>
      <c r="AC833" s="184"/>
      <c r="AD833" s="6"/>
      <c r="AE833" s="184"/>
      <c r="AF833" s="184"/>
      <c r="AG833" s="195" t="s">
        <v>32</v>
      </c>
      <c r="AH833" s="195" t="s">
        <v>32</v>
      </c>
      <c r="AI833" s="18" t="str">
        <f>+VLOOKUP(AH833,Leyenda!$O$4:$U$10,6,FALSE)</f>
        <v>0,15-0,25</v>
      </c>
      <c r="AJ833" s="18" t="str">
        <f>+VLOOKUP(AG833,Leyenda!$O$4:$U$10,7,FALSE)</f>
        <v>No Blasting need</v>
      </c>
      <c r="AK833" s="18">
        <f>+VLOOKUP(AJ833,Leyenda!$U$4:$V$10,2,FALSE)</f>
        <v>2</v>
      </c>
      <c r="AL833" s="5"/>
      <c r="AM833" s="18" t="s">
        <v>32</v>
      </c>
      <c r="AN833" s="18" t="s">
        <v>66</v>
      </c>
      <c r="AO833" s="18" t="s">
        <v>79</v>
      </c>
      <c r="AP833" s="18" t="s">
        <v>96</v>
      </c>
      <c r="AQ833" s="18" t="s">
        <v>107</v>
      </c>
      <c r="AR833" s="18" t="s">
        <v>120</v>
      </c>
      <c r="AS833" s="18" t="s">
        <v>267</v>
      </c>
      <c r="AT833" s="18"/>
      <c r="AU833" s="6"/>
      <c r="AV833" s="36">
        <f>+VLOOKUP(AN833,Leyenda!$B$30:$E$34,3,FALSE)</f>
        <v>1</v>
      </c>
      <c r="AW833" s="36">
        <f>+VLOOKUP('2. Logging Brejo Seco'!AO833,Meteorizacion,3,FALSE)</f>
        <v>1</v>
      </c>
      <c r="AX833" s="36">
        <f>+VLOOKUP('2. Logging Brejo Seco'!AP833,Apertura,3,FALSE)</f>
        <v>1</v>
      </c>
      <c r="AY833" s="36">
        <f>+VLOOKUP('2. Logging Brejo Seco'!AQ833,Leyenda!$B$55:$D$59,3,FALSE)</f>
        <v>3</v>
      </c>
      <c r="AZ833" s="36">
        <f>+VLOOKUP('2. Logging Brejo Seco'!AR833,Relleno,3,FALSE)</f>
        <v>2</v>
      </c>
      <c r="BA833" s="36">
        <f t="shared" si="316"/>
        <v>8</v>
      </c>
      <c r="BB833" s="50">
        <f t="shared" si="317"/>
        <v>0</v>
      </c>
      <c r="BC833" s="49">
        <f>VLOOKUP(AH833,Leyenda!$B$4:$D$10,3,FALSE)</f>
        <v>1</v>
      </c>
      <c r="BD833" s="50">
        <f t="shared" si="318"/>
        <v>8</v>
      </c>
      <c r="BE833" s="50">
        <f t="shared" si="319"/>
        <v>8</v>
      </c>
      <c r="BF833" s="50">
        <f>VLOOKUP(AS833,Leyenda!$B$70:$D$75,3,FALSE)</f>
        <v>15</v>
      </c>
      <c r="BG833" s="110">
        <f t="shared" si="320"/>
        <v>12</v>
      </c>
      <c r="BH833" s="110">
        <f>VLOOKUP(AG833,Leyenda!$B$4:$E$10,4,FALSE)</f>
        <v>1</v>
      </c>
      <c r="BI833" s="67">
        <f t="shared" si="321"/>
        <v>11</v>
      </c>
      <c r="BJ833" s="110">
        <f t="shared" si="322"/>
        <v>0</v>
      </c>
      <c r="BK833" s="110">
        <f>+VLOOKUP('2. Logging Brejo Seco'!AP833,Leyenda!$B$47:$E$51,4,FALSE)</f>
        <v>1</v>
      </c>
      <c r="BL833" s="110">
        <f>+VLOOKUP('2. Logging Brejo Seco'!AQ833,Leyenda!$B$55:$E$59,4,FALSE)</f>
        <v>3</v>
      </c>
      <c r="BM833" s="110">
        <f>+VLOOKUP('2. Logging Brejo Seco'!AR833,Leyenda!$B$63:$E$67,3,FALSE)</f>
        <v>2</v>
      </c>
      <c r="BN833" s="110">
        <f>+VLOOKUP('2. Logging Brejo Seco'!AO833,Leyenda!$B$39:$E$43,4,FALSE)</f>
        <v>1</v>
      </c>
      <c r="BO833" s="110">
        <f>+VLOOKUP('2. Logging Brejo Seco'!AN833,Leyenda!$B$30:$E$34,4,FALSE)</f>
        <v>1</v>
      </c>
      <c r="BP833" s="110">
        <f>VLOOKUP(AS833,Leyenda!$B$71:$E$75,4,FALSE)</f>
        <v>10</v>
      </c>
      <c r="BQ833" s="110">
        <f t="shared" si="323"/>
        <v>30</v>
      </c>
      <c r="BR833" s="36">
        <f t="shared" si="324"/>
        <v>32</v>
      </c>
      <c r="BS833" s="240">
        <f t="shared" si="307"/>
        <v>0.65333333333333332</v>
      </c>
      <c r="BT833" s="6"/>
    </row>
    <row r="834" spans="1:72" x14ac:dyDescent="0.25">
      <c r="A834" s="18" t="s">
        <v>6</v>
      </c>
      <c r="B834" s="18">
        <v>2024</v>
      </c>
      <c r="C834" s="18" t="s">
        <v>138</v>
      </c>
      <c r="D834" s="18" t="s">
        <v>659</v>
      </c>
      <c r="E834" s="3">
        <v>10</v>
      </c>
      <c r="F834" s="191">
        <v>20</v>
      </c>
      <c r="G834" s="18" t="s">
        <v>156</v>
      </c>
      <c r="H834" s="244">
        <f t="shared" ref="H834:H845" si="328">+F834</f>
        <v>20</v>
      </c>
      <c r="I834" s="244" t="s">
        <v>760</v>
      </c>
      <c r="J834" s="244"/>
      <c r="K834" s="18">
        <f t="shared" si="326"/>
        <v>62.8</v>
      </c>
      <c r="L834" s="18">
        <v>63.45</v>
      </c>
      <c r="M834" s="4">
        <f t="shared" si="313"/>
        <v>0.65000000000000568</v>
      </c>
      <c r="N834" s="113">
        <f t="shared" si="312"/>
        <v>0.73846153846153195</v>
      </c>
      <c r="O834" s="5">
        <f t="shared" si="325"/>
        <v>0.26153846153846805</v>
      </c>
      <c r="P834" s="4">
        <v>0.48</v>
      </c>
      <c r="Q834" s="18"/>
      <c r="R834" s="18"/>
      <c r="S834" s="18"/>
      <c r="T834" s="18">
        <v>0.48</v>
      </c>
      <c r="U834" s="18">
        <v>0</v>
      </c>
      <c r="V834" s="4">
        <f t="shared" ref="V834:V897" si="329">+U834/M834*100</f>
        <v>0</v>
      </c>
      <c r="W834" s="18"/>
      <c r="X834" s="18"/>
      <c r="Y834" s="18">
        <v>7</v>
      </c>
      <c r="Z834" s="31">
        <f t="shared" si="308"/>
        <v>92.857142857143671</v>
      </c>
      <c r="AA834" s="6"/>
      <c r="AB834" s="6"/>
      <c r="AC834" s="184"/>
      <c r="AD834" s="6"/>
      <c r="AE834" s="184"/>
      <c r="AF834" s="184"/>
      <c r="AG834" s="195" t="s">
        <v>32</v>
      </c>
      <c r="AH834" s="195" t="s">
        <v>32</v>
      </c>
      <c r="AI834" s="18" t="str">
        <f>+VLOOKUP(AH834,Leyenda!$O$4:$U$10,6,FALSE)</f>
        <v>0,15-0,25</v>
      </c>
      <c r="AJ834" s="18" t="str">
        <f>+VLOOKUP(AG834,Leyenda!$O$4:$U$10,7,FALSE)</f>
        <v>No Blasting need</v>
      </c>
      <c r="AK834" s="18">
        <f>+VLOOKUP(AJ834,Leyenda!$U$4:$V$10,2,FALSE)</f>
        <v>2</v>
      </c>
      <c r="AL834" s="5"/>
      <c r="AM834" s="18" t="s">
        <v>32</v>
      </c>
      <c r="AN834" s="18" t="s">
        <v>66</v>
      </c>
      <c r="AO834" s="18" t="s">
        <v>79</v>
      </c>
      <c r="AP834" s="18" t="s">
        <v>96</v>
      </c>
      <c r="AQ834" s="18" t="s">
        <v>107</v>
      </c>
      <c r="AR834" s="18" t="s">
        <v>120</v>
      </c>
      <c r="AS834" s="18" t="s">
        <v>267</v>
      </c>
      <c r="AT834" s="18"/>
      <c r="AU834" s="6"/>
      <c r="AV834" s="36">
        <f>+VLOOKUP(AN834,Leyenda!$B$30:$E$34,3,FALSE)</f>
        <v>1</v>
      </c>
      <c r="AW834" s="36">
        <f>+VLOOKUP('2. Logging Brejo Seco'!AO834,Meteorizacion,3,FALSE)</f>
        <v>1</v>
      </c>
      <c r="AX834" s="36">
        <f>+VLOOKUP('2. Logging Brejo Seco'!AP834,Apertura,3,FALSE)</f>
        <v>1</v>
      </c>
      <c r="AY834" s="36">
        <f>+VLOOKUP('2. Logging Brejo Seco'!AQ834,Leyenda!$B$55:$D$59,3,FALSE)</f>
        <v>3</v>
      </c>
      <c r="AZ834" s="36">
        <f>+VLOOKUP('2. Logging Brejo Seco'!AR834,Relleno,3,FALSE)</f>
        <v>2</v>
      </c>
      <c r="BA834" s="36">
        <f t="shared" si="316"/>
        <v>8</v>
      </c>
      <c r="BB834" s="50">
        <f t="shared" si="317"/>
        <v>0</v>
      </c>
      <c r="BC834" s="49">
        <f>VLOOKUP(AH834,Leyenda!$B$4:$D$10,3,FALSE)</f>
        <v>1</v>
      </c>
      <c r="BD834" s="50">
        <f t="shared" si="318"/>
        <v>7</v>
      </c>
      <c r="BE834" s="50">
        <f t="shared" si="319"/>
        <v>8</v>
      </c>
      <c r="BF834" s="50">
        <f>VLOOKUP(AS834,Leyenda!$B$70:$D$75,3,FALSE)</f>
        <v>15</v>
      </c>
      <c r="BG834" s="110">
        <f t="shared" si="320"/>
        <v>12</v>
      </c>
      <c r="BH834" s="110">
        <f>VLOOKUP(AG834,Leyenda!$B$4:$E$10,4,FALSE)</f>
        <v>1</v>
      </c>
      <c r="BI834" s="67">
        <f t="shared" si="321"/>
        <v>8</v>
      </c>
      <c r="BJ834" s="110">
        <f t="shared" si="322"/>
        <v>0</v>
      </c>
      <c r="BK834" s="110">
        <f>+VLOOKUP('2. Logging Brejo Seco'!AP834,Leyenda!$B$47:$E$51,4,FALSE)</f>
        <v>1</v>
      </c>
      <c r="BL834" s="110">
        <f>+VLOOKUP('2. Logging Brejo Seco'!AQ834,Leyenda!$B$55:$E$59,4,FALSE)</f>
        <v>3</v>
      </c>
      <c r="BM834" s="110">
        <f>+VLOOKUP('2. Logging Brejo Seco'!AR834,Leyenda!$B$63:$E$67,3,FALSE)</f>
        <v>2</v>
      </c>
      <c r="BN834" s="110">
        <f>+VLOOKUP('2. Logging Brejo Seco'!AO834,Leyenda!$B$39:$E$43,4,FALSE)</f>
        <v>1</v>
      </c>
      <c r="BO834" s="110">
        <f>+VLOOKUP('2. Logging Brejo Seco'!AN834,Leyenda!$B$30:$E$34,4,FALSE)</f>
        <v>1</v>
      </c>
      <c r="BP834" s="110">
        <f>VLOOKUP(AS834,Leyenda!$B$71:$E$75,4,FALSE)</f>
        <v>10</v>
      </c>
      <c r="BQ834" s="110">
        <f t="shared" si="323"/>
        <v>27</v>
      </c>
      <c r="BR834" s="36">
        <f t="shared" si="324"/>
        <v>31</v>
      </c>
      <c r="BS834" s="240">
        <f t="shared" si="307"/>
        <v>0.26153846153846805</v>
      </c>
      <c r="BT834" s="6"/>
    </row>
    <row r="835" spans="1:72" x14ac:dyDescent="0.25">
      <c r="A835" s="18" t="s">
        <v>6</v>
      </c>
      <c r="B835" s="18">
        <v>2024</v>
      </c>
      <c r="C835" s="18" t="s">
        <v>138</v>
      </c>
      <c r="D835" s="18" t="s">
        <v>659</v>
      </c>
      <c r="E835" s="3">
        <v>10</v>
      </c>
      <c r="F835" s="191">
        <v>10</v>
      </c>
      <c r="G835" s="18" t="s">
        <v>135</v>
      </c>
      <c r="H835" s="3">
        <v>11</v>
      </c>
      <c r="I835" s="3" t="s">
        <v>765</v>
      </c>
      <c r="J835" s="3"/>
      <c r="K835" s="18">
        <f t="shared" si="326"/>
        <v>63.45</v>
      </c>
      <c r="L835" s="18">
        <v>64.75</v>
      </c>
      <c r="M835" s="4">
        <f t="shared" si="313"/>
        <v>1.2999999999999972</v>
      </c>
      <c r="N835" s="113">
        <f t="shared" si="312"/>
        <v>0.56923076923077043</v>
      </c>
      <c r="O835" s="5">
        <f t="shared" si="325"/>
        <v>0.43076923076922957</v>
      </c>
      <c r="P835" s="4">
        <v>0.74</v>
      </c>
      <c r="Q835" s="18"/>
      <c r="R835" s="18"/>
      <c r="S835" s="18"/>
      <c r="T835" s="18">
        <v>0.74</v>
      </c>
      <c r="U835" s="18">
        <v>0.12</v>
      </c>
      <c r="V835" s="18">
        <f t="shared" si="329"/>
        <v>9.2307692307692513</v>
      </c>
      <c r="W835" s="18"/>
      <c r="X835" s="18"/>
      <c r="Y835" s="18">
        <v>12</v>
      </c>
      <c r="Z835" s="31">
        <f t="shared" si="308"/>
        <v>108.3333333333331</v>
      </c>
      <c r="AA835" s="6"/>
      <c r="AB835" s="6"/>
      <c r="AC835" s="184"/>
      <c r="AD835" s="6"/>
      <c r="AE835" s="184"/>
      <c r="AF835" s="184"/>
      <c r="AG835" s="195" t="s">
        <v>27</v>
      </c>
      <c r="AH835" s="195" t="s">
        <v>27</v>
      </c>
      <c r="AI835" s="18" t="str">
        <f>+VLOOKUP(AH835,Leyenda!$O$4:$U$10,6,FALSE)</f>
        <v>0,35-0,50</v>
      </c>
      <c r="AJ835" s="18" t="str">
        <f>+VLOOKUP(AG835,Leyenda!$O$4:$U$10,7,FALSE)</f>
        <v>Easy to blast</v>
      </c>
      <c r="AK835" s="18">
        <f>+VLOOKUP(AJ835,Leyenda!$U$4:$V$10,2,FALSE)</f>
        <v>3</v>
      </c>
      <c r="AL835" s="5"/>
      <c r="AM835" s="18" t="s">
        <v>27</v>
      </c>
      <c r="AN835" s="18" t="s">
        <v>66</v>
      </c>
      <c r="AO835" s="18" t="s">
        <v>79</v>
      </c>
      <c r="AP835" s="18" t="s">
        <v>96</v>
      </c>
      <c r="AQ835" s="18" t="s">
        <v>105</v>
      </c>
      <c r="AR835" s="18" t="s">
        <v>118</v>
      </c>
      <c r="AS835" s="18" t="s">
        <v>267</v>
      </c>
      <c r="AT835" s="18"/>
      <c r="AU835" s="6"/>
      <c r="AV835" s="36">
        <f>+VLOOKUP(AN835,Leyenda!$B$30:$E$34,3,FALSE)</f>
        <v>1</v>
      </c>
      <c r="AW835" s="36">
        <f>+VLOOKUP('2. Logging Brejo Seco'!AO835,Meteorizacion,3,FALSE)</f>
        <v>1</v>
      </c>
      <c r="AX835" s="36">
        <f>+VLOOKUP('2. Logging Brejo Seco'!AP835,Apertura,3,FALSE)</f>
        <v>1</v>
      </c>
      <c r="AY835" s="36">
        <f>+VLOOKUP('2. Logging Brejo Seco'!AQ835,Leyenda!$B$55:$D$59,3,FALSE)</f>
        <v>4</v>
      </c>
      <c r="AZ835" s="36">
        <f>+VLOOKUP('2. Logging Brejo Seco'!AR835,Relleno,3,FALSE)</f>
        <v>2</v>
      </c>
      <c r="BA835" s="36">
        <f t="shared" si="316"/>
        <v>9</v>
      </c>
      <c r="BB835" s="50">
        <f t="shared" si="317"/>
        <v>2</v>
      </c>
      <c r="BC835" s="49">
        <f>VLOOKUP(AH835,Leyenda!$B$4:$D$10,3,FALSE)</f>
        <v>4</v>
      </c>
      <c r="BD835" s="50">
        <f t="shared" si="318"/>
        <v>7</v>
      </c>
      <c r="BE835" s="50">
        <f t="shared" si="319"/>
        <v>9</v>
      </c>
      <c r="BF835" s="50">
        <f>VLOOKUP(AS835,Leyenda!$B$70:$D$75,3,FALSE)</f>
        <v>15</v>
      </c>
      <c r="BG835" s="110">
        <f t="shared" si="320"/>
        <v>18.115384615384627</v>
      </c>
      <c r="BH835" s="110">
        <f>VLOOKUP(AG835,Leyenda!$B$4:$E$10,4,FALSE)</f>
        <v>4</v>
      </c>
      <c r="BI835" s="67">
        <f t="shared" si="321"/>
        <v>9</v>
      </c>
      <c r="BJ835" s="110">
        <f t="shared" si="322"/>
        <v>2</v>
      </c>
      <c r="BK835" s="110">
        <f>+VLOOKUP('2. Logging Brejo Seco'!AP835,Leyenda!$B$47:$E$51,4,FALSE)</f>
        <v>1</v>
      </c>
      <c r="BL835" s="110">
        <f>+VLOOKUP('2. Logging Brejo Seco'!AQ835,Leyenda!$B$55:$E$59,4,FALSE)</f>
        <v>4</v>
      </c>
      <c r="BM835" s="110">
        <f>+VLOOKUP('2. Logging Brejo Seco'!AR835,Leyenda!$B$63:$E$67,3,FALSE)</f>
        <v>2</v>
      </c>
      <c r="BN835" s="110">
        <f>+VLOOKUP('2. Logging Brejo Seco'!AO835,Leyenda!$B$39:$E$43,4,FALSE)</f>
        <v>1</v>
      </c>
      <c r="BO835" s="110">
        <f>+VLOOKUP('2. Logging Brejo Seco'!AN835,Leyenda!$B$30:$E$34,4,FALSE)</f>
        <v>1</v>
      </c>
      <c r="BP835" s="110">
        <f>VLOOKUP(AS835,Leyenda!$B$71:$E$75,4,FALSE)</f>
        <v>10</v>
      </c>
      <c r="BQ835" s="110">
        <f t="shared" si="323"/>
        <v>34</v>
      </c>
      <c r="BR835" s="36">
        <f t="shared" si="324"/>
        <v>37</v>
      </c>
      <c r="BS835" s="240">
        <f t="shared" si="307"/>
        <v>0.43076923076922957</v>
      </c>
      <c r="BT835" s="6"/>
    </row>
    <row r="836" spans="1:72" x14ac:dyDescent="0.25">
      <c r="A836" s="18" t="s">
        <v>6</v>
      </c>
      <c r="B836" s="18">
        <v>2024</v>
      </c>
      <c r="C836" s="18" t="s">
        <v>138</v>
      </c>
      <c r="D836" s="18" t="s">
        <v>659</v>
      </c>
      <c r="E836" s="3">
        <v>10</v>
      </c>
      <c r="F836" s="191">
        <v>10</v>
      </c>
      <c r="G836" s="18" t="s">
        <v>135</v>
      </c>
      <c r="H836" s="3">
        <v>11</v>
      </c>
      <c r="I836" s="3" t="s">
        <v>765</v>
      </c>
      <c r="J836" s="3"/>
      <c r="K836" s="18">
        <f t="shared" si="326"/>
        <v>64.75</v>
      </c>
      <c r="L836" s="18">
        <v>65.7</v>
      </c>
      <c r="M836" s="4">
        <f t="shared" si="313"/>
        <v>0.95000000000000284</v>
      </c>
      <c r="N836" s="113">
        <f t="shared" si="312"/>
        <v>0.83157894736841864</v>
      </c>
      <c r="O836" s="5">
        <f t="shared" si="325"/>
        <v>0.16842105263158136</v>
      </c>
      <c r="P836" s="4">
        <v>0.79</v>
      </c>
      <c r="Q836" s="18"/>
      <c r="R836" s="18"/>
      <c r="S836" s="18"/>
      <c r="T836" s="18">
        <v>0.79</v>
      </c>
      <c r="U836" s="18">
        <v>0.14000000000000001</v>
      </c>
      <c r="V836" s="18">
        <f t="shared" si="329"/>
        <v>14.736842105263115</v>
      </c>
      <c r="W836" s="18"/>
      <c r="X836" s="18"/>
      <c r="Y836" s="18">
        <v>11</v>
      </c>
      <c r="Z836" s="31">
        <f t="shared" si="308"/>
        <v>86.363636363636616</v>
      </c>
      <c r="AA836" s="6"/>
      <c r="AB836" s="6"/>
      <c r="AC836" s="184"/>
      <c r="AD836" s="6"/>
      <c r="AE836" s="184"/>
      <c r="AF836" s="184"/>
      <c r="AG836" s="195" t="s">
        <v>27</v>
      </c>
      <c r="AH836" s="195" t="s">
        <v>27</v>
      </c>
      <c r="AI836" s="18" t="str">
        <f>+VLOOKUP(AH836,Leyenda!$O$4:$U$10,6,FALSE)</f>
        <v>0,35-0,50</v>
      </c>
      <c r="AJ836" s="18" t="str">
        <f>+VLOOKUP(AG836,Leyenda!$O$4:$U$10,7,FALSE)</f>
        <v>Easy to blast</v>
      </c>
      <c r="AK836" s="18">
        <f>+VLOOKUP(AJ836,Leyenda!$U$4:$V$10,2,FALSE)</f>
        <v>3</v>
      </c>
      <c r="AL836" s="5"/>
      <c r="AM836" s="18" t="s">
        <v>27</v>
      </c>
      <c r="AN836" s="18" t="s">
        <v>66</v>
      </c>
      <c r="AO836" s="18" t="s">
        <v>79</v>
      </c>
      <c r="AP836" s="18" t="s">
        <v>96</v>
      </c>
      <c r="AQ836" s="18" t="s">
        <v>105</v>
      </c>
      <c r="AR836" s="18" t="s">
        <v>118</v>
      </c>
      <c r="AS836" s="18" t="s">
        <v>267</v>
      </c>
      <c r="AT836" s="18"/>
      <c r="AU836" s="6"/>
      <c r="AV836" s="36">
        <f>+VLOOKUP(AN836,Leyenda!$B$30:$E$34,3,FALSE)</f>
        <v>1</v>
      </c>
      <c r="AW836" s="36">
        <f>+VLOOKUP('2. Logging Brejo Seco'!AO836,Meteorizacion,3,FALSE)</f>
        <v>1</v>
      </c>
      <c r="AX836" s="36">
        <f>+VLOOKUP('2. Logging Brejo Seco'!AP836,Apertura,3,FALSE)</f>
        <v>1</v>
      </c>
      <c r="AY836" s="36">
        <f>+VLOOKUP('2. Logging Brejo Seco'!AQ836,Leyenda!$B$55:$D$59,3,FALSE)</f>
        <v>4</v>
      </c>
      <c r="AZ836" s="36">
        <f>+VLOOKUP('2. Logging Brejo Seco'!AR836,Relleno,3,FALSE)</f>
        <v>2</v>
      </c>
      <c r="BA836" s="36">
        <f t="shared" si="316"/>
        <v>9</v>
      </c>
      <c r="BB836" s="50">
        <f t="shared" si="317"/>
        <v>3</v>
      </c>
      <c r="BC836" s="49">
        <f>VLOOKUP(AH836,Leyenda!$B$4:$D$10,3,FALSE)</f>
        <v>4</v>
      </c>
      <c r="BD836" s="50">
        <f t="shared" si="318"/>
        <v>7</v>
      </c>
      <c r="BE836" s="50">
        <f t="shared" si="319"/>
        <v>9</v>
      </c>
      <c r="BF836" s="50">
        <f>VLOOKUP(AS836,Leyenda!$B$70:$D$75,3,FALSE)</f>
        <v>15</v>
      </c>
      <c r="BG836" s="110">
        <f t="shared" si="320"/>
        <v>20.868421052631557</v>
      </c>
      <c r="BH836" s="110">
        <f>VLOOKUP(AG836,Leyenda!$B$4:$E$10,4,FALSE)</f>
        <v>4</v>
      </c>
      <c r="BI836" s="67">
        <f t="shared" si="321"/>
        <v>7</v>
      </c>
      <c r="BJ836" s="110">
        <f t="shared" si="322"/>
        <v>3</v>
      </c>
      <c r="BK836" s="110">
        <f>+VLOOKUP('2. Logging Brejo Seco'!AP836,Leyenda!$B$47:$E$51,4,FALSE)</f>
        <v>1</v>
      </c>
      <c r="BL836" s="110">
        <f>+VLOOKUP('2. Logging Brejo Seco'!AQ836,Leyenda!$B$55:$E$59,4,FALSE)</f>
        <v>4</v>
      </c>
      <c r="BM836" s="110">
        <f>+VLOOKUP('2. Logging Brejo Seco'!AR836,Leyenda!$B$63:$E$67,3,FALSE)</f>
        <v>2</v>
      </c>
      <c r="BN836" s="110">
        <f>+VLOOKUP('2. Logging Brejo Seco'!AO836,Leyenda!$B$39:$E$43,4,FALSE)</f>
        <v>1</v>
      </c>
      <c r="BO836" s="110">
        <f>+VLOOKUP('2. Logging Brejo Seco'!AN836,Leyenda!$B$30:$E$34,4,FALSE)</f>
        <v>1</v>
      </c>
      <c r="BP836" s="110">
        <f>VLOOKUP(AS836,Leyenda!$B$71:$E$75,4,FALSE)</f>
        <v>10</v>
      </c>
      <c r="BQ836" s="110">
        <f t="shared" si="323"/>
        <v>33</v>
      </c>
      <c r="BR836" s="36">
        <f t="shared" si="324"/>
        <v>38</v>
      </c>
      <c r="BS836" s="240">
        <f t="shared" ref="BS836:BS899" si="330">1-N836</f>
        <v>0.16842105263158136</v>
      </c>
      <c r="BT836" s="6"/>
    </row>
    <row r="837" spans="1:72" x14ac:dyDescent="0.25">
      <c r="A837" s="18" t="s">
        <v>6</v>
      </c>
      <c r="B837" s="18">
        <v>2024</v>
      </c>
      <c r="C837" s="18" t="s">
        <v>138</v>
      </c>
      <c r="D837" s="18" t="s">
        <v>659</v>
      </c>
      <c r="E837" s="3">
        <v>10</v>
      </c>
      <c r="F837" s="191">
        <v>10</v>
      </c>
      <c r="G837" s="18" t="s">
        <v>135</v>
      </c>
      <c r="H837" s="3">
        <v>11</v>
      </c>
      <c r="I837" s="3" t="s">
        <v>765</v>
      </c>
      <c r="J837" s="3"/>
      <c r="K837" s="18">
        <f t="shared" si="326"/>
        <v>65.7</v>
      </c>
      <c r="L837" s="18">
        <v>67.7</v>
      </c>
      <c r="M837" s="4">
        <f t="shared" si="313"/>
        <v>2</v>
      </c>
      <c r="N837" s="113">
        <f t="shared" si="312"/>
        <v>0.77</v>
      </c>
      <c r="O837" s="5">
        <f t="shared" si="325"/>
        <v>0.22999999999999998</v>
      </c>
      <c r="P837" s="4">
        <f>1.32+0.22</f>
        <v>1.54</v>
      </c>
      <c r="Q837" s="18"/>
      <c r="R837" s="18"/>
      <c r="S837" s="18"/>
      <c r="T837" s="18">
        <v>1.5</v>
      </c>
      <c r="U837" s="18">
        <v>0.84</v>
      </c>
      <c r="V837" s="18">
        <f t="shared" si="329"/>
        <v>42</v>
      </c>
      <c r="W837" s="18"/>
      <c r="X837" s="18"/>
      <c r="Y837" s="18">
        <f>10+4</f>
        <v>14</v>
      </c>
      <c r="Z837" s="31">
        <f t="shared" si="308"/>
        <v>142.85714285714286</v>
      </c>
      <c r="AA837" s="6"/>
      <c r="AB837" s="6"/>
      <c r="AC837" s="184"/>
      <c r="AD837" s="6"/>
      <c r="AE837" s="184"/>
      <c r="AF837" s="184"/>
      <c r="AG837" s="196" t="s">
        <v>24</v>
      </c>
      <c r="AH837" s="196" t="s">
        <v>24</v>
      </c>
      <c r="AI837" s="18" t="str">
        <f>+VLOOKUP(AH837,Leyenda!$O$4:$U$10,6,FALSE)</f>
        <v>0,50-0,80</v>
      </c>
      <c r="AJ837" s="18" t="str">
        <f>+VLOOKUP(AG837,Leyenda!$O$4:$U$10,7,FALSE)</f>
        <v>Fairly easy to blast</v>
      </c>
      <c r="AK837" s="18">
        <f>+VLOOKUP(AJ837,Leyenda!$U$4:$V$10,2,FALSE)</f>
        <v>4</v>
      </c>
      <c r="AL837" s="5"/>
      <c r="AM837" s="196" t="s">
        <v>24</v>
      </c>
      <c r="AN837" s="18" t="s">
        <v>64</v>
      </c>
      <c r="AO837" s="18" t="s">
        <v>77</v>
      </c>
      <c r="AP837" s="18" t="s">
        <v>92</v>
      </c>
      <c r="AQ837" s="18" t="s">
        <v>105</v>
      </c>
      <c r="AR837" s="18" t="s">
        <v>118</v>
      </c>
      <c r="AS837" s="18" t="s">
        <v>267</v>
      </c>
      <c r="AT837" s="18"/>
      <c r="AU837" s="6"/>
      <c r="AV837" s="36">
        <f>+VLOOKUP(AN837,Leyenda!$B$30:$E$34,3,FALSE)</f>
        <v>2</v>
      </c>
      <c r="AW837" s="36">
        <f>+VLOOKUP('2. Logging Brejo Seco'!AO837,Meteorizacion,3,FALSE)</f>
        <v>3</v>
      </c>
      <c r="AX837" s="36">
        <f>+VLOOKUP('2. Logging Brejo Seco'!AP837,Apertura,3,FALSE)</f>
        <v>3</v>
      </c>
      <c r="AY837" s="36">
        <f>+VLOOKUP('2. Logging Brejo Seco'!AQ837,Leyenda!$B$55:$D$59,3,FALSE)</f>
        <v>4</v>
      </c>
      <c r="AZ837" s="36">
        <f>+VLOOKUP('2. Logging Brejo Seco'!AR837,Relleno,3,FALSE)</f>
        <v>2</v>
      </c>
      <c r="BA837" s="36">
        <f t="shared" si="316"/>
        <v>14</v>
      </c>
      <c r="BB837" s="50">
        <f t="shared" si="317"/>
        <v>9</v>
      </c>
      <c r="BC837" s="49">
        <f>VLOOKUP(AH837,Leyenda!$B$4:$D$10,3,FALSE)</f>
        <v>7</v>
      </c>
      <c r="BD837" s="50">
        <f t="shared" si="318"/>
        <v>8</v>
      </c>
      <c r="BE837" s="50">
        <f t="shared" si="319"/>
        <v>14</v>
      </c>
      <c r="BF837" s="50">
        <f>VLOOKUP(AS837,Leyenda!$B$70:$D$75,3,FALSE)</f>
        <v>15</v>
      </c>
      <c r="BG837" s="110">
        <f t="shared" si="320"/>
        <v>42</v>
      </c>
      <c r="BH837" s="110">
        <f>VLOOKUP(AG837,Leyenda!$B$4:$E$10,4,FALSE)</f>
        <v>7</v>
      </c>
      <c r="BI837" s="67">
        <f t="shared" si="321"/>
        <v>10</v>
      </c>
      <c r="BJ837" s="110">
        <f t="shared" si="322"/>
        <v>9</v>
      </c>
      <c r="BK837" s="110">
        <f>+VLOOKUP('2. Logging Brejo Seco'!AP837,Leyenda!$B$47:$E$51,4,FALSE)</f>
        <v>3</v>
      </c>
      <c r="BL837" s="110">
        <f>+VLOOKUP('2. Logging Brejo Seco'!AQ837,Leyenda!$B$55:$E$59,4,FALSE)</f>
        <v>4</v>
      </c>
      <c r="BM837" s="110">
        <f>+VLOOKUP('2. Logging Brejo Seco'!AR837,Leyenda!$B$63:$E$67,3,FALSE)</f>
        <v>2</v>
      </c>
      <c r="BN837" s="110">
        <f>+VLOOKUP('2. Logging Brejo Seco'!AO837,Leyenda!$B$39:$E$43,4,FALSE)</f>
        <v>3</v>
      </c>
      <c r="BO837" s="110">
        <f>+VLOOKUP('2. Logging Brejo Seco'!AN837,Leyenda!$B$30:$E$34,4,FALSE)</f>
        <v>3</v>
      </c>
      <c r="BP837" s="110">
        <f>VLOOKUP(AS837,Leyenda!$B$71:$E$75,4,FALSE)</f>
        <v>10</v>
      </c>
      <c r="BQ837" s="110">
        <f t="shared" si="323"/>
        <v>51</v>
      </c>
      <c r="BR837" s="36">
        <f t="shared" si="324"/>
        <v>53</v>
      </c>
      <c r="BS837" s="240">
        <f t="shared" si="330"/>
        <v>0.22999999999999998</v>
      </c>
      <c r="BT837" s="6"/>
    </row>
    <row r="838" spans="1:72" x14ac:dyDescent="0.25">
      <c r="A838" s="18" t="s">
        <v>6</v>
      </c>
      <c r="B838" s="18">
        <v>2024</v>
      </c>
      <c r="C838" s="18" t="s">
        <v>138</v>
      </c>
      <c r="D838" s="18" t="s">
        <v>659</v>
      </c>
      <c r="E838" s="3">
        <v>10</v>
      </c>
      <c r="F838" s="191">
        <v>10</v>
      </c>
      <c r="G838" s="18" t="s">
        <v>135</v>
      </c>
      <c r="H838" s="3">
        <v>11</v>
      </c>
      <c r="I838" s="3" t="s">
        <v>765</v>
      </c>
      <c r="J838" s="3"/>
      <c r="K838" s="18">
        <v>67.7</v>
      </c>
      <c r="L838" s="18">
        <v>68.099999999999994</v>
      </c>
      <c r="M838" s="4">
        <f t="shared" si="313"/>
        <v>0.39999999999999147</v>
      </c>
      <c r="N838" s="113">
        <f t="shared" si="312"/>
        <v>1.0000000000000213</v>
      </c>
      <c r="O838" s="5">
        <f t="shared" si="325"/>
        <v>-2.1316282072803006E-14</v>
      </c>
      <c r="P838" s="4">
        <v>0.4</v>
      </c>
      <c r="Q838" s="18"/>
      <c r="R838" s="18"/>
      <c r="S838" s="18"/>
      <c r="T838" s="18">
        <v>0.4</v>
      </c>
      <c r="U838" s="18">
        <v>0.3</v>
      </c>
      <c r="V838" s="18">
        <f t="shared" si="329"/>
        <v>75.000000000001592</v>
      </c>
      <c r="W838" s="18"/>
      <c r="X838" s="18"/>
      <c r="Y838" s="18">
        <v>2</v>
      </c>
      <c r="Z838" s="31">
        <f t="shared" si="308"/>
        <v>199.99999999999574</v>
      </c>
      <c r="AA838" s="6"/>
      <c r="AB838" s="6"/>
      <c r="AC838" s="184"/>
      <c r="AD838" s="6"/>
      <c r="AE838" s="184"/>
      <c r="AF838" s="184"/>
      <c r="AG838" s="196" t="s">
        <v>24</v>
      </c>
      <c r="AH838" s="196" t="s">
        <v>24</v>
      </c>
      <c r="AI838" s="18" t="str">
        <f>+VLOOKUP(AH838,Leyenda!$O$4:$U$10,6,FALSE)</f>
        <v>0,50-0,80</v>
      </c>
      <c r="AJ838" s="18" t="str">
        <f>+VLOOKUP(AG838,Leyenda!$O$4:$U$10,7,FALSE)</f>
        <v>Fairly easy to blast</v>
      </c>
      <c r="AK838" s="18">
        <f>+VLOOKUP(AJ838,Leyenda!$U$4:$V$10,2,FALSE)</f>
        <v>4</v>
      </c>
      <c r="AL838" s="5"/>
      <c r="AM838" s="196" t="s">
        <v>24</v>
      </c>
      <c r="AN838" s="18" t="s">
        <v>64</v>
      </c>
      <c r="AO838" s="18" t="s">
        <v>77</v>
      </c>
      <c r="AP838" s="18" t="s">
        <v>92</v>
      </c>
      <c r="AQ838" s="18" t="s">
        <v>105</v>
      </c>
      <c r="AR838" s="18" t="s">
        <v>118</v>
      </c>
      <c r="AS838" s="18" t="s">
        <v>267</v>
      </c>
      <c r="AT838" s="18"/>
      <c r="AU838" s="6"/>
      <c r="AV838" s="36">
        <f>+VLOOKUP(AN838,Leyenda!$B$30:$E$34,3,FALSE)</f>
        <v>2</v>
      </c>
      <c r="AW838" s="36">
        <f>+VLOOKUP('2. Logging Brejo Seco'!AO838,Meteorizacion,3,FALSE)</f>
        <v>3</v>
      </c>
      <c r="AX838" s="36">
        <f>+VLOOKUP('2. Logging Brejo Seco'!AP838,Apertura,3,FALSE)</f>
        <v>3</v>
      </c>
      <c r="AY838" s="36">
        <f>+VLOOKUP('2. Logging Brejo Seco'!AQ838,Leyenda!$B$55:$D$59,3,FALSE)</f>
        <v>4</v>
      </c>
      <c r="AZ838" s="36">
        <f>+VLOOKUP('2. Logging Brejo Seco'!AR838,Relleno,3,FALSE)</f>
        <v>2</v>
      </c>
      <c r="BA838" s="36">
        <f t="shared" ref="BA838:BA845" si="331">+SUM(AV838:AZ838)</f>
        <v>14</v>
      </c>
      <c r="BB838" s="50">
        <f t="shared" ref="BB838:BB845" si="332">ROUND(-0.0002*POWER(V838,2)+0.2197*V838,0)</f>
        <v>15</v>
      </c>
      <c r="BC838" s="49">
        <f>VLOOKUP(AH838,Leyenda!$B$4:$D$10,3,FALSE)</f>
        <v>7</v>
      </c>
      <c r="BD838" s="50">
        <f t="shared" ref="BD838:BD845" si="333">IF(Z838="",ROUND((IF(Z838&lt;=400,1.5478*POWER(Z838,0.3351),-2*POWER(10,-6)*POWER(Z838,2)+0.0091*Z838+8.1704)),0),ROUND((IF(Z838&lt;=400,1.5478*POWER(Z838,0.3351),-2*POWER(10,-6)*POWER(Z838,2)+0.0091*Z838+8.1704)),0))</f>
        <v>9</v>
      </c>
      <c r="BE838" s="50">
        <f t="shared" ref="BE838:BE845" si="334">+BA838</f>
        <v>14</v>
      </c>
      <c r="BF838" s="50">
        <f>VLOOKUP(AS838,Leyenda!$B$70:$D$75,3,FALSE)</f>
        <v>15</v>
      </c>
      <c r="BG838" s="110">
        <f t="shared" ref="BG838:BG845" si="335">1.5*BA838+(V838*0.5)</f>
        <v>58.500000000000796</v>
      </c>
      <c r="BH838" s="110">
        <f>VLOOKUP(AG838,Leyenda!$B$4:$E$10,4,FALSE)</f>
        <v>7</v>
      </c>
      <c r="BI838" s="67">
        <f t="shared" ref="BI838:BI845" si="336">IF(Z838="",ROUND(IF(Z838&lt;=50,5,IF(Z838&gt;=3000,30,6.038*LN(Z838)-19.63)),0),ROUND(IF(Z838&lt;=50,5,IF(Z838&gt;=3000,30,6.038*LN(Z838)-19.63)),0))</f>
        <v>12</v>
      </c>
      <c r="BJ838" s="110">
        <f t="shared" ref="BJ838:BJ845" si="337">ROUND(-0.0002*POWER(V838,2)+0.2197*V838,0)</f>
        <v>15</v>
      </c>
      <c r="BK838" s="110">
        <f>+VLOOKUP('2. Logging Brejo Seco'!AP838,Leyenda!$B$47:$E$51,4,FALSE)</f>
        <v>3</v>
      </c>
      <c r="BL838" s="110">
        <f>+VLOOKUP('2. Logging Brejo Seco'!AQ838,Leyenda!$B$55:$E$59,4,FALSE)</f>
        <v>4</v>
      </c>
      <c r="BM838" s="110">
        <f>+VLOOKUP('2. Logging Brejo Seco'!AR838,Leyenda!$B$63:$E$67,3,FALSE)</f>
        <v>2</v>
      </c>
      <c r="BN838" s="110">
        <f>+VLOOKUP('2. Logging Brejo Seco'!AO838,Leyenda!$B$39:$E$43,4,FALSE)</f>
        <v>3</v>
      </c>
      <c r="BO838" s="110">
        <f>+VLOOKUP('2. Logging Brejo Seco'!AN838,Leyenda!$B$30:$E$34,4,FALSE)</f>
        <v>3</v>
      </c>
      <c r="BP838" s="110">
        <f>VLOOKUP(AS838,Leyenda!$B$71:$E$75,4,FALSE)</f>
        <v>10</v>
      </c>
      <c r="BQ838" s="110">
        <f t="shared" ref="BQ838:BQ845" si="338">+BH838+BI838+BJ838+BK838+BL838+BM838+BN838+BO838+BP838</f>
        <v>59</v>
      </c>
      <c r="BR838" s="36">
        <f t="shared" ref="BR838:BR845" si="339">+BC838+BD838+BB838+BE838+BF838</f>
        <v>60</v>
      </c>
      <c r="BS838" s="240">
        <f t="shared" si="330"/>
        <v>-2.1316282072803006E-14</v>
      </c>
      <c r="BT838" s="6"/>
    </row>
    <row r="839" spans="1:72" x14ac:dyDescent="0.25">
      <c r="A839" s="18" t="s">
        <v>6</v>
      </c>
      <c r="B839" s="18">
        <v>2024</v>
      </c>
      <c r="C839" s="18" t="s">
        <v>138</v>
      </c>
      <c r="D839" s="18" t="s">
        <v>659</v>
      </c>
      <c r="E839" s="3">
        <v>10</v>
      </c>
      <c r="F839" s="191">
        <v>10</v>
      </c>
      <c r="G839" s="18" t="s">
        <v>135</v>
      </c>
      <c r="H839" s="3">
        <v>11</v>
      </c>
      <c r="I839" s="3" t="s">
        <v>765</v>
      </c>
      <c r="J839" s="3"/>
      <c r="K839" s="18">
        <f>+L838</f>
        <v>68.099999999999994</v>
      </c>
      <c r="L839" s="18">
        <v>69.2</v>
      </c>
      <c r="M839" s="4">
        <f t="shared" si="313"/>
        <v>1.1000000000000085</v>
      </c>
      <c r="N839" s="113">
        <f t="shared" si="312"/>
        <v>0.29090909090908867</v>
      </c>
      <c r="O839" s="5">
        <f t="shared" si="325"/>
        <v>0.70909090909091133</v>
      </c>
      <c r="P839" s="4">
        <v>0.32</v>
      </c>
      <c r="Q839" s="18"/>
      <c r="R839" s="18"/>
      <c r="S839" s="18"/>
      <c r="T839" s="18">
        <v>0.32</v>
      </c>
      <c r="U839" s="18">
        <v>0.15</v>
      </c>
      <c r="V839" s="18">
        <f t="shared" si="329"/>
        <v>13.63636363636353</v>
      </c>
      <c r="W839" s="18"/>
      <c r="X839" s="18"/>
      <c r="Y839" s="18">
        <f>3+4</f>
        <v>7</v>
      </c>
      <c r="Z839" s="31">
        <f t="shared" si="308"/>
        <v>157.14285714285839</v>
      </c>
      <c r="AA839" s="6"/>
      <c r="AB839" s="6"/>
      <c r="AC839" s="184"/>
      <c r="AD839" s="6"/>
      <c r="AE839" s="184"/>
      <c r="AF839" s="184"/>
      <c r="AG839" s="196" t="s">
        <v>24</v>
      </c>
      <c r="AH839" s="196" t="s">
        <v>24</v>
      </c>
      <c r="AI839" s="18" t="str">
        <f>+VLOOKUP(AH839,Leyenda!$O$4:$U$10,6,FALSE)</f>
        <v>0,50-0,80</v>
      </c>
      <c r="AJ839" s="18" t="str">
        <f>+VLOOKUP(AG839,Leyenda!$O$4:$U$10,7,FALSE)</f>
        <v>Fairly easy to blast</v>
      </c>
      <c r="AK839" s="18">
        <f>+VLOOKUP(AJ839,Leyenda!$U$4:$V$10,2,FALSE)</f>
        <v>4</v>
      </c>
      <c r="AL839" s="5"/>
      <c r="AM839" s="196" t="s">
        <v>24</v>
      </c>
      <c r="AN839" s="18" t="s">
        <v>64</v>
      </c>
      <c r="AO839" s="18" t="s">
        <v>77</v>
      </c>
      <c r="AP839" s="18" t="s">
        <v>92</v>
      </c>
      <c r="AQ839" s="18" t="s">
        <v>105</v>
      </c>
      <c r="AR839" s="18" t="s">
        <v>118</v>
      </c>
      <c r="AS839" s="18" t="s">
        <v>267</v>
      </c>
      <c r="AT839" s="18"/>
      <c r="AU839" s="6"/>
      <c r="AV839" s="36">
        <f>+VLOOKUP(AN839,Leyenda!$B$30:$E$34,3,FALSE)</f>
        <v>2</v>
      </c>
      <c r="AW839" s="36">
        <f>+VLOOKUP('2. Logging Brejo Seco'!AO839,Meteorizacion,3,FALSE)</f>
        <v>3</v>
      </c>
      <c r="AX839" s="36">
        <f>+VLOOKUP('2. Logging Brejo Seco'!AP839,Apertura,3,FALSE)</f>
        <v>3</v>
      </c>
      <c r="AY839" s="36">
        <f>+VLOOKUP('2. Logging Brejo Seco'!AQ839,Leyenda!$B$55:$D$59,3,FALSE)</f>
        <v>4</v>
      </c>
      <c r="AZ839" s="36">
        <f>+VLOOKUP('2. Logging Brejo Seco'!AR839,Relleno,3,FALSE)</f>
        <v>2</v>
      </c>
      <c r="BA839" s="36">
        <f t="shared" si="331"/>
        <v>14</v>
      </c>
      <c r="BB839" s="50">
        <f t="shared" si="332"/>
        <v>3</v>
      </c>
      <c r="BC839" s="49">
        <f>VLOOKUP(AH839,Leyenda!$B$4:$D$10,3,FALSE)</f>
        <v>7</v>
      </c>
      <c r="BD839" s="50">
        <f t="shared" si="333"/>
        <v>8</v>
      </c>
      <c r="BE839" s="50">
        <f t="shared" si="334"/>
        <v>14</v>
      </c>
      <c r="BF839" s="50">
        <f>VLOOKUP(AS839,Leyenda!$B$70:$D$75,3,FALSE)</f>
        <v>15</v>
      </c>
      <c r="BG839" s="110">
        <f t="shared" si="335"/>
        <v>27.818181818181763</v>
      </c>
      <c r="BH839" s="110">
        <f>VLOOKUP(AG839,Leyenda!$B$4:$E$10,4,FALSE)</f>
        <v>7</v>
      </c>
      <c r="BI839" s="67">
        <f t="shared" si="336"/>
        <v>11</v>
      </c>
      <c r="BJ839" s="110">
        <f t="shared" si="337"/>
        <v>3</v>
      </c>
      <c r="BK839" s="110">
        <f>+VLOOKUP('2. Logging Brejo Seco'!AP839,Leyenda!$B$47:$E$51,4,FALSE)</f>
        <v>3</v>
      </c>
      <c r="BL839" s="110">
        <f>+VLOOKUP('2. Logging Brejo Seco'!AQ839,Leyenda!$B$55:$E$59,4,FALSE)</f>
        <v>4</v>
      </c>
      <c r="BM839" s="110">
        <f>+VLOOKUP('2. Logging Brejo Seco'!AR839,Leyenda!$B$63:$E$67,3,FALSE)</f>
        <v>2</v>
      </c>
      <c r="BN839" s="110">
        <f>+VLOOKUP('2. Logging Brejo Seco'!AO839,Leyenda!$B$39:$E$43,4,FALSE)</f>
        <v>3</v>
      </c>
      <c r="BO839" s="110">
        <f>+VLOOKUP('2. Logging Brejo Seco'!AN839,Leyenda!$B$30:$E$34,4,FALSE)</f>
        <v>3</v>
      </c>
      <c r="BP839" s="110">
        <f>VLOOKUP(AS839,Leyenda!$B$71:$E$75,4,FALSE)</f>
        <v>10</v>
      </c>
      <c r="BQ839" s="110">
        <f t="shared" si="338"/>
        <v>46</v>
      </c>
      <c r="BR839" s="36">
        <f t="shared" si="339"/>
        <v>47</v>
      </c>
      <c r="BS839" s="240">
        <f t="shared" si="330"/>
        <v>0.70909090909091133</v>
      </c>
      <c r="BT839" s="6"/>
    </row>
    <row r="840" spans="1:72" x14ac:dyDescent="0.25">
      <c r="A840" s="18" t="s">
        <v>6</v>
      </c>
      <c r="B840" s="18">
        <v>2024</v>
      </c>
      <c r="C840" s="18" t="s">
        <v>138</v>
      </c>
      <c r="D840" s="18" t="s">
        <v>659</v>
      </c>
      <c r="E840" s="3">
        <v>10</v>
      </c>
      <c r="F840" s="191">
        <v>10</v>
      </c>
      <c r="G840" s="18" t="s">
        <v>135</v>
      </c>
      <c r="H840" s="3">
        <v>11</v>
      </c>
      <c r="I840" s="3" t="s">
        <v>765</v>
      </c>
      <c r="J840" s="3"/>
      <c r="K840" s="18">
        <f t="shared" ref="K840:K842" si="340">+L839</f>
        <v>69.2</v>
      </c>
      <c r="L840" s="18">
        <v>70.400000000000006</v>
      </c>
      <c r="M840" s="4">
        <f t="shared" si="313"/>
        <v>1.2000000000000028</v>
      </c>
      <c r="N840" s="113">
        <f t="shared" si="312"/>
        <v>0.56666666666666532</v>
      </c>
      <c r="O840" s="5">
        <f t="shared" si="325"/>
        <v>0.43333333333333468</v>
      </c>
      <c r="P840" s="4">
        <v>0.68</v>
      </c>
      <c r="Q840" s="18"/>
      <c r="R840" s="18"/>
      <c r="S840" s="18"/>
      <c r="T840" s="18">
        <v>0.68</v>
      </c>
      <c r="U840" s="18">
        <v>0.43</v>
      </c>
      <c r="V840" s="18">
        <f t="shared" si="329"/>
        <v>35.83333333333325</v>
      </c>
      <c r="W840" s="18"/>
      <c r="X840" s="18"/>
      <c r="Y840" s="18">
        <f>6+10</f>
        <v>16</v>
      </c>
      <c r="Z840" s="31">
        <f t="shared" si="308"/>
        <v>75.000000000000171</v>
      </c>
      <c r="AA840" s="6"/>
      <c r="AB840" s="6"/>
      <c r="AC840" s="184"/>
      <c r="AD840" s="6"/>
      <c r="AE840" s="184"/>
      <c r="AF840" s="184"/>
      <c r="AG840" s="196" t="s">
        <v>24</v>
      </c>
      <c r="AH840" s="196" t="s">
        <v>24</v>
      </c>
      <c r="AI840" s="18" t="str">
        <f>+VLOOKUP(AH840,Leyenda!$O$4:$U$10,6,FALSE)</f>
        <v>0,50-0,80</v>
      </c>
      <c r="AJ840" s="18" t="str">
        <f>+VLOOKUP(AG840,Leyenda!$O$4:$U$10,7,FALSE)</f>
        <v>Fairly easy to blast</v>
      </c>
      <c r="AK840" s="18">
        <f>+VLOOKUP(AJ840,Leyenda!$U$4:$V$10,2,FALSE)</f>
        <v>4</v>
      </c>
      <c r="AL840" s="5"/>
      <c r="AM840" s="196" t="s">
        <v>24</v>
      </c>
      <c r="AN840" s="18" t="s">
        <v>64</v>
      </c>
      <c r="AO840" s="18" t="s">
        <v>77</v>
      </c>
      <c r="AP840" s="18" t="s">
        <v>92</v>
      </c>
      <c r="AQ840" s="18" t="s">
        <v>105</v>
      </c>
      <c r="AR840" s="18" t="s">
        <v>118</v>
      </c>
      <c r="AS840" s="18" t="s">
        <v>267</v>
      </c>
      <c r="AT840" s="18"/>
      <c r="AU840" s="6"/>
      <c r="AV840" s="36">
        <f>+VLOOKUP(AN840,Leyenda!$B$30:$E$34,3,FALSE)</f>
        <v>2</v>
      </c>
      <c r="AW840" s="36">
        <f>+VLOOKUP('2. Logging Brejo Seco'!AO840,Meteorizacion,3,FALSE)</f>
        <v>3</v>
      </c>
      <c r="AX840" s="36">
        <f>+VLOOKUP('2. Logging Brejo Seco'!AP840,Apertura,3,FALSE)</f>
        <v>3</v>
      </c>
      <c r="AY840" s="36">
        <f>+VLOOKUP('2. Logging Brejo Seco'!AQ840,Leyenda!$B$55:$D$59,3,FALSE)</f>
        <v>4</v>
      </c>
      <c r="AZ840" s="36">
        <f>+VLOOKUP('2. Logging Brejo Seco'!AR840,Relleno,3,FALSE)</f>
        <v>2</v>
      </c>
      <c r="BA840" s="36">
        <f t="shared" si="331"/>
        <v>14</v>
      </c>
      <c r="BB840" s="50">
        <f t="shared" si="332"/>
        <v>8</v>
      </c>
      <c r="BC840" s="49">
        <f>VLOOKUP(AH840,Leyenda!$B$4:$D$10,3,FALSE)</f>
        <v>7</v>
      </c>
      <c r="BD840" s="50">
        <f t="shared" si="333"/>
        <v>7</v>
      </c>
      <c r="BE840" s="50">
        <f t="shared" si="334"/>
        <v>14</v>
      </c>
      <c r="BF840" s="50">
        <f>VLOOKUP(AS840,Leyenda!$B$70:$D$75,3,FALSE)</f>
        <v>15</v>
      </c>
      <c r="BG840" s="110">
        <f t="shared" si="335"/>
        <v>38.916666666666629</v>
      </c>
      <c r="BH840" s="110">
        <f>VLOOKUP(AG840,Leyenda!$B$4:$E$10,4,FALSE)</f>
        <v>7</v>
      </c>
      <c r="BI840" s="67">
        <f t="shared" si="336"/>
        <v>6</v>
      </c>
      <c r="BJ840" s="110">
        <f t="shared" si="337"/>
        <v>8</v>
      </c>
      <c r="BK840" s="110">
        <f>+VLOOKUP('2. Logging Brejo Seco'!AP840,Leyenda!$B$47:$E$51,4,FALSE)</f>
        <v>3</v>
      </c>
      <c r="BL840" s="110">
        <f>+VLOOKUP('2. Logging Brejo Seco'!AQ840,Leyenda!$B$55:$E$59,4,FALSE)</f>
        <v>4</v>
      </c>
      <c r="BM840" s="110">
        <f>+VLOOKUP('2. Logging Brejo Seco'!AR840,Leyenda!$B$63:$E$67,3,FALSE)</f>
        <v>2</v>
      </c>
      <c r="BN840" s="110">
        <f>+VLOOKUP('2. Logging Brejo Seco'!AO840,Leyenda!$B$39:$E$43,4,FALSE)</f>
        <v>3</v>
      </c>
      <c r="BO840" s="110">
        <f>+VLOOKUP('2. Logging Brejo Seco'!AN840,Leyenda!$B$30:$E$34,4,FALSE)</f>
        <v>3</v>
      </c>
      <c r="BP840" s="110">
        <f>VLOOKUP(AS840,Leyenda!$B$71:$E$75,4,FALSE)</f>
        <v>10</v>
      </c>
      <c r="BQ840" s="110">
        <f t="shared" si="338"/>
        <v>46</v>
      </c>
      <c r="BR840" s="36">
        <f t="shared" si="339"/>
        <v>51</v>
      </c>
      <c r="BS840" s="240">
        <f t="shared" si="330"/>
        <v>0.43333333333333468</v>
      </c>
      <c r="BT840" s="6"/>
    </row>
    <row r="841" spans="1:72" x14ac:dyDescent="0.25">
      <c r="A841" s="18" t="s">
        <v>6</v>
      </c>
      <c r="B841" s="18">
        <v>2024</v>
      </c>
      <c r="C841" s="18" t="s">
        <v>138</v>
      </c>
      <c r="D841" s="18" t="s">
        <v>659</v>
      </c>
      <c r="E841" s="3">
        <v>10</v>
      </c>
      <c r="F841" s="191">
        <v>10</v>
      </c>
      <c r="G841" s="18" t="s">
        <v>135</v>
      </c>
      <c r="H841" s="244">
        <f t="shared" si="328"/>
        <v>10</v>
      </c>
      <c r="I841" s="244" t="s">
        <v>761</v>
      </c>
      <c r="J841" s="244"/>
      <c r="K841" s="18">
        <f t="shared" si="340"/>
        <v>70.400000000000006</v>
      </c>
      <c r="L841" s="18">
        <v>72.400000000000006</v>
      </c>
      <c r="M841" s="4">
        <f t="shared" si="313"/>
        <v>2</v>
      </c>
      <c r="N841" s="113">
        <f t="shared" si="312"/>
        <v>0.80500000000000005</v>
      </c>
      <c r="O841" s="5">
        <f t="shared" si="325"/>
        <v>0.19499999999999995</v>
      </c>
      <c r="P841" s="3">
        <v>1.61</v>
      </c>
      <c r="Q841" s="3"/>
      <c r="R841" s="3"/>
      <c r="S841" s="3"/>
      <c r="T841" s="3">
        <v>1.61</v>
      </c>
      <c r="U841" s="3">
        <v>1.26</v>
      </c>
      <c r="V841" s="18">
        <f t="shared" si="329"/>
        <v>63</v>
      </c>
      <c r="W841" s="3"/>
      <c r="X841" s="3"/>
      <c r="Y841" s="3">
        <v>10</v>
      </c>
      <c r="Z841" s="31">
        <f t="shared" si="308"/>
        <v>200</v>
      </c>
      <c r="AA841" s="6"/>
      <c r="AB841" s="6"/>
      <c r="AC841" s="184"/>
      <c r="AD841" s="6"/>
      <c r="AE841" s="184"/>
      <c r="AF841" s="184"/>
      <c r="AG841" s="196" t="s">
        <v>24</v>
      </c>
      <c r="AH841" s="196" t="s">
        <v>24</v>
      </c>
      <c r="AI841" s="18" t="str">
        <f>+VLOOKUP(AH841,Leyenda!$O$4:$U$10,6,FALSE)</f>
        <v>0,50-0,80</v>
      </c>
      <c r="AJ841" s="18" t="str">
        <f>+VLOOKUP(AG841,Leyenda!$O$4:$U$10,7,FALSE)</f>
        <v>Fairly easy to blast</v>
      </c>
      <c r="AK841" s="18">
        <f>+VLOOKUP(AJ841,Leyenda!$U$4:$V$10,2,FALSE)</f>
        <v>4</v>
      </c>
      <c r="AL841" s="5"/>
      <c r="AM841" s="196" t="s">
        <v>24</v>
      </c>
      <c r="AN841" s="18" t="s">
        <v>64</v>
      </c>
      <c r="AO841" s="18" t="s">
        <v>77</v>
      </c>
      <c r="AP841" s="18" t="s">
        <v>92</v>
      </c>
      <c r="AQ841" s="18" t="s">
        <v>105</v>
      </c>
      <c r="AR841" s="18" t="s">
        <v>118</v>
      </c>
      <c r="AS841" s="18" t="s">
        <v>267</v>
      </c>
      <c r="AT841" s="18"/>
      <c r="AU841" s="6"/>
      <c r="AV841" s="36">
        <f>+VLOOKUP(AN841,Leyenda!$B$30:$E$34,3,FALSE)</f>
        <v>2</v>
      </c>
      <c r="AW841" s="36">
        <f>+VLOOKUP('2. Logging Brejo Seco'!AO841,Meteorizacion,3,FALSE)</f>
        <v>3</v>
      </c>
      <c r="AX841" s="36">
        <f>+VLOOKUP('2. Logging Brejo Seco'!AP841,Apertura,3,FALSE)</f>
        <v>3</v>
      </c>
      <c r="AY841" s="36">
        <f>+VLOOKUP('2. Logging Brejo Seco'!AQ841,Leyenda!$B$55:$D$59,3,FALSE)</f>
        <v>4</v>
      </c>
      <c r="AZ841" s="36">
        <f>+VLOOKUP('2. Logging Brejo Seco'!AR841,Relleno,3,FALSE)</f>
        <v>2</v>
      </c>
      <c r="BA841" s="36">
        <f t="shared" si="331"/>
        <v>14</v>
      </c>
      <c r="BB841" s="50">
        <f t="shared" si="332"/>
        <v>13</v>
      </c>
      <c r="BC841" s="49">
        <f>VLOOKUP(AH841,Leyenda!$B$4:$D$10,3,FALSE)</f>
        <v>7</v>
      </c>
      <c r="BD841" s="50">
        <f t="shared" si="333"/>
        <v>9</v>
      </c>
      <c r="BE841" s="50">
        <f t="shared" si="334"/>
        <v>14</v>
      </c>
      <c r="BF841" s="50">
        <f>VLOOKUP(AS841,Leyenda!$B$70:$D$75,3,FALSE)</f>
        <v>15</v>
      </c>
      <c r="BG841" s="110">
        <f t="shared" si="335"/>
        <v>52.5</v>
      </c>
      <c r="BH841" s="110">
        <f>VLOOKUP(AG841,Leyenda!$B$4:$E$10,4,FALSE)</f>
        <v>7</v>
      </c>
      <c r="BI841" s="67">
        <f t="shared" si="336"/>
        <v>12</v>
      </c>
      <c r="BJ841" s="110">
        <f t="shared" si="337"/>
        <v>13</v>
      </c>
      <c r="BK841" s="110">
        <f>+VLOOKUP('2. Logging Brejo Seco'!AP841,Leyenda!$B$47:$E$51,4,FALSE)</f>
        <v>3</v>
      </c>
      <c r="BL841" s="110">
        <f>+VLOOKUP('2. Logging Brejo Seco'!AQ841,Leyenda!$B$55:$E$59,4,FALSE)</f>
        <v>4</v>
      </c>
      <c r="BM841" s="110">
        <f>+VLOOKUP('2. Logging Brejo Seco'!AR841,Leyenda!$B$63:$E$67,3,FALSE)</f>
        <v>2</v>
      </c>
      <c r="BN841" s="110">
        <f>+VLOOKUP('2. Logging Brejo Seco'!AO841,Leyenda!$B$39:$E$43,4,FALSE)</f>
        <v>3</v>
      </c>
      <c r="BO841" s="110">
        <f>+VLOOKUP('2. Logging Brejo Seco'!AN841,Leyenda!$B$30:$E$34,4,FALSE)</f>
        <v>3</v>
      </c>
      <c r="BP841" s="110">
        <f>VLOOKUP(AS841,Leyenda!$B$71:$E$75,4,FALSE)</f>
        <v>10</v>
      </c>
      <c r="BQ841" s="110">
        <f t="shared" si="338"/>
        <v>57</v>
      </c>
      <c r="BR841" s="36">
        <f t="shared" si="339"/>
        <v>58</v>
      </c>
      <c r="BS841" s="240">
        <f t="shared" si="330"/>
        <v>0.19499999999999995</v>
      </c>
      <c r="BT841" s="6"/>
    </row>
    <row r="842" spans="1:72" x14ac:dyDescent="0.25">
      <c r="A842" s="18" t="s">
        <v>6</v>
      </c>
      <c r="B842" s="18">
        <v>2024</v>
      </c>
      <c r="C842" s="18" t="s">
        <v>138</v>
      </c>
      <c r="D842" s="18" t="s">
        <v>659</v>
      </c>
      <c r="E842" s="3">
        <v>10</v>
      </c>
      <c r="F842" s="191">
        <v>10</v>
      </c>
      <c r="G842" s="18" t="s">
        <v>135</v>
      </c>
      <c r="H842" s="244">
        <f t="shared" si="328"/>
        <v>10</v>
      </c>
      <c r="I842" s="244" t="s">
        <v>761</v>
      </c>
      <c r="J842" s="244"/>
      <c r="K842" s="18">
        <f t="shared" si="340"/>
        <v>72.400000000000006</v>
      </c>
      <c r="L842" s="93">
        <v>74.400000000000006</v>
      </c>
      <c r="M842" s="4">
        <f t="shared" si="313"/>
        <v>2</v>
      </c>
      <c r="N842" s="113">
        <f t="shared" si="312"/>
        <v>0.66</v>
      </c>
      <c r="O842" s="5">
        <f t="shared" si="325"/>
        <v>0.33999999999999997</v>
      </c>
      <c r="P842" s="4">
        <v>1.32</v>
      </c>
      <c r="Q842" s="18"/>
      <c r="R842" s="18"/>
      <c r="S842" s="18"/>
      <c r="T842" s="18">
        <f>1.03+0.29</f>
        <v>1.32</v>
      </c>
      <c r="U842" s="18">
        <f>0.81+0.11</f>
        <v>0.92</v>
      </c>
      <c r="V842" s="18">
        <f t="shared" si="329"/>
        <v>46</v>
      </c>
      <c r="W842" s="18"/>
      <c r="X842" s="18"/>
      <c r="Y842" s="18">
        <v>7</v>
      </c>
      <c r="Z842" s="31">
        <f t="shared" si="308"/>
        <v>285.71428571428572</v>
      </c>
      <c r="AA842" s="6"/>
      <c r="AB842" s="6"/>
      <c r="AC842" s="184"/>
      <c r="AD842" s="6"/>
      <c r="AE842" s="184"/>
      <c r="AF842" s="184"/>
      <c r="AG842" s="196" t="s">
        <v>24</v>
      </c>
      <c r="AH842" s="196" t="s">
        <v>24</v>
      </c>
      <c r="AI842" s="18" t="str">
        <f>+VLOOKUP(AH842,Leyenda!$O$4:$U$10,6,FALSE)</f>
        <v>0,50-0,80</v>
      </c>
      <c r="AJ842" s="18" t="str">
        <f>+VLOOKUP(AG842,Leyenda!$O$4:$U$10,7,FALSE)</f>
        <v>Fairly easy to blast</v>
      </c>
      <c r="AK842" s="18">
        <f>+VLOOKUP(AJ842,Leyenda!$U$4:$V$10,2,FALSE)</f>
        <v>4</v>
      </c>
      <c r="AL842" s="5"/>
      <c r="AM842" s="196" t="s">
        <v>24</v>
      </c>
      <c r="AN842" s="18" t="s">
        <v>64</v>
      </c>
      <c r="AO842" s="18" t="s">
        <v>77</v>
      </c>
      <c r="AP842" s="18" t="s">
        <v>92</v>
      </c>
      <c r="AQ842" s="18" t="s">
        <v>105</v>
      </c>
      <c r="AR842" s="18" t="s">
        <v>118</v>
      </c>
      <c r="AS842" s="18" t="s">
        <v>267</v>
      </c>
      <c r="AT842" s="18"/>
      <c r="AU842" s="6"/>
      <c r="AV842" s="36">
        <f>+VLOOKUP(AN842,Leyenda!$B$30:$E$34,3,FALSE)</f>
        <v>2</v>
      </c>
      <c r="AW842" s="36">
        <f>+VLOOKUP('2. Logging Brejo Seco'!AO842,Meteorizacion,3,FALSE)</f>
        <v>3</v>
      </c>
      <c r="AX842" s="36">
        <f>+VLOOKUP('2. Logging Brejo Seco'!AP842,Apertura,3,FALSE)</f>
        <v>3</v>
      </c>
      <c r="AY842" s="36">
        <f>+VLOOKUP('2. Logging Brejo Seco'!AQ842,Leyenda!$B$55:$D$59,3,FALSE)</f>
        <v>4</v>
      </c>
      <c r="AZ842" s="36">
        <f>+VLOOKUP('2. Logging Brejo Seco'!AR842,Relleno,3,FALSE)</f>
        <v>2</v>
      </c>
      <c r="BA842" s="36">
        <f t="shared" si="331"/>
        <v>14</v>
      </c>
      <c r="BB842" s="50">
        <f t="shared" si="332"/>
        <v>10</v>
      </c>
      <c r="BC842" s="49">
        <f>VLOOKUP(AH842,Leyenda!$B$4:$D$10,3,FALSE)</f>
        <v>7</v>
      </c>
      <c r="BD842" s="50">
        <f t="shared" si="333"/>
        <v>10</v>
      </c>
      <c r="BE842" s="50">
        <f t="shared" si="334"/>
        <v>14</v>
      </c>
      <c r="BF842" s="50">
        <f>VLOOKUP(AS842,Leyenda!$B$70:$D$75,3,FALSE)</f>
        <v>15</v>
      </c>
      <c r="BG842" s="110">
        <f t="shared" si="335"/>
        <v>44</v>
      </c>
      <c r="BH842" s="110">
        <f>VLOOKUP(AG842,Leyenda!$B$4:$E$10,4,FALSE)</f>
        <v>7</v>
      </c>
      <c r="BI842" s="67">
        <f t="shared" si="336"/>
        <v>15</v>
      </c>
      <c r="BJ842" s="110">
        <f t="shared" si="337"/>
        <v>10</v>
      </c>
      <c r="BK842" s="110">
        <f>+VLOOKUP('2. Logging Brejo Seco'!AP842,Leyenda!$B$47:$E$51,4,FALSE)</f>
        <v>3</v>
      </c>
      <c r="BL842" s="110">
        <f>+VLOOKUP('2. Logging Brejo Seco'!AQ842,Leyenda!$B$55:$E$59,4,FALSE)</f>
        <v>4</v>
      </c>
      <c r="BM842" s="110">
        <f>+VLOOKUP('2. Logging Brejo Seco'!AR842,Leyenda!$B$63:$E$67,3,FALSE)</f>
        <v>2</v>
      </c>
      <c r="BN842" s="110">
        <f>+VLOOKUP('2. Logging Brejo Seco'!AO842,Leyenda!$B$39:$E$43,4,FALSE)</f>
        <v>3</v>
      </c>
      <c r="BO842" s="110">
        <f>+VLOOKUP('2. Logging Brejo Seco'!AN842,Leyenda!$B$30:$E$34,4,FALSE)</f>
        <v>3</v>
      </c>
      <c r="BP842" s="110">
        <f>VLOOKUP(AS842,Leyenda!$B$71:$E$75,4,FALSE)</f>
        <v>10</v>
      </c>
      <c r="BQ842" s="110">
        <f t="shared" si="338"/>
        <v>57</v>
      </c>
      <c r="BR842" s="36">
        <f t="shared" si="339"/>
        <v>56</v>
      </c>
      <c r="BS842" s="240">
        <f t="shared" si="330"/>
        <v>0.33999999999999997</v>
      </c>
      <c r="BT842" s="6"/>
    </row>
    <row r="843" spans="1:72" x14ac:dyDescent="0.25">
      <c r="A843" s="18" t="s">
        <v>6</v>
      </c>
      <c r="B843" s="18">
        <v>2024</v>
      </c>
      <c r="C843" s="18" t="s">
        <v>138</v>
      </c>
      <c r="D843" s="18" t="s">
        <v>659</v>
      </c>
      <c r="E843" s="3">
        <v>10</v>
      </c>
      <c r="F843" s="191">
        <v>10</v>
      </c>
      <c r="G843" s="18" t="s">
        <v>135</v>
      </c>
      <c r="H843" s="244">
        <f t="shared" si="328"/>
        <v>10</v>
      </c>
      <c r="I843" s="244" t="s">
        <v>761</v>
      </c>
      <c r="J843" s="244"/>
      <c r="K843" s="18">
        <v>74.400000000000006</v>
      </c>
      <c r="L843" s="18">
        <v>76.400000000000006</v>
      </c>
      <c r="M843" s="4">
        <f t="shared" si="313"/>
        <v>2</v>
      </c>
      <c r="N843" s="113">
        <f t="shared" si="312"/>
        <v>0.69</v>
      </c>
      <c r="O843" s="5">
        <f t="shared" si="325"/>
        <v>0.31000000000000005</v>
      </c>
      <c r="P843" s="4">
        <v>1.38</v>
      </c>
      <c r="Q843" s="18"/>
      <c r="R843" s="18"/>
      <c r="S843" s="18"/>
      <c r="T843" s="18">
        <v>1.38</v>
      </c>
      <c r="U843" s="18">
        <v>0.71</v>
      </c>
      <c r="V843" s="18">
        <f t="shared" si="329"/>
        <v>35.5</v>
      </c>
      <c r="W843" s="18"/>
      <c r="X843" s="18"/>
      <c r="Y843" s="18">
        <f>9+2</f>
        <v>11</v>
      </c>
      <c r="Z843" s="31">
        <f t="shared" si="308"/>
        <v>181.81818181818181</v>
      </c>
      <c r="AA843" s="6"/>
      <c r="AB843" s="6"/>
      <c r="AC843" s="184"/>
      <c r="AD843" s="6"/>
      <c r="AE843" s="184"/>
      <c r="AF843" s="184"/>
      <c r="AG843" s="196" t="s">
        <v>24</v>
      </c>
      <c r="AH843" s="196" t="s">
        <v>24</v>
      </c>
      <c r="AI843" s="18" t="str">
        <f>+VLOOKUP(AH843,Leyenda!$O$4:$U$10,6,FALSE)</f>
        <v>0,50-0,80</v>
      </c>
      <c r="AJ843" s="18" t="str">
        <f>+VLOOKUP(AG843,Leyenda!$O$4:$U$10,7,FALSE)</f>
        <v>Fairly easy to blast</v>
      </c>
      <c r="AK843" s="18">
        <f>+VLOOKUP(AJ843,Leyenda!$U$4:$V$10,2,FALSE)</f>
        <v>4</v>
      </c>
      <c r="AL843" s="5"/>
      <c r="AM843" s="196" t="s">
        <v>24</v>
      </c>
      <c r="AN843" s="18" t="s">
        <v>64</v>
      </c>
      <c r="AO843" s="18" t="s">
        <v>77</v>
      </c>
      <c r="AP843" s="18" t="s">
        <v>92</v>
      </c>
      <c r="AQ843" s="18" t="s">
        <v>105</v>
      </c>
      <c r="AR843" s="18" t="s">
        <v>118</v>
      </c>
      <c r="AS843" s="18" t="s">
        <v>267</v>
      </c>
      <c r="AT843" s="18"/>
      <c r="AU843" s="6"/>
      <c r="AV843" s="36">
        <f>+VLOOKUP(AN843,Leyenda!$B$30:$E$34,3,FALSE)</f>
        <v>2</v>
      </c>
      <c r="AW843" s="36">
        <f>+VLOOKUP('2. Logging Brejo Seco'!AO843,Meteorizacion,3,FALSE)</f>
        <v>3</v>
      </c>
      <c r="AX843" s="36">
        <f>+VLOOKUP('2. Logging Brejo Seco'!AP843,Apertura,3,FALSE)</f>
        <v>3</v>
      </c>
      <c r="AY843" s="36">
        <f>+VLOOKUP('2. Logging Brejo Seco'!AQ843,Leyenda!$B$55:$D$59,3,FALSE)</f>
        <v>4</v>
      </c>
      <c r="AZ843" s="36">
        <f>+VLOOKUP('2. Logging Brejo Seco'!AR843,Relleno,3,FALSE)</f>
        <v>2</v>
      </c>
      <c r="BA843" s="36">
        <f t="shared" si="331"/>
        <v>14</v>
      </c>
      <c r="BB843" s="50">
        <f t="shared" si="332"/>
        <v>8</v>
      </c>
      <c r="BC843" s="49">
        <f>VLOOKUP(AH843,Leyenda!$B$4:$D$10,3,FALSE)</f>
        <v>7</v>
      </c>
      <c r="BD843" s="50">
        <f t="shared" si="333"/>
        <v>9</v>
      </c>
      <c r="BE843" s="50">
        <f t="shared" si="334"/>
        <v>14</v>
      </c>
      <c r="BF843" s="50">
        <f>VLOOKUP(AS843,Leyenda!$B$70:$D$75,3,FALSE)</f>
        <v>15</v>
      </c>
      <c r="BG843" s="110">
        <f t="shared" si="335"/>
        <v>38.75</v>
      </c>
      <c r="BH843" s="110">
        <f>VLOOKUP(AG843,Leyenda!$B$4:$E$10,4,FALSE)</f>
        <v>7</v>
      </c>
      <c r="BI843" s="67">
        <f t="shared" si="336"/>
        <v>12</v>
      </c>
      <c r="BJ843" s="110">
        <f t="shared" si="337"/>
        <v>8</v>
      </c>
      <c r="BK843" s="110">
        <f>+VLOOKUP('2. Logging Brejo Seco'!AP843,Leyenda!$B$47:$E$51,4,FALSE)</f>
        <v>3</v>
      </c>
      <c r="BL843" s="110">
        <f>+VLOOKUP('2. Logging Brejo Seco'!AQ843,Leyenda!$B$55:$E$59,4,FALSE)</f>
        <v>4</v>
      </c>
      <c r="BM843" s="110">
        <f>+VLOOKUP('2. Logging Brejo Seco'!AR843,Leyenda!$B$63:$E$67,3,FALSE)</f>
        <v>2</v>
      </c>
      <c r="BN843" s="110">
        <f>+VLOOKUP('2. Logging Brejo Seco'!AO843,Leyenda!$B$39:$E$43,4,FALSE)</f>
        <v>3</v>
      </c>
      <c r="BO843" s="110">
        <f>+VLOOKUP('2. Logging Brejo Seco'!AN843,Leyenda!$B$30:$E$34,4,FALSE)</f>
        <v>3</v>
      </c>
      <c r="BP843" s="110">
        <f>VLOOKUP(AS843,Leyenda!$B$71:$E$75,4,FALSE)</f>
        <v>10</v>
      </c>
      <c r="BQ843" s="110">
        <f t="shared" si="338"/>
        <v>52</v>
      </c>
      <c r="BR843" s="36">
        <f t="shared" si="339"/>
        <v>53</v>
      </c>
      <c r="BS843" s="240">
        <f t="shared" si="330"/>
        <v>0.31000000000000005</v>
      </c>
      <c r="BT843" s="6"/>
    </row>
    <row r="844" spans="1:72" x14ac:dyDescent="0.25">
      <c r="A844" s="18" t="s">
        <v>6</v>
      </c>
      <c r="B844" s="18">
        <v>2024</v>
      </c>
      <c r="C844" s="18" t="s">
        <v>138</v>
      </c>
      <c r="D844" s="18" t="s">
        <v>659</v>
      </c>
      <c r="E844" s="3">
        <v>10</v>
      </c>
      <c r="F844" s="191">
        <v>10</v>
      </c>
      <c r="G844" s="18" t="s">
        <v>135</v>
      </c>
      <c r="H844" s="244">
        <f t="shared" si="328"/>
        <v>10</v>
      </c>
      <c r="I844" s="244" t="s">
        <v>761</v>
      </c>
      <c r="J844" s="244"/>
      <c r="K844" s="18">
        <v>76.400000000000006</v>
      </c>
      <c r="L844" s="18">
        <v>78.5</v>
      </c>
      <c r="M844" s="4">
        <f t="shared" si="313"/>
        <v>2.0999999999999943</v>
      </c>
      <c r="N844" s="113">
        <f t="shared" si="312"/>
        <v>0.55714285714285861</v>
      </c>
      <c r="O844" s="5">
        <f t="shared" si="325"/>
        <v>0.44285714285714139</v>
      </c>
      <c r="P844" s="4">
        <v>1.17</v>
      </c>
      <c r="Q844" s="18"/>
      <c r="R844" s="18"/>
      <c r="S844" s="18"/>
      <c r="T844" s="18">
        <v>1.17</v>
      </c>
      <c r="U844" s="18">
        <f>0.21+0.66</f>
        <v>0.87</v>
      </c>
      <c r="V844" s="18">
        <f t="shared" si="329"/>
        <v>41.428571428571544</v>
      </c>
      <c r="W844" s="18"/>
      <c r="X844" s="18"/>
      <c r="Y844" s="18">
        <f>5+10</f>
        <v>15</v>
      </c>
      <c r="Z844" s="31">
        <f t="shared" ref="Z844:Z907" si="341">+IF(M844=0,"",(M844*1000)/Y844)</f>
        <v>139.99999999999963</v>
      </c>
      <c r="AA844" s="6"/>
      <c r="AB844" s="6"/>
      <c r="AC844" s="184"/>
      <c r="AD844" s="6"/>
      <c r="AE844" s="184"/>
      <c r="AF844" s="184"/>
      <c r="AG844" s="196" t="s">
        <v>24</v>
      </c>
      <c r="AH844" s="196" t="s">
        <v>24</v>
      </c>
      <c r="AI844" s="18" t="str">
        <f>+VLOOKUP(AH844,Leyenda!$O$4:$U$10,6,FALSE)</f>
        <v>0,50-0,80</v>
      </c>
      <c r="AJ844" s="18" t="str">
        <f>+VLOOKUP(AG844,Leyenda!$O$4:$U$10,7,FALSE)</f>
        <v>Fairly easy to blast</v>
      </c>
      <c r="AK844" s="18">
        <f>+VLOOKUP(AJ844,Leyenda!$U$4:$V$10,2,FALSE)</f>
        <v>4</v>
      </c>
      <c r="AL844" s="5"/>
      <c r="AM844" s="196" t="s">
        <v>24</v>
      </c>
      <c r="AN844" s="18" t="s">
        <v>64</v>
      </c>
      <c r="AO844" s="18" t="s">
        <v>77</v>
      </c>
      <c r="AP844" s="18" t="s">
        <v>92</v>
      </c>
      <c r="AQ844" s="18" t="s">
        <v>105</v>
      </c>
      <c r="AR844" s="18" t="s">
        <v>118</v>
      </c>
      <c r="AS844" s="18" t="s">
        <v>267</v>
      </c>
      <c r="AT844" s="18"/>
      <c r="AU844" s="6"/>
      <c r="AV844" s="36">
        <f>+VLOOKUP(AN844,Leyenda!$B$30:$E$34,3,FALSE)</f>
        <v>2</v>
      </c>
      <c r="AW844" s="36">
        <f>+VLOOKUP('2. Logging Brejo Seco'!AO844,Meteorizacion,3,FALSE)</f>
        <v>3</v>
      </c>
      <c r="AX844" s="36">
        <f>+VLOOKUP('2. Logging Brejo Seco'!AP844,Apertura,3,FALSE)</f>
        <v>3</v>
      </c>
      <c r="AY844" s="36">
        <f>+VLOOKUP('2. Logging Brejo Seco'!AQ844,Leyenda!$B$55:$D$59,3,FALSE)</f>
        <v>4</v>
      </c>
      <c r="AZ844" s="36">
        <f>+VLOOKUP('2. Logging Brejo Seco'!AR844,Relleno,3,FALSE)</f>
        <v>2</v>
      </c>
      <c r="BA844" s="36">
        <f t="shared" si="331"/>
        <v>14</v>
      </c>
      <c r="BB844" s="50">
        <f t="shared" si="332"/>
        <v>9</v>
      </c>
      <c r="BC844" s="49">
        <f>VLOOKUP(AH844,Leyenda!$B$4:$D$10,3,FALSE)</f>
        <v>7</v>
      </c>
      <c r="BD844" s="50">
        <f t="shared" si="333"/>
        <v>8</v>
      </c>
      <c r="BE844" s="50">
        <f t="shared" si="334"/>
        <v>14</v>
      </c>
      <c r="BF844" s="50">
        <f>VLOOKUP(AS844,Leyenda!$B$70:$D$75,3,FALSE)</f>
        <v>15</v>
      </c>
      <c r="BG844" s="110">
        <f t="shared" si="335"/>
        <v>41.714285714285772</v>
      </c>
      <c r="BH844" s="110">
        <f>VLOOKUP(AG844,Leyenda!$B$4:$E$10,4,FALSE)</f>
        <v>7</v>
      </c>
      <c r="BI844" s="67">
        <f t="shared" si="336"/>
        <v>10</v>
      </c>
      <c r="BJ844" s="110">
        <f t="shared" si="337"/>
        <v>9</v>
      </c>
      <c r="BK844" s="110">
        <f>+VLOOKUP('2. Logging Brejo Seco'!AP844,Leyenda!$B$47:$E$51,4,FALSE)</f>
        <v>3</v>
      </c>
      <c r="BL844" s="110">
        <f>+VLOOKUP('2. Logging Brejo Seco'!AQ844,Leyenda!$B$55:$E$59,4,FALSE)</f>
        <v>4</v>
      </c>
      <c r="BM844" s="110">
        <f>+VLOOKUP('2. Logging Brejo Seco'!AR844,Leyenda!$B$63:$E$67,3,FALSE)</f>
        <v>2</v>
      </c>
      <c r="BN844" s="110">
        <f>+VLOOKUP('2. Logging Brejo Seco'!AO844,Leyenda!$B$39:$E$43,4,FALSE)</f>
        <v>3</v>
      </c>
      <c r="BO844" s="110">
        <f>+VLOOKUP('2. Logging Brejo Seco'!AN844,Leyenda!$B$30:$E$34,4,FALSE)</f>
        <v>3</v>
      </c>
      <c r="BP844" s="110">
        <f>VLOOKUP(AS844,Leyenda!$B$71:$E$75,4,FALSE)</f>
        <v>10</v>
      </c>
      <c r="BQ844" s="110">
        <f t="shared" si="338"/>
        <v>51</v>
      </c>
      <c r="BR844" s="36">
        <f t="shared" si="339"/>
        <v>53</v>
      </c>
      <c r="BS844" s="240">
        <f t="shared" si="330"/>
        <v>0.44285714285714139</v>
      </c>
      <c r="BT844" s="6"/>
    </row>
    <row r="845" spans="1:72" x14ac:dyDescent="0.25">
      <c r="A845" s="18" t="s">
        <v>6</v>
      </c>
      <c r="B845" s="18">
        <v>2024</v>
      </c>
      <c r="C845" s="18" t="s">
        <v>138</v>
      </c>
      <c r="D845" s="18" t="s">
        <v>659</v>
      </c>
      <c r="E845" s="3">
        <v>10</v>
      </c>
      <c r="F845" s="191">
        <v>10</v>
      </c>
      <c r="G845" s="18" t="s">
        <v>135</v>
      </c>
      <c r="H845" s="244">
        <f t="shared" si="328"/>
        <v>10</v>
      </c>
      <c r="I845" s="244" t="s">
        <v>761</v>
      </c>
      <c r="J845" s="244"/>
      <c r="K845" s="18">
        <v>78.5</v>
      </c>
      <c r="L845" s="18">
        <v>80.400000000000006</v>
      </c>
      <c r="M845" s="4">
        <f t="shared" si="313"/>
        <v>1.9000000000000057</v>
      </c>
      <c r="N845" s="113">
        <f t="shared" si="312"/>
        <v>0.94736842105262875</v>
      </c>
      <c r="O845" s="5">
        <f t="shared" si="325"/>
        <v>5.2631578947371249E-2</v>
      </c>
      <c r="P845" s="4">
        <f>1.5+0.3</f>
        <v>1.8</v>
      </c>
      <c r="Q845" s="18"/>
      <c r="R845" s="18"/>
      <c r="S845" s="18"/>
      <c r="T845" s="18">
        <v>1.8</v>
      </c>
      <c r="U845" s="18">
        <v>1.1000000000000001</v>
      </c>
      <c r="V845" s="18">
        <f t="shared" si="329"/>
        <v>57.894736842105097</v>
      </c>
      <c r="W845" s="18"/>
      <c r="X845" s="18"/>
      <c r="Y845" s="18">
        <v>12</v>
      </c>
      <c r="Z845" s="31">
        <f t="shared" si="341"/>
        <v>158.3333333333338</v>
      </c>
      <c r="AA845" s="6"/>
      <c r="AB845" s="6"/>
      <c r="AC845" s="184"/>
      <c r="AD845" s="6"/>
      <c r="AE845" s="184"/>
      <c r="AF845" s="184"/>
      <c r="AG845" s="196" t="s">
        <v>24</v>
      </c>
      <c r="AH845" s="196" t="s">
        <v>24</v>
      </c>
      <c r="AI845" s="18" t="str">
        <f>+VLOOKUP(AH845,Leyenda!$O$4:$U$10,6,FALSE)</f>
        <v>0,50-0,80</v>
      </c>
      <c r="AJ845" s="18" t="str">
        <f>+VLOOKUP(AG845,Leyenda!$O$4:$U$10,7,FALSE)</f>
        <v>Fairly easy to blast</v>
      </c>
      <c r="AK845" s="18">
        <f>+VLOOKUP(AJ845,Leyenda!$U$4:$V$10,2,FALSE)</f>
        <v>4</v>
      </c>
      <c r="AL845" s="5"/>
      <c r="AM845" s="196" t="s">
        <v>24</v>
      </c>
      <c r="AN845" s="18" t="s">
        <v>64</v>
      </c>
      <c r="AO845" s="18" t="s">
        <v>77</v>
      </c>
      <c r="AP845" s="18" t="s">
        <v>92</v>
      </c>
      <c r="AQ845" s="18" t="s">
        <v>105</v>
      </c>
      <c r="AR845" s="18" t="s">
        <v>118</v>
      </c>
      <c r="AS845" s="18" t="s">
        <v>267</v>
      </c>
      <c r="AT845" s="18"/>
      <c r="AU845" s="6"/>
      <c r="AV845" s="36">
        <f>+VLOOKUP(AN845,Leyenda!$B$30:$E$34,3,FALSE)</f>
        <v>2</v>
      </c>
      <c r="AW845" s="36">
        <f>+VLOOKUP('2. Logging Brejo Seco'!AO845,Meteorizacion,3,FALSE)</f>
        <v>3</v>
      </c>
      <c r="AX845" s="36">
        <f>+VLOOKUP('2. Logging Brejo Seco'!AP845,Apertura,3,FALSE)</f>
        <v>3</v>
      </c>
      <c r="AY845" s="36">
        <f>+VLOOKUP('2. Logging Brejo Seco'!AQ845,Leyenda!$B$55:$D$59,3,FALSE)</f>
        <v>4</v>
      </c>
      <c r="AZ845" s="36">
        <f>+VLOOKUP('2. Logging Brejo Seco'!AR845,Relleno,3,FALSE)</f>
        <v>2</v>
      </c>
      <c r="BA845" s="36">
        <f t="shared" si="331"/>
        <v>14</v>
      </c>
      <c r="BB845" s="50">
        <f t="shared" si="332"/>
        <v>12</v>
      </c>
      <c r="BC845" s="49">
        <f>VLOOKUP(AH845,Leyenda!$B$4:$D$10,3,FALSE)</f>
        <v>7</v>
      </c>
      <c r="BD845" s="50">
        <f t="shared" si="333"/>
        <v>8</v>
      </c>
      <c r="BE845" s="50">
        <f t="shared" si="334"/>
        <v>14</v>
      </c>
      <c r="BF845" s="50">
        <f>VLOOKUP(AS845,Leyenda!$B$70:$D$75,3,FALSE)</f>
        <v>15</v>
      </c>
      <c r="BG845" s="110">
        <f t="shared" si="335"/>
        <v>49.947368421052545</v>
      </c>
      <c r="BH845" s="110">
        <f>VLOOKUP(AG845,Leyenda!$B$4:$E$10,4,FALSE)</f>
        <v>7</v>
      </c>
      <c r="BI845" s="67">
        <f t="shared" si="336"/>
        <v>11</v>
      </c>
      <c r="BJ845" s="110">
        <f t="shared" si="337"/>
        <v>12</v>
      </c>
      <c r="BK845" s="110">
        <f>+VLOOKUP('2. Logging Brejo Seco'!AP845,Leyenda!$B$47:$E$51,4,FALSE)</f>
        <v>3</v>
      </c>
      <c r="BL845" s="110">
        <f>+VLOOKUP('2. Logging Brejo Seco'!AQ845,Leyenda!$B$55:$E$59,4,FALSE)</f>
        <v>4</v>
      </c>
      <c r="BM845" s="110">
        <f>+VLOOKUP('2. Logging Brejo Seco'!AR845,Leyenda!$B$63:$E$67,3,FALSE)</f>
        <v>2</v>
      </c>
      <c r="BN845" s="110">
        <f>+VLOOKUP('2. Logging Brejo Seco'!AO845,Leyenda!$B$39:$E$43,4,FALSE)</f>
        <v>3</v>
      </c>
      <c r="BO845" s="110">
        <f>+VLOOKUP('2. Logging Brejo Seco'!AN845,Leyenda!$B$30:$E$34,4,FALSE)</f>
        <v>3</v>
      </c>
      <c r="BP845" s="110">
        <f>VLOOKUP(AS845,Leyenda!$B$71:$E$75,4,FALSE)</f>
        <v>10</v>
      </c>
      <c r="BQ845" s="110">
        <f t="shared" si="338"/>
        <v>55</v>
      </c>
      <c r="BR845" s="36">
        <f t="shared" si="339"/>
        <v>56</v>
      </c>
      <c r="BS845" s="240">
        <f t="shared" si="330"/>
        <v>5.2631578947371249E-2</v>
      </c>
      <c r="BT845" s="6"/>
    </row>
    <row r="846" spans="1:72" x14ac:dyDescent="0.25">
      <c r="A846" s="18" t="s">
        <v>6</v>
      </c>
      <c r="B846" s="18">
        <v>2024</v>
      </c>
      <c r="C846" s="18" t="s">
        <v>138</v>
      </c>
      <c r="D846" s="18" t="s">
        <v>660</v>
      </c>
      <c r="E846" s="3">
        <v>60</v>
      </c>
      <c r="F846" s="191">
        <v>60</v>
      </c>
      <c r="G846" s="3" t="s">
        <v>136</v>
      </c>
      <c r="H846" s="244">
        <f>+F846</f>
        <v>60</v>
      </c>
      <c r="I846" s="244" t="s">
        <v>762</v>
      </c>
      <c r="J846" s="244"/>
      <c r="K846" s="18">
        <v>0</v>
      </c>
      <c r="L846" s="18">
        <v>0.8</v>
      </c>
      <c r="M846" s="4">
        <f>+L846-K846</f>
        <v>0.8</v>
      </c>
      <c r="N846" s="113">
        <f t="shared" si="312"/>
        <v>0.96250000000000002</v>
      </c>
      <c r="O846" s="5">
        <f t="shared" si="325"/>
        <v>3.7499999999999978E-2</v>
      </c>
      <c r="P846" s="4">
        <v>0.77</v>
      </c>
      <c r="Q846" s="18"/>
      <c r="R846" s="18"/>
      <c r="S846" s="18"/>
      <c r="T846" s="18">
        <v>0.77</v>
      </c>
      <c r="U846" s="18">
        <v>0</v>
      </c>
      <c r="V846" s="18">
        <f t="shared" si="329"/>
        <v>0</v>
      </c>
      <c r="W846" s="18"/>
      <c r="X846" s="18"/>
      <c r="Y846" s="18">
        <v>20</v>
      </c>
      <c r="Z846" s="31">
        <f t="shared" si="341"/>
        <v>40</v>
      </c>
      <c r="AA846" s="6"/>
      <c r="AB846" s="6"/>
      <c r="AC846" s="184"/>
      <c r="AD846" s="6"/>
      <c r="AE846" s="184"/>
      <c r="AF846" s="184"/>
      <c r="AG846" s="196" t="s">
        <v>34</v>
      </c>
      <c r="AH846" s="196" t="s">
        <v>34</v>
      </c>
      <c r="AI846" s="18">
        <f>+VLOOKUP(AH846,Leyenda!$O$4:$U$10,6,FALSE)</f>
        <v>0</v>
      </c>
      <c r="AJ846" s="18" t="str">
        <f>+VLOOKUP(AG846,Leyenda!$O$4:$U$10,7,FALSE)</f>
        <v>No Blasting need</v>
      </c>
      <c r="AK846" s="18">
        <f>+VLOOKUP(AJ846,Leyenda!$U$4:$V$10,2,FALSE)</f>
        <v>2</v>
      </c>
      <c r="AL846" s="5"/>
      <c r="AM846" s="18" t="s">
        <v>34</v>
      </c>
      <c r="AN846" s="18" t="s">
        <v>69</v>
      </c>
      <c r="AO846" s="18" t="s">
        <v>81</v>
      </c>
      <c r="AP846" s="18" t="s">
        <v>100</v>
      </c>
      <c r="AQ846" s="18" t="s">
        <v>111</v>
      </c>
      <c r="AR846" s="18" t="s">
        <v>120</v>
      </c>
      <c r="AS846" s="18" t="s">
        <v>267</v>
      </c>
      <c r="AT846" s="18"/>
      <c r="AU846" s="6"/>
      <c r="AV846" s="36">
        <f>+VLOOKUP(AN846,Leyenda!$B$30:$E$34,3,FALSE)</f>
        <v>0</v>
      </c>
      <c r="AW846" s="36">
        <f>+VLOOKUP('2. Logging Brejo Seco'!AO846,Meteorizacion,3,FALSE)</f>
        <v>0</v>
      </c>
      <c r="AX846" s="36">
        <f>+VLOOKUP('2. Logging Brejo Seco'!AP846,Apertura,3,FALSE)</f>
        <v>0</v>
      </c>
      <c r="AY846" s="36">
        <f>+VLOOKUP('2. Logging Brejo Seco'!AQ846,Leyenda!$B$55:$D$59,3,FALSE)</f>
        <v>0</v>
      </c>
      <c r="AZ846" s="36">
        <f>+VLOOKUP('2. Logging Brejo Seco'!AR846,Relleno,3,FALSE)</f>
        <v>2</v>
      </c>
      <c r="BA846" s="36">
        <f t="shared" si="316"/>
        <v>2</v>
      </c>
      <c r="BB846" s="50">
        <f t="shared" si="317"/>
        <v>0</v>
      </c>
      <c r="BC846" s="49">
        <f>VLOOKUP(AH846,Leyenda!$B$4:$D$10,3,FALSE)</f>
        <v>0</v>
      </c>
      <c r="BD846" s="50">
        <f t="shared" si="318"/>
        <v>5</v>
      </c>
      <c r="BE846" s="50">
        <f t="shared" si="319"/>
        <v>2</v>
      </c>
      <c r="BF846" s="50">
        <f>VLOOKUP(AS846,Leyenda!$B$70:$D$75,3,FALSE)</f>
        <v>15</v>
      </c>
      <c r="BG846" s="110">
        <f t="shared" si="320"/>
        <v>3</v>
      </c>
      <c r="BH846" s="110">
        <f>VLOOKUP(AG846,Leyenda!$B$4:$E$10,4,FALSE)</f>
        <v>0</v>
      </c>
      <c r="BI846" s="67">
        <f t="shared" si="321"/>
        <v>5</v>
      </c>
      <c r="BJ846" s="110">
        <f t="shared" si="322"/>
        <v>0</v>
      </c>
      <c r="BK846" s="110">
        <f>+VLOOKUP('2. Logging Brejo Seco'!AP846,Leyenda!$B$47:$E$51,4,FALSE)</f>
        <v>0</v>
      </c>
      <c r="BL846" s="110">
        <f>+VLOOKUP('2. Logging Brejo Seco'!AQ846,Leyenda!$B$55:$E$59,4,FALSE)</f>
        <v>0</v>
      </c>
      <c r="BM846" s="110">
        <f>+VLOOKUP('2. Logging Brejo Seco'!AR846,Leyenda!$B$63:$E$67,3,FALSE)</f>
        <v>2</v>
      </c>
      <c r="BN846" s="110">
        <f>+VLOOKUP('2. Logging Brejo Seco'!AO846,Leyenda!$B$39:$E$43,4,FALSE)</f>
        <v>0</v>
      </c>
      <c r="BO846" s="110">
        <f>+VLOOKUP('2. Logging Brejo Seco'!AN846,Leyenda!$B$30:$E$34,4,FALSE)</f>
        <v>0</v>
      </c>
      <c r="BP846" s="110">
        <f>VLOOKUP(AS846,Leyenda!$B$71:$E$75,4,FALSE)</f>
        <v>10</v>
      </c>
      <c r="BQ846" s="110">
        <f t="shared" si="323"/>
        <v>17</v>
      </c>
      <c r="BR846" s="36">
        <f t="shared" si="324"/>
        <v>22</v>
      </c>
      <c r="BS846" s="240">
        <f t="shared" si="330"/>
        <v>3.7499999999999978E-2</v>
      </c>
      <c r="BT846" s="6"/>
    </row>
    <row r="847" spans="1:72" x14ac:dyDescent="0.25">
      <c r="A847" s="18" t="s">
        <v>6</v>
      </c>
      <c r="B847" s="18">
        <v>2024</v>
      </c>
      <c r="C847" s="18" t="s">
        <v>138</v>
      </c>
      <c r="D847" s="18" t="s">
        <v>660</v>
      </c>
      <c r="E847" s="3">
        <v>60</v>
      </c>
      <c r="F847" s="191">
        <v>60</v>
      </c>
      <c r="G847" s="3" t="s">
        <v>136</v>
      </c>
      <c r="H847" s="244">
        <f t="shared" ref="H847:H852" si="342">+F847</f>
        <v>60</v>
      </c>
      <c r="I847" s="244" t="s">
        <v>762</v>
      </c>
      <c r="J847" s="244"/>
      <c r="K847" s="18">
        <f>+L846</f>
        <v>0.8</v>
      </c>
      <c r="L847" s="18">
        <v>1.9</v>
      </c>
      <c r="M847" s="4">
        <f t="shared" ref="M847:M910" si="343">+L847-K847</f>
        <v>1.0999999999999999</v>
      </c>
      <c r="N847" s="113">
        <f t="shared" si="312"/>
        <v>0.56363636363636371</v>
      </c>
      <c r="O847" s="5">
        <f t="shared" si="325"/>
        <v>0.43636363636363629</v>
      </c>
      <c r="P847" s="4">
        <v>0.62</v>
      </c>
      <c r="Q847" s="18"/>
      <c r="R847" s="18"/>
      <c r="S847" s="18"/>
      <c r="T847" s="18">
        <v>0.62</v>
      </c>
      <c r="U847" s="18">
        <v>0</v>
      </c>
      <c r="V847" s="18">
        <f t="shared" si="329"/>
        <v>0</v>
      </c>
      <c r="W847" s="18"/>
      <c r="X847" s="18"/>
      <c r="Y847" s="18">
        <v>20</v>
      </c>
      <c r="Z847" s="31">
        <f t="shared" si="341"/>
        <v>54.999999999999986</v>
      </c>
      <c r="AA847" s="6"/>
      <c r="AB847" s="6"/>
      <c r="AC847" s="184"/>
      <c r="AD847" s="6"/>
      <c r="AE847" s="184"/>
      <c r="AF847" s="184"/>
      <c r="AG847" s="196" t="s">
        <v>34</v>
      </c>
      <c r="AH847" s="196" t="s">
        <v>34</v>
      </c>
      <c r="AI847" s="18">
        <f>+VLOOKUP(AH847,Leyenda!$O$4:$U$10,6,FALSE)</f>
        <v>0</v>
      </c>
      <c r="AJ847" s="18" t="str">
        <f>+VLOOKUP(AG847,Leyenda!$O$4:$U$10,7,FALSE)</f>
        <v>No Blasting need</v>
      </c>
      <c r="AK847" s="18">
        <f>+VLOOKUP(AJ847,Leyenda!$U$4:$V$10,2,FALSE)</f>
        <v>2</v>
      </c>
      <c r="AL847" s="5"/>
      <c r="AM847" s="18" t="s">
        <v>34</v>
      </c>
      <c r="AN847" s="18" t="s">
        <v>69</v>
      </c>
      <c r="AO847" s="18" t="s">
        <v>81</v>
      </c>
      <c r="AP847" s="18" t="s">
        <v>100</v>
      </c>
      <c r="AQ847" s="18" t="s">
        <v>111</v>
      </c>
      <c r="AR847" s="18" t="s">
        <v>120</v>
      </c>
      <c r="AS847" s="18" t="s">
        <v>267</v>
      </c>
      <c r="AT847" s="18"/>
      <c r="AU847" s="6"/>
      <c r="AV847" s="36">
        <f>+VLOOKUP(AN847,Leyenda!$B$30:$E$34,3,FALSE)</f>
        <v>0</v>
      </c>
      <c r="AW847" s="36">
        <f>+VLOOKUP('2. Logging Brejo Seco'!AO847,Meteorizacion,3,FALSE)</f>
        <v>0</v>
      </c>
      <c r="AX847" s="36">
        <f>+VLOOKUP('2. Logging Brejo Seco'!AP847,Apertura,3,FALSE)</f>
        <v>0</v>
      </c>
      <c r="AY847" s="36">
        <f>+VLOOKUP('2. Logging Brejo Seco'!AQ847,Leyenda!$B$55:$D$59,3,FALSE)</f>
        <v>0</v>
      </c>
      <c r="AZ847" s="36">
        <f>+VLOOKUP('2. Logging Brejo Seco'!AR847,Relleno,3,FALSE)</f>
        <v>2</v>
      </c>
      <c r="BA847" s="36">
        <f t="shared" si="316"/>
        <v>2</v>
      </c>
      <c r="BB847" s="50">
        <f t="shared" si="317"/>
        <v>0</v>
      </c>
      <c r="BC847" s="49">
        <f>VLOOKUP(AH847,Leyenda!$B$4:$D$10,3,FALSE)</f>
        <v>0</v>
      </c>
      <c r="BD847" s="50">
        <f t="shared" si="318"/>
        <v>6</v>
      </c>
      <c r="BE847" s="50">
        <f t="shared" si="319"/>
        <v>2</v>
      </c>
      <c r="BF847" s="50">
        <f>VLOOKUP(AS847,Leyenda!$B$70:$D$75,3,FALSE)</f>
        <v>15</v>
      </c>
      <c r="BG847" s="110">
        <f t="shared" si="320"/>
        <v>3</v>
      </c>
      <c r="BH847" s="110">
        <f>VLOOKUP(AG847,Leyenda!$B$4:$E$10,4,FALSE)</f>
        <v>0</v>
      </c>
      <c r="BI847" s="67">
        <f t="shared" si="321"/>
        <v>5</v>
      </c>
      <c r="BJ847" s="110">
        <f t="shared" si="322"/>
        <v>0</v>
      </c>
      <c r="BK847" s="110">
        <f>+VLOOKUP('2. Logging Brejo Seco'!AP847,Leyenda!$B$47:$E$51,4,FALSE)</f>
        <v>0</v>
      </c>
      <c r="BL847" s="110">
        <f>+VLOOKUP('2. Logging Brejo Seco'!AQ847,Leyenda!$B$55:$E$59,4,FALSE)</f>
        <v>0</v>
      </c>
      <c r="BM847" s="110">
        <f>+VLOOKUP('2. Logging Brejo Seco'!AR847,Leyenda!$B$63:$E$67,3,FALSE)</f>
        <v>2</v>
      </c>
      <c r="BN847" s="110">
        <f>+VLOOKUP('2. Logging Brejo Seco'!AO847,Leyenda!$B$39:$E$43,4,FALSE)</f>
        <v>0</v>
      </c>
      <c r="BO847" s="110">
        <f>+VLOOKUP('2. Logging Brejo Seco'!AN847,Leyenda!$B$30:$E$34,4,FALSE)</f>
        <v>0</v>
      </c>
      <c r="BP847" s="110">
        <f>VLOOKUP(AS847,Leyenda!$B$71:$E$75,4,FALSE)</f>
        <v>10</v>
      </c>
      <c r="BQ847" s="110">
        <f t="shared" si="323"/>
        <v>17</v>
      </c>
      <c r="BR847" s="36">
        <f t="shared" si="324"/>
        <v>23</v>
      </c>
      <c r="BS847" s="240">
        <f t="shared" si="330"/>
        <v>0.43636363636363629</v>
      </c>
      <c r="BT847" s="6"/>
    </row>
    <row r="848" spans="1:72" x14ac:dyDescent="0.25">
      <c r="A848" s="18" t="s">
        <v>6</v>
      </c>
      <c r="B848" s="18">
        <v>2024</v>
      </c>
      <c r="C848" s="18" t="s">
        <v>138</v>
      </c>
      <c r="D848" s="18" t="s">
        <v>660</v>
      </c>
      <c r="E848" s="3">
        <v>60</v>
      </c>
      <c r="F848" s="191">
        <v>60</v>
      </c>
      <c r="G848" s="3" t="s">
        <v>136</v>
      </c>
      <c r="H848" s="244">
        <f t="shared" si="342"/>
        <v>60</v>
      </c>
      <c r="I848" s="244" t="s">
        <v>762</v>
      </c>
      <c r="J848" s="244"/>
      <c r="K848" s="18">
        <f t="shared" ref="K848:K884" si="344">+L847</f>
        <v>1.9</v>
      </c>
      <c r="L848" s="18">
        <v>2.6</v>
      </c>
      <c r="M848" s="4">
        <f t="shared" si="343"/>
        <v>0.70000000000000018</v>
      </c>
      <c r="N848" s="113">
        <f t="shared" si="312"/>
        <v>0.77142857142857124</v>
      </c>
      <c r="O848" s="5">
        <f t="shared" si="325"/>
        <v>0.22857142857142876</v>
      </c>
      <c r="P848" s="4">
        <v>0.54</v>
      </c>
      <c r="Q848" s="18"/>
      <c r="R848" s="18"/>
      <c r="S848" s="18"/>
      <c r="T848" s="18">
        <v>0.54</v>
      </c>
      <c r="U848" s="18">
        <v>0</v>
      </c>
      <c r="V848" s="18">
        <f t="shared" si="329"/>
        <v>0</v>
      </c>
      <c r="W848" s="18"/>
      <c r="X848" s="18"/>
      <c r="Y848" s="18">
        <v>20</v>
      </c>
      <c r="Z848" s="31">
        <f t="shared" si="341"/>
        <v>35.000000000000014</v>
      </c>
      <c r="AA848" s="6"/>
      <c r="AB848" s="6"/>
      <c r="AC848" s="184"/>
      <c r="AD848" s="6"/>
      <c r="AE848" s="184"/>
      <c r="AF848" s="184"/>
      <c r="AG848" s="196" t="s">
        <v>34</v>
      </c>
      <c r="AH848" s="196" t="s">
        <v>34</v>
      </c>
      <c r="AI848" s="18">
        <f>+VLOOKUP(AH848,Leyenda!$O$4:$U$10,6,FALSE)</f>
        <v>0</v>
      </c>
      <c r="AJ848" s="18" t="str">
        <f>+VLOOKUP(AG848,Leyenda!$O$4:$U$10,7,FALSE)</f>
        <v>No Blasting need</v>
      </c>
      <c r="AK848" s="18">
        <f>+VLOOKUP(AJ848,Leyenda!$U$4:$V$10,2,FALSE)</f>
        <v>2</v>
      </c>
      <c r="AL848" s="5"/>
      <c r="AM848" s="18" t="s">
        <v>34</v>
      </c>
      <c r="AN848" s="18" t="s">
        <v>69</v>
      </c>
      <c r="AO848" s="18" t="s">
        <v>81</v>
      </c>
      <c r="AP848" s="18" t="s">
        <v>100</v>
      </c>
      <c r="AQ848" s="18" t="s">
        <v>111</v>
      </c>
      <c r="AR848" s="18" t="s">
        <v>120</v>
      </c>
      <c r="AS848" s="18" t="s">
        <v>267</v>
      </c>
      <c r="AT848" s="18"/>
      <c r="AU848" s="6"/>
      <c r="AV848" s="36">
        <f>+VLOOKUP(AN848,Leyenda!$B$30:$E$34,3,FALSE)</f>
        <v>0</v>
      </c>
      <c r="AW848" s="36">
        <f>+VLOOKUP('2. Logging Brejo Seco'!AO848,Meteorizacion,3,FALSE)</f>
        <v>0</v>
      </c>
      <c r="AX848" s="36">
        <f>+VLOOKUP('2. Logging Brejo Seco'!AP848,Apertura,3,FALSE)</f>
        <v>0</v>
      </c>
      <c r="AY848" s="36">
        <f>+VLOOKUP('2. Logging Brejo Seco'!AQ848,Leyenda!$B$55:$D$59,3,FALSE)</f>
        <v>0</v>
      </c>
      <c r="AZ848" s="36">
        <f>+VLOOKUP('2. Logging Brejo Seco'!AR848,Relleno,3,FALSE)</f>
        <v>2</v>
      </c>
      <c r="BA848" s="36">
        <f t="shared" si="316"/>
        <v>2</v>
      </c>
      <c r="BB848" s="50">
        <f t="shared" si="317"/>
        <v>0</v>
      </c>
      <c r="BC848" s="49">
        <f>VLOOKUP(AH848,Leyenda!$B$4:$D$10,3,FALSE)</f>
        <v>0</v>
      </c>
      <c r="BD848" s="50">
        <f t="shared" si="318"/>
        <v>5</v>
      </c>
      <c r="BE848" s="50">
        <f t="shared" si="319"/>
        <v>2</v>
      </c>
      <c r="BF848" s="50">
        <f>VLOOKUP(AS848,Leyenda!$B$70:$D$75,3,FALSE)</f>
        <v>15</v>
      </c>
      <c r="BG848" s="110">
        <f t="shared" si="320"/>
        <v>3</v>
      </c>
      <c r="BH848" s="110">
        <f>VLOOKUP(AG848,Leyenda!$B$4:$E$10,4,FALSE)</f>
        <v>0</v>
      </c>
      <c r="BI848" s="67">
        <f t="shared" si="321"/>
        <v>5</v>
      </c>
      <c r="BJ848" s="110">
        <f t="shared" si="322"/>
        <v>0</v>
      </c>
      <c r="BK848" s="110">
        <f>+VLOOKUP('2. Logging Brejo Seco'!AP848,Leyenda!$B$47:$E$51,4,FALSE)</f>
        <v>0</v>
      </c>
      <c r="BL848" s="110">
        <f>+VLOOKUP('2. Logging Brejo Seco'!AQ848,Leyenda!$B$55:$E$59,4,FALSE)</f>
        <v>0</v>
      </c>
      <c r="BM848" s="110">
        <f>+VLOOKUP('2. Logging Brejo Seco'!AR848,Leyenda!$B$63:$E$67,3,FALSE)</f>
        <v>2</v>
      </c>
      <c r="BN848" s="110">
        <f>+VLOOKUP('2. Logging Brejo Seco'!AO848,Leyenda!$B$39:$E$43,4,FALSE)</f>
        <v>0</v>
      </c>
      <c r="BO848" s="110">
        <f>+VLOOKUP('2. Logging Brejo Seco'!AN848,Leyenda!$B$30:$E$34,4,FALSE)</f>
        <v>0</v>
      </c>
      <c r="BP848" s="110">
        <f>VLOOKUP(AS848,Leyenda!$B$71:$E$75,4,FALSE)</f>
        <v>10</v>
      </c>
      <c r="BQ848" s="110">
        <f t="shared" si="323"/>
        <v>17</v>
      </c>
      <c r="BR848" s="36">
        <f t="shared" si="324"/>
        <v>22</v>
      </c>
      <c r="BS848" s="240">
        <f t="shared" si="330"/>
        <v>0.22857142857142876</v>
      </c>
      <c r="BT848" s="6"/>
    </row>
    <row r="849" spans="1:72" x14ac:dyDescent="0.25">
      <c r="A849" s="18" t="s">
        <v>6</v>
      </c>
      <c r="B849" s="18">
        <v>2024</v>
      </c>
      <c r="C849" s="18" t="s">
        <v>138</v>
      </c>
      <c r="D849" s="18" t="s">
        <v>660</v>
      </c>
      <c r="E849" s="3">
        <v>40</v>
      </c>
      <c r="F849" s="191">
        <v>60</v>
      </c>
      <c r="G849" s="36" t="s">
        <v>153</v>
      </c>
      <c r="H849" s="244">
        <f t="shared" si="342"/>
        <v>60</v>
      </c>
      <c r="I849" s="244" t="s">
        <v>762</v>
      </c>
      <c r="J849" s="244"/>
      <c r="K849" s="18">
        <f t="shared" si="344"/>
        <v>2.6</v>
      </c>
      <c r="L849" s="18">
        <v>3.6</v>
      </c>
      <c r="M849" s="4">
        <f t="shared" si="343"/>
        <v>1</v>
      </c>
      <c r="N849" s="113">
        <f t="shared" si="312"/>
        <v>0.79</v>
      </c>
      <c r="O849" s="5">
        <f t="shared" si="325"/>
        <v>0.20999999999999996</v>
      </c>
      <c r="P849" s="4">
        <v>0.79</v>
      </c>
      <c r="Q849" s="18"/>
      <c r="R849" s="18"/>
      <c r="S849" s="18"/>
      <c r="T849" s="18">
        <v>0.79</v>
      </c>
      <c r="U849" s="18">
        <v>0</v>
      </c>
      <c r="V849" s="18">
        <f t="shared" si="329"/>
        <v>0</v>
      </c>
      <c r="W849" s="18"/>
      <c r="X849" s="18"/>
      <c r="Y849" s="18">
        <v>20</v>
      </c>
      <c r="Z849" s="31">
        <f t="shared" si="341"/>
        <v>50</v>
      </c>
      <c r="AA849" s="6"/>
      <c r="AB849" s="6"/>
      <c r="AC849" s="184"/>
      <c r="AD849" s="6"/>
      <c r="AE849" s="184"/>
      <c r="AF849" s="184"/>
      <c r="AG849" s="196" t="s">
        <v>34</v>
      </c>
      <c r="AH849" s="196" t="s">
        <v>34</v>
      </c>
      <c r="AI849" s="18">
        <f>+VLOOKUP(AH849,Leyenda!$O$4:$U$10,6,FALSE)</f>
        <v>0</v>
      </c>
      <c r="AJ849" s="18" t="str">
        <f>+VLOOKUP(AG849,Leyenda!$O$4:$U$10,7,FALSE)</f>
        <v>No Blasting need</v>
      </c>
      <c r="AK849" s="18">
        <f>+VLOOKUP(AJ849,Leyenda!$U$4:$V$10,2,FALSE)</f>
        <v>2</v>
      </c>
      <c r="AL849" s="5"/>
      <c r="AM849" s="18" t="s">
        <v>34</v>
      </c>
      <c r="AN849" s="18" t="s">
        <v>69</v>
      </c>
      <c r="AO849" s="18" t="s">
        <v>81</v>
      </c>
      <c r="AP849" s="18" t="s">
        <v>100</v>
      </c>
      <c r="AQ849" s="18" t="s">
        <v>111</v>
      </c>
      <c r="AR849" s="18" t="s">
        <v>120</v>
      </c>
      <c r="AS849" s="18" t="s">
        <v>267</v>
      </c>
      <c r="AT849" s="18"/>
      <c r="AU849" s="6"/>
      <c r="AV849" s="36">
        <f>+VLOOKUP(AN849,Leyenda!$B$30:$E$34,3,FALSE)</f>
        <v>0</v>
      </c>
      <c r="AW849" s="36">
        <f>+VLOOKUP('2. Logging Brejo Seco'!AO849,Meteorizacion,3,FALSE)</f>
        <v>0</v>
      </c>
      <c r="AX849" s="36">
        <f>+VLOOKUP('2. Logging Brejo Seco'!AP849,Apertura,3,FALSE)</f>
        <v>0</v>
      </c>
      <c r="AY849" s="36">
        <f>+VLOOKUP('2. Logging Brejo Seco'!AQ849,Leyenda!$B$55:$D$59,3,FALSE)</f>
        <v>0</v>
      </c>
      <c r="AZ849" s="36">
        <f>+VLOOKUP('2. Logging Brejo Seco'!AR849,Relleno,3,FALSE)</f>
        <v>2</v>
      </c>
      <c r="BA849" s="36">
        <f t="shared" si="316"/>
        <v>2</v>
      </c>
      <c r="BB849" s="50">
        <f t="shared" si="317"/>
        <v>0</v>
      </c>
      <c r="BC849" s="49">
        <f>VLOOKUP(AH849,Leyenda!$B$4:$D$10,3,FALSE)</f>
        <v>0</v>
      </c>
      <c r="BD849" s="50">
        <f t="shared" si="318"/>
        <v>6</v>
      </c>
      <c r="BE849" s="50">
        <f t="shared" si="319"/>
        <v>2</v>
      </c>
      <c r="BF849" s="50">
        <f>VLOOKUP(AS849,Leyenda!$B$70:$D$75,3,FALSE)</f>
        <v>15</v>
      </c>
      <c r="BG849" s="110">
        <f t="shared" si="320"/>
        <v>3</v>
      </c>
      <c r="BH849" s="110">
        <f>VLOOKUP(AG849,Leyenda!$B$4:$E$10,4,FALSE)</f>
        <v>0</v>
      </c>
      <c r="BI849" s="67">
        <f t="shared" si="321"/>
        <v>5</v>
      </c>
      <c r="BJ849" s="110">
        <f t="shared" si="322"/>
        <v>0</v>
      </c>
      <c r="BK849" s="110">
        <f>+VLOOKUP('2. Logging Brejo Seco'!AP849,Leyenda!$B$47:$E$51,4,FALSE)</f>
        <v>0</v>
      </c>
      <c r="BL849" s="110">
        <f>+VLOOKUP('2. Logging Brejo Seco'!AQ849,Leyenda!$B$55:$E$59,4,FALSE)</f>
        <v>0</v>
      </c>
      <c r="BM849" s="110">
        <f>+VLOOKUP('2. Logging Brejo Seco'!AR849,Leyenda!$B$63:$E$67,3,FALSE)</f>
        <v>2</v>
      </c>
      <c r="BN849" s="110">
        <f>+VLOOKUP('2. Logging Brejo Seco'!AO849,Leyenda!$B$39:$E$43,4,FALSE)</f>
        <v>0</v>
      </c>
      <c r="BO849" s="110">
        <f>+VLOOKUP('2. Logging Brejo Seco'!AN849,Leyenda!$B$30:$E$34,4,FALSE)</f>
        <v>0</v>
      </c>
      <c r="BP849" s="110">
        <f>VLOOKUP(AS849,Leyenda!$B$71:$E$75,4,FALSE)</f>
        <v>10</v>
      </c>
      <c r="BQ849" s="110">
        <f t="shared" si="323"/>
        <v>17</v>
      </c>
      <c r="BR849" s="36">
        <f t="shared" si="324"/>
        <v>23</v>
      </c>
      <c r="BS849" s="240">
        <f t="shared" si="330"/>
        <v>0.20999999999999996</v>
      </c>
      <c r="BT849" s="6"/>
    </row>
    <row r="850" spans="1:72" x14ac:dyDescent="0.25">
      <c r="A850" s="18" t="s">
        <v>6</v>
      </c>
      <c r="B850" s="18">
        <v>2024</v>
      </c>
      <c r="C850" s="18" t="s">
        <v>138</v>
      </c>
      <c r="D850" s="18" t="s">
        <v>660</v>
      </c>
      <c r="E850" s="3">
        <v>40</v>
      </c>
      <c r="F850" s="191">
        <v>40</v>
      </c>
      <c r="G850" s="36" t="s">
        <v>153</v>
      </c>
      <c r="H850" s="244">
        <f t="shared" si="342"/>
        <v>40</v>
      </c>
      <c r="I850" s="244" t="s">
        <v>757</v>
      </c>
      <c r="J850" s="244"/>
      <c r="K850" s="18">
        <f t="shared" si="344"/>
        <v>3.6</v>
      </c>
      <c r="L850" s="18">
        <v>4.5999999999999996</v>
      </c>
      <c r="M850" s="4">
        <f t="shared" si="343"/>
        <v>0.99999999999999956</v>
      </c>
      <c r="N850" s="113">
        <f t="shared" si="312"/>
        <v>0.77000000000000035</v>
      </c>
      <c r="O850" s="5">
        <f t="shared" si="325"/>
        <v>0.22999999999999965</v>
      </c>
      <c r="P850" s="4">
        <v>0.77</v>
      </c>
      <c r="Q850" s="18"/>
      <c r="R850" s="18"/>
      <c r="S850" s="18"/>
      <c r="T850" s="18">
        <v>0.77</v>
      </c>
      <c r="U850" s="18">
        <v>0</v>
      </c>
      <c r="V850" s="18">
        <f t="shared" si="329"/>
        <v>0</v>
      </c>
      <c r="W850" s="18"/>
      <c r="X850" s="18"/>
      <c r="Y850" s="18">
        <v>20</v>
      </c>
      <c r="Z850" s="31">
        <f t="shared" si="341"/>
        <v>49.999999999999979</v>
      </c>
      <c r="AA850" s="6"/>
      <c r="AB850" s="6"/>
      <c r="AC850" s="184"/>
      <c r="AD850" s="6"/>
      <c r="AE850" s="184"/>
      <c r="AF850" s="184"/>
      <c r="AG850" s="196" t="s">
        <v>27</v>
      </c>
      <c r="AH850" s="196" t="s">
        <v>27</v>
      </c>
      <c r="AI850" s="18" t="str">
        <f>+VLOOKUP(AH850,Leyenda!$O$4:$U$10,6,FALSE)</f>
        <v>0,35-0,50</v>
      </c>
      <c r="AJ850" s="18" t="str">
        <f>+VLOOKUP(AG850,Leyenda!$O$4:$U$10,7,FALSE)</f>
        <v>Easy to blast</v>
      </c>
      <c r="AK850" s="18">
        <f>+VLOOKUP(AJ850,Leyenda!$U$4:$V$10,2,FALSE)</f>
        <v>3</v>
      </c>
      <c r="AL850" s="5"/>
      <c r="AM850" s="18" t="s">
        <v>27</v>
      </c>
      <c r="AN850" s="18" t="s">
        <v>66</v>
      </c>
      <c r="AO850" s="18" t="s">
        <v>79</v>
      </c>
      <c r="AP850" s="18" t="s">
        <v>96</v>
      </c>
      <c r="AQ850" s="18" t="s">
        <v>107</v>
      </c>
      <c r="AR850" s="18" t="s">
        <v>120</v>
      </c>
      <c r="AS850" s="18" t="s">
        <v>267</v>
      </c>
      <c r="AT850" s="18"/>
      <c r="AU850" s="6"/>
      <c r="AV850" s="18">
        <f>+VLOOKUP(AN850,Leyenda!$B$30:$E$34,3,FALSE)</f>
        <v>1</v>
      </c>
      <c r="AW850" s="18">
        <f>+VLOOKUP('2. Logging Brejo Seco'!AO850,Meteorizacion,3,FALSE)</f>
        <v>1</v>
      </c>
      <c r="AX850" s="18">
        <f>+VLOOKUP('2. Logging Brejo Seco'!AP850,Apertura,3,FALSE)</f>
        <v>1</v>
      </c>
      <c r="AY850" s="18">
        <f>+VLOOKUP('2. Logging Brejo Seco'!AQ850,Leyenda!$B$55:$D$59,3,FALSE)</f>
        <v>3</v>
      </c>
      <c r="AZ850" s="18">
        <f>+VLOOKUP('2. Logging Brejo Seco'!AR850,Relleno,3,FALSE)</f>
        <v>2</v>
      </c>
      <c r="BA850" s="18">
        <f t="shared" si="316"/>
        <v>8</v>
      </c>
      <c r="BB850" s="49">
        <f t="shared" si="317"/>
        <v>0</v>
      </c>
      <c r="BC850" s="49">
        <f>VLOOKUP(AH850,Leyenda!$B$4:$D$10,3,FALSE)</f>
        <v>4</v>
      </c>
      <c r="BD850" s="49">
        <f t="shared" si="318"/>
        <v>6</v>
      </c>
      <c r="BE850" s="49">
        <f t="shared" si="319"/>
        <v>8</v>
      </c>
      <c r="BF850" s="49">
        <f>VLOOKUP(AS850,Leyenda!$B$70:$D$75,3,FALSE)</f>
        <v>15</v>
      </c>
      <c r="BG850" s="67">
        <f t="shared" si="320"/>
        <v>12</v>
      </c>
      <c r="BH850" s="67">
        <f>VLOOKUP(AG850,Leyenda!$B$4:$E$10,4,FALSE)</f>
        <v>4</v>
      </c>
      <c r="BI850" s="67">
        <f t="shared" si="321"/>
        <v>5</v>
      </c>
      <c r="BJ850" s="67">
        <f t="shared" si="322"/>
        <v>0</v>
      </c>
      <c r="BK850" s="67">
        <f>+VLOOKUP('2. Logging Brejo Seco'!AP850,Leyenda!$B$47:$E$51,4,FALSE)</f>
        <v>1</v>
      </c>
      <c r="BL850" s="67">
        <f>+VLOOKUP('2. Logging Brejo Seco'!AQ850,Leyenda!$B$55:$E$59,4,FALSE)</f>
        <v>3</v>
      </c>
      <c r="BM850" s="67">
        <f>+VLOOKUP('2. Logging Brejo Seco'!AR850,Leyenda!$B$63:$E$67,3,FALSE)</f>
        <v>2</v>
      </c>
      <c r="BN850" s="67">
        <f>+VLOOKUP('2. Logging Brejo Seco'!AO850,Leyenda!$B$39:$E$43,4,FALSE)</f>
        <v>1</v>
      </c>
      <c r="BO850" s="67">
        <f>+VLOOKUP('2. Logging Brejo Seco'!AN850,Leyenda!$B$30:$E$34,4,FALSE)</f>
        <v>1</v>
      </c>
      <c r="BP850" s="67">
        <f>VLOOKUP(AS850,Leyenda!$B$71:$E$75,4,FALSE)</f>
        <v>10</v>
      </c>
      <c r="BQ850" s="67">
        <f t="shared" si="323"/>
        <v>27</v>
      </c>
      <c r="BR850" s="18">
        <f t="shared" si="324"/>
        <v>33</v>
      </c>
      <c r="BS850" s="240">
        <f t="shared" si="330"/>
        <v>0.22999999999999965</v>
      </c>
      <c r="BT850" s="6"/>
    </row>
    <row r="851" spans="1:72" x14ac:dyDescent="0.25">
      <c r="A851" s="18" t="s">
        <v>6</v>
      </c>
      <c r="B851" s="18">
        <v>2024</v>
      </c>
      <c r="C851" s="18" t="s">
        <v>138</v>
      </c>
      <c r="D851" s="18" t="s">
        <v>660</v>
      </c>
      <c r="E851" s="3">
        <v>40</v>
      </c>
      <c r="F851" s="191">
        <v>40</v>
      </c>
      <c r="G851" s="36" t="s">
        <v>153</v>
      </c>
      <c r="H851" s="244">
        <f t="shared" si="342"/>
        <v>40</v>
      </c>
      <c r="I851" s="244" t="s">
        <v>757</v>
      </c>
      <c r="J851" s="244"/>
      <c r="K851" s="18">
        <f t="shared" si="344"/>
        <v>4.5999999999999996</v>
      </c>
      <c r="L851" s="18">
        <v>5.4</v>
      </c>
      <c r="M851" s="4">
        <f t="shared" si="343"/>
        <v>0.80000000000000071</v>
      </c>
      <c r="N851" s="113">
        <f t="shared" si="312"/>
        <v>0.68749999999999944</v>
      </c>
      <c r="O851" s="5">
        <f t="shared" si="325"/>
        <v>0.31250000000000056</v>
      </c>
      <c r="P851" s="4">
        <v>0.55000000000000004</v>
      </c>
      <c r="Q851" s="18"/>
      <c r="R851" s="18"/>
      <c r="S851" s="18"/>
      <c r="T851" s="18">
        <v>0.55000000000000004</v>
      </c>
      <c r="U851" s="18">
        <v>0</v>
      </c>
      <c r="V851" s="18">
        <f t="shared" si="329"/>
        <v>0</v>
      </c>
      <c r="W851" s="18"/>
      <c r="X851" s="18"/>
      <c r="Y851" s="18">
        <v>20</v>
      </c>
      <c r="Z851" s="31">
        <f t="shared" si="341"/>
        <v>40.000000000000036</v>
      </c>
      <c r="AA851" s="6"/>
      <c r="AB851" s="6"/>
      <c r="AC851" s="184"/>
      <c r="AD851" s="6"/>
      <c r="AE851" s="184"/>
      <c r="AF851" s="184"/>
      <c r="AG851" s="196" t="s">
        <v>27</v>
      </c>
      <c r="AH851" s="196" t="s">
        <v>27</v>
      </c>
      <c r="AI851" s="18" t="str">
        <f>+VLOOKUP(AH851,Leyenda!$O$4:$U$10,6,FALSE)</f>
        <v>0,35-0,50</v>
      </c>
      <c r="AJ851" s="18" t="str">
        <f>+VLOOKUP(AG851,Leyenda!$O$4:$U$10,7,FALSE)</f>
        <v>Easy to blast</v>
      </c>
      <c r="AK851" s="18">
        <f>+VLOOKUP(AJ851,Leyenda!$U$4:$V$10,2,FALSE)</f>
        <v>3</v>
      </c>
      <c r="AL851" s="5"/>
      <c r="AM851" s="18" t="s">
        <v>27</v>
      </c>
      <c r="AN851" s="18" t="s">
        <v>66</v>
      </c>
      <c r="AO851" s="18" t="s">
        <v>79</v>
      </c>
      <c r="AP851" s="18" t="s">
        <v>96</v>
      </c>
      <c r="AQ851" s="18" t="s">
        <v>107</v>
      </c>
      <c r="AR851" s="18" t="s">
        <v>120</v>
      </c>
      <c r="AS851" s="18" t="s">
        <v>267</v>
      </c>
      <c r="AT851" s="18"/>
      <c r="AU851" s="6"/>
      <c r="AV851" s="18">
        <f>+VLOOKUP(AN851,Leyenda!$B$30:$E$34,3,FALSE)</f>
        <v>1</v>
      </c>
      <c r="AW851" s="18">
        <f>+VLOOKUP('2. Logging Brejo Seco'!AO851,Meteorizacion,3,FALSE)</f>
        <v>1</v>
      </c>
      <c r="AX851" s="18">
        <f>+VLOOKUP('2. Logging Brejo Seco'!AP851,Apertura,3,FALSE)</f>
        <v>1</v>
      </c>
      <c r="AY851" s="18">
        <f>+VLOOKUP('2. Logging Brejo Seco'!AQ851,Leyenda!$B$55:$D$59,3,FALSE)</f>
        <v>3</v>
      </c>
      <c r="AZ851" s="18">
        <f>+VLOOKUP('2. Logging Brejo Seco'!AR851,Relleno,3,FALSE)</f>
        <v>2</v>
      </c>
      <c r="BA851" s="18">
        <f t="shared" si="316"/>
        <v>8</v>
      </c>
      <c r="BB851" s="49">
        <f t="shared" si="317"/>
        <v>0</v>
      </c>
      <c r="BC851" s="49">
        <f>VLOOKUP(AH851,Leyenda!$B$4:$D$10,3,FALSE)</f>
        <v>4</v>
      </c>
      <c r="BD851" s="49">
        <f t="shared" si="318"/>
        <v>5</v>
      </c>
      <c r="BE851" s="49">
        <f t="shared" si="319"/>
        <v>8</v>
      </c>
      <c r="BF851" s="49">
        <f>VLOOKUP(AS851,Leyenda!$B$70:$D$75,3,FALSE)</f>
        <v>15</v>
      </c>
      <c r="BG851" s="67">
        <f t="shared" si="320"/>
        <v>12</v>
      </c>
      <c r="BH851" s="67">
        <f>VLOOKUP(AG851,Leyenda!$B$4:$E$10,4,FALSE)</f>
        <v>4</v>
      </c>
      <c r="BI851" s="67">
        <f t="shared" si="321"/>
        <v>5</v>
      </c>
      <c r="BJ851" s="67">
        <f t="shared" si="322"/>
        <v>0</v>
      </c>
      <c r="BK851" s="67">
        <f>+VLOOKUP('2. Logging Brejo Seco'!AP851,Leyenda!$B$47:$E$51,4,FALSE)</f>
        <v>1</v>
      </c>
      <c r="BL851" s="67">
        <f>+VLOOKUP('2. Logging Brejo Seco'!AQ851,Leyenda!$B$55:$E$59,4,FALSE)</f>
        <v>3</v>
      </c>
      <c r="BM851" s="67">
        <f>+VLOOKUP('2. Logging Brejo Seco'!AR851,Leyenda!$B$63:$E$67,3,FALSE)</f>
        <v>2</v>
      </c>
      <c r="BN851" s="67">
        <f>+VLOOKUP('2. Logging Brejo Seco'!AO851,Leyenda!$B$39:$E$43,4,FALSE)</f>
        <v>1</v>
      </c>
      <c r="BO851" s="67">
        <f>+VLOOKUP('2. Logging Brejo Seco'!AN851,Leyenda!$B$30:$E$34,4,FALSE)</f>
        <v>1</v>
      </c>
      <c r="BP851" s="67">
        <f>VLOOKUP(AS851,Leyenda!$B$71:$E$75,4,FALSE)</f>
        <v>10</v>
      </c>
      <c r="BQ851" s="67">
        <f t="shared" si="323"/>
        <v>27</v>
      </c>
      <c r="BR851" s="18">
        <f t="shared" si="324"/>
        <v>32</v>
      </c>
      <c r="BS851" s="240">
        <f t="shared" si="330"/>
        <v>0.31250000000000056</v>
      </c>
      <c r="BT851" s="6"/>
    </row>
    <row r="852" spans="1:72" x14ac:dyDescent="0.25">
      <c r="A852" s="18" t="s">
        <v>6</v>
      </c>
      <c r="B852" s="18">
        <v>2024</v>
      </c>
      <c r="C852" s="18" t="s">
        <v>138</v>
      </c>
      <c r="D852" s="18" t="s">
        <v>660</v>
      </c>
      <c r="E852" s="3">
        <v>30</v>
      </c>
      <c r="F852" s="191">
        <v>40</v>
      </c>
      <c r="G852" s="18" t="s">
        <v>152</v>
      </c>
      <c r="H852" s="244">
        <f t="shared" si="342"/>
        <v>40</v>
      </c>
      <c r="I852" s="244" t="s">
        <v>757</v>
      </c>
      <c r="J852" s="244"/>
      <c r="K852" s="18">
        <f t="shared" si="344"/>
        <v>5.4</v>
      </c>
      <c r="L852" s="18">
        <v>6.2</v>
      </c>
      <c r="M852" s="4">
        <f t="shared" si="343"/>
        <v>0.79999999999999982</v>
      </c>
      <c r="N852" s="113">
        <f t="shared" si="312"/>
        <v>0.72500000000000009</v>
      </c>
      <c r="O852" s="5">
        <f t="shared" si="325"/>
        <v>0.27499999999999991</v>
      </c>
      <c r="P852" s="4">
        <v>0.57999999999999996</v>
      </c>
      <c r="Q852" s="18"/>
      <c r="R852" s="18"/>
      <c r="S852" s="18"/>
      <c r="T852" s="18">
        <v>0.57999999999999996</v>
      </c>
      <c r="U852" s="18">
        <v>0</v>
      </c>
      <c r="V852" s="18">
        <f t="shared" si="329"/>
        <v>0</v>
      </c>
      <c r="W852" s="18"/>
      <c r="X852" s="18"/>
      <c r="Y852" s="18">
        <v>5</v>
      </c>
      <c r="Z852" s="31">
        <f t="shared" si="341"/>
        <v>159.99999999999994</v>
      </c>
      <c r="AA852" s="6"/>
      <c r="AB852" s="6"/>
      <c r="AC852" s="184"/>
      <c r="AD852" s="6"/>
      <c r="AE852" s="184"/>
      <c r="AF852" s="184"/>
      <c r="AG852" s="196" t="s">
        <v>27</v>
      </c>
      <c r="AH852" s="196" t="s">
        <v>27</v>
      </c>
      <c r="AI852" s="18" t="str">
        <f>+VLOOKUP(AH852,Leyenda!$O$4:$U$10,6,FALSE)</f>
        <v>0,35-0,50</v>
      </c>
      <c r="AJ852" s="18" t="str">
        <f>+VLOOKUP(AG852,Leyenda!$O$4:$U$10,7,FALSE)</f>
        <v>Easy to blast</v>
      </c>
      <c r="AK852" s="18">
        <f>+VLOOKUP(AJ852,Leyenda!$U$4:$V$10,2,FALSE)</f>
        <v>3</v>
      </c>
      <c r="AL852" s="5"/>
      <c r="AM852" s="18" t="s">
        <v>27</v>
      </c>
      <c r="AN852" s="18" t="s">
        <v>66</v>
      </c>
      <c r="AO852" s="18" t="s">
        <v>79</v>
      </c>
      <c r="AP852" s="18" t="s">
        <v>96</v>
      </c>
      <c r="AQ852" s="18" t="s">
        <v>107</v>
      </c>
      <c r="AR852" s="18" t="s">
        <v>120</v>
      </c>
      <c r="AS852" s="18" t="s">
        <v>267</v>
      </c>
      <c r="AT852" s="18"/>
      <c r="AU852" s="6"/>
      <c r="AV852" s="18">
        <f>+VLOOKUP(AN852,Leyenda!$B$30:$E$34,3,FALSE)</f>
        <v>1</v>
      </c>
      <c r="AW852" s="18">
        <f>+VLOOKUP('2. Logging Brejo Seco'!AO852,Meteorizacion,3,FALSE)</f>
        <v>1</v>
      </c>
      <c r="AX852" s="18">
        <f>+VLOOKUP('2. Logging Brejo Seco'!AP852,Apertura,3,FALSE)</f>
        <v>1</v>
      </c>
      <c r="AY852" s="18">
        <f>+VLOOKUP('2. Logging Brejo Seco'!AQ852,Leyenda!$B$55:$D$59,3,FALSE)</f>
        <v>3</v>
      </c>
      <c r="AZ852" s="18">
        <f>+VLOOKUP('2. Logging Brejo Seco'!AR852,Relleno,3,FALSE)</f>
        <v>2</v>
      </c>
      <c r="BA852" s="18">
        <f t="shared" si="316"/>
        <v>8</v>
      </c>
      <c r="BB852" s="49">
        <f t="shared" si="317"/>
        <v>0</v>
      </c>
      <c r="BC852" s="49">
        <f>VLOOKUP(AH852,Leyenda!$B$4:$D$10,3,FALSE)</f>
        <v>4</v>
      </c>
      <c r="BD852" s="49">
        <f t="shared" si="318"/>
        <v>8</v>
      </c>
      <c r="BE852" s="49">
        <f t="shared" si="319"/>
        <v>8</v>
      </c>
      <c r="BF852" s="49">
        <f>VLOOKUP(AS852,Leyenda!$B$70:$D$75,3,FALSE)</f>
        <v>15</v>
      </c>
      <c r="BG852" s="67">
        <f t="shared" si="320"/>
        <v>12</v>
      </c>
      <c r="BH852" s="67">
        <f>VLOOKUP(AG852,Leyenda!$B$4:$E$10,4,FALSE)</f>
        <v>4</v>
      </c>
      <c r="BI852" s="67">
        <f t="shared" si="321"/>
        <v>11</v>
      </c>
      <c r="BJ852" s="67">
        <f t="shared" si="322"/>
        <v>0</v>
      </c>
      <c r="BK852" s="67">
        <f>+VLOOKUP('2. Logging Brejo Seco'!AP852,Leyenda!$B$47:$E$51,4,FALSE)</f>
        <v>1</v>
      </c>
      <c r="BL852" s="67">
        <f>+VLOOKUP('2. Logging Brejo Seco'!AQ852,Leyenda!$B$55:$E$59,4,FALSE)</f>
        <v>3</v>
      </c>
      <c r="BM852" s="67">
        <f>+VLOOKUP('2. Logging Brejo Seco'!AR852,Leyenda!$B$63:$E$67,3,FALSE)</f>
        <v>2</v>
      </c>
      <c r="BN852" s="67">
        <f>+VLOOKUP('2. Logging Brejo Seco'!AO852,Leyenda!$B$39:$E$43,4,FALSE)</f>
        <v>1</v>
      </c>
      <c r="BO852" s="67">
        <f>+VLOOKUP('2. Logging Brejo Seco'!AN852,Leyenda!$B$30:$E$34,4,FALSE)</f>
        <v>1</v>
      </c>
      <c r="BP852" s="67">
        <f>VLOOKUP(AS852,Leyenda!$B$71:$E$75,4,FALSE)</f>
        <v>10</v>
      </c>
      <c r="BQ852" s="67">
        <f t="shared" si="323"/>
        <v>33</v>
      </c>
      <c r="BR852" s="18">
        <f t="shared" si="324"/>
        <v>35</v>
      </c>
      <c r="BS852" s="240">
        <f t="shared" si="330"/>
        <v>0.27499999999999991</v>
      </c>
      <c r="BT852" s="6"/>
    </row>
    <row r="853" spans="1:72" x14ac:dyDescent="0.25">
      <c r="A853" s="18" t="s">
        <v>6</v>
      </c>
      <c r="B853" s="18">
        <v>2024</v>
      </c>
      <c r="C853" s="18" t="s">
        <v>138</v>
      </c>
      <c r="D853" s="18" t="s">
        <v>660</v>
      </c>
      <c r="E853" s="3">
        <v>30</v>
      </c>
      <c r="F853" s="191">
        <v>40</v>
      </c>
      <c r="G853" s="18" t="s">
        <v>152</v>
      </c>
      <c r="H853" s="3">
        <v>30</v>
      </c>
      <c r="I853" s="3" t="s">
        <v>759</v>
      </c>
      <c r="J853" s="3"/>
      <c r="K853" s="18">
        <f t="shared" si="344"/>
        <v>6.2</v>
      </c>
      <c r="L853" s="18">
        <v>6.75</v>
      </c>
      <c r="M853" s="4">
        <f t="shared" si="343"/>
        <v>0.54999999999999982</v>
      </c>
      <c r="N853" s="113">
        <f t="shared" ref="N853:N916" si="345">+P853/M853</f>
        <v>0.58181818181818201</v>
      </c>
      <c r="O853" s="5">
        <f t="shared" si="325"/>
        <v>0.41818181818181799</v>
      </c>
      <c r="P853" s="4">
        <v>0.32</v>
      </c>
      <c r="Q853" s="18"/>
      <c r="R853" s="18"/>
      <c r="S853" s="18"/>
      <c r="T853" s="18">
        <v>0.32</v>
      </c>
      <c r="U853" s="18">
        <v>0.17</v>
      </c>
      <c r="V853" s="18">
        <f t="shared" ref="V853" si="346">+U853/M853*100</f>
        <v>30.909090909090921</v>
      </c>
      <c r="W853" s="18"/>
      <c r="X853" s="18"/>
      <c r="Y853" s="18">
        <v>5</v>
      </c>
      <c r="Z853" s="31">
        <f t="shared" si="341"/>
        <v>109.99999999999996</v>
      </c>
      <c r="AA853" s="6"/>
      <c r="AB853" s="6"/>
      <c r="AC853" s="184"/>
      <c r="AD853" s="6"/>
      <c r="AE853" s="184"/>
      <c r="AF853" s="184"/>
      <c r="AG853" s="196" t="s">
        <v>27</v>
      </c>
      <c r="AH853" s="196" t="s">
        <v>27</v>
      </c>
      <c r="AI853" s="18" t="str">
        <f>+VLOOKUP(AH853,Leyenda!$O$4:$U$10,6,FALSE)</f>
        <v>0,35-0,50</v>
      </c>
      <c r="AJ853" s="18" t="str">
        <f>+VLOOKUP(AG853,Leyenda!$O$4:$U$10,7,FALSE)</f>
        <v>Easy to blast</v>
      </c>
      <c r="AK853" s="18">
        <f>+VLOOKUP(AJ853,Leyenda!$U$4:$V$10,2,FALSE)</f>
        <v>3</v>
      </c>
      <c r="AL853" s="5"/>
      <c r="AM853" s="18" t="s">
        <v>27</v>
      </c>
      <c r="AN853" s="18" t="s">
        <v>66</v>
      </c>
      <c r="AO853" s="18" t="s">
        <v>79</v>
      </c>
      <c r="AP853" s="18" t="s">
        <v>96</v>
      </c>
      <c r="AQ853" s="18" t="s">
        <v>107</v>
      </c>
      <c r="AR853" s="18" t="s">
        <v>120</v>
      </c>
      <c r="AS853" s="18" t="s">
        <v>267</v>
      </c>
      <c r="AT853" s="18"/>
      <c r="AU853" s="6"/>
      <c r="AV853" s="18">
        <f>+VLOOKUP(AN853,Leyenda!$B$30:$E$34,3,FALSE)</f>
        <v>1</v>
      </c>
      <c r="AW853" s="18">
        <f>+VLOOKUP('2. Logging Brejo Seco'!AO853,Meteorizacion,3,FALSE)</f>
        <v>1</v>
      </c>
      <c r="AX853" s="18">
        <f>+VLOOKUP('2. Logging Brejo Seco'!AP853,Apertura,3,FALSE)</f>
        <v>1</v>
      </c>
      <c r="AY853" s="18">
        <f>+VLOOKUP('2. Logging Brejo Seco'!AQ853,Leyenda!$B$55:$D$59,3,FALSE)</f>
        <v>3</v>
      </c>
      <c r="AZ853" s="18">
        <f>+VLOOKUP('2. Logging Brejo Seco'!AR853,Relleno,3,FALSE)</f>
        <v>2</v>
      </c>
      <c r="BA853" s="18">
        <f t="shared" si="316"/>
        <v>8</v>
      </c>
      <c r="BB853" s="49">
        <f t="shared" si="317"/>
        <v>7</v>
      </c>
      <c r="BC853" s="49">
        <f>VLOOKUP(AH853,Leyenda!$B$4:$D$10,3,FALSE)</f>
        <v>4</v>
      </c>
      <c r="BD853" s="49">
        <f t="shared" si="318"/>
        <v>7</v>
      </c>
      <c r="BE853" s="49">
        <f t="shared" si="319"/>
        <v>8</v>
      </c>
      <c r="BF853" s="49">
        <f>VLOOKUP(AS853,Leyenda!$B$70:$D$75,3,FALSE)</f>
        <v>15</v>
      </c>
      <c r="BG853" s="67">
        <f t="shared" si="320"/>
        <v>27.45454545454546</v>
      </c>
      <c r="BH853" s="67">
        <f>VLOOKUP(AG853,Leyenda!$B$4:$E$10,4,FALSE)</f>
        <v>4</v>
      </c>
      <c r="BI853" s="67">
        <f t="shared" si="321"/>
        <v>9</v>
      </c>
      <c r="BJ853" s="67">
        <f t="shared" si="322"/>
        <v>7</v>
      </c>
      <c r="BK853" s="67">
        <f>+VLOOKUP('2. Logging Brejo Seco'!AP853,Leyenda!$B$47:$E$51,4,FALSE)</f>
        <v>1</v>
      </c>
      <c r="BL853" s="67">
        <f>+VLOOKUP('2. Logging Brejo Seco'!AQ853,Leyenda!$B$55:$E$59,4,FALSE)</f>
        <v>3</v>
      </c>
      <c r="BM853" s="67">
        <f>+VLOOKUP('2. Logging Brejo Seco'!AR853,Leyenda!$B$63:$E$67,3,FALSE)</f>
        <v>2</v>
      </c>
      <c r="BN853" s="67">
        <f>+VLOOKUP('2. Logging Brejo Seco'!AO853,Leyenda!$B$39:$E$43,4,FALSE)</f>
        <v>1</v>
      </c>
      <c r="BO853" s="67">
        <f>+VLOOKUP('2. Logging Brejo Seco'!AN853,Leyenda!$B$30:$E$34,4,FALSE)</f>
        <v>1</v>
      </c>
      <c r="BP853" s="67">
        <f>VLOOKUP(AS853,Leyenda!$B$71:$E$75,4,FALSE)</f>
        <v>10</v>
      </c>
      <c r="BQ853" s="67">
        <f t="shared" si="323"/>
        <v>38</v>
      </c>
      <c r="BR853" s="18">
        <f t="shared" si="324"/>
        <v>41</v>
      </c>
      <c r="BS853" s="240">
        <f t="shared" si="330"/>
        <v>0.41818181818181799</v>
      </c>
      <c r="BT853" s="6"/>
    </row>
    <row r="854" spans="1:72" x14ac:dyDescent="0.25">
      <c r="A854" s="18" t="s">
        <v>6</v>
      </c>
      <c r="B854" s="18">
        <v>2024</v>
      </c>
      <c r="C854" s="18" t="s">
        <v>138</v>
      </c>
      <c r="D854" s="18" t="s">
        <v>660</v>
      </c>
      <c r="E854" s="3">
        <v>30</v>
      </c>
      <c r="F854" s="191">
        <v>40</v>
      </c>
      <c r="G854" s="18" t="s">
        <v>152</v>
      </c>
      <c r="H854" s="3">
        <v>30</v>
      </c>
      <c r="I854" s="3" t="s">
        <v>759</v>
      </c>
      <c r="J854" s="3"/>
      <c r="K854" s="18">
        <f t="shared" si="344"/>
        <v>6.75</v>
      </c>
      <c r="L854" s="18">
        <v>7.3</v>
      </c>
      <c r="M854" s="4">
        <f t="shared" si="343"/>
        <v>0.54999999999999982</v>
      </c>
      <c r="N854" s="113">
        <f t="shared" si="345"/>
        <v>0.63636363636363658</v>
      </c>
      <c r="O854" s="5">
        <f t="shared" si="325"/>
        <v>0.36363636363636342</v>
      </c>
      <c r="P854" s="4">
        <v>0.35</v>
      </c>
      <c r="Q854" s="18"/>
      <c r="R854" s="18"/>
      <c r="S854" s="18"/>
      <c r="T854" s="18">
        <f>0.21+0.14</f>
        <v>0.35</v>
      </c>
      <c r="U854" s="18">
        <v>0</v>
      </c>
      <c r="V854" s="18">
        <f t="shared" si="329"/>
        <v>0</v>
      </c>
      <c r="W854" s="18"/>
      <c r="X854" s="18"/>
      <c r="Y854" s="18">
        <f>5+4</f>
        <v>9</v>
      </c>
      <c r="Z854" s="31">
        <f t="shared" si="341"/>
        <v>61.111111111111086</v>
      </c>
      <c r="AA854" s="6"/>
      <c r="AB854" s="6"/>
      <c r="AC854" s="184"/>
      <c r="AD854" s="6"/>
      <c r="AE854" s="184"/>
      <c r="AF854" s="184"/>
      <c r="AG854" s="196" t="s">
        <v>22</v>
      </c>
      <c r="AH854" s="196" t="s">
        <v>22</v>
      </c>
      <c r="AI854" s="18" t="str">
        <f>+VLOOKUP(AH854,Leyenda!$O$4:$U$10,6,FALSE)</f>
        <v>0,80-1,50</v>
      </c>
      <c r="AJ854" s="18" t="str">
        <f>+VLOOKUP(AG854,Leyenda!$O$4:$U$10,7,FALSE)</f>
        <v>Moderate to resistence to blast</v>
      </c>
      <c r="AK854" s="18">
        <f>+VLOOKUP(AJ854,Leyenda!$U$4:$V$10,2,FALSE)</f>
        <v>5</v>
      </c>
      <c r="AL854" s="5" t="s">
        <v>22</v>
      </c>
      <c r="AM854" s="18" t="s">
        <v>22</v>
      </c>
      <c r="AN854" s="18" t="s">
        <v>66</v>
      </c>
      <c r="AO854" s="18" t="s">
        <v>79</v>
      </c>
      <c r="AP854" s="18" t="s">
        <v>96</v>
      </c>
      <c r="AQ854" s="18" t="s">
        <v>107</v>
      </c>
      <c r="AR854" s="18" t="s">
        <v>120</v>
      </c>
      <c r="AS854" s="18" t="s">
        <v>267</v>
      </c>
      <c r="AT854" s="18"/>
      <c r="AU854" s="6"/>
      <c r="AV854" s="18">
        <f>+VLOOKUP(AN854,Leyenda!$B$30:$E$34,3,FALSE)</f>
        <v>1</v>
      </c>
      <c r="AW854" s="18">
        <f>+VLOOKUP('2. Logging Brejo Seco'!AO854,Meteorizacion,3,FALSE)</f>
        <v>1</v>
      </c>
      <c r="AX854" s="18">
        <f>+VLOOKUP('2. Logging Brejo Seco'!AP854,Apertura,3,FALSE)</f>
        <v>1</v>
      </c>
      <c r="AY854" s="18">
        <f>+VLOOKUP('2. Logging Brejo Seco'!AQ854,Leyenda!$B$55:$D$59,3,FALSE)</f>
        <v>3</v>
      </c>
      <c r="AZ854" s="18">
        <f>+VLOOKUP('2. Logging Brejo Seco'!AR854,Relleno,3,FALSE)</f>
        <v>2</v>
      </c>
      <c r="BA854" s="18">
        <f t="shared" si="316"/>
        <v>8</v>
      </c>
      <c r="BB854" s="49">
        <f t="shared" si="317"/>
        <v>0</v>
      </c>
      <c r="BC854" s="49">
        <f>VLOOKUP(AH854,Leyenda!$B$4:$D$10,3,FALSE)</f>
        <v>12</v>
      </c>
      <c r="BD854" s="49">
        <f t="shared" si="318"/>
        <v>6</v>
      </c>
      <c r="BE854" s="49">
        <f t="shared" si="319"/>
        <v>8</v>
      </c>
      <c r="BF854" s="49">
        <f>VLOOKUP(AS854,Leyenda!$B$70:$D$75,3,FALSE)</f>
        <v>15</v>
      </c>
      <c r="BG854" s="67">
        <f t="shared" si="320"/>
        <v>12</v>
      </c>
      <c r="BH854" s="208">
        <v>7</v>
      </c>
      <c r="BI854" s="125">
        <f t="shared" si="321"/>
        <v>5</v>
      </c>
      <c r="BJ854" s="125">
        <f t="shared" si="322"/>
        <v>0</v>
      </c>
      <c r="BK854" s="125">
        <f>+VLOOKUP('2. Logging Brejo Seco'!AP854,Leyenda!$B$47:$E$51,4,FALSE)</f>
        <v>1</v>
      </c>
      <c r="BL854" s="125">
        <f>+VLOOKUP('2. Logging Brejo Seco'!AQ854,Leyenda!$B$55:$E$59,4,FALSE)</f>
        <v>3</v>
      </c>
      <c r="BM854" s="125">
        <f>+VLOOKUP('2. Logging Brejo Seco'!AR854,Leyenda!$B$63:$E$67,3,FALSE)</f>
        <v>2</v>
      </c>
      <c r="BN854" s="125">
        <f>+VLOOKUP('2. Logging Brejo Seco'!AO854,Leyenda!$B$39:$E$43,4,FALSE)</f>
        <v>1</v>
      </c>
      <c r="BO854" s="125">
        <f>+VLOOKUP('2. Logging Brejo Seco'!AN854,Leyenda!$B$30:$E$34,4,FALSE)</f>
        <v>1</v>
      </c>
      <c r="BP854" s="125">
        <f>VLOOKUP(AS854,Leyenda!$B$71:$E$75,4,FALSE)</f>
        <v>10</v>
      </c>
      <c r="BQ854" s="125">
        <f t="shared" si="323"/>
        <v>30</v>
      </c>
      <c r="BR854" s="85">
        <f t="shared" si="324"/>
        <v>41</v>
      </c>
      <c r="BS854" s="240">
        <f t="shared" si="330"/>
        <v>0.36363636363636342</v>
      </c>
      <c r="BT854" s="6"/>
    </row>
    <row r="855" spans="1:72" x14ac:dyDescent="0.25">
      <c r="A855" s="18" t="s">
        <v>6</v>
      </c>
      <c r="B855" s="18">
        <v>2024</v>
      </c>
      <c r="C855" s="18" t="s">
        <v>138</v>
      </c>
      <c r="D855" s="18" t="s">
        <v>660</v>
      </c>
      <c r="E855" s="3">
        <v>30</v>
      </c>
      <c r="F855" s="191">
        <v>40</v>
      </c>
      <c r="G855" s="18" t="s">
        <v>152</v>
      </c>
      <c r="H855" s="3">
        <v>30</v>
      </c>
      <c r="I855" s="3" t="s">
        <v>759</v>
      </c>
      <c r="J855" s="3"/>
      <c r="K855" s="18">
        <f t="shared" si="344"/>
        <v>7.3</v>
      </c>
      <c r="L855" s="18">
        <v>7.8</v>
      </c>
      <c r="M855" s="4">
        <f t="shared" si="343"/>
        <v>0.5</v>
      </c>
      <c r="N855" s="113">
        <f t="shared" si="345"/>
        <v>0.74</v>
      </c>
      <c r="O855" s="5">
        <f t="shared" si="325"/>
        <v>0.26</v>
      </c>
      <c r="P855" s="4">
        <v>0.37</v>
      </c>
      <c r="Q855" s="18"/>
      <c r="R855" s="18"/>
      <c r="S855" s="18"/>
      <c r="T855" s="18">
        <v>0.37</v>
      </c>
      <c r="U855" s="18">
        <v>0</v>
      </c>
      <c r="V855" s="18">
        <f t="shared" si="329"/>
        <v>0</v>
      </c>
      <c r="W855" s="18"/>
      <c r="X855" s="18"/>
      <c r="Y855" s="18">
        <v>8</v>
      </c>
      <c r="Z855" s="31">
        <f t="shared" si="341"/>
        <v>62.5</v>
      </c>
      <c r="AA855" s="6"/>
      <c r="AB855" s="6"/>
      <c r="AC855" s="184"/>
      <c r="AD855" s="6"/>
      <c r="AE855" s="184"/>
      <c r="AF855" s="184"/>
      <c r="AG855" s="196" t="s">
        <v>27</v>
      </c>
      <c r="AH855" s="196" t="s">
        <v>27</v>
      </c>
      <c r="AI855" s="18" t="str">
        <f>+VLOOKUP(AH855,Leyenda!$O$4:$U$10,6,FALSE)</f>
        <v>0,35-0,50</v>
      </c>
      <c r="AJ855" s="18" t="str">
        <f>+VLOOKUP(AG855,Leyenda!$O$4:$U$10,7,FALSE)</f>
        <v>Easy to blast</v>
      </c>
      <c r="AK855" s="18">
        <f>+VLOOKUP(AJ855,Leyenda!$U$4:$V$10,2,FALSE)</f>
        <v>3</v>
      </c>
      <c r="AL855" s="5"/>
      <c r="AM855" s="18" t="s">
        <v>27</v>
      </c>
      <c r="AN855" s="18" t="s">
        <v>66</v>
      </c>
      <c r="AO855" s="18" t="s">
        <v>79</v>
      </c>
      <c r="AP855" s="18" t="s">
        <v>96</v>
      </c>
      <c r="AQ855" s="18" t="s">
        <v>107</v>
      </c>
      <c r="AR855" s="18" t="s">
        <v>120</v>
      </c>
      <c r="AS855" s="18" t="s">
        <v>267</v>
      </c>
      <c r="AT855" s="18"/>
      <c r="AU855" s="6"/>
      <c r="AV855" s="18">
        <f>+VLOOKUP(AN855,Leyenda!$B$30:$E$34,3,FALSE)</f>
        <v>1</v>
      </c>
      <c r="AW855" s="18">
        <f>+VLOOKUP('2. Logging Brejo Seco'!AO855,Meteorizacion,3,FALSE)</f>
        <v>1</v>
      </c>
      <c r="AX855" s="18">
        <f>+VLOOKUP('2. Logging Brejo Seco'!AP855,Apertura,3,FALSE)</f>
        <v>1</v>
      </c>
      <c r="AY855" s="18">
        <f>+VLOOKUP('2. Logging Brejo Seco'!AQ855,Leyenda!$B$55:$D$59,3,FALSE)</f>
        <v>3</v>
      </c>
      <c r="AZ855" s="18">
        <f>+VLOOKUP('2. Logging Brejo Seco'!AR855,Relleno,3,FALSE)</f>
        <v>2</v>
      </c>
      <c r="BA855" s="18">
        <f t="shared" si="316"/>
        <v>8</v>
      </c>
      <c r="BB855" s="49">
        <f t="shared" si="317"/>
        <v>0</v>
      </c>
      <c r="BC855" s="49">
        <f>VLOOKUP(AH855,Leyenda!$B$4:$D$10,3,FALSE)</f>
        <v>4</v>
      </c>
      <c r="BD855" s="49">
        <f t="shared" si="318"/>
        <v>6</v>
      </c>
      <c r="BE855" s="49">
        <f t="shared" si="319"/>
        <v>8</v>
      </c>
      <c r="BF855" s="49">
        <f>VLOOKUP(AS855,Leyenda!$B$70:$D$75,3,FALSE)</f>
        <v>15</v>
      </c>
      <c r="BG855" s="67">
        <f t="shared" si="320"/>
        <v>12</v>
      </c>
      <c r="BH855" s="67">
        <f>VLOOKUP(AG855,Leyenda!$B$4:$E$10,4,FALSE)</f>
        <v>4</v>
      </c>
      <c r="BI855" s="67">
        <f t="shared" si="321"/>
        <v>5</v>
      </c>
      <c r="BJ855" s="67">
        <f t="shared" si="322"/>
        <v>0</v>
      </c>
      <c r="BK855" s="67">
        <f>+VLOOKUP('2. Logging Brejo Seco'!AP855,Leyenda!$B$47:$E$51,4,FALSE)</f>
        <v>1</v>
      </c>
      <c r="BL855" s="67">
        <f>+VLOOKUP('2. Logging Brejo Seco'!AQ855,Leyenda!$B$55:$E$59,4,FALSE)</f>
        <v>3</v>
      </c>
      <c r="BM855" s="67">
        <f>+VLOOKUP('2. Logging Brejo Seco'!AR855,Leyenda!$B$63:$E$67,3,FALSE)</f>
        <v>2</v>
      </c>
      <c r="BN855" s="67">
        <f>+VLOOKUP('2. Logging Brejo Seco'!AO855,Leyenda!$B$39:$E$43,4,FALSE)</f>
        <v>1</v>
      </c>
      <c r="BO855" s="67">
        <f>+VLOOKUP('2. Logging Brejo Seco'!AN855,Leyenda!$B$30:$E$34,4,FALSE)</f>
        <v>1</v>
      </c>
      <c r="BP855" s="67">
        <f>VLOOKUP(AS855,Leyenda!$B$71:$E$75,4,FALSE)</f>
        <v>10</v>
      </c>
      <c r="BQ855" s="67">
        <f t="shared" si="323"/>
        <v>27</v>
      </c>
      <c r="BR855" s="18">
        <f t="shared" si="324"/>
        <v>33</v>
      </c>
      <c r="BS855" s="240">
        <f t="shared" si="330"/>
        <v>0.26</v>
      </c>
      <c r="BT855" s="6"/>
    </row>
    <row r="856" spans="1:72" x14ac:dyDescent="0.25">
      <c r="A856" s="18" t="s">
        <v>6</v>
      </c>
      <c r="B856" s="18">
        <v>2024</v>
      </c>
      <c r="C856" s="18" t="s">
        <v>138</v>
      </c>
      <c r="D856" s="18" t="s">
        <v>660</v>
      </c>
      <c r="E856" s="3">
        <v>30</v>
      </c>
      <c r="F856" s="191">
        <v>40</v>
      </c>
      <c r="G856" s="18" t="s">
        <v>152</v>
      </c>
      <c r="H856" s="3">
        <v>30</v>
      </c>
      <c r="I856" s="3" t="s">
        <v>759</v>
      </c>
      <c r="J856" s="3"/>
      <c r="K856" s="18">
        <f t="shared" si="344"/>
        <v>7.8</v>
      </c>
      <c r="L856" s="18">
        <v>8.1</v>
      </c>
      <c r="M856" s="4">
        <f t="shared" si="343"/>
        <v>0.29999999999999982</v>
      </c>
      <c r="N856" s="113">
        <f t="shared" si="345"/>
        <v>0.7000000000000004</v>
      </c>
      <c r="O856" s="5">
        <f t="shared" si="325"/>
        <v>0.2999999999999996</v>
      </c>
      <c r="P856" s="4">
        <v>0.21</v>
      </c>
      <c r="Q856" s="18"/>
      <c r="R856" s="18"/>
      <c r="S856" s="18"/>
      <c r="T856" s="18">
        <v>0.21</v>
      </c>
      <c r="U856" s="18">
        <v>0</v>
      </c>
      <c r="V856" s="18">
        <f t="shared" si="329"/>
        <v>0</v>
      </c>
      <c r="W856" s="18"/>
      <c r="X856" s="18"/>
      <c r="Y856" s="18">
        <v>3</v>
      </c>
      <c r="Z856" s="31">
        <f t="shared" si="341"/>
        <v>99.999999999999943</v>
      </c>
      <c r="AA856" s="6"/>
      <c r="AB856" s="6"/>
      <c r="AC856" s="184"/>
      <c r="AD856" s="6"/>
      <c r="AE856" s="184"/>
      <c r="AF856" s="184"/>
      <c r="AG856" s="196" t="s">
        <v>27</v>
      </c>
      <c r="AH856" s="196" t="s">
        <v>27</v>
      </c>
      <c r="AI856" s="18" t="str">
        <f>+VLOOKUP(AH856,Leyenda!$O$4:$U$10,6,FALSE)</f>
        <v>0,35-0,50</v>
      </c>
      <c r="AJ856" s="18" t="str">
        <f>+VLOOKUP(AG856,Leyenda!$O$4:$U$10,7,FALSE)</f>
        <v>Easy to blast</v>
      </c>
      <c r="AK856" s="18">
        <f>+VLOOKUP(AJ856,Leyenda!$U$4:$V$10,2,FALSE)</f>
        <v>3</v>
      </c>
      <c r="AL856" s="5"/>
      <c r="AM856" s="18" t="s">
        <v>27</v>
      </c>
      <c r="AN856" s="18" t="s">
        <v>66</v>
      </c>
      <c r="AO856" s="18" t="s">
        <v>79</v>
      </c>
      <c r="AP856" s="18" t="s">
        <v>96</v>
      </c>
      <c r="AQ856" s="18" t="s">
        <v>107</v>
      </c>
      <c r="AR856" s="18" t="s">
        <v>120</v>
      </c>
      <c r="AS856" s="18" t="s">
        <v>267</v>
      </c>
      <c r="AT856" s="18"/>
      <c r="AU856" s="6"/>
      <c r="AV856" s="18">
        <f>+VLOOKUP(AN856,Leyenda!$B$30:$E$34,3,FALSE)</f>
        <v>1</v>
      </c>
      <c r="AW856" s="18">
        <f>+VLOOKUP('2. Logging Brejo Seco'!AO856,Meteorizacion,3,FALSE)</f>
        <v>1</v>
      </c>
      <c r="AX856" s="18">
        <f>+VLOOKUP('2. Logging Brejo Seco'!AP856,Apertura,3,FALSE)</f>
        <v>1</v>
      </c>
      <c r="AY856" s="18">
        <f>+VLOOKUP('2. Logging Brejo Seco'!AQ856,Leyenda!$B$55:$D$59,3,FALSE)</f>
        <v>3</v>
      </c>
      <c r="AZ856" s="18">
        <f>+VLOOKUP('2. Logging Brejo Seco'!AR856,Relleno,3,FALSE)</f>
        <v>2</v>
      </c>
      <c r="BA856" s="18">
        <f t="shared" si="316"/>
        <v>8</v>
      </c>
      <c r="BB856" s="49">
        <f t="shared" si="317"/>
        <v>0</v>
      </c>
      <c r="BC856" s="49">
        <f>VLOOKUP(AH856,Leyenda!$B$4:$D$10,3,FALSE)</f>
        <v>4</v>
      </c>
      <c r="BD856" s="49">
        <f t="shared" si="318"/>
        <v>7</v>
      </c>
      <c r="BE856" s="49">
        <f t="shared" si="319"/>
        <v>8</v>
      </c>
      <c r="BF856" s="49">
        <f>VLOOKUP(AS856,Leyenda!$B$70:$D$75,3,FALSE)</f>
        <v>15</v>
      </c>
      <c r="BG856" s="67">
        <f t="shared" si="320"/>
        <v>12</v>
      </c>
      <c r="BH856" s="67">
        <f>VLOOKUP(AG856,Leyenda!$B$4:$E$10,4,FALSE)</f>
        <v>4</v>
      </c>
      <c r="BI856" s="67">
        <f t="shared" si="321"/>
        <v>8</v>
      </c>
      <c r="BJ856" s="67">
        <f t="shared" si="322"/>
        <v>0</v>
      </c>
      <c r="BK856" s="67">
        <f>+VLOOKUP('2. Logging Brejo Seco'!AP856,Leyenda!$B$47:$E$51,4,FALSE)</f>
        <v>1</v>
      </c>
      <c r="BL856" s="67">
        <f>+VLOOKUP('2. Logging Brejo Seco'!AQ856,Leyenda!$B$55:$E$59,4,FALSE)</f>
        <v>3</v>
      </c>
      <c r="BM856" s="67">
        <f>+VLOOKUP('2. Logging Brejo Seco'!AR856,Leyenda!$B$63:$E$67,3,FALSE)</f>
        <v>2</v>
      </c>
      <c r="BN856" s="67">
        <f>+VLOOKUP('2. Logging Brejo Seco'!AO856,Leyenda!$B$39:$E$43,4,FALSE)</f>
        <v>1</v>
      </c>
      <c r="BO856" s="67">
        <f>+VLOOKUP('2. Logging Brejo Seco'!AN856,Leyenda!$B$30:$E$34,4,FALSE)</f>
        <v>1</v>
      </c>
      <c r="BP856" s="67">
        <f>VLOOKUP(AS856,Leyenda!$B$71:$E$75,4,FALSE)</f>
        <v>10</v>
      </c>
      <c r="BQ856" s="67">
        <f t="shared" si="323"/>
        <v>30</v>
      </c>
      <c r="BR856" s="18">
        <f t="shared" si="324"/>
        <v>34</v>
      </c>
      <c r="BS856" s="240">
        <f t="shared" si="330"/>
        <v>0.2999999999999996</v>
      </c>
      <c r="BT856" s="6"/>
    </row>
    <row r="857" spans="1:72" x14ac:dyDescent="0.25">
      <c r="A857" s="18" t="s">
        <v>6</v>
      </c>
      <c r="B857" s="18">
        <v>2024</v>
      </c>
      <c r="C857" s="18" t="s">
        <v>138</v>
      </c>
      <c r="D857" s="18" t="s">
        <v>660</v>
      </c>
      <c r="E857" s="3">
        <v>30</v>
      </c>
      <c r="F857" s="191">
        <v>40</v>
      </c>
      <c r="G857" s="18" t="s">
        <v>152</v>
      </c>
      <c r="H857" s="3">
        <v>30</v>
      </c>
      <c r="I857" s="3" t="s">
        <v>759</v>
      </c>
      <c r="J857" s="3"/>
      <c r="K857" s="18">
        <f t="shared" si="344"/>
        <v>8.1</v>
      </c>
      <c r="L857" s="18">
        <v>8.4499999999999993</v>
      </c>
      <c r="M857" s="4">
        <f t="shared" si="343"/>
        <v>0.34999999999999964</v>
      </c>
      <c r="N857" s="113">
        <f t="shared" si="345"/>
        <v>0.68571428571428639</v>
      </c>
      <c r="O857" s="5">
        <f t="shared" si="325"/>
        <v>0.31428571428571361</v>
      </c>
      <c r="P857" s="4">
        <v>0.24</v>
      </c>
      <c r="Q857" s="18"/>
      <c r="R857" s="18"/>
      <c r="S857" s="18"/>
      <c r="T857" s="18">
        <v>0.24</v>
      </c>
      <c r="U857" s="18">
        <v>0.1</v>
      </c>
      <c r="V857" s="18">
        <f t="shared" si="329"/>
        <v>28.571428571428605</v>
      </c>
      <c r="W857" s="18"/>
      <c r="X857" s="18"/>
      <c r="Y857" s="18">
        <v>3</v>
      </c>
      <c r="Z857" s="31">
        <f t="shared" si="341"/>
        <v>116.66666666666656</v>
      </c>
      <c r="AA857" s="6"/>
      <c r="AB857" s="6"/>
      <c r="AC857" s="184"/>
      <c r="AD857" s="6"/>
      <c r="AE857" s="184"/>
      <c r="AF857" s="184"/>
      <c r="AG857" s="196" t="s">
        <v>27</v>
      </c>
      <c r="AH857" s="196" t="s">
        <v>27</v>
      </c>
      <c r="AI857" s="18" t="str">
        <f>+VLOOKUP(AH857,Leyenda!$O$4:$U$10,6,FALSE)</f>
        <v>0,35-0,50</v>
      </c>
      <c r="AJ857" s="18" t="str">
        <f>+VLOOKUP(AG857,Leyenda!$O$4:$U$10,7,FALSE)</f>
        <v>Easy to blast</v>
      </c>
      <c r="AK857" s="18">
        <f>+VLOOKUP(AJ857,Leyenda!$U$4:$V$10,2,FALSE)</f>
        <v>3</v>
      </c>
      <c r="AL857" s="5"/>
      <c r="AM857" s="18" t="s">
        <v>27</v>
      </c>
      <c r="AN857" s="18" t="s">
        <v>66</v>
      </c>
      <c r="AO857" s="18" t="s">
        <v>79</v>
      </c>
      <c r="AP857" s="18" t="s">
        <v>96</v>
      </c>
      <c r="AQ857" s="18" t="s">
        <v>107</v>
      </c>
      <c r="AR857" s="18" t="s">
        <v>120</v>
      </c>
      <c r="AS857" s="18" t="s">
        <v>267</v>
      </c>
      <c r="AT857" s="18"/>
      <c r="AU857" s="6"/>
      <c r="AV857" s="18">
        <f>+VLOOKUP(AN857,Leyenda!$B$30:$E$34,3,FALSE)</f>
        <v>1</v>
      </c>
      <c r="AW857" s="18">
        <f>+VLOOKUP('2. Logging Brejo Seco'!AO857,Meteorizacion,3,FALSE)</f>
        <v>1</v>
      </c>
      <c r="AX857" s="18">
        <f>+VLOOKUP('2. Logging Brejo Seco'!AP857,Apertura,3,FALSE)</f>
        <v>1</v>
      </c>
      <c r="AY857" s="18">
        <f>+VLOOKUP('2. Logging Brejo Seco'!AQ857,Leyenda!$B$55:$D$59,3,FALSE)</f>
        <v>3</v>
      </c>
      <c r="AZ857" s="18">
        <f>+VLOOKUP('2. Logging Brejo Seco'!AR857,Relleno,3,FALSE)</f>
        <v>2</v>
      </c>
      <c r="BA857" s="18">
        <f t="shared" si="316"/>
        <v>8</v>
      </c>
      <c r="BB857" s="49">
        <f t="shared" si="317"/>
        <v>6</v>
      </c>
      <c r="BC857" s="49">
        <f>VLOOKUP(AH857,Leyenda!$B$4:$D$10,3,FALSE)</f>
        <v>4</v>
      </c>
      <c r="BD857" s="49">
        <f t="shared" si="318"/>
        <v>8</v>
      </c>
      <c r="BE857" s="49">
        <f t="shared" si="319"/>
        <v>8</v>
      </c>
      <c r="BF857" s="49">
        <f>VLOOKUP(AS857,Leyenda!$B$70:$D$75,3,FALSE)</f>
        <v>15</v>
      </c>
      <c r="BG857" s="67">
        <f t="shared" si="320"/>
        <v>26.285714285714302</v>
      </c>
      <c r="BH857" s="67">
        <f>VLOOKUP(AG857,Leyenda!$B$4:$E$10,4,FALSE)</f>
        <v>4</v>
      </c>
      <c r="BI857" s="67">
        <f t="shared" si="321"/>
        <v>9</v>
      </c>
      <c r="BJ857" s="67">
        <f t="shared" si="322"/>
        <v>6</v>
      </c>
      <c r="BK857" s="67">
        <f>+VLOOKUP('2. Logging Brejo Seco'!AP857,Leyenda!$B$47:$E$51,4,FALSE)</f>
        <v>1</v>
      </c>
      <c r="BL857" s="67">
        <f>+VLOOKUP('2. Logging Brejo Seco'!AQ857,Leyenda!$B$55:$E$59,4,FALSE)</f>
        <v>3</v>
      </c>
      <c r="BM857" s="67">
        <f>+VLOOKUP('2. Logging Brejo Seco'!AR857,Leyenda!$B$63:$E$67,3,FALSE)</f>
        <v>2</v>
      </c>
      <c r="BN857" s="67">
        <f>+VLOOKUP('2. Logging Brejo Seco'!AO857,Leyenda!$B$39:$E$43,4,FALSE)</f>
        <v>1</v>
      </c>
      <c r="BO857" s="67">
        <f>+VLOOKUP('2. Logging Brejo Seco'!AN857,Leyenda!$B$30:$E$34,4,FALSE)</f>
        <v>1</v>
      </c>
      <c r="BP857" s="67">
        <f>VLOOKUP(AS857,Leyenda!$B$71:$E$75,4,FALSE)</f>
        <v>10</v>
      </c>
      <c r="BQ857" s="67">
        <f t="shared" si="323"/>
        <v>37</v>
      </c>
      <c r="BR857" s="18">
        <f t="shared" si="324"/>
        <v>41</v>
      </c>
      <c r="BS857" s="240">
        <f t="shared" si="330"/>
        <v>0.31428571428571361</v>
      </c>
      <c r="BT857" s="6"/>
    </row>
    <row r="858" spans="1:72" x14ac:dyDescent="0.25">
      <c r="A858" s="18" t="s">
        <v>6</v>
      </c>
      <c r="B858" s="18">
        <v>2024</v>
      </c>
      <c r="C858" s="18" t="s">
        <v>138</v>
      </c>
      <c r="D858" s="18" t="s">
        <v>660</v>
      </c>
      <c r="E858" s="3">
        <v>30</v>
      </c>
      <c r="F858" s="191">
        <v>40</v>
      </c>
      <c r="G858" s="18" t="s">
        <v>152</v>
      </c>
      <c r="H858" s="3">
        <v>30</v>
      </c>
      <c r="I858" s="3" t="s">
        <v>759</v>
      </c>
      <c r="J858" s="3"/>
      <c r="K858" s="18">
        <v>8.4499999999999993</v>
      </c>
      <c r="L858" s="18">
        <v>9.1999999999999993</v>
      </c>
      <c r="M858" s="4">
        <f t="shared" si="343"/>
        <v>0.75</v>
      </c>
      <c r="N858" s="113">
        <f t="shared" si="345"/>
        <v>0.73333333333333339</v>
      </c>
      <c r="O858" s="5">
        <f t="shared" si="325"/>
        <v>0.26666666666666661</v>
      </c>
      <c r="P858" s="4">
        <v>0.55000000000000004</v>
      </c>
      <c r="Q858" s="18"/>
      <c r="R858" s="18"/>
      <c r="S858" s="18"/>
      <c r="T858" s="18">
        <v>0.55000000000000004</v>
      </c>
      <c r="U858" s="18">
        <v>0</v>
      </c>
      <c r="V858" s="18">
        <f t="shared" si="329"/>
        <v>0</v>
      </c>
      <c r="W858" s="18"/>
      <c r="X858" s="18"/>
      <c r="Y858" s="18">
        <v>5</v>
      </c>
      <c r="Z858" s="31">
        <f t="shared" si="341"/>
        <v>150</v>
      </c>
      <c r="AA858" s="6"/>
      <c r="AB858" s="6"/>
      <c r="AC858" s="184"/>
      <c r="AD858" s="6"/>
      <c r="AE858" s="184"/>
      <c r="AF858" s="184"/>
      <c r="AG858" s="196" t="s">
        <v>27</v>
      </c>
      <c r="AH858" s="196" t="s">
        <v>27</v>
      </c>
      <c r="AI858" s="18" t="str">
        <f>+VLOOKUP(AH858,Leyenda!$O$4:$U$10,6,FALSE)</f>
        <v>0,35-0,50</v>
      </c>
      <c r="AJ858" s="18" t="str">
        <f>+VLOOKUP(AG858,Leyenda!$O$4:$U$10,7,FALSE)</f>
        <v>Easy to blast</v>
      </c>
      <c r="AK858" s="18">
        <f>+VLOOKUP(AJ858,Leyenda!$U$4:$V$10,2,FALSE)</f>
        <v>3</v>
      </c>
      <c r="AL858" s="5"/>
      <c r="AM858" s="18" t="s">
        <v>27</v>
      </c>
      <c r="AN858" s="18" t="s">
        <v>66</v>
      </c>
      <c r="AO858" s="18" t="s">
        <v>79</v>
      </c>
      <c r="AP858" s="18" t="s">
        <v>96</v>
      </c>
      <c r="AQ858" s="18" t="s">
        <v>107</v>
      </c>
      <c r="AR858" s="18" t="s">
        <v>120</v>
      </c>
      <c r="AS858" s="18" t="s">
        <v>267</v>
      </c>
      <c r="AT858" s="18"/>
      <c r="AU858" s="6"/>
      <c r="AV858" s="18">
        <f>+VLOOKUP(AN858,Leyenda!$B$30:$E$34,3,FALSE)</f>
        <v>1</v>
      </c>
      <c r="AW858" s="18">
        <f>+VLOOKUP('2. Logging Brejo Seco'!AO858,Meteorizacion,3,FALSE)</f>
        <v>1</v>
      </c>
      <c r="AX858" s="18">
        <f>+VLOOKUP('2. Logging Brejo Seco'!AP858,Apertura,3,FALSE)</f>
        <v>1</v>
      </c>
      <c r="AY858" s="18">
        <f>+VLOOKUP('2. Logging Brejo Seco'!AQ858,Leyenda!$B$55:$D$59,3,FALSE)</f>
        <v>3</v>
      </c>
      <c r="AZ858" s="18">
        <f>+VLOOKUP('2. Logging Brejo Seco'!AR858,Relleno,3,FALSE)</f>
        <v>2</v>
      </c>
      <c r="BA858" s="18">
        <f t="shared" si="316"/>
        <v>8</v>
      </c>
      <c r="BB858" s="49">
        <f t="shared" si="317"/>
        <v>0</v>
      </c>
      <c r="BC858" s="49">
        <f>VLOOKUP(AH858,Leyenda!$B$4:$D$10,3,FALSE)</f>
        <v>4</v>
      </c>
      <c r="BD858" s="49">
        <f t="shared" si="318"/>
        <v>8</v>
      </c>
      <c r="BE858" s="49">
        <f t="shared" si="319"/>
        <v>8</v>
      </c>
      <c r="BF858" s="49">
        <f>VLOOKUP(AS858,Leyenda!$B$70:$D$75,3,FALSE)</f>
        <v>15</v>
      </c>
      <c r="BG858" s="67">
        <f t="shared" si="320"/>
        <v>12</v>
      </c>
      <c r="BH858" s="67">
        <f>VLOOKUP(AG858,Leyenda!$B$4:$E$10,4,FALSE)</f>
        <v>4</v>
      </c>
      <c r="BI858" s="67">
        <f t="shared" si="321"/>
        <v>11</v>
      </c>
      <c r="BJ858" s="67">
        <f t="shared" si="322"/>
        <v>0</v>
      </c>
      <c r="BK858" s="67">
        <f>+VLOOKUP('2. Logging Brejo Seco'!AP858,Leyenda!$B$47:$E$51,4,FALSE)</f>
        <v>1</v>
      </c>
      <c r="BL858" s="67">
        <f>+VLOOKUP('2. Logging Brejo Seco'!AQ858,Leyenda!$B$55:$E$59,4,FALSE)</f>
        <v>3</v>
      </c>
      <c r="BM858" s="67">
        <f>+VLOOKUP('2. Logging Brejo Seco'!AR858,Leyenda!$B$63:$E$67,3,FALSE)</f>
        <v>2</v>
      </c>
      <c r="BN858" s="67">
        <f>+VLOOKUP('2. Logging Brejo Seco'!AO858,Leyenda!$B$39:$E$43,4,FALSE)</f>
        <v>1</v>
      </c>
      <c r="BO858" s="67">
        <f>+VLOOKUP('2. Logging Brejo Seco'!AN858,Leyenda!$B$30:$E$34,4,FALSE)</f>
        <v>1</v>
      </c>
      <c r="BP858" s="67">
        <f>VLOOKUP(AS858,Leyenda!$B$71:$E$75,4,FALSE)</f>
        <v>10</v>
      </c>
      <c r="BQ858" s="67">
        <f t="shared" si="323"/>
        <v>33</v>
      </c>
      <c r="BR858" s="18">
        <f t="shared" si="324"/>
        <v>35</v>
      </c>
      <c r="BS858" s="240">
        <f t="shared" si="330"/>
        <v>0.26666666666666661</v>
      </c>
      <c r="BT858" s="6"/>
    </row>
    <row r="859" spans="1:72" x14ac:dyDescent="0.25">
      <c r="A859" s="18" t="s">
        <v>6</v>
      </c>
      <c r="B859" s="18">
        <v>2024</v>
      </c>
      <c r="C859" s="18" t="s">
        <v>138</v>
      </c>
      <c r="D859" s="18" t="s">
        <v>660</v>
      </c>
      <c r="E859" s="3">
        <v>30</v>
      </c>
      <c r="F859" s="191">
        <v>40</v>
      </c>
      <c r="G859" s="18" t="s">
        <v>152</v>
      </c>
      <c r="H859" s="3">
        <v>30</v>
      </c>
      <c r="I859" s="3" t="s">
        <v>759</v>
      </c>
      <c r="J859" s="3"/>
      <c r="K859" s="18">
        <f t="shared" si="344"/>
        <v>9.1999999999999993</v>
      </c>
      <c r="L859" s="18">
        <v>10.5</v>
      </c>
      <c r="M859" s="4">
        <f t="shared" si="343"/>
        <v>1.3000000000000007</v>
      </c>
      <c r="N859" s="113">
        <f t="shared" si="345"/>
        <v>0.63076923076923042</v>
      </c>
      <c r="O859" s="5">
        <f t="shared" si="325"/>
        <v>0.36923076923076958</v>
      </c>
      <c r="P859" s="4">
        <v>0.82</v>
      </c>
      <c r="Q859" s="18"/>
      <c r="R859" s="18"/>
      <c r="S859" s="18"/>
      <c r="T859" s="18">
        <v>0.82</v>
      </c>
      <c r="U859" s="18">
        <v>0.38</v>
      </c>
      <c r="V859" s="18">
        <f t="shared" si="329"/>
        <v>29.230769230769216</v>
      </c>
      <c r="W859" s="18"/>
      <c r="X859" s="18"/>
      <c r="Y859" s="18">
        <v>9</v>
      </c>
      <c r="Z859" s="31">
        <f t="shared" si="341"/>
        <v>144.44444444444451</v>
      </c>
      <c r="AA859" s="6"/>
      <c r="AB859" s="6"/>
      <c r="AC859" s="184"/>
      <c r="AD859" s="6"/>
      <c r="AE859" s="184"/>
      <c r="AF859" s="184"/>
      <c r="AG859" s="196" t="s">
        <v>22</v>
      </c>
      <c r="AH859" s="196" t="s">
        <v>22</v>
      </c>
      <c r="AI859" s="18" t="str">
        <f>+VLOOKUP(AH859,Leyenda!$O$4:$U$10,6,FALSE)</f>
        <v>0,80-1,50</v>
      </c>
      <c r="AJ859" s="18" t="str">
        <f>+VLOOKUP(AG859,Leyenda!$O$4:$U$10,7,FALSE)</f>
        <v>Moderate to resistence to blast</v>
      </c>
      <c r="AK859" s="18">
        <f>+VLOOKUP(AJ859,Leyenda!$U$4:$V$10,2,FALSE)</f>
        <v>5</v>
      </c>
      <c r="AL859" s="5" t="s">
        <v>22</v>
      </c>
      <c r="AM859" s="18" t="s">
        <v>22</v>
      </c>
      <c r="AN859" s="18" t="s">
        <v>64</v>
      </c>
      <c r="AO859" s="18" t="s">
        <v>79</v>
      </c>
      <c r="AP859" s="18" t="s">
        <v>92</v>
      </c>
      <c r="AQ859" s="18" t="s">
        <v>107</v>
      </c>
      <c r="AR859" s="18" t="s">
        <v>118</v>
      </c>
      <c r="AS859" s="18" t="s">
        <v>267</v>
      </c>
      <c r="AT859" s="18"/>
      <c r="AU859" s="6"/>
      <c r="AV859" s="18">
        <f>+VLOOKUP(AN859,Leyenda!$B$30:$E$34,3,FALSE)</f>
        <v>2</v>
      </c>
      <c r="AW859" s="18">
        <f>+VLOOKUP('2. Logging Brejo Seco'!AO859,Meteorizacion,3,FALSE)</f>
        <v>1</v>
      </c>
      <c r="AX859" s="18">
        <f>+VLOOKUP('2. Logging Brejo Seco'!AP859,Apertura,3,FALSE)</f>
        <v>3</v>
      </c>
      <c r="AY859" s="18">
        <f>+VLOOKUP('2. Logging Brejo Seco'!AQ859,Leyenda!$B$55:$D$59,3,FALSE)</f>
        <v>3</v>
      </c>
      <c r="AZ859" s="18">
        <f>+VLOOKUP('2. Logging Brejo Seco'!AR859,Relleno,3,FALSE)</f>
        <v>2</v>
      </c>
      <c r="BA859" s="18">
        <f t="shared" si="316"/>
        <v>11</v>
      </c>
      <c r="BB859" s="49">
        <f t="shared" si="317"/>
        <v>6</v>
      </c>
      <c r="BC859" s="49">
        <f>VLOOKUP(AH859,Leyenda!$B$4:$D$10,3,FALSE)</f>
        <v>12</v>
      </c>
      <c r="BD859" s="49">
        <f t="shared" si="318"/>
        <v>8</v>
      </c>
      <c r="BE859" s="49">
        <f t="shared" si="319"/>
        <v>11</v>
      </c>
      <c r="BF859" s="49">
        <f>VLOOKUP(AS859,Leyenda!$B$70:$D$75,3,FALSE)</f>
        <v>15</v>
      </c>
      <c r="BG859" s="67">
        <f t="shared" si="320"/>
        <v>31.115384615384606</v>
      </c>
      <c r="BH859" s="208">
        <v>7</v>
      </c>
      <c r="BI859" s="125">
        <f t="shared" si="321"/>
        <v>10</v>
      </c>
      <c r="BJ859" s="125">
        <f t="shared" si="322"/>
        <v>6</v>
      </c>
      <c r="BK859" s="125">
        <f>+VLOOKUP('2. Logging Brejo Seco'!AP859,Leyenda!$B$47:$E$51,4,FALSE)</f>
        <v>3</v>
      </c>
      <c r="BL859" s="125">
        <f>+VLOOKUP('2. Logging Brejo Seco'!AQ859,Leyenda!$B$55:$E$59,4,FALSE)</f>
        <v>3</v>
      </c>
      <c r="BM859" s="125">
        <f>+VLOOKUP('2. Logging Brejo Seco'!AR859,Leyenda!$B$63:$E$67,3,FALSE)</f>
        <v>2</v>
      </c>
      <c r="BN859" s="125">
        <f>+VLOOKUP('2. Logging Brejo Seco'!AO859,Leyenda!$B$39:$E$43,4,FALSE)</f>
        <v>1</v>
      </c>
      <c r="BO859" s="125">
        <f>+VLOOKUP('2. Logging Brejo Seco'!AN859,Leyenda!$B$30:$E$34,4,FALSE)</f>
        <v>3</v>
      </c>
      <c r="BP859" s="125">
        <f>VLOOKUP(AS859,Leyenda!$B$71:$E$75,4,FALSE)</f>
        <v>10</v>
      </c>
      <c r="BQ859" s="125">
        <f t="shared" si="323"/>
        <v>45</v>
      </c>
      <c r="BR859" s="85">
        <f t="shared" si="324"/>
        <v>52</v>
      </c>
      <c r="BS859" s="240">
        <f t="shared" si="330"/>
        <v>0.36923076923076958</v>
      </c>
      <c r="BT859" s="6"/>
    </row>
    <row r="860" spans="1:72" x14ac:dyDescent="0.25">
      <c r="A860" s="18" t="s">
        <v>6</v>
      </c>
      <c r="B860" s="18">
        <v>2024</v>
      </c>
      <c r="C860" s="18" t="s">
        <v>138</v>
      </c>
      <c r="D860" s="18" t="s">
        <v>660</v>
      </c>
      <c r="E860" s="3">
        <v>30</v>
      </c>
      <c r="F860" s="191">
        <v>30</v>
      </c>
      <c r="G860" s="18" t="s">
        <v>152</v>
      </c>
      <c r="H860" s="3">
        <v>30</v>
      </c>
      <c r="I860" s="3" t="s">
        <v>759</v>
      </c>
      <c r="J860" s="3"/>
      <c r="K860" s="18">
        <f t="shared" si="344"/>
        <v>10.5</v>
      </c>
      <c r="L860" s="18">
        <v>11.3</v>
      </c>
      <c r="M860" s="4">
        <f t="shared" si="343"/>
        <v>0.80000000000000071</v>
      </c>
      <c r="N860" s="113">
        <f t="shared" si="345"/>
        <v>0.77499999999999936</v>
      </c>
      <c r="O860" s="5">
        <f t="shared" si="325"/>
        <v>0.22500000000000064</v>
      </c>
      <c r="P860" s="4">
        <v>0.62</v>
      </c>
      <c r="Q860" s="18"/>
      <c r="R860" s="18"/>
      <c r="S860" s="18"/>
      <c r="T860" s="18">
        <v>0.62</v>
      </c>
      <c r="U860" s="18">
        <v>0</v>
      </c>
      <c r="V860" s="18">
        <f t="shared" si="329"/>
        <v>0</v>
      </c>
      <c r="W860" s="18"/>
      <c r="X860" s="18"/>
      <c r="Y860" s="223">
        <v>9</v>
      </c>
      <c r="Z860" s="31">
        <f t="shared" si="341"/>
        <v>88.888888888888971</v>
      </c>
      <c r="AA860" s="6"/>
      <c r="AB860" s="6"/>
      <c r="AC860" s="184"/>
      <c r="AD860" s="6"/>
      <c r="AE860" s="184"/>
      <c r="AF860" s="184"/>
      <c r="AG860" s="196" t="s">
        <v>27</v>
      </c>
      <c r="AH860" s="196" t="s">
        <v>27</v>
      </c>
      <c r="AI860" s="18" t="str">
        <f>+VLOOKUP(AH860,Leyenda!$O$4:$U$10,6,FALSE)</f>
        <v>0,35-0,50</v>
      </c>
      <c r="AJ860" s="18" t="str">
        <f>+VLOOKUP(AG860,Leyenda!$O$4:$U$10,7,FALSE)</f>
        <v>Easy to blast</v>
      </c>
      <c r="AK860" s="18">
        <f>+VLOOKUP(AJ860,Leyenda!$U$4:$V$10,2,FALSE)</f>
        <v>3</v>
      </c>
      <c r="AL860" s="5"/>
      <c r="AM860" s="18" t="s">
        <v>27</v>
      </c>
      <c r="AN860" s="18" t="s">
        <v>66</v>
      </c>
      <c r="AO860" s="18" t="s">
        <v>79</v>
      </c>
      <c r="AP860" s="18" t="s">
        <v>92</v>
      </c>
      <c r="AQ860" s="18" t="s">
        <v>107</v>
      </c>
      <c r="AR860" s="18" t="s">
        <v>120</v>
      </c>
      <c r="AS860" s="18" t="s">
        <v>267</v>
      </c>
      <c r="AT860" s="18"/>
      <c r="AU860" s="6"/>
      <c r="AV860" s="36">
        <f>+VLOOKUP(AN860,Leyenda!$B$30:$E$34,3,FALSE)</f>
        <v>1</v>
      </c>
      <c r="AW860" s="36">
        <f>+VLOOKUP('2. Logging Brejo Seco'!AO860,Meteorizacion,3,FALSE)</f>
        <v>1</v>
      </c>
      <c r="AX860" s="36">
        <f>+VLOOKUP('2. Logging Brejo Seco'!AP860,Apertura,3,FALSE)</f>
        <v>3</v>
      </c>
      <c r="AY860" s="36">
        <f>+VLOOKUP('2. Logging Brejo Seco'!AQ860,Leyenda!$B$55:$D$59,3,FALSE)</f>
        <v>3</v>
      </c>
      <c r="AZ860" s="36">
        <f>+VLOOKUP('2. Logging Brejo Seco'!AR860,Relleno,3,FALSE)</f>
        <v>2</v>
      </c>
      <c r="BA860" s="36">
        <f t="shared" si="316"/>
        <v>10</v>
      </c>
      <c r="BB860" s="225">
        <f t="shared" si="317"/>
        <v>0</v>
      </c>
      <c r="BC860" s="49">
        <f>VLOOKUP(AH860,Leyenda!$B$4:$D$10,3,FALSE)</f>
        <v>4</v>
      </c>
      <c r="BD860" s="50">
        <f t="shared" si="318"/>
        <v>7</v>
      </c>
      <c r="BE860" s="50">
        <f t="shared" si="319"/>
        <v>10</v>
      </c>
      <c r="BF860" s="50">
        <f>VLOOKUP(AS860,Leyenda!$B$70:$D$75,3,FALSE)</f>
        <v>15</v>
      </c>
      <c r="BG860" s="110">
        <f t="shared" si="320"/>
        <v>15</v>
      </c>
      <c r="BH860" s="110">
        <f>VLOOKUP(AG860,Leyenda!$B$4:$E$10,4,FALSE)</f>
        <v>4</v>
      </c>
      <c r="BI860" s="67">
        <f t="shared" si="321"/>
        <v>7</v>
      </c>
      <c r="BJ860" s="110">
        <f t="shared" si="322"/>
        <v>0</v>
      </c>
      <c r="BK860" s="110">
        <f>+VLOOKUP('2. Logging Brejo Seco'!AP860,Leyenda!$B$47:$E$51,4,FALSE)</f>
        <v>3</v>
      </c>
      <c r="BL860" s="110">
        <f>+VLOOKUP('2. Logging Brejo Seco'!AQ860,Leyenda!$B$55:$E$59,4,FALSE)</f>
        <v>3</v>
      </c>
      <c r="BM860" s="110">
        <f>+VLOOKUP('2. Logging Brejo Seco'!AR860,Leyenda!$B$63:$E$67,3,FALSE)</f>
        <v>2</v>
      </c>
      <c r="BN860" s="110">
        <f>+VLOOKUP('2. Logging Brejo Seco'!AO860,Leyenda!$B$39:$E$43,4,FALSE)</f>
        <v>1</v>
      </c>
      <c r="BO860" s="110">
        <f>+VLOOKUP('2. Logging Brejo Seco'!AN860,Leyenda!$B$30:$E$34,4,FALSE)</f>
        <v>1</v>
      </c>
      <c r="BP860" s="110">
        <f>VLOOKUP(AS860,Leyenda!$B$71:$E$75,4,FALSE)</f>
        <v>10</v>
      </c>
      <c r="BQ860" s="110">
        <f t="shared" si="323"/>
        <v>31</v>
      </c>
      <c r="BR860" s="36">
        <f t="shared" si="324"/>
        <v>36</v>
      </c>
      <c r="BS860" s="240">
        <f t="shared" si="330"/>
        <v>0.22500000000000064</v>
      </c>
      <c r="BT860" s="6"/>
    </row>
    <row r="861" spans="1:72" x14ac:dyDescent="0.25">
      <c r="A861" s="18" t="s">
        <v>6</v>
      </c>
      <c r="B861" s="18">
        <v>2024</v>
      </c>
      <c r="C861" s="18" t="s">
        <v>138</v>
      </c>
      <c r="D861" s="18" t="s">
        <v>660</v>
      </c>
      <c r="E861" s="3">
        <v>30</v>
      </c>
      <c r="F861" s="191">
        <v>40</v>
      </c>
      <c r="G861" s="18" t="s">
        <v>152</v>
      </c>
      <c r="H861" s="3">
        <v>30</v>
      </c>
      <c r="I861" s="3" t="s">
        <v>759</v>
      </c>
      <c r="J861" s="3"/>
      <c r="K861" s="18">
        <f t="shared" si="344"/>
        <v>11.3</v>
      </c>
      <c r="L861" s="18">
        <v>13.35</v>
      </c>
      <c r="M861" s="4">
        <f t="shared" si="343"/>
        <v>2.0499999999999989</v>
      </c>
      <c r="N861" s="113">
        <f t="shared" si="345"/>
        <v>0.24390243902439038</v>
      </c>
      <c r="O861" s="5">
        <f t="shared" si="325"/>
        <v>0.75609756097560965</v>
      </c>
      <c r="P861" s="4">
        <v>0.5</v>
      </c>
      <c r="Q861" s="18"/>
      <c r="R861" s="18"/>
      <c r="S861" s="18"/>
      <c r="T861" s="18">
        <v>0.5</v>
      </c>
      <c r="U861" s="18">
        <v>0.33</v>
      </c>
      <c r="V861" s="18">
        <f t="shared" si="329"/>
        <v>16.097560975609763</v>
      </c>
      <c r="W861" s="18"/>
      <c r="X861" s="18"/>
      <c r="Y861" s="18">
        <v>17</v>
      </c>
      <c r="Z861" s="31">
        <f t="shared" si="341"/>
        <v>120.5882352941176</v>
      </c>
      <c r="AA861" s="6"/>
      <c r="AB861" s="6"/>
      <c r="AC861" s="184"/>
      <c r="AD861" s="6"/>
      <c r="AE861" s="184"/>
      <c r="AF861" s="184"/>
      <c r="AG861" s="196" t="s">
        <v>22</v>
      </c>
      <c r="AH861" s="196" t="s">
        <v>22</v>
      </c>
      <c r="AI861" s="18" t="str">
        <f>+VLOOKUP(AH861,Leyenda!$O$4:$U$10,6,FALSE)</f>
        <v>0,80-1,50</v>
      </c>
      <c r="AJ861" s="18" t="str">
        <f>+VLOOKUP(AG861,Leyenda!$O$4:$U$10,7,FALSE)</f>
        <v>Moderate to resistence to blast</v>
      </c>
      <c r="AK861" s="18">
        <f>+VLOOKUP(AJ861,Leyenda!$U$4:$V$10,2,FALSE)</f>
        <v>5</v>
      </c>
      <c r="AL861" s="5" t="s">
        <v>22</v>
      </c>
      <c r="AM861" s="18" t="s">
        <v>22</v>
      </c>
      <c r="AN861" s="18" t="s">
        <v>64</v>
      </c>
      <c r="AO861" s="18" t="s">
        <v>79</v>
      </c>
      <c r="AP861" s="18" t="s">
        <v>92</v>
      </c>
      <c r="AQ861" s="18" t="s">
        <v>107</v>
      </c>
      <c r="AR861" s="18" t="s">
        <v>118</v>
      </c>
      <c r="AS861" s="18" t="s">
        <v>267</v>
      </c>
      <c r="AT861" s="18"/>
      <c r="AU861" s="6"/>
      <c r="AV861" s="18">
        <f>+VLOOKUP(AN861,Leyenda!$B$30:$E$34,3,FALSE)</f>
        <v>2</v>
      </c>
      <c r="AW861" s="18">
        <f>+VLOOKUP('2. Logging Brejo Seco'!AO861,Meteorizacion,3,FALSE)</f>
        <v>1</v>
      </c>
      <c r="AX861" s="18">
        <f>+VLOOKUP('2. Logging Brejo Seco'!AP861,Apertura,3,FALSE)</f>
        <v>3</v>
      </c>
      <c r="AY861" s="18">
        <f>+VLOOKUP('2. Logging Brejo Seco'!AQ861,Leyenda!$B$55:$D$59,3,FALSE)</f>
        <v>3</v>
      </c>
      <c r="AZ861" s="18">
        <f>+VLOOKUP('2. Logging Brejo Seco'!AR861,Relleno,3,FALSE)</f>
        <v>2</v>
      </c>
      <c r="BA861" s="18">
        <f t="shared" si="316"/>
        <v>11</v>
      </c>
      <c r="BB861" s="49">
        <f t="shared" si="317"/>
        <v>3</v>
      </c>
      <c r="BC861" s="49">
        <f>VLOOKUP(AH861,Leyenda!$B$4:$D$10,3,FALSE)</f>
        <v>12</v>
      </c>
      <c r="BD861" s="49">
        <f t="shared" si="318"/>
        <v>8</v>
      </c>
      <c r="BE861" s="49">
        <f t="shared" si="319"/>
        <v>11</v>
      </c>
      <c r="BF861" s="49">
        <f>VLOOKUP(AS861,Leyenda!$B$70:$D$75,3,FALSE)</f>
        <v>15</v>
      </c>
      <c r="BG861" s="67">
        <f t="shared" si="320"/>
        <v>24.548780487804883</v>
      </c>
      <c r="BH861" s="208">
        <v>7</v>
      </c>
      <c r="BI861" s="125">
        <f t="shared" si="321"/>
        <v>9</v>
      </c>
      <c r="BJ861" s="125">
        <f t="shared" si="322"/>
        <v>3</v>
      </c>
      <c r="BK861" s="125">
        <f>+VLOOKUP('2. Logging Brejo Seco'!AP861,Leyenda!$B$47:$E$51,4,FALSE)</f>
        <v>3</v>
      </c>
      <c r="BL861" s="125">
        <f>+VLOOKUP('2. Logging Brejo Seco'!AQ861,Leyenda!$B$55:$E$59,4,FALSE)</f>
        <v>3</v>
      </c>
      <c r="BM861" s="125">
        <f>+VLOOKUP('2. Logging Brejo Seco'!AR861,Leyenda!$B$63:$E$67,3,FALSE)</f>
        <v>2</v>
      </c>
      <c r="BN861" s="125">
        <f>+VLOOKUP('2. Logging Brejo Seco'!AO861,Leyenda!$B$39:$E$43,4,FALSE)</f>
        <v>1</v>
      </c>
      <c r="BO861" s="125">
        <f>+VLOOKUP('2. Logging Brejo Seco'!AN861,Leyenda!$B$30:$E$34,4,FALSE)</f>
        <v>3</v>
      </c>
      <c r="BP861" s="125">
        <f>VLOOKUP(AS861,Leyenda!$B$71:$E$75,4,FALSE)</f>
        <v>10</v>
      </c>
      <c r="BQ861" s="125">
        <f t="shared" si="323"/>
        <v>41</v>
      </c>
      <c r="BR861" s="85">
        <f t="shared" si="324"/>
        <v>49</v>
      </c>
      <c r="BS861" s="240">
        <f t="shared" si="330"/>
        <v>0.75609756097560965</v>
      </c>
      <c r="BT861" s="6"/>
    </row>
    <row r="862" spans="1:72" x14ac:dyDescent="0.25">
      <c r="A862" s="18" t="s">
        <v>6</v>
      </c>
      <c r="B862" s="18">
        <v>2024</v>
      </c>
      <c r="C862" s="18" t="s">
        <v>138</v>
      </c>
      <c r="D862" s="18" t="s">
        <v>660</v>
      </c>
      <c r="E862" s="3">
        <v>30</v>
      </c>
      <c r="F862" s="191">
        <v>30</v>
      </c>
      <c r="G862" s="18" t="s">
        <v>152</v>
      </c>
      <c r="H862" s="3">
        <v>40</v>
      </c>
      <c r="I862" s="3" t="s">
        <v>757</v>
      </c>
      <c r="J862" s="3"/>
      <c r="K862" s="18">
        <f t="shared" si="344"/>
        <v>13.35</v>
      </c>
      <c r="L862" s="18">
        <v>13.65</v>
      </c>
      <c r="M862" s="4">
        <f t="shared" si="343"/>
        <v>0.30000000000000071</v>
      </c>
      <c r="N862" s="113">
        <f t="shared" si="345"/>
        <v>0.99999999999999756</v>
      </c>
      <c r="O862" s="5">
        <f t="shared" si="325"/>
        <v>2.4424906541753444E-15</v>
      </c>
      <c r="P862" s="4">
        <v>0.3</v>
      </c>
      <c r="Q862" s="18"/>
      <c r="R862" s="18"/>
      <c r="S862" s="18"/>
      <c r="T862" s="18">
        <v>0.3</v>
      </c>
      <c r="U862" s="18">
        <v>0.1</v>
      </c>
      <c r="V862" s="18">
        <f t="shared" si="329"/>
        <v>33.33333333333325</v>
      </c>
      <c r="W862" s="18"/>
      <c r="X862" s="18"/>
      <c r="Y862" s="223">
        <v>6</v>
      </c>
      <c r="Z862" s="31">
        <f t="shared" si="341"/>
        <v>50.000000000000114</v>
      </c>
      <c r="AA862" s="6"/>
      <c r="AB862" s="6"/>
      <c r="AC862" s="184"/>
      <c r="AD862" s="6"/>
      <c r="AE862" s="184"/>
      <c r="AF862" s="184"/>
      <c r="AG862" s="196" t="s">
        <v>27</v>
      </c>
      <c r="AH862" s="196" t="s">
        <v>27</v>
      </c>
      <c r="AI862" s="18" t="str">
        <f>+VLOOKUP(AH862,Leyenda!$O$4:$U$10,6,FALSE)</f>
        <v>0,35-0,50</v>
      </c>
      <c r="AJ862" s="18" t="str">
        <f>+VLOOKUP(AG862,Leyenda!$O$4:$U$10,7,FALSE)</f>
        <v>Easy to blast</v>
      </c>
      <c r="AK862" s="18">
        <f>+VLOOKUP(AJ862,Leyenda!$U$4:$V$10,2,FALSE)</f>
        <v>3</v>
      </c>
      <c r="AL862" s="5"/>
      <c r="AM862" s="18" t="s">
        <v>27</v>
      </c>
      <c r="AN862" s="18" t="s">
        <v>64</v>
      </c>
      <c r="AO862" s="18" t="s">
        <v>79</v>
      </c>
      <c r="AP862" s="18" t="s">
        <v>96</v>
      </c>
      <c r="AQ862" s="18" t="s">
        <v>107</v>
      </c>
      <c r="AR862" s="18" t="s">
        <v>120</v>
      </c>
      <c r="AS862" s="18" t="s">
        <v>267</v>
      </c>
      <c r="AT862" s="18"/>
      <c r="AU862" s="6"/>
      <c r="AV862" s="36">
        <f>+VLOOKUP(AN862,Leyenda!$B$30:$E$34,3,FALSE)</f>
        <v>2</v>
      </c>
      <c r="AW862" s="36">
        <f>+VLOOKUP('2. Logging Brejo Seco'!AO862,Meteorizacion,3,FALSE)</f>
        <v>1</v>
      </c>
      <c r="AX862" s="36">
        <f>+VLOOKUP('2. Logging Brejo Seco'!AP862,Apertura,3,FALSE)</f>
        <v>1</v>
      </c>
      <c r="AY862" s="36">
        <f>+VLOOKUP('2. Logging Brejo Seco'!AQ862,Leyenda!$B$55:$D$59,3,FALSE)</f>
        <v>3</v>
      </c>
      <c r="AZ862" s="36">
        <f>+VLOOKUP('2. Logging Brejo Seco'!AR862,Relleno,3,FALSE)</f>
        <v>2</v>
      </c>
      <c r="BA862" s="36">
        <f t="shared" si="316"/>
        <v>9</v>
      </c>
      <c r="BB862" s="225">
        <f t="shared" si="317"/>
        <v>7</v>
      </c>
      <c r="BC862" s="49">
        <f>VLOOKUP(AH862,Leyenda!$B$4:$D$10,3,FALSE)</f>
        <v>4</v>
      </c>
      <c r="BD862" s="50">
        <f t="shared" si="318"/>
        <v>6</v>
      </c>
      <c r="BE862" s="50">
        <f t="shared" si="319"/>
        <v>9</v>
      </c>
      <c r="BF862" s="50">
        <f>VLOOKUP(AS862,Leyenda!$B$70:$D$75,3,FALSE)</f>
        <v>15</v>
      </c>
      <c r="BG862" s="110">
        <f t="shared" si="320"/>
        <v>30.166666666666625</v>
      </c>
      <c r="BH862" s="110">
        <f>VLOOKUP(AG862,Leyenda!$B$4:$E$10,4,FALSE)</f>
        <v>4</v>
      </c>
      <c r="BI862" s="67">
        <f t="shared" si="321"/>
        <v>4</v>
      </c>
      <c r="BJ862" s="110">
        <f t="shared" si="322"/>
        <v>7</v>
      </c>
      <c r="BK862" s="110">
        <f>+VLOOKUP('2. Logging Brejo Seco'!AP862,Leyenda!$B$47:$E$51,4,FALSE)</f>
        <v>1</v>
      </c>
      <c r="BL862" s="110">
        <f>+VLOOKUP('2. Logging Brejo Seco'!AQ862,Leyenda!$B$55:$E$59,4,FALSE)</f>
        <v>3</v>
      </c>
      <c r="BM862" s="110">
        <f>+VLOOKUP('2. Logging Brejo Seco'!AR862,Leyenda!$B$63:$E$67,3,FALSE)</f>
        <v>2</v>
      </c>
      <c r="BN862" s="110">
        <f>+VLOOKUP('2. Logging Brejo Seco'!AO862,Leyenda!$B$39:$E$43,4,FALSE)</f>
        <v>1</v>
      </c>
      <c r="BO862" s="110">
        <f>+VLOOKUP('2. Logging Brejo Seco'!AN862,Leyenda!$B$30:$E$34,4,FALSE)</f>
        <v>3</v>
      </c>
      <c r="BP862" s="110">
        <f>VLOOKUP(AS862,Leyenda!$B$71:$E$75,4,FALSE)</f>
        <v>10</v>
      </c>
      <c r="BQ862" s="110">
        <f t="shared" si="323"/>
        <v>35</v>
      </c>
      <c r="BR862" s="36">
        <f t="shared" si="324"/>
        <v>41</v>
      </c>
      <c r="BS862" s="240">
        <f t="shared" si="330"/>
        <v>2.4424906541753444E-15</v>
      </c>
      <c r="BT862" s="6"/>
    </row>
    <row r="863" spans="1:72" x14ac:dyDescent="0.25">
      <c r="A863" s="18" t="s">
        <v>6</v>
      </c>
      <c r="B863" s="18">
        <v>2024</v>
      </c>
      <c r="C863" s="18" t="s">
        <v>138</v>
      </c>
      <c r="D863" s="18" t="s">
        <v>660</v>
      </c>
      <c r="E863" s="3">
        <v>30</v>
      </c>
      <c r="F863" s="191">
        <v>30</v>
      </c>
      <c r="G863" s="18" t="s">
        <v>152</v>
      </c>
      <c r="H863" s="3">
        <v>40</v>
      </c>
      <c r="I863" s="3" t="s">
        <v>757</v>
      </c>
      <c r="J863" s="3"/>
      <c r="K863" s="18">
        <f t="shared" si="344"/>
        <v>13.65</v>
      </c>
      <c r="L863" s="18">
        <v>13.95</v>
      </c>
      <c r="M863" s="4">
        <f t="shared" si="343"/>
        <v>0.29999999999999893</v>
      </c>
      <c r="N863" s="113">
        <f t="shared" si="345"/>
        <v>0.66666666666666907</v>
      </c>
      <c r="O863" s="5">
        <f t="shared" si="325"/>
        <v>0.33333333333333093</v>
      </c>
      <c r="P863" s="4">
        <v>0.2</v>
      </c>
      <c r="Q863" s="18"/>
      <c r="R863" s="18"/>
      <c r="S863" s="18"/>
      <c r="T863" s="18">
        <v>0.2</v>
      </c>
      <c r="U863" s="18">
        <v>0</v>
      </c>
      <c r="V863" s="18">
        <f t="shared" si="329"/>
        <v>0</v>
      </c>
      <c r="W863" s="18"/>
      <c r="X863" s="18"/>
      <c r="Y863" s="223">
        <v>5</v>
      </c>
      <c r="Z863" s="31">
        <f t="shared" si="341"/>
        <v>59.999999999999787</v>
      </c>
      <c r="AA863" s="6"/>
      <c r="AB863" s="6"/>
      <c r="AC863" s="184"/>
      <c r="AD863" s="6"/>
      <c r="AE863" s="184"/>
      <c r="AF863" s="184"/>
      <c r="AG863" s="196" t="s">
        <v>27</v>
      </c>
      <c r="AH863" s="196" t="s">
        <v>27</v>
      </c>
      <c r="AI863" s="18" t="str">
        <f>+VLOOKUP(AH863,Leyenda!$O$4:$U$10,6,FALSE)</f>
        <v>0,35-0,50</v>
      </c>
      <c r="AJ863" s="18" t="str">
        <f>+VLOOKUP(AG863,Leyenda!$O$4:$U$10,7,FALSE)</f>
        <v>Easy to blast</v>
      </c>
      <c r="AK863" s="18">
        <f>+VLOOKUP(AJ863,Leyenda!$U$4:$V$10,2,FALSE)</f>
        <v>3</v>
      </c>
      <c r="AL863" s="5"/>
      <c r="AM863" s="18" t="s">
        <v>27</v>
      </c>
      <c r="AN863" s="18" t="s">
        <v>66</v>
      </c>
      <c r="AO863" s="18" t="s">
        <v>79</v>
      </c>
      <c r="AP863" s="18" t="s">
        <v>96</v>
      </c>
      <c r="AQ863" s="18" t="s">
        <v>107</v>
      </c>
      <c r="AR863" s="18" t="s">
        <v>120</v>
      </c>
      <c r="AS863" s="18" t="s">
        <v>267</v>
      </c>
      <c r="AT863" s="18"/>
      <c r="AU863" s="6"/>
      <c r="AV863" s="36">
        <f>+VLOOKUP(AN863,Leyenda!$B$30:$E$34,3,FALSE)</f>
        <v>1</v>
      </c>
      <c r="AW863" s="36">
        <f>+VLOOKUP('2. Logging Brejo Seco'!AO863,Meteorizacion,3,FALSE)</f>
        <v>1</v>
      </c>
      <c r="AX863" s="36">
        <f>+VLOOKUP('2. Logging Brejo Seco'!AP863,Apertura,3,FALSE)</f>
        <v>1</v>
      </c>
      <c r="AY863" s="36">
        <f>+VLOOKUP('2. Logging Brejo Seco'!AQ863,Leyenda!$B$55:$D$59,3,FALSE)</f>
        <v>3</v>
      </c>
      <c r="AZ863" s="36">
        <f>+VLOOKUP('2. Logging Brejo Seco'!AR863,Relleno,3,FALSE)</f>
        <v>2</v>
      </c>
      <c r="BA863" s="36">
        <f t="shared" si="316"/>
        <v>8</v>
      </c>
      <c r="BB863" s="225">
        <f t="shared" si="317"/>
        <v>0</v>
      </c>
      <c r="BC863" s="49">
        <f>VLOOKUP(AH863,Leyenda!$B$4:$D$10,3,FALSE)</f>
        <v>4</v>
      </c>
      <c r="BD863" s="50">
        <f t="shared" si="318"/>
        <v>6</v>
      </c>
      <c r="BE863" s="50">
        <f t="shared" si="319"/>
        <v>8</v>
      </c>
      <c r="BF863" s="50">
        <f>VLOOKUP(AS863,Leyenda!$B$70:$D$75,3,FALSE)</f>
        <v>15</v>
      </c>
      <c r="BG863" s="110">
        <f t="shared" si="320"/>
        <v>12</v>
      </c>
      <c r="BH863" s="110">
        <f>VLOOKUP(AG863,Leyenda!$B$4:$E$10,4,FALSE)</f>
        <v>4</v>
      </c>
      <c r="BI863" s="67">
        <f t="shared" si="321"/>
        <v>5</v>
      </c>
      <c r="BJ863" s="110">
        <f t="shared" si="322"/>
        <v>0</v>
      </c>
      <c r="BK863" s="110">
        <f>+VLOOKUP('2. Logging Brejo Seco'!AP863,Leyenda!$B$47:$E$51,4,FALSE)</f>
        <v>1</v>
      </c>
      <c r="BL863" s="110">
        <f>+VLOOKUP('2. Logging Brejo Seco'!AQ863,Leyenda!$B$55:$E$59,4,FALSE)</f>
        <v>3</v>
      </c>
      <c r="BM863" s="110">
        <f>+VLOOKUP('2. Logging Brejo Seco'!AR863,Leyenda!$B$63:$E$67,3,FALSE)</f>
        <v>2</v>
      </c>
      <c r="BN863" s="110">
        <f>+VLOOKUP('2. Logging Brejo Seco'!AO863,Leyenda!$B$39:$E$43,4,FALSE)</f>
        <v>1</v>
      </c>
      <c r="BO863" s="110">
        <f>+VLOOKUP('2. Logging Brejo Seco'!AN863,Leyenda!$B$30:$E$34,4,FALSE)</f>
        <v>1</v>
      </c>
      <c r="BP863" s="110">
        <f>VLOOKUP(AS863,Leyenda!$B$71:$E$75,4,FALSE)</f>
        <v>10</v>
      </c>
      <c r="BQ863" s="110">
        <f t="shared" si="323"/>
        <v>27</v>
      </c>
      <c r="BR863" s="36">
        <f t="shared" si="324"/>
        <v>33</v>
      </c>
      <c r="BS863" s="240">
        <f t="shared" si="330"/>
        <v>0.33333333333333093</v>
      </c>
      <c r="BT863" s="6"/>
    </row>
    <row r="864" spans="1:72" x14ac:dyDescent="0.25">
      <c r="A864" s="18" t="s">
        <v>6</v>
      </c>
      <c r="B864" s="18">
        <v>2024</v>
      </c>
      <c r="C864" s="18" t="s">
        <v>138</v>
      </c>
      <c r="D864" s="18" t="s">
        <v>660</v>
      </c>
      <c r="E864" s="3">
        <v>30</v>
      </c>
      <c r="F864" s="191">
        <v>30</v>
      </c>
      <c r="G864" s="18" t="s">
        <v>152</v>
      </c>
      <c r="H864" s="3">
        <v>40</v>
      </c>
      <c r="I864" s="3" t="s">
        <v>757</v>
      </c>
      <c r="J864" s="3"/>
      <c r="K864" s="18">
        <f t="shared" si="344"/>
        <v>13.95</v>
      </c>
      <c r="L864" s="18">
        <v>14.8</v>
      </c>
      <c r="M864" s="4">
        <f t="shared" si="343"/>
        <v>0.85000000000000142</v>
      </c>
      <c r="N864" s="113">
        <f t="shared" si="345"/>
        <v>0.8117647058823515</v>
      </c>
      <c r="O864" s="5">
        <f t="shared" si="325"/>
        <v>0.1882352941176485</v>
      </c>
      <c r="P864" s="4">
        <v>0.69</v>
      </c>
      <c r="Q864" s="18"/>
      <c r="R864" s="18"/>
      <c r="S864" s="18"/>
      <c r="T864" s="18">
        <v>0.69</v>
      </c>
      <c r="U864" s="18">
        <v>0</v>
      </c>
      <c r="V864" s="18">
        <f t="shared" si="329"/>
        <v>0</v>
      </c>
      <c r="W864" s="18"/>
      <c r="X864" s="18"/>
      <c r="Y864" s="223">
        <v>10</v>
      </c>
      <c r="Z864" s="31">
        <f t="shared" si="341"/>
        <v>85.000000000000142</v>
      </c>
      <c r="AA864" s="6"/>
      <c r="AB864" s="6"/>
      <c r="AC864" s="184"/>
      <c r="AD864" s="6"/>
      <c r="AE864" s="184"/>
      <c r="AF864" s="184"/>
      <c r="AG864" s="196" t="s">
        <v>27</v>
      </c>
      <c r="AH864" s="196" t="s">
        <v>27</v>
      </c>
      <c r="AI864" s="18" t="str">
        <f>+VLOOKUP(AH864,Leyenda!$O$4:$U$10,6,FALSE)</f>
        <v>0,35-0,50</v>
      </c>
      <c r="AJ864" s="18" t="str">
        <f>+VLOOKUP(AG864,Leyenda!$O$4:$U$10,7,FALSE)</f>
        <v>Easy to blast</v>
      </c>
      <c r="AK864" s="18">
        <f>+VLOOKUP(AJ864,Leyenda!$U$4:$V$10,2,FALSE)</f>
        <v>3</v>
      </c>
      <c r="AL864" s="5"/>
      <c r="AM864" s="18" t="s">
        <v>27</v>
      </c>
      <c r="AN864" s="18" t="s">
        <v>66</v>
      </c>
      <c r="AO864" s="18" t="s">
        <v>79</v>
      </c>
      <c r="AP864" s="18" t="s">
        <v>96</v>
      </c>
      <c r="AQ864" s="18" t="s">
        <v>107</v>
      </c>
      <c r="AR864" s="18" t="s">
        <v>120</v>
      </c>
      <c r="AS864" s="18" t="s">
        <v>267</v>
      </c>
      <c r="AT864" s="18"/>
      <c r="AU864" s="6"/>
      <c r="AV864" s="36">
        <f>+VLOOKUP(AN864,Leyenda!$B$30:$E$34,3,FALSE)</f>
        <v>1</v>
      </c>
      <c r="AW864" s="36">
        <f>+VLOOKUP('2. Logging Brejo Seco'!AO864,Meteorizacion,3,FALSE)</f>
        <v>1</v>
      </c>
      <c r="AX864" s="36">
        <f>+VLOOKUP('2. Logging Brejo Seco'!AP864,Apertura,3,FALSE)</f>
        <v>1</v>
      </c>
      <c r="AY864" s="36">
        <f>+VLOOKUP('2. Logging Brejo Seco'!AQ864,Leyenda!$B$55:$D$59,3,FALSE)</f>
        <v>3</v>
      </c>
      <c r="AZ864" s="36">
        <f>+VLOOKUP('2. Logging Brejo Seco'!AR864,Relleno,3,FALSE)</f>
        <v>2</v>
      </c>
      <c r="BA864" s="36">
        <f t="shared" si="316"/>
        <v>8</v>
      </c>
      <c r="BB864" s="225">
        <f t="shared" si="317"/>
        <v>0</v>
      </c>
      <c r="BC864" s="49">
        <f>VLOOKUP(AH864,Leyenda!$B$4:$D$10,3,FALSE)</f>
        <v>4</v>
      </c>
      <c r="BD864" s="50">
        <f t="shared" si="318"/>
        <v>7</v>
      </c>
      <c r="BE864" s="50">
        <f t="shared" si="319"/>
        <v>8</v>
      </c>
      <c r="BF864" s="50">
        <f>VLOOKUP(AS864,Leyenda!$B$70:$D$75,3,FALSE)</f>
        <v>15</v>
      </c>
      <c r="BG864" s="110">
        <f t="shared" si="320"/>
        <v>12</v>
      </c>
      <c r="BH864" s="110">
        <f>VLOOKUP(AG864,Leyenda!$B$4:$E$10,4,FALSE)</f>
        <v>4</v>
      </c>
      <c r="BI864" s="67">
        <f t="shared" si="321"/>
        <v>7</v>
      </c>
      <c r="BJ864" s="110">
        <f t="shared" si="322"/>
        <v>0</v>
      </c>
      <c r="BK864" s="110">
        <f>+VLOOKUP('2. Logging Brejo Seco'!AP864,Leyenda!$B$47:$E$51,4,FALSE)</f>
        <v>1</v>
      </c>
      <c r="BL864" s="110">
        <f>+VLOOKUP('2. Logging Brejo Seco'!AQ864,Leyenda!$B$55:$E$59,4,FALSE)</f>
        <v>3</v>
      </c>
      <c r="BM864" s="110">
        <f>+VLOOKUP('2. Logging Brejo Seco'!AR864,Leyenda!$B$63:$E$67,3,FALSE)</f>
        <v>2</v>
      </c>
      <c r="BN864" s="110">
        <f>+VLOOKUP('2. Logging Brejo Seco'!AO864,Leyenda!$B$39:$E$43,4,FALSE)</f>
        <v>1</v>
      </c>
      <c r="BO864" s="110">
        <f>+VLOOKUP('2. Logging Brejo Seco'!AN864,Leyenda!$B$30:$E$34,4,FALSE)</f>
        <v>1</v>
      </c>
      <c r="BP864" s="110">
        <f>VLOOKUP(AS864,Leyenda!$B$71:$E$75,4,FALSE)</f>
        <v>10</v>
      </c>
      <c r="BQ864" s="110">
        <f t="shared" si="323"/>
        <v>29</v>
      </c>
      <c r="BR864" s="36">
        <f t="shared" si="324"/>
        <v>34</v>
      </c>
      <c r="BS864" s="240">
        <f t="shared" si="330"/>
        <v>0.1882352941176485</v>
      </c>
      <c r="BT864" s="6"/>
    </row>
    <row r="865" spans="1:72" x14ac:dyDescent="0.25">
      <c r="A865" s="18" t="s">
        <v>6</v>
      </c>
      <c r="B865" s="18">
        <v>2024</v>
      </c>
      <c r="C865" s="18" t="s">
        <v>138</v>
      </c>
      <c r="D865" s="18" t="s">
        <v>660</v>
      </c>
      <c r="E865" s="3">
        <v>30</v>
      </c>
      <c r="F865" s="191">
        <v>30</v>
      </c>
      <c r="G865" s="18" t="s">
        <v>152</v>
      </c>
      <c r="H865" s="3">
        <v>40</v>
      </c>
      <c r="I865" s="3" t="s">
        <v>757</v>
      </c>
      <c r="J865" s="3"/>
      <c r="K865" s="18">
        <f t="shared" si="344"/>
        <v>14.8</v>
      </c>
      <c r="L865" s="18">
        <v>15.1</v>
      </c>
      <c r="M865" s="4">
        <f t="shared" si="343"/>
        <v>0.29999999999999893</v>
      </c>
      <c r="N865" s="113">
        <f t="shared" si="345"/>
        <v>0.63333333333333564</v>
      </c>
      <c r="O865" s="5">
        <f t="shared" si="325"/>
        <v>0.36666666666666436</v>
      </c>
      <c r="P865" s="4">
        <v>0.19</v>
      </c>
      <c r="Q865" s="18"/>
      <c r="R865" s="18"/>
      <c r="S865" s="18"/>
      <c r="T865" s="18">
        <v>0.19</v>
      </c>
      <c r="U865" s="18">
        <v>0</v>
      </c>
      <c r="V865" s="18">
        <f t="shared" si="329"/>
        <v>0</v>
      </c>
      <c r="W865" s="18"/>
      <c r="X865" s="18"/>
      <c r="Y865" s="223">
        <v>10</v>
      </c>
      <c r="Z865" s="31">
        <f t="shared" si="341"/>
        <v>29.999999999999893</v>
      </c>
      <c r="AA865" s="6"/>
      <c r="AB865" s="6"/>
      <c r="AC865" s="184"/>
      <c r="AD865" s="6"/>
      <c r="AE865" s="184"/>
      <c r="AF865" s="184"/>
      <c r="AG865" s="196" t="s">
        <v>27</v>
      </c>
      <c r="AH865" s="196" t="s">
        <v>27</v>
      </c>
      <c r="AI865" s="18" t="str">
        <f>+VLOOKUP(AH865,Leyenda!$O$4:$U$10,6,FALSE)</f>
        <v>0,35-0,50</v>
      </c>
      <c r="AJ865" s="18" t="str">
        <f>+VLOOKUP(AG865,Leyenda!$O$4:$U$10,7,FALSE)</f>
        <v>Easy to blast</v>
      </c>
      <c r="AK865" s="18">
        <f>+VLOOKUP(AJ865,Leyenda!$U$4:$V$10,2,FALSE)</f>
        <v>3</v>
      </c>
      <c r="AL865" s="5"/>
      <c r="AM865" s="18" t="s">
        <v>27</v>
      </c>
      <c r="AN865" s="18" t="s">
        <v>66</v>
      </c>
      <c r="AO865" s="18" t="s">
        <v>79</v>
      </c>
      <c r="AP865" s="18" t="s">
        <v>96</v>
      </c>
      <c r="AQ865" s="18" t="s">
        <v>107</v>
      </c>
      <c r="AR865" s="18" t="s">
        <v>120</v>
      </c>
      <c r="AS865" s="18" t="s">
        <v>267</v>
      </c>
      <c r="AT865" s="18"/>
      <c r="AU865" s="6"/>
      <c r="AV865" s="36">
        <f>+VLOOKUP(AN865,Leyenda!$B$30:$E$34,3,FALSE)</f>
        <v>1</v>
      </c>
      <c r="AW865" s="36">
        <f>+VLOOKUP('2. Logging Brejo Seco'!AO865,Meteorizacion,3,FALSE)</f>
        <v>1</v>
      </c>
      <c r="AX865" s="36">
        <f>+VLOOKUP('2. Logging Brejo Seco'!AP865,Apertura,3,FALSE)</f>
        <v>1</v>
      </c>
      <c r="AY865" s="36">
        <f>+VLOOKUP('2. Logging Brejo Seco'!AQ865,Leyenda!$B$55:$D$59,3,FALSE)</f>
        <v>3</v>
      </c>
      <c r="AZ865" s="36">
        <f>+VLOOKUP('2. Logging Brejo Seco'!AR865,Relleno,3,FALSE)</f>
        <v>2</v>
      </c>
      <c r="BA865" s="36">
        <f t="shared" si="316"/>
        <v>8</v>
      </c>
      <c r="BB865" s="225">
        <f t="shared" si="317"/>
        <v>0</v>
      </c>
      <c r="BC865" s="49">
        <f>VLOOKUP(AH865,Leyenda!$B$4:$D$10,3,FALSE)</f>
        <v>4</v>
      </c>
      <c r="BD865" s="50">
        <f t="shared" si="318"/>
        <v>5</v>
      </c>
      <c r="BE865" s="50">
        <f t="shared" si="319"/>
        <v>8</v>
      </c>
      <c r="BF865" s="50">
        <f>VLOOKUP(AS865,Leyenda!$B$70:$D$75,3,FALSE)</f>
        <v>15</v>
      </c>
      <c r="BG865" s="110">
        <f t="shared" si="320"/>
        <v>12</v>
      </c>
      <c r="BH865" s="110">
        <f>VLOOKUP(AG865,Leyenda!$B$4:$E$10,4,FALSE)</f>
        <v>4</v>
      </c>
      <c r="BI865" s="67">
        <f t="shared" si="321"/>
        <v>5</v>
      </c>
      <c r="BJ865" s="110">
        <f t="shared" si="322"/>
        <v>0</v>
      </c>
      <c r="BK865" s="110">
        <f>+VLOOKUP('2. Logging Brejo Seco'!AP865,Leyenda!$B$47:$E$51,4,FALSE)</f>
        <v>1</v>
      </c>
      <c r="BL865" s="110">
        <f>+VLOOKUP('2. Logging Brejo Seco'!AQ865,Leyenda!$B$55:$E$59,4,FALSE)</f>
        <v>3</v>
      </c>
      <c r="BM865" s="110">
        <f>+VLOOKUP('2. Logging Brejo Seco'!AR865,Leyenda!$B$63:$E$67,3,FALSE)</f>
        <v>2</v>
      </c>
      <c r="BN865" s="110">
        <f>+VLOOKUP('2. Logging Brejo Seco'!AO865,Leyenda!$B$39:$E$43,4,FALSE)</f>
        <v>1</v>
      </c>
      <c r="BO865" s="110">
        <f>+VLOOKUP('2. Logging Brejo Seco'!AN865,Leyenda!$B$30:$E$34,4,FALSE)</f>
        <v>1</v>
      </c>
      <c r="BP865" s="110">
        <f>VLOOKUP(AS865,Leyenda!$B$71:$E$75,4,FALSE)</f>
        <v>10</v>
      </c>
      <c r="BQ865" s="110">
        <f t="shared" si="323"/>
        <v>27</v>
      </c>
      <c r="BR865" s="36">
        <f t="shared" si="324"/>
        <v>32</v>
      </c>
      <c r="BS865" s="240">
        <f t="shared" si="330"/>
        <v>0.36666666666666436</v>
      </c>
      <c r="BT865" s="6"/>
    </row>
    <row r="866" spans="1:72" x14ac:dyDescent="0.25">
      <c r="A866" s="18" t="s">
        <v>6</v>
      </c>
      <c r="B866" s="18">
        <v>2024</v>
      </c>
      <c r="C866" s="18" t="s">
        <v>138</v>
      </c>
      <c r="D866" s="18" t="s">
        <v>660</v>
      </c>
      <c r="E866" s="3">
        <v>30</v>
      </c>
      <c r="F866" s="191">
        <v>30</v>
      </c>
      <c r="G866" s="18" t="s">
        <v>152</v>
      </c>
      <c r="H866" s="3">
        <v>40</v>
      </c>
      <c r="I866" s="3" t="s">
        <v>757</v>
      </c>
      <c r="J866" s="3"/>
      <c r="K866" s="18">
        <f t="shared" si="344"/>
        <v>15.1</v>
      </c>
      <c r="L866" s="18">
        <v>15.7</v>
      </c>
      <c r="M866" s="4">
        <f t="shared" si="343"/>
        <v>0.59999999999999964</v>
      </c>
      <c r="N866" s="113">
        <f t="shared" si="345"/>
        <v>0.78333333333333377</v>
      </c>
      <c r="O866" s="5">
        <f t="shared" si="325"/>
        <v>0.21666666666666623</v>
      </c>
      <c r="P866" s="4">
        <v>0.47</v>
      </c>
      <c r="Q866" s="18"/>
      <c r="R866" s="18"/>
      <c r="S866" s="18"/>
      <c r="T866" s="18">
        <v>0.47</v>
      </c>
      <c r="U866" s="18">
        <v>0</v>
      </c>
      <c r="V866" s="18">
        <f t="shared" si="329"/>
        <v>0</v>
      </c>
      <c r="W866" s="18"/>
      <c r="X866" s="18"/>
      <c r="Y866" s="223">
        <v>5</v>
      </c>
      <c r="Z866" s="31">
        <f t="shared" si="341"/>
        <v>119.99999999999993</v>
      </c>
      <c r="AA866" s="6"/>
      <c r="AB866" s="6"/>
      <c r="AC866" s="184"/>
      <c r="AD866" s="6"/>
      <c r="AE866" s="184"/>
      <c r="AF866" s="184"/>
      <c r="AG866" s="196" t="s">
        <v>27</v>
      </c>
      <c r="AH866" s="196" t="s">
        <v>27</v>
      </c>
      <c r="AI866" s="18" t="str">
        <f>+VLOOKUP(AH866,Leyenda!$O$4:$U$10,6,FALSE)</f>
        <v>0,35-0,50</v>
      </c>
      <c r="AJ866" s="18" t="str">
        <f>+VLOOKUP(AG866,Leyenda!$O$4:$U$10,7,FALSE)</f>
        <v>Easy to blast</v>
      </c>
      <c r="AK866" s="18">
        <f>+VLOOKUP(AJ866,Leyenda!$U$4:$V$10,2,FALSE)</f>
        <v>3</v>
      </c>
      <c r="AL866" s="5"/>
      <c r="AM866" s="18" t="s">
        <v>27</v>
      </c>
      <c r="AN866" s="18" t="s">
        <v>66</v>
      </c>
      <c r="AO866" s="18" t="s">
        <v>79</v>
      </c>
      <c r="AP866" s="18" t="s">
        <v>96</v>
      </c>
      <c r="AQ866" s="18" t="s">
        <v>107</v>
      </c>
      <c r="AR866" s="18" t="s">
        <v>120</v>
      </c>
      <c r="AS866" s="18" t="s">
        <v>267</v>
      </c>
      <c r="AT866" s="18"/>
      <c r="AU866" s="6"/>
      <c r="AV866" s="36">
        <f>+VLOOKUP(AN866,Leyenda!$B$30:$E$34,3,FALSE)</f>
        <v>1</v>
      </c>
      <c r="AW866" s="36">
        <f>+VLOOKUP('2. Logging Brejo Seco'!AO866,Meteorizacion,3,FALSE)</f>
        <v>1</v>
      </c>
      <c r="AX866" s="36">
        <f>+VLOOKUP('2. Logging Brejo Seco'!AP866,Apertura,3,FALSE)</f>
        <v>1</v>
      </c>
      <c r="AY866" s="36">
        <f>+VLOOKUP('2. Logging Brejo Seco'!AQ866,Leyenda!$B$55:$D$59,3,FALSE)</f>
        <v>3</v>
      </c>
      <c r="AZ866" s="36">
        <f>+VLOOKUP('2. Logging Brejo Seco'!AR866,Relleno,3,FALSE)</f>
        <v>2</v>
      </c>
      <c r="BA866" s="36">
        <f t="shared" si="316"/>
        <v>8</v>
      </c>
      <c r="BB866" s="225">
        <f t="shared" si="317"/>
        <v>0</v>
      </c>
      <c r="BC866" s="49">
        <f>VLOOKUP(AH866,Leyenda!$B$4:$D$10,3,FALSE)</f>
        <v>4</v>
      </c>
      <c r="BD866" s="50">
        <f t="shared" si="318"/>
        <v>8</v>
      </c>
      <c r="BE866" s="50">
        <f t="shared" si="319"/>
        <v>8</v>
      </c>
      <c r="BF866" s="50">
        <f>VLOOKUP(AS866,Leyenda!$B$70:$D$75,3,FALSE)</f>
        <v>15</v>
      </c>
      <c r="BG866" s="110">
        <f t="shared" si="320"/>
        <v>12</v>
      </c>
      <c r="BH866" s="110">
        <f>VLOOKUP(AG866,Leyenda!$B$4:$E$10,4,FALSE)</f>
        <v>4</v>
      </c>
      <c r="BI866" s="67">
        <f t="shared" si="321"/>
        <v>9</v>
      </c>
      <c r="BJ866" s="110">
        <f t="shared" si="322"/>
        <v>0</v>
      </c>
      <c r="BK866" s="110">
        <f>+VLOOKUP('2. Logging Brejo Seco'!AP866,Leyenda!$B$47:$E$51,4,FALSE)</f>
        <v>1</v>
      </c>
      <c r="BL866" s="110">
        <f>+VLOOKUP('2. Logging Brejo Seco'!AQ866,Leyenda!$B$55:$E$59,4,FALSE)</f>
        <v>3</v>
      </c>
      <c r="BM866" s="110">
        <f>+VLOOKUP('2. Logging Brejo Seco'!AR866,Leyenda!$B$63:$E$67,3,FALSE)</f>
        <v>2</v>
      </c>
      <c r="BN866" s="110">
        <f>+VLOOKUP('2. Logging Brejo Seco'!AO866,Leyenda!$B$39:$E$43,4,FALSE)</f>
        <v>1</v>
      </c>
      <c r="BO866" s="110">
        <f>+VLOOKUP('2. Logging Brejo Seco'!AN866,Leyenda!$B$30:$E$34,4,FALSE)</f>
        <v>1</v>
      </c>
      <c r="BP866" s="110">
        <f>VLOOKUP(AS866,Leyenda!$B$71:$E$75,4,FALSE)</f>
        <v>10</v>
      </c>
      <c r="BQ866" s="110">
        <f t="shared" si="323"/>
        <v>31</v>
      </c>
      <c r="BR866" s="36">
        <f t="shared" si="324"/>
        <v>35</v>
      </c>
      <c r="BS866" s="240">
        <f t="shared" si="330"/>
        <v>0.21666666666666623</v>
      </c>
      <c r="BT866" s="6"/>
    </row>
    <row r="867" spans="1:72" x14ac:dyDescent="0.25">
      <c r="A867" s="18" t="s">
        <v>6</v>
      </c>
      <c r="B867" s="18">
        <v>2024</v>
      </c>
      <c r="C867" s="18" t="s">
        <v>138</v>
      </c>
      <c r="D867" s="18" t="s">
        <v>660</v>
      </c>
      <c r="E867" s="3">
        <v>30</v>
      </c>
      <c r="F867" s="191">
        <v>30</v>
      </c>
      <c r="G867" s="18" t="s">
        <v>152</v>
      </c>
      <c r="H867" s="3">
        <v>40</v>
      </c>
      <c r="I867" s="3" t="s">
        <v>757</v>
      </c>
      <c r="J867" s="3"/>
      <c r="K867" s="18">
        <f t="shared" si="344"/>
        <v>15.7</v>
      </c>
      <c r="L867" s="18">
        <v>15.95</v>
      </c>
      <c r="M867" s="4">
        <f t="shared" si="343"/>
        <v>0.25</v>
      </c>
      <c r="N867" s="113">
        <f t="shared" si="345"/>
        <v>0.48</v>
      </c>
      <c r="O867" s="5">
        <f t="shared" si="325"/>
        <v>0.52</v>
      </c>
      <c r="P867" s="4">
        <v>0.12</v>
      </c>
      <c r="Q867" s="18"/>
      <c r="R867" s="18"/>
      <c r="S867" s="18"/>
      <c r="T867" s="18">
        <v>0.12</v>
      </c>
      <c r="U867" s="18">
        <v>0</v>
      </c>
      <c r="V867" s="18">
        <f t="shared" si="329"/>
        <v>0</v>
      </c>
      <c r="W867" s="18"/>
      <c r="X867" s="18"/>
      <c r="Y867" s="223">
        <v>6</v>
      </c>
      <c r="Z867" s="31">
        <f t="shared" si="341"/>
        <v>41.666666666666664</v>
      </c>
      <c r="AA867" s="6"/>
      <c r="AB867" s="6"/>
      <c r="AC867" s="184"/>
      <c r="AD867" s="6"/>
      <c r="AE867" s="184"/>
      <c r="AF867" s="184"/>
      <c r="AG867" s="196" t="s">
        <v>27</v>
      </c>
      <c r="AH867" s="196" t="s">
        <v>27</v>
      </c>
      <c r="AI867" s="18" t="str">
        <f>+VLOOKUP(AH867,Leyenda!$O$4:$U$10,6,FALSE)</f>
        <v>0,35-0,50</v>
      </c>
      <c r="AJ867" s="18" t="str">
        <f>+VLOOKUP(AG867,Leyenda!$O$4:$U$10,7,FALSE)</f>
        <v>Easy to blast</v>
      </c>
      <c r="AK867" s="18">
        <f>+VLOOKUP(AJ867,Leyenda!$U$4:$V$10,2,FALSE)</f>
        <v>3</v>
      </c>
      <c r="AL867" s="5"/>
      <c r="AM867" s="18" t="s">
        <v>27</v>
      </c>
      <c r="AN867" s="18" t="s">
        <v>66</v>
      </c>
      <c r="AO867" s="18" t="s">
        <v>79</v>
      </c>
      <c r="AP867" s="18" t="s">
        <v>96</v>
      </c>
      <c r="AQ867" s="18" t="s">
        <v>107</v>
      </c>
      <c r="AR867" s="18" t="s">
        <v>120</v>
      </c>
      <c r="AS867" s="18" t="s">
        <v>267</v>
      </c>
      <c r="AT867" s="18"/>
      <c r="AU867" s="6"/>
      <c r="AV867" s="36">
        <f>+VLOOKUP(AN867,Leyenda!$B$30:$E$34,3,FALSE)</f>
        <v>1</v>
      </c>
      <c r="AW867" s="36">
        <f>+VLOOKUP('2. Logging Brejo Seco'!AO867,Meteorizacion,3,FALSE)</f>
        <v>1</v>
      </c>
      <c r="AX867" s="36">
        <f>+VLOOKUP('2. Logging Brejo Seco'!AP867,Apertura,3,FALSE)</f>
        <v>1</v>
      </c>
      <c r="AY867" s="36">
        <f>+VLOOKUP('2. Logging Brejo Seco'!AQ867,Leyenda!$B$55:$D$59,3,FALSE)</f>
        <v>3</v>
      </c>
      <c r="AZ867" s="36">
        <f>+VLOOKUP('2. Logging Brejo Seco'!AR867,Relleno,3,FALSE)</f>
        <v>2</v>
      </c>
      <c r="BA867" s="36">
        <f t="shared" si="316"/>
        <v>8</v>
      </c>
      <c r="BB867" s="225">
        <f t="shared" si="317"/>
        <v>0</v>
      </c>
      <c r="BC867" s="49">
        <f>VLOOKUP(AH867,Leyenda!$B$4:$D$10,3,FALSE)</f>
        <v>4</v>
      </c>
      <c r="BD867" s="50">
        <f t="shared" si="318"/>
        <v>5</v>
      </c>
      <c r="BE867" s="50">
        <f t="shared" si="319"/>
        <v>8</v>
      </c>
      <c r="BF867" s="50">
        <f>VLOOKUP(AS867,Leyenda!$B$70:$D$75,3,FALSE)</f>
        <v>15</v>
      </c>
      <c r="BG867" s="110">
        <f t="shared" si="320"/>
        <v>12</v>
      </c>
      <c r="BH867" s="110">
        <f>VLOOKUP(AG867,Leyenda!$B$4:$E$10,4,FALSE)</f>
        <v>4</v>
      </c>
      <c r="BI867" s="67">
        <f t="shared" si="321"/>
        <v>5</v>
      </c>
      <c r="BJ867" s="110">
        <f t="shared" si="322"/>
        <v>0</v>
      </c>
      <c r="BK867" s="110">
        <f>+VLOOKUP('2. Logging Brejo Seco'!AP867,Leyenda!$B$47:$E$51,4,FALSE)</f>
        <v>1</v>
      </c>
      <c r="BL867" s="110">
        <f>+VLOOKUP('2. Logging Brejo Seco'!AQ867,Leyenda!$B$55:$E$59,4,FALSE)</f>
        <v>3</v>
      </c>
      <c r="BM867" s="110">
        <f>+VLOOKUP('2. Logging Brejo Seco'!AR867,Leyenda!$B$63:$E$67,3,FALSE)</f>
        <v>2</v>
      </c>
      <c r="BN867" s="110">
        <f>+VLOOKUP('2. Logging Brejo Seco'!AO867,Leyenda!$B$39:$E$43,4,FALSE)</f>
        <v>1</v>
      </c>
      <c r="BO867" s="110">
        <f>+VLOOKUP('2. Logging Brejo Seco'!AN867,Leyenda!$B$30:$E$34,4,FALSE)</f>
        <v>1</v>
      </c>
      <c r="BP867" s="110">
        <f>VLOOKUP(AS867,Leyenda!$B$71:$E$75,4,FALSE)</f>
        <v>10</v>
      </c>
      <c r="BQ867" s="110">
        <f t="shared" si="323"/>
        <v>27</v>
      </c>
      <c r="BR867" s="36">
        <f t="shared" si="324"/>
        <v>32</v>
      </c>
      <c r="BS867" s="240">
        <f t="shared" si="330"/>
        <v>0.52</v>
      </c>
      <c r="BT867" s="6"/>
    </row>
    <row r="868" spans="1:72" x14ac:dyDescent="0.25">
      <c r="A868" s="18" t="s">
        <v>6</v>
      </c>
      <c r="B868" s="18">
        <v>2024</v>
      </c>
      <c r="C868" s="18" t="s">
        <v>138</v>
      </c>
      <c r="D868" s="18" t="s">
        <v>660</v>
      </c>
      <c r="E868" s="3">
        <v>30</v>
      </c>
      <c r="F868" s="191">
        <v>30</v>
      </c>
      <c r="G868" s="18" t="s">
        <v>152</v>
      </c>
      <c r="H868" s="3">
        <v>40</v>
      </c>
      <c r="I868" s="3" t="s">
        <v>757</v>
      </c>
      <c r="J868" s="3"/>
      <c r="K868" s="18">
        <f t="shared" si="344"/>
        <v>15.95</v>
      </c>
      <c r="L868" s="18">
        <v>16.25</v>
      </c>
      <c r="M868" s="4">
        <f t="shared" si="343"/>
        <v>0.30000000000000071</v>
      </c>
      <c r="N868" s="113">
        <f t="shared" si="345"/>
        <v>0.59999999999999853</v>
      </c>
      <c r="O868" s="5">
        <f t="shared" si="325"/>
        <v>0.40000000000000147</v>
      </c>
      <c r="P868" s="4">
        <v>0.18</v>
      </c>
      <c r="Q868" s="18"/>
      <c r="R868" s="18"/>
      <c r="S868" s="18"/>
      <c r="T868" s="18">
        <v>0.18</v>
      </c>
      <c r="U868" s="18">
        <v>0</v>
      </c>
      <c r="V868" s="18">
        <f t="shared" si="329"/>
        <v>0</v>
      </c>
      <c r="W868" s="18"/>
      <c r="X868" s="18"/>
      <c r="Y868" s="223">
        <v>6</v>
      </c>
      <c r="Z868" s="31">
        <f t="shared" si="341"/>
        <v>50.000000000000114</v>
      </c>
      <c r="AA868" s="6"/>
      <c r="AB868" s="6"/>
      <c r="AC868" s="184"/>
      <c r="AD868" s="6"/>
      <c r="AE868" s="184"/>
      <c r="AF868" s="184"/>
      <c r="AG868" s="196" t="s">
        <v>27</v>
      </c>
      <c r="AH868" s="196" t="s">
        <v>27</v>
      </c>
      <c r="AI868" s="18" t="str">
        <f>+VLOOKUP(AH868,Leyenda!$O$4:$U$10,6,FALSE)</f>
        <v>0,35-0,50</v>
      </c>
      <c r="AJ868" s="18" t="str">
        <f>+VLOOKUP(AG868,Leyenda!$O$4:$U$10,7,FALSE)</f>
        <v>Easy to blast</v>
      </c>
      <c r="AK868" s="18">
        <f>+VLOOKUP(AJ868,Leyenda!$U$4:$V$10,2,FALSE)</f>
        <v>3</v>
      </c>
      <c r="AL868" s="5"/>
      <c r="AM868" s="18" t="s">
        <v>27</v>
      </c>
      <c r="AN868" s="18" t="s">
        <v>66</v>
      </c>
      <c r="AO868" s="18" t="s">
        <v>79</v>
      </c>
      <c r="AP868" s="18" t="s">
        <v>96</v>
      </c>
      <c r="AQ868" s="18" t="s">
        <v>107</v>
      </c>
      <c r="AR868" s="18" t="s">
        <v>120</v>
      </c>
      <c r="AS868" s="18" t="s">
        <v>267</v>
      </c>
      <c r="AT868" s="18"/>
      <c r="AU868" s="6"/>
      <c r="AV868" s="36">
        <f>+VLOOKUP(AN868,Leyenda!$B$30:$E$34,3,FALSE)</f>
        <v>1</v>
      </c>
      <c r="AW868" s="36">
        <f>+VLOOKUP('2. Logging Brejo Seco'!AO868,Meteorizacion,3,FALSE)</f>
        <v>1</v>
      </c>
      <c r="AX868" s="36">
        <f>+VLOOKUP('2. Logging Brejo Seco'!AP868,Apertura,3,FALSE)</f>
        <v>1</v>
      </c>
      <c r="AY868" s="36">
        <f>+VLOOKUP('2. Logging Brejo Seco'!AQ868,Leyenda!$B$55:$D$59,3,FALSE)</f>
        <v>3</v>
      </c>
      <c r="AZ868" s="36">
        <f>+VLOOKUP('2. Logging Brejo Seco'!AR868,Relleno,3,FALSE)</f>
        <v>2</v>
      </c>
      <c r="BA868" s="36">
        <f t="shared" si="316"/>
        <v>8</v>
      </c>
      <c r="BB868" s="225">
        <f t="shared" si="317"/>
        <v>0</v>
      </c>
      <c r="BC868" s="49">
        <f>VLOOKUP(AH868,Leyenda!$B$4:$D$10,3,FALSE)</f>
        <v>4</v>
      </c>
      <c r="BD868" s="50">
        <f t="shared" si="318"/>
        <v>6</v>
      </c>
      <c r="BE868" s="50">
        <f t="shared" si="319"/>
        <v>8</v>
      </c>
      <c r="BF868" s="50">
        <f>VLOOKUP(AS868,Leyenda!$B$70:$D$75,3,FALSE)</f>
        <v>15</v>
      </c>
      <c r="BG868" s="110">
        <f t="shared" si="320"/>
        <v>12</v>
      </c>
      <c r="BH868" s="110">
        <f>VLOOKUP(AG868,Leyenda!$B$4:$E$10,4,FALSE)</f>
        <v>4</v>
      </c>
      <c r="BI868" s="67">
        <f t="shared" si="321"/>
        <v>4</v>
      </c>
      <c r="BJ868" s="110">
        <f t="shared" si="322"/>
        <v>0</v>
      </c>
      <c r="BK868" s="110">
        <f>+VLOOKUP('2. Logging Brejo Seco'!AP868,Leyenda!$B$47:$E$51,4,FALSE)</f>
        <v>1</v>
      </c>
      <c r="BL868" s="110">
        <f>+VLOOKUP('2. Logging Brejo Seco'!AQ868,Leyenda!$B$55:$E$59,4,FALSE)</f>
        <v>3</v>
      </c>
      <c r="BM868" s="110">
        <f>+VLOOKUP('2. Logging Brejo Seco'!AR868,Leyenda!$B$63:$E$67,3,FALSE)</f>
        <v>2</v>
      </c>
      <c r="BN868" s="110">
        <f>+VLOOKUP('2. Logging Brejo Seco'!AO868,Leyenda!$B$39:$E$43,4,FALSE)</f>
        <v>1</v>
      </c>
      <c r="BO868" s="110">
        <f>+VLOOKUP('2. Logging Brejo Seco'!AN868,Leyenda!$B$30:$E$34,4,FALSE)</f>
        <v>1</v>
      </c>
      <c r="BP868" s="110">
        <f>VLOOKUP(AS868,Leyenda!$B$71:$E$75,4,FALSE)</f>
        <v>10</v>
      </c>
      <c r="BQ868" s="110">
        <f t="shared" si="323"/>
        <v>26</v>
      </c>
      <c r="BR868" s="36">
        <f t="shared" si="324"/>
        <v>33</v>
      </c>
      <c r="BS868" s="240">
        <f t="shared" si="330"/>
        <v>0.40000000000000147</v>
      </c>
      <c r="BT868" s="6"/>
    </row>
    <row r="869" spans="1:72" x14ac:dyDescent="0.25">
      <c r="A869" s="18" t="s">
        <v>6</v>
      </c>
      <c r="B869" s="18">
        <v>2024</v>
      </c>
      <c r="C869" s="18" t="s">
        <v>138</v>
      </c>
      <c r="D869" s="18" t="s">
        <v>660</v>
      </c>
      <c r="E869" s="3">
        <v>30</v>
      </c>
      <c r="F869" s="191">
        <v>40</v>
      </c>
      <c r="G869" s="18" t="s">
        <v>152</v>
      </c>
      <c r="H869" s="3">
        <v>40</v>
      </c>
      <c r="I869" s="3" t="s">
        <v>757</v>
      </c>
      <c r="J869" s="3"/>
      <c r="K869" s="18">
        <f t="shared" si="344"/>
        <v>16.25</v>
      </c>
      <c r="L869" s="18">
        <v>16.600000000000001</v>
      </c>
      <c r="M869" s="4">
        <f t="shared" si="343"/>
        <v>0.35000000000000142</v>
      </c>
      <c r="N869" s="113">
        <f t="shared" si="345"/>
        <v>0.85714285714285365</v>
      </c>
      <c r="O869" s="5">
        <f t="shared" si="325"/>
        <v>0.14285714285714635</v>
      </c>
      <c r="P869" s="4">
        <v>0.3</v>
      </c>
      <c r="Q869" s="18"/>
      <c r="R869" s="18"/>
      <c r="S869" s="18"/>
      <c r="T869" s="18">
        <v>0.3</v>
      </c>
      <c r="U869" s="18">
        <v>0.13</v>
      </c>
      <c r="V869" s="18">
        <f t="shared" si="329"/>
        <v>37.142857142856997</v>
      </c>
      <c r="W869" s="18"/>
      <c r="X869" s="18"/>
      <c r="Y869" s="18">
        <v>5</v>
      </c>
      <c r="Z869" s="31">
        <f t="shared" si="341"/>
        <v>70.000000000000284</v>
      </c>
      <c r="AA869" s="6"/>
      <c r="AB869" s="6"/>
      <c r="AC869" s="184"/>
      <c r="AD869" s="6"/>
      <c r="AE869" s="184"/>
      <c r="AF869" s="184"/>
      <c r="AG869" s="195" t="s">
        <v>22</v>
      </c>
      <c r="AH869" s="195" t="s">
        <v>22</v>
      </c>
      <c r="AI869" s="18" t="str">
        <f>+VLOOKUP(AH869,Leyenda!$O$4:$U$10,6,FALSE)</f>
        <v>0,80-1,50</v>
      </c>
      <c r="AJ869" s="18" t="str">
        <f>+VLOOKUP(AG869,Leyenda!$O$4:$U$10,7,FALSE)</f>
        <v>Moderate to resistence to blast</v>
      </c>
      <c r="AK869" s="18">
        <f>+VLOOKUP(AJ869,Leyenda!$U$4:$V$10,2,FALSE)</f>
        <v>5</v>
      </c>
      <c r="AL869" s="5" t="s">
        <v>22</v>
      </c>
      <c r="AM869" s="18" t="s">
        <v>22</v>
      </c>
      <c r="AN869" s="18" t="s">
        <v>66</v>
      </c>
      <c r="AO869" s="18" t="s">
        <v>79</v>
      </c>
      <c r="AP869" s="18" t="s">
        <v>96</v>
      </c>
      <c r="AQ869" s="18" t="s">
        <v>107</v>
      </c>
      <c r="AR869" s="18" t="s">
        <v>120</v>
      </c>
      <c r="AS869" s="18" t="s">
        <v>267</v>
      </c>
      <c r="AT869" s="18"/>
      <c r="AU869" s="6"/>
      <c r="AV869" s="18">
        <f>+VLOOKUP(AN869,Leyenda!$B$30:$E$34,3,FALSE)</f>
        <v>1</v>
      </c>
      <c r="AW869" s="18">
        <f>+VLOOKUP('2. Logging Brejo Seco'!AO869,Meteorizacion,3,FALSE)</f>
        <v>1</v>
      </c>
      <c r="AX869" s="18">
        <f>+VLOOKUP('2. Logging Brejo Seco'!AP869,Apertura,3,FALSE)</f>
        <v>1</v>
      </c>
      <c r="AY869" s="18">
        <f>+VLOOKUP('2. Logging Brejo Seco'!AQ869,Leyenda!$B$55:$D$59,3,FALSE)</f>
        <v>3</v>
      </c>
      <c r="AZ869" s="18">
        <f>+VLOOKUP('2. Logging Brejo Seco'!AR869,Relleno,3,FALSE)</f>
        <v>2</v>
      </c>
      <c r="BA869" s="18">
        <f t="shared" si="316"/>
        <v>8</v>
      </c>
      <c r="BB869" s="49">
        <f t="shared" si="317"/>
        <v>8</v>
      </c>
      <c r="BC869" s="49">
        <f>VLOOKUP(AH869,Leyenda!$B$4:$D$10,3,FALSE)</f>
        <v>12</v>
      </c>
      <c r="BD869" s="49">
        <f t="shared" si="318"/>
        <v>6</v>
      </c>
      <c r="BE869" s="49">
        <f t="shared" si="319"/>
        <v>8</v>
      </c>
      <c r="BF869" s="49">
        <f>VLOOKUP(AS869,Leyenda!$B$70:$D$75,3,FALSE)</f>
        <v>15</v>
      </c>
      <c r="BG869" s="67">
        <f t="shared" si="320"/>
        <v>30.571428571428498</v>
      </c>
      <c r="BH869" s="208">
        <v>7</v>
      </c>
      <c r="BI869" s="125">
        <f t="shared" si="321"/>
        <v>6</v>
      </c>
      <c r="BJ869" s="125">
        <f t="shared" si="322"/>
        <v>8</v>
      </c>
      <c r="BK869" s="125">
        <f>+VLOOKUP('2. Logging Brejo Seco'!AP869,Leyenda!$B$47:$E$51,4,FALSE)</f>
        <v>1</v>
      </c>
      <c r="BL869" s="125">
        <f>+VLOOKUP('2. Logging Brejo Seco'!AQ869,Leyenda!$B$55:$E$59,4,FALSE)</f>
        <v>3</v>
      </c>
      <c r="BM869" s="125">
        <f>+VLOOKUP('2. Logging Brejo Seco'!AR869,Leyenda!$B$63:$E$67,3,FALSE)</f>
        <v>2</v>
      </c>
      <c r="BN869" s="125">
        <f>+VLOOKUP('2. Logging Brejo Seco'!AO869,Leyenda!$B$39:$E$43,4,FALSE)</f>
        <v>1</v>
      </c>
      <c r="BO869" s="125">
        <f>+VLOOKUP('2. Logging Brejo Seco'!AN869,Leyenda!$B$30:$E$34,4,FALSE)</f>
        <v>1</v>
      </c>
      <c r="BP869" s="125">
        <f>VLOOKUP(AS869,Leyenda!$B$71:$E$75,4,FALSE)</f>
        <v>10</v>
      </c>
      <c r="BQ869" s="125">
        <f t="shared" si="323"/>
        <v>39</v>
      </c>
      <c r="BR869" s="85">
        <f t="shared" si="324"/>
        <v>49</v>
      </c>
      <c r="BS869" s="240">
        <f t="shared" si="330"/>
        <v>0.14285714285714635</v>
      </c>
      <c r="BT869" s="6"/>
    </row>
    <row r="870" spans="1:72" x14ac:dyDescent="0.25">
      <c r="A870" s="18" t="s">
        <v>6</v>
      </c>
      <c r="B870" s="18">
        <v>2024</v>
      </c>
      <c r="C870" s="18" t="s">
        <v>138</v>
      </c>
      <c r="D870" s="18" t="s">
        <v>660</v>
      </c>
      <c r="E870" s="3">
        <v>30</v>
      </c>
      <c r="F870" s="191">
        <v>30</v>
      </c>
      <c r="G870" s="18" t="s">
        <v>152</v>
      </c>
      <c r="H870" s="3">
        <v>40</v>
      </c>
      <c r="I870" s="3" t="s">
        <v>757</v>
      </c>
      <c r="J870" s="3"/>
      <c r="K870" s="18">
        <f t="shared" si="344"/>
        <v>16.600000000000001</v>
      </c>
      <c r="L870" s="18">
        <v>17.350000000000001</v>
      </c>
      <c r="M870" s="4">
        <f t="shared" si="343"/>
        <v>0.75</v>
      </c>
      <c r="N870" s="113">
        <f t="shared" si="345"/>
        <v>0.7466666666666667</v>
      </c>
      <c r="O870" s="5">
        <f t="shared" si="325"/>
        <v>0.2533333333333333</v>
      </c>
      <c r="P870" s="4">
        <v>0.56000000000000005</v>
      </c>
      <c r="Q870" s="18"/>
      <c r="R870" s="18"/>
      <c r="S870" s="18"/>
      <c r="T870" s="18">
        <v>0.56000000000000005</v>
      </c>
      <c r="U870" s="18">
        <v>0</v>
      </c>
      <c r="V870" s="18">
        <f t="shared" si="329"/>
        <v>0</v>
      </c>
      <c r="W870" s="18"/>
      <c r="X870" s="18"/>
      <c r="Y870" s="223">
        <v>10</v>
      </c>
      <c r="Z870" s="31">
        <f t="shared" si="341"/>
        <v>75</v>
      </c>
      <c r="AA870" s="6"/>
      <c r="AB870" s="6"/>
      <c r="AC870" s="184"/>
      <c r="AD870" s="6"/>
      <c r="AE870" s="184"/>
      <c r="AF870" s="184"/>
      <c r="AG870" s="195" t="s">
        <v>27</v>
      </c>
      <c r="AH870" s="195" t="s">
        <v>27</v>
      </c>
      <c r="AI870" s="18" t="str">
        <f>+VLOOKUP(AH870,Leyenda!$O$4:$U$10,6,FALSE)</f>
        <v>0,35-0,50</v>
      </c>
      <c r="AJ870" s="18" t="str">
        <f>+VLOOKUP(AG870,Leyenda!$O$4:$U$10,7,FALSE)</f>
        <v>Easy to blast</v>
      </c>
      <c r="AK870" s="18">
        <f>+VLOOKUP(AJ870,Leyenda!$U$4:$V$10,2,FALSE)</f>
        <v>3</v>
      </c>
      <c r="AL870" s="5"/>
      <c r="AM870" s="18" t="s">
        <v>27</v>
      </c>
      <c r="AN870" s="18" t="s">
        <v>66</v>
      </c>
      <c r="AO870" s="18" t="s">
        <v>79</v>
      </c>
      <c r="AP870" s="18" t="s">
        <v>96</v>
      </c>
      <c r="AQ870" s="18" t="s">
        <v>107</v>
      </c>
      <c r="AR870" s="18" t="s">
        <v>120</v>
      </c>
      <c r="AS870" s="18" t="s">
        <v>267</v>
      </c>
      <c r="AT870" s="18"/>
      <c r="AU870" s="6"/>
      <c r="AV870" s="36">
        <f>+VLOOKUP(AN870,Leyenda!$B$30:$E$34,3,FALSE)</f>
        <v>1</v>
      </c>
      <c r="AW870" s="36">
        <f>+VLOOKUP('2. Logging Brejo Seco'!AO870,Meteorizacion,3,FALSE)</f>
        <v>1</v>
      </c>
      <c r="AX870" s="36">
        <f>+VLOOKUP('2. Logging Brejo Seco'!AP870,Apertura,3,FALSE)</f>
        <v>1</v>
      </c>
      <c r="AY870" s="36">
        <f>+VLOOKUP('2. Logging Brejo Seco'!AQ870,Leyenda!$B$55:$D$59,3,FALSE)</f>
        <v>3</v>
      </c>
      <c r="AZ870" s="36">
        <f>+VLOOKUP('2. Logging Brejo Seco'!AR870,Relleno,3,FALSE)</f>
        <v>2</v>
      </c>
      <c r="BA870" s="36">
        <f t="shared" si="316"/>
        <v>8</v>
      </c>
      <c r="BB870" s="225">
        <f t="shared" si="317"/>
        <v>0</v>
      </c>
      <c r="BC870" s="49">
        <f>VLOOKUP(AH870,Leyenda!$B$4:$D$10,3,FALSE)</f>
        <v>4</v>
      </c>
      <c r="BD870" s="50">
        <f t="shared" si="318"/>
        <v>7</v>
      </c>
      <c r="BE870" s="50">
        <f t="shared" si="319"/>
        <v>8</v>
      </c>
      <c r="BF870" s="50">
        <f>VLOOKUP(AS870,Leyenda!$B$70:$D$75,3,FALSE)</f>
        <v>15</v>
      </c>
      <c r="BG870" s="110">
        <f t="shared" si="320"/>
        <v>12</v>
      </c>
      <c r="BH870" s="110">
        <f>VLOOKUP(AG870,Leyenda!$B$4:$E$10,4,FALSE)</f>
        <v>4</v>
      </c>
      <c r="BI870" s="67">
        <f t="shared" si="321"/>
        <v>6</v>
      </c>
      <c r="BJ870" s="110">
        <f t="shared" si="322"/>
        <v>0</v>
      </c>
      <c r="BK870" s="110">
        <f>+VLOOKUP('2. Logging Brejo Seco'!AP870,Leyenda!$B$47:$E$51,4,FALSE)</f>
        <v>1</v>
      </c>
      <c r="BL870" s="110">
        <f>+VLOOKUP('2. Logging Brejo Seco'!AQ870,Leyenda!$B$55:$E$59,4,FALSE)</f>
        <v>3</v>
      </c>
      <c r="BM870" s="110">
        <f>+VLOOKUP('2. Logging Brejo Seco'!AR870,Leyenda!$B$63:$E$67,3,FALSE)</f>
        <v>2</v>
      </c>
      <c r="BN870" s="110">
        <f>+VLOOKUP('2. Logging Brejo Seco'!AO870,Leyenda!$B$39:$E$43,4,FALSE)</f>
        <v>1</v>
      </c>
      <c r="BO870" s="110">
        <f>+VLOOKUP('2. Logging Brejo Seco'!AN870,Leyenda!$B$30:$E$34,4,FALSE)</f>
        <v>1</v>
      </c>
      <c r="BP870" s="110">
        <f>VLOOKUP(AS870,Leyenda!$B$71:$E$75,4,FALSE)</f>
        <v>10</v>
      </c>
      <c r="BQ870" s="110">
        <f t="shared" si="323"/>
        <v>28</v>
      </c>
      <c r="BR870" s="36">
        <f t="shared" si="324"/>
        <v>34</v>
      </c>
      <c r="BS870" s="240">
        <f t="shared" si="330"/>
        <v>0.2533333333333333</v>
      </c>
      <c r="BT870" s="6"/>
    </row>
    <row r="871" spans="1:72" x14ac:dyDescent="0.25">
      <c r="A871" s="18" t="s">
        <v>6</v>
      </c>
      <c r="B871" s="18">
        <v>2024</v>
      </c>
      <c r="C871" s="18" t="s">
        <v>138</v>
      </c>
      <c r="D871" s="18" t="s">
        <v>660</v>
      </c>
      <c r="E871" s="3">
        <v>30</v>
      </c>
      <c r="F871" s="191">
        <v>30</v>
      </c>
      <c r="G871" s="18" t="s">
        <v>152</v>
      </c>
      <c r="H871" s="3">
        <v>40</v>
      </c>
      <c r="I871" s="3" t="s">
        <v>757</v>
      </c>
      <c r="J871" s="3"/>
      <c r="K871" s="18">
        <f t="shared" si="344"/>
        <v>17.350000000000001</v>
      </c>
      <c r="L871" s="18">
        <v>18.100000000000001</v>
      </c>
      <c r="M871" s="4">
        <f t="shared" si="343"/>
        <v>0.75</v>
      </c>
      <c r="N871" s="113">
        <f t="shared" si="345"/>
        <v>0.77333333333333332</v>
      </c>
      <c r="O871" s="5">
        <f t="shared" si="325"/>
        <v>0.22666666666666668</v>
      </c>
      <c r="P871" s="4">
        <v>0.57999999999999996</v>
      </c>
      <c r="Q871" s="18"/>
      <c r="R871" s="18"/>
      <c r="S871" s="18"/>
      <c r="T871" s="18">
        <v>0.57999999999999996</v>
      </c>
      <c r="U871" s="18">
        <v>0</v>
      </c>
      <c r="V871" s="18">
        <f t="shared" si="329"/>
        <v>0</v>
      </c>
      <c r="W871" s="18"/>
      <c r="X871" s="18"/>
      <c r="Y871" s="223">
        <v>10</v>
      </c>
      <c r="Z871" s="31">
        <f t="shared" si="341"/>
        <v>75</v>
      </c>
      <c r="AA871" s="6"/>
      <c r="AB871" s="6"/>
      <c r="AC871" s="184"/>
      <c r="AD871" s="6"/>
      <c r="AE871" s="184"/>
      <c r="AF871" s="184"/>
      <c r="AG871" s="195" t="s">
        <v>27</v>
      </c>
      <c r="AH871" s="195" t="s">
        <v>27</v>
      </c>
      <c r="AI871" s="18" t="str">
        <f>+VLOOKUP(AH871,Leyenda!$O$4:$U$10,6,FALSE)</f>
        <v>0,35-0,50</v>
      </c>
      <c r="AJ871" s="18" t="str">
        <f>+VLOOKUP(AG871,Leyenda!$O$4:$U$10,7,FALSE)</f>
        <v>Easy to blast</v>
      </c>
      <c r="AK871" s="18">
        <f>+VLOOKUP(AJ871,Leyenda!$U$4:$V$10,2,FALSE)</f>
        <v>3</v>
      </c>
      <c r="AL871" s="5"/>
      <c r="AM871" s="18" t="s">
        <v>27</v>
      </c>
      <c r="AN871" s="18" t="s">
        <v>66</v>
      </c>
      <c r="AO871" s="18" t="s">
        <v>79</v>
      </c>
      <c r="AP871" s="18" t="s">
        <v>96</v>
      </c>
      <c r="AQ871" s="18" t="s">
        <v>107</v>
      </c>
      <c r="AR871" s="18" t="s">
        <v>120</v>
      </c>
      <c r="AS871" s="18" t="s">
        <v>267</v>
      </c>
      <c r="AT871" s="18"/>
      <c r="AU871" s="6"/>
      <c r="AV871" s="36">
        <f>+VLOOKUP(AN871,Leyenda!$B$30:$E$34,3,FALSE)</f>
        <v>1</v>
      </c>
      <c r="AW871" s="36">
        <f>+VLOOKUP('2. Logging Brejo Seco'!AO871,Meteorizacion,3,FALSE)</f>
        <v>1</v>
      </c>
      <c r="AX871" s="36">
        <f>+VLOOKUP('2. Logging Brejo Seco'!AP871,Apertura,3,FALSE)</f>
        <v>1</v>
      </c>
      <c r="AY871" s="36">
        <f>+VLOOKUP('2. Logging Brejo Seco'!AQ871,Leyenda!$B$55:$D$59,3,FALSE)</f>
        <v>3</v>
      </c>
      <c r="AZ871" s="36">
        <f>+VLOOKUP('2. Logging Brejo Seco'!AR871,Relleno,3,FALSE)</f>
        <v>2</v>
      </c>
      <c r="BA871" s="36">
        <f t="shared" si="316"/>
        <v>8</v>
      </c>
      <c r="BB871" s="225">
        <f t="shared" si="317"/>
        <v>0</v>
      </c>
      <c r="BC871" s="49">
        <f>VLOOKUP(AH871,Leyenda!$B$4:$D$10,3,FALSE)</f>
        <v>4</v>
      </c>
      <c r="BD871" s="50">
        <f t="shared" si="318"/>
        <v>7</v>
      </c>
      <c r="BE871" s="50">
        <f t="shared" si="319"/>
        <v>8</v>
      </c>
      <c r="BF871" s="50">
        <f>VLOOKUP(AS871,Leyenda!$B$70:$D$75,3,FALSE)</f>
        <v>15</v>
      </c>
      <c r="BG871" s="110">
        <f t="shared" si="320"/>
        <v>12</v>
      </c>
      <c r="BH871" s="110">
        <f>VLOOKUP(AG871,Leyenda!$B$4:$E$10,4,FALSE)</f>
        <v>4</v>
      </c>
      <c r="BI871" s="67">
        <f t="shared" si="321"/>
        <v>6</v>
      </c>
      <c r="BJ871" s="110">
        <f t="shared" si="322"/>
        <v>0</v>
      </c>
      <c r="BK871" s="110">
        <f>+VLOOKUP('2. Logging Brejo Seco'!AP871,Leyenda!$B$47:$E$51,4,FALSE)</f>
        <v>1</v>
      </c>
      <c r="BL871" s="110">
        <f>+VLOOKUP('2. Logging Brejo Seco'!AQ871,Leyenda!$B$55:$E$59,4,FALSE)</f>
        <v>3</v>
      </c>
      <c r="BM871" s="110">
        <f>+VLOOKUP('2. Logging Brejo Seco'!AR871,Leyenda!$B$63:$E$67,3,FALSE)</f>
        <v>2</v>
      </c>
      <c r="BN871" s="110">
        <f>+VLOOKUP('2. Logging Brejo Seco'!AO871,Leyenda!$B$39:$E$43,4,FALSE)</f>
        <v>1</v>
      </c>
      <c r="BO871" s="110">
        <f>+VLOOKUP('2. Logging Brejo Seco'!AN871,Leyenda!$B$30:$E$34,4,FALSE)</f>
        <v>1</v>
      </c>
      <c r="BP871" s="110">
        <f>VLOOKUP(AS871,Leyenda!$B$71:$E$75,4,FALSE)</f>
        <v>10</v>
      </c>
      <c r="BQ871" s="110">
        <f t="shared" si="323"/>
        <v>28</v>
      </c>
      <c r="BR871" s="36">
        <f t="shared" si="324"/>
        <v>34</v>
      </c>
      <c r="BS871" s="240">
        <f t="shared" si="330"/>
        <v>0.22666666666666668</v>
      </c>
      <c r="BT871" s="6"/>
    </row>
    <row r="872" spans="1:72" x14ac:dyDescent="0.25">
      <c r="A872" s="18" t="s">
        <v>6</v>
      </c>
      <c r="B872" s="18">
        <v>2024</v>
      </c>
      <c r="C872" s="18" t="s">
        <v>138</v>
      </c>
      <c r="D872" s="18" t="s">
        <v>660</v>
      </c>
      <c r="E872" s="3">
        <v>30</v>
      </c>
      <c r="F872" s="191">
        <v>30</v>
      </c>
      <c r="G872" s="18" t="s">
        <v>152</v>
      </c>
      <c r="H872" s="3">
        <v>40</v>
      </c>
      <c r="I872" s="3" t="s">
        <v>757</v>
      </c>
      <c r="J872" s="3"/>
      <c r="K872" s="18">
        <f t="shared" si="344"/>
        <v>18.100000000000001</v>
      </c>
      <c r="L872" s="18">
        <v>18.55</v>
      </c>
      <c r="M872" s="4">
        <f t="shared" si="343"/>
        <v>0.44999999999999929</v>
      </c>
      <c r="N872" s="113">
        <f t="shared" si="345"/>
        <v>0.66666666666666774</v>
      </c>
      <c r="O872" s="5">
        <f t="shared" si="325"/>
        <v>0.33333333333333226</v>
      </c>
      <c r="P872" s="4">
        <v>0.3</v>
      </c>
      <c r="Q872" s="18"/>
      <c r="R872" s="18"/>
      <c r="S872" s="18"/>
      <c r="T872" s="18">
        <v>0.3</v>
      </c>
      <c r="U872" s="18">
        <v>0</v>
      </c>
      <c r="V872" s="18">
        <f t="shared" si="329"/>
        <v>0</v>
      </c>
      <c r="W872" s="18"/>
      <c r="X872" s="18"/>
      <c r="Y872" s="223">
        <v>5</v>
      </c>
      <c r="Z872" s="31">
        <f t="shared" si="341"/>
        <v>89.999999999999858</v>
      </c>
      <c r="AA872" s="6"/>
      <c r="AB872" s="6"/>
      <c r="AC872" s="184"/>
      <c r="AD872" s="6"/>
      <c r="AE872" s="184"/>
      <c r="AF872" s="184"/>
      <c r="AG872" s="195" t="s">
        <v>27</v>
      </c>
      <c r="AH872" s="195" t="s">
        <v>27</v>
      </c>
      <c r="AI872" s="18" t="str">
        <f>+VLOOKUP(AH872,Leyenda!$O$4:$U$10,6,FALSE)</f>
        <v>0,35-0,50</v>
      </c>
      <c r="AJ872" s="18" t="str">
        <f>+VLOOKUP(AG872,Leyenda!$O$4:$U$10,7,FALSE)</f>
        <v>Easy to blast</v>
      </c>
      <c r="AK872" s="18">
        <f>+VLOOKUP(AJ872,Leyenda!$U$4:$V$10,2,FALSE)</f>
        <v>3</v>
      </c>
      <c r="AL872" s="5"/>
      <c r="AM872" s="18" t="s">
        <v>27</v>
      </c>
      <c r="AN872" s="18" t="s">
        <v>66</v>
      </c>
      <c r="AO872" s="18" t="s">
        <v>79</v>
      </c>
      <c r="AP872" s="18" t="s">
        <v>96</v>
      </c>
      <c r="AQ872" s="18" t="s">
        <v>107</v>
      </c>
      <c r="AR872" s="18" t="s">
        <v>120</v>
      </c>
      <c r="AS872" s="18" t="s">
        <v>267</v>
      </c>
      <c r="AT872" s="18"/>
      <c r="AU872" s="6"/>
      <c r="AV872" s="36">
        <f>+VLOOKUP(AN872,Leyenda!$B$30:$E$34,3,FALSE)</f>
        <v>1</v>
      </c>
      <c r="AW872" s="36">
        <f>+VLOOKUP('2. Logging Brejo Seco'!AO872,Meteorizacion,3,FALSE)</f>
        <v>1</v>
      </c>
      <c r="AX872" s="36">
        <f>+VLOOKUP('2. Logging Brejo Seco'!AP872,Apertura,3,FALSE)</f>
        <v>1</v>
      </c>
      <c r="AY872" s="36">
        <f>+VLOOKUP('2. Logging Brejo Seco'!AQ872,Leyenda!$B$55:$D$59,3,FALSE)</f>
        <v>3</v>
      </c>
      <c r="AZ872" s="36">
        <f>+VLOOKUP('2. Logging Brejo Seco'!AR872,Relleno,3,FALSE)</f>
        <v>2</v>
      </c>
      <c r="BA872" s="36">
        <f t="shared" ref="BA872:BA935" si="347">+SUM(AV872:AZ872)</f>
        <v>8</v>
      </c>
      <c r="BB872" s="225">
        <f t="shared" ref="BB872:BB935" si="348">ROUND(-0.0002*POWER(V872,2)+0.2197*V872,0)</f>
        <v>0</v>
      </c>
      <c r="BC872" s="49">
        <f>VLOOKUP(AH872,Leyenda!$B$4:$D$10,3,FALSE)</f>
        <v>4</v>
      </c>
      <c r="BD872" s="50">
        <f t="shared" ref="BD872:BD935" si="349">IF(Z872="",ROUND((IF(Z872&lt;=400,1.5478*POWER(Z872,0.3351),-2*POWER(10,-6)*POWER(Z872,2)+0.0091*Z872+8.1704)),0),ROUND((IF(Z872&lt;=400,1.5478*POWER(Z872,0.3351),-2*POWER(10,-6)*POWER(Z872,2)+0.0091*Z872+8.1704)),0))</f>
        <v>7</v>
      </c>
      <c r="BE872" s="50">
        <f t="shared" ref="BE872:BE935" si="350">+BA872</f>
        <v>8</v>
      </c>
      <c r="BF872" s="50">
        <f>VLOOKUP(AS872,Leyenda!$B$70:$D$75,3,FALSE)</f>
        <v>15</v>
      </c>
      <c r="BG872" s="110">
        <f t="shared" ref="BG872:BG935" si="351">1.5*BA872+(V872*0.5)</f>
        <v>12</v>
      </c>
      <c r="BH872" s="110">
        <f>VLOOKUP(AG872,Leyenda!$B$4:$E$10,4,FALSE)</f>
        <v>4</v>
      </c>
      <c r="BI872" s="67">
        <f t="shared" ref="BI872:BI935" si="352">IF(Z872="",ROUND(IF(Z872&lt;=50,5,IF(Z872&gt;=3000,30,6.038*LN(Z872)-19.63)),0),ROUND(IF(Z872&lt;=50,5,IF(Z872&gt;=3000,30,6.038*LN(Z872)-19.63)),0))</f>
        <v>8</v>
      </c>
      <c r="BJ872" s="110">
        <f t="shared" ref="BJ872:BJ935" si="353">ROUND(-0.0002*POWER(V872,2)+0.2197*V872,0)</f>
        <v>0</v>
      </c>
      <c r="BK872" s="110">
        <f>+VLOOKUP('2. Logging Brejo Seco'!AP872,Leyenda!$B$47:$E$51,4,FALSE)</f>
        <v>1</v>
      </c>
      <c r="BL872" s="110">
        <f>+VLOOKUP('2. Logging Brejo Seco'!AQ872,Leyenda!$B$55:$E$59,4,FALSE)</f>
        <v>3</v>
      </c>
      <c r="BM872" s="110">
        <f>+VLOOKUP('2. Logging Brejo Seco'!AR872,Leyenda!$B$63:$E$67,3,FALSE)</f>
        <v>2</v>
      </c>
      <c r="BN872" s="110">
        <f>+VLOOKUP('2. Logging Brejo Seco'!AO872,Leyenda!$B$39:$E$43,4,FALSE)</f>
        <v>1</v>
      </c>
      <c r="BO872" s="110">
        <f>+VLOOKUP('2. Logging Brejo Seco'!AN872,Leyenda!$B$30:$E$34,4,FALSE)</f>
        <v>1</v>
      </c>
      <c r="BP872" s="110">
        <f>VLOOKUP(AS872,Leyenda!$B$71:$E$75,4,FALSE)</f>
        <v>10</v>
      </c>
      <c r="BQ872" s="110">
        <f t="shared" ref="BQ872:BQ935" si="354">+BH872+BI872+BJ872+BK872+BL872+BM872+BN872+BO872+BP872</f>
        <v>30</v>
      </c>
      <c r="BR872" s="36">
        <f t="shared" ref="BR872:BR935" si="355">+BC872+BD872+BB872+BE872+BF872</f>
        <v>34</v>
      </c>
      <c r="BS872" s="240">
        <f t="shared" si="330"/>
        <v>0.33333333333333226</v>
      </c>
      <c r="BT872" s="6"/>
    </row>
    <row r="873" spans="1:72" x14ac:dyDescent="0.25">
      <c r="A873" s="18" t="s">
        <v>6</v>
      </c>
      <c r="B873" s="18">
        <v>2024</v>
      </c>
      <c r="C873" s="18" t="s">
        <v>138</v>
      </c>
      <c r="D873" s="18" t="s">
        <v>660</v>
      </c>
      <c r="E873" s="3">
        <v>30</v>
      </c>
      <c r="F873" s="191">
        <v>40</v>
      </c>
      <c r="G873" s="18" t="s">
        <v>152</v>
      </c>
      <c r="H873" s="3">
        <v>40</v>
      </c>
      <c r="I873" s="3" t="s">
        <v>757</v>
      </c>
      <c r="J873" s="3"/>
      <c r="K873" s="18">
        <f t="shared" si="344"/>
        <v>18.55</v>
      </c>
      <c r="L873" s="18">
        <v>19.350000000000001</v>
      </c>
      <c r="M873" s="4">
        <f t="shared" si="343"/>
        <v>0.80000000000000071</v>
      </c>
      <c r="N873" s="113">
        <f t="shared" si="345"/>
        <v>0.77499999999999936</v>
      </c>
      <c r="O873" s="5">
        <f t="shared" si="325"/>
        <v>0.22500000000000064</v>
      </c>
      <c r="P873" s="4">
        <v>0.62</v>
      </c>
      <c r="Q873" s="18"/>
      <c r="R873" s="18"/>
      <c r="S873" s="18"/>
      <c r="T873" s="18">
        <v>0.6</v>
      </c>
      <c r="U873" s="18">
        <v>0.42</v>
      </c>
      <c r="V873" s="18">
        <f t="shared" si="329"/>
        <v>52.499999999999943</v>
      </c>
      <c r="W873" s="18"/>
      <c r="X873" s="18"/>
      <c r="Y873" s="18">
        <v>5</v>
      </c>
      <c r="Z873" s="31">
        <f t="shared" si="341"/>
        <v>160.00000000000014</v>
      </c>
      <c r="AA873" s="6"/>
      <c r="AB873" s="6"/>
      <c r="AC873" s="184"/>
      <c r="AD873" s="6"/>
      <c r="AE873" s="184"/>
      <c r="AF873" s="184"/>
      <c r="AG873" s="195" t="s">
        <v>27</v>
      </c>
      <c r="AH873" s="195" t="s">
        <v>27</v>
      </c>
      <c r="AI873" s="18" t="str">
        <f>+VLOOKUP(AH873,Leyenda!$O$4:$U$10,6,FALSE)</f>
        <v>0,35-0,50</v>
      </c>
      <c r="AJ873" s="18" t="str">
        <f>+VLOOKUP(AG873,Leyenda!$O$4:$U$10,7,FALSE)</f>
        <v>Easy to blast</v>
      </c>
      <c r="AK873" s="18">
        <f>+VLOOKUP(AJ873,Leyenda!$U$4:$V$10,2,FALSE)</f>
        <v>3</v>
      </c>
      <c r="AL873" s="5"/>
      <c r="AM873" s="18" t="s">
        <v>27</v>
      </c>
      <c r="AN873" s="18" t="s">
        <v>66</v>
      </c>
      <c r="AO873" s="18" t="s">
        <v>79</v>
      </c>
      <c r="AP873" s="18" t="s">
        <v>96</v>
      </c>
      <c r="AQ873" s="18" t="s">
        <v>107</v>
      </c>
      <c r="AR873" s="18" t="s">
        <v>120</v>
      </c>
      <c r="AS873" s="18" t="s">
        <v>267</v>
      </c>
      <c r="AT873" s="18"/>
      <c r="AU873" s="6"/>
      <c r="AV873" s="18">
        <f>+VLOOKUP(AN873,Leyenda!$B$30:$E$34,3,FALSE)</f>
        <v>1</v>
      </c>
      <c r="AW873" s="18">
        <f>+VLOOKUP('2. Logging Brejo Seco'!AO873,Meteorizacion,3,FALSE)</f>
        <v>1</v>
      </c>
      <c r="AX873" s="18">
        <f>+VLOOKUP('2. Logging Brejo Seco'!AP873,Apertura,3,FALSE)</f>
        <v>1</v>
      </c>
      <c r="AY873" s="18">
        <f>+VLOOKUP('2. Logging Brejo Seco'!AQ873,Leyenda!$B$55:$D$59,3,FALSE)</f>
        <v>3</v>
      </c>
      <c r="AZ873" s="18">
        <f>+VLOOKUP('2. Logging Brejo Seco'!AR873,Relleno,3,FALSE)</f>
        <v>2</v>
      </c>
      <c r="BA873" s="18">
        <f t="shared" si="347"/>
        <v>8</v>
      </c>
      <c r="BB873" s="49">
        <f t="shared" si="348"/>
        <v>11</v>
      </c>
      <c r="BC873" s="49">
        <f>VLOOKUP(AH873,Leyenda!$B$4:$D$10,3,FALSE)</f>
        <v>4</v>
      </c>
      <c r="BD873" s="49">
        <f t="shared" si="349"/>
        <v>8</v>
      </c>
      <c r="BE873" s="49">
        <f t="shared" si="350"/>
        <v>8</v>
      </c>
      <c r="BF873" s="49">
        <f>VLOOKUP(AS873,Leyenda!$B$70:$D$75,3,FALSE)</f>
        <v>15</v>
      </c>
      <c r="BG873" s="67">
        <f t="shared" si="351"/>
        <v>38.249999999999972</v>
      </c>
      <c r="BH873" s="67">
        <f>VLOOKUP(AG873,Leyenda!$B$4:$E$10,4,FALSE)</f>
        <v>4</v>
      </c>
      <c r="BI873" s="67">
        <f t="shared" si="352"/>
        <v>11</v>
      </c>
      <c r="BJ873" s="67">
        <f t="shared" si="353"/>
        <v>11</v>
      </c>
      <c r="BK873" s="67">
        <f>+VLOOKUP('2. Logging Brejo Seco'!AP873,Leyenda!$B$47:$E$51,4,FALSE)</f>
        <v>1</v>
      </c>
      <c r="BL873" s="67">
        <f>+VLOOKUP('2. Logging Brejo Seco'!AQ873,Leyenda!$B$55:$E$59,4,FALSE)</f>
        <v>3</v>
      </c>
      <c r="BM873" s="67">
        <f>+VLOOKUP('2. Logging Brejo Seco'!AR873,Leyenda!$B$63:$E$67,3,FALSE)</f>
        <v>2</v>
      </c>
      <c r="BN873" s="67">
        <f>+VLOOKUP('2. Logging Brejo Seco'!AO873,Leyenda!$B$39:$E$43,4,FALSE)</f>
        <v>1</v>
      </c>
      <c r="BO873" s="67">
        <f>+VLOOKUP('2. Logging Brejo Seco'!AN873,Leyenda!$B$30:$E$34,4,FALSE)</f>
        <v>1</v>
      </c>
      <c r="BP873" s="67">
        <f>VLOOKUP(AS873,Leyenda!$B$71:$E$75,4,FALSE)</f>
        <v>10</v>
      </c>
      <c r="BQ873" s="67">
        <f t="shared" si="354"/>
        <v>44</v>
      </c>
      <c r="BR873" s="18">
        <f t="shared" si="355"/>
        <v>46</v>
      </c>
      <c r="BS873" s="240">
        <f t="shared" si="330"/>
        <v>0.22500000000000064</v>
      </c>
      <c r="BT873" s="6"/>
    </row>
    <row r="874" spans="1:72" x14ac:dyDescent="0.25">
      <c r="A874" s="18" t="s">
        <v>6</v>
      </c>
      <c r="B874" s="18">
        <v>2024</v>
      </c>
      <c r="C874" s="18" t="s">
        <v>138</v>
      </c>
      <c r="D874" s="18" t="s">
        <v>660</v>
      </c>
      <c r="E874" s="3">
        <v>30</v>
      </c>
      <c r="F874" s="191">
        <v>30</v>
      </c>
      <c r="G874" s="18" t="s">
        <v>152</v>
      </c>
      <c r="H874" s="3">
        <v>30</v>
      </c>
      <c r="I874" s="3" t="s">
        <v>759</v>
      </c>
      <c r="J874" s="3"/>
      <c r="K874" s="18">
        <f t="shared" si="344"/>
        <v>19.350000000000001</v>
      </c>
      <c r="L874" s="18">
        <v>20.75</v>
      </c>
      <c r="M874" s="4">
        <f t="shared" si="343"/>
        <v>1.3999999999999986</v>
      </c>
      <c r="N874" s="113">
        <f t="shared" si="345"/>
        <v>0.71428571428571497</v>
      </c>
      <c r="O874" s="5">
        <f t="shared" si="325"/>
        <v>0.28571428571428503</v>
      </c>
      <c r="P874" s="4">
        <v>1</v>
      </c>
      <c r="Q874" s="18"/>
      <c r="R874" s="18"/>
      <c r="S874" s="18"/>
      <c r="T874" s="18">
        <v>1</v>
      </c>
      <c r="U874" s="18">
        <v>0</v>
      </c>
      <c r="V874" s="18">
        <f t="shared" si="329"/>
        <v>0</v>
      </c>
      <c r="W874" s="18"/>
      <c r="X874" s="18"/>
      <c r="Y874" s="223">
        <v>10</v>
      </c>
      <c r="Z874" s="31">
        <f t="shared" si="341"/>
        <v>139.99999999999986</v>
      </c>
      <c r="AA874" s="6"/>
      <c r="AB874" s="6"/>
      <c r="AC874" s="184"/>
      <c r="AD874" s="6"/>
      <c r="AE874" s="184"/>
      <c r="AF874" s="184"/>
      <c r="AG874" s="195" t="s">
        <v>27</v>
      </c>
      <c r="AH874" s="195" t="s">
        <v>27</v>
      </c>
      <c r="AI874" s="18" t="str">
        <f>+VLOOKUP(AH874,Leyenda!$O$4:$U$10,6,FALSE)</f>
        <v>0,35-0,50</v>
      </c>
      <c r="AJ874" s="18" t="str">
        <f>+VLOOKUP(AG874,Leyenda!$O$4:$U$10,7,FALSE)</f>
        <v>Easy to blast</v>
      </c>
      <c r="AK874" s="18">
        <f>+VLOOKUP(AJ874,Leyenda!$U$4:$V$10,2,FALSE)</f>
        <v>3</v>
      </c>
      <c r="AL874" s="5"/>
      <c r="AM874" s="195" t="s">
        <v>27</v>
      </c>
      <c r="AN874" s="18" t="s">
        <v>64</v>
      </c>
      <c r="AO874" s="18" t="s">
        <v>79</v>
      </c>
      <c r="AP874" s="18" t="s">
        <v>96</v>
      </c>
      <c r="AQ874" s="18" t="s">
        <v>107</v>
      </c>
      <c r="AR874" s="18" t="s">
        <v>118</v>
      </c>
      <c r="AS874" s="18" t="s">
        <v>267</v>
      </c>
      <c r="AT874" s="18"/>
      <c r="AU874" s="6"/>
      <c r="AV874" s="36">
        <f>+VLOOKUP(AN874,Leyenda!$B$30:$E$34,3,FALSE)</f>
        <v>2</v>
      </c>
      <c r="AW874" s="36">
        <f>+VLOOKUP('2. Logging Brejo Seco'!AO874,Meteorizacion,3,FALSE)</f>
        <v>1</v>
      </c>
      <c r="AX874" s="36">
        <f>+VLOOKUP('2. Logging Brejo Seco'!AP874,Apertura,3,FALSE)</f>
        <v>1</v>
      </c>
      <c r="AY874" s="36">
        <f>+VLOOKUP('2. Logging Brejo Seco'!AQ874,Leyenda!$B$55:$D$59,3,FALSE)</f>
        <v>3</v>
      </c>
      <c r="AZ874" s="36">
        <f>+VLOOKUP('2. Logging Brejo Seco'!AR874,Relleno,3,FALSE)</f>
        <v>2</v>
      </c>
      <c r="BA874" s="36">
        <f t="shared" si="347"/>
        <v>9</v>
      </c>
      <c r="BB874" s="225">
        <f t="shared" si="348"/>
        <v>0</v>
      </c>
      <c r="BC874" s="49">
        <f>VLOOKUP(AH874,Leyenda!$B$4:$D$10,3,FALSE)</f>
        <v>4</v>
      </c>
      <c r="BD874" s="50">
        <f t="shared" si="349"/>
        <v>8</v>
      </c>
      <c r="BE874" s="50">
        <f t="shared" si="350"/>
        <v>9</v>
      </c>
      <c r="BF874" s="50">
        <f>VLOOKUP(AS874,Leyenda!$B$70:$D$75,3,FALSE)</f>
        <v>15</v>
      </c>
      <c r="BG874" s="110">
        <f t="shared" si="351"/>
        <v>13.5</v>
      </c>
      <c r="BH874" s="110">
        <f>VLOOKUP(AG874,Leyenda!$B$4:$E$10,4,FALSE)</f>
        <v>4</v>
      </c>
      <c r="BI874" s="67">
        <f t="shared" si="352"/>
        <v>10</v>
      </c>
      <c r="BJ874" s="110">
        <f t="shared" si="353"/>
        <v>0</v>
      </c>
      <c r="BK874" s="110">
        <f>+VLOOKUP('2. Logging Brejo Seco'!AP874,Leyenda!$B$47:$E$51,4,FALSE)</f>
        <v>1</v>
      </c>
      <c r="BL874" s="110">
        <f>+VLOOKUP('2. Logging Brejo Seco'!AQ874,Leyenda!$B$55:$E$59,4,FALSE)</f>
        <v>3</v>
      </c>
      <c r="BM874" s="110">
        <f>+VLOOKUP('2. Logging Brejo Seco'!AR874,Leyenda!$B$63:$E$67,3,FALSE)</f>
        <v>2</v>
      </c>
      <c r="BN874" s="110">
        <f>+VLOOKUP('2. Logging Brejo Seco'!AO874,Leyenda!$B$39:$E$43,4,FALSE)</f>
        <v>1</v>
      </c>
      <c r="BO874" s="110">
        <f>+VLOOKUP('2. Logging Brejo Seco'!AN874,Leyenda!$B$30:$E$34,4,FALSE)</f>
        <v>3</v>
      </c>
      <c r="BP874" s="110">
        <f>VLOOKUP(AS874,Leyenda!$B$71:$E$75,4,FALSE)</f>
        <v>10</v>
      </c>
      <c r="BQ874" s="110">
        <f t="shared" si="354"/>
        <v>34</v>
      </c>
      <c r="BR874" s="36">
        <f t="shared" si="355"/>
        <v>36</v>
      </c>
      <c r="BS874" s="240">
        <f t="shared" si="330"/>
        <v>0.28571428571428503</v>
      </c>
      <c r="BT874" s="6"/>
    </row>
    <row r="875" spans="1:72" x14ac:dyDescent="0.25">
      <c r="A875" s="18" t="s">
        <v>6</v>
      </c>
      <c r="B875" s="18">
        <v>2024</v>
      </c>
      <c r="C875" s="18" t="s">
        <v>138</v>
      </c>
      <c r="D875" s="18" t="s">
        <v>660</v>
      </c>
      <c r="E875" s="3">
        <v>30</v>
      </c>
      <c r="F875" s="191">
        <v>30</v>
      </c>
      <c r="G875" s="18" t="s">
        <v>152</v>
      </c>
      <c r="H875" s="3">
        <v>30</v>
      </c>
      <c r="I875" s="3" t="s">
        <v>759</v>
      </c>
      <c r="J875" s="3"/>
      <c r="K875" s="18">
        <f t="shared" si="344"/>
        <v>20.75</v>
      </c>
      <c r="L875" s="18">
        <v>21.95</v>
      </c>
      <c r="M875" s="4">
        <f t="shared" si="343"/>
        <v>1.1999999999999993</v>
      </c>
      <c r="N875" s="113">
        <f t="shared" si="345"/>
        <v>0.65000000000000036</v>
      </c>
      <c r="O875" s="5">
        <f t="shared" si="325"/>
        <v>0.34999999999999964</v>
      </c>
      <c r="P875" s="4">
        <v>0.78</v>
      </c>
      <c r="Q875" s="18"/>
      <c r="R875" s="18"/>
      <c r="S875" s="18"/>
      <c r="T875" s="18">
        <v>0.78</v>
      </c>
      <c r="U875" s="18">
        <v>0.21</v>
      </c>
      <c r="V875" s="18">
        <f t="shared" si="329"/>
        <v>17.500000000000011</v>
      </c>
      <c r="W875" s="18"/>
      <c r="X875" s="18"/>
      <c r="Y875" s="223">
        <v>11</v>
      </c>
      <c r="Z875" s="31">
        <f t="shared" si="341"/>
        <v>109.09090909090902</v>
      </c>
      <c r="AA875" s="6"/>
      <c r="AB875" s="6"/>
      <c r="AC875" s="184"/>
      <c r="AD875" s="6"/>
      <c r="AE875" s="184"/>
      <c r="AF875" s="184"/>
      <c r="AG875" s="195" t="s">
        <v>27</v>
      </c>
      <c r="AH875" s="195" t="s">
        <v>27</v>
      </c>
      <c r="AI875" s="18" t="str">
        <f>+VLOOKUP(AH875,Leyenda!$O$4:$U$10,6,FALSE)</f>
        <v>0,35-0,50</v>
      </c>
      <c r="AJ875" s="18" t="str">
        <f>+VLOOKUP(AG875,Leyenda!$O$4:$U$10,7,FALSE)</f>
        <v>Easy to blast</v>
      </c>
      <c r="AK875" s="18">
        <f>+VLOOKUP(AJ875,Leyenda!$U$4:$V$10,2,FALSE)</f>
        <v>3</v>
      </c>
      <c r="AL875" s="5"/>
      <c r="AM875" s="195" t="s">
        <v>27</v>
      </c>
      <c r="AN875" s="18" t="s">
        <v>64</v>
      </c>
      <c r="AO875" s="18" t="s">
        <v>79</v>
      </c>
      <c r="AP875" s="18" t="s">
        <v>96</v>
      </c>
      <c r="AQ875" s="18" t="s">
        <v>107</v>
      </c>
      <c r="AR875" s="18" t="s">
        <v>118</v>
      </c>
      <c r="AS875" s="18" t="s">
        <v>267</v>
      </c>
      <c r="AT875" s="18"/>
      <c r="AU875" s="6"/>
      <c r="AV875" s="36">
        <f>+VLOOKUP(AN875,Leyenda!$B$30:$E$34,3,FALSE)</f>
        <v>2</v>
      </c>
      <c r="AW875" s="36">
        <f>+VLOOKUP('2. Logging Brejo Seco'!AO875,Meteorizacion,3,FALSE)</f>
        <v>1</v>
      </c>
      <c r="AX875" s="36">
        <f>+VLOOKUP('2. Logging Brejo Seco'!AP875,Apertura,3,FALSE)</f>
        <v>1</v>
      </c>
      <c r="AY875" s="36">
        <f>+VLOOKUP('2. Logging Brejo Seco'!AQ875,Leyenda!$B$55:$D$59,3,FALSE)</f>
        <v>3</v>
      </c>
      <c r="AZ875" s="36">
        <f>+VLOOKUP('2. Logging Brejo Seco'!AR875,Relleno,3,FALSE)</f>
        <v>2</v>
      </c>
      <c r="BA875" s="36">
        <f t="shared" si="347"/>
        <v>9</v>
      </c>
      <c r="BB875" s="225">
        <f t="shared" si="348"/>
        <v>4</v>
      </c>
      <c r="BC875" s="49">
        <f>VLOOKUP(AH875,Leyenda!$B$4:$D$10,3,FALSE)</f>
        <v>4</v>
      </c>
      <c r="BD875" s="50">
        <f t="shared" si="349"/>
        <v>7</v>
      </c>
      <c r="BE875" s="50">
        <f t="shared" si="350"/>
        <v>9</v>
      </c>
      <c r="BF875" s="50">
        <f>VLOOKUP(AS875,Leyenda!$B$70:$D$75,3,FALSE)</f>
        <v>15</v>
      </c>
      <c r="BG875" s="110">
        <f t="shared" si="351"/>
        <v>22.250000000000007</v>
      </c>
      <c r="BH875" s="110">
        <f>VLOOKUP(AG875,Leyenda!$B$4:$E$10,4,FALSE)</f>
        <v>4</v>
      </c>
      <c r="BI875" s="67">
        <f t="shared" si="352"/>
        <v>9</v>
      </c>
      <c r="BJ875" s="110">
        <f t="shared" si="353"/>
        <v>4</v>
      </c>
      <c r="BK875" s="110">
        <f>+VLOOKUP('2. Logging Brejo Seco'!AP875,Leyenda!$B$47:$E$51,4,FALSE)</f>
        <v>1</v>
      </c>
      <c r="BL875" s="110">
        <f>+VLOOKUP('2. Logging Brejo Seco'!AQ875,Leyenda!$B$55:$E$59,4,FALSE)</f>
        <v>3</v>
      </c>
      <c r="BM875" s="110">
        <f>+VLOOKUP('2. Logging Brejo Seco'!AR875,Leyenda!$B$63:$E$67,3,FALSE)</f>
        <v>2</v>
      </c>
      <c r="BN875" s="110">
        <f>+VLOOKUP('2. Logging Brejo Seco'!AO875,Leyenda!$B$39:$E$43,4,FALSE)</f>
        <v>1</v>
      </c>
      <c r="BO875" s="110">
        <f>+VLOOKUP('2. Logging Brejo Seco'!AN875,Leyenda!$B$30:$E$34,4,FALSE)</f>
        <v>3</v>
      </c>
      <c r="BP875" s="110">
        <f>VLOOKUP(AS875,Leyenda!$B$71:$E$75,4,FALSE)</f>
        <v>10</v>
      </c>
      <c r="BQ875" s="110">
        <f t="shared" si="354"/>
        <v>37</v>
      </c>
      <c r="BR875" s="36">
        <f t="shared" si="355"/>
        <v>39</v>
      </c>
      <c r="BS875" s="240">
        <f t="shared" si="330"/>
        <v>0.34999999999999964</v>
      </c>
      <c r="BT875" s="6"/>
    </row>
    <row r="876" spans="1:72" x14ac:dyDescent="0.25">
      <c r="A876" s="18" t="s">
        <v>6</v>
      </c>
      <c r="B876" s="18">
        <v>2024</v>
      </c>
      <c r="C876" s="18" t="s">
        <v>138</v>
      </c>
      <c r="D876" s="18" t="s">
        <v>660</v>
      </c>
      <c r="E876" s="3">
        <v>20</v>
      </c>
      <c r="F876" s="191">
        <v>20</v>
      </c>
      <c r="G876" s="18" t="s">
        <v>156</v>
      </c>
      <c r="H876" s="3">
        <v>30</v>
      </c>
      <c r="I876" s="3" t="s">
        <v>759</v>
      </c>
      <c r="J876" s="3"/>
      <c r="K876" s="18">
        <f t="shared" si="344"/>
        <v>21.95</v>
      </c>
      <c r="L876" s="18">
        <v>23.95</v>
      </c>
      <c r="M876" s="4">
        <f t="shared" si="343"/>
        <v>2</v>
      </c>
      <c r="N876" s="113">
        <f t="shared" si="345"/>
        <v>0.70499999999999996</v>
      </c>
      <c r="O876" s="5">
        <f t="shared" si="325"/>
        <v>0.29500000000000004</v>
      </c>
      <c r="P876" s="4">
        <v>1.41</v>
      </c>
      <c r="Q876" s="18"/>
      <c r="R876" s="18"/>
      <c r="S876" s="18"/>
      <c r="T876" s="18">
        <v>1.41</v>
      </c>
      <c r="U876" s="18">
        <v>0.37</v>
      </c>
      <c r="V876" s="4">
        <f t="shared" si="329"/>
        <v>18.5</v>
      </c>
      <c r="W876" s="18"/>
      <c r="X876" s="18"/>
      <c r="Y876" s="18">
        <v>16</v>
      </c>
      <c r="Z876" s="31">
        <f t="shared" si="341"/>
        <v>125</v>
      </c>
      <c r="AA876" s="6"/>
      <c r="AB876" s="6"/>
      <c r="AC876" s="184"/>
      <c r="AD876" s="6"/>
      <c r="AE876" s="184"/>
      <c r="AF876" s="184"/>
      <c r="AG876" s="195" t="s">
        <v>27</v>
      </c>
      <c r="AH876" s="195" t="s">
        <v>27</v>
      </c>
      <c r="AI876" s="18" t="str">
        <f>+VLOOKUP(AH876,Leyenda!$O$4:$U$10,6,FALSE)</f>
        <v>0,35-0,50</v>
      </c>
      <c r="AJ876" s="18" t="str">
        <f>+VLOOKUP(AG876,Leyenda!$O$4:$U$10,7,FALSE)</f>
        <v>Easy to blast</v>
      </c>
      <c r="AK876" s="18">
        <f>+VLOOKUP(AJ876,Leyenda!$U$4:$V$10,2,FALSE)</f>
        <v>3</v>
      </c>
      <c r="AL876" s="5"/>
      <c r="AM876" s="195" t="s">
        <v>27</v>
      </c>
      <c r="AN876" s="18" t="s">
        <v>64</v>
      </c>
      <c r="AO876" s="18" t="s">
        <v>79</v>
      </c>
      <c r="AP876" s="18" t="s">
        <v>96</v>
      </c>
      <c r="AQ876" s="18" t="s">
        <v>107</v>
      </c>
      <c r="AR876" s="18" t="s">
        <v>118</v>
      </c>
      <c r="AS876" s="18" t="s">
        <v>267</v>
      </c>
      <c r="AT876" s="18"/>
      <c r="AU876" s="6"/>
      <c r="AV876" s="36">
        <f>+VLOOKUP(AN876,Leyenda!$B$30:$E$34,3,FALSE)</f>
        <v>2</v>
      </c>
      <c r="AW876" s="36">
        <f>+VLOOKUP('2. Logging Brejo Seco'!AO876,Meteorizacion,3,FALSE)</f>
        <v>1</v>
      </c>
      <c r="AX876" s="36">
        <f>+VLOOKUP('2. Logging Brejo Seco'!AP876,Apertura,3,FALSE)</f>
        <v>1</v>
      </c>
      <c r="AY876" s="36">
        <f>+VLOOKUP('2. Logging Brejo Seco'!AQ876,Leyenda!$B$55:$D$59,3,FALSE)</f>
        <v>3</v>
      </c>
      <c r="AZ876" s="36">
        <f>+VLOOKUP('2. Logging Brejo Seco'!AR876,Relleno,3,FALSE)</f>
        <v>2</v>
      </c>
      <c r="BA876" s="36">
        <f t="shared" si="347"/>
        <v>9</v>
      </c>
      <c r="BB876" s="50">
        <f t="shared" si="348"/>
        <v>4</v>
      </c>
      <c r="BC876" s="49">
        <f>VLOOKUP(AH876,Leyenda!$B$4:$D$10,3,FALSE)</f>
        <v>4</v>
      </c>
      <c r="BD876" s="50">
        <f t="shared" si="349"/>
        <v>8</v>
      </c>
      <c r="BE876" s="50">
        <f t="shared" si="350"/>
        <v>9</v>
      </c>
      <c r="BF876" s="50">
        <f>VLOOKUP(AS876,Leyenda!$B$70:$D$75,3,FALSE)</f>
        <v>15</v>
      </c>
      <c r="BG876" s="110">
        <f t="shared" si="351"/>
        <v>22.75</v>
      </c>
      <c r="BH876" s="110">
        <f>VLOOKUP(AG876,Leyenda!$B$4:$E$10,4,FALSE)</f>
        <v>4</v>
      </c>
      <c r="BI876" s="67">
        <f t="shared" si="352"/>
        <v>10</v>
      </c>
      <c r="BJ876" s="110">
        <f t="shared" si="353"/>
        <v>4</v>
      </c>
      <c r="BK876" s="110">
        <f>+VLOOKUP('2. Logging Brejo Seco'!AP876,Leyenda!$B$47:$E$51,4,FALSE)</f>
        <v>1</v>
      </c>
      <c r="BL876" s="110">
        <f>+VLOOKUP('2. Logging Brejo Seco'!AQ876,Leyenda!$B$55:$E$59,4,FALSE)</f>
        <v>3</v>
      </c>
      <c r="BM876" s="110">
        <f>+VLOOKUP('2. Logging Brejo Seco'!AR876,Leyenda!$B$63:$E$67,3,FALSE)</f>
        <v>2</v>
      </c>
      <c r="BN876" s="110">
        <f>+VLOOKUP('2. Logging Brejo Seco'!AO876,Leyenda!$B$39:$E$43,4,FALSE)</f>
        <v>1</v>
      </c>
      <c r="BO876" s="110">
        <f>+VLOOKUP('2. Logging Brejo Seco'!AN876,Leyenda!$B$30:$E$34,4,FALSE)</f>
        <v>3</v>
      </c>
      <c r="BP876" s="110">
        <f>VLOOKUP(AS876,Leyenda!$B$71:$E$75,4,FALSE)</f>
        <v>10</v>
      </c>
      <c r="BQ876" s="110">
        <f t="shared" si="354"/>
        <v>38</v>
      </c>
      <c r="BR876" s="36">
        <f t="shared" si="355"/>
        <v>40</v>
      </c>
      <c r="BS876" s="240">
        <f t="shared" si="330"/>
        <v>0.29500000000000004</v>
      </c>
      <c r="BT876" s="6"/>
    </row>
    <row r="877" spans="1:72" x14ac:dyDescent="0.25">
      <c r="A877" s="18" t="s">
        <v>6</v>
      </c>
      <c r="B877" s="18">
        <v>2024</v>
      </c>
      <c r="C877" s="18" t="s">
        <v>138</v>
      </c>
      <c r="D877" s="18" t="s">
        <v>660</v>
      </c>
      <c r="E877" s="3">
        <v>20</v>
      </c>
      <c r="F877" s="191">
        <v>20</v>
      </c>
      <c r="G877" s="18" t="s">
        <v>156</v>
      </c>
      <c r="H877" s="3">
        <v>11</v>
      </c>
      <c r="I877" s="3" t="s">
        <v>765</v>
      </c>
      <c r="J877" s="3"/>
      <c r="K877" s="18">
        <f t="shared" si="344"/>
        <v>23.95</v>
      </c>
      <c r="L877" s="18">
        <v>25.7</v>
      </c>
      <c r="M877" s="4">
        <f t="shared" si="343"/>
        <v>1.75</v>
      </c>
      <c r="N877" s="113">
        <f t="shared" si="345"/>
        <v>0.25714285714285717</v>
      </c>
      <c r="O877" s="5">
        <f t="shared" si="325"/>
        <v>0.74285714285714288</v>
      </c>
      <c r="P877" s="4">
        <v>0.45</v>
      </c>
      <c r="Q877" s="18"/>
      <c r="R877" s="18"/>
      <c r="S877" s="18"/>
      <c r="T877" s="18">
        <v>0.45</v>
      </c>
      <c r="U877" s="18">
        <f>0.19+0.75</f>
        <v>0.94</v>
      </c>
      <c r="V877" s="4">
        <f t="shared" si="329"/>
        <v>53.714285714285715</v>
      </c>
      <c r="W877" s="18"/>
      <c r="X877" s="18"/>
      <c r="Y877" s="18">
        <v>7</v>
      </c>
      <c r="Z877" s="31">
        <f t="shared" si="341"/>
        <v>250</v>
      </c>
      <c r="AA877" s="6"/>
      <c r="AB877" s="6"/>
      <c r="AC877" s="184"/>
      <c r="AD877" s="6"/>
      <c r="AE877" s="184"/>
      <c r="AF877" s="184"/>
      <c r="AG877" s="195" t="s">
        <v>27</v>
      </c>
      <c r="AH877" s="195" t="s">
        <v>27</v>
      </c>
      <c r="AI877" s="18" t="str">
        <f>+VLOOKUP(AH877,Leyenda!$O$4:$U$10,6,FALSE)</f>
        <v>0,35-0,50</v>
      </c>
      <c r="AJ877" s="18" t="str">
        <f>+VLOOKUP(AG877,Leyenda!$O$4:$U$10,7,FALSE)</f>
        <v>Easy to blast</v>
      </c>
      <c r="AK877" s="18">
        <f>+VLOOKUP(AJ877,Leyenda!$U$4:$V$10,2,FALSE)</f>
        <v>3</v>
      </c>
      <c r="AL877" s="5"/>
      <c r="AM877" s="195" t="s">
        <v>27</v>
      </c>
      <c r="AN877" s="18" t="s">
        <v>64</v>
      </c>
      <c r="AO877" s="18" t="s">
        <v>77</v>
      </c>
      <c r="AP877" s="18" t="s">
        <v>92</v>
      </c>
      <c r="AQ877" s="18" t="s">
        <v>105</v>
      </c>
      <c r="AR877" s="18" t="s">
        <v>118</v>
      </c>
      <c r="AS877" s="18" t="s">
        <v>267</v>
      </c>
      <c r="AT877" s="18"/>
      <c r="AU877" s="6"/>
      <c r="AV877" s="36">
        <f>+VLOOKUP(AN877,Leyenda!$B$30:$E$34,3,FALSE)</f>
        <v>2</v>
      </c>
      <c r="AW877" s="36">
        <f>+VLOOKUP('2. Logging Brejo Seco'!AO877,Meteorizacion,3,FALSE)</f>
        <v>3</v>
      </c>
      <c r="AX877" s="36">
        <f>+VLOOKUP('2. Logging Brejo Seco'!AP877,Apertura,3,FALSE)</f>
        <v>3</v>
      </c>
      <c r="AY877" s="36">
        <f>+VLOOKUP('2. Logging Brejo Seco'!AQ877,Leyenda!$B$55:$D$59,3,FALSE)</f>
        <v>4</v>
      </c>
      <c r="AZ877" s="36">
        <f>+VLOOKUP('2. Logging Brejo Seco'!AR877,Relleno,3,FALSE)</f>
        <v>2</v>
      </c>
      <c r="BA877" s="36">
        <f t="shared" si="347"/>
        <v>14</v>
      </c>
      <c r="BB877" s="50">
        <f t="shared" si="348"/>
        <v>11</v>
      </c>
      <c r="BC877" s="49">
        <f>VLOOKUP(AH877,Leyenda!$B$4:$D$10,3,FALSE)</f>
        <v>4</v>
      </c>
      <c r="BD877" s="50">
        <f t="shared" si="349"/>
        <v>10</v>
      </c>
      <c r="BE877" s="50">
        <f t="shared" si="350"/>
        <v>14</v>
      </c>
      <c r="BF877" s="50">
        <f>VLOOKUP(AS877,Leyenda!$B$70:$D$75,3,FALSE)</f>
        <v>15</v>
      </c>
      <c r="BG877" s="110">
        <f t="shared" si="351"/>
        <v>47.857142857142861</v>
      </c>
      <c r="BH877" s="110">
        <f>VLOOKUP(AG877,Leyenda!$B$4:$E$10,4,FALSE)</f>
        <v>4</v>
      </c>
      <c r="BI877" s="67">
        <f t="shared" si="352"/>
        <v>14</v>
      </c>
      <c r="BJ877" s="110">
        <f t="shared" si="353"/>
        <v>11</v>
      </c>
      <c r="BK877" s="110">
        <f>+VLOOKUP('2. Logging Brejo Seco'!AP877,Leyenda!$B$47:$E$51,4,FALSE)</f>
        <v>3</v>
      </c>
      <c r="BL877" s="110">
        <f>+VLOOKUP('2. Logging Brejo Seco'!AQ877,Leyenda!$B$55:$E$59,4,FALSE)</f>
        <v>4</v>
      </c>
      <c r="BM877" s="110">
        <f>+VLOOKUP('2. Logging Brejo Seco'!AR877,Leyenda!$B$63:$E$67,3,FALSE)</f>
        <v>2</v>
      </c>
      <c r="BN877" s="110">
        <f>+VLOOKUP('2. Logging Brejo Seco'!AO877,Leyenda!$B$39:$E$43,4,FALSE)</f>
        <v>3</v>
      </c>
      <c r="BO877" s="110">
        <f>+VLOOKUP('2. Logging Brejo Seco'!AN877,Leyenda!$B$30:$E$34,4,FALSE)</f>
        <v>3</v>
      </c>
      <c r="BP877" s="110">
        <f>VLOOKUP(AS877,Leyenda!$B$71:$E$75,4,FALSE)</f>
        <v>10</v>
      </c>
      <c r="BQ877" s="110">
        <f t="shared" si="354"/>
        <v>54</v>
      </c>
      <c r="BR877" s="36">
        <f t="shared" si="355"/>
        <v>54</v>
      </c>
      <c r="BS877" s="240">
        <f t="shared" si="330"/>
        <v>0.74285714285714288</v>
      </c>
      <c r="BT877" s="6"/>
    </row>
    <row r="878" spans="1:72" x14ac:dyDescent="0.25">
      <c r="A878" s="18" t="s">
        <v>6</v>
      </c>
      <c r="B878" s="18">
        <v>2024</v>
      </c>
      <c r="C878" s="18" t="s">
        <v>138</v>
      </c>
      <c r="D878" s="18" t="s">
        <v>660</v>
      </c>
      <c r="E878" s="3">
        <v>20</v>
      </c>
      <c r="F878" s="191">
        <v>20</v>
      </c>
      <c r="G878" s="18" t="s">
        <v>156</v>
      </c>
      <c r="H878" s="3">
        <v>11</v>
      </c>
      <c r="I878" s="3" t="s">
        <v>765</v>
      </c>
      <c r="J878" s="3"/>
      <c r="K878" s="18">
        <f t="shared" si="344"/>
        <v>25.7</v>
      </c>
      <c r="L878" s="18">
        <v>27.8</v>
      </c>
      <c r="M878" s="4">
        <f t="shared" si="343"/>
        <v>2.1000000000000014</v>
      </c>
      <c r="N878" s="113">
        <f t="shared" si="345"/>
        <v>0.83333333333333282</v>
      </c>
      <c r="O878" s="5">
        <f t="shared" si="325"/>
        <v>0.16666666666666718</v>
      </c>
      <c r="P878" s="4">
        <v>1.75</v>
      </c>
      <c r="Q878" s="18"/>
      <c r="R878" s="18"/>
      <c r="S878" s="18"/>
      <c r="T878" s="18">
        <v>1.75</v>
      </c>
      <c r="U878" s="18">
        <v>1.1599999999999999</v>
      </c>
      <c r="V878" s="4">
        <f t="shared" si="329"/>
        <v>55.238095238095198</v>
      </c>
      <c r="W878" s="18"/>
      <c r="X878" s="18"/>
      <c r="Y878" s="18">
        <v>9</v>
      </c>
      <c r="Z878" s="31">
        <f t="shared" si="341"/>
        <v>233.33333333333348</v>
      </c>
      <c r="AA878" s="6"/>
      <c r="AB878" s="6"/>
      <c r="AC878" s="184"/>
      <c r="AD878" s="6"/>
      <c r="AE878" s="184"/>
      <c r="AF878" s="184"/>
      <c r="AG878" s="195" t="s">
        <v>27</v>
      </c>
      <c r="AH878" s="195" t="s">
        <v>27</v>
      </c>
      <c r="AI878" s="18" t="str">
        <f>+VLOOKUP(AH878,Leyenda!$O$4:$U$10,6,FALSE)</f>
        <v>0,35-0,50</v>
      </c>
      <c r="AJ878" s="18" t="str">
        <f>+VLOOKUP(AG878,Leyenda!$O$4:$U$10,7,FALSE)</f>
        <v>Easy to blast</v>
      </c>
      <c r="AK878" s="18">
        <f>+VLOOKUP(AJ878,Leyenda!$U$4:$V$10,2,FALSE)</f>
        <v>3</v>
      </c>
      <c r="AL878" s="5"/>
      <c r="AM878" s="195" t="s">
        <v>27</v>
      </c>
      <c r="AN878" s="18" t="s">
        <v>64</v>
      </c>
      <c r="AO878" s="18" t="s">
        <v>77</v>
      </c>
      <c r="AP878" s="18" t="s">
        <v>92</v>
      </c>
      <c r="AQ878" s="18" t="s">
        <v>105</v>
      </c>
      <c r="AR878" s="18" t="s">
        <v>118</v>
      </c>
      <c r="AS878" s="18" t="s">
        <v>267</v>
      </c>
      <c r="AT878" s="18"/>
      <c r="AU878" s="6"/>
      <c r="AV878" s="36">
        <f>+VLOOKUP(AN878,Leyenda!$B$30:$E$34,3,FALSE)</f>
        <v>2</v>
      </c>
      <c r="AW878" s="36">
        <f>+VLOOKUP('2. Logging Brejo Seco'!AO878,Meteorizacion,3,FALSE)</f>
        <v>3</v>
      </c>
      <c r="AX878" s="36">
        <f>+VLOOKUP('2. Logging Brejo Seco'!AP878,Apertura,3,FALSE)</f>
        <v>3</v>
      </c>
      <c r="AY878" s="36">
        <f>+VLOOKUP('2. Logging Brejo Seco'!AQ878,Leyenda!$B$55:$D$59,3,FALSE)</f>
        <v>4</v>
      </c>
      <c r="AZ878" s="36">
        <f>+VLOOKUP('2. Logging Brejo Seco'!AR878,Relleno,3,FALSE)</f>
        <v>2</v>
      </c>
      <c r="BA878" s="36">
        <f t="shared" si="347"/>
        <v>14</v>
      </c>
      <c r="BB878" s="50">
        <f t="shared" si="348"/>
        <v>12</v>
      </c>
      <c r="BC878" s="49">
        <f>VLOOKUP(AH878,Leyenda!$B$4:$D$10,3,FALSE)</f>
        <v>4</v>
      </c>
      <c r="BD878" s="50">
        <f t="shared" si="349"/>
        <v>10</v>
      </c>
      <c r="BE878" s="50">
        <f t="shared" si="350"/>
        <v>14</v>
      </c>
      <c r="BF878" s="50">
        <f>VLOOKUP(AS878,Leyenda!$B$70:$D$75,3,FALSE)</f>
        <v>15</v>
      </c>
      <c r="BG878" s="110">
        <f t="shared" si="351"/>
        <v>48.619047619047599</v>
      </c>
      <c r="BH878" s="110">
        <f>VLOOKUP(AG878,Leyenda!$B$4:$E$10,4,FALSE)</f>
        <v>4</v>
      </c>
      <c r="BI878" s="67">
        <f t="shared" si="352"/>
        <v>13</v>
      </c>
      <c r="BJ878" s="110">
        <f t="shared" si="353"/>
        <v>12</v>
      </c>
      <c r="BK878" s="110">
        <f>+VLOOKUP('2. Logging Brejo Seco'!AP878,Leyenda!$B$47:$E$51,4,FALSE)</f>
        <v>3</v>
      </c>
      <c r="BL878" s="110">
        <f>+VLOOKUP('2. Logging Brejo Seco'!AQ878,Leyenda!$B$55:$E$59,4,FALSE)</f>
        <v>4</v>
      </c>
      <c r="BM878" s="110">
        <f>+VLOOKUP('2. Logging Brejo Seco'!AR878,Leyenda!$B$63:$E$67,3,FALSE)</f>
        <v>2</v>
      </c>
      <c r="BN878" s="110">
        <f>+VLOOKUP('2. Logging Brejo Seco'!AO878,Leyenda!$B$39:$E$43,4,FALSE)</f>
        <v>3</v>
      </c>
      <c r="BO878" s="110">
        <f>+VLOOKUP('2. Logging Brejo Seco'!AN878,Leyenda!$B$30:$E$34,4,FALSE)</f>
        <v>3</v>
      </c>
      <c r="BP878" s="110">
        <f>VLOOKUP(AS878,Leyenda!$B$71:$E$75,4,FALSE)</f>
        <v>10</v>
      </c>
      <c r="BQ878" s="110">
        <f t="shared" si="354"/>
        <v>54</v>
      </c>
      <c r="BR878" s="36">
        <f t="shared" si="355"/>
        <v>55</v>
      </c>
      <c r="BS878" s="240">
        <f t="shared" si="330"/>
        <v>0.16666666666666718</v>
      </c>
      <c r="BT878" s="6"/>
    </row>
    <row r="879" spans="1:72" x14ac:dyDescent="0.25">
      <c r="A879" s="18" t="s">
        <v>6</v>
      </c>
      <c r="B879" s="18">
        <v>2024</v>
      </c>
      <c r="C879" s="18" t="s">
        <v>138</v>
      </c>
      <c r="D879" s="18" t="s">
        <v>660</v>
      </c>
      <c r="E879" s="3">
        <v>20</v>
      </c>
      <c r="F879" s="191">
        <v>20</v>
      </c>
      <c r="G879" s="18" t="s">
        <v>156</v>
      </c>
      <c r="H879" s="3">
        <v>50</v>
      </c>
      <c r="I879" s="3" t="s">
        <v>756</v>
      </c>
      <c r="J879" s="3"/>
      <c r="K879" s="18">
        <f t="shared" si="344"/>
        <v>27.8</v>
      </c>
      <c r="L879" s="18">
        <v>29.8</v>
      </c>
      <c r="M879" s="4">
        <f t="shared" si="343"/>
        <v>2</v>
      </c>
      <c r="N879" s="113">
        <f t="shared" si="345"/>
        <v>0.92500000000000004</v>
      </c>
      <c r="O879" s="5">
        <f t="shared" si="325"/>
        <v>7.4999999999999956E-2</v>
      </c>
      <c r="P879" s="4">
        <v>1.85</v>
      </c>
      <c r="Q879" s="18"/>
      <c r="R879" s="18"/>
      <c r="S879" s="18"/>
      <c r="T879" s="18">
        <v>1.85</v>
      </c>
      <c r="U879" s="18">
        <v>0.69</v>
      </c>
      <c r="V879" s="4">
        <f t="shared" si="329"/>
        <v>34.5</v>
      </c>
      <c r="W879" s="18"/>
      <c r="X879" s="18"/>
      <c r="Y879" s="18">
        <v>11</v>
      </c>
      <c r="Z879" s="31">
        <f t="shared" si="341"/>
        <v>181.81818181818181</v>
      </c>
      <c r="AA879" s="6"/>
      <c r="AB879" s="6"/>
      <c r="AC879" s="184"/>
      <c r="AD879" s="6"/>
      <c r="AE879" s="184"/>
      <c r="AF879" s="184"/>
      <c r="AG879" s="195" t="s">
        <v>27</v>
      </c>
      <c r="AH879" s="195" t="s">
        <v>27</v>
      </c>
      <c r="AI879" s="18" t="str">
        <f>+VLOOKUP(AH879,Leyenda!$O$4:$U$10,6,FALSE)</f>
        <v>0,35-0,50</v>
      </c>
      <c r="AJ879" s="18" t="str">
        <f>+VLOOKUP(AG879,Leyenda!$O$4:$U$10,7,FALSE)</f>
        <v>Easy to blast</v>
      </c>
      <c r="AK879" s="18">
        <f>+VLOOKUP(AJ879,Leyenda!$U$4:$V$10,2,FALSE)</f>
        <v>3</v>
      </c>
      <c r="AL879" s="5"/>
      <c r="AM879" s="195" t="s">
        <v>27</v>
      </c>
      <c r="AN879" s="18" t="s">
        <v>66</v>
      </c>
      <c r="AO879" s="18" t="s">
        <v>79</v>
      </c>
      <c r="AP879" s="18" t="s">
        <v>96</v>
      </c>
      <c r="AQ879" s="18" t="s">
        <v>107</v>
      </c>
      <c r="AR879" s="18" t="s">
        <v>120</v>
      </c>
      <c r="AS879" s="18" t="s">
        <v>267</v>
      </c>
      <c r="AT879" s="18"/>
      <c r="AU879" s="6"/>
      <c r="AV879" s="36">
        <f>+VLOOKUP(AN879,Leyenda!$B$30:$E$34,3,FALSE)</f>
        <v>1</v>
      </c>
      <c r="AW879" s="36">
        <f>+VLOOKUP('2. Logging Brejo Seco'!AO879,Meteorizacion,3,FALSE)</f>
        <v>1</v>
      </c>
      <c r="AX879" s="36">
        <f>+VLOOKUP('2. Logging Brejo Seco'!AP879,Apertura,3,FALSE)</f>
        <v>1</v>
      </c>
      <c r="AY879" s="36">
        <f>+VLOOKUP('2. Logging Brejo Seco'!AQ879,Leyenda!$B$55:$D$59,3,FALSE)</f>
        <v>3</v>
      </c>
      <c r="AZ879" s="36">
        <f>+VLOOKUP('2. Logging Brejo Seco'!AR879,Relleno,3,FALSE)</f>
        <v>2</v>
      </c>
      <c r="BA879" s="36">
        <f t="shared" si="347"/>
        <v>8</v>
      </c>
      <c r="BB879" s="50">
        <f t="shared" si="348"/>
        <v>7</v>
      </c>
      <c r="BC879" s="49">
        <f>VLOOKUP(AH879,Leyenda!$B$4:$D$10,3,FALSE)</f>
        <v>4</v>
      </c>
      <c r="BD879" s="50">
        <f t="shared" si="349"/>
        <v>9</v>
      </c>
      <c r="BE879" s="50">
        <f t="shared" si="350"/>
        <v>8</v>
      </c>
      <c r="BF879" s="50">
        <f>VLOOKUP(AS879,Leyenda!$B$70:$D$75,3,FALSE)</f>
        <v>15</v>
      </c>
      <c r="BG879" s="110">
        <f t="shared" si="351"/>
        <v>29.25</v>
      </c>
      <c r="BH879" s="110">
        <f>VLOOKUP(AG879,Leyenda!$B$4:$E$10,4,FALSE)</f>
        <v>4</v>
      </c>
      <c r="BI879" s="67">
        <f t="shared" si="352"/>
        <v>12</v>
      </c>
      <c r="BJ879" s="110">
        <f t="shared" si="353"/>
        <v>7</v>
      </c>
      <c r="BK879" s="110">
        <f>+VLOOKUP('2. Logging Brejo Seco'!AP879,Leyenda!$B$47:$E$51,4,FALSE)</f>
        <v>1</v>
      </c>
      <c r="BL879" s="110">
        <f>+VLOOKUP('2. Logging Brejo Seco'!AQ879,Leyenda!$B$55:$E$59,4,FALSE)</f>
        <v>3</v>
      </c>
      <c r="BM879" s="110">
        <f>+VLOOKUP('2. Logging Brejo Seco'!AR879,Leyenda!$B$63:$E$67,3,FALSE)</f>
        <v>2</v>
      </c>
      <c r="BN879" s="110">
        <f>+VLOOKUP('2. Logging Brejo Seco'!AO879,Leyenda!$B$39:$E$43,4,FALSE)</f>
        <v>1</v>
      </c>
      <c r="BO879" s="110">
        <f>+VLOOKUP('2. Logging Brejo Seco'!AN879,Leyenda!$B$30:$E$34,4,FALSE)</f>
        <v>1</v>
      </c>
      <c r="BP879" s="110">
        <f>VLOOKUP(AS879,Leyenda!$B$71:$E$75,4,FALSE)</f>
        <v>10</v>
      </c>
      <c r="BQ879" s="110">
        <f t="shared" si="354"/>
        <v>41</v>
      </c>
      <c r="BR879" s="36">
        <f t="shared" si="355"/>
        <v>43</v>
      </c>
      <c r="BS879" s="240">
        <f t="shared" si="330"/>
        <v>7.4999999999999956E-2</v>
      </c>
      <c r="BT879" s="6"/>
    </row>
    <row r="880" spans="1:72" x14ac:dyDescent="0.25">
      <c r="A880" s="18" t="s">
        <v>6</v>
      </c>
      <c r="B880" s="18">
        <v>2024</v>
      </c>
      <c r="C880" s="18" t="s">
        <v>138</v>
      </c>
      <c r="D880" s="18" t="s">
        <v>660</v>
      </c>
      <c r="E880" s="3">
        <v>20</v>
      </c>
      <c r="F880" s="191">
        <v>20</v>
      </c>
      <c r="G880" s="18" t="s">
        <v>156</v>
      </c>
      <c r="H880" s="3">
        <v>30</v>
      </c>
      <c r="I880" s="3" t="s">
        <v>759</v>
      </c>
      <c r="J880" s="3"/>
      <c r="K880" s="18">
        <f t="shared" si="344"/>
        <v>29.8</v>
      </c>
      <c r="L880" s="18">
        <v>31.9</v>
      </c>
      <c r="M880" s="4">
        <f t="shared" si="343"/>
        <v>2.0999999999999979</v>
      </c>
      <c r="N880" s="113">
        <f t="shared" si="345"/>
        <v>0.83333333333333415</v>
      </c>
      <c r="O880" s="5">
        <f t="shared" si="325"/>
        <v>0.16666666666666585</v>
      </c>
      <c r="P880" s="4">
        <f>0.94+0.81</f>
        <v>1.75</v>
      </c>
      <c r="Q880" s="18"/>
      <c r="R880" s="18"/>
      <c r="S880" s="18"/>
      <c r="T880" s="18">
        <v>1.8</v>
      </c>
      <c r="U880" s="18">
        <f>0.34+0.39</f>
        <v>0.73</v>
      </c>
      <c r="V880" s="4">
        <f t="shared" si="329"/>
        <v>34.761904761904795</v>
      </c>
      <c r="W880" s="18"/>
      <c r="X880" s="18"/>
      <c r="Y880" s="18">
        <v>13</v>
      </c>
      <c r="Z880" s="31">
        <f t="shared" si="341"/>
        <v>161.53846153846138</v>
      </c>
      <c r="AA880" s="6"/>
      <c r="AB880" s="6"/>
      <c r="AC880" s="184"/>
      <c r="AD880" s="6"/>
      <c r="AE880" s="184"/>
      <c r="AF880" s="184"/>
      <c r="AG880" s="195" t="s">
        <v>32</v>
      </c>
      <c r="AH880" s="195" t="s">
        <v>32</v>
      </c>
      <c r="AI880" s="18" t="str">
        <f>+VLOOKUP(AH880,Leyenda!$O$4:$U$10,6,FALSE)</f>
        <v>0,15-0,25</v>
      </c>
      <c r="AJ880" s="18" t="str">
        <f>+VLOOKUP(AG880,Leyenda!$O$4:$U$10,7,FALSE)</f>
        <v>No Blasting need</v>
      </c>
      <c r="AK880" s="18">
        <f>+VLOOKUP(AJ880,Leyenda!$U$4:$V$10,2,FALSE)</f>
        <v>2</v>
      </c>
      <c r="AL880" s="5"/>
      <c r="AM880" s="195" t="s">
        <v>32</v>
      </c>
      <c r="AN880" s="18" t="s">
        <v>66</v>
      </c>
      <c r="AO880" s="18" t="s">
        <v>79</v>
      </c>
      <c r="AP880" s="18" t="s">
        <v>96</v>
      </c>
      <c r="AQ880" s="18" t="s">
        <v>107</v>
      </c>
      <c r="AR880" s="18" t="s">
        <v>120</v>
      </c>
      <c r="AS880" s="18" t="s">
        <v>267</v>
      </c>
      <c r="AT880" s="18"/>
      <c r="AU880" s="6"/>
      <c r="AV880" s="36">
        <f>+VLOOKUP(AN880,Leyenda!$B$30:$E$34,3,FALSE)</f>
        <v>1</v>
      </c>
      <c r="AW880" s="36">
        <f>+VLOOKUP('2. Logging Brejo Seco'!AO880,Meteorizacion,3,FALSE)</f>
        <v>1</v>
      </c>
      <c r="AX880" s="36">
        <f>+VLOOKUP('2. Logging Brejo Seco'!AP880,Apertura,3,FALSE)</f>
        <v>1</v>
      </c>
      <c r="AY880" s="36">
        <f>+VLOOKUP('2. Logging Brejo Seco'!AQ880,Leyenda!$B$55:$D$59,3,FALSE)</f>
        <v>3</v>
      </c>
      <c r="AZ880" s="36">
        <f>+VLOOKUP('2. Logging Brejo Seco'!AR880,Relleno,3,FALSE)</f>
        <v>2</v>
      </c>
      <c r="BA880" s="36">
        <f t="shared" si="347"/>
        <v>8</v>
      </c>
      <c r="BB880" s="50">
        <f t="shared" si="348"/>
        <v>7</v>
      </c>
      <c r="BC880" s="49">
        <f>VLOOKUP(AH880,Leyenda!$B$4:$D$10,3,FALSE)</f>
        <v>1</v>
      </c>
      <c r="BD880" s="50">
        <f t="shared" si="349"/>
        <v>9</v>
      </c>
      <c r="BE880" s="50">
        <f t="shared" si="350"/>
        <v>8</v>
      </c>
      <c r="BF880" s="50">
        <f>VLOOKUP(AS880,Leyenda!$B$70:$D$75,3,FALSE)</f>
        <v>15</v>
      </c>
      <c r="BG880" s="110">
        <f t="shared" si="351"/>
        <v>29.380952380952397</v>
      </c>
      <c r="BH880" s="110">
        <f>VLOOKUP(AG880,Leyenda!$B$4:$E$10,4,FALSE)</f>
        <v>1</v>
      </c>
      <c r="BI880" s="67">
        <f t="shared" si="352"/>
        <v>11</v>
      </c>
      <c r="BJ880" s="110">
        <f t="shared" si="353"/>
        <v>7</v>
      </c>
      <c r="BK880" s="110">
        <f>+VLOOKUP('2. Logging Brejo Seco'!AP880,Leyenda!$B$47:$E$51,4,FALSE)</f>
        <v>1</v>
      </c>
      <c r="BL880" s="110">
        <f>+VLOOKUP('2. Logging Brejo Seco'!AQ880,Leyenda!$B$55:$E$59,4,FALSE)</f>
        <v>3</v>
      </c>
      <c r="BM880" s="110">
        <f>+VLOOKUP('2. Logging Brejo Seco'!AR880,Leyenda!$B$63:$E$67,3,FALSE)</f>
        <v>2</v>
      </c>
      <c r="BN880" s="110">
        <f>+VLOOKUP('2. Logging Brejo Seco'!AO880,Leyenda!$B$39:$E$43,4,FALSE)</f>
        <v>1</v>
      </c>
      <c r="BO880" s="110">
        <f>+VLOOKUP('2. Logging Brejo Seco'!AN880,Leyenda!$B$30:$E$34,4,FALSE)</f>
        <v>1</v>
      </c>
      <c r="BP880" s="110">
        <f>VLOOKUP(AS880,Leyenda!$B$71:$E$75,4,FALSE)</f>
        <v>10</v>
      </c>
      <c r="BQ880" s="110">
        <f t="shared" si="354"/>
        <v>37</v>
      </c>
      <c r="BR880" s="36">
        <f t="shared" si="355"/>
        <v>40</v>
      </c>
      <c r="BS880" s="240">
        <f t="shared" si="330"/>
        <v>0.16666666666666585</v>
      </c>
      <c r="BT880" s="6"/>
    </row>
    <row r="881" spans="1:72" x14ac:dyDescent="0.25">
      <c r="A881" s="18" t="s">
        <v>6</v>
      </c>
      <c r="B881" s="18">
        <v>2024</v>
      </c>
      <c r="C881" s="18" t="s">
        <v>138</v>
      </c>
      <c r="D881" s="18" t="s">
        <v>660</v>
      </c>
      <c r="E881" s="3">
        <v>20</v>
      </c>
      <c r="F881" s="191">
        <v>20</v>
      </c>
      <c r="G881" s="18" t="s">
        <v>156</v>
      </c>
      <c r="H881" s="3">
        <v>30</v>
      </c>
      <c r="I881" s="3" t="s">
        <v>759</v>
      </c>
      <c r="J881" s="3"/>
      <c r="K881" s="18">
        <f t="shared" si="344"/>
        <v>31.9</v>
      </c>
      <c r="L881" s="18">
        <v>33.9</v>
      </c>
      <c r="M881" s="4">
        <f t="shared" si="343"/>
        <v>2</v>
      </c>
      <c r="N881" s="113">
        <f t="shared" si="345"/>
        <v>0.755</v>
      </c>
      <c r="O881" s="5">
        <f t="shared" si="325"/>
        <v>0.245</v>
      </c>
      <c r="P881" s="4">
        <v>1.51</v>
      </c>
      <c r="Q881" s="18"/>
      <c r="R881" s="18"/>
      <c r="S881" s="18"/>
      <c r="T881" s="18">
        <v>1.51</v>
      </c>
      <c r="U881" s="18">
        <v>0.91</v>
      </c>
      <c r="V881" s="4">
        <f t="shared" si="329"/>
        <v>45.5</v>
      </c>
      <c r="W881" s="18"/>
      <c r="X881" s="18"/>
      <c r="Y881" s="18">
        <v>9</v>
      </c>
      <c r="Z881" s="31">
        <f t="shared" si="341"/>
        <v>222.22222222222223</v>
      </c>
      <c r="AA881" s="6"/>
      <c r="AB881" s="6"/>
      <c r="AC881" s="184"/>
      <c r="AD881" s="6"/>
      <c r="AE881" s="184"/>
      <c r="AF881" s="184"/>
      <c r="AG881" s="195" t="s">
        <v>24</v>
      </c>
      <c r="AH881" s="195" t="s">
        <v>24</v>
      </c>
      <c r="AI881" s="18" t="str">
        <f>+VLOOKUP(AH881,Leyenda!$O$4:$U$10,6,FALSE)</f>
        <v>0,50-0,80</v>
      </c>
      <c r="AJ881" s="18" t="str">
        <f>+VLOOKUP(AG881,Leyenda!$O$4:$U$10,7,FALSE)</f>
        <v>Fairly easy to blast</v>
      </c>
      <c r="AK881" s="18">
        <f>+VLOOKUP(AJ881,Leyenda!$U$4:$V$10,2,FALSE)</f>
        <v>4</v>
      </c>
      <c r="AL881" s="5"/>
      <c r="AM881" s="195" t="s">
        <v>24</v>
      </c>
      <c r="AN881" s="18" t="s">
        <v>62</v>
      </c>
      <c r="AO881" s="18" t="s">
        <v>77</v>
      </c>
      <c r="AP881" s="18" t="s">
        <v>92</v>
      </c>
      <c r="AQ881" s="18" t="s">
        <v>107</v>
      </c>
      <c r="AR881" s="18" t="s">
        <v>120</v>
      </c>
      <c r="AS881" s="18" t="s">
        <v>267</v>
      </c>
      <c r="AT881" s="18"/>
      <c r="AU881" s="6"/>
      <c r="AV881" s="36">
        <f>+VLOOKUP(AN881,Leyenda!$B$30:$E$34,3,FALSE)</f>
        <v>4</v>
      </c>
      <c r="AW881" s="36">
        <f>+VLOOKUP('2. Logging Brejo Seco'!AO881,Meteorizacion,3,FALSE)</f>
        <v>3</v>
      </c>
      <c r="AX881" s="36">
        <f>+VLOOKUP('2. Logging Brejo Seco'!AP881,Apertura,3,FALSE)</f>
        <v>3</v>
      </c>
      <c r="AY881" s="36">
        <f>+VLOOKUP('2. Logging Brejo Seco'!AQ881,Leyenda!$B$55:$D$59,3,FALSE)</f>
        <v>3</v>
      </c>
      <c r="AZ881" s="36">
        <f>+VLOOKUP('2. Logging Brejo Seco'!AR881,Relleno,3,FALSE)</f>
        <v>2</v>
      </c>
      <c r="BA881" s="36">
        <f t="shared" si="347"/>
        <v>15</v>
      </c>
      <c r="BB881" s="50">
        <f t="shared" si="348"/>
        <v>10</v>
      </c>
      <c r="BC881" s="49">
        <f>VLOOKUP(AH881,Leyenda!$B$4:$D$10,3,FALSE)</f>
        <v>7</v>
      </c>
      <c r="BD881" s="50">
        <f t="shared" si="349"/>
        <v>9</v>
      </c>
      <c r="BE881" s="50">
        <f t="shared" si="350"/>
        <v>15</v>
      </c>
      <c r="BF881" s="50">
        <f>VLOOKUP(AS881,Leyenda!$B$70:$D$75,3,FALSE)</f>
        <v>15</v>
      </c>
      <c r="BG881" s="110">
        <f t="shared" si="351"/>
        <v>45.25</v>
      </c>
      <c r="BH881" s="110">
        <f>VLOOKUP(AG881,Leyenda!$B$4:$E$10,4,FALSE)</f>
        <v>7</v>
      </c>
      <c r="BI881" s="67">
        <f t="shared" si="352"/>
        <v>13</v>
      </c>
      <c r="BJ881" s="110">
        <f t="shared" si="353"/>
        <v>10</v>
      </c>
      <c r="BK881" s="110">
        <f>+VLOOKUP('2. Logging Brejo Seco'!AP881,Leyenda!$B$47:$E$51,4,FALSE)</f>
        <v>3</v>
      </c>
      <c r="BL881" s="110">
        <f>+VLOOKUP('2. Logging Brejo Seco'!AQ881,Leyenda!$B$55:$E$59,4,FALSE)</f>
        <v>3</v>
      </c>
      <c r="BM881" s="110">
        <f>+VLOOKUP('2. Logging Brejo Seco'!AR881,Leyenda!$B$63:$E$67,3,FALSE)</f>
        <v>2</v>
      </c>
      <c r="BN881" s="110">
        <f>+VLOOKUP('2. Logging Brejo Seco'!AO881,Leyenda!$B$39:$E$43,4,FALSE)</f>
        <v>3</v>
      </c>
      <c r="BO881" s="110">
        <f>+VLOOKUP('2. Logging Brejo Seco'!AN881,Leyenda!$B$30:$E$34,4,FALSE)</f>
        <v>4</v>
      </c>
      <c r="BP881" s="110">
        <f>VLOOKUP(AS881,Leyenda!$B$71:$E$75,4,FALSE)</f>
        <v>10</v>
      </c>
      <c r="BQ881" s="110">
        <f t="shared" si="354"/>
        <v>55</v>
      </c>
      <c r="BR881" s="36">
        <f t="shared" si="355"/>
        <v>56</v>
      </c>
      <c r="BS881" s="240">
        <f t="shared" si="330"/>
        <v>0.245</v>
      </c>
      <c r="BT881" s="6"/>
    </row>
    <row r="882" spans="1:72" x14ac:dyDescent="0.25">
      <c r="A882" s="18" t="s">
        <v>6</v>
      </c>
      <c r="B882" s="18">
        <v>2024</v>
      </c>
      <c r="C882" s="18" t="s">
        <v>138</v>
      </c>
      <c r="D882" s="18" t="s">
        <v>660</v>
      </c>
      <c r="E882" s="3">
        <v>20</v>
      </c>
      <c r="F882" s="191">
        <v>20</v>
      </c>
      <c r="G882" s="18" t="s">
        <v>156</v>
      </c>
      <c r="H882" s="3">
        <v>30</v>
      </c>
      <c r="I882" s="3" t="s">
        <v>759</v>
      </c>
      <c r="J882" s="3"/>
      <c r="K882" s="18">
        <f t="shared" si="344"/>
        <v>33.9</v>
      </c>
      <c r="L882" s="18">
        <v>36</v>
      </c>
      <c r="M882" s="4">
        <f t="shared" si="343"/>
        <v>2.1000000000000014</v>
      </c>
      <c r="N882" s="113">
        <f t="shared" si="345"/>
        <v>0.8523809523809518</v>
      </c>
      <c r="O882" s="5">
        <f t="shared" ref="O882:O945" si="356">1-N882</f>
        <v>0.1476190476190482</v>
      </c>
      <c r="P882" s="4">
        <v>1.79</v>
      </c>
      <c r="Q882" s="18"/>
      <c r="R882" s="18"/>
      <c r="S882" s="18"/>
      <c r="T882" s="18">
        <v>1.79</v>
      </c>
      <c r="U882" s="18">
        <v>0.48</v>
      </c>
      <c r="V882" s="4">
        <f t="shared" si="329"/>
        <v>22.85714285714284</v>
      </c>
      <c r="W882" s="18"/>
      <c r="X882" s="18"/>
      <c r="Y882" s="18">
        <v>13</v>
      </c>
      <c r="Z882" s="31">
        <f t="shared" si="341"/>
        <v>161.53846153846163</v>
      </c>
      <c r="AA882" s="6"/>
      <c r="AB882" s="6"/>
      <c r="AC882" s="184"/>
      <c r="AD882" s="6"/>
      <c r="AE882" s="184"/>
      <c r="AF882" s="184"/>
      <c r="AG882" s="195" t="s">
        <v>27</v>
      </c>
      <c r="AH882" s="195" t="s">
        <v>27</v>
      </c>
      <c r="AI882" s="18" t="str">
        <f>+VLOOKUP(AH882,Leyenda!$O$4:$U$10,6,FALSE)</f>
        <v>0,35-0,50</v>
      </c>
      <c r="AJ882" s="18" t="str">
        <f>+VLOOKUP(AG882,Leyenda!$O$4:$U$10,7,FALSE)</f>
        <v>Easy to blast</v>
      </c>
      <c r="AK882" s="18">
        <f>+VLOOKUP(AJ882,Leyenda!$U$4:$V$10,2,FALSE)</f>
        <v>3</v>
      </c>
      <c r="AL882" s="5"/>
      <c r="AM882" s="195" t="s">
        <v>29</v>
      </c>
      <c r="AN882" s="18" t="s">
        <v>64</v>
      </c>
      <c r="AO882" s="18" t="s">
        <v>79</v>
      </c>
      <c r="AP882" s="18" t="s">
        <v>96</v>
      </c>
      <c r="AQ882" s="18" t="s">
        <v>107</v>
      </c>
      <c r="AR882" s="18" t="s">
        <v>120</v>
      </c>
      <c r="AS882" s="18" t="s">
        <v>267</v>
      </c>
      <c r="AT882" s="18"/>
      <c r="AU882" s="6"/>
      <c r="AV882" s="36">
        <f>+VLOOKUP(AN882,Leyenda!$B$30:$E$34,3,FALSE)</f>
        <v>2</v>
      </c>
      <c r="AW882" s="36">
        <f>+VLOOKUP('2. Logging Brejo Seco'!AO882,Meteorizacion,3,FALSE)</f>
        <v>1</v>
      </c>
      <c r="AX882" s="36">
        <f>+VLOOKUP('2. Logging Brejo Seco'!AP882,Apertura,3,FALSE)</f>
        <v>1</v>
      </c>
      <c r="AY882" s="36">
        <f>+VLOOKUP('2. Logging Brejo Seco'!AQ882,Leyenda!$B$55:$D$59,3,FALSE)</f>
        <v>3</v>
      </c>
      <c r="AZ882" s="36">
        <f>+VLOOKUP('2. Logging Brejo Seco'!AR882,Relleno,3,FALSE)</f>
        <v>2</v>
      </c>
      <c r="BA882" s="36">
        <f t="shared" si="347"/>
        <v>9</v>
      </c>
      <c r="BB882" s="50">
        <f t="shared" si="348"/>
        <v>5</v>
      </c>
      <c r="BC882" s="49">
        <f>VLOOKUP(AH882,Leyenda!$B$4:$D$10,3,FALSE)</f>
        <v>4</v>
      </c>
      <c r="BD882" s="50">
        <f t="shared" si="349"/>
        <v>9</v>
      </c>
      <c r="BE882" s="50">
        <f t="shared" si="350"/>
        <v>9</v>
      </c>
      <c r="BF882" s="50">
        <f>VLOOKUP(AS882,Leyenda!$B$70:$D$75,3,FALSE)</f>
        <v>15</v>
      </c>
      <c r="BG882" s="110">
        <f t="shared" si="351"/>
        <v>24.92857142857142</v>
      </c>
      <c r="BH882" s="110">
        <f>VLOOKUP(AG882,Leyenda!$B$4:$E$10,4,FALSE)</f>
        <v>4</v>
      </c>
      <c r="BI882" s="67">
        <f t="shared" si="352"/>
        <v>11</v>
      </c>
      <c r="BJ882" s="110">
        <f t="shared" si="353"/>
        <v>5</v>
      </c>
      <c r="BK882" s="110">
        <f>+VLOOKUP('2. Logging Brejo Seco'!AP882,Leyenda!$B$47:$E$51,4,FALSE)</f>
        <v>1</v>
      </c>
      <c r="BL882" s="110">
        <f>+VLOOKUP('2. Logging Brejo Seco'!AQ882,Leyenda!$B$55:$E$59,4,FALSE)</f>
        <v>3</v>
      </c>
      <c r="BM882" s="110">
        <f>+VLOOKUP('2. Logging Brejo Seco'!AR882,Leyenda!$B$63:$E$67,3,FALSE)</f>
        <v>2</v>
      </c>
      <c r="BN882" s="110">
        <f>+VLOOKUP('2. Logging Brejo Seco'!AO882,Leyenda!$B$39:$E$43,4,FALSE)</f>
        <v>1</v>
      </c>
      <c r="BO882" s="110">
        <f>+VLOOKUP('2. Logging Brejo Seco'!AN882,Leyenda!$B$30:$E$34,4,FALSE)</f>
        <v>3</v>
      </c>
      <c r="BP882" s="110">
        <f>VLOOKUP(AS882,Leyenda!$B$71:$E$75,4,FALSE)</f>
        <v>10</v>
      </c>
      <c r="BQ882" s="110">
        <f t="shared" si="354"/>
        <v>40</v>
      </c>
      <c r="BR882" s="36">
        <f t="shared" si="355"/>
        <v>42</v>
      </c>
      <c r="BS882" s="240">
        <f t="shared" si="330"/>
        <v>0.1476190476190482</v>
      </c>
      <c r="BT882" s="6"/>
    </row>
    <row r="883" spans="1:72" x14ac:dyDescent="0.25">
      <c r="A883" s="18" t="s">
        <v>6</v>
      </c>
      <c r="B883" s="18">
        <v>2024</v>
      </c>
      <c r="C883" s="18" t="s">
        <v>138</v>
      </c>
      <c r="D883" s="18" t="s">
        <v>660</v>
      </c>
      <c r="E883" s="3">
        <v>20</v>
      </c>
      <c r="F883" s="191">
        <v>20</v>
      </c>
      <c r="G883" s="18" t="s">
        <v>156</v>
      </c>
      <c r="H883" s="3">
        <v>20</v>
      </c>
      <c r="I883" s="3" t="s">
        <v>760</v>
      </c>
      <c r="J883" s="3"/>
      <c r="K883" s="18">
        <f t="shared" si="344"/>
        <v>36</v>
      </c>
      <c r="L883" s="18">
        <v>38.15</v>
      </c>
      <c r="M883" s="4">
        <f t="shared" si="343"/>
        <v>2.1499999999999986</v>
      </c>
      <c r="N883" s="113">
        <f t="shared" si="345"/>
        <v>0.82790697674418656</v>
      </c>
      <c r="O883" s="5">
        <f t="shared" si="356"/>
        <v>0.17209302325581344</v>
      </c>
      <c r="P883" s="4">
        <v>1.78</v>
      </c>
      <c r="Q883" s="18"/>
      <c r="R883" s="18"/>
      <c r="S883" s="18"/>
      <c r="T883" s="18">
        <v>1.78</v>
      </c>
      <c r="U883" s="18">
        <f>0.44+0.23</f>
        <v>0.67</v>
      </c>
      <c r="V883" s="4">
        <f t="shared" si="329"/>
        <v>31.162790697674442</v>
      </c>
      <c r="W883" s="18"/>
      <c r="X883" s="18"/>
      <c r="Y883" s="18">
        <v>12</v>
      </c>
      <c r="Z883" s="31">
        <f t="shared" si="341"/>
        <v>179.16666666666654</v>
      </c>
      <c r="AA883" s="6"/>
      <c r="AB883" s="6"/>
      <c r="AC883" s="184"/>
      <c r="AD883" s="6"/>
      <c r="AE883" s="184"/>
      <c r="AF883" s="184"/>
      <c r="AG883" s="195" t="s">
        <v>27</v>
      </c>
      <c r="AH883" s="195" t="s">
        <v>27</v>
      </c>
      <c r="AI883" s="18" t="str">
        <f>+VLOOKUP(AH883,Leyenda!$O$4:$U$10,6,FALSE)</f>
        <v>0,35-0,50</v>
      </c>
      <c r="AJ883" s="18" t="str">
        <f>+VLOOKUP(AG883,Leyenda!$O$4:$U$10,7,FALSE)</f>
        <v>Easy to blast</v>
      </c>
      <c r="AK883" s="18">
        <f>+VLOOKUP(AJ883,Leyenda!$U$4:$V$10,2,FALSE)</f>
        <v>3</v>
      </c>
      <c r="AL883" s="5"/>
      <c r="AM883" s="195" t="s">
        <v>29</v>
      </c>
      <c r="AN883" s="18" t="s">
        <v>64</v>
      </c>
      <c r="AO883" s="18" t="s">
        <v>79</v>
      </c>
      <c r="AP883" s="18" t="s">
        <v>96</v>
      </c>
      <c r="AQ883" s="18" t="s">
        <v>107</v>
      </c>
      <c r="AR883" s="18" t="s">
        <v>120</v>
      </c>
      <c r="AS883" s="18" t="s">
        <v>267</v>
      </c>
      <c r="AT883" s="18"/>
      <c r="AU883" s="6"/>
      <c r="AV883" s="36">
        <f>+VLOOKUP(AN883,Leyenda!$B$30:$E$34,3,FALSE)</f>
        <v>2</v>
      </c>
      <c r="AW883" s="36">
        <f>+VLOOKUP('2. Logging Brejo Seco'!AO883,Meteorizacion,3,FALSE)</f>
        <v>1</v>
      </c>
      <c r="AX883" s="36">
        <f>+VLOOKUP('2. Logging Brejo Seco'!AP883,Apertura,3,FALSE)</f>
        <v>1</v>
      </c>
      <c r="AY883" s="36">
        <f>+VLOOKUP('2. Logging Brejo Seco'!AQ883,Leyenda!$B$55:$D$59,3,FALSE)</f>
        <v>3</v>
      </c>
      <c r="AZ883" s="36">
        <f>+VLOOKUP('2. Logging Brejo Seco'!AR883,Relleno,3,FALSE)</f>
        <v>2</v>
      </c>
      <c r="BA883" s="36">
        <f t="shared" si="347"/>
        <v>9</v>
      </c>
      <c r="BB883" s="50">
        <f t="shared" si="348"/>
        <v>7</v>
      </c>
      <c r="BC883" s="49">
        <f>VLOOKUP(AH883,Leyenda!$B$4:$D$10,3,FALSE)</f>
        <v>4</v>
      </c>
      <c r="BD883" s="50">
        <f t="shared" si="349"/>
        <v>9</v>
      </c>
      <c r="BE883" s="50">
        <f t="shared" si="350"/>
        <v>9</v>
      </c>
      <c r="BF883" s="50">
        <f>VLOOKUP(AS883,Leyenda!$B$70:$D$75,3,FALSE)</f>
        <v>15</v>
      </c>
      <c r="BG883" s="110">
        <f t="shared" si="351"/>
        <v>29.081395348837219</v>
      </c>
      <c r="BH883" s="110">
        <f>VLOOKUP(AG883,Leyenda!$B$4:$E$10,4,FALSE)</f>
        <v>4</v>
      </c>
      <c r="BI883" s="67">
        <f t="shared" si="352"/>
        <v>12</v>
      </c>
      <c r="BJ883" s="110">
        <f t="shared" si="353"/>
        <v>7</v>
      </c>
      <c r="BK883" s="110">
        <f>+VLOOKUP('2. Logging Brejo Seco'!AP883,Leyenda!$B$47:$E$51,4,FALSE)</f>
        <v>1</v>
      </c>
      <c r="BL883" s="110">
        <f>+VLOOKUP('2. Logging Brejo Seco'!AQ883,Leyenda!$B$55:$E$59,4,FALSE)</f>
        <v>3</v>
      </c>
      <c r="BM883" s="110">
        <f>+VLOOKUP('2. Logging Brejo Seco'!AR883,Leyenda!$B$63:$E$67,3,FALSE)</f>
        <v>2</v>
      </c>
      <c r="BN883" s="110">
        <f>+VLOOKUP('2. Logging Brejo Seco'!AO883,Leyenda!$B$39:$E$43,4,FALSE)</f>
        <v>1</v>
      </c>
      <c r="BO883" s="110">
        <f>+VLOOKUP('2. Logging Brejo Seco'!AN883,Leyenda!$B$30:$E$34,4,FALSE)</f>
        <v>3</v>
      </c>
      <c r="BP883" s="110">
        <f>VLOOKUP(AS883,Leyenda!$B$71:$E$75,4,FALSE)</f>
        <v>10</v>
      </c>
      <c r="BQ883" s="110">
        <f t="shared" si="354"/>
        <v>43</v>
      </c>
      <c r="BR883" s="36">
        <f t="shared" si="355"/>
        <v>44</v>
      </c>
      <c r="BS883" s="240">
        <f t="shared" si="330"/>
        <v>0.17209302325581344</v>
      </c>
      <c r="BT883" s="6"/>
    </row>
    <row r="884" spans="1:72" x14ac:dyDescent="0.25">
      <c r="A884" s="18" t="s">
        <v>6</v>
      </c>
      <c r="B884" s="18">
        <v>2024</v>
      </c>
      <c r="C884" s="18" t="s">
        <v>138</v>
      </c>
      <c r="D884" s="18" t="s">
        <v>660</v>
      </c>
      <c r="E884" s="3">
        <v>20</v>
      </c>
      <c r="F884" s="191">
        <v>20</v>
      </c>
      <c r="G884" s="18" t="s">
        <v>156</v>
      </c>
      <c r="H884" s="3">
        <v>10</v>
      </c>
      <c r="I884" s="3" t="s">
        <v>761</v>
      </c>
      <c r="J884" s="3"/>
      <c r="K884" s="18">
        <f t="shared" si="344"/>
        <v>38.15</v>
      </c>
      <c r="L884" s="18">
        <v>40</v>
      </c>
      <c r="M884" s="4">
        <f t="shared" si="343"/>
        <v>1.8500000000000014</v>
      </c>
      <c r="N884" s="113">
        <f t="shared" si="345"/>
        <v>0.97297297297297225</v>
      </c>
      <c r="O884" s="5">
        <f t="shared" si="356"/>
        <v>2.702702702702775E-2</v>
      </c>
      <c r="P884" s="4">
        <v>1.8</v>
      </c>
      <c r="Q884" s="18"/>
      <c r="R884" s="18"/>
      <c r="S884" s="18"/>
      <c r="T884" s="18">
        <v>1.8</v>
      </c>
      <c r="U884" s="18">
        <v>0.68</v>
      </c>
      <c r="V884" s="4">
        <f t="shared" si="329"/>
        <v>36.756756756756729</v>
      </c>
      <c r="W884" s="18"/>
      <c r="X884" s="18"/>
      <c r="Y884" s="18">
        <v>12</v>
      </c>
      <c r="Z884" s="31">
        <f t="shared" si="341"/>
        <v>154.16666666666677</v>
      </c>
      <c r="AA884" s="6"/>
      <c r="AB884" s="6"/>
      <c r="AC884" s="184"/>
      <c r="AD884" s="6"/>
      <c r="AE884" s="184"/>
      <c r="AF884" s="184"/>
      <c r="AG884" s="195" t="s">
        <v>27</v>
      </c>
      <c r="AH884" s="195" t="s">
        <v>27</v>
      </c>
      <c r="AI884" s="18" t="str">
        <f>+VLOOKUP(AH884,Leyenda!$O$4:$U$10,6,FALSE)</f>
        <v>0,35-0,50</v>
      </c>
      <c r="AJ884" s="18" t="str">
        <f>+VLOOKUP(AG884,Leyenda!$O$4:$U$10,7,FALSE)</f>
        <v>Easy to blast</v>
      </c>
      <c r="AK884" s="18">
        <f>+VLOOKUP(AJ884,Leyenda!$U$4:$V$10,2,FALSE)</f>
        <v>3</v>
      </c>
      <c r="AL884" s="5"/>
      <c r="AM884" s="195" t="s">
        <v>27</v>
      </c>
      <c r="AN884" s="18" t="s">
        <v>64</v>
      </c>
      <c r="AO884" s="18" t="s">
        <v>79</v>
      </c>
      <c r="AP884" s="18" t="s">
        <v>92</v>
      </c>
      <c r="AQ884" s="18" t="s">
        <v>107</v>
      </c>
      <c r="AR884" s="18" t="s">
        <v>120</v>
      </c>
      <c r="AS884" s="18" t="s">
        <v>267</v>
      </c>
      <c r="AT884" s="18"/>
      <c r="AU884" s="6"/>
      <c r="AV884" s="36">
        <f>+VLOOKUP(AN884,Leyenda!$B$30:$E$34,3,FALSE)</f>
        <v>2</v>
      </c>
      <c r="AW884" s="36">
        <f>+VLOOKUP('2. Logging Brejo Seco'!AO884,Meteorizacion,3,FALSE)</f>
        <v>1</v>
      </c>
      <c r="AX884" s="36">
        <f>+VLOOKUP('2. Logging Brejo Seco'!AP884,Apertura,3,FALSE)</f>
        <v>3</v>
      </c>
      <c r="AY884" s="36">
        <f>+VLOOKUP('2. Logging Brejo Seco'!AQ884,Leyenda!$B$55:$D$59,3,FALSE)</f>
        <v>3</v>
      </c>
      <c r="AZ884" s="36">
        <f>+VLOOKUP('2. Logging Brejo Seco'!AR884,Relleno,3,FALSE)</f>
        <v>2</v>
      </c>
      <c r="BA884" s="36">
        <f t="shared" si="347"/>
        <v>11</v>
      </c>
      <c r="BB884" s="50">
        <f t="shared" si="348"/>
        <v>8</v>
      </c>
      <c r="BC884" s="49">
        <f>VLOOKUP(AH884,Leyenda!$B$4:$D$10,3,FALSE)</f>
        <v>4</v>
      </c>
      <c r="BD884" s="50">
        <f t="shared" si="349"/>
        <v>8</v>
      </c>
      <c r="BE884" s="50">
        <f t="shared" si="350"/>
        <v>11</v>
      </c>
      <c r="BF884" s="50">
        <f>VLOOKUP(AS884,Leyenda!$B$70:$D$75,3,FALSE)</f>
        <v>15</v>
      </c>
      <c r="BG884" s="110">
        <f t="shared" si="351"/>
        <v>34.878378378378365</v>
      </c>
      <c r="BH884" s="110">
        <f>VLOOKUP(AG884,Leyenda!$B$4:$E$10,4,FALSE)</f>
        <v>4</v>
      </c>
      <c r="BI884" s="67">
        <f t="shared" si="352"/>
        <v>11</v>
      </c>
      <c r="BJ884" s="110">
        <f t="shared" si="353"/>
        <v>8</v>
      </c>
      <c r="BK884" s="110">
        <f>+VLOOKUP('2. Logging Brejo Seco'!AP884,Leyenda!$B$47:$E$51,4,FALSE)</f>
        <v>3</v>
      </c>
      <c r="BL884" s="110">
        <f>+VLOOKUP('2. Logging Brejo Seco'!AQ884,Leyenda!$B$55:$E$59,4,FALSE)</f>
        <v>3</v>
      </c>
      <c r="BM884" s="110">
        <f>+VLOOKUP('2. Logging Brejo Seco'!AR884,Leyenda!$B$63:$E$67,3,FALSE)</f>
        <v>2</v>
      </c>
      <c r="BN884" s="110">
        <f>+VLOOKUP('2. Logging Brejo Seco'!AO884,Leyenda!$B$39:$E$43,4,FALSE)</f>
        <v>1</v>
      </c>
      <c r="BO884" s="110">
        <f>+VLOOKUP('2. Logging Brejo Seco'!AN884,Leyenda!$B$30:$E$34,4,FALSE)</f>
        <v>3</v>
      </c>
      <c r="BP884" s="110">
        <f>VLOOKUP(AS884,Leyenda!$B$71:$E$75,4,FALSE)</f>
        <v>10</v>
      </c>
      <c r="BQ884" s="110">
        <f t="shared" si="354"/>
        <v>45</v>
      </c>
      <c r="BR884" s="36">
        <f t="shared" si="355"/>
        <v>46</v>
      </c>
      <c r="BS884" s="240">
        <f t="shared" si="330"/>
        <v>2.702702702702775E-2</v>
      </c>
      <c r="BT884" s="6"/>
    </row>
    <row r="885" spans="1:72" x14ac:dyDescent="0.25">
      <c r="A885" s="18" t="s">
        <v>6</v>
      </c>
      <c r="B885" s="18">
        <v>2024</v>
      </c>
      <c r="C885" s="18" t="s">
        <v>138</v>
      </c>
      <c r="D885" s="18" t="s">
        <v>661</v>
      </c>
      <c r="E885" s="3">
        <v>60</v>
      </c>
      <c r="F885" s="191">
        <v>60</v>
      </c>
      <c r="G885" s="3" t="s">
        <v>136</v>
      </c>
      <c r="H885" s="244">
        <f>+F885</f>
        <v>60</v>
      </c>
      <c r="I885" s="244" t="s">
        <v>762</v>
      </c>
      <c r="J885" s="244"/>
      <c r="K885" s="18">
        <v>0</v>
      </c>
      <c r="L885" s="18">
        <v>1.95</v>
      </c>
      <c r="M885" s="4">
        <f t="shared" si="343"/>
        <v>1.95</v>
      </c>
      <c r="N885" s="113">
        <f t="shared" si="345"/>
        <v>0.24102564102564103</v>
      </c>
      <c r="O885" s="5">
        <f t="shared" si="356"/>
        <v>0.75897435897435894</v>
      </c>
      <c r="P885" s="4">
        <v>0.47</v>
      </c>
      <c r="Q885" s="18"/>
      <c r="R885" s="18"/>
      <c r="S885" s="18"/>
      <c r="T885" s="18">
        <v>0.47</v>
      </c>
      <c r="U885" s="18">
        <v>0</v>
      </c>
      <c r="V885" s="18">
        <f t="shared" si="329"/>
        <v>0</v>
      </c>
      <c r="W885" s="18"/>
      <c r="X885" s="18"/>
      <c r="Y885" s="18">
        <v>15</v>
      </c>
      <c r="Z885" s="31">
        <f t="shared" si="341"/>
        <v>130</v>
      </c>
      <c r="AA885" s="6"/>
      <c r="AB885" s="6"/>
      <c r="AC885" s="184"/>
      <c r="AD885" s="6"/>
      <c r="AE885" s="184"/>
      <c r="AF885" s="184"/>
      <c r="AG885" s="195" t="s">
        <v>34</v>
      </c>
      <c r="AH885" s="195" t="s">
        <v>34</v>
      </c>
      <c r="AI885" s="18">
        <f>+VLOOKUP(AH885,Leyenda!$O$4:$U$10,6,FALSE)</f>
        <v>0</v>
      </c>
      <c r="AJ885" s="18" t="str">
        <f>+VLOOKUP(AG885,Leyenda!$O$4:$U$10,7,FALSE)</f>
        <v>No Blasting need</v>
      </c>
      <c r="AK885" s="18">
        <f>+VLOOKUP(AJ885,Leyenda!$U$4:$V$10,2,FALSE)</f>
        <v>2</v>
      </c>
      <c r="AL885" s="5"/>
      <c r="AM885" s="18" t="s">
        <v>34</v>
      </c>
      <c r="AN885" s="18" t="s">
        <v>69</v>
      </c>
      <c r="AO885" s="18" t="s">
        <v>81</v>
      </c>
      <c r="AP885" s="18" t="s">
        <v>100</v>
      </c>
      <c r="AQ885" s="18" t="s">
        <v>111</v>
      </c>
      <c r="AR885" s="18" t="s">
        <v>120</v>
      </c>
      <c r="AS885" s="18" t="s">
        <v>267</v>
      </c>
      <c r="AT885" s="18"/>
      <c r="AU885" s="6"/>
      <c r="AV885" s="36">
        <f>+VLOOKUP(AN885,Leyenda!$B$30:$E$34,3,FALSE)</f>
        <v>0</v>
      </c>
      <c r="AW885" s="36">
        <f>+VLOOKUP('2. Logging Brejo Seco'!AO885,Meteorizacion,3,FALSE)</f>
        <v>0</v>
      </c>
      <c r="AX885" s="36">
        <f>+VLOOKUP('2. Logging Brejo Seco'!AP885,Apertura,3,FALSE)</f>
        <v>0</v>
      </c>
      <c r="AY885" s="36">
        <f>+VLOOKUP('2. Logging Brejo Seco'!AQ885,Leyenda!$B$55:$D$59,3,FALSE)</f>
        <v>0</v>
      </c>
      <c r="AZ885" s="36">
        <f>+VLOOKUP('2. Logging Brejo Seco'!AR885,Relleno,3,FALSE)</f>
        <v>2</v>
      </c>
      <c r="BA885" s="36">
        <f t="shared" si="347"/>
        <v>2</v>
      </c>
      <c r="BB885" s="50">
        <f t="shared" si="348"/>
        <v>0</v>
      </c>
      <c r="BC885" s="49">
        <f>VLOOKUP(AH885,Leyenda!$B$4:$D$10,3,FALSE)</f>
        <v>0</v>
      </c>
      <c r="BD885" s="50">
        <f t="shared" si="349"/>
        <v>8</v>
      </c>
      <c r="BE885" s="50">
        <f t="shared" si="350"/>
        <v>2</v>
      </c>
      <c r="BF885" s="50">
        <f>VLOOKUP(AS885,Leyenda!$B$70:$D$75,3,FALSE)</f>
        <v>15</v>
      </c>
      <c r="BG885" s="110">
        <f t="shared" si="351"/>
        <v>3</v>
      </c>
      <c r="BH885" s="110">
        <f>VLOOKUP(AG885,Leyenda!$B$4:$E$10,4,FALSE)</f>
        <v>0</v>
      </c>
      <c r="BI885" s="67">
        <f t="shared" si="352"/>
        <v>10</v>
      </c>
      <c r="BJ885" s="110">
        <f t="shared" si="353"/>
        <v>0</v>
      </c>
      <c r="BK885" s="110">
        <f>+VLOOKUP('2. Logging Brejo Seco'!AP885,Leyenda!$B$47:$E$51,4,FALSE)</f>
        <v>0</v>
      </c>
      <c r="BL885" s="110">
        <f>+VLOOKUP('2. Logging Brejo Seco'!AQ885,Leyenda!$B$55:$E$59,4,FALSE)</f>
        <v>0</v>
      </c>
      <c r="BM885" s="110">
        <f>+VLOOKUP('2. Logging Brejo Seco'!AR885,Leyenda!$B$63:$E$67,3,FALSE)</f>
        <v>2</v>
      </c>
      <c r="BN885" s="110">
        <f>+VLOOKUP('2. Logging Brejo Seco'!AO885,Leyenda!$B$39:$E$43,4,FALSE)</f>
        <v>0</v>
      </c>
      <c r="BO885" s="110">
        <f>+VLOOKUP('2. Logging Brejo Seco'!AN885,Leyenda!$B$30:$E$34,4,FALSE)</f>
        <v>0</v>
      </c>
      <c r="BP885" s="110">
        <f>VLOOKUP(AS885,Leyenda!$B$71:$E$75,4,FALSE)</f>
        <v>10</v>
      </c>
      <c r="BQ885" s="110">
        <f t="shared" si="354"/>
        <v>22</v>
      </c>
      <c r="BR885" s="36">
        <f t="shared" si="355"/>
        <v>25</v>
      </c>
      <c r="BS885" s="240">
        <f t="shared" si="330"/>
        <v>0.75897435897435894</v>
      </c>
      <c r="BT885" s="6"/>
    </row>
    <row r="886" spans="1:72" x14ac:dyDescent="0.25">
      <c r="A886" s="18" t="s">
        <v>6</v>
      </c>
      <c r="B886" s="18">
        <v>2024</v>
      </c>
      <c r="C886" s="18" t="s">
        <v>138</v>
      </c>
      <c r="D886" s="18" t="s">
        <v>661</v>
      </c>
      <c r="E886" s="3">
        <v>60</v>
      </c>
      <c r="F886" s="191">
        <v>60</v>
      </c>
      <c r="G886" s="3" t="s">
        <v>136</v>
      </c>
      <c r="H886" s="244">
        <f t="shared" ref="H886:H888" si="357">+F886</f>
        <v>60</v>
      </c>
      <c r="I886" s="244" t="s">
        <v>762</v>
      </c>
      <c r="J886" s="244"/>
      <c r="K886" s="18">
        <f>+L885</f>
        <v>1.95</v>
      </c>
      <c r="L886" s="18">
        <v>2.5</v>
      </c>
      <c r="M886" s="4">
        <f t="shared" si="343"/>
        <v>0.55000000000000004</v>
      </c>
      <c r="N886" s="113">
        <f t="shared" si="345"/>
        <v>0.65454545454545443</v>
      </c>
      <c r="O886" s="5">
        <f t="shared" si="356"/>
        <v>0.34545454545454557</v>
      </c>
      <c r="P886" s="4">
        <v>0.36</v>
      </c>
      <c r="Q886" s="18"/>
      <c r="R886" s="18"/>
      <c r="S886" s="18"/>
      <c r="T886" s="18">
        <v>0.36</v>
      </c>
      <c r="U886" s="18">
        <v>0</v>
      </c>
      <c r="V886" s="18">
        <f t="shared" si="329"/>
        <v>0</v>
      </c>
      <c r="W886" s="18"/>
      <c r="X886" s="18"/>
      <c r="Y886" s="18">
        <v>15</v>
      </c>
      <c r="Z886" s="31">
        <f t="shared" si="341"/>
        <v>36.666666666666664</v>
      </c>
      <c r="AA886" s="6"/>
      <c r="AB886" s="6"/>
      <c r="AC886" s="184"/>
      <c r="AD886" s="6"/>
      <c r="AE886" s="184"/>
      <c r="AF886" s="184"/>
      <c r="AG886" s="195" t="s">
        <v>34</v>
      </c>
      <c r="AH886" s="195" t="s">
        <v>34</v>
      </c>
      <c r="AI886" s="18">
        <f>+VLOOKUP(AH886,Leyenda!$O$4:$U$10,6,FALSE)</f>
        <v>0</v>
      </c>
      <c r="AJ886" s="18" t="str">
        <f>+VLOOKUP(AG886,Leyenda!$O$4:$U$10,7,FALSE)</f>
        <v>No Blasting need</v>
      </c>
      <c r="AK886" s="18">
        <f>+VLOOKUP(AJ886,Leyenda!$U$4:$V$10,2,FALSE)</f>
        <v>2</v>
      </c>
      <c r="AL886" s="5"/>
      <c r="AM886" s="18" t="s">
        <v>34</v>
      </c>
      <c r="AN886" s="18" t="s">
        <v>69</v>
      </c>
      <c r="AO886" s="18" t="s">
        <v>81</v>
      </c>
      <c r="AP886" s="18" t="s">
        <v>100</v>
      </c>
      <c r="AQ886" s="18" t="s">
        <v>111</v>
      </c>
      <c r="AR886" s="18" t="s">
        <v>120</v>
      </c>
      <c r="AS886" s="18" t="s">
        <v>267</v>
      </c>
      <c r="AT886" s="18"/>
      <c r="AU886" s="6"/>
      <c r="AV886" s="36">
        <f>+VLOOKUP(AN886,Leyenda!$B$30:$E$34,3,FALSE)</f>
        <v>0</v>
      </c>
      <c r="AW886" s="36">
        <f>+VLOOKUP('2. Logging Brejo Seco'!AO886,Meteorizacion,3,FALSE)</f>
        <v>0</v>
      </c>
      <c r="AX886" s="36">
        <f>+VLOOKUP('2. Logging Brejo Seco'!AP886,Apertura,3,FALSE)</f>
        <v>0</v>
      </c>
      <c r="AY886" s="36">
        <f>+VLOOKUP('2. Logging Brejo Seco'!AQ886,Leyenda!$B$55:$D$59,3,FALSE)</f>
        <v>0</v>
      </c>
      <c r="AZ886" s="36">
        <f>+VLOOKUP('2. Logging Brejo Seco'!AR886,Relleno,3,FALSE)</f>
        <v>2</v>
      </c>
      <c r="BA886" s="36">
        <f t="shared" si="347"/>
        <v>2</v>
      </c>
      <c r="BB886" s="50">
        <f t="shared" si="348"/>
        <v>0</v>
      </c>
      <c r="BC886" s="49">
        <f>VLOOKUP(AH886,Leyenda!$B$4:$D$10,3,FALSE)</f>
        <v>0</v>
      </c>
      <c r="BD886" s="50">
        <f t="shared" si="349"/>
        <v>5</v>
      </c>
      <c r="BE886" s="50">
        <f t="shared" si="350"/>
        <v>2</v>
      </c>
      <c r="BF886" s="50">
        <f>VLOOKUP(AS886,Leyenda!$B$70:$D$75,3,FALSE)</f>
        <v>15</v>
      </c>
      <c r="BG886" s="110">
        <f t="shared" si="351"/>
        <v>3</v>
      </c>
      <c r="BH886" s="110">
        <f>VLOOKUP(AG886,Leyenda!$B$4:$E$10,4,FALSE)</f>
        <v>0</v>
      </c>
      <c r="BI886" s="67">
        <f t="shared" si="352"/>
        <v>5</v>
      </c>
      <c r="BJ886" s="110">
        <f t="shared" si="353"/>
        <v>0</v>
      </c>
      <c r="BK886" s="110">
        <f>+VLOOKUP('2. Logging Brejo Seco'!AP886,Leyenda!$B$47:$E$51,4,FALSE)</f>
        <v>0</v>
      </c>
      <c r="BL886" s="110">
        <f>+VLOOKUP('2. Logging Brejo Seco'!AQ886,Leyenda!$B$55:$E$59,4,FALSE)</f>
        <v>0</v>
      </c>
      <c r="BM886" s="110">
        <f>+VLOOKUP('2. Logging Brejo Seco'!AR886,Leyenda!$B$63:$E$67,3,FALSE)</f>
        <v>2</v>
      </c>
      <c r="BN886" s="110">
        <f>+VLOOKUP('2. Logging Brejo Seco'!AO886,Leyenda!$B$39:$E$43,4,FALSE)</f>
        <v>0</v>
      </c>
      <c r="BO886" s="110">
        <f>+VLOOKUP('2. Logging Brejo Seco'!AN886,Leyenda!$B$30:$E$34,4,FALSE)</f>
        <v>0</v>
      </c>
      <c r="BP886" s="110">
        <f>VLOOKUP(AS886,Leyenda!$B$71:$E$75,4,FALSE)</f>
        <v>10</v>
      </c>
      <c r="BQ886" s="110">
        <f t="shared" si="354"/>
        <v>17</v>
      </c>
      <c r="BR886" s="36">
        <f t="shared" si="355"/>
        <v>22</v>
      </c>
      <c r="BS886" s="240">
        <f t="shared" si="330"/>
        <v>0.34545454545454557</v>
      </c>
      <c r="BT886" s="6"/>
    </row>
    <row r="887" spans="1:72" x14ac:dyDescent="0.25">
      <c r="A887" s="18" t="s">
        <v>6</v>
      </c>
      <c r="B887" s="18">
        <v>2024</v>
      </c>
      <c r="C887" s="18" t="s">
        <v>138</v>
      </c>
      <c r="D887" s="18" t="s">
        <v>661</v>
      </c>
      <c r="E887" s="3">
        <v>60</v>
      </c>
      <c r="F887" s="191">
        <v>60</v>
      </c>
      <c r="G887" s="3" t="s">
        <v>136</v>
      </c>
      <c r="H887" s="244">
        <f t="shared" si="357"/>
        <v>60</v>
      </c>
      <c r="I887" s="244" t="s">
        <v>762</v>
      </c>
      <c r="J887" s="244"/>
      <c r="K887" s="18">
        <f t="shared" ref="K887:K911" si="358">+L886</f>
        <v>2.5</v>
      </c>
      <c r="L887" s="18">
        <v>2.95</v>
      </c>
      <c r="M887" s="4">
        <f t="shared" si="343"/>
        <v>0.45000000000000018</v>
      </c>
      <c r="N887" s="113">
        <f t="shared" si="345"/>
        <v>0.99999999999999967</v>
      </c>
      <c r="O887" s="5">
        <f t="shared" si="356"/>
        <v>0</v>
      </c>
      <c r="P887" s="4">
        <v>0.45</v>
      </c>
      <c r="Q887" s="18"/>
      <c r="R887" s="18"/>
      <c r="S887" s="18"/>
      <c r="T887" s="18">
        <v>0.5</v>
      </c>
      <c r="U887" s="18">
        <v>0</v>
      </c>
      <c r="V887" s="18">
        <f t="shared" si="329"/>
        <v>0</v>
      </c>
      <c r="W887" s="18"/>
      <c r="X887" s="18"/>
      <c r="Y887" s="18">
        <v>6</v>
      </c>
      <c r="Z887" s="31">
        <f t="shared" si="341"/>
        <v>75.000000000000028</v>
      </c>
      <c r="AA887" s="6"/>
      <c r="AB887" s="6"/>
      <c r="AC887" s="184"/>
      <c r="AD887" s="6"/>
      <c r="AE887" s="184"/>
      <c r="AF887" s="184"/>
      <c r="AG887" s="195" t="s">
        <v>34</v>
      </c>
      <c r="AH887" s="195" t="s">
        <v>34</v>
      </c>
      <c r="AI887" s="18">
        <f>+VLOOKUP(AH887,Leyenda!$O$4:$U$10,6,FALSE)</f>
        <v>0</v>
      </c>
      <c r="AJ887" s="18" t="str">
        <f>+VLOOKUP(AG887,Leyenda!$O$4:$U$10,7,FALSE)</f>
        <v>No Blasting need</v>
      </c>
      <c r="AK887" s="18">
        <f>+VLOOKUP(AJ887,Leyenda!$U$4:$V$10,2,FALSE)</f>
        <v>2</v>
      </c>
      <c r="AL887" s="5"/>
      <c r="AM887" s="18" t="s">
        <v>34</v>
      </c>
      <c r="AN887" s="18" t="s">
        <v>69</v>
      </c>
      <c r="AO887" s="18" t="s">
        <v>81</v>
      </c>
      <c r="AP887" s="18" t="s">
        <v>100</v>
      </c>
      <c r="AQ887" s="18" t="s">
        <v>111</v>
      </c>
      <c r="AR887" s="18" t="s">
        <v>120</v>
      </c>
      <c r="AS887" s="18" t="s">
        <v>267</v>
      </c>
      <c r="AT887" s="18"/>
      <c r="AU887" s="6"/>
      <c r="AV887" s="36">
        <f>+VLOOKUP(AN887,Leyenda!$B$30:$E$34,3,FALSE)</f>
        <v>0</v>
      </c>
      <c r="AW887" s="36">
        <f>+VLOOKUP('2. Logging Brejo Seco'!AO887,Meteorizacion,3,FALSE)</f>
        <v>0</v>
      </c>
      <c r="AX887" s="36">
        <f>+VLOOKUP('2. Logging Brejo Seco'!AP887,Apertura,3,FALSE)</f>
        <v>0</v>
      </c>
      <c r="AY887" s="36">
        <f>+VLOOKUP('2. Logging Brejo Seco'!AQ887,Leyenda!$B$55:$D$59,3,FALSE)</f>
        <v>0</v>
      </c>
      <c r="AZ887" s="36">
        <f>+VLOOKUP('2. Logging Brejo Seco'!AR887,Relleno,3,FALSE)</f>
        <v>2</v>
      </c>
      <c r="BA887" s="36">
        <f t="shared" si="347"/>
        <v>2</v>
      </c>
      <c r="BB887" s="50">
        <f t="shared" si="348"/>
        <v>0</v>
      </c>
      <c r="BC887" s="49">
        <f>VLOOKUP(AH887,Leyenda!$B$4:$D$10,3,FALSE)</f>
        <v>0</v>
      </c>
      <c r="BD887" s="50">
        <f t="shared" si="349"/>
        <v>7</v>
      </c>
      <c r="BE887" s="50">
        <f t="shared" si="350"/>
        <v>2</v>
      </c>
      <c r="BF887" s="50">
        <f>VLOOKUP(AS887,Leyenda!$B$70:$D$75,3,FALSE)</f>
        <v>15</v>
      </c>
      <c r="BG887" s="110">
        <f t="shared" si="351"/>
        <v>3</v>
      </c>
      <c r="BH887" s="110">
        <f>VLOOKUP(AG887,Leyenda!$B$4:$E$10,4,FALSE)</f>
        <v>0</v>
      </c>
      <c r="BI887" s="67">
        <f t="shared" si="352"/>
        <v>6</v>
      </c>
      <c r="BJ887" s="110">
        <f t="shared" si="353"/>
        <v>0</v>
      </c>
      <c r="BK887" s="110">
        <f>+VLOOKUP('2. Logging Brejo Seco'!AP887,Leyenda!$B$47:$E$51,4,FALSE)</f>
        <v>0</v>
      </c>
      <c r="BL887" s="110">
        <f>+VLOOKUP('2. Logging Brejo Seco'!AQ887,Leyenda!$B$55:$E$59,4,FALSE)</f>
        <v>0</v>
      </c>
      <c r="BM887" s="110">
        <f>+VLOOKUP('2. Logging Brejo Seco'!AR887,Leyenda!$B$63:$E$67,3,FALSE)</f>
        <v>2</v>
      </c>
      <c r="BN887" s="110">
        <f>+VLOOKUP('2. Logging Brejo Seco'!AO887,Leyenda!$B$39:$E$43,4,FALSE)</f>
        <v>0</v>
      </c>
      <c r="BO887" s="110">
        <f>+VLOOKUP('2. Logging Brejo Seco'!AN887,Leyenda!$B$30:$E$34,4,FALSE)</f>
        <v>0</v>
      </c>
      <c r="BP887" s="110">
        <f>VLOOKUP(AS887,Leyenda!$B$71:$E$75,4,FALSE)</f>
        <v>10</v>
      </c>
      <c r="BQ887" s="110">
        <f t="shared" si="354"/>
        <v>18</v>
      </c>
      <c r="BR887" s="36">
        <f t="shared" si="355"/>
        <v>24</v>
      </c>
      <c r="BS887" s="240">
        <f t="shared" si="330"/>
        <v>0</v>
      </c>
      <c r="BT887" s="6"/>
    </row>
    <row r="888" spans="1:72" x14ac:dyDescent="0.25">
      <c r="A888" s="18" t="s">
        <v>6</v>
      </c>
      <c r="B888" s="18">
        <v>2024</v>
      </c>
      <c r="C888" s="18" t="s">
        <v>138</v>
      </c>
      <c r="D888" s="18" t="s">
        <v>661</v>
      </c>
      <c r="E888" s="3">
        <v>60</v>
      </c>
      <c r="F888" s="191">
        <v>40</v>
      </c>
      <c r="G888" s="3" t="s">
        <v>136</v>
      </c>
      <c r="H888" s="244">
        <f t="shared" si="357"/>
        <v>40</v>
      </c>
      <c r="I888" s="244" t="s">
        <v>757</v>
      </c>
      <c r="J888" s="244"/>
      <c r="K888" s="18">
        <f t="shared" si="358"/>
        <v>2.95</v>
      </c>
      <c r="L888" s="18">
        <v>4</v>
      </c>
      <c r="M888" s="4">
        <f t="shared" si="343"/>
        <v>1.0499999999999998</v>
      </c>
      <c r="N888" s="113">
        <f t="shared" si="345"/>
        <v>1.0000000000000002</v>
      </c>
      <c r="O888" s="5">
        <f t="shared" si="356"/>
        <v>0</v>
      </c>
      <c r="P888" s="4">
        <v>1.05</v>
      </c>
      <c r="Q888" s="18"/>
      <c r="R888" s="18"/>
      <c r="S888" s="18"/>
      <c r="T888" s="18">
        <v>1.1100000000000001</v>
      </c>
      <c r="U888" s="18">
        <v>0.48</v>
      </c>
      <c r="V888" s="18">
        <f t="shared" si="329"/>
        <v>45.714285714285715</v>
      </c>
      <c r="W888" s="18"/>
      <c r="X888" s="18"/>
      <c r="Y888" s="18">
        <v>12</v>
      </c>
      <c r="Z888" s="31">
        <f t="shared" si="341"/>
        <v>87.499999999999986</v>
      </c>
      <c r="AA888" s="6"/>
      <c r="AB888" s="6"/>
      <c r="AC888" s="184"/>
      <c r="AD888" s="6"/>
      <c r="AE888" s="184"/>
      <c r="AF888" s="184"/>
      <c r="AG888" s="195" t="s">
        <v>34</v>
      </c>
      <c r="AH888" s="195" t="s">
        <v>34</v>
      </c>
      <c r="AI888" s="18">
        <f>+VLOOKUP(AH888,Leyenda!$O$4:$U$10,6,FALSE)</f>
        <v>0</v>
      </c>
      <c r="AJ888" s="18" t="str">
        <f>+VLOOKUP(AG888,Leyenda!$O$4:$U$10,7,FALSE)</f>
        <v>No Blasting need</v>
      </c>
      <c r="AK888" s="18">
        <f>+VLOOKUP(AJ888,Leyenda!$U$4:$V$10,2,FALSE)</f>
        <v>2</v>
      </c>
      <c r="AL888" s="5"/>
      <c r="AM888" s="18" t="s">
        <v>34</v>
      </c>
      <c r="AN888" s="18" t="s">
        <v>69</v>
      </c>
      <c r="AO888" s="18" t="s">
        <v>81</v>
      </c>
      <c r="AP888" s="18" t="s">
        <v>100</v>
      </c>
      <c r="AQ888" s="18" t="s">
        <v>111</v>
      </c>
      <c r="AR888" s="18" t="s">
        <v>120</v>
      </c>
      <c r="AS888" s="18" t="s">
        <v>267</v>
      </c>
      <c r="AT888" s="18"/>
      <c r="AU888" s="6"/>
      <c r="AV888" s="18">
        <f>+VLOOKUP(AN888,Leyenda!$B$30:$E$34,3,FALSE)</f>
        <v>0</v>
      </c>
      <c r="AW888" s="18">
        <f>+VLOOKUP('2. Logging Brejo Seco'!AO888,Meteorizacion,3,FALSE)</f>
        <v>0</v>
      </c>
      <c r="AX888" s="18">
        <f>+VLOOKUP('2. Logging Brejo Seco'!AP888,Apertura,3,FALSE)</f>
        <v>0</v>
      </c>
      <c r="AY888" s="18">
        <f>+VLOOKUP('2. Logging Brejo Seco'!AQ888,Leyenda!$B$55:$D$59,3,FALSE)</f>
        <v>0</v>
      </c>
      <c r="AZ888" s="18">
        <f>+VLOOKUP('2. Logging Brejo Seco'!AR888,Relleno,3,FALSE)</f>
        <v>2</v>
      </c>
      <c r="BA888" s="18">
        <f t="shared" si="347"/>
        <v>2</v>
      </c>
      <c r="BB888" s="49">
        <f t="shared" si="348"/>
        <v>10</v>
      </c>
      <c r="BC888" s="49">
        <f>VLOOKUP(AH888,Leyenda!$B$4:$D$10,3,FALSE)</f>
        <v>0</v>
      </c>
      <c r="BD888" s="49">
        <f t="shared" si="349"/>
        <v>7</v>
      </c>
      <c r="BE888" s="49">
        <f t="shared" si="350"/>
        <v>2</v>
      </c>
      <c r="BF888" s="49">
        <f>VLOOKUP(AS888,Leyenda!$B$70:$D$75,3,FALSE)</f>
        <v>15</v>
      </c>
      <c r="BG888" s="67">
        <f t="shared" si="351"/>
        <v>25.857142857142858</v>
      </c>
      <c r="BH888" s="67">
        <f>VLOOKUP(AG888,Leyenda!$B$4:$E$10,4,FALSE)</f>
        <v>0</v>
      </c>
      <c r="BI888" s="67">
        <f t="shared" si="352"/>
        <v>7</v>
      </c>
      <c r="BJ888" s="67">
        <f t="shared" si="353"/>
        <v>10</v>
      </c>
      <c r="BK888" s="67">
        <f>+VLOOKUP('2. Logging Brejo Seco'!AP888,Leyenda!$B$47:$E$51,4,FALSE)</f>
        <v>0</v>
      </c>
      <c r="BL888" s="67">
        <f>+VLOOKUP('2. Logging Brejo Seco'!AQ888,Leyenda!$B$55:$E$59,4,FALSE)</f>
        <v>0</v>
      </c>
      <c r="BM888" s="67">
        <f>+VLOOKUP('2. Logging Brejo Seco'!AR888,Leyenda!$B$63:$E$67,3,FALSE)</f>
        <v>2</v>
      </c>
      <c r="BN888" s="67">
        <f>+VLOOKUP('2. Logging Brejo Seco'!AO888,Leyenda!$B$39:$E$43,4,FALSE)</f>
        <v>0</v>
      </c>
      <c r="BO888" s="67">
        <f>+VLOOKUP('2. Logging Brejo Seco'!AN888,Leyenda!$B$30:$E$34,4,FALSE)</f>
        <v>0</v>
      </c>
      <c r="BP888" s="67">
        <f>VLOOKUP(AS888,Leyenda!$B$71:$E$75,4,FALSE)</f>
        <v>10</v>
      </c>
      <c r="BQ888" s="67">
        <f t="shared" si="354"/>
        <v>29</v>
      </c>
      <c r="BR888" s="18">
        <f t="shared" si="355"/>
        <v>34</v>
      </c>
      <c r="BS888" s="240">
        <f t="shared" si="330"/>
        <v>0</v>
      </c>
      <c r="BT888" s="6"/>
    </row>
    <row r="889" spans="1:72" x14ac:dyDescent="0.25">
      <c r="A889" s="18" t="s">
        <v>6</v>
      </c>
      <c r="B889" s="18">
        <v>2024</v>
      </c>
      <c r="C889" s="18" t="s">
        <v>138</v>
      </c>
      <c r="D889" s="18" t="s">
        <v>661</v>
      </c>
      <c r="E889" s="3">
        <v>60</v>
      </c>
      <c r="F889" s="191">
        <v>30</v>
      </c>
      <c r="G889" s="18" t="s">
        <v>152</v>
      </c>
      <c r="H889" s="3">
        <v>70</v>
      </c>
      <c r="I889" s="3" t="s">
        <v>763</v>
      </c>
      <c r="J889" s="3"/>
      <c r="K889" s="18">
        <f t="shared" si="358"/>
        <v>4</v>
      </c>
      <c r="L889" s="18">
        <v>6.1</v>
      </c>
      <c r="M889" s="4">
        <f t="shared" si="343"/>
        <v>2.0999999999999996</v>
      </c>
      <c r="N889" s="113">
        <f t="shared" si="345"/>
        <v>0.63333333333333353</v>
      </c>
      <c r="O889" s="5">
        <f t="shared" si="356"/>
        <v>0.36666666666666647</v>
      </c>
      <c r="P889" s="4">
        <v>1.33</v>
      </c>
      <c r="Q889" s="18"/>
      <c r="R889" s="18"/>
      <c r="S889" s="18"/>
      <c r="T889" s="18">
        <v>1.33</v>
      </c>
      <c r="U889" s="18">
        <v>0.22</v>
      </c>
      <c r="V889" s="18">
        <f t="shared" si="329"/>
        <v>10.476190476190478</v>
      </c>
      <c r="W889" s="18"/>
      <c r="X889" s="18"/>
      <c r="Y889" s="223">
        <v>25</v>
      </c>
      <c r="Z889" s="31">
        <f t="shared" si="341"/>
        <v>83.999999999999986</v>
      </c>
      <c r="AA889" s="6"/>
      <c r="AB889" s="6"/>
      <c r="AC889" s="184"/>
      <c r="AD889" s="6"/>
      <c r="AE889" s="184"/>
      <c r="AF889" s="184"/>
      <c r="AG889" s="195" t="s">
        <v>32</v>
      </c>
      <c r="AH889" s="195" t="s">
        <v>32</v>
      </c>
      <c r="AI889" s="18" t="str">
        <f>+VLOOKUP(AH889,Leyenda!$O$4:$U$10,6,FALSE)</f>
        <v>0,15-0,25</v>
      </c>
      <c r="AJ889" s="18" t="str">
        <f>+VLOOKUP(AG889,Leyenda!$O$4:$U$10,7,FALSE)</f>
        <v>No Blasting need</v>
      </c>
      <c r="AK889" s="18">
        <f>+VLOOKUP(AJ889,Leyenda!$U$4:$V$10,2,FALSE)</f>
        <v>2</v>
      </c>
      <c r="AL889" s="5"/>
      <c r="AM889" s="18" t="s">
        <v>32</v>
      </c>
      <c r="AN889" s="18" t="s">
        <v>66</v>
      </c>
      <c r="AO889" s="18" t="s">
        <v>79</v>
      </c>
      <c r="AP889" s="18" t="s">
        <v>96</v>
      </c>
      <c r="AQ889" s="18" t="s">
        <v>109</v>
      </c>
      <c r="AR889" s="18" t="s">
        <v>120</v>
      </c>
      <c r="AS889" s="18" t="s">
        <v>267</v>
      </c>
      <c r="AT889" s="18"/>
      <c r="AU889" s="6"/>
      <c r="AV889" s="36">
        <f>+VLOOKUP(AN889,Leyenda!$B$30:$E$34,3,FALSE)</f>
        <v>1</v>
      </c>
      <c r="AW889" s="36">
        <f>+VLOOKUP('2. Logging Brejo Seco'!AO889,Meteorizacion,3,FALSE)</f>
        <v>1</v>
      </c>
      <c r="AX889" s="36">
        <f>+VLOOKUP('2. Logging Brejo Seco'!AP889,Apertura,3,FALSE)</f>
        <v>1</v>
      </c>
      <c r="AY889" s="36">
        <f>+VLOOKUP('2. Logging Brejo Seco'!AQ889,Leyenda!$B$55:$D$59,3,FALSE)</f>
        <v>1</v>
      </c>
      <c r="AZ889" s="36">
        <f>+VLOOKUP('2. Logging Brejo Seco'!AR889,Relleno,3,FALSE)</f>
        <v>2</v>
      </c>
      <c r="BA889" s="36">
        <f t="shared" si="347"/>
        <v>6</v>
      </c>
      <c r="BB889" s="225">
        <f t="shared" si="348"/>
        <v>2</v>
      </c>
      <c r="BC889" s="49">
        <f>VLOOKUP(AH889,Leyenda!$B$4:$D$10,3,FALSE)</f>
        <v>1</v>
      </c>
      <c r="BD889" s="50">
        <f t="shared" si="349"/>
        <v>7</v>
      </c>
      <c r="BE889" s="50">
        <f t="shared" si="350"/>
        <v>6</v>
      </c>
      <c r="BF889" s="50">
        <f>VLOOKUP(AS889,Leyenda!$B$70:$D$75,3,FALSE)</f>
        <v>15</v>
      </c>
      <c r="BG889" s="110">
        <f t="shared" si="351"/>
        <v>14.238095238095239</v>
      </c>
      <c r="BH889" s="110">
        <f>VLOOKUP(AG889,Leyenda!$B$4:$E$10,4,FALSE)</f>
        <v>1</v>
      </c>
      <c r="BI889" s="67">
        <f t="shared" si="352"/>
        <v>7</v>
      </c>
      <c r="BJ889" s="110">
        <f t="shared" si="353"/>
        <v>2</v>
      </c>
      <c r="BK889" s="110">
        <f>+VLOOKUP('2. Logging Brejo Seco'!AP889,Leyenda!$B$47:$E$51,4,FALSE)</f>
        <v>1</v>
      </c>
      <c r="BL889" s="110">
        <f>+VLOOKUP('2. Logging Brejo Seco'!AQ889,Leyenda!$B$55:$E$59,4,FALSE)</f>
        <v>1</v>
      </c>
      <c r="BM889" s="110">
        <f>+VLOOKUP('2. Logging Brejo Seco'!AR889,Leyenda!$B$63:$E$67,3,FALSE)</f>
        <v>2</v>
      </c>
      <c r="BN889" s="110">
        <f>+VLOOKUP('2. Logging Brejo Seco'!AO889,Leyenda!$B$39:$E$43,4,FALSE)</f>
        <v>1</v>
      </c>
      <c r="BO889" s="110">
        <f>+VLOOKUP('2. Logging Brejo Seco'!AN889,Leyenda!$B$30:$E$34,4,FALSE)</f>
        <v>1</v>
      </c>
      <c r="BP889" s="110">
        <f>VLOOKUP(AS889,Leyenda!$B$71:$E$75,4,FALSE)</f>
        <v>10</v>
      </c>
      <c r="BQ889" s="110">
        <f t="shared" si="354"/>
        <v>26</v>
      </c>
      <c r="BR889" s="36">
        <f t="shared" si="355"/>
        <v>31</v>
      </c>
      <c r="BS889" s="240">
        <f t="shared" si="330"/>
        <v>0.36666666666666647</v>
      </c>
      <c r="BT889" s="6"/>
    </row>
    <row r="890" spans="1:72" x14ac:dyDescent="0.25">
      <c r="A890" s="18" t="s">
        <v>6</v>
      </c>
      <c r="B890" s="18">
        <v>2024</v>
      </c>
      <c r="C890" s="18" t="s">
        <v>138</v>
      </c>
      <c r="D890" s="18" t="s">
        <v>661</v>
      </c>
      <c r="E890" s="18">
        <v>30</v>
      </c>
      <c r="F890" s="191">
        <v>30</v>
      </c>
      <c r="G890" s="18" t="s">
        <v>152</v>
      </c>
      <c r="H890" s="3">
        <v>30</v>
      </c>
      <c r="I890" s="3" t="s">
        <v>759</v>
      </c>
      <c r="J890" s="3"/>
      <c r="K890" s="18">
        <f t="shared" si="358"/>
        <v>6.1</v>
      </c>
      <c r="L890" s="18">
        <v>8</v>
      </c>
      <c r="M890" s="4">
        <f t="shared" si="343"/>
        <v>1.9000000000000004</v>
      </c>
      <c r="N890" s="113">
        <f t="shared" si="345"/>
        <v>0.57368421052631557</v>
      </c>
      <c r="O890" s="5">
        <f t="shared" si="356"/>
        <v>0.42631578947368443</v>
      </c>
      <c r="P890" s="4">
        <f>0.61+0.48</f>
        <v>1.0899999999999999</v>
      </c>
      <c r="Q890" s="18"/>
      <c r="R890" s="18"/>
      <c r="S890" s="18"/>
      <c r="T890" s="18">
        <v>1.1000000000000001</v>
      </c>
      <c r="U890" s="18">
        <v>0.55000000000000004</v>
      </c>
      <c r="V890" s="18">
        <f t="shared" si="329"/>
        <v>28.947368421052627</v>
      </c>
      <c r="W890" s="18"/>
      <c r="X890" s="18"/>
      <c r="Y890" s="223">
        <f>5+7+3</f>
        <v>15</v>
      </c>
      <c r="Z890" s="31">
        <f t="shared" si="341"/>
        <v>126.6666666666667</v>
      </c>
      <c r="AA890" s="6"/>
      <c r="AB890" s="6"/>
      <c r="AC890" s="184"/>
      <c r="AD890" s="6"/>
      <c r="AE890" s="184"/>
      <c r="AF890" s="184"/>
      <c r="AG890" s="195" t="s">
        <v>29</v>
      </c>
      <c r="AH890" s="195" t="s">
        <v>29</v>
      </c>
      <c r="AI890" s="18" t="str">
        <f>+VLOOKUP(AH890,Leyenda!$O$4:$U$10,6,FALSE)</f>
        <v>0,25-0,35</v>
      </c>
      <c r="AJ890" s="18" t="str">
        <f>+VLOOKUP(AG890,Leyenda!$O$4:$U$10,7,FALSE)</f>
        <v>No Blasting need</v>
      </c>
      <c r="AK890" s="18">
        <f>+VLOOKUP(AJ890,Leyenda!$U$4:$V$10,2,FALSE)</f>
        <v>2</v>
      </c>
      <c r="AL890" s="5"/>
      <c r="AM890" s="18" t="s">
        <v>29</v>
      </c>
      <c r="AN890" s="18" t="s">
        <v>66</v>
      </c>
      <c r="AO890" s="18" t="s">
        <v>79</v>
      </c>
      <c r="AP890" s="18" t="s">
        <v>96</v>
      </c>
      <c r="AQ890" s="18" t="s">
        <v>109</v>
      </c>
      <c r="AR890" s="18" t="s">
        <v>120</v>
      </c>
      <c r="AS890" s="18" t="s">
        <v>267</v>
      </c>
      <c r="AT890" s="18"/>
      <c r="AU890" s="6"/>
      <c r="AV890" s="36">
        <f>+VLOOKUP(AN890,Leyenda!$B$30:$E$34,3,FALSE)</f>
        <v>1</v>
      </c>
      <c r="AW890" s="36">
        <f>+VLOOKUP('2. Logging Brejo Seco'!AO890,Meteorizacion,3,FALSE)</f>
        <v>1</v>
      </c>
      <c r="AX890" s="36">
        <f>+VLOOKUP('2. Logging Brejo Seco'!AP890,Apertura,3,FALSE)</f>
        <v>1</v>
      </c>
      <c r="AY890" s="36">
        <f>+VLOOKUP('2. Logging Brejo Seco'!AQ890,Leyenda!$B$55:$D$59,3,FALSE)</f>
        <v>1</v>
      </c>
      <c r="AZ890" s="36">
        <f>+VLOOKUP('2. Logging Brejo Seco'!AR890,Relleno,3,FALSE)</f>
        <v>2</v>
      </c>
      <c r="BA890" s="36">
        <f t="shared" si="347"/>
        <v>6</v>
      </c>
      <c r="BB890" s="225">
        <f t="shared" si="348"/>
        <v>6</v>
      </c>
      <c r="BC890" s="49">
        <f>VLOOKUP(AH890,Leyenda!$B$4:$D$10,3,FALSE)</f>
        <v>2</v>
      </c>
      <c r="BD890" s="50">
        <f t="shared" si="349"/>
        <v>8</v>
      </c>
      <c r="BE890" s="50">
        <f t="shared" si="350"/>
        <v>6</v>
      </c>
      <c r="BF890" s="50">
        <f>VLOOKUP(AS890,Leyenda!$B$70:$D$75,3,FALSE)</f>
        <v>15</v>
      </c>
      <c r="BG890" s="110">
        <f t="shared" si="351"/>
        <v>23.473684210526315</v>
      </c>
      <c r="BH890" s="110">
        <f>VLOOKUP(AG890,Leyenda!$B$4:$E$10,4,FALSE)</f>
        <v>2</v>
      </c>
      <c r="BI890" s="67">
        <f t="shared" si="352"/>
        <v>10</v>
      </c>
      <c r="BJ890" s="110">
        <f t="shared" si="353"/>
        <v>6</v>
      </c>
      <c r="BK890" s="110">
        <f>+VLOOKUP('2. Logging Brejo Seco'!AP890,Leyenda!$B$47:$E$51,4,FALSE)</f>
        <v>1</v>
      </c>
      <c r="BL890" s="110">
        <f>+VLOOKUP('2. Logging Brejo Seco'!AQ890,Leyenda!$B$55:$E$59,4,FALSE)</f>
        <v>1</v>
      </c>
      <c r="BM890" s="110">
        <f>+VLOOKUP('2. Logging Brejo Seco'!AR890,Leyenda!$B$63:$E$67,3,FALSE)</f>
        <v>2</v>
      </c>
      <c r="BN890" s="110">
        <f>+VLOOKUP('2. Logging Brejo Seco'!AO890,Leyenda!$B$39:$E$43,4,FALSE)</f>
        <v>1</v>
      </c>
      <c r="BO890" s="110">
        <f>+VLOOKUP('2. Logging Brejo Seco'!AN890,Leyenda!$B$30:$E$34,4,FALSE)</f>
        <v>1</v>
      </c>
      <c r="BP890" s="110">
        <f>VLOOKUP(AS890,Leyenda!$B$71:$E$75,4,FALSE)</f>
        <v>10</v>
      </c>
      <c r="BQ890" s="110">
        <f t="shared" si="354"/>
        <v>34</v>
      </c>
      <c r="BR890" s="36">
        <f t="shared" si="355"/>
        <v>37</v>
      </c>
      <c r="BS890" s="240">
        <f t="shared" si="330"/>
        <v>0.42631578947368443</v>
      </c>
      <c r="BT890" s="6"/>
    </row>
    <row r="891" spans="1:72" x14ac:dyDescent="0.25">
      <c r="A891" s="18" t="s">
        <v>6</v>
      </c>
      <c r="B891" s="18">
        <v>2024</v>
      </c>
      <c r="C891" s="18" t="s">
        <v>138</v>
      </c>
      <c r="D891" s="18" t="s">
        <v>661</v>
      </c>
      <c r="E891" s="18">
        <v>20</v>
      </c>
      <c r="F891" s="191">
        <v>20</v>
      </c>
      <c r="G891" s="18" t="s">
        <v>156</v>
      </c>
      <c r="H891" s="3">
        <v>30</v>
      </c>
      <c r="I891" s="3" t="s">
        <v>759</v>
      </c>
      <c r="J891" s="3"/>
      <c r="K891" s="18">
        <f t="shared" si="358"/>
        <v>8</v>
      </c>
      <c r="L891" s="18">
        <v>10</v>
      </c>
      <c r="M891" s="4">
        <f t="shared" si="343"/>
        <v>2</v>
      </c>
      <c r="N891" s="113">
        <f t="shared" si="345"/>
        <v>0.74</v>
      </c>
      <c r="O891" s="5">
        <f t="shared" si="356"/>
        <v>0.26</v>
      </c>
      <c r="P891" s="4">
        <v>1.48</v>
      </c>
      <c r="Q891" s="18"/>
      <c r="R891" s="18"/>
      <c r="S891" s="18"/>
      <c r="T891" s="18">
        <v>1.48</v>
      </c>
      <c r="U891" s="18">
        <v>0.47</v>
      </c>
      <c r="V891" s="4">
        <f t="shared" si="329"/>
        <v>23.5</v>
      </c>
      <c r="W891" s="18"/>
      <c r="X891" s="18"/>
      <c r="Y891" s="18">
        <f>9+5</f>
        <v>14</v>
      </c>
      <c r="Z891" s="31">
        <f t="shared" si="341"/>
        <v>142.85714285714286</v>
      </c>
      <c r="AA891" s="6"/>
      <c r="AB891" s="6"/>
      <c r="AC891" s="184"/>
      <c r="AD891" s="6"/>
      <c r="AE891" s="184"/>
      <c r="AF891" s="184"/>
      <c r="AG891" s="195" t="s">
        <v>32</v>
      </c>
      <c r="AH891" s="195" t="s">
        <v>32</v>
      </c>
      <c r="AI891" s="18" t="str">
        <f>+VLOOKUP(AH891,Leyenda!$O$4:$U$10,6,FALSE)</f>
        <v>0,15-0,25</v>
      </c>
      <c r="AJ891" s="18" t="str">
        <f>+VLOOKUP(AG891,Leyenda!$O$4:$U$10,7,FALSE)</f>
        <v>No Blasting need</v>
      </c>
      <c r="AK891" s="18">
        <f>+VLOOKUP(AJ891,Leyenda!$U$4:$V$10,2,FALSE)</f>
        <v>2</v>
      </c>
      <c r="AL891" s="5"/>
      <c r="AM891" s="18" t="s">
        <v>32</v>
      </c>
      <c r="AN891" s="18" t="s">
        <v>66</v>
      </c>
      <c r="AO891" s="18" t="s">
        <v>79</v>
      </c>
      <c r="AP891" s="18" t="s">
        <v>96</v>
      </c>
      <c r="AQ891" s="18" t="s">
        <v>109</v>
      </c>
      <c r="AR891" s="18" t="s">
        <v>120</v>
      </c>
      <c r="AS891" s="18" t="s">
        <v>267</v>
      </c>
      <c r="AT891" s="18"/>
      <c r="AU891" s="6"/>
      <c r="AV891" s="36">
        <f>+VLOOKUP(AN891,Leyenda!$B$30:$E$34,3,FALSE)</f>
        <v>1</v>
      </c>
      <c r="AW891" s="36">
        <f>+VLOOKUP('2. Logging Brejo Seco'!AO891,Meteorizacion,3,FALSE)</f>
        <v>1</v>
      </c>
      <c r="AX891" s="36">
        <f>+VLOOKUP('2. Logging Brejo Seco'!AP891,Apertura,3,FALSE)</f>
        <v>1</v>
      </c>
      <c r="AY891" s="36">
        <f>+VLOOKUP('2. Logging Brejo Seco'!AQ891,Leyenda!$B$55:$D$59,3,FALSE)</f>
        <v>1</v>
      </c>
      <c r="AZ891" s="36">
        <f>+VLOOKUP('2. Logging Brejo Seco'!AR891,Relleno,3,FALSE)</f>
        <v>2</v>
      </c>
      <c r="BA891" s="36">
        <f t="shared" si="347"/>
        <v>6</v>
      </c>
      <c r="BB891" s="50">
        <f t="shared" si="348"/>
        <v>5</v>
      </c>
      <c r="BC891" s="49">
        <f>VLOOKUP(AH891,Leyenda!$B$4:$D$10,3,FALSE)</f>
        <v>1</v>
      </c>
      <c r="BD891" s="50">
        <f t="shared" si="349"/>
        <v>8</v>
      </c>
      <c r="BE891" s="50">
        <f t="shared" si="350"/>
        <v>6</v>
      </c>
      <c r="BF891" s="50">
        <f>VLOOKUP(AS891,Leyenda!$B$70:$D$75,3,FALSE)</f>
        <v>15</v>
      </c>
      <c r="BG891" s="110">
        <f t="shared" si="351"/>
        <v>20.75</v>
      </c>
      <c r="BH891" s="110">
        <f>VLOOKUP(AG891,Leyenda!$B$4:$E$10,4,FALSE)</f>
        <v>1</v>
      </c>
      <c r="BI891" s="67">
        <f t="shared" si="352"/>
        <v>10</v>
      </c>
      <c r="BJ891" s="110">
        <f t="shared" si="353"/>
        <v>5</v>
      </c>
      <c r="BK891" s="110">
        <f>+VLOOKUP('2. Logging Brejo Seco'!AP891,Leyenda!$B$47:$E$51,4,FALSE)</f>
        <v>1</v>
      </c>
      <c r="BL891" s="110">
        <f>+VLOOKUP('2. Logging Brejo Seco'!AQ891,Leyenda!$B$55:$E$59,4,FALSE)</f>
        <v>1</v>
      </c>
      <c r="BM891" s="110">
        <f>+VLOOKUP('2. Logging Brejo Seco'!AR891,Leyenda!$B$63:$E$67,3,FALSE)</f>
        <v>2</v>
      </c>
      <c r="BN891" s="110">
        <f>+VLOOKUP('2. Logging Brejo Seco'!AO891,Leyenda!$B$39:$E$43,4,FALSE)</f>
        <v>1</v>
      </c>
      <c r="BO891" s="110">
        <f>+VLOOKUP('2. Logging Brejo Seco'!AN891,Leyenda!$B$30:$E$34,4,FALSE)</f>
        <v>1</v>
      </c>
      <c r="BP891" s="110">
        <f>VLOOKUP(AS891,Leyenda!$B$71:$E$75,4,FALSE)</f>
        <v>10</v>
      </c>
      <c r="BQ891" s="110">
        <f t="shared" si="354"/>
        <v>32</v>
      </c>
      <c r="BR891" s="36">
        <f t="shared" si="355"/>
        <v>35</v>
      </c>
      <c r="BS891" s="240">
        <f t="shared" si="330"/>
        <v>0.26</v>
      </c>
      <c r="BT891" s="6"/>
    </row>
    <row r="892" spans="1:72" x14ac:dyDescent="0.25">
      <c r="A892" s="18" t="s">
        <v>6</v>
      </c>
      <c r="B892" s="18">
        <v>2024</v>
      </c>
      <c r="C892" s="18" t="s">
        <v>138</v>
      </c>
      <c r="D892" s="18" t="s">
        <v>661</v>
      </c>
      <c r="E892" s="18">
        <v>20</v>
      </c>
      <c r="F892" s="191">
        <v>20</v>
      </c>
      <c r="G892" s="18" t="s">
        <v>156</v>
      </c>
      <c r="H892" s="3">
        <v>30</v>
      </c>
      <c r="I892" s="3" t="s">
        <v>759</v>
      </c>
      <c r="J892" s="3"/>
      <c r="K892" s="18">
        <f t="shared" si="358"/>
        <v>10</v>
      </c>
      <c r="L892" s="18">
        <v>11.2</v>
      </c>
      <c r="M892" s="4">
        <f t="shared" si="343"/>
        <v>1.1999999999999993</v>
      </c>
      <c r="N892" s="113">
        <f t="shared" si="345"/>
        <v>0.6916666666666671</v>
      </c>
      <c r="O892" s="5">
        <f t="shared" si="356"/>
        <v>0.3083333333333329</v>
      </c>
      <c r="P892" s="4">
        <v>0.83</v>
      </c>
      <c r="Q892" s="18"/>
      <c r="R892" s="18"/>
      <c r="S892" s="18"/>
      <c r="T892" s="18">
        <f>0.44+0.39</f>
        <v>0.83000000000000007</v>
      </c>
      <c r="U892" s="18">
        <f>0.26+0.19</f>
        <v>0.45</v>
      </c>
      <c r="V892" s="4">
        <f t="shared" si="329"/>
        <v>37.500000000000021</v>
      </c>
      <c r="W892" s="18"/>
      <c r="X892" s="18"/>
      <c r="Y892" s="18">
        <f>8+2</f>
        <v>10</v>
      </c>
      <c r="Z892" s="31">
        <f t="shared" si="341"/>
        <v>119.99999999999993</v>
      </c>
      <c r="AA892" s="6"/>
      <c r="AB892" s="6"/>
      <c r="AC892" s="184"/>
      <c r="AD892" s="6"/>
      <c r="AE892" s="184"/>
      <c r="AF892" s="184"/>
      <c r="AG892" s="195" t="s">
        <v>29</v>
      </c>
      <c r="AH892" s="195" t="s">
        <v>29</v>
      </c>
      <c r="AI892" s="18" t="str">
        <f>+VLOOKUP(AH892,Leyenda!$O$4:$U$10,6,FALSE)</f>
        <v>0,25-0,35</v>
      </c>
      <c r="AJ892" s="18" t="str">
        <f>+VLOOKUP(AG892,Leyenda!$O$4:$U$10,7,FALSE)</f>
        <v>No Blasting need</v>
      </c>
      <c r="AK892" s="18">
        <f>+VLOOKUP(AJ892,Leyenda!$U$4:$V$10,2,FALSE)</f>
        <v>2</v>
      </c>
      <c r="AL892" s="5"/>
      <c r="AM892" s="18" t="s">
        <v>29</v>
      </c>
      <c r="AN892" s="18" t="s">
        <v>66</v>
      </c>
      <c r="AO892" s="18" t="s">
        <v>79</v>
      </c>
      <c r="AP892" s="18" t="s">
        <v>96</v>
      </c>
      <c r="AQ892" s="18" t="s">
        <v>109</v>
      </c>
      <c r="AR892" s="18" t="s">
        <v>120</v>
      </c>
      <c r="AS892" s="18" t="s">
        <v>267</v>
      </c>
      <c r="AT892" s="18"/>
      <c r="AU892" s="6"/>
      <c r="AV892" s="36">
        <f>+VLOOKUP(AN892,Leyenda!$B$30:$E$34,3,FALSE)</f>
        <v>1</v>
      </c>
      <c r="AW892" s="36">
        <f>+VLOOKUP('2. Logging Brejo Seco'!AO892,Meteorizacion,3,FALSE)</f>
        <v>1</v>
      </c>
      <c r="AX892" s="36">
        <f>+VLOOKUP('2. Logging Brejo Seco'!AP892,Apertura,3,FALSE)</f>
        <v>1</v>
      </c>
      <c r="AY892" s="36">
        <f>+VLOOKUP('2. Logging Brejo Seco'!AQ892,Leyenda!$B$55:$D$59,3,FALSE)</f>
        <v>1</v>
      </c>
      <c r="AZ892" s="36">
        <f>+VLOOKUP('2. Logging Brejo Seco'!AR892,Relleno,3,FALSE)</f>
        <v>2</v>
      </c>
      <c r="BA892" s="36">
        <f t="shared" si="347"/>
        <v>6</v>
      </c>
      <c r="BB892" s="50">
        <f t="shared" si="348"/>
        <v>8</v>
      </c>
      <c r="BC892" s="49">
        <f>VLOOKUP(AH892,Leyenda!$B$4:$D$10,3,FALSE)</f>
        <v>2</v>
      </c>
      <c r="BD892" s="50">
        <f t="shared" si="349"/>
        <v>8</v>
      </c>
      <c r="BE892" s="50">
        <f t="shared" si="350"/>
        <v>6</v>
      </c>
      <c r="BF892" s="50">
        <f>VLOOKUP(AS892,Leyenda!$B$70:$D$75,3,FALSE)</f>
        <v>15</v>
      </c>
      <c r="BG892" s="110">
        <f t="shared" si="351"/>
        <v>27.750000000000011</v>
      </c>
      <c r="BH892" s="110">
        <f>VLOOKUP(AG892,Leyenda!$B$4:$E$10,4,FALSE)</f>
        <v>2</v>
      </c>
      <c r="BI892" s="67">
        <f t="shared" si="352"/>
        <v>9</v>
      </c>
      <c r="BJ892" s="110">
        <f t="shared" si="353"/>
        <v>8</v>
      </c>
      <c r="BK892" s="110">
        <f>+VLOOKUP('2. Logging Brejo Seco'!AP892,Leyenda!$B$47:$E$51,4,FALSE)</f>
        <v>1</v>
      </c>
      <c r="BL892" s="110">
        <f>+VLOOKUP('2. Logging Brejo Seco'!AQ892,Leyenda!$B$55:$E$59,4,FALSE)</f>
        <v>1</v>
      </c>
      <c r="BM892" s="110">
        <f>+VLOOKUP('2. Logging Brejo Seco'!AR892,Leyenda!$B$63:$E$67,3,FALSE)</f>
        <v>2</v>
      </c>
      <c r="BN892" s="110">
        <f>+VLOOKUP('2. Logging Brejo Seco'!AO892,Leyenda!$B$39:$E$43,4,FALSE)</f>
        <v>1</v>
      </c>
      <c r="BO892" s="110">
        <f>+VLOOKUP('2. Logging Brejo Seco'!AN892,Leyenda!$B$30:$E$34,4,FALSE)</f>
        <v>1</v>
      </c>
      <c r="BP892" s="110">
        <f>VLOOKUP(AS892,Leyenda!$B$71:$E$75,4,FALSE)</f>
        <v>10</v>
      </c>
      <c r="BQ892" s="110">
        <f t="shared" si="354"/>
        <v>35</v>
      </c>
      <c r="BR892" s="36">
        <f t="shared" si="355"/>
        <v>39</v>
      </c>
      <c r="BS892" s="240">
        <f t="shared" si="330"/>
        <v>0.3083333333333329</v>
      </c>
      <c r="BT892" s="6"/>
    </row>
    <row r="893" spans="1:72" x14ac:dyDescent="0.25">
      <c r="A893" s="18" t="s">
        <v>6</v>
      </c>
      <c r="B893" s="18">
        <v>2024</v>
      </c>
      <c r="C893" s="18" t="s">
        <v>138</v>
      </c>
      <c r="D893" s="18" t="s">
        <v>661</v>
      </c>
      <c r="E893" s="18">
        <v>20</v>
      </c>
      <c r="F893" s="191">
        <v>20</v>
      </c>
      <c r="G893" s="18" t="s">
        <v>156</v>
      </c>
      <c r="H893" s="3">
        <v>30</v>
      </c>
      <c r="I893" s="3" t="s">
        <v>759</v>
      </c>
      <c r="J893" s="3"/>
      <c r="K893" s="18">
        <f t="shared" si="358"/>
        <v>11.2</v>
      </c>
      <c r="L893" s="18">
        <v>12.3</v>
      </c>
      <c r="M893" s="4">
        <f t="shared" si="343"/>
        <v>1.1000000000000014</v>
      </c>
      <c r="N893" s="113">
        <f t="shared" si="345"/>
        <v>0.74545454545454448</v>
      </c>
      <c r="O893" s="5">
        <f t="shared" si="356"/>
        <v>0.25454545454545552</v>
      </c>
      <c r="P893" s="4">
        <v>0.82</v>
      </c>
      <c r="Q893" s="18"/>
      <c r="R893" s="18"/>
      <c r="S893" s="18"/>
      <c r="T893" s="18">
        <v>0.82</v>
      </c>
      <c r="U893" s="18">
        <v>0.19</v>
      </c>
      <c r="V893" s="4">
        <f t="shared" si="329"/>
        <v>17.272727272727252</v>
      </c>
      <c r="W893" s="18"/>
      <c r="X893" s="18"/>
      <c r="Y893" s="18">
        <f>8+2</f>
        <v>10</v>
      </c>
      <c r="Z893" s="31">
        <f t="shared" si="341"/>
        <v>110.00000000000014</v>
      </c>
      <c r="AA893" s="6"/>
      <c r="AB893" s="6"/>
      <c r="AC893" s="184"/>
      <c r="AD893" s="6"/>
      <c r="AE893" s="184"/>
      <c r="AF893" s="184"/>
      <c r="AG893" s="195" t="s">
        <v>29</v>
      </c>
      <c r="AH893" s="195" t="s">
        <v>29</v>
      </c>
      <c r="AI893" s="18" t="str">
        <f>+VLOOKUP(AH893,Leyenda!$O$4:$U$10,6,FALSE)</f>
        <v>0,25-0,35</v>
      </c>
      <c r="AJ893" s="18" t="str">
        <f>+VLOOKUP(AG893,Leyenda!$O$4:$U$10,7,FALSE)</f>
        <v>No Blasting need</v>
      </c>
      <c r="AK893" s="18">
        <f>+VLOOKUP(AJ893,Leyenda!$U$4:$V$10,2,FALSE)</f>
        <v>2</v>
      </c>
      <c r="AL893" s="5"/>
      <c r="AM893" s="18" t="s">
        <v>29</v>
      </c>
      <c r="AN893" s="18" t="s">
        <v>66</v>
      </c>
      <c r="AO893" s="18" t="s">
        <v>81</v>
      </c>
      <c r="AP893" s="18" t="s">
        <v>96</v>
      </c>
      <c r="AQ893" s="18" t="s">
        <v>109</v>
      </c>
      <c r="AR893" s="18" t="s">
        <v>120</v>
      </c>
      <c r="AS893" s="18" t="s">
        <v>267</v>
      </c>
      <c r="AT893" s="18"/>
      <c r="AU893" s="6"/>
      <c r="AV893" s="36">
        <f>+VLOOKUP(AN893,Leyenda!$B$30:$E$34,3,FALSE)</f>
        <v>1</v>
      </c>
      <c r="AW893" s="36">
        <f>+VLOOKUP('2. Logging Brejo Seco'!AO893,Meteorizacion,3,FALSE)</f>
        <v>0</v>
      </c>
      <c r="AX893" s="36">
        <f>+VLOOKUP('2. Logging Brejo Seco'!AP893,Apertura,3,FALSE)</f>
        <v>1</v>
      </c>
      <c r="AY893" s="36">
        <f>+VLOOKUP('2. Logging Brejo Seco'!AQ893,Leyenda!$B$55:$D$59,3,FALSE)</f>
        <v>1</v>
      </c>
      <c r="AZ893" s="36">
        <f>+VLOOKUP('2. Logging Brejo Seco'!AR893,Relleno,3,FALSE)</f>
        <v>2</v>
      </c>
      <c r="BA893" s="36">
        <f t="shared" si="347"/>
        <v>5</v>
      </c>
      <c r="BB893" s="50">
        <f t="shared" si="348"/>
        <v>4</v>
      </c>
      <c r="BC893" s="49">
        <f>VLOOKUP(AH893,Leyenda!$B$4:$D$10,3,FALSE)</f>
        <v>2</v>
      </c>
      <c r="BD893" s="50">
        <f t="shared" si="349"/>
        <v>7</v>
      </c>
      <c r="BE893" s="50">
        <f t="shared" si="350"/>
        <v>5</v>
      </c>
      <c r="BF893" s="50">
        <f>VLOOKUP(AS893,Leyenda!$B$70:$D$75,3,FALSE)</f>
        <v>15</v>
      </c>
      <c r="BG893" s="110">
        <f t="shared" si="351"/>
        <v>16.136363636363626</v>
      </c>
      <c r="BH893" s="110">
        <f>VLOOKUP(AG893,Leyenda!$B$4:$E$10,4,FALSE)</f>
        <v>2</v>
      </c>
      <c r="BI893" s="67">
        <f t="shared" si="352"/>
        <v>9</v>
      </c>
      <c r="BJ893" s="110">
        <f t="shared" si="353"/>
        <v>4</v>
      </c>
      <c r="BK893" s="110">
        <f>+VLOOKUP('2. Logging Brejo Seco'!AP893,Leyenda!$B$47:$E$51,4,FALSE)</f>
        <v>1</v>
      </c>
      <c r="BL893" s="110">
        <f>+VLOOKUP('2. Logging Brejo Seco'!AQ893,Leyenda!$B$55:$E$59,4,FALSE)</f>
        <v>1</v>
      </c>
      <c r="BM893" s="110">
        <f>+VLOOKUP('2. Logging Brejo Seco'!AR893,Leyenda!$B$63:$E$67,3,FALSE)</f>
        <v>2</v>
      </c>
      <c r="BN893" s="110">
        <f>+VLOOKUP('2. Logging Brejo Seco'!AO893,Leyenda!$B$39:$E$43,4,FALSE)</f>
        <v>0</v>
      </c>
      <c r="BO893" s="110">
        <f>+VLOOKUP('2. Logging Brejo Seco'!AN893,Leyenda!$B$30:$E$34,4,FALSE)</f>
        <v>1</v>
      </c>
      <c r="BP893" s="110">
        <f>VLOOKUP(AS893,Leyenda!$B$71:$E$75,4,FALSE)</f>
        <v>10</v>
      </c>
      <c r="BQ893" s="110">
        <f t="shared" si="354"/>
        <v>30</v>
      </c>
      <c r="BR893" s="36">
        <f t="shared" si="355"/>
        <v>33</v>
      </c>
      <c r="BS893" s="240">
        <f t="shared" si="330"/>
        <v>0.25454545454545552</v>
      </c>
      <c r="BT893" s="6"/>
    </row>
    <row r="894" spans="1:72" x14ac:dyDescent="0.25">
      <c r="A894" s="18" t="s">
        <v>6</v>
      </c>
      <c r="B894" s="18">
        <v>2024</v>
      </c>
      <c r="C894" s="18" t="s">
        <v>138</v>
      </c>
      <c r="D894" s="18" t="s">
        <v>661</v>
      </c>
      <c r="E894" s="18">
        <v>20</v>
      </c>
      <c r="F894" s="191">
        <v>20</v>
      </c>
      <c r="G894" s="18" t="s">
        <v>156</v>
      </c>
      <c r="H894" s="3">
        <v>30</v>
      </c>
      <c r="I894" s="3" t="s">
        <v>759</v>
      </c>
      <c r="J894" s="3"/>
      <c r="K894" s="18">
        <f t="shared" si="358"/>
        <v>12.3</v>
      </c>
      <c r="L894" s="18">
        <v>13</v>
      </c>
      <c r="M894" s="4">
        <f t="shared" si="343"/>
        <v>0.69999999999999929</v>
      </c>
      <c r="N894" s="113">
        <f t="shared" si="345"/>
        <v>0.50000000000000044</v>
      </c>
      <c r="O894" s="5">
        <f t="shared" si="356"/>
        <v>0.49999999999999956</v>
      </c>
      <c r="P894" s="4">
        <v>0.35</v>
      </c>
      <c r="Q894" s="18"/>
      <c r="R894" s="18"/>
      <c r="S894" s="18"/>
      <c r="T894" s="18">
        <v>0.35</v>
      </c>
      <c r="U894" s="18">
        <v>0</v>
      </c>
      <c r="V894" s="4">
        <f t="shared" si="329"/>
        <v>0</v>
      </c>
      <c r="W894" s="18"/>
      <c r="X894" s="18"/>
      <c r="Y894" s="18">
        <v>10</v>
      </c>
      <c r="Z894" s="31">
        <f t="shared" si="341"/>
        <v>69.999999999999929</v>
      </c>
      <c r="AA894" s="6"/>
      <c r="AB894" s="6"/>
      <c r="AC894" s="184"/>
      <c r="AD894" s="6"/>
      <c r="AE894" s="184"/>
      <c r="AF894" s="184"/>
      <c r="AG894" s="195" t="s">
        <v>29</v>
      </c>
      <c r="AH894" s="195" t="s">
        <v>29</v>
      </c>
      <c r="AI894" s="18" t="str">
        <f>+VLOOKUP(AH894,Leyenda!$O$4:$U$10,6,FALSE)</f>
        <v>0,25-0,35</v>
      </c>
      <c r="AJ894" s="18" t="str">
        <f>+VLOOKUP(AG894,Leyenda!$O$4:$U$10,7,FALSE)</f>
        <v>No Blasting need</v>
      </c>
      <c r="AK894" s="18">
        <f>+VLOOKUP(AJ894,Leyenda!$U$4:$V$10,2,FALSE)</f>
        <v>2</v>
      </c>
      <c r="AL894" s="5"/>
      <c r="AM894" s="18" t="s">
        <v>29</v>
      </c>
      <c r="AN894" s="18" t="s">
        <v>66</v>
      </c>
      <c r="AO894" s="18" t="s">
        <v>79</v>
      </c>
      <c r="AP894" s="18" t="s">
        <v>96</v>
      </c>
      <c r="AQ894" s="18" t="s">
        <v>109</v>
      </c>
      <c r="AR894" s="18" t="s">
        <v>120</v>
      </c>
      <c r="AS894" s="18" t="s">
        <v>267</v>
      </c>
      <c r="AT894" s="18"/>
      <c r="AU894" s="6"/>
      <c r="AV894" s="36">
        <f>+VLOOKUP(AN894,Leyenda!$B$30:$E$34,3,FALSE)</f>
        <v>1</v>
      </c>
      <c r="AW894" s="36">
        <f>+VLOOKUP('2. Logging Brejo Seco'!AO894,Meteorizacion,3,FALSE)</f>
        <v>1</v>
      </c>
      <c r="AX894" s="36">
        <f>+VLOOKUP('2. Logging Brejo Seco'!AP894,Apertura,3,FALSE)</f>
        <v>1</v>
      </c>
      <c r="AY894" s="36">
        <f>+VLOOKUP('2. Logging Brejo Seco'!AQ894,Leyenda!$B$55:$D$59,3,FALSE)</f>
        <v>1</v>
      </c>
      <c r="AZ894" s="36">
        <f>+VLOOKUP('2. Logging Brejo Seco'!AR894,Relleno,3,FALSE)</f>
        <v>2</v>
      </c>
      <c r="BA894" s="36">
        <f t="shared" si="347"/>
        <v>6</v>
      </c>
      <c r="BB894" s="50">
        <f t="shared" si="348"/>
        <v>0</v>
      </c>
      <c r="BC894" s="49">
        <f>VLOOKUP(AH894,Leyenda!$B$4:$D$10,3,FALSE)</f>
        <v>2</v>
      </c>
      <c r="BD894" s="50">
        <f t="shared" si="349"/>
        <v>6</v>
      </c>
      <c r="BE894" s="50">
        <f t="shared" si="350"/>
        <v>6</v>
      </c>
      <c r="BF894" s="50">
        <f>VLOOKUP(AS894,Leyenda!$B$70:$D$75,3,FALSE)</f>
        <v>15</v>
      </c>
      <c r="BG894" s="110">
        <f t="shared" si="351"/>
        <v>9</v>
      </c>
      <c r="BH894" s="110">
        <f>VLOOKUP(AG894,Leyenda!$B$4:$E$10,4,FALSE)</f>
        <v>2</v>
      </c>
      <c r="BI894" s="67">
        <f t="shared" si="352"/>
        <v>6</v>
      </c>
      <c r="BJ894" s="110">
        <f t="shared" si="353"/>
        <v>0</v>
      </c>
      <c r="BK894" s="110">
        <f>+VLOOKUP('2. Logging Brejo Seco'!AP894,Leyenda!$B$47:$E$51,4,FALSE)</f>
        <v>1</v>
      </c>
      <c r="BL894" s="110">
        <f>+VLOOKUP('2. Logging Brejo Seco'!AQ894,Leyenda!$B$55:$E$59,4,FALSE)</f>
        <v>1</v>
      </c>
      <c r="BM894" s="110">
        <f>+VLOOKUP('2. Logging Brejo Seco'!AR894,Leyenda!$B$63:$E$67,3,FALSE)</f>
        <v>2</v>
      </c>
      <c r="BN894" s="110">
        <f>+VLOOKUP('2. Logging Brejo Seco'!AO894,Leyenda!$B$39:$E$43,4,FALSE)</f>
        <v>1</v>
      </c>
      <c r="BO894" s="110">
        <f>+VLOOKUP('2. Logging Brejo Seco'!AN894,Leyenda!$B$30:$E$34,4,FALSE)</f>
        <v>1</v>
      </c>
      <c r="BP894" s="110">
        <f>VLOOKUP(AS894,Leyenda!$B$71:$E$75,4,FALSE)</f>
        <v>10</v>
      </c>
      <c r="BQ894" s="110">
        <f t="shared" si="354"/>
        <v>24</v>
      </c>
      <c r="BR894" s="36">
        <f t="shared" si="355"/>
        <v>29</v>
      </c>
      <c r="BS894" s="240">
        <f t="shared" si="330"/>
        <v>0.49999999999999956</v>
      </c>
      <c r="BT894" s="6"/>
    </row>
    <row r="895" spans="1:72" x14ac:dyDescent="0.25">
      <c r="A895" s="18" t="s">
        <v>6</v>
      </c>
      <c r="B895" s="18">
        <v>2024</v>
      </c>
      <c r="C895" s="18" t="s">
        <v>138</v>
      </c>
      <c r="D895" s="18" t="s">
        <v>661</v>
      </c>
      <c r="E895" s="18">
        <v>20</v>
      </c>
      <c r="F895" s="191">
        <v>20</v>
      </c>
      <c r="G895" s="18" t="s">
        <v>156</v>
      </c>
      <c r="H895" s="3">
        <v>50</v>
      </c>
      <c r="I895" s="3" t="s">
        <v>756</v>
      </c>
      <c r="J895" s="3"/>
      <c r="K895" s="18">
        <f t="shared" si="358"/>
        <v>13</v>
      </c>
      <c r="L895" s="18">
        <v>14.3</v>
      </c>
      <c r="M895" s="4">
        <f t="shared" si="343"/>
        <v>1.3000000000000007</v>
      </c>
      <c r="N895" s="113">
        <f t="shared" si="345"/>
        <v>0.59999999999999964</v>
      </c>
      <c r="O895" s="5">
        <f t="shared" si="356"/>
        <v>0.40000000000000036</v>
      </c>
      <c r="P895" s="4">
        <v>0.78</v>
      </c>
      <c r="Q895" s="18"/>
      <c r="R895" s="18"/>
      <c r="S895" s="18"/>
      <c r="T895" s="18">
        <v>0.78</v>
      </c>
      <c r="U895" s="18">
        <v>0.28000000000000003</v>
      </c>
      <c r="V895" s="4">
        <f t="shared" si="329"/>
        <v>21.538461538461529</v>
      </c>
      <c r="W895" s="18"/>
      <c r="X895" s="18"/>
      <c r="Y895" s="18">
        <v>10</v>
      </c>
      <c r="Z895" s="31">
        <f t="shared" si="341"/>
        <v>130.00000000000006</v>
      </c>
      <c r="AA895" s="6"/>
      <c r="AB895" s="6"/>
      <c r="AC895" s="184"/>
      <c r="AD895" s="6"/>
      <c r="AE895" s="184"/>
      <c r="AF895" s="184"/>
      <c r="AG895" s="195" t="s">
        <v>29</v>
      </c>
      <c r="AH895" s="195" t="s">
        <v>29</v>
      </c>
      <c r="AI895" s="18" t="str">
        <f>+VLOOKUP(AH895,Leyenda!$O$4:$U$10,6,FALSE)</f>
        <v>0,25-0,35</v>
      </c>
      <c r="AJ895" s="18" t="str">
        <f>+VLOOKUP(AG895,Leyenda!$O$4:$U$10,7,FALSE)</f>
        <v>No Blasting need</v>
      </c>
      <c r="AK895" s="18">
        <f>+VLOOKUP(AJ895,Leyenda!$U$4:$V$10,2,FALSE)</f>
        <v>2</v>
      </c>
      <c r="AL895" s="5"/>
      <c r="AM895" s="18" t="s">
        <v>29</v>
      </c>
      <c r="AN895" s="18" t="s">
        <v>66</v>
      </c>
      <c r="AO895" s="18" t="s">
        <v>79</v>
      </c>
      <c r="AP895" s="18" t="s">
        <v>96</v>
      </c>
      <c r="AQ895" s="18" t="s">
        <v>109</v>
      </c>
      <c r="AR895" s="18" t="s">
        <v>120</v>
      </c>
      <c r="AS895" s="18" t="s">
        <v>267</v>
      </c>
      <c r="AT895" s="18"/>
      <c r="AU895" s="6"/>
      <c r="AV895" s="36">
        <f>+VLOOKUP(AN895,Leyenda!$B$30:$E$34,3,FALSE)</f>
        <v>1</v>
      </c>
      <c r="AW895" s="36">
        <f>+VLOOKUP('2. Logging Brejo Seco'!AO895,Meteorizacion,3,FALSE)</f>
        <v>1</v>
      </c>
      <c r="AX895" s="36">
        <f>+VLOOKUP('2. Logging Brejo Seco'!AP895,Apertura,3,FALSE)</f>
        <v>1</v>
      </c>
      <c r="AY895" s="36">
        <f>+VLOOKUP('2. Logging Brejo Seco'!AQ895,Leyenda!$B$55:$D$59,3,FALSE)</f>
        <v>1</v>
      </c>
      <c r="AZ895" s="36">
        <f>+VLOOKUP('2. Logging Brejo Seco'!AR895,Relleno,3,FALSE)</f>
        <v>2</v>
      </c>
      <c r="BA895" s="36">
        <f t="shared" si="347"/>
        <v>6</v>
      </c>
      <c r="BB895" s="50">
        <f t="shared" si="348"/>
        <v>5</v>
      </c>
      <c r="BC895" s="49">
        <f>VLOOKUP(AH895,Leyenda!$B$4:$D$10,3,FALSE)</f>
        <v>2</v>
      </c>
      <c r="BD895" s="50">
        <f t="shared" si="349"/>
        <v>8</v>
      </c>
      <c r="BE895" s="50">
        <f t="shared" si="350"/>
        <v>6</v>
      </c>
      <c r="BF895" s="50">
        <f>VLOOKUP(AS895,Leyenda!$B$70:$D$75,3,FALSE)</f>
        <v>15</v>
      </c>
      <c r="BG895" s="110">
        <f t="shared" si="351"/>
        <v>19.769230769230766</v>
      </c>
      <c r="BH895" s="110">
        <f>VLOOKUP(AG895,Leyenda!$B$4:$E$10,4,FALSE)</f>
        <v>2</v>
      </c>
      <c r="BI895" s="67">
        <f t="shared" si="352"/>
        <v>10</v>
      </c>
      <c r="BJ895" s="110">
        <f t="shared" si="353"/>
        <v>5</v>
      </c>
      <c r="BK895" s="110">
        <f>+VLOOKUP('2. Logging Brejo Seco'!AP895,Leyenda!$B$47:$E$51,4,FALSE)</f>
        <v>1</v>
      </c>
      <c r="BL895" s="110">
        <f>+VLOOKUP('2. Logging Brejo Seco'!AQ895,Leyenda!$B$55:$E$59,4,FALSE)</f>
        <v>1</v>
      </c>
      <c r="BM895" s="110">
        <f>+VLOOKUP('2. Logging Brejo Seco'!AR895,Leyenda!$B$63:$E$67,3,FALSE)</f>
        <v>2</v>
      </c>
      <c r="BN895" s="110">
        <f>+VLOOKUP('2. Logging Brejo Seco'!AO895,Leyenda!$B$39:$E$43,4,FALSE)</f>
        <v>1</v>
      </c>
      <c r="BO895" s="110">
        <f>+VLOOKUP('2. Logging Brejo Seco'!AN895,Leyenda!$B$30:$E$34,4,FALSE)</f>
        <v>1</v>
      </c>
      <c r="BP895" s="110">
        <f>VLOOKUP(AS895,Leyenda!$B$71:$E$75,4,FALSE)</f>
        <v>10</v>
      </c>
      <c r="BQ895" s="110">
        <f t="shared" si="354"/>
        <v>33</v>
      </c>
      <c r="BR895" s="36">
        <f t="shared" si="355"/>
        <v>36</v>
      </c>
      <c r="BS895" s="240">
        <f t="shared" si="330"/>
        <v>0.40000000000000036</v>
      </c>
      <c r="BT895" s="6"/>
    </row>
    <row r="896" spans="1:72" x14ac:dyDescent="0.25">
      <c r="A896" s="18" t="s">
        <v>6</v>
      </c>
      <c r="B896" s="18">
        <v>2024</v>
      </c>
      <c r="C896" s="18" t="s">
        <v>138</v>
      </c>
      <c r="D896" s="18" t="s">
        <v>661</v>
      </c>
      <c r="E896" s="18">
        <v>20</v>
      </c>
      <c r="F896" s="191">
        <v>20</v>
      </c>
      <c r="G896" s="18" t="s">
        <v>156</v>
      </c>
      <c r="H896" s="3">
        <v>50</v>
      </c>
      <c r="I896" s="3" t="s">
        <v>756</v>
      </c>
      <c r="J896" s="3"/>
      <c r="K896" s="18">
        <f t="shared" si="358"/>
        <v>14.3</v>
      </c>
      <c r="L896" s="18">
        <v>16.399999999999999</v>
      </c>
      <c r="M896" s="4">
        <f t="shared" si="343"/>
        <v>2.0999999999999979</v>
      </c>
      <c r="N896" s="113">
        <f t="shared" si="345"/>
        <v>0.61904761904761973</v>
      </c>
      <c r="O896" s="5">
        <f t="shared" si="356"/>
        <v>0.38095238095238027</v>
      </c>
      <c r="P896" s="4">
        <v>1.3</v>
      </c>
      <c r="Q896" s="18"/>
      <c r="R896" s="18"/>
      <c r="S896" s="18"/>
      <c r="T896" s="18">
        <v>1.3</v>
      </c>
      <c r="U896" s="18">
        <v>0.67</v>
      </c>
      <c r="V896" s="4">
        <f t="shared" si="329"/>
        <v>31.904761904761941</v>
      </c>
      <c r="W896" s="18"/>
      <c r="X896" s="18"/>
      <c r="Y896" s="18">
        <v>11</v>
      </c>
      <c r="Z896" s="31">
        <f t="shared" si="341"/>
        <v>190.90909090909071</v>
      </c>
      <c r="AA896" s="6"/>
      <c r="AB896" s="6"/>
      <c r="AC896" s="184"/>
      <c r="AD896" s="6"/>
      <c r="AE896" s="184"/>
      <c r="AF896" s="184"/>
      <c r="AG896" s="195" t="s">
        <v>29</v>
      </c>
      <c r="AH896" s="195" t="s">
        <v>29</v>
      </c>
      <c r="AI896" s="18" t="str">
        <f>+VLOOKUP(AH896,Leyenda!$O$4:$U$10,6,FALSE)</f>
        <v>0,25-0,35</v>
      </c>
      <c r="AJ896" s="18" t="str">
        <f>+VLOOKUP(AG896,Leyenda!$O$4:$U$10,7,FALSE)</f>
        <v>No Blasting need</v>
      </c>
      <c r="AK896" s="18">
        <f>+VLOOKUP(AJ896,Leyenda!$U$4:$V$10,2,FALSE)</f>
        <v>2</v>
      </c>
      <c r="AL896" s="5"/>
      <c r="AM896" s="18" t="s">
        <v>29</v>
      </c>
      <c r="AN896" s="18" t="s">
        <v>66</v>
      </c>
      <c r="AO896" s="18" t="s">
        <v>79</v>
      </c>
      <c r="AP896" s="18" t="s">
        <v>96</v>
      </c>
      <c r="AQ896" s="18" t="s">
        <v>109</v>
      </c>
      <c r="AR896" s="18" t="s">
        <v>120</v>
      </c>
      <c r="AS896" s="18" t="s">
        <v>267</v>
      </c>
      <c r="AT896" s="18"/>
      <c r="AU896" s="6"/>
      <c r="AV896" s="36">
        <f>+VLOOKUP(AN896,Leyenda!$B$30:$E$34,3,FALSE)</f>
        <v>1</v>
      </c>
      <c r="AW896" s="36">
        <f>+VLOOKUP('2. Logging Brejo Seco'!AO896,Meteorizacion,3,FALSE)</f>
        <v>1</v>
      </c>
      <c r="AX896" s="36">
        <f>+VLOOKUP('2. Logging Brejo Seco'!AP896,Apertura,3,FALSE)</f>
        <v>1</v>
      </c>
      <c r="AY896" s="36">
        <f>+VLOOKUP('2. Logging Brejo Seco'!AQ896,Leyenda!$B$55:$D$59,3,FALSE)</f>
        <v>1</v>
      </c>
      <c r="AZ896" s="36">
        <f>+VLOOKUP('2. Logging Brejo Seco'!AR896,Relleno,3,FALSE)</f>
        <v>2</v>
      </c>
      <c r="BA896" s="36">
        <f t="shared" si="347"/>
        <v>6</v>
      </c>
      <c r="BB896" s="50">
        <f t="shared" si="348"/>
        <v>7</v>
      </c>
      <c r="BC896" s="49">
        <f>VLOOKUP(AH896,Leyenda!$B$4:$D$10,3,FALSE)</f>
        <v>2</v>
      </c>
      <c r="BD896" s="50">
        <f t="shared" si="349"/>
        <v>9</v>
      </c>
      <c r="BE896" s="50">
        <f t="shared" si="350"/>
        <v>6</v>
      </c>
      <c r="BF896" s="50">
        <f>VLOOKUP(AS896,Leyenda!$B$70:$D$75,3,FALSE)</f>
        <v>15</v>
      </c>
      <c r="BG896" s="110">
        <f t="shared" si="351"/>
        <v>24.95238095238097</v>
      </c>
      <c r="BH896" s="110">
        <f>VLOOKUP(AG896,Leyenda!$B$4:$E$10,4,FALSE)</f>
        <v>2</v>
      </c>
      <c r="BI896" s="67">
        <f t="shared" si="352"/>
        <v>12</v>
      </c>
      <c r="BJ896" s="110">
        <f t="shared" si="353"/>
        <v>7</v>
      </c>
      <c r="BK896" s="110">
        <f>+VLOOKUP('2. Logging Brejo Seco'!AP896,Leyenda!$B$47:$E$51,4,FALSE)</f>
        <v>1</v>
      </c>
      <c r="BL896" s="110">
        <f>+VLOOKUP('2. Logging Brejo Seco'!AQ896,Leyenda!$B$55:$E$59,4,FALSE)</f>
        <v>1</v>
      </c>
      <c r="BM896" s="110">
        <f>+VLOOKUP('2. Logging Brejo Seco'!AR896,Leyenda!$B$63:$E$67,3,FALSE)</f>
        <v>2</v>
      </c>
      <c r="BN896" s="110">
        <f>+VLOOKUP('2. Logging Brejo Seco'!AO896,Leyenda!$B$39:$E$43,4,FALSE)</f>
        <v>1</v>
      </c>
      <c r="BO896" s="110">
        <f>+VLOOKUP('2. Logging Brejo Seco'!AN896,Leyenda!$B$30:$E$34,4,FALSE)</f>
        <v>1</v>
      </c>
      <c r="BP896" s="110">
        <f>VLOOKUP(AS896,Leyenda!$B$71:$E$75,4,FALSE)</f>
        <v>10</v>
      </c>
      <c r="BQ896" s="110">
        <f t="shared" si="354"/>
        <v>37</v>
      </c>
      <c r="BR896" s="36">
        <f t="shared" si="355"/>
        <v>39</v>
      </c>
      <c r="BS896" s="240">
        <f t="shared" si="330"/>
        <v>0.38095238095238027</v>
      </c>
      <c r="BT896" s="6"/>
    </row>
    <row r="897" spans="1:72" x14ac:dyDescent="0.25">
      <c r="A897" s="18" t="s">
        <v>6</v>
      </c>
      <c r="B897" s="18">
        <v>2024</v>
      </c>
      <c r="C897" s="18" t="s">
        <v>138</v>
      </c>
      <c r="D897" s="18" t="s">
        <v>661</v>
      </c>
      <c r="E897" s="18">
        <v>20</v>
      </c>
      <c r="F897" s="191">
        <v>20</v>
      </c>
      <c r="G897" s="18" t="s">
        <v>156</v>
      </c>
      <c r="H897" s="3">
        <v>70</v>
      </c>
      <c r="I897" s="3" t="s">
        <v>763</v>
      </c>
      <c r="J897" s="3"/>
      <c r="K897" s="18">
        <f t="shared" si="358"/>
        <v>16.399999999999999</v>
      </c>
      <c r="L897" s="18">
        <v>18.399999999999999</v>
      </c>
      <c r="M897" s="4">
        <f t="shared" si="343"/>
        <v>2</v>
      </c>
      <c r="N897" s="113">
        <f t="shared" si="345"/>
        <v>0.69499999999999995</v>
      </c>
      <c r="O897" s="5">
        <f t="shared" si="356"/>
        <v>0.30500000000000005</v>
      </c>
      <c r="P897" s="4">
        <v>1.39</v>
      </c>
      <c r="Q897" s="18"/>
      <c r="R897" s="18"/>
      <c r="S897" s="18"/>
      <c r="T897" s="18">
        <f>0.96+0.43</f>
        <v>1.39</v>
      </c>
      <c r="U897" s="18">
        <v>0.21</v>
      </c>
      <c r="V897" s="4">
        <f t="shared" si="329"/>
        <v>10.5</v>
      </c>
      <c r="W897" s="18"/>
      <c r="X897" s="18"/>
      <c r="Y897" s="18">
        <f>12+3</f>
        <v>15</v>
      </c>
      <c r="Z897" s="31">
        <f t="shared" si="341"/>
        <v>133.33333333333334</v>
      </c>
      <c r="AA897" s="6"/>
      <c r="AB897" s="6"/>
      <c r="AC897" s="184"/>
      <c r="AD897" s="6"/>
      <c r="AE897" s="184"/>
      <c r="AF897" s="184"/>
      <c r="AG897" s="195" t="s">
        <v>29</v>
      </c>
      <c r="AH897" s="195" t="s">
        <v>29</v>
      </c>
      <c r="AI897" s="18" t="str">
        <f>+VLOOKUP(AH897,Leyenda!$O$4:$U$10,6,FALSE)</f>
        <v>0,25-0,35</v>
      </c>
      <c r="AJ897" s="18" t="str">
        <f>+VLOOKUP(AG897,Leyenda!$O$4:$U$10,7,FALSE)</f>
        <v>No Blasting need</v>
      </c>
      <c r="AK897" s="18">
        <f>+VLOOKUP(AJ897,Leyenda!$U$4:$V$10,2,FALSE)</f>
        <v>2</v>
      </c>
      <c r="AL897" s="5"/>
      <c r="AM897" s="18" t="s">
        <v>29</v>
      </c>
      <c r="AN897" s="18" t="s">
        <v>66</v>
      </c>
      <c r="AO897" s="18" t="s">
        <v>79</v>
      </c>
      <c r="AP897" s="18" t="s">
        <v>96</v>
      </c>
      <c r="AQ897" s="18" t="s">
        <v>109</v>
      </c>
      <c r="AR897" s="18" t="s">
        <v>120</v>
      </c>
      <c r="AS897" s="18" t="s">
        <v>267</v>
      </c>
      <c r="AT897" s="18"/>
      <c r="AU897" s="6"/>
      <c r="AV897" s="36">
        <f>+VLOOKUP(AN897,Leyenda!$B$30:$E$34,3,FALSE)</f>
        <v>1</v>
      </c>
      <c r="AW897" s="36">
        <f>+VLOOKUP('2. Logging Brejo Seco'!AO897,Meteorizacion,3,FALSE)</f>
        <v>1</v>
      </c>
      <c r="AX897" s="36">
        <f>+VLOOKUP('2. Logging Brejo Seco'!AP897,Apertura,3,FALSE)</f>
        <v>1</v>
      </c>
      <c r="AY897" s="36">
        <f>+VLOOKUP('2. Logging Brejo Seco'!AQ897,Leyenda!$B$55:$D$59,3,FALSE)</f>
        <v>1</v>
      </c>
      <c r="AZ897" s="36">
        <f>+VLOOKUP('2. Logging Brejo Seco'!AR897,Relleno,3,FALSE)</f>
        <v>2</v>
      </c>
      <c r="BA897" s="36">
        <f t="shared" si="347"/>
        <v>6</v>
      </c>
      <c r="BB897" s="50">
        <f t="shared" si="348"/>
        <v>2</v>
      </c>
      <c r="BC897" s="49">
        <f>VLOOKUP(AH897,Leyenda!$B$4:$D$10,3,FALSE)</f>
        <v>2</v>
      </c>
      <c r="BD897" s="50">
        <f t="shared" si="349"/>
        <v>8</v>
      </c>
      <c r="BE897" s="50">
        <f t="shared" si="350"/>
        <v>6</v>
      </c>
      <c r="BF897" s="50">
        <f>VLOOKUP(AS897,Leyenda!$B$70:$D$75,3,FALSE)</f>
        <v>15</v>
      </c>
      <c r="BG897" s="110">
        <f t="shared" si="351"/>
        <v>14.25</v>
      </c>
      <c r="BH897" s="110">
        <f>VLOOKUP(AG897,Leyenda!$B$4:$E$10,4,FALSE)</f>
        <v>2</v>
      </c>
      <c r="BI897" s="67">
        <f t="shared" si="352"/>
        <v>10</v>
      </c>
      <c r="BJ897" s="110">
        <f t="shared" si="353"/>
        <v>2</v>
      </c>
      <c r="BK897" s="110">
        <f>+VLOOKUP('2. Logging Brejo Seco'!AP897,Leyenda!$B$47:$E$51,4,FALSE)</f>
        <v>1</v>
      </c>
      <c r="BL897" s="110">
        <f>+VLOOKUP('2. Logging Brejo Seco'!AQ897,Leyenda!$B$55:$E$59,4,FALSE)</f>
        <v>1</v>
      </c>
      <c r="BM897" s="110">
        <f>+VLOOKUP('2. Logging Brejo Seco'!AR897,Leyenda!$B$63:$E$67,3,FALSE)</f>
        <v>2</v>
      </c>
      <c r="BN897" s="110">
        <f>+VLOOKUP('2. Logging Brejo Seco'!AO897,Leyenda!$B$39:$E$43,4,FALSE)</f>
        <v>1</v>
      </c>
      <c r="BO897" s="110">
        <f>+VLOOKUP('2. Logging Brejo Seco'!AN897,Leyenda!$B$30:$E$34,4,FALSE)</f>
        <v>1</v>
      </c>
      <c r="BP897" s="110">
        <f>VLOOKUP(AS897,Leyenda!$B$71:$E$75,4,FALSE)</f>
        <v>10</v>
      </c>
      <c r="BQ897" s="110">
        <f t="shared" si="354"/>
        <v>30</v>
      </c>
      <c r="BR897" s="36">
        <f t="shared" si="355"/>
        <v>33</v>
      </c>
      <c r="BS897" s="240">
        <f t="shared" si="330"/>
        <v>0.30500000000000005</v>
      </c>
      <c r="BT897" s="6"/>
    </row>
    <row r="898" spans="1:72" x14ac:dyDescent="0.25">
      <c r="A898" s="18" t="s">
        <v>6</v>
      </c>
      <c r="B898" s="18">
        <v>2024</v>
      </c>
      <c r="C898" s="18" t="s">
        <v>138</v>
      </c>
      <c r="D898" s="18" t="s">
        <v>661</v>
      </c>
      <c r="E898" s="18">
        <v>20</v>
      </c>
      <c r="F898" s="191">
        <v>20</v>
      </c>
      <c r="G898" s="18" t="s">
        <v>156</v>
      </c>
      <c r="H898" s="3">
        <v>70</v>
      </c>
      <c r="I898" s="3" t="s">
        <v>763</v>
      </c>
      <c r="J898" s="3"/>
      <c r="K898" s="18">
        <f t="shared" si="358"/>
        <v>18.399999999999999</v>
      </c>
      <c r="L898" s="18">
        <v>20.3</v>
      </c>
      <c r="M898" s="4">
        <f t="shared" si="343"/>
        <v>1.9000000000000021</v>
      </c>
      <c r="N898" s="113">
        <f t="shared" si="345"/>
        <v>0.76315789473684126</v>
      </c>
      <c r="O898" s="5">
        <f t="shared" si="356"/>
        <v>0.23684210526315874</v>
      </c>
      <c r="P898" s="4">
        <v>1.45</v>
      </c>
      <c r="Q898" s="18"/>
      <c r="R898" s="18"/>
      <c r="S898" s="18"/>
      <c r="T898" s="18">
        <v>1.45</v>
      </c>
      <c r="U898" s="18">
        <v>0</v>
      </c>
      <c r="V898" s="4">
        <f t="shared" ref="V898:V961" si="359">+U898/M898*100</f>
        <v>0</v>
      </c>
      <c r="W898" s="18"/>
      <c r="X898" s="18"/>
      <c r="Y898" s="18">
        <v>24</v>
      </c>
      <c r="Z898" s="31">
        <f t="shared" si="341"/>
        <v>79.166666666666757</v>
      </c>
      <c r="AA898" s="6"/>
      <c r="AB898" s="6"/>
      <c r="AC898" s="184"/>
      <c r="AD898" s="6"/>
      <c r="AE898" s="184"/>
      <c r="AF898" s="184"/>
      <c r="AG898" s="195" t="s">
        <v>29</v>
      </c>
      <c r="AH898" s="195" t="s">
        <v>29</v>
      </c>
      <c r="AI898" s="18" t="str">
        <f>+VLOOKUP(AH898,Leyenda!$O$4:$U$10,6,FALSE)</f>
        <v>0,25-0,35</v>
      </c>
      <c r="AJ898" s="18" t="str">
        <f>+VLOOKUP(AG898,Leyenda!$O$4:$U$10,7,FALSE)</f>
        <v>No Blasting need</v>
      </c>
      <c r="AK898" s="18">
        <f>+VLOOKUP(AJ898,Leyenda!$U$4:$V$10,2,FALSE)</f>
        <v>2</v>
      </c>
      <c r="AL898" s="5"/>
      <c r="AM898" s="18" t="s">
        <v>29</v>
      </c>
      <c r="AN898" s="18" t="s">
        <v>66</v>
      </c>
      <c r="AO898" s="18" t="s">
        <v>81</v>
      </c>
      <c r="AP898" s="18" t="s">
        <v>96</v>
      </c>
      <c r="AQ898" s="18" t="s">
        <v>109</v>
      </c>
      <c r="AR898" s="18" t="s">
        <v>120</v>
      </c>
      <c r="AS898" s="18" t="s">
        <v>267</v>
      </c>
      <c r="AT898" s="18"/>
      <c r="AU898" s="6"/>
      <c r="AV898" s="36">
        <f>+VLOOKUP(AN898,Leyenda!$B$30:$E$34,3,FALSE)</f>
        <v>1</v>
      </c>
      <c r="AW898" s="36">
        <f>+VLOOKUP('2. Logging Brejo Seco'!AO898,Meteorizacion,3,FALSE)</f>
        <v>0</v>
      </c>
      <c r="AX898" s="36">
        <f>+VLOOKUP('2. Logging Brejo Seco'!AP898,Apertura,3,FALSE)</f>
        <v>1</v>
      </c>
      <c r="AY898" s="36">
        <f>+VLOOKUP('2. Logging Brejo Seco'!AQ898,Leyenda!$B$55:$D$59,3,FALSE)</f>
        <v>1</v>
      </c>
      <c r="AZ898" s="36">
        <f>+VLOOKUP('2. Logging Brejo Seco'!AR898,Relleno,3,FALSE)</f>
        <v>2</v>
      </c>
      <c r="BA898" s="36">
        <f t="shared" si="347"/>
        <v>5</v>
      </c>
      <c r="BB898" s="50">
        <f t="shared" si="348"/>
        <v>0</v>
      </c>
      <c r="BC898" s="49">
        <f>VLOOKUP(AH898,Leyenda!$B$4:$D$10,3,FALSE)</f>
        <v>2</v>
      </c>
      <c r="BD898" s="50">
        <f t="shared" si="349"/>
        <v>7</v>
      </c>
      <c r="BE898" s="50">
        <f t="shared" si="350"/>
        <v>5</v>
      </c>
      <c r="BF898" s="50">
        <f>VLOOKUP(AS898,Leyenda!$B$70:$D$75,3,FALSE)</f>
        <v>15</v>
      </c>
      <c r="BG898" s="110">
        <f t="shared" si="351"/>
        <v>7.5</v>
      </c>
      <c r="BH898" s="110">
        <f>VLOOKUP(AG898,Leyenda!$B$4:$E$10,4,FALSE)</f>
        <v>2</v>
      </c>
      <c r="BI898" s="67">
        <f t="shared" si="352"/>
        <v>7</v>
      </c>
      <c r="BJ898" s="110">
        <f t="shared" si="353"/>
        <v>0</v>
      </c>
      <c r="BK898" s="110">
        <f>+VLOOKUP('2. Logging Brejo Seco'!AP898,Leyenda!$B$47:$E$51,4,FALSE)</f>
        <v>1</v>
      </c>
      <c r="BL898" s="110">
        <f>+VLOOKUP('2. Logging Brejo Seco'!AQ898,Leyenda!$B$55:$E$59,4,FALSE)</f>
        <v>1</v>
      </c>
      <c r="BM898" s="110">
        <f>+VLOOKUP('2. Logging Brejo Seco'!AR898,Leyenda!$B$63:$E$67,3,FALSE)</f>
        <v>2</v>
      </c>
      <c r="BN898" s="110">
        <f>+VLOOKUP('2. Logging Brejo Seco'!AO898,Leyenda!$B$39:$E$43,4,FALSE)</f>
        <v>0</v>
      </c>
      <c r="BO898" s="110">
        <f>+VLOOKUP('2. Logging Brejo Seco'!AN898,Leyenda!$B$30:$E$34,4,FALSE)</f>
        <v>1</v>
      </c>
      <c r="BP898" s="110">
        <f>VLOOKUP(AS898,Leyenda!$B$71:$E$75,4,FALSE)</f>
        <v>10</v>
      </c>
      <c r="BQ898" s="110">
        <f t="shared" si="354"/>
        <v>24</v>
      </c>
      <c r="BR898" s="36">
        <f t="shared" si="355"/>
        <v>29</v>
      </c>
      <c r="BS898" s="240">
        <f t="shared" si="330"/>
        <v>0.23684210526315874</v>
      </c>
      <c r="BT898" s="6"/>
    </row>
    <row r="899" spans="1:72" x14ac:dyDescent="0.25">
      <c r="A899" s="18" t="s">
        <v>6</v>
      </c>
      <c r="B899" s="18">
        <v>2024</v>
      </c>
      <c r="C899" s="18" t="s">
        <v>138</v>
      </c>
      <c r="D899" s="18" t="s">
        <v>661</v>
      </c>
      <c r="E899" s="18">
        <v>20</v>
      </c>
      <c r="F899" s="191">
        <v>20</v>
      </c>
      <c r="G899" s="18" t="s">
        <v>156</v>
      </c>
      <c r="H899" s="244">
        <f>+F899</f>
        <v>20</v>
      </c>
      <c r="I899" s="244" t="s">
        <v>760</v>
      </c>
      <c r="J899" s="244"/>
      <c r="K899" s="18">
        <f t="shared" si="358"/>
        <v>20.3</v>
      </c>
      <c r="L899" s="18">
        <v>21</v>
      </c>
      <c r="M899" s="4">
        <f t="shared" si="343"/>
        <v>0.69999999999999929</v>
      </c>
      <c r="N899" s="113">
        <f t="shared" si="345"/>
        <v>0.60000000000000053</v>
      </c>
      <c r="O899" s="5">
        <f t="shared" si="356"/>
        <v>0.39999999999999947</v>
      </c>
      <c r="P899" s="4">
        <v>0.42</v>
      </c>
      <c r="Q899" s="18"/>
      <c r="R899" s="18"/>
      <c r="S899" s="18"/>
      <c r="T899" s="18">
        <v>0.42</v>
      </c>
      <c r="U899" s="18">
        <v>0.11</v>
      </c>
      <c r="V899" s="4">
        <f t="shared" si="359"/>
        <v>15.714285714285731</v>
      </c>
      <c r="W899" s="18"/>
      <c r="X899" s="18"/>
      <c r="Y899" s="18">
        <f>4+4</f>
        <v>8</v>
      </c>
      <c r="Z899" s="31">
        <f t="shared" si="341"/>
        <v>87.499999999999915</v>
      </c>
      <c r="AA899" s="6"/>
      <c r="AB899" s="6"/>
      <c r="AC899" s="184"/>
      <c r="AD899" s="6"/>
      <c r="AE899" s="184"/>
      <c r="AF899" s="184"/>
      <c r="AG899" s="195" t="s">
        <v>29</v>
      </c>
      <c r="AH899" s="195" t="s">
        <v>29</v>
      </c>
      <c r="AI899" s="18" t="str">
        <f>+VLOOKUP(AH899,Leyenda!$O$4:$U$10,6,FALSE)</f>
        <v>0,25-0,35</v>
      </c>
      <c r="AJ899" s="18" t="str">
        <f>+VLOOKUP(AG899,Leyenda!$O$4:$U$10,7,FALSE)</f>
        <v>No Blasting need</v>
      </c>
      <c r="AK899" s="18">
        <f>+VLOOKUP(AJ899,Leyenda!$U$4:$V$10,2,FALSE)</f>
        <v>2</v>
      </c>
      <c r="AL899" s="5"/>
      <c r="AM899" s="18" t="s">
        <v>29</v>
      </c>
      <c r="AN899" s="18" t="s">
        <v>66</v>
      </c>
      <c r="AO899" s="18" t="s">
        <v>79</v>
      </c>
      <c r="AP899" s="18" t="s">
        <v>96</v>
      </c>
      <c r="AQ899" s="18" t="s">
        <v>109</v>
      </c>
      <c r="AR899" s="18" t="s">
        <v>120</v>
      </c>
      <c r="AS899" s="18" t="s">
        <v>267</v>
      </c>
      <c r="AT899" s="18"/>
      <c r="AU899" s="6"/>
      <c r="AV899" s="36">
        <f>+VLOOKUP(AN899,Leyenda!$B$30:$E$34,3,FALSE)</f>
        <v>1</v>
      </c>
      <c r="AW899" s="36">
        <f>+VLOOKUP('2. Logging Brejo Seco'!AO899,Meteorizacion,3,FALSE)</f>
        <v>1</v>
      </c>
      <c r="AX899" s="36">
        <f>+VLOOKUP('2. Logging Brejo Seco'!AP899,Apertura,3,FALSE)</f>
        <v>1</v>
      </c>
      <c r="AY899" s="36">
        <f>+VLOOKUP('2. Logging Brejo Seco'!AQ899,Leyenda!$B$55:$D$59,3,FALSE)</f>
        <v>1</v>
      </c>
      <c r="AZ899" s="36">
        <f>+VLOOKUP('2. Logging Brejo Seco'!AR899,Relleno,3,FALSE)</f>
        <v>2</v>
      </c>
      <c r="BA899" s="36">
        <f t="shared" si="347"/>
        <v>6</v>
      </c>
      <c r="BB899" s="50">
        <f t="shared" si="348"/>
        <v>3</v>
      </c>
      <c r="BC899" s="49">
        <f>VLOOKUP(AH899,Leyenda!$B$4:$D$10,3,FALSE)</f>
        <v>2</v>
      </c>
      <c r="BD899" s="50">
        <f t="shared" si="349"/>
        <v>7</v>
      </c>
      <c r="BE899" s="50">
        <f t="shared" si="350"/>
        <v>6</v>
      </c>
      <c r="BF899" s="50">
        <f>VLOOKUP(AS899,Leyenda!$B$70:$D$75,3,FALSE)</f>
        <v>15</v>
      </c>
      <c r="BG899" s="110">
        <f t="shared" si="351"/>
        <v>16.857142857142865</v>
      </c>
      <c r="BH899" s="110">
        <f>VLOOKUP(AG899,Leyenda!$B$4:$E$10,4,FALSE)</f>
        <v>2</v>
      </c>
      <c r="BI899" s="67">
        <f t="shared" si="352"/>
        <v>7</v>
      </c>
      <c r="BJ899" s="110">
        <f t="shared" si="353"/>
        <v>3</v>
      </c>
      <c r="BK899" s="110">
        <f>+VLOOKUP('2. Logging Brejo Seco'!AP899,Leyenda!$B$47:$E$51,4,FALSE)</f>
        <v>1</v>
      </c>
      <c r="BL899" s="110">
        <f>+VLOOKUP('2. Logging Brejo Seco'!AQ899,Leyenda!$B$55:$E$59,4,FALSE)</f>
        <v>1</v>
      </c>
      <c r="BM899" s="110">
        <f>+VLOOKUP('2. Logging Brejo Seco'!AR899,Leyenda!$B$63:$E$67,3,FALSE)</f>
        <v>2</v>
      </c>
      <c r="BN899" s="110">
        <f>+VLOOKUP('2. Logging Brejo Seco'!AO899,Leyenda!$B$39:$E$43,4,FALSE)</f>
        <v>1</v>
      </c>
      <c r="BO899" s="110">
        <f>+VLOOKUP('2. Logging Brejo Seco'!AN899,Leyenda!$B$30:$E$34,4,FALSE)</f>
        <v>1</v>
      </c>
      <c r="BP899" s="110">
        <f>VLOOKUP(AS899,Leyenda!$B$71:$E$75,4,FALSE)</f>
        <v>10</v>
      </c>
      <c r="BQ899" s="110">
        <f t="shared" si="354"/>
        <v>28</v>
      </c>
      <c r="BR899" s="36">
        <f t="shared" si="355"/>
        <v>33</v>
      </c>
      <c r="BS899" s="240">
        <f t="shared" si="330"/>
        <v>0.39999999999999947</v>
      </c>
      <c r="BT899" s="6"/>
    </row>
    <row r="900" spans="1:72" x14ac:dyDescent="0.25">
      <c r="A900" s="18" t="s">
        <v>6</v>
      </c>
      <c r="B900" s="18">
        <v>2024</v>
      </c>
      <c r="C900" s="18" t="s">
        <v>138</v>
      </c>
      <c r="D900" s="18" t="s">
        <v>661</v>
      </c>
      <c r="E900" s="18">
        <v>20</v>
      </c>
      <c r="F900" s="191">
        <v>20</v>
      </c>
      <c r="G900" s="18" t="s">
        <v>156</v>
      </c>
      <c r="H900" s="244">
        <f t="shared" ref="H900:H911" si="360">+F900</f>
        <v>20</v>
      </c>
      <c r="I900" s="244" t="s">
        <v>760</v>
      </c>
      <c r="J900" s="244"/>
      <c r="K900" s="18">
        <f t="shared" si="358"/>
        <v>21</v>
      </c>
      <c r="L900" s="18">
        <v>22.3</v>
      </c>
      <c r="M900" s="4">
        <f t="shared" si="343"/>
        <v>1.3000000000000007</v>
      </c>
      <c r="N900" s="113">
        <f t="shared" si="345"/>
        <v>0.73076923076923028</v>
      </c>
      <c r="O900" s="5">
        <f t="shared" si="356"/>
        <v>0.26923076923076972</v>
      </c>
      <c r="P900" s="4">
        <v>0.95</v>
      </c>
      <c r="Q900" s="18"/>
      <c r="R900" s="18"/>
      <c r="S900" s="18"/>
      <c r="T900" s="18">
        <f>0.12+0.83</f>
        <v>0.95</v>
      </c>
      <c r="U900" s="18">
        <v>0.15</v>
      </c>
      <c r="V900" s="4">
        <f t="shared" si="359"/>
        <v>11.538461538461533</v>
      </c>
      <c r="W900" s="18"/>
      <c r="X900" s="18"/>
      <c r="Y900" s="18">
        <v>15</v>
      </c>
      <c r="Z900" s="31">
        <f t="shared" si="341"/>
        <v>86.666666666666714</v>
      </c>
      <c r="AA900" s="6"/>
      <c r="AB900" s="6"/>
      <c r="AC900" s="184"/>
      <c r="AD900" s="6"/>
      <c r="AE900" s="184"/>
      <c r="AF900" s="184"/>
      <c r="AG900" s="195" t="s">
        <v>29</v>
      </c>
      <c r="AH900" s="195" t="s">
        <v>29</v>
      </c>
      <c r="AI900" s="18" t="str">
        <f>+VLOOKUP(AH900,Leyenda!$O$4:$U$10,6,FALSE)</f>
        <v>0,25-0,35</v>
      </c>
      <c r="AJ900" s="18" t="str">
        <f>+VLOOKUP(AG900,Leyenda!$O$4:$U$10,7,FALSE)</f>
        <v>No Blasting need</v>
      </c>
      <c r="AK900" s="18">
        <f>+VLOOKUP(AJ900,Leyenda!$U$4:$V$10,2,FALSE)</f>
        <v>2</v>
      </c>
      <c r="AL900" s="5"/>
      <c r="AM900" s="18" t="s">
        <v>29</v>
      </c>
      <c r="AN900" s="18" t="s">
        <v>66</v>
      </c>
      <c r="AO900" s="18" t="s">
        <v>79</v>
      </c>
      <c r="AP900" s="18" t="s">
        <v>96</v>
      </c>
      <c r="AQ900" s="18" t="s">
        <v>109</v>
      </c>
      <c r="AR900" s="18" t="s">
        <v>120</v>
      </c>
      <c r="AS900" s="18" t="s">
        <v>267</v>
      </c>
      <c r="AT900" s="18"/>
      <c r="AU900" s="6"/>
      <c r="AV900" s="36">
        <f>+VLOOKUP(AN900,Leyenda!$B$30:$E$34,3,FALSE)</f>
        <v>1</v>
      </c>
      <c r="AW900" s="36">
        <f>+VLOOKUP('2. Logging Brejo Seco'!AO900,Meteorizacion,3,FALSE)</f>
        <v>1</v>
      </c>
      <c r="AX900" s="36">
        <f>+VLOOKUP('2. Logging Brejo Seco'!AP900,Apertura,3,FALSE)</f>
        <v>1</v>
      </c>
      <c r="AY900" s="36">
        <f>+VLOOKUP('2. Logging Brejo Seco'!AQ900,Leyenda!$B$55:$D$59,3,FALSE)</f>
        <v>1</v>
      </c>
      <c r="AZ900" s="36">
        <f>+VLOOKUP('2. Logging Brejo Seco'!AR900,Relleno,3,FALSE)</f>
        <v>2</v>
      </c>
      <c r="BA900" s="36">
        <f t="shared" si="347"/>
        <v>6</v>
      </c>
      <c r="BB900" s="50">
        <f t="shared" si="348"/>
        <v>3</v>
      </c>
      <c r="BC900" s="49">
        <f>VLOOKUP(AH900,Leyenda!$B$4:$D$10,3,FALSE)</f>
        <v>2</v>
      </c>
      <c r="BD900" s="50">
        <f t="shared" si="349"/>
        <v>7</v>
      </c>
      <c r="BE900" s="50">
        <f t="shared" si="350"/>
        <v>6</v>
      </c>
      <c r="BF900" s="50">
        <f>VLOOKUP(AS900,Leyenda!$B$70:$D$75,3,FALSE)</f>
        <v>15</v>
      </c>
      <c r="BG900" s="110">
        <f t="shared" si="351"/>
        <v>14.769230769230766</v>
      </c>
      <c r="BH900" s="110">
        <f>VLOOKUP(AG900,Leyenda!$B$4:$E$10,4,FALSE)</f>
        <v>2</v>
      </c>
      <c r="BI900" s="67">
        <f t="shared" si="352"/>
        <v>7</v>
      </c>
      <c r="BJ900" s="110">
        <f t="shared" si="353"/>
        <v>3</v>
      </c>
      <c r="BK900" s="110">
        <f>+VLOOKUP('2. Logging Brejo Seco'!AP900,Leyenda!$B$47:$E$51,4,FALSE)</f>
        <v>1</v>
      </c>
      <c r="BL900" s="110">
        <f>+VLOOKUP('2. Logging Brejo Seco'!AQ900,Leyenda!$B$55:$E$59,4,FALSE)</f>
        <v>1</v>
      </c>
      <c r="BM900" s="110">
        <f>+VLOOKUP('2. Logging Brejo Seco'!AR900,Leyenda!$B$63:$E$67,3,FALSE)</f>
        <v>2</v>
      </c>
      <c r="BN900" s="110">
        <f>+VLOOKUP('2. Logging Brejo Seco'!AO900,Leyenda!$B$39:$E$43,4,FALSE)</f>
        <v>1</v>
      </c>
      <c r="BO900" s="110">
        <f>+VLOOKUP('2. Logging Brejo Seco'!AN900,Leyenda!$B$30:$E$34,4,FALSE)</f>
        <v>1</v>
      </c>
      <c r="BP900" s="110">
        <f>VLOOKUP(AS900,Leyenda!$B$71:$E$75,4,FALSE)</f>
        <v>10</v>
      </c>
      <c r="BQ900" s="110">
        <f t="shared" si="354"/>
        <v>28</v>
      </c>
      <c r="BR900" s="36">
        <f t="shared" si="355"/>
        <v>33</v>
      </c>
      <c r="BS900" s="240">
        <f t="shared" ref="BS900:BS963" si="361">1-N900</f>
        <v>0.26923076923076972</v>
      </c>
      <c r="BT900" s="6"/>
    </row>
    <row r="901" spans="1:72" x14ac:dyDescent="0.25">
      <c r="A901" s="18" t="s">
        <v>6</v>
      </c>
      <c r="B901" s="18">
        <v>2024</v>
      </c>
      <c r="C901" s="18" t="s">
        <v>138</v>
      </c>
      <c r="D901" s="18" t="s">
        <v>661</v>
      </c>
      <c r="E901" s="18">
        <v>20</v>
      </c>
      <c r="F901" s="191">
        <v>10</v>
      </c>
      <c r="G901" s="18" t="s">
        <v>156</v>
      </c>
      <c r="H901" s="244">
        <f t="shared" si="360"/>
        <v>10</v>
      </c>
      <c r="I901" s="244" t="s">
        <v>761</v>
      </c>
      <c r="J901" s="244"/>
      <c r="K901" s="18">
        <f t="shared" si="358"/>
        <v>22.3</v>
      </c>
      <c r="L901" s="18">
        <v>23.3</v>
      </c>
      <c r="M901" s="4">
        <f t="shared" si="343"/>
        <v>1</v>
      </c>
      <c r="N901" s="113">
        <f t="shared" si="345"/>
        <v>0.95</v>
      </c>
      <c r="O901" s="5">
        <f t="shared" si="356"/>
        <v>5.0000000000000044E-2</v>
      </c>
      <c r="P901" s="4">
        <v>0.95</v>
      </c>
      <c r="Q901" s="18"/>
      <c r="R901" s="18"/>
      <c r="S901" s="18"/>
      <c r="T901" s="18">
        <v>0.95</v>
      </c>
      <c r="U901" s="18">
        <v>0.79</v>
      </c>
      <c r="V901" s="4">
        <f t="shared" si="359"/>
        <v>79</v>
      </c>
      <c r="W901" s="18"/>
      <c r="X901" s="18"/>
      <c r="Y901" s="18">
        <v>3</v>
      </c>
      <c r="Z901" s="31">
        <f t="shared" si="341"/>
        <v>333.33333333333331</v>
      </c>
      <c r="AA901" s="6"/>
      <c r="AB901" s="6"/>
      <c r="AC901" s="184"/>
      <c r="AD901" s="6"/>
      <c r="AE901" s="184"/>
      <c r="AF901" s="184"/>
      <c r="AG901" s="195" t="s">
        <v>24</v>
      </c>
      <c r="AH901" s="195" t="s">
        <v>24</v>
      </c>
      <c r="AI901" s="18" t="str">
        <f>+VLOOKUP(AH901,Leyenda!$O$4:$U$10,6,FALSE)</f>
        <v>0,50-0,80</v>
      </c>
      <c r="AJ901" s="18" t="str">
        <f>+VLOOKUP(AG901,Leyenda!$O$4:$U$10,7,FALSE)</f>
        <v>Fairly easy to blast</v>
      </c>
      <c r="AK901" s="18">
        <f>+VLOOKUP(AJ901,Leyenda!$U$4:$V$10,2,FALSE)</f>
        <v>4</v>
      </c>
      <c r="AL901" s="5"/>
      <c r="AM901" s="18" t="s">
        <v>24</v>
      </c>
      <c r="AN901" s="18" t="s">
        <v>64</v>
      </c>
      <c r="AO901" s="18" t="s">
        <v>79</v>
      </c>
      <c r="AP901" s="18" t="s">
        <v>92</v>
      </c>
      <c r="AQ901" s="18" t="s">
        <v>107</v>
      </c>
      <c r="AR901" s="18" t="s">
        <v>118</v>
      </c>
      <c r="AS901" s="18" t="s">
        <v>267</v>
      </c>
      <c r="AT901" s="18"/>
      <c r="AU901" s="6"/>
      <c r="AV901" s="36">
        <f>+VLOOKUP(AN901,Leyenda!$B$30:$E$34,3,FALSE)</f>
        <v>2</v>
      </c>
      <c r="AW901" s="36">
        <f>+VLOOKUP('2. Logging Brejo Seco'!AO901,Meteorizacion,3,FALSE)</f>
        <v>1</v>
      </c>
      <c r="AX901" s="36">
        <f>+VLOOKUP('2. Logging Brejo Seco'!AP901,Apertura,3,FALSE)</f>
        <v>3</v>
      </c>
      <c r="AY901" s="36">
        <f>+VLOOKUP('2. Logging Brejo Seco'!AQ901,Leyenda!$B$55:$D$59,3,FALSE)</f>
        <v>3</v>
      </c>
      <c r="AZ901" s="36">
        <f>+VLOOKUP('2. Logging Brejo Seco'!AR901,Relleno,3,FALSE)</f>
        <v>2</v>
      </c>
      <c r="BA901" s="36">
        <f t="shared" si="347"/>
        <v>11</v>
      </c>
      <c r="BB901" s="50">
        <f t="shared" si="348"/>
        <v>16</v>
      </c>
      <c r="BC901" s="49">
        <f>VLOOKUP(AH901,Leyenda!$B$4:$D$10,3,FALSE)</f>
        <v>7</v>
      </c>
      <c r="BD901" s="50">
        <f t="shared" si="349"/>
        <v>11</v>
      </c>
      <c r="BE901" s="50">
        <f t="shared" si="350"/>
        <v>11</v>
      </c>
      <c r="BF901" s="50">
        <f>VLOOKUP(AS901,Leyenda!$B$70:$D$75,3,FALSE)</f>
        <v>15</v>
      </c>
      <c r="BG901" s="110">
        <f t="shared" si="351"/>
        <v>56</v>
      </c>
      <c r="BH901" s="110">
        <f>VLOOKUP(AG901,Leyenda!$B$4:$E$10,4,FALSE)</f>
        <v>7</v>
      </c>
      <c r="BI901" s="67">
        <f t="shared" si="352"/>
        <v>15</v>
      </c>
      <c r="BJ901" s="110">
        <f t="shared" si="353"/>
        <v>16</v>
      </c>
      <c r="BK901" s="110">
        <f>+VLOOKUP('2. Logging Brejo Seco'!AP901,Leyenda!$B$47:$E$51,4,FALSE)</f>
        <v>3</v>
      </c>
      <c r="BL901" s="110">
        <f>+VLOOKUP('2. Logging Brejo Seco'!AQ901,Leyenda!$B$55:$E$59,4,FALSE)</f>
        <v>3</v>
      </c>
      <c r="BM901" s="110">
        <f>+VLOOKUP('2. Logging Brejo Seco'!AR901,Leyenda!$B$63:$E$67,3,FALSE)</f>
        <v>2</v>
      </c>
      <c r="BN901" s="110">
        <f>+VLOOKUP('2. Logging Brejo Seco'!AO901,Leyenda!$B$39:$E$43,4,FALSE)</f>
        <v>1</v>
      </c>
      <c r="BO901" s="110">
        <f>+VLOOKUP('2. Logging Brejo Seco'!AN901,Leyenda!$B$30:$E$34,4,FALSE)</f>
        <v>3</v>
      </c>
      <c r="BP901" s="110">
        <f>VLOOKUP(AS901,Leyenda!$B$71:$E$75,4,FALSE)</f>
        <v>10</v>
      </c>
      <c r="BQ901" s="110">
        <f t="shared" si="354"/>
        <v>60</v>
      </c>
      <c r="BR901" s="36">
        <f t="shared" si="355"/>
        <v>60</v>
      </c>
      <c r="BS901" s="240">
        <f t="shared" si="361"/>
        <v>5.0000000000000044E-2</v>
      </c>
      <c r="BT901" s="6"/>
    </row>
    <row r="902" spans="1:72" x14ac:dyDescent="0.25">
      <c r="A902" s="18" t="s">
        <v>6</v>
      </c>
      <c r="B902" s="18">
        <v>2024</v>
      </c>
      <c r="C902" s="18" t="s">
        <v>138</v>
      </c>
      <c r="D902" s="18" t="s">
        <v>661</v>
      </c>
      <c r="E902" s="18">
        <v>20</v>
      </c>
      <c r="F902" s="191">
        <v>20</v>
      </c>
      <c r="G902" s="18" t="s">
        <v>156</v>
      </c>
      <c r="H902" s="244">
        <f t="shared" si="360"/>
        <v>20</v>
      </c>
      <c r="I902" s="244" t="s">
        <v>760</v>
      </c>
      <c r="J902" s="244"/>
      <c r="K902" s="18">
        <f t="shared" si="358"/>
        <v>23.3</v>
      </c>
      <c r="L902" s="18">
        <v>25.22</v>
      </c>
      <c r="M902" s="4">
        <f t="shared" si="343"/>
        <v>1.9199999999999982</v>
      </c>
      <c r="N902" s="113">
        <f t="shared" si="345"/>
        <v>0.83854166666666752</v>
      </c>
      <c r="O902" s="5">
        <f t="shared" si="356"/>
        <v>0.16145833333333248</v>
      </c>
      <c r="P902" s="4">
        <v>1.61</v>
      </c>
      <c r="Q902" s="18"/>
      <c r="R902" s="18"/>
      <c r="S902" s="18"/>
      <c r="T902" s="18">
        <f>0.78+0.83</f>
        <v>1.6099999999999999</v>
      </c>
      <c r="U902" s="18">
        <f>0.47+0.49</f>
        <v>0.96</v>
      </c>
      <c r="V902" s="4">
        <f t="shared" si="359"/>
        <v>50.000000000000043</v>
      </c>
      <c r="W902" s="18"/>
      <c r="X902" s="18"/>
      <c r="Y902" s="18">
        <f>5+4</f>
        <v>9</v>
      </c>
      <c r="Z902" s="31">
        <f t="shared" si="341"/>
        <v>213.33333333333314</v>
      </c>
      <c r="AA902" s="6"/>
      <c r="AB902" s="6"/>
      <c r="AC902" s="184"/>
      <c r="AD902" s="6"/>
      <c r="AE902" s="184"/>
      <c r="AF902" s="184"/>
      <c r="AG902" s="195" t="s">
        <v>32</v>
      </c>
      <c r="AH902" s="195" t="s">
        <v>32</v>
      </c>
      <c r="AI902" s="18" t="str">
        <f>+VLOOKUP(AH902,Leyenda!$O$4:$U$10,6,FALSE)</f>
        <v>0,15-0,25</v>
      </c>
      <c r="AJ902" s="18" t="str">
        <f>+VLOOKUP(AG902,Leyenda!$O$4:$U$10,7,FALSE)</f>
        <v>No Blasting need</v>
      </c>
      <c r="AK902" s="18">
        <f>+VLOOKUP(AJ902,Leyenda!$U$4:$V$10,2,FALSE)</f>
        <v>2</v>
      </c>
      <c r="AL902" s="5"/>
      <c r="AM902" s="18" t="s">
        <v>32</v>
      </c>
      <c r="AN902" s="18" t="s">
        <v>62</v>
      </c>
      <c r="AO902" s="18" t="s">
        <v>79</v>
      </c>
      <c r="AP902" s="18" t="s">
        <v>96</v>
      </c>
      <c r="AQ902" s="18" t="s">
        <v>107</v>
      </c>
      <c r="AR902" s="18" t="s">
        <v>120</v>
      </c>
      <c r="AS902" s="18" t="s">
        <v>267</v>
      </c>
      <c r="AT902" s="18"/>
      <c r="AU902" s="6"/>
      <c r="AV902" s="36">
        <f>+VLOOKUP(AN902,Leyenda!$B$30:$E$34,3,FALSE)</f>
        <v>4</v>
      </c>
      <c r="AW902" s="36">
        <f>+VLOOKUP('2. Logging Brejo Seco'!AO902,Meteorizacion,3,FALSE)</f>
        <v>1</v>
      </c>
      <c r="AX902" s="36">
        <f>+VLOOKUP('2. Logging Brejo Seco'!AP902,Apertura,3,FALSE)</f>
        <v>1</v>
      </c>
      <c r="AY902" s="36">
        <f>+VLOOKUP('2. Logging Brejo Seco'!AQ902,Leyenda!$B$55:$D$59,3,FALSE)</f>
        <v>3</v>
      </c>
      <c r="AZ902" s="36">
        <f>+VLOOKUP('2. Logging Brejo Seco'!AR902,Relleno,3,FALSE)</f>
        <v>2</v>
      </c>
      <c r="BA902" s="36">
        <f t="shared" si="347"/>
        <v>11</v>
      </c>
      <c r="BB902" s="50">
        <f t="shared" si="348"/>
        <v>10</v>
      </c>
      <c r="BC902" s="49">
        <f>VLOOKUP(AH902,Leyenda!$B$4:$D$10,3,FALSE)</f>
        <v>1</v>
      </c>
      <c r="BD902" s="50">
        <f t="shared" si="349"/>
        <v>9</v>
      </c>
      <c r="BE902" s="50">
        <f t="shared" si="350"/>
        <v>11</v>
      </c>
      <c r="BF902" s="50">
        <f>VLOOKUP(AS902,Leyenda!$B$70:$D$75,3,FALSE)</f>
        <v>15</v>
      </c>
      <c r="BG902" s="110">
        <f t="shared" si="351"/>
        <v>41.500000000000021</v>
      </c>
      <c r="BH902" s="110">
        <f>VLOOKUP(AG902,Leyenda!$B$4:$E$10,4,FALSE)</f>
        <v>1</v>
      </c>
      <c r="BI902" s="67">
        <f t="shared" si="352"/>
        <v>13</v>
      </c>
      <c r="BJ902" s="110">
        <f t="shared" si="353"/>
        <v>10</v>
      </c>
      <c r="BK902" s="110">
        <f>+VLOOKUP('2. Logging Brejo Seco'!AP902,Leyenda!$B$47:$E$51,4,FALSE)</f>
        <v>1</v>
      </c>
      <c r="BL902" s="110">
        <f>+VLOOKUP('2. Logging Brejo Seco'!AQ902,Leyenda!$B$55:$E$59,4,FALSE)</f>
        <v>3</v>
      </c>
      <c r="BM902" s="110">
        <f>+VLOOKUP('2. Logging Brejo Seco'!AR902,Leyenda!$B$63:$E$67,3,FALSE)</f>
        <v>2</v>
      </c>
      <c r="BN902" s="110">
        <f>+VLOOKUP('2. Logging Brejo Seco'!AO902,Leyenda!$B$39:$E$43,4,FALSE)</f>
        <v>1</v>
      </c>
      <c r="BO902" s="110">
        <f>+VLOOKUP('2. Logging Brejo Seco'!AN902,Leyenda!$B$30:$E$34,4,FALSE)</f>
        <v>4</v>
      </c>
      <c r="BP902" s="110">
        <f>VLOOKUP(AS902,Leyenda!$B$71:$E$75,4,FALSE)</f>
        <v>10</v>
      </c>
      <c r="BQ902" s="110">
        <f t="shared" si="354"/>
        <v>45</v>
      </c>
      <c r="BR902" s="36">
        <f t="shared" si="355"/>
        <v>46</v>
      </c>
      <c r="BS902" s="240">
        <f t="shared" si="361"/>
        <v>0.16145833333333248</v>
      </c>
      <c r="BT902" s="6"/>
    </row>
    <row r="903" spans="1:72" x14ac:dyDescent="0.25">
      <c r="A903" s="18" t="s">
        <v>6</v>
      </c>
      <c r="B903" s="18">
        <v>2024</v>
      </c>
      <c r="C903" s="18" t="s">
        <v>138</v>
      </c>
      <c r="D903" s="18" t="s">
        <v>661</v>
      </c>
      <c r="E903" s="18">
        <v>20</v>
      </c>
      <c r="F903" s="191">
        <v>20</v>
      </c>
      <c r="G903" s="18" t="s">
        <v>156</v>
      </c>
      <c r="H903" s="244">
        <f t="shared" si="360"/>
        <v>20</v>
      </c>
      <c r="I903" s="244" t="s">
        <v>760</v>
      </c>
      <c r="J903" s="244"/>
      <c r="K903" s="18">
        <f t="shared" si="358"/>
        <v>25.22</v>
      </c>
      <c r="L903" s="18">
        <v>26.32</v>
      </c>
      <c r="M903" s="4">
        <f t="shared" si="343"/>
        <v>1.1000000000000014</v>
      </c>
      <c r="N903" s="113">
        <f t="shared" si="345"/>
        <v>0.7909090909090899</v>
      </c>
      <c r="O903" s="5">
        <f t="shared" si="356"/>
        <v>0.2090909090909101</v>
      </c>
      <c r="P903" s="4">
        <v>0.87</v>
      </c>
      <c r="Q903" s="18"/>
      <c r="R903" s="18"/>
      <c r="S903" s="18"/>
      <c r="T903" s="18">
        <v>0.87</v>
      </c>
      <c r="U903" s="18">
        <v>0.25</v>
      </c>
      <c r="V903" s="4">
        <f t="shared" si="359"/>
        <v>22.727272727272698</v>
      </c>
      <c r="W903" s="18"/>
      <c r="X903" s="18"/>
      <c r="Y903" s="18">
        <v>15</v>
      </c>
      <c r="Z903" s="31">
        <f t="shared" si="341"/>
        <v>73.333333333333428</v>
      </c>
      <c r="AA903" s="6"/>
      <c r="AB903" s="6"/>
      <c r="AC903" s="184"/>
      <c r="AD903" s="6"/>
      <c r="AE903" s="184"/>
      <c r="AF903" s="184"/>
      <c r="AG903" s="195" t="s">
        <v>34</v>
      </c>
      <c r="AH903" s="195" t="s">
        <v>34</v>
      </c>
      <c r="AI903" s="18">
        <f>+VLOOKUP(AH903,Leyenda!$O$4:$U$10,6,FALSE)</f>
        <v>0</v>
      </c>
      <c r="AJ903" s="18" t="str">
        <f>+VLOOKUP(AG903,Leyenda!$O$4:$U$10,7,FALSE)</f>
        <v>No Blasting need</v>
      </c>
      <c r="AK903" s="18">
        <f>+VLOOKUP(AJ903,Leyenda!$U$4:$V$10,2,FALSE)</f>
        <v>2</v>
      </c>
      <c r="AL903" s="3"/>
      <c r="AM903" s="18" t="s">
        <v>34</v>
      </c>
      <c r="AN903" s="18" t="s">
        <v>64</v>
      </c>
      <c r="AO903" s="18" t="s">
        <v>81</v>
      </c>
      <c r="AP903" s="18" t="s">
        <v>100</v>
      </c>
      <c r="AQ903" s="18" t="s">
        <v>107</v>
      </c>
      <c r="AR903" s="18" t="s">
        <v>120</v>
      </c>
      <c r="AS903" s="18" t="s">
        <v>267</v>
      </c>
      <c r="AT903" s="18"/>
      <c r="AU903" s="6"/>
      <c r="AV903" s="36">
        <f>+VLOOKUP(AN903,Leyenda!$B$30:$E$34,3,FALSE)</f>
        <v>2</v>
      </c>
      <c r="AW903" s="36">
        <f>+VLOOKUP('2. Logging Brejo Seco'!AO903,Meteorizacion,3,FALSE)</f>
        <v>0</v>
      </c>
      <c r="AX903" s="36">
        <f>+VLOOKUP('2. Logging Brejo Seco'!AP903,Apertura,3,FALSE)</f>
        <v>0</v>
      </c>
      <c r="AY903" s="36">
        <f>+VLOOKUP('2. Logging Brejo Seco'!AQ903,Leyenda!$B$55:$D$59,3,FALSE)</f>
        <v>3</v>
      </c>
      <c r="AZ903" s="36">
        <f>+VLOOKUP('2. Logging Brejo Seco'!AR903,Relleno,3,FALSE)</f>
        <v>2</v>
      </c>
      <c r="BA903" s="36">
        <f t="shared" si="347"/>
        <v>7</v>
      </c>
      <c r="BB903" s="50">
        <f t="shared" si="348"/>
        <v>5</v>
      </c>
      <c r="BC903" s="49">
        <f>VLOOKUP(AH903,Leyenda!$B$4:$D$10,3,FALSE)</f>
        <v>0</v>
      </c>
      <c r="BD903" s="50">
        <f t="shared" si="349"/>
        <v>7</v>
      </c>
      <c r="BE903" s="50">
        <f t="shared" si="350"/>
        <v>7</v>
      </c>
      <c r="BF903" s="50">
        <f>VLOOKUP(AS903,Leyenda!$B$70:$D$75,3,FALSE)</f>
        <v>15</v>
      </c>
      <c r="BG903" s="110">
        <f t="shared" si="351"/>
        <v>21.863636363636349</v>
      </c>
      <c r="BH903" s="110">
        <f>VLOOKUP(AG903,Leyenda!$B$4:$E$10,4,FALSE)</f>
        <v>0</v>
      </c>
      <c r="BI903" s="67">
        <f t="shared" si="352"/>
        <v>6</v>
      </c>
      <c r="BJ903" s="110">
        <f t="shared" si="353"/>
        <v>5</v>
      </c>
      <c r="BK903" s="110">
        <f>+VLOOKUP('2. Logging Brejo Seco'!AP903,Leyenda!$B$47:$E$51,4,FALSE)</f>
        <v>0</v>
      </c>
      <c r="BL903" s="110">
        <f>+VLOOKUP('2. Logging Brejo Seco'!AQ903,Leyenda!$B$55:$E$59,4,FALSE)</f>
        <v>3</v>
      </c>
      <c r="BM903" s="110">
        <f>+VLOOKUP('2. Logging Brejo Seco'!AR903,Leyenda!$B$63:$E$67,3,FALSE)</f>
        <v>2</v>
      </c>
      <c r="BN903" s="110">
        <f>+VLOOKUP('2. Logging Brejo Seco'!AO903,Leyenda!$B$39:$E$43,4,FALSE)</f>
        <v>0</v>
      </c>
      <c r="BO903" s="110">
        <f>+VLOOKUP('2. Logging Brejo Seco'!AN903,Leyenda!$B$30:$E$34,4,FALSE)</f>
        <v>3</v>
      </c>
      <c r="BP903" s="110">
        <f>VLOOKUP(AS903,Leyenda!$B$71:$E$75,4,FALSE)</f>
        <v>10</v>
      </c>
      <c r="BQ903" s="110">
        <f t="shared" si="354"/>
        <v>29</v>
      </c>
      <c r="BR903" s="36">
        <f t="shared" si="355"/>
        <v>34</v>
      </c>
      <c r="BS903" s="240">
        <f t="shared" si="361"/>
        <v>0.2090909090909101</v>
      </c>
      <c r="BT903" s="6"/>
    </row>
    <row r="904" spans="1:72" x14ac:dyDescent="0.25">
      <c r="A904" s="18" t="s">
        <v>6</v>
      </c>
      <c r="B904" s="18">
        <v>2024</v>
      </c>
      <c r="C904" s="18" t="s">
        <v>138</v>
      </c>
      <c r="D904" s="18" t="s">
        <v>661</v>
      </c>
      <c r="E904" s="18">
        <v>20</v>
      </c>
      <c r="F904" s="191">
        <v>20</v>
      </c>
      <c r="G904" s="18" t="s">
        <v>156</v>
      </c>
      <c r="H904" s="244">
        <f t="shared" si="360"/>
        <v>20</v>
      </c>
      <c r="I904" s="244" t="s">
        <v>760</v>
      </c>
      <c r="J904" s="244"/>
      <c r="K904" s="18">
        <f t="shared" si="358"/>
        <v>26.32</v>
      </c>
      <c r="L904" s="18">
        <v>27.62</v>
      </c>
      <c r="M904" s="4">
        <f t="shared" si="343"/>
        <v>1.3000000000000007</v>
      </c>
      <c r="N904" s="113">
        <f t="shared" si="345"/>
        <v>0.73846153846153806</v>
      </c>
      <c r="O904" s="5">
        <f t="shared" si="356"/>
        <v>0.26153846153846194</v>
      </c>
      <c r="P904" s="4">
        <v>0.96</v>
      </c>
      <c r="Q904" s="18"/>
      <c r="R904" s="18"/>
      <c r="S904" s="18"/>
      <c r="T904" s="18">
        <v>0.96</v>
      </c>
      <c r="U904" s="18">
        <v>0</v>
      </c>
      <c r="V904" s="4">
        <f t="shared" si="359"/>
        <v>0</v>
      </c>
      <c r="W904" s="18"/>
      <c r="X904" s="18"/>
      <c r="Y904" s="18">
        <v>20</v>
      </c>
      <c r="Z904" s="31">
        <f t="shared" si="341"/>
        <v>65.000000000000028</v>
      </c>
      <c r="AA904" s="6"/>
      <c r="AB904" s="6"/>
      <c r="AC904" s="6"/>
      <c r="AD904" s="6"/>
      <c r="AE904" s="6"/>
      <c r="AF904" s="6"/>
      <c r="AG904" s="3" t="s">
        <v>32</v>
      </c>
      <c r="AH904" s="3" t="s">
        <v>32</v>
      </c>
      <c r="AI904" s="18" t="str">
        <f>+VLOOKUP(AH904,Leyenda!$O$4:$U$10,6,FALSE)</f>
        <v>0,15-0,25</v>
      </c>
      <c r="AJ904" s="18" t="str">
        <f>+VLOOKUP(AG904,Leyenda!$O$4:$U$10,7,FALSE)</f>
        <v>No Blasting need</v>
      </c>
      <c r="AK904" s="18">
        <f>+VLOOKUP(AJ904,Leyenda!$U$4:$V$10,2,FALSE)</f>
        <v>2</v>
      </c>
      <c r="AL904" s="3"/>
      <c r="AM904" s="18" t="s">
        <v>32</v>
      </c>
      <c r="AN904" s="18" t="s">
        <v>66</v>
      </c>
      <c r="AO904" s="18" t="s">
        <v>81</v>
      </c>
      <c r="AP904" s="18" t="s">
        <v>100</v>
      </c>
      <c r="AQ904" s="18" t="s">
        <v>107</v>
      </c>
      <c r="AR904" s="18" t="s">
        <v>120</v>
      </c>
      <c r="AS904" s="18" t="s">
        <v>267</v>
      </c>
      <c r="AT904" s="18"/>
      <c r="AU904" s="6"/>
      <c r="AV904" s="36">
        <f>+VLOOKUP(AN904,Leyenda!$B$30:$E$34,3,FALSE)</f>
        <v>1</v>
      </c>
      <c r="AW904" s="36">
        <f>+VLOOKUP('2. Logging Brejo Seco'!AO904,Meteorizacion,3,FALSE)</f>
        <v>0</v>
      </c>
      <c r="AX904" s="36">
        <f>+VLOOKUP('2. Logging Brejo Seco'!AP904,Apertura,3,FALSE)</f>
        <v>0</v>
      </c>
      <c r="AY904" s="36">
        <f>+VLOOKUP('2. Logging Brejo Seco'!AQ904,Leyenda!$B$55:$D$59,3,FALSE)</f>
        <v>3</v>
      </c>
      <c r="AZ904" s="36">
        <f>+VLOOKUP('2. Logging Brejo Seco'!AR904,Relleno,3,FALSE)</f>
        <v>2</v>
      </c>
      <c r="BA904" s="36">
        <f t="shared" si="347"/>
        <v>6</v>
      </c>
      <c r="BB904" s="50">
        <f t="shared" si="348"/>
        <v>0</v>
      </c>
      <c r="BC904" s="49">
        <f>VLOOKUP(AH904,Leyenda!$B$4:$D$10,3,FALSE)</f>
        <v>1</v>
      </c>
      <c r="BD904" s="50">
        <f t="shared" si="349"/>
        <v>6</v>
      </c>
      <c r="BE904" s="50">
        <f t="shared" si="350"/>
        <v>6</v>
      </c>
      <c r="BF904" s="50">
        <f>VLOOKUP(AS904,Leyenda!$B$70:$D$75,3,FALSE)</f>
        <v>15</v>
      </c>
      <c r="BG904" s="110">
        <f t="shared" si="351"/>
        <v>9</v>
      </c>
      <c r="BH904" s="110">
        <f>VLOOKUP(AG904,Leyenda!$B$4:$E$10,4,FALSE)</f>
        <v>1</v>
      </c>
      <c r="BI904" s="67">
        <f t="shared" si="352"/>
        <v>6</v>
      </c>
      <c r="BJ904" s="110">
        <f t="shared" si="353"/>
        <v>0</v>
      </c>
      <c r="BK904" s="110">
        <f>+VLOOKUP('2. Logging Brejo Seco'!AP904,Leyenda!$B$47:$E$51,4,FALSE)</f>
        <v>0</v>
      </c>
      <c r="BL904" s="110">
        <f>+VLOOKUP('2. Logging Brejo Seco'!AQ904,Leyenda!$B$55:$E$59,4,FALSE)</f>
        <v>3</v>
      </c>
      <c r="BM904" s="110">
        <f>+VLOOKUP('2. Logging Brejo Seco'!AR904,Leyenda!$B$63:$E$67,3,FALSE)</f>
        <v>2</v>
      </c>
      <c r="BN904" s="110">
        <f>+VLOOKUP('2. Logging Brejo Seco'!AO904,Leyenda!$B$39:$E$43,4,FALSE)</f>
        <v>0</v>
      </c>
      <c r="BO904" s="110">
        <f>+VLOOKUP('2. Logging Brejo Seco'!AN904,Leyenda!$B$30:$E$34,4,FALSE)</f>
        <v>1</v>
      </c>
      <c r="BP904" s="110">
        <f>VLOOKUP(AS904,Leyenda!$B$71:$E$75,4,FALSE)</f>
        <v>10</v>
      </c>
      <c r="BQ904" s="110">
        <f t="shared" si="354"/>
        <v>23</v>
      </c>
      <c r="BR904" s="36">
        <f t="shared" si="355"/>
        <v>28</v>
      </c>
      <c r="BS904" s="240">
        <f t="shared" si="361"/>
        <v>0.26153846153846194</v>
      </c>
      <c r="BT904" s="6"/>
    </row>
    <row r="905" spans="1:72" x14ac:dyDescent="0.25">
      <c r="A905" s="18" t="s">
        <v>6</v>
      </c>
      <c r="B905" s="18">
        <v>2024</v>
      </c>
      <c r="C905" s="18" t="s">
        <v>138</v>
      </c>
      <c r="D905" s="18" t="s">
        <v>661</v>
      </c>
      <c r="E905" s="18">
        <v>20</v>
      </c>
      <c r="F905" s="191">
        <v>20</v>
      </c>
      <c r="G905" s="18" t="s">
        <v>156</v>
      </c>
      <c r="H905" s="244">
        <f t="shared" si="360"/>
        <v>20</v>
      </c>
      <c r="I905" s="244" t="s">
        <v>760</v>
      </c>
      <c r="J905" s="244"/>
      <c r="K905" s="18">
        <f t="shared" si="358"/>
        <v>27.62</v>
      </c>
      <c r="L905" s="18">
        <v>28.82</v>
      </c>
      <c r="M905" s="4">
        <f t="shared" si="343"/>
        <v>1.1999999999999993</v>
      </c>
      <c r="N905" s="113">
        <f t="shared" si="345"/>
        <v>0.77500000000000047</v>
      </c>
      <c r="O905" s="5">
        <f t="shared" si="356"/>
        <v>0.22499999999999953</v>
      </c>
      <c r="P905" s="4">
        <v>0.93</v>
      </c>
      <c r="Q905" s="4"/>
      <c r="R905" s="18"/>
      <c r="S905" s="18"/>
      <c r="T905" s="18">
        <v>0.93</v>
      </c>
      <c r="U905" s="18">
        <v>0</v>
      </c>
      <c r="V905" s="4">
        <f t="shared" si="359"/>
        <v>0</v>
      </c>
      <c r="W905" s="18"/>
      <c r="X905" s="18"/>
      <c r="Y905" s="18">
        <v>17</v>
      </c>
      <c r="Z905" s="31">
        <f t="shared" si="341"/>
        <v>70.588235294117609</v>
      </c>
      <c r="AA905" s="18"/>
      <c r="AB905" s="6"/>
      <c r="AC905" s="6"/>
      <c r="AD905" s="6"/>
      <c r="AE905" s="6"/>
      <c r="AF905" s="6"/>
      <c r="AG905" s="3" t="s">
        <v>32</v>
      </c>
      <c r="AH905" s="3" t="s">
        <v>32</v>
      </c>
      <c r="AI905" s="18" t="str">
        <f>+VLOOKUP(AH905,Leyenda!$O$4:$U$10,6,FALSE)</f>
        <v>0,15-0,25</v>
      </c>
      <c r="AJ905" s="18" t="str">
        <f>+VLOOKUP(AG905,Leyenda!$O$4:$U$10,7,FALSE)</f>
        <v>No Blasting need</v>
      </c>
      <c r="AK905" s="18">
        <f>+VLOOKUP(AJ905,Leyenda!$U$4:$V$10,2,FALSE)</f>
        <v>2</v>
      </c>
      <c r="AL905" s="3"/>
      <c r="AM905" s="18" t="s">
        <v>32</v>
      </c>
      <c r="AN905" s="18" t="s">
        <v>66</v>
      </c>
      <c r="AO905" s="18" t="s">
        <v>81</v>
      </c>
      <c r="AP905" s="18" t="s">
        <v>100</v>
      </c>
      <c r="AQ905" s="18" t="s">
        <v>107</v>
      </c>
      <c r="AR905" s="18" t="s">
        <v>120</v>
      </c>
      <c r="AS905" s="18" t="s">
        <v>267</v>
      </c>
      <c r="AT905" s="6"/>
      <c r="AU905" s="18"/>
      <c r="AV905" s="36">
        <f>+VLOOKUP(AN905,Leyenda!$B$30:$E$34,3,FALSE)</f>
        <v>1</v>
      </c>
      <c r="AW905" s="36">
        <f>+VLOOKUP('2. Logging Brejo Seco'!AO905,Meteorizacion,3,FALSE)</f>
        <v>0</v>
      </c>
      <c r="AX905" s="36">
        <f>+VLOOKUP('2. Logging Brejo Seco'!AP905,Apertura,3,FALSE)</f>
        <v>0</v>
      </c>
      <c r="AY905" s="36">
        <f>+VLOOKUP('2. Logging Brejo Seco'!AQ905,Leyenda!$B$55:$D$59,3,FALSE)</f>
        <v>3</v>
      </c>
      <c r="AZ905" s="36">
        <f>+VLOOKUP('2. Logging Brejo Seco'!AR905,Relleno,3,FALSE)</f>
        <v>2</v>
      </c>
      <c r="BA905" s="36">
        <f t="shared" si="347"/>
        <v>6</v>
      </c>
      <c r="BB905" s="50">
        <f t="shared" si="348"/>
        <v>0</v>
      </c>
      <c r="BC905" s="49">
        <f>VLOOKUP(AH905,Leyenda!$B$4:$D$10,3,FALSE)</f>
        <v>1</v>
      </c>
      <c r="BD905" s="50">
        <f t="shared" si="349"/>
        <v>6</v>
      </c>
      <c r="BE905" s="50">
        <f t="shared" si="350"/>
        <v>6</v>
      </c>
      <c r="BF905" s="50">
        <f>VLOOKUP(AS905,Leyenda!$B$70:$D$75,3,FALSE)</f>
        <v>15</v>
      </c>
      <c r="BG905" s="110">
        <f t="shared" si="351"/>
        <v>9</v>
      </c>
      <c r="BH905" s="110">
        <f>VLOOKUP(AG905,Leyenda!$B$4:$E$10,4,FALSE)</f>
        <v>1</v>
      </c>
      <c r="BI905" s="67">
        <f t="shared" si="352"/>
        <v>6</v>
      </c>
      <c r="BJ905" s="110">
        <f t="shared" si="353"/>
        <v>0</v>
      </c>
      <c r="BK905" s="110">
        <f>+VLOOKUP('2. Logging Brejo Seco'!AP905,Leyenda!$B$47:$E$51,4,FALSE)</f>
        <v>0</v>
      </c>
      <c r="BL905" s="110">
        <f>+VLOOKUP('2. Logging Brejo Seco'!AQ905,Leyenda!$B$55:$E$59,4,FALSE)</f>
        <v>3</v>
      </c>
      <c r="BM905" s="110">
        <f>+VLOOKUP('2. Logging Brejo Seco'!AR905,Leyenda!$B$63:$E$67,3,FALSE)</f>
        <v>2</v>
      </c>
      <c r="BN905" s="110">
        <f>+VLOOKUP('2. Logging Brejo Seco'!AO905,Leyenda!$B$39:$E$43,4,FALSE)</f>
        <v>0</v>
      </c>
      <c r="BO905" s="110">
        <f>+VLOOKUP('2. Logging Brejo Seco'!AN905,Leyenda!$B$30:$E$34,4,FALSE)</f>
        <v>1</v>
      </c>
      <c r="BP905" s="110">
        <f>VLOOKUP(AS905,Leyenda!$B$71:$E$75,4,FALSE)</f>
        <v>10</v>
      </c>
      <c r="BQ905" s="110">
        <f t="shared" si="354"/>
        <v>23</v>
      </c>
      <c r="BR905" s="36">
        <f t="shared" si="355"/>
        <v>28</v>
      </c>
      <c r="BS905" s="240">
        <f t="shared" si="361"/>
        <v>0.22499999999999953</v>
      </c>
      <c r="BT905" s="6"/>
    </row>
    <row r="906" spans="1:72" x14ac:dyDescent="0.25">
      <c r="A906" s="18" t="s">
        <v>6</v>
      </c>
      <c r="B906" s="18">
        <v>2024</v>
      </c>
      <c r="C906" s="18" t="s">
        <v>138</v>
      </c>
      <c r="D906" s="18" t="s">
        <v>661</v>
      </c>
      <c r="E906" s="18">
        <v>20</v>
      </c>
      <c r="F906" s="191">
        <v>20</v>
      </c>
      <c r="G906" s="18" t="s">
        <v>156</v>
      </c>
      <c r="H906" s="244">
        <f t="shared" si="360"/>
        <v>20</v>
      </c>
      <c r="I906" s="244" t="s">
        <v>760</v>
      </c>
      <c r="J906" s="244"/>
      <c r="K906" s="18">
        <f t="shared" si="358"/>
        <v>28.82</v>
      </c>
      <c r="L906" s="18">
        <v>30.75</v>
      </c>
      <c r="M906" s="4">
        <f t="shared" si="343"/>
        <v>1.9299999999999997</v>
      </c>
      <c r="N906" s="113">
        <f t="shared" si="345"/>
        <v>0.75129533678756488</v>
      </c>
      <c r="O906" s="5">
        <f t="shared" si="356"/>
        <v>0.24870466321243512</v>
      </c>
      <c r="P906" s="4">
        <v>1.45</v>
      </c>
      <c r="Q906" s="18"/>
      <c r="R906" s="18"/>
      <c r="S906" s="18"/>
      <c r="T906" s="18">
        <v>1.45</v>
      </c>
      <c r="U906" s="18">
        <v>0</v>
      </c>
      <c r="V906" s="4">
        <f t="shared" si="359"/>
        <v>0</v>
      </c>
      <c r="W906" s="18"/>
      <c r="X906" s="18"/>
      <c r="Y906" s="18">
        <f>15+3</f>
        <v>18</v>
      </c>
      <c r="Z906" s="31">
        <f t="shared" si="341"/>
        <v>107.22222222222221</v>
      </c>
      <c r="AA906" s="6"/>
      <c r="AB906" s="6"/>
      <c r="AC906" s="6"/>
      <c r="AD906" s="6"/>
      <c r="AE906" s="6"/>
      <c r="AF906" s="6"/>
      <c r="AG906" s="3" t="s">
        <v>34</v>
      </c>
      <c r="AH906" s="3" t="s">
        <v>34</v>
      </c>
      <c r="AI906" s="18">
        <f>+VLOOKUP(AH906,Leyenda!$O$4:$U$10,6,FALSE)</f>
        <v>0</v>
      </c>
      <c r="AJ906" s="18" t="str">
        <f>+VLOOKUP(AG906,Leyenda!$O$4:$U$10,7,FALSE)</f>
        <v>No Blasting need</v>
      </c>
      <c r="AK906" s="18">
        <f>+VLOOKUP(AJ906,Leyenda!$U$4:$V$10,2,FALSE)</f>
        <v>2</v>
      </c>
      <c r="AL906" s="3"/>
      <c r="AM906" s="18" t="s">
        <v>34</v>
      </c>
      <c r="AN906" s="18" t="s">
        <v>66</v>
      </c>
      <c r="AO906" s="18" t="s">
        <v>81</v>
      </c>
      <c r="AP906" s="18" t="s">
        <v>100</v>
      </c>
      <c r="AQ906" s="18" t="s">
        <v>107</v>
      </c>
      <c r="AR906" s="18" t="s">
        <v>120</v>
      </c>
      <c r="AS906" s="18" t="s">
        <v>267</v>
      </c>
      <c r="AT906" s="18"/>
      <c r="AU906" s="6"/>
      <c r="AV906" s="36">
        <f>+VLOOKUP(AN906,Leyenda!$B$30:$E$34,3,FALSE)</f>
        <v>1</v>
      </c>
      <c r="AW906" s="36">
        <f>+VLOOKUP('2. Logging Brejo Seco'!AO906,Meteorizacion,3,FALSE)</f>
        <v>0</v>
      </c>
      <c r="AX906" s="36">
        <f>+VLOOKUP('2. Logging Brejo Seco'!AP906,Apertura,3,FALSE)</f>
        <v>0</v>
      </c>
      <c r="AY906" s="36">
        <f>+VLOOKUP('2. Logging Brejo Seco'!AQ906,Leyenda!$B$55:$D$59,3,FALSE)</f>
        <v>3</v>
      </c>
      <c r="AZ906" s="36">
        <f>+VLOOKUP('2. Logging Brejo Seco'!AR906,Relleno,3,FALSE)</f>
        <v>2</v>
      </c>
      <c r="BA906" s="36">
        <f t="shared" si="347"/>
        <v>6</v>
      </c>
      <c r="BB906" s="50">
        <f t="shared" si="348"/>
        <v>0</v>
      </c>
      <c r="BC906" s="49">
        <f>VLOOKUP(AH906,Leyenda!$B$4:$D$10,3,FALSE)</f>
        <v>0</v>
      </c>
      <c r="BD906" s="50">
        <f t="shared" si="349"/>
        <v>7</v>
      </c>
      <c r="BE906" s="50">
        <f t="shared" si="350"/>
        <v>6</v>
      </c>
      <c r="BF906" s="50">
        <f>VLOOKUP(AS906,Leyenda!$B$70:$D$75,3,FALSE)</f>
        <v>15</v>
      </c>
      <c r="BG906" s="110">
        <f t="shared" si="351"/>
        <v>9</v>
      </c>
      <c r="BH906" s="110">
        <f>VLOOKUP(AG906,Leyenda!$B$4:$E$10,4,FALSE)</f>
        <v>0</v>
      </c>
      <c r="BI906" s="67">
        <f t="shared" si="352"/>
        <v>9</v>
      </c>
      <c r="BJ906" s="110">
        <f t="shared" si="353"/>
        <v>0</v>
      </c>
      <c r="BK906" s="110">
        <f>+VLOOKUP('2. Logging Brejo Seco'!AP906,Leyenda!$B$47:$E$51,4,FALSE)</f>
        <v>0</v>
      </c>
      <c r="BL906" s="110">
        <f>+VLOOKUP('2. Logging Brejo Seco'!AQ906,Leyenda!$B$55:$E$59,4,FALSE)</f>
        <v>3</v>
      </c>
      <c r="BM906" s="110">
        <f>+VLOOKUP('2. Logging Brejo Seco'!AR906,Leyenda!$B$63:$E$67,3,FALSE)</f>
        <v>2</v>
      </c>
      <c r="BN906" s="110">
        <f>+VLOOKUP('2. Logging Brejo Seco'!AO906,Leyenda!$B$39:$E$43,4,FALSE)</f>
        <v>0</v>
      </c>
      <c r="BO906" s="110">
        <f>+VLOOKUP('2. Logging Brejo Seco'!AN906,Leyenda!$B$30:$E$34,4,FALSE)</f>
        <v>1</v>
      </c>
      <c r="BP906" s="110">
        <f>VLOOKUP(AS906,Leyenda!$B$71:$E$75,4,FALSE)</f>
        <v>10</v>
      </c>
      <c r="BQ906" s="110">
        <f t="shared" si="354"/>
        <v>25</v>
      </c>
      <c r="BR906" s="36">
        <f t="shared" si="355"/>
        <v>28</v>
      </c>
      <c r="BS906" s="240">
        <f t="shared" si="361"/>
        <v>0.24870466321243512</v>
      </c>
      <c r="BT906" s="6"/>
    </row>
    <row r="907" spans="1:72" x14ac:dyDescent="0.25">
      <c r="A907" s="18" t="s">
        <v>6</v>
      </c>
      <c r="B907" s="18">
        <v>2024</v>
      </c>
      <c r="C907" s="18" t="s">
        <v>138</v>
      </c>
      <c r="D907" s="18" t="s">
        <v>661</v>
      </c>
      <c r="E907" s="18">
        <v>20</v>
      </c>
      <c r="F907" s="191">
        <v>10</v>
      </c>
      <c r="G907" s="18" t="s">
        <v>135</v>
      </c>
      <c r="H907" s="244">
        <f t="shared" si="360"/>
        <v>10</v>
      </c>
      <c r="I907" s="244" t="s">
        <v>761</v>
      </c>
      <c r="J907" s="244"/>
      <c r="K907" s="18">
        <f t="shared" si="358"/>
        <v>30.75</v>
      </c>
      <c r="L907" s="18">
        <v>31.99</v>
      </c>
      <c r="M907" s="4">
        <f t="shared" si="343"/>
        <v>1.2399999999999984</v>
      </c>
      <c r="N907" s="113">
        <f t="shared" si="345"/>
        <v>0.87903225806451735</v>
      </c>
      <c r="O907" s="5">
        <f t="shared" si="356"/>
        <v>0.12096774193548265</v>
      </c>
      <c r="P907" s="4">
        <f>0.2+0.89</f>
        <v>1.0900000000000001</v>
      </c>
      <c r="Q907" s="18"/>
      <c r="R907" s="18"/>
      <c r="S907" s="18"/>
      <c r="T907" s="18">
        <v>0.24</v>
      </c>
      <c r="U907" s="18">
        <f>0.17+0.89</f>
        <v>1.06</v>
      </c>
      <c r="V907" s="18">
        <f t="shared" si="359"/>
        <v>85.48387096774205</v>
      </c>
      <c r="W907" s="18"/>
      <c r="X907" s="18"/>
      <c r="Y907" s="18">
        <v>2</v>
      </c>
      <c r="Z907" s="31">
        <f t="shared" si="341"/>
        <v>619.9999999999992</v>
      </c>
      <c r="AA907" s="6"/>
      <c r="AB907" s="6"/>
      <c r="AC907" s="6"/>
      <c r="AD907" s="6"/>
      <c r="AE907" s="6"/>
      <c r="AF907" s="6"/>
      <c r="AG907" s="3" t="s">
        <v>34</v>
      </c>
      <c r="AH907" s="3" t="s">
        <v>34</v>
      </c>
      <c r="AI907" s="18">
        <f>+VLOOKUP(AH907,Leyenda!$O$4:$U$10,6,FALSE)</f>
        <v>0</v>
      </c>
      <c r="AJ907" s="18" t="str">
        <f>+VLOOKUP(AG907,Leyenda!$O$4:$U$10,7,FALSE)</f>
        <v>No Blasting need</v>
      </c>
      <c r="AK907" s="18">
        <f>+VLOOKUP(AJ907,Leyenda!$U$4:$V$10,2,FALSE)</f>
        <v>2</v>
      </c>
      <c r="AL907" s="3"/>
      <c r="AM907" s="18" t="s">
        <v>34</v>
      </c>
      <c r="AN907" s="18" t="s">
        <v>66</v>
      </c>
      <c r="AO907" s="18" t="s">
        <v>81</v>
      </c>
      <c r="AP907" s="18" t="s">
        <v>100</v>
      </c>
      <c r="AQ907" s="18" t="s">
        <v>107</v>
      </c>
      <c r="AR907" s="18" t="s">
        <v>120</v>
      </c>
      <c r="AS907" s="18" t="s">
        <v>267</v>
      </c>
      <c r="AT907" s="18"/>
      <c r="AU907" s="6"/>
      <c r="AV907" s="36">
        <f>+VLOOKUP(AN907,Leyenda!$B$30:$E$34,3,FALSE)</f>
        <v>1</v>
      </c>
      <c r="AW907" s="36">
        <f>+VLOOKUP('2. Logging Brejo Seco'!AO907,Meteorizacion,3,FALSE)</f>
        <v>0</v>
      </c>
      <c r="AX907" s="36">
        <f>+VLOOKUP('2. Logging Brejo Seco'!AP907,Apertura,3,FALSE)</f>
        <v>0</v>
      </c>
      <c r="AY907" s="36">
        <f>+VLOOKUP('2. Logging Brejo Seco'!AQ907,Leyenda!$B$55:$D$59,3,FALSE)</f>
        <v>3</v>
      </c>
      <c r="AZ907" s="36">
        <f>+VLOOKUP('2. Logging Brejo Seco'!AR907,Relleno,3,FALSE)</f>
        <v>2</v>
      </c>
      <c r="BA907" s="36">
        <f t="shared" si="347"/>
        <v>6</v>
      </c>
      <c r="BB907" s="50">
        <f t="shared" si="348"/>
        <v>17</v>
      </c>
      <c r="BC907" s="49">
        <f>VLOOKUP(AH907,Leyenda!$B$4:$D$10,3,FALSE)</f>
        <v>0</v>
      </c>
      <c r="BD907" s="50">
        <f t="shared" si="349"/>
        <v>13</v>
      </c>
      <c r="BE907" s="50">
        <f t="shared" si="350"/>
        <v>6</v>
      </c>
      <c r="BF907" s="50">
        <f>VLOOKUP(AS907,Leyenda!$B$70:$D$75,3,FALSE)</f>
        <v>15</v>
      </c>
      <c r="BG907" s="110">
        <f t="shared" si="351"/>
        <v>51.741935483871025</v>
      </c>
      <c r="BH907" s="110">
        <f>VLOOKUP(AG907,Leyenda!$B$4:$E$10,4,FALSE)</f>
        <v>0</v>
      </c>
      <c r="BI907" s="67">
        <f t="shared" si="352"/>
        <v>19</v>
      </c>
      <c r="BJ907" s="110">
        <f t="shared" si="353"/>
        <v>17</v>
      </c>
      <c r="BK907" s="110">
        <f>+VLOOKUP('2. Logging Brejo Seco'!AP907,Leyenda!$B$47:$E$51,4,FALSE)</f>
        <v>0</v>
      </c>
      <c r="BL907" s="110">
        <f>+VLOOKUP('2. Logging Brejo Seco'!AQ907,Leyenda!$B$55:$E$59,4,FALSE)</f>
        <v>3</v>
      </c>
      <c r="BM907" s="110">
        <f>+VLOOKUP('2. Logging Brejo Seco'!AR907,Leyenda!$B$63:$E$67,3,FALSE)</f>
        <v>2</v>
      </c>
      <c r="BN907" s="110">
        <f>+VLOOKUP('2. Logging Brejo Seco'!AO907,Leyenda!$B$39:$E$43,4,FALSE)</f>
        <v>0</v>
      </c>
      <c r="BO907" s="110">
        <f>+VLOOKUP('2. Logging Brejo Seco'!AN907,Leyenda!$B$30:$E$34,4,FALSE)</f>
        <v>1</v>
      </c>
      <c r="BP907" s="110">
        <f>VLOOKUP(AS907,Leyenda!$B$71:$E$75,4,FALSE)</f>
        <v>10</v>
      </c>
      <c r="BQ907" s="110">
        <f t="shared" si="354"/>
        <v>52</v>
      </c>
      <c r="BR907" s="36">
        <f t="shared" si="355"/>
        <v>51</v>
      </c>
      <c r="BS907" s="240">
        <f t="shared" si="361"/>
        <v>0.12096774193548265</v>
      </c>
      <c r="BT907" s="6"/>
    </row>
    <row r="908" spans="1:72" x14ac:dyDescent="0.25">
      <c r="A908" s="18" t="s">
        <v>6</v>
      </c>
      <c r="B908" s="18">
        <v>2024</v>
      </c>
      <c r="C908" s="18" t="s">
        <v>138</v>
      </c>
      <c r="D908" s="18" t="s">
        <v>661</v>
      </c>
      <c r="E908" s="18">
        <v>20</v>
      </c>
      <c r="F908" s="191">
        <v>10</v>
      </c>
      <c r="G908" s="18" t="s">
        <v>135</v>
      </c>
      <c r="H908" s="244">
        <f t="shared" si="360"/>
        <v>10</v>
      </c>
      <c r="I908" s="244" t="s">
        <v>761</v>
      </c>
      <c r="J908" s="244"/>
      <c r="K908" s="18">
        <f t="shared" si="358"/>
        <v>31.99</v>
      </c>
      <c r="L908" s="18">
        <v>34.76</v>
      </c>
      <c r="M908" s="4">
        <f t="shared" si="343"/>
        <v>2.7699999999999996</v>
      </c>
      <c r="N908" s="113">
        <f t="shared" si="345"/>
        <v>0.8664259927797836</v>
      </c>
      <c r="O908" s="5">
        <f t="shared" si="356"/>
        <v>0.1335740072202164</v>
      </c>
      <c r="P908" s="4">
        <f>1.6+0.8</f>
        <v>2.4000000000000004</v>
      </c>
      <c r="Q908" s="18"/>
      <c r="R908" s="18"/>
      <c r="S908" s="18"/>
      <c r="T908" s="18">
        <v>2.4</v>
      </c>
      <c r="U908" s="18">
        <f>1.63</f>
        <v>1.63</v>
      </c>
      <c r="V908" s="18">
        <f t="shared" si="359"/>
        <v>58.844765342960294</v>
      </c>
      <c r="W908" s="18"/>
      <c r="X908" s="18"/>
      <c r="Y908" s="18">
        <v>14</v>
      </c>
      <c r="Z908" s="31">
        <f t="shared" ref="Z908:Z971" si="362">+IF(M908=0,"",(M908*1000)/Y908)</f>
        <v>197.85714285714283</v>
      </c>
      <c r="AA908" s="32"/>
      <c r="AB908" s="32"/>
      <c r="AC908" s="32"/>
      <c r="AD908" s="32"/>
      <c r="AE908" s="6"/>
      <c r="AF908" s="6"/>
      <c r="AG908" s="3" t="s">
        <v>24</v>
      </c>
      <c r="AH908" s="3" t="s">
        <v>24</v>
      </c>
      <c r="AI908" s="18" t="str">
        <f>+VLOOKUP(AH908,Leyenda!$O$4:$U$10,6,FALSE)</f>
        <v>0,50-0,80</v>
      </c>
      <c r="AJ908" s="18" t="str">
        <f>+VLOOKUP(AG908,Leyenda!$O$4:$U$10,7,FALSE)</f>
        <v>Fairly easy to blast</v>
      </c>
      <c r="AK908" s="18">
        <f>+VLOOKUP(AJ908,Leyenda!$U$4:$V$10,2,FALSE)</f>
        <v>4</v>
      </c>
      <c r="AL908" s="3"/>
      <c r="AM908" s="18" t="s">
        <v>24</v>
      </c>
      <c r="AN908" s="18" t="s">
        <v>64</v>
      </c>
      <c r="AO908" s="18" t="s">
        <v>79</v>
      </c>
      <c r="AP908" s="18" t="s">
        <v>100</v>
      </c>
      <c r="AQ908" s="18" t="s">
        <v>105</v>
      </c>
      <c r="AR908" s="18" t="s">
        <v>118</v>
      </c>
      <c r="AS908" s="18" t="s">
        <v>267</v>
      </c>
      <c r="AT908" s="18"/>
      <c r="AU908" s="6"/>
      <c r="AV908" s="36">
        <f>+VLOOKUP(AN908,Leyenda!$B$30:$E$34,3,FALSE)</f>
        <v>2</v>
      </c>
      <c r="AW908" s="36">
        <f>+VLOOKUP('2. Logging Brejo Seco'!AO908,Meteorizacion,3,FALSE)</f>
        <v>1</v>
      </c>
      <c r="AX908" s="36">
        <f>+VLOOKUP('2. Logging Brejo Seco'!AP908,Apertura,3,FALSE)</f>
        <v>0</v>
      </c>
      <c r="AY908" s="36">
        <f>+VLOOKUP('2. Logging Brejo Seco'!AQ908,Leyenda!$B$55:$D$59,3,FALSE)</f>
        <v>4</v>
      </c>
      <c r="AZ908" s="36">
        <f>+VLOOKUP('2. Logging Brejo Seco'!AR908,Relleno,3,FALSE)</f>
        <v>2</v>
      </c>
      <c r="BA908" s="36">
        <f t="shared" si="347"/>
        <v>9</v>
      </c>
      <c r="BB908" s="50">
        <f t="shared" si="348"/>
        <v>12</v>
      </c>
      <c r="BC908" s="49">
        <f>VLOOKUP(AH908,Leyenda!$B$4:$D$10,3,FALSE)</f>
        <v>7</v>
      </c>
      <c r="BD908" s="50">
        <f t="shared" si="349"/>
        <v>9</v>
      </c>
      <c r="BE908" s="50">
        <f t="shared" si="350"/>
        <v>9</v>
      </c>
      <c r="BF908" s="50">
        <f>VLOOKUP(AS908,Leyenda!$B$70:$D$75,3,FALSE)</f>
        <v>15</v>
      </c>
      <c r="BG908" s="110">
        <f t="shared" si="351"/>
        <v>42.92238267148015</v>
      </c>
      <c r="BH908" s="110">
        <f>VLOOKUP(AG908,Leyenda!$B$4:$E$10,4,FALSE)</f>
        <v>7</v>
      </c>
      <c r="BI908" s="67">
        <f t="shared" si="352"/>
        <v>12</v>
      </c>
      <c r="BJ908" s="110">
        <f t="shared" si="353"/>
        <v>12</v>
      </c>
      <c r="BK908" s="110">
        <f>+VLOOKUP('2. Logging Brejo Seco'!AP908,Leyenda!$B$47:$E$51,4,FALSE)</f>
        <v>0</v>
      </c>
      <c r="BL908" s="110">
        <f>+VLOOKUP('2. Logging Brejo Seco'!AQ908,Leyenda!$B$55:$E$59,4,FALSE)</f>
        <v>4</v>
      </c>
      <c r="BM908" s="110">
        <f>+VLOOKUP('2. Logging Brejo Seco'!AR908,Leyenda!$B$63:$E$67,3,FALSE)</f>
        <v>2</v>
      </c>
      <c r="BN908" s="110">
        <f>+VLOOKUP('2. Logging Brejo Seco'!AO908,Leyenda!$B$39:$E$43,4,FALSE)</f>
        <v>1</v>
      </c>
      <c r="BO908" s="110">
        <f>+VLOOKUP('2. Logging Brejo Seco'!AN908,Leyenda!$B$30:$E$34,4,FALSE)</f>
        <v>3</v>
      </c>
      <c r="BP908" s="110">
        <f>VLOOKUP(AS908,Leyenda!$B$71:$E$75,4,FALSE)</f>
        <v>10</v>
      </c>
      <c r="BQ908" s="110">
        <f t="shared" si="354"/>
        <v>51</v>
      </c>
      <c r="BR908" s="36">
        <f t="shared" si="355"/>
        <v>52</v>
      </c>
      <c r="BS908" s="240">
        <f t="shared" si="361"/>
        <v>0.1335740072202164</v>
      </c>
      <c r="BT908" s="6"/>
    </row>
    <row r="909" spans="1:72" x14ac:dyDescent="0.25">
      <c r="A909" s="18" t="s">
        <v>6</v>
      </c>
      <c r="B909" s="18">
        <v>2024</v>
      </c>
      <c r="C909" s="18" t="s">
        <v>138</v>
      </c>
      <c r="D909" s="18" t="s">
        <v>661</v>
      </c>
      <c r="E909" s="18">
        <v>10</v>
      </c>
      <c r="F909" s="191">
        <v>10</v>
      </c>
      <c r="G909" s="18" t="s">
        <v>135</v>
      </c>
      <c r="H909" s="244">
        <f t="shared" si="360"/>
        <v>10</v>
      </c>
      <c r="I909" s="244" t="s">
        <v>761</v>
      </c>
      <c r="J909" s="244"/>
      <c r="K909" s="18">
        <f t="shared" si="358"/>
        <v>34.76</v>
      </c>
      <c r="L909" s="18">
        <v>36.76</v>
      </c>
      <c r="M909" s="4">
        <f t="shared" si="343"/>
        <v>2</v>
      </c>
      <c r="N909" s="113">
        <f t="shared" si="345"/>
        <v>0.91</v>
      </c>
      <c r="O909" s="5">
        <f t="shared" si="356"/>
        <v>8.9999999999999969E-2</v>
      </c>
      <c r="P909" s="4">
        <v>1.82</v>
      </c>
      <c r="Q909" s="18"/>
      <c r="R909" s="18"/>
      <c r="S909" s="18"/>
      <c r="T909" s="18">
        <v>1.82</v>
      </c>
      <c r="U909" s="18">
        <v>1.24</v>
      </c>
      <c r="V909" s="18">
        <f t="shared" si="359"/>
        <v>62</v>
      </c>
      <c r="W909" s="18"/>
      <c r="X909" s="18"/>
      <c r="Y909" s="18">
        <v>10</v>
      </c>
      <c r="Z909" s="31">
        <f t="shared" si="362"/>
        <v>200</v>
      </c>
      <c r="AA909" s="6"/>
      <c r="AB909" s="6"/>
      <c r="AC909" s="6"/>
      <c r="AD909" s="6"/>
      <c r="AE909" s="6"/>
      <c r="AF909" s="6"/>
      <c r="AG909" s="3" t="s">
        <v>24</v>
      </c>
      <c r="AH909" s="3" t="s">
        <v>24</v>
      </c>
      <c r="AI909" s="18" t="str">
        <f>+VLOOKUP(AH909,Leyenda!$O$4:$U$10,6,FALSE)</f>
        <v>0,50-0,80</v>
      </c>
      <c r="AJ909" s="18" t="str">
        <f>+VLOOKUP(AG909,Leyenda!$O$4:$U$10,7,FALSE)</f>
        <v>Fairly easy to blast</v>
      </c>
      <c r="AK909" s="18">
        <f>+VLOOKUP(AJ909,Leyenda!$U$4:$V$10,2,FALSE)</f>
        <v>4</v>
      </c>
      <c r="AL909" s="3"/>
      <c r="AM909" s="18" t="s">
        <v>24</v>
      </c>
      <c r="AN909" s="18" t="s">
        <v>64</v>
      </c>
      <c r="AO909" s="18" t="s">
        <v>79</v>
      </c>
      <c r="AP909" s="18" t="s">
        <v>100</v>
      </c>
      <c r="AQ909" s="18" t="s">
        <v>105</v>
      </c>
      <c r="AR909" s="18" t="s">
        <v>118</v>
      </c>
      <c r="AS909" s="18" t="s">
        <v>267</v>
      </c>
      <c r="AT909" s="18"/>
      <c r="AU909" s="6"/>
      <c r="AV909" s="36">
        <f>+VLOOKUP(AN909,Leyenda!$B$30:$E$34,3,FALSE)</f>
        <v>2</v>
      </c>
      <c r="AW909" s="36">
        <f>+VLOOKUP('2. Logging Brejo Seco'!AO909,Meteorizacion,3,FALSE)</f>
        <v>1</v>
      </c>
      <c r="AX909" s="36">
        <f>+VLOOKUP('2. Logging Brejo Seco'!AP909,Apertura,3,FALSE)</f>
        <v>0</v>
      </c>
      <c r="AY909" s="36">
        <f>+VLOOKUP('2. Logging Brejo Seco'!AQ909,Leyenda!$B$55:$D$59,3,FALSE)</f>
        <v>4</v>
      </c>
      <c r="AZ909" s="36">
        <f>+VLOOKUP('2. Logging Brejo Seco'!AR909,Relleno,3,FALSE)</f>
        <v>2</v>
      </c>
      <c r="BA909" s="36">
        <f t="shared" si="347"/>
        <v>9</v>
      </c>
      <c r="BB909" s="50">
        <f t="shared" si="348"/>
        <v>13</v>
      </c>
      <c r="BC909" s="49">
        <f>VLOOKUP(AH909,Leyenda!$B$4:$D$10,3,FALSE)</f>
        <v>7</v>
      </c>
      <c r="BD909" s="50">
        <f t="shared" si="349"/>
        <v>9</v>
      </c>
      <c r="BE909" s="50">
        <f t="shared" si="350"/>
        <v>9</v>
      </c>
      <c r="BF909" s="50">
        <f>VLOOKUP(AS909,Leyenda!$B$70:$D$75,3,FALSE)</f>
        <v>15</v>
      </c>
      <c r="BG909" s="110">
        <f t="shared" si="351"/>
        <v>44.5</v>
      </c>
      <c r="BH909" s="110">
        <f>VLOOKUP(AG909,Leyenda!$B$4:$E$10,4,FALSE)</f>
        <v>7</v>
      </c>
      <c r="BI909" s="67">
        <f t="shared" si="352"/>
        <v>12</v>
      </c>
      <c r="BJ909" s="110">
        <f t="shared" si="353"/>
        <v>13</v>
      </c>
      <c r="BK909" s="110">
        <f>+VLOOKUP('2. Logging Brejo Seco'!AP909,Leyenda!$B$47:$E$51,4,FALSE)</f>
        <v>0</v>
      </c>
      <c r="BL909" s="110">
        <f>+VLOOKUP('2. Logging Brejo Seco'!AQ909,Leyenda!$B$55:$E$59,4,FALSE)</f>
        <v>4</v>
      </c>
      <c r="BM909" s="110">
        <f>+VLOOKUP('2. Logging Brejo Seco'!AR909,Leyenda!$B$63:$E$67,3,FALSE)</f>
        <v>2</v>
      </c>
      <c r="BN909" s="110">
        <f>+VLOOKUP('2. Logging Brejo Seco'!AO909,Leyenda!$B$39:$E$43,4,FALSE)</f>
        <v>1</v>
      </c>
      <c r="BO909" s="110">
        <f>+VLOOKUP('2. Logging Brejo Seco'!AN909,Leyenda!$B$30:$E$34,4,FALSE)</f>
        <v>3</v>
      </c>
      <c r="BP909" s="110">
        <f>VLOOKUP(AS909,Leyenda!$B$71:$E$75,4,FALSE)</f>
        <v>10</v>
      </c>
      <c r="BQ909" s="110">
        <f t="shared" si="354"/>
        <v>52</v>
      </c>
      <c r="BR909" s="36">
        <f t="shared" si="355"/>
        <v>53</v>
      </c>
      <c r="BS909" s="240">
        <f t="shared" si="361"/>
        <v>8.9999999999999969E-2</v>
      </c>
      <c r="BT909" s="6"/>
    </row>
    <row r="910" spans="1:72" x14ac:dyDescent="0.25">
      <c r="A910" s="18" t="s">
        <v>6</v>
      </c>
      <c r="B910" s="18">
        <v>2024</v>
      </c>
      <c r="C910" s="18" t="s">
        <v>138</v>
      </c>
      <c r="D910" s="18" t="s">
        <v>661</v>
      </c>
      <c r="E910" s="18">
        <v>10</v>
      </c>
      <c r="F910" s="191">
        <v>10</v>
      </c>
      <c r="G910" s="18" t="s">
        <v>135</v>
      </c>
      <c r="H910" s="244">
        <f t="shared" si="360"/>
        <v>10</v>
      </c>
      <c r="I910" s="244" t="s">
        <v>761</v>
      </c>
      <c r="J910" s="244"/>
      <c r="K910" s="18">
        <f t="shared" si="358"/>
        <v>36.76</v>
      </c>
      <c r="L910" s="18">
        <v>37.979999999999997</v>
      </c>
      <c r="M910" s="4">
        <f t="shared" si="343"/>
        <v>1.2199999999999989</v>
      </c>
      <c r="N910" s="113">
        <f t="shared" si="345"/>
        <v>0.95901639344262379</v>
      </c>
      <c r="O910" s="5">
        <f t="shared" si="356"/>
        <v>4.0983606557376207E-2</v>
      </c>
      <c r="P910" s="3">
        <v>1.17</v>
      </c>
      <c r="Q910" s="6"/>
      <c r="R910" s="6"/>
      <c r="S910" s="6"/>
      <c r="T910" s="6">
        <v>1.17</v>
      </c>
      <c r="U910" s="6">
        <v>1.04</v>
      </c>
      <c r="V910" s="18">
        <f t="shared" si="359"/>
        <v>85.245901639344339</v>
      </c>
      <c r="W910" s="6"/>
      <c r="X910" s="6"/>
      <c r="Y910" s="18">
        <v>3</v>
      </c>
      <c r="Z910" s="31">
        <f t="shared" si="362"/>
        <v>406.66666666666629</v>
      </c>
      <c r="AA910" s="6"/>
      <c r="AB910" s="6"/>
      <c r="AC910" s="6"/>
      <c r="AD910" s="6"/>
      <c r="AE910" s="6"/>
      <c r="AF910" s="6"/>
      <c r="AG910" s="3" t="s">
        <v>24</v>
      </c>
      <c r="AH910" s="3" t="s">
        <v>24</v>
      </c>
      <c r="AI910" s="18" t="str">
        <f>+VLOOKUP(AH910,Leyenda!$O$4:$U$10,6,FALSE)</f>
        <v>0,50-0,80</v>
      </c>
      <c r="AJ910" s="18" t="str">
        <f>+VLOOKUP(AG910,Leyenda!$O$4:$U$10,7,FALSE)</f>
        <v>Fairly easy to blast</v>
      </c>
      <c r="AK910" s="18">
        <f>+VLOOKUP(AJ910,Leyenda!$U$4:$V$10,2,FALSE)</f>
        <v>4</v>
      </c>
      <c r="AL910" s="3"/>
      <c r="AM910" s="18" t="s">
        <v>24</v>
      </c>
      <c r="AN910" s="18" t="s">
        <v>64</v>
      </c>
      <c r="AO910" s="18" t="s">
        <v>79</v>
      </c>
      <c r="AP910" s="18" t="s">
        <v>100</v>
      </c>
      <c r="AQ910" s="18" t="s">
        <v>105</v>
      </c>
      <c r="AR910" s="18" t="s">
        <v>118</v>
      </c>
      <c r="AS910" s="18" t="s">
        <v>267</v>
      </c>
      <c r="AT910" s="18"/>
      <c r="AU910" s="6"/>
      <c r="AV910" s="36">
        <f>+VLOOKUP(AN910,Leyenda!$B$30:$E$34,3,FALSE)</f>
        <v>2</v>
      </c>
      <c r="AW910" s="36">
        <f>+VLOOKUP('2. Logging Brejo Seco'!AO910,Meteorizacion,3,FALSE)</f>
        <v>1</v>
      </c>
      <c r="AX910" s="36">
        <f>+VLOOKUP('2. Logging Brejo Seco'!AP910,Apertura,3,FALSE)</f>
        <v>0</v>
      </c>
      <c r="AY910" s="36">
        <f>+VLOOKUP('2. Logging Brejo Seco'!AQ910,Leyenda!$B$55:$D$59,3,FALSE)</f>
        <v>4</v>
      </c>
      <c r="AZ910" s="36">
        <f>+VLOOKUP('2. Logging Brejo Seco'!AR910,Relleno,3,FALSE)</f>
        <v>2</v>
      </c>
      <c r="BA910" s="36">
        <f t="shared" si="347"/>
        <v>9</v>
      </c>
      <c r="BB910" s="50">
        <f t="shared" si="348"/>
        <v>17</v>
      </c>
      <c r="BC910" s="49">
        <f>VLOOKUP(AH910,Leyenda!$B$4:$D$10,3,FALSE)</f>
        <v>7</v>
      </c>
      <c r="BD910" s="50">
        <f t="shared" si="349"/>
        <v>12</v>
      </c>
      <c r="BE910" s="50">
        <f t="shared" si="350"/>
        <v>9</v>
      </c>
      <c r="BF910" s="50">
        <f>VLOOKUP(AS910,Leyenda!$B$70:$D$75,3,FALSE)</f>
        <v>15</v>
      </c>
      <c r="BG910" s="110">
        <f t="shared" si="351"/>
        <v>56.12295081967217</v>
      </c>
      <c r="BH910" s="110">
        <f>VLOOKUP(AG910,Leyenda!$B$4:$E$10,4,FALSE)</f>
        <v>7</v>
      </c>
      <c r="BI910" s="67">
        <f t="shared" si="352"/>
        <v>17</v>
      </c>
      <c r="BJ910" s="110">
        <f t="shared" si="353"/>
        <v>17</v>
      </c>
      <c r="BK910" s="110">
        <f>+VLOOKUP('2. Logging Brejo Seco'!AP910,Leyenda!$B$47:$E$51,4,FALSE)</f>
        <v>0</v>
      </c>
      <c r="BL910" s="110">
        <f>+VLOOKUP('2. Logging Brejo Seco'!AQ910,Leyenda!$B$55:$E$59,4,FALSE)</f>
        <v>4</v>
      </c>
      <c r="BM910" s="110">
        <f>+VLOOKUP('2. Logging Brejo Seco'!AR910,Leyenda!$B$63:$E$67,3,FALSE)</f>
        <v>2</v>
      </c>
      <c r="BN910" s="110">
        <f>+VLOOKUP('2. Logging Brejo Seco'!AO910,Leyenda!$B$39:$E$43,4,FALSE)</f>
        <v>1</v>
      </c>
      <c r="BO910" s="110">
        <f>+VLOOKUP('2. Logging Brejo Seco'!AN910,Leyenda!$B$30:$E$34,4,FALSE)</f>
        <v>3</v>
      </c>
      <c r="BP910" s="110">
        <f>VLOOKUP(AS910,Leyenda!$B$71:$E$75,4,FALSE)</f>
        <v>10</v>
      </c>
      <c r="BQ910" s="110">
        <f t="shared" si="354"/>
        <v>61</v>
      </c>
      <c r="BR910" s="36">
        <f t="shared" si="355"/>
        <v>60</v>
      </c>
      <c r="BS910" s="240">
        <f t="shared" si="361"/>
        <v>4.0983606557376207E-2</v>
      </c>
      <c r="BT910" s="6"/>
    </row>
    <row r="911" spans="1:72" x14ac:dyDescent="0.25">
      <c r="A911" s="18" t="s">
        <v>6</v>
      </c>
      <c r="B911" s="18">
        <v>2024</v>
      </c>
      <c r="C911" s="18" t="s">
        <v>138</v>
      </c>
      <c r="D911" s="18" t="s">
        <v>661</v>
      </c>
      <c r="E911" s="18">
        <v>10</v>
      </c>
      <c r="F911" s="192">
        <v>10</v>
      </c>
      <c r="G911" s="18" t="s">
        <v>135</v>
      </c>
      <c r="H911" s="244">
        <f t="shared" si="360"/>
        <v>10</v>
      </c>
      <c r="I911" s="244" t="s">
        <v>761</v>
      </c>
      <c r="J911" s="244"/>
      <c r="K911" s="18">
        <f t="shared" si="358"/>
        <v>37.979999999999997</v>
      </c>
      <c r="L911" s="18">
        <v>40</v>
      </c>
      <c r="M911" s="4">
        <f t="shared" ref="M911:M974" si="363">+L911-K911</f>
        <v>2.0200000000000031</v>
      </c>
      <c r="N911" s="113">
        <f t="shared" si="345"/>
        <v>0.91584158415841443</v>
      </c>
      <c r="O911" s="5">
        <f t="shared" si="356"/>
        <v>8.4158415841585565E-2</v>
      </c>
      <c r="P911" s="18">
        <v>1.85</v>
      </c>
      <c r="Q911" s="185"/>
      <c r="R911" s="6"/>
      <c r="S911" s="6"/>
      <c r="T911" s="6">
        <f>1.38+0.47</f>
        <v>1.8499999999999999</v>
      </c>
      <c r="U911" s="6">
        <f>1.12+0.3</f>
        <v>1.4200000000000002</v>
      </c>
      <c r="V911" s="18">
        <f t="shared" si="359"/>
        <v>70.297029702970192</v>
      </c>
      <c r="W911" s="6"/>
      <c r="X911" s="6"/>
      <c r="Y911" s="6">
        <v>9</v>
      </c>
      <c r="Z911" s="31">
        <f t="shared" si="362"/>
        <v>224.4444444444448</v>
      </c>
      <c r="AA911" s="6"/>
      <c r="AB911" s="6"/>
      <c r="AC911" s="6"/>
      <c r="AD911" s="6"/>
      <c r="AE911" s="6"/>
      <c r="AF911" s="6"/>
      <c r="AG911" s="3" t="s">
        <v>24</v>
      </c>
      <c r="AH911" s="3" t="s">
        <v>24</v>
      </c>
      <c r="AI911" s="18" t="str">
        <f>+VLOOKUP(AH911,Leyenda!$O$4:$U$10,6,FALSE)</f>
        <v>0,50-0,80</v>
      </c>
      <c r="AJ911" s="18" t="str">
        <f>+VLOOKUP(AG911,Leyenda!$O$4:$U$10,7,FALSE)</f>
        <v>Fairly easy to blast</v>
      </c>
      <c r="AK911" s="18">
        <f>+VLOOKUP(AJ911,Leyenda!$U$4:$V$10,2,FALSE)</f>
        <v>4</v>
      </c>
      <c r="AL911" s="3"/>
      <c r="AM911" s="18" t="s">
        <v>24</v>
      </c>
      <c r="AN911" s="18" t="s">
        <v>64</v>
      </c>
      <c r="AO911" s="18" t="s">
        <v>79</v>
      </c>
      <c r="AP911" s="18" t="s">
        <v>100</v>
      </c>
      <c r="AQ911" s="18" t="s">
        <v>105</v>
      </c>
      <c r="AR911" s="18" t="s">
        <v>118</v>
      </c>
      <c r="AS911" s="18" t="s">
        <v>267</v>
      </c>
      <c r="AT911" s="18"/>
      <c r="AU911" s="6"/>
      <c r="AV911" s="36">
        <f>+VLOOKUP(AN911,Leyenda!$B$30:$E$34,3,FALSE)</f>
        <v>2</v>
      </c>
      <c r="AW911" s="36">
        <f>+VLOOKUP('2. Logging Brejo Seco'!AO911,Meteorizacion,3,FALSE)</f>
        <v>1</v>
      </c>
      <c r="AX911" s="36">
        <f>+VLOOKUP('2. Logging Brejo Seco'!AP911,Apertura,3,FALSE)</f>
        <v>0</v>
      </c>
      <c r="AY911" s="36">
        <f>+VLOOKUP('2. Logging Brejo Seco'!AQ911,Leyenda!$B$55:$D$59,3,FALSE)</f>
        <v>4</v>
      </c>
      <c r="AZ911" s="36">
        <f>+VLOOKUP('2. Logging Brejo Seco'!AR911,Relleno,3,FALSE)</f>
        <v>2</v>
      </c>
      <c r="BA911" s="36">
        <f t="shared" si="347"/>
        <v>9</v>
      </c>
      <c r="BB911" s="50">
        <f t="shared" si="348"/>
        <v>14</v>
      </c>
      <c r="BC911" s="49">
        <f>VLOOKUP(AH911,Leyenda!$B$4:$D$10,3,FALSE)</f>
        <v>7</v>
      </c>
      <c r="BD911" s="50">
        <f t="shared" si="349"/>
        <v>9</v>
      </c>
      <c r="BE911" s="50">
        <f t="shared" si="350"/>
        <v>9</v>
      </c>
      <c r="BF911" s="50">
        <f>VLOOKUP(AS911,Leyenda!$B$70:$D$75,3,FALSE)</f>
        <v>15</v>
      </c>
      <c r="BG911" s="110">
        <f t="shared" si="351"/>
        <v>48.648514851485096</v>
      </c>
      <c r="BH911" s="110">
        <f>VLOOKUP(AG911,Leyenda!$B$4:$E$10,4,FALSE)</f>
        <v>7</v>
      </c>
      <c r="BI911" s="67">
        <f t="shared" si="352"/>
        <v>13</v>
      </c>
      <c r="BJ911" s="110">
        <f t="shared" si="353"/>
        <v>14</v>
      </c>
      <c r="BK911" s="110">
        <f>+VLOOKUP('2. Logging Brejo Seco'!AP911,Leyenda!$B$47:$E$51,4,FALSE)</f>
        <v>0</v>
      </c>
      <c r="BL911" s="110">
        <f>+VLOOKUP('2. Logging Brejo Seco'!AQ911,Leyenda!$B$55:$E$59,4,FALSE)</f>
        <v>4</v>
      </c>
      <c r="BM911" s="110">
        <f>+VLOOKUP('2. Logging Brejo Seco'!AR911,Leyenda!$B$63:$E$67,3,FALSE)</f>
        <v>2</v>
      </c>
      <c r="BN911" s="110">
        <f>+VLOOKUP('2. Logging Brejo Seco'!AO911,Leyenda!$B$39:$E$43,4,FALSE)</f>
        <v>1</v>
      </c>
      <c r="BO911" s="110">
        <f>+VLOOKUP('2. Logging Brejo Seco'!AN911,Leyenda!$B$30:$E$34,4,FALSE)</f>
        <v>3</v>
      </c>
      <c r="BP911" s="110">
        <f>VLOOKUP(AS911,Leyenda!$B$71:$E$75,4,FALSE)</f>
        <v>10</v>
      </c>
      <c r="BQ911" s="110">
        <f t="shared" si="354"/>
        <v>54</v>
      </c>
      <c r="BR911" s="36">
        <f t="shared" si="355"/>
        <v>54</v>
      </c>
      <c r="BS911" s="240">
        <f t="shared" si="361"/>
        <v>8.4158415841585565E-2</v>
      </c>
      <c r="BT911" s="6"/>
    </row>
    <row r="912" spans="1:72" ht="14.45" customHeight="1" x14ac:dyDescent="0.25">
      <c r="A912" s="18" t="s">
        <v>6</v>
      </c>
      <c r="B912" s="18">
        <v>2024</v>
      </c>
      <c r="C912" s="18" t="s">
        <v>138</v>
      </c>
      <c r="D912" s="35" t="s">
        <v>662</v>
      </c>
      <c r="E912" s="18">
        <v>60</v>
      </c>
      <c r="F912" s="192">
        <v>60</v>
      </c>
      <c r="G912" s="3" t="s">
        <v>136</v>
      </c>
      <c r="H912" s="245">
        <f>+F912</f>
        <v>60</v>
      </c>
      <c r="I912" s="245" t="s">
        <v>762</v>
      </c>
      <c r="J912" s="245"/>
      <c r="K912" s="18">
        <v>0</v>
      </c>
      <c r="L912" s="18">
        <v>0.7</v>
      </c>
      <c r="M912" s="4">
        <f t="shared" si="363"/>
        <v>0.7</v>
      </c>
      <c r="N912" s="113">
        <f t="shared" si="345"/>
        <v>0.82857142857142851</v>
      </c>
      <c r="O912" s="5">
        <f t="shared" si="356"/>
        <v>0.17142857142857149</v>
      </c>
      <c r="P912" s="18">
        <v>0.57999999999999996</v>
      </c>
      <c r="Q912" s="185"/>
      <c r="R912" s="6"/>
      <c r="S912" s="6"/>
      <c r="T912" s="6">
        <v>0.57999999999999996</v>
      </c>
      <c r="U912" s="6">
        <v>0</v>
      </c>
      <c r="V912" s="18">
        <f t="shared" si="359"/>
        <v>0</v>
      </c>
      <c r="W912" s="6"/>
      <c r="X912" s="6"/>
      <c r="Y912" s="6">
        <v>20</v>
      </c>
      <c r="Z912" s="31">
        <f t="shared" si="362"/>
        <v>35</v>
      </c>
      <c r="AA912" s="6"/>
      <c r="AB912" s="6"/>
      <c r="AC912" s="6"/>
      <c r="AD912" s="6"/>
      <c r="AE912" s="6"/>
      <c r="AF912" s="6"/>
      <c r="AG912" s="18" t="s">
        <v>34</v>
      </c>
      <c r="AH912" s="18" t="s">
        <v>34</v>
      </c>
      <c r="AI912" s="18">
        <f>+VLOOKUP(AH912,Leyenda!$O$4:$U$10,6,FALSE)</f>
        <v>0</v>
      </c>
      <c r="AJ912" s="18" t="str">
        <f>+VLOOKUP(AG912,Leyenda!$O$4:$U$10,7,FALSE)</f>
        <v>No Blasting need</v>
      </c>
      <c r="AK912" s="18">
        <f>+VLOOKUP(AJ912,Leyenda!$U$4:$V$10,2,FALSE)</f>
        <v>2</v>
      </c>
      <c r="AL912" s="6"/>
      <c r="AM912" s="18" t="s">
        <v>34</v>
      </c>
      <c r="AN912" s="18" t="s">
        <v>69</v>
      </c>
      <c r="AO912" s="18" t="s">
        <v>81</v>
      </c>
      <c r="AP912" s="18" t="s">
        <v>100</v>
      </c>
      <c r="AQ912" s="18" t="s">
        <v>111</v>
      </c>
      <c r="AR912" s="18" t="s">
        <v>120</v>
      </c>
      <c r="AS912" s="18" t="s">
        <v>267</v>
      </c>
      <c r="AT912" s="18"/>
      <c r="AU912" s="6"/>
      <c r="AV912" s="36">
        <f>+VLOOKUP(AN912,Leyenda!$B$30:$E$34,3,FALSE)</f>
        <v>0</v>
      </c>
      <c r="AW912" s="36">
        <f>+VLOOKUP('2. Logging Brejo Seco'!AO912,Meteorizacion,3,FALSE)</f>
        <v>0</v>
      </c>
      <c r="AX912" s="36">
        <f>+VLOOKUP('2. Logging Brejo Seco'!AP912,Apertura,3,FALSE)</f>
        <v>0</v>
      </c>
      <c r="AY912" s="36">
        <f>+VLOOKUP('2. Logging Brejo Seco'!AQ912,Leyenda!$B$55:$D$59,3,FALSE)</f>
        <v>0</v>
      </c>
      <c r="AZ912" s="36">
        <f>+VLOOKUP('2. Logging Brejo Seco'!AR912,Relleno,3,FALSE)</f>
        <v>2</v>
      </c>
      <c r="BA912" s="36">
        <f t="shared" si="347"/>
        <v>2</v>
      </c>
      <c r="BB912" s="50">
        <f t="shared" si="348"/>
        <v>0</v>
      </c>
      <c r="BC912" s="49">
        <f>VLOOKUP(AH912,Leyenda!$B$4:$D$10,3,FALSE)</f>
        <v>0</v>
      </c>
      <c r="BD912" s="50">
        <f t="shared" si="349"/>
        <v>5</v>
      </c>
      <c r="BE912" s="50">
        <f t="shared" si="350"/>
        <v>2</v>
      </c>
      <c r="BF912" s="50">
        <f>VLOOKUP(AS912,Leyenda!$B$70:$D$75,3,FALSE)</f>
        <v>15</v>
      </c>
      <c r="BG912" s="110">
        <f t="shared" si="351"/>
        <v>3</v>
      </c>
      <c r="BH912" s="110">
        <f>VLOOKUP(AG912,Leyenda!$B$4:$E$10,4,FALSE)</f>
        <v>0</v>
      </c>
      <c r="BI912" s="67">
        <f t="shared" si="352"/>
        <v>5</v>
      </c>
      <c r="BJ912" s="110">
        <f t="shared" si="353"/>
        <v>0</v>
      </c>
      <c r="BK912" s="110">
        <f>+VLOOKUP('2. Logging Brejo Seco'!AP912,Leyenda!$B$47:$E$51,4,FALSE)</f>
        <v>0</v>
      </c>
      <c r="BL912" s="110">
        <f>+VLOOKUP('2. Logging Brejo Seco'!AQ912,Leyenda!$B$55:$E$59,4,FALSE)</f>
        <v>0</v>
      </c>
      <c r="BM912" s="110">
        <f>+VLOOKUP('2. Logging Brejo Seco'!AR912,Leyenda!$B$63:$E$67,3,FALSE)</f>
        <v>2</v>
      </c>
      <c r="BN912" s="110">
        <f>+VLOOKUP('2. Logging Brejo Seco'!AO912,Leyenda!$B$39:$E$43,4,FALSE)</f>
        <v>0</v>
      </c>
      <c r="BO912" s="110">
        <f>+VLOOKUP('2. Logging Brejo Seco'!AN912,Leyenda!$B$30:$E$34,4,FALSE)</f>
        <v>0</v>
      </c>
      <c r="BP912" s="110">
        <f>VLOOKUP(AS912,Leyenda!$B$71:$E$75,4,FALSE)</f>
        <v>10</v>
      </c>
      <c r="BQ912" s="110">
        <f t="shared" si="354"/>
        <v>17</v>
      </c>
      <c r="BR912" s="36">
        <f t="shared" si="355"/>
        <v>22</v>
      </c>
      <c r="BS912" s="240">
        <f t="shared" si="361"/>
        <v>0.17142857142857149</v>
      </c>
      <c r="BT912" s="6"/>
    </row>
    <row r="913" spans="1:72" ht="14.45" customHeight="1" x14ac:dyDescent="0.25">
      <c r="A913" s="18" t="s">
        <v>6</v>
      </c>
      <c r="B913" s="18">
        <v>2024</v>
      </c>
      <c r="C913" s="18" t="s">
        <v>138</v>
      </c>
      <c r="D913" s="18" t="s">
        <v>662</v>
      </c>
      <c r="E913" s="18">
        <v>60</v>
      </c>
      <c r="F913" s="192">
        <v>60</v>
      </c>
      <c r="G913" s="3" t="s">
        <v>136</v>
      </c>
      <c r="H913" s="245">
        <f t="shared" ref="H913:H914" si="364">+F913</f>
        <v>60</v>
      </c>
      <c r="I913" s="245" t="s">
        <v>762</v>
      </c>
      <c r="J913" s="245"/>
      <c r="K913" s="18">
        <f>+L912</f>
        <v>0.7</v>
      </c>
      <c r="L913" s="18">
        <v>1.4</v>
      </c>
      <c r="M913" s="4">
        <f t="shared" si="363"/>
        <v>0.7</v>
      </c>
      <c r="N913" s="113">
        <f t="shared" si="345"/>
        <v>0.7142857142857143</v>
      </c>
      <c r="O913" s="5">
        <f t="shared" si="356"/>
        <v>0.2857142857142857</v>
      </c>
      <c r="P913" s="18">
        <v>0.5</v>
      </c>
      <c r="Q913" s="185"/>
      <c r="R913" s="6"/>
      <c r="S913" s="6"/>
      <c r="T913" s="6">
        <v>0.5</v>
      </c>
      <c r="U913" s="6">
        <v>0</v>
      </c>
      <c r="V913" s="18">
        <f t="shared" si="359"/>
        <v>0</v>
      </c>
      <c r="W913" s="6"/>
      <c r="X913" s="6"/>
      <c r="Y913" s="6">
        <v>20</v>
      </c>
      <c r="Z913" s="31">
        <f t="shared" si="362"/>
        <v>35</v>
      </c>
      <c r="AA913" s="6"/>
      <c r="AB913" s="6"/>
      <c r="AC913" s="6"/>
      <c r="AD913" s="6"/>
      <c r="AE913" s="6"/>
      <c r="AF913" s="6"/>
      <c r="AG913" s="18" t="s">
        <v>34</v>
      </c>
      <c r="AH913" s="18" t="s">
        <v>34</v>
      </c>
      <c r="AI913" s="18">
        <f>+VLOOKUP(AH913,Leyenda!$O$4:$U$10,6,FALSE)</f>
        <v>0</v>
      </c>
      <c r="AJ913" s="18" t="str">
        <f>+VLOOKUP(AG913,Leyenda!$O$4:$U$10,7,FALSE)</f>
        <v>No Blasting need</v>
      </c>
      <c r="AK913" s="18">
        <f>+VLOOKUP(AJ913,Leyenda!$U$4:$V$10,2,FALSE)</f>
        <v>2</v>
      </c>
      <c r="AL913" s="6"/>
      <c r="AM913" s="18" t="s">
        <v>34</v>
      </c>
      <c r="AN913" s="18" t="s">
        <v>69</v>
      </c>
      <c r="AO913" s="18" t="s">
        <v>81</v>
      </c>
      <c r="AP913" s="18" t="s">
        <v>100</v>
      </c>
      <c r="AQ913" s="18" t="s">
        <v>111</v>
      </c>
      <c r="AR913" s="18" t="s">
        <v>120</v>
      </c>
      <c r="AS913" s="18" t="s">
        <v>267</v>
      </c>
      <c r="AT913" s="18"/>
      <c r="AU913" s="6"/>
      <c r="AV913" s="36">
        <f>+VLOOKUP(AN913,Leyenda!$B$30:$E$34,3,FALSE)</f>
        <v>0</v>
      </c>
      <c r="AW913" s="36">
        <f>+VLOOKUP('2. Logging Brejo Seco'!AO913,Meteorizacion,3,FALSE)</f>
        <v>0</v>
      </c>
      <c r="AX913" s="36">
        <f>+VLOOKUP('2. Logging Brejo Seco'!AP913,Apertura,3,FALSE)</f>
        <v>0</v>
      </c>
      <c r="AY913" s="36">
        <f>+VLOOKUP('2. Logging Brejo Seco'!AQ913,Leyenda!$B$55:$D$59,3,FALSE)</f>
        <v>0</v>
      </c>
      <c r="AZ913" s="36">
        <f>+VLOOKUP('2. Logging Brejo Seco'!AR913,Relleno,3,FALSE)</f>
        <v>2</v>
      </c>
      <c r="BA913" s="36">
        <f t="shared" si="347"/>
        <v>2</v>
      </c>
      <c r="BB913" s="50">
        <f t="shared" si="348"/>
        <v>0</v>
      </c>
      <c r="BC913" s="49">
        <f>VLOOKUP(AH913,Leyenda!$B$4:$D$10,3,FALSE)</f>
        <v>0</v>
      </c>
      <c r="BD913" s="50">
        <f t="shared" si="349"/>
        <v>5</v>
      </c>
      <c r="BE913" s="50">
        <f t="shared" si="350"/>
        <v>2</v>
      </c>
      <c r="BF913" s="50">
        <f>VLOOKUP(AS913,Leyenda!$B$70:$D$75,3,FALSE)</f>
        <v>15</v>
      </c>
      <c r="BG913" s="110">
        <f t="shared" si="351"/>
        <v>3</v>
      </c>
      <c r="BH913" s="110">
        <f>VLOOKUP(AG913,Leyenda!$B$4:$E$10,4,FALSE)</f>
        <v>0</v>
      </c>
      <c r="BI913" s="67">
        <f t="shared" si="352"/>
        <v>5</v>
      </c>
      <c r="BJ913" s="110">
        <f t="shared" si="353"/>
        <v>0</v>
      </c>
      <c r="BK913" s="110">
        <f>+VLOOKUP('2. Logging Brejo Seco'!AP913,Leyenda!$B$47:$E$51,4,FALSE)</f>
        <v>0</v>
      </c>
      <c r="BL913" s="110">
        <f>+VLOOKUP('2. Logging Brejo Seco'!AQ913,Leyenda!$B$55:$E$59,4,FALSE)</f>
        <v>0</v>
      </c>
      <c r="BM913" s="110">
        <f>+VLOOKUP('2. Logging Brejo Seco'!AR913,Leyenda!$B$63:$E$67,3,FALSE)</f>
        <v>2</v>
      </c>
      <c r="BN913" s="110">
        <f>+VLOOKUP('2. Logging Brejo Seco'!AO913,Leyenda!$B$39:$E$43,4,FALSE)</f>
        <v>0</v>
      </c>
      <c r="BO913" s="110">
        <f>+VLOOKUP('2. Logging Brejo Seco'!AN913,Leyenda!$B$30:$E$34,4,FALSE)</f>
        <v>0</v>
      </c>
      <c r="BP913" s="110">
        <f>VLOOKUP(AS913,Leyenda!$B$71:$E$75,4,FALSE)</f>
        <v>10</v>
      </c>
      <c r="BQ913" s="110">
        <f t="shared" si="354"/>
        <v>17</v>
      </c>
      <c r="BR913" s="36">
        <f t="shared" si="355"/>
        <v>22</v>
      </c>
      <c r="BS913" s="240">
        <f t="shared" si="361"/>
        <v>0.2857142857142857</v>
      </c>
      <c r="BT913" s="6"/>
    </row>
    <row r="914" spans="1:72" ht="14.45" customHeight="1" x14ac:dyDescent="0.25">
      <c r="A914" s="18" t="s">
        <v>6</v>
      </c>
      <c r="B914" s="18">
        <v>2024</v>
      </c>
      <c r="C914" s="18" t="s">
        <v>138</v>
      </c>
      <c r="D914" s="18" t="s">
        <v>662</v>
      </c>
      <c r="E914" s="18">
        <v>60</v>
      </c>
      <c r="F914" s="192">
        <v>60</v>
      </c>
      <c r="G914" s="3" t="s">
        <v>136</v>
      </c>
      <c r="H914" s="245">
        <f t="shared" si="364"/>
        <v>60</v>
      </c>
      <c r="I914" s="245" t="s">
        <v>762</v>
      </c>
      <c r="J914" s="245"/>
      <c r="K914" s="18">
        <f t="shared" ref="K914:K947" si="365">+L913</f>
        <v>1.4</v>
      </c>
      <c r="L914" s="18">
        <v>2.1</v>
      </c>
      <c r="M914" s="4">
        <f t="shared" si="363"/>
        <v>0.70000000000000018</v>
      </c>
      <c r="N914" s="113">
        <f t="shared" si="345"/>
        <v>0.78571428571428559</v>
      </c>
      <c r="O914" s="5">
        <f t="shared" si="356"/>
        <v>0.21428571428571441</v>
      </c>
      <c r="P914" s="18">
        <v>0.55000000000000004</v>
      </c>
      <c r="Q914" s="185"/>
      <c r="R914" s="6"/>
      <c r="S914" s="6"/>
      <c r="T914" s="6">
        <v>0.55000000000000004</v>
      </c>
      <c r="U914" s="6">
        <v>0</v>
      </c>
      <c r="V914" s="18">
        <f t="shared" si="359"/>
        <v>0</v>
      </c>
      <c r="W914" s="6"/>
      <c r="X914" s="6"/>
      <c r="Y914" s="6">
        <v>20</v>
      </c>
      <c r="Z914" s="31">
        <f t="shared" si="362"/>
        <v>35.000000000000014</v>
      </c>
      <c r="AA914" s="6"/>
      <c r="AB914" s="6"/>
      <c r="AC914" s="6"/>
      <c r="AD914" s="6"/>
      <c r="AE914" s="6"/>
      <c r="AF914" s="6"/>
      <c r="AG914" s="18" t="s">
        <v>34</v>
      </c>
      <c r="AH914" s="18" t="s">
        <v>34</v>
      </c>
      <c r="AI914" s="18">
        <f>+VLOOKUP(AH914,Leyenda!$O$4:$U$10,6,FALSE)</f>
        <v>0</v>
      </c>
      <c r="AJ914" s="18" t="str">
        <f>+VLOOKUP(AG914,Leyenda!$O$4:$U$10,7,FALSE)</f>
        <v>No Blasting need</v>
      </c>
      <c r="AK914" s="18">
        <f>+VLOOKUP(AJ914,Leyenda!$U$4:$V$10,2,FALSE)</f>
        <v>2</v>
      </c>
      <c r="AL914" s="6"/>
      <c r="AM914" s="18" t="s">
        <v>34</v>
      </c>
      <c r="AN914" s="18" t="s">
        <v>69</v>
      </c>
      <c r="AO914" s="18" t="s">
        <v>81</v>
      </c>
      <c r="AP914" s="18" t="s">
        <v>100</v>
      </c>
      <c r="AQ914" s="18" t="s">
        <v>111</v>
      </c>
      <c r="AR914" s="18" t="s">
        <v>120</v>
      </c>
      <c r="AS914" s="18" t="s">
        <v>267</v>
      </c>
      <c r="AT914" s="18"/>
      <c r="AU914" s="6"/>
      <c r="AV914" s="36">
        <f>+VLOOKUP(AN914,Leyenda!$B$30:$E$34,3,FALSE)</f>
        <v>0</v>
      </c>
      <c r="AW914" s="36">
        <f>+VLOOKUP('2. Logging Brejo Seco'!AO914,Meteorizacion,3,FALSE)</f>
        <v>0</v>
      </c>
      <c r="AX914" s="36">
        <f>+VLOOKUP('2. Logging Brejo Seco'!AP914,Apertura,3,FALSE)</f>
        <v>0</v>
      </c>
      <c r="AY914" s="36">
        <f>+VLOOKUP('2. Logging Brejo Seco'!AQ914,Leyenda!$B$55:$D$59,3,FALSE)</f>
        <v>0</v>
      </c>
      <c r="AZ914" s="36">
        <f>+VLOOKUP('2. Logging Brejo Seco'!AR914,Relleno,3,FALSE)</f>
        <v>2</v>
      </c>
      <c r="BA914" s="36">
        <f t="shared" si="347"/>
        <v>2</v>
      </c>
      <c r="BB914" s="50">
        <f t="shared" si="348"/>
        <v>0</v>
      </c>
      <c r="BC914" s="49">
        <f>VLOOKUP(AH914,Leyenda!$B$4:$D$10,3,FALSE)</f>
        <v>0</v>
      </c>
      <c r="BD914" s="50">
        <f t="shared" si="349"/>
        <v>5</v>
      </c>
      <c r="BE914" s="50">
        <f t="shared" si="350"/>
        <v>2</v>
      </c>
      <c r="BF914" s="50">
        <f>VLOOKUP(AS914,Leyenda!$B$70:$D$75,3,FALSE)</f>
        <v>15</v>
      </c>
      <c r="BG914" s="110">
        <f t="shared" si="351"/>
        <v>3</v>
      </c>
      <c r="BH914" s="110">
        <f>VLOOKUP(AG914,Leyenda!$B$4:$E$10,4,FALSE)</f>
        <v>0</v>
      </c>
      <c r="BI914" s="67">
        <f t="shared" si="352"/>
        <v>5</v>
      </c>
      <c r="BJ914" s="110">
        <f t="shared" si="353"/>
        <v>0</v>
      </c>
      <c r="BK914" s="110">
        <f>+VLOOKUP('2. Logging Brejo Seco'!AP914,Leyenda!$B$47:$E$51,4,FALSE)</f>
        <v>0</v>
      </c>
      <c r="BL914" s="110">
        <f>+VLOOKUP('2. Logging Brejo Seco'!AQ914,Leyenda!$B$55:$E$59,4,FALSE)</f>
        <v>0</v>
      </c>
      <c r="BM914" s="110">
        <f>+VLOOKUP('2. Logging Brejo Seco'!AR914,Leyenda!$B$63:$E$67,3,FALSE)</f>
        <v>2</v>
      </c>
      <c r="BN914" s="110">
        <f>+VLOOKUP('2. Logging Brejo Seco'!AO914,Leyenda!$B$39:$E$43,4,FALSE)</f>
        <v>0</v>
      </c>
      <c r="BO914" s="110">
        <f>+VLOOKUP('2. Logging Brejo Seco'!AN914,Leyenda!$B$30:$E$34,4,FALSE)</f>
        <v>0</v>
      </c>
      <c r="BP914" s="110">
        <f>VLOOKUP(AS914,Leyenda!$B$71:$E$75,4,FALSE)</f>
        <v>10</v>
      </c>
      <c r="BQ914" s="110">
        <f t="shared" si="354"/>
        <v>17</v>
      </c>
      <c r="BR914" s="36">
        <f t="shared" si="355"/>
        <v>22</v>
      </c>
      <c r="BS914" s="240">
        <f t="shared" si="361"/>
        <v>0.21428571428571441</v>
      </c>
      <c r="BT914" s="6"/>
    </row>
    <row r="915" spans="1:72" ht="14.45" customHeight="1" x14ac:dyDescent="0.25">
      <c r="A915" s="18" t="s">
        <v>6</v>
      </c>
      <c r="B915" s="18">
        <v>2024</v>
      </c>
      <c r="C915" s="18" t="s">
        <v>138</v>
      </c>
      <c r="D915" s="18" t="s">
        <v>662</v>
      </c>
      <c r="E915" s="18">
        <v>60</v>
      </c>
      <c r="F915" s="192">
        <v>60</v>
      </c>
      <c r="G915" s="3" t="s">
        <v>136</v>
      </c>
      <c r="H915" s="18">
        <v>40</v>
      </c>
      <c r="I915" s="18" t="s">
        <v>757</v>
      </c>
      <c r="J915" s="18"/>
      <c r="K915" s="18">
        <f t="shared" si="365"/>
        <v>2.1</v>
      </c>
      <c r="L915" s="18">
        <v>2.8</v>
      </c>
      <c r="M915" s="4">
        <f t="shared" si="363"/>
        <v>0.69999999999999973</v>
      </c>
      <c r="N915" s="113">
        <f t="shared" si="345"/>
        <v>0.65714285714285747</v>
      </c>
      <c r="O915" s="5">
        <f t="shared" si="356"/>
        <v>0.34285714285714253</v>
      </c>
      <c r="P915" s="18">
        <v>0.46</v>
      </c>
      <c r="Q915" s="185"/>
      <c r="R915" s="6"/>
      <c r="S915" s="6"/>
      <c r="T915" s="6">
        <v>0.46</v>
      </c>
      <c r="U915" s="6">
        <v>0</v>
      </c>
      <c r="V915" s="18">
        <f t="shared" si="359"/>
        <v>0</v>
      </c>
      <c r="W915" s="6"/>
      <c r="X915" s="6"/>
      <c r="Y915" s="6">
        <v>15</v>
      </c>
      <c r="Z915" s="31">
        <f t="shared" si="362"/>
        <v>46.66666666666665</v>
      </c>
      <c r="AA915" s="6"/>
      <c r="AB915" s="6"/>
      <c r="AC915" s="6"/>
      <c r="AD915" s="6"/>
      <c r="AE915" s="6"/>
      <c r="AF915" s="6"/>
      <c r="AG915" s="18" t="s">
        <v>29</v>
      </c>
      <c r="AH915" s="18" t="s">
        <v>29</v>
      </c>
      <c r="AI915" s="18" t="str">
        <f>+VLOOKUP(AH915,Leyenda!$O$4:$U$10,6,FALSE)</f>
        <v>0,25-0,35</v>
      </c>
      <c r="AJ915" s="18" t="str">
        <f>+VLOOKUP(AG915,Leyenda!$O$4:$U$10,7,FALSE)</f>
        <v>No Blasting need</v>
      </c>
      <c r="AK915" s="18">
        <f>+VLOOKUP(AJ915,Leyenda!$U$4:$V$10,2,FALSE)</f>
        <v>2</v>
      </c>
      <c r="AL915" s="6"/>
      <c r="AM915" s="18" t="s">
        <v>29</v>
      </c>
      <c r="AN915" s="18" t="s">
        <v>64</v>
      </c>
      <c r="AO915" s="18" t="s">
        <v>79</v>
      </c>
      <c r="AP915" s="18" t="s">
        <v>100</v>
      </c>
      <c r="AQ915" s="18" t="s">
        <v>107</v>
      </c>
      <c r="AR915" s="18" t="s">
        <v>120</v>
      </c>
      <c r="AS915" s="18" t="s">
        <v>267</v>
      </c>
      <c r="AT915" s="18"/>
      <c r="AU915" s="6"/>
      <c r="AV915" s="36">
        <f>+VLOOKUP(AN915,Leyenda!$B$30:$E$34,3,FALSE)</f>
        <v>2</v>
      </c>
      <c r="AW915" s="36">
        <f>+VLOOKUP('2. Logging Brejo Seco'!AO915,Meteorizacion,3,FALSE)</f>
        <v>1</v>
      </c>
      <c r="AX915" s="36">
        <f>+VLOOKUP('2. Logging Brejo Seco'!AP915,Apertura,3,FALSE)</f>
        <v>0</v>
      </c>
      <c r="AY915" s="36">
        <f>+VLOOKUP('2. Logging Brejo Seco'!AQ915,Leyenda!$B$55:$D$59,3,FALSE)</f>
        <v>3</v>
      </c>
      <c r="AZ915" s="36">
        <f>+VLOOKUP('2. Logging Brejo Seco'!AR915,Relleno,3,FALSE)</f>
        <v>2</v>
      </c>
      <c r="BA915" s="36">
        <f t="shared" si="347"/>
        <v>8</v>
      </c>
      <c r="BB915" s="50">
        <f t="shared" si="348"/>
        <v>0</v>
      </c>
      <c r="BC915" s="49">
        <f>VLOOKUP(AH915,Leyenda!$B$4:$D$10,3,FALSE)</f>
        <v>2</v>
      </c>
      <c r="BD915" s="50">
        <f t="shared" si="349"/>
        <v>6</v>
      </c>
      <c r="BE915" s="50">
        <f t="shared" si="350"/>
        <v>8</v>
      </c>
      <c r="BF915" s="50">
        <f>VLOOKUP(AS915,Leyenda!$B$70:$D$75,3,FALSE)</f>
        <v>15</v>
      </c>
      <c r="BG915" s="110">
        <f t="shared" si="351"/>
        <v>12</v>
      </c>
      <c r="BH915" s="110">
        <f>VLOOKUP(AG915,Leyenda!$B$4:$E$10,4,FALSE)</f>
        <v>2</v>
      </c>
      <c r="BI915" s="67">
        <f t="shared" si="352"/>
        <v>5</v>
      </c>
      <c r="BJ915" s="110">
        <f t="shared" si="353"/>
        <v>0</v>
      </c>
      <c r="BK915" s="110">
        <f>+VLOOKUP('2. Logging Brejo Seco'!AP915,Leyenda!$B$47:$E$51,4,FALSE)</f>
        <v>0</v>
      </c>
      <c r="BL915" s="110">
        <f>+VLOOKUP('2. Logging Brejo Seco'!AQ915,Leyenda!$B$55:$E$59,4,FALSE)</f>
        <v>3</v>
      </c>
      <c r="BM915" s="110">
        <f>+VLOOKUP('2. Logging Brejo Seco'!AR915,Leyenda!$B$63:$E$67,3,FALSE)</f>
        <v>2</v>
      </c>
      <c r="BN915" s="110">
        <f>+VLOOKUP('2. Logging Brejo Seco'!AO915,Leyenda!$B$39:$E$43,4,FALSE)</f>
        <v>1</v>
      </c>
      <c r="BO915" s="110">
        <f>+VLOOKUP('2. Logging Brejo Seco'!AN915,Leyenda!$B$30:$E$34,4,FALSE)</f>
        <v>3</v>
      </c>
      <c r="BP915" s="110">
        <f>VLOOKUP(AS915,Leyenda!$B$71:$E$75,4,FALSE)</f>
        <v>10</v>
      </c>
      <c r="BQ915" s="110">
        <f t="shared" si="354"/>
        <v>26</v>
      </c>
      <c r="BR915" s="36">
        <f t="shared" si="355"/>
        <v>31</v>
      </c>
      <c r="BS915" s="240">
        <f t="shared" si="361"/>
        <v>0.34285714285714253</v>
      </c>
      <c r="BT915" s="6"/>
    </row>
    <row r="916" spans="1:72" ht="14.45" customHeight="1" x14ac:dyDescent="0.25">
      <c r="A916" s="18" t="s">
        <v>6</v>
      </c>
      <c r="B916" s="18">
        <v>2024</v>
      </c>
      <c r="C916" s="18" t="s">
        <v>138</v>
      </c>
      <c r="D916" s="18" t="s">
        <v>662</v>
      </c>
      <c r="E916" s="18">
        <v>60</v>
      </c>
      <c r="F916" s="192">
        <v>60</v>
      </c>
      <c r="G916" s="3" t="s">
        <v>136</v>
      </c>
      <c r="H916" s="18">
        <v>40</v>
      </c>
      <c r="I916" s="18" t="s">
        <v>757</v>
      </c>
      <c r="J916" s="18"/>
      <c r="K916" s="18">
        <f t="shared" si="365"/>
        <v>2.8</v>
      </c>
      <c r="L916" s="18">
        <v>3.2</v>
      </c>
      <c r="M916" s="4">
        <f t="shared" si="363"/>
        <v>0.40000000000000036</v>
      </c>
      <c r="N916" s="113">
        <f t="shared" si="345"/>
        <v>0.62499999999999944</v>
      </c>
      <c r="O916" s="5">
        <f t="shared" si="356"/>
        <v>0.37500000000000056</v>
      </c>
      <c r="P916" s="18">
        <v>0.25</v>
      </c>
      <c r="Q916" s="185"/>
      <c r="R916" s="6"/>
      <c r="S916" s="6"/>
      <c r="T916" s="6">
        <v>0.25</v>
      </c>
      <c r="U916" s="6">
        <v>0</v>
      </c>
      <c r="V916" s="18">
        <f t="shared" si="359"/>
        <v>0</v>
      </c>
      <c r="W916" s="6"/>
      <c r="X916" s="6"/>
      <c r="Y916" s="6">
        <f>8+8</f>
        <v>16</v>
      </c>
      <c r="Z916" s="31">
        <f t="shared" si="362"/>
        <v>25.000000000000021</v>
      </c>
      <c r="AA916" s="6"/>
      <c r="AB916" s="6"/>
      <c r="AC916" s="6"/>
      <c r="AD916" s="6"/>
      <c r="AE916" s="6"/>
      <c r="AF916" s="6"/>
      <c r="AG916" s="18" t="s">
        <v>29</v>
      </c>
      <c r="AH916" s="18" t="s">
        <v>29</v>
      </c>
      <c r="AI916" s="18" t="str">
        <f>+VLOOKUP(AH916,Leyenda!$O$4:$U$10,6,FALSE)</f>
        <v>0,25-0,35</v>
      </c>
      <c r="AJ916" s="18" t="str">
        <f>+VLOOKUP(AG916,Leyenda!$O$4:$U$10,7,FALSE)</f>
        <v>No Blasting need</v>
      </c>
      <c r="AK916" s="18">
        <f>+VLOOKUP(AJ916,Leyenda!$U$4:$V$10,2,FALSE)</f>
        <v>2</v>
      </c>
      <c r="AL916" s="6"/>
      <c r="AM916" s="18" t="s">
        <v>29</v>
      </c>
      <c r="AN916" s="18" t="s">
        <v>64</v>
      </c>
      <c r="AO916" s="18" t="s">
        <v>79</v>
      </c>
      <c r="AP916" s="18" t="s">
        <v>100</v>
      </c>
      <c r="AQ916" s="18" t="s">
        <v>107</v>
      </c>
      <c r="AR916" s="18" t="s">
        <v>120</v>
      </c>
      <c r="AS916" s="18" t="s">
        <v>267</v>
      </c>
      <c r="AT916" s="18"/>
      <c r="AU916" s="6"/>
      <c r="AV916" s="36">
        <f>+VLOOKUP(AN916,Leyenda!$B$30:$E$34,3,FALSE)</f>
        <v>2</v>
      </c>
      <c r="AW916" s="36">
        <f>+VLOOKUP('2. Logging Brejo Seco'!AO916,Meteorizacion,3,FALSE)</f>
        <v>1</v>
      </c>
      <c r="AX916" s="36">
        <f>+VLOOKUP('2. Logging Brejo Seco'!AP916,Apertura,3,FALSE)</f>
        <v>0</v>
      </c>
      <c r="AY916" s="36">
        <f>+VLOOKUP('2. Logging Brejo Seco'!AQ916,Leyenda!$B$55:$D$59,3,FALSE)</f>
        <v>3</v>
      </c>
      <c r="AZ916" s="36">
        <f>+VLOOKUP('2. Logging Brejo Seco'!AR916,Relleno,3,FALSE)</f>
        <v>2</v>
      </c>
      <c r="BA916" s="36">
        <f t="shared" si="347"/>
        <v>8</v>
      </c>
      <c r="BB916" s="50">
        <f t="shared" si="348"/>
        <v>0</v>
      </c>
      <c r="BC916" s="49">
        <f>VLOOKUP(AH916,Leyenda!$B$4:$D$10,3,FALSE)</f>
        <v>2</v>
      </c>
      <c r="BD916" s="50">
        <f t="shared" si="349"/>
        <v>5</v>
      </c>
      <c r="BE916" s="50">
        <f t="shared" si="350"/>
        <v>8</v>
      </c>
      <c r="BF916" s="50">
        <f>VLOOKUP(AS916,Leyenda!$B$70:$D$75,3,FALSE)</f>
        <v>15</v>
      </c>
      <c r="BG916" s="110">
        <f t="shared" si="351"/>
        <v>12</v>
      </c>
      <c r="BH916" s="110">
        <f>VLOOKUP(AG916,Leyenda!$B$4:$E$10,4,FALSE)</f>
        <v>2</v>
      </c>
      <c r="BI916" s="67">
        <f t="shared" si="352"/>
        <v>5</v>
      </c>
      <c r="BJ916" s="110">
        <f t="shared" si="353"/>
        <v>0</v>
      </c>
      <c r="BK916" s="110">
        <f>+VLOOKUP('2. Logging Brejo Seco'!AP916,Leyenda!$B$47:$E$51,4,FALSE)</f>
        <v>0</v>
      </c>
      <c r="BL916" s="110">
        <f>+VLOOKUP('2. Logging Brejo Seco'!AQ916,Leyenda!$B$55:$E$59,4,FALSE)</f>
        <v>3</v>
      </c>
      <c r="BM916" s="110">
        <f>+VLOOKUP('2. Logging Brejo Seco'!AR916,Leyenda!$B$63:$E$67,3,FALSE)</f>
        <v>2</v>
      </c>
      <c r="BN916" s="110">
        <f>+VLOOKUP('2. Logging Brejo Seco'!AO916,Leyenda!$B$39:$E$43,4,FALSE)</f>
        <v>1</v>
      </c>
      <c r="BO916" s="110">
        <f>+VLOOKUP('2. Logging Brejo Seco'!AN916,Leyenda!$B$30:$E$34,4,FALSE)</f>
        <v>3</v>
      </c>
      <c r="BP916" s="110">
        <f>VLOOKUP(AS916,Leyenda!$B$71:$E$75,4,FALSE)</f>
        <v>10</v>
      </c>
      <c r="BQ916" s="110">
        <f t="shared" si="354"/>
        <v>26</v>
      </c>
      <c r="BR916" s="36">
        <f t="shared" si="355"/>
        <v>30</v>
      </c>
      <c r="BS916" s="240">
        <f t="shared" si="361"/>
        <v>0.37500000000000056</v>
      </c>
      <c r="BT916" s="6"/>
    </row>
    <row r="917" spans="1:72" x14ac:dyDescent="0.25">
      <c r="A917" s="18" t="s">
        <v>6</v>
      </c>
      <c r="B917" s="18">
        <v>2024</v>
      </c>
      <c r="C917" s="18" t="s">
        <v>138</v>
      </c>
      <c r="D917" s="18" t="s">
        <v>662</v>
      </c>
      <c r="E917" s="18">
        <v>60</v>
      </c>
      <c r="F917" s="192">
        <v>60</v>
      </c>
      <c r="G917" s="3" t="s">
        <v>136</v>
      </c>
      <c r="H917" s="18">
        <v>40</v>
      </c>
      <c r="I917" s="18" t="s">
        <v>757</v>
      </c>
      <c r="J917" s="18"/>
      <c r="K917" s="18">
        <f t="shared" si="365"/>
        <v>3.2</v>
      </c>
      <c r="L917" s="18">
        <v>3.8</v>
      </c>
      <c r="M917" s="4">
        <f t="shared" si="363"/>
        <v>0.59999999999999964</v>
      </c>
      <c r="N917" s="113">
        <f t="shared" ref="N917:N980" si="366">+P917/M917</f>
        <v>0.65000000000000036</v>
      </c>
      <c r="O917" s="5">
        <f t="shared" si="356"/>
        <v>0.34999999999999964</v>
      </c>
      <c r="P917" s="18">
        <v>0.39</v>
      </c>
      <c r="Q917" s="185"/>
      <c r="R917" s="6"/>
      <c r="S917" s="6"/>
      <c r="T917" s="6">
        <f>0.25+0.14</f>
        <v>0.39</v>
      </c>
      <c r="U917" s="6">
        <v>0</v>
      </c>
      <c r="V917" s="18">
        <f t="shared" si="359"/>
        <v>0</v>
      </c>
      <c r="W917" s="6"/>
      <c r="X917" s="6"/>
      <c r="Y917" s="6">
        <f>6+4</f>
        <v>10</v>
      </c>
      <c r="Z917" s="31">
        <f t="shared" si="362"/>
        <v>59.999999999999964</v>
      </c>
      <c r="AA917" s="6"/>
      <c r="AB917" s="6"/>
      <c r="AC917" s="6"/>
      <c r="AD917" s="6"/>
      <c r="AE917" s="6"/>
      <c r="AF917" s="6"/>
      <c r="AG917" s="18" t="s">
        <v>29</v>
      </c>
      <c r="AH917" s="18" t="s">
        <v>29</v>
      </c>
      <c r="AI917" s="18" t="str">
        <f>+VLOOKUP(AH917,Leyenda!$O$4:$U$10,6,FALSE)</f>
        <v>0,25-0,35</v>
      </c>
      <c r="AJ917" s="18" t="str">
        <f>+VLOOKUP(AG917,Leyenda!$O$4:$U$10,7,FALSE)</f>
        <v>No Blasting need</v>
      </c>
      <c r="AK917" s="18">
        <f>+VLOOKUP(AJ917,Leyenda!$U$4:$V$10,2,FALSE)</f>
        <v>2</v>
      </c>
      <c r="AL917" s="6"/>
      <c r="AM917" s="18" t="s">
        <v>29</v>
      </c>
      <c r="AN917" s="18" t="s">
        <v>64</v>
      </c>
      <c r="AO917" s="18" t="s">
        <v>79</v>
      </c>
      <c r="AP917" s="18" t="s">
        <v>100</v>
      </c>
      <c r="AQ917" s="18" t="s">
        <v>107</v>
      </c>
      <c r="AR917" s="18" t="s">
        <v>120</v>
      </c>
      <c r="AS917" s="18" t="s">
        <v>267</v>
      </c>
      <c r="AT917" s="18"/>
      <c r="AU917" s="6"/>
      <c r="AV917" s="36">
        <f>+VLOOKUP(AN917,Leyenda!$B$30:$E$34,3,FALSE)</f>
        <v>2</v>
      </c>
      <c r="AW917" s="36">
        <f>+VLOOKUP('2. Logging Brejo Seco'!AO917,Meteorizacion,3,FALSE)</f>
        <v>1</v>
      </c>
      <c r="AX917" s="36">
        <f>+VLOOKUP('2. Logging Brejo Seco'!AP917,Apertura,3,FALSE)</f>
        <v>0</v>
      </c>
      <c r="AY917" s="36">
        <f>+VLOOKUP('2. Logging Brejo Seco'!AQ917,Leyenda!$B$55:$D$59,3,FALSE)</f>
        <v>3</v>
      </c>
      <c r="AZ917" s="36">
        <f>+VLOOKUP('2. Logging Brejo Seco'!AR917,Relleno,3,FALSE)</f>
        <v>2</v>
      </c>
      <c r="BA917" s="36">
        <f t="shared" si="347"/>
        <v>8</v>
      </c>
      <c r="BB917" s="50">
        <f t="shared" si="348"/>
        <v>0</v>
      </c>
      <c r="BC917" s="49">
        <f>VLOOKUP(AH917,Leyenda!$B$4:$D$10,3,FALSE)</f>
        <v>2</v>
      </c>
      <c r="BD917" s="50">
        <f t="shared" si="349"/>
        <v>6</v>
      </c>
      <c r="BE917" s="50">
        <f t="shared" si="350"/>
        <v>8</v>
      </c>
      <c r="BF917" s="50">
        <f>VLOOKUP(AS917,Leyenda!$B$70:$D$75,3,FALSE)</f>
        <v>15</v>
      </c>
      <c r="BG917" s="110">
        <f t="shared" si="351"/>
        <v>12</v>
      </c>
      <c r="BH917" s="110">
        <f>VLOOKUP(AG917,Leyenda!$B$4:$E$10,4,FALSE)</f>
        <v>2</v>
      </c>
      <c r="BI917" s="67">
        <f t="shared" si="352"/>
        <v>5</v>
      </c>
      <c r="BJ917" s="110">
        <f t="shared" si="353"/>
        <v>0</v>
      </c>
      <c r="BK917" s="110">
        <f>+VLOOKUP('2. Logging Brejo Seco'!AP917,Leyenda!$B$47:$E$51,4,FALSE)</f>
        <v>0</v>
      </c>
      <c r="BL917" s="110">
        <f>+VLOOKUP('2. Logging Brejo Seco'!AQ917,Leyenda!$B$55:$E$59,4,FALSE)</f>
        <v>3</v>
      </c>
      <c r="BM917" s="110">
        <f>+VLOOKUP('2. Logging Brejo Seco'!AR917,Leyenda!$B$63:$E$67,3,FALSE)</f>
        <v>2</v>
      </c>
      <c r="BN917" s="110">
        <f>+VLOOKUP('2. Logging Brejo Seco'!AO917,Leyenda!$B$39:$E$43,4,FALSE)</f>
        <v>1</v>
      </c>
      <c r="BO917" s="110">
        <f>+VLOOKUP('2. Logging Brejo Seco'!AN917,Leyenda!$B$30:$E$34,4,FALSE)</f>
        <v>3</v>
      </c>
      <c r="BP917" s="110">
        <f>VLOOKUP(AS917,Leyenda!$B$71:$E$75,4,FALSE)</f>
        <v>10</v>
      </c>
      <c r="BQ917" s="110">
        <f t="shared" si="354"/>
        <v>26</v>
      </c>
      <c r="BR917" s="36">
        <f t="shared" si="355"/>
        <v>31</v>
      </c>
      <c r="BS917" s="240">
        <f t="shared" si="361"/>
        <v>0.34999999999999964</v>
      </c>
      <c r="BT917" s="6"/>
    </row>
    <row r="918" spans="1:72" x14ac:dyDescent="0.25">
      <c r="A918" s="18" t="s">
        <v>6</v>
      </c>
      <c r="B918" s="18">
        <v>2024</v>
      </c>
      <c r="C918" s="18" t="s">
        <v>138</v>
      </c>
      <c r="D918" s="18" t="s">
        <v>662</v>
      </c>
      <c r="E918" s="18">
        <v>60</v>
      </c>
      <c r="F918" s="192">
        <v>30</v>
      </c>
      <c r="G918" s="18" t="s">
        <v>152</v>
      </c>
      <c r="H918" s="18">
        <v>20</v>
      </c>
      <c r="I918" s="18" t="s">
        <v>760</v>
      </c>
      <c r="J918" s="18"/>
      <c r="K918" s="18">
        <f t="shared" si="365"/>
        <v>3.8</v>
      </c>
      <c r="L918" s="18">
        <v>4.5999999999999996</v>
      </c>
      <c r="M918" s="4">
        <f t="shared" si="363"/>
        <v>0.79999999999999982</v>
      </c>
      <c r="N918" s="113">
        <f t="shared" si="366"/>
        <v>0.76250000000000018</v>
      </c>
      <c r="O918" s="5">
        <f t="shared" si="356"/>
        <v>0.23749999999999982</v>
      </c>
      <c r="P918" s="18">
        <v>0.61</v>
      </c>
      <c r="Q918" s="185"/>
      <c r="R918" s="6"/>
      <c r="S918" s="6"/>
      <c r="T918" s="6">
        <v>0.61</v>
      </c>
      <c r="U918" s="6">
        <v>0</v>
      </c>
      <c r="V918" s="18">
        <f t="shared" si="359"/>
        <v>0</v>
      </c>
      <c r="W918" s="6"/>
      <c r="X918" s="6"/>
      <c r="Y918" s="224">
        <v>15</v>
      </c>
      <c r="Z918" s="31">
        <f t="shared" si="362"/>
        <v>53.333333333333321</v>
      </c>
      <c r="AA918" s="6"/>
      <c r="AB918" s="6"/>
      <c r="AC918" s="6"/>
      <c r="AD918" s="6"/>
      <c r="AE918" s="6"/>
      <c r="AF918" s="6"/>
      <c r="AG918" s="18" t="s">
        <v>34</v>
      </c>
      <c r="AH918" s="18" t="s">
        <v>34</v>
      </c>
      <c r="AI918" s="18">
        <f>+VLOOKUP(AH918,Leyenda!$O$4:$U$10,6,FALSE)</f>
        <v>0</v>
      </c>
      <c r="AJ918" s="18" t="str">
        <f>+VLOOKUP(AG918,Leyenda!$O$4:$U$10,7,FALSE)</f>
        <v>No Blasting need</v>
      </c>
      <c r="AK918" s="18">
        <f>+VLOOKUP(AJ918,Leyenda!$U$4:$V$10,2,FALSE)</f>
        <v>2</v>
      </c>
      <c r="AL918" s="6"/>
      <c r="AM918" s="18" t="s">
        <v>34</v>
      </c>
      <c r="AN918" s="18" t="s">
        <v>66</v>
      </c>
      <c r="AO918" s="18" t="s">
        <v>81</v>
      </c>
      <c r="AP918" s="18" t="s">
        <v>100</v>
      </c>
      <c r="AQ918" s="18" t="s">
        <v>107</v>
      </c>
      <c r="AR918" s="18" t="s">
        <v>122</v>
      </c>
      <c r="AS918" s="18" t="s">
        <v>267</v>
      </c>
      <c r="AT918" s="18"/>
      <c r="AU918" s="6"/>
      <c r="AV918" s="36">
        <f>+VLOOKUP(AN918,Leyenda!$B$30:$E$34,3,FALSE)</f>
        <v>1</v>
      </c>
      <c r="AW918" s="36">
        <f>+VLOOKUP('2. Logging Brejo Seco'!AO918,Meteorizacion,3,FALSE)</f>
        <v>0</v>
      </c>
      <c r="AX918" s="36">
        <f>+VLOOKUP('2. Logging Brejo Seco'!AP918,Apertura,3,FALSE)</f>
        <v>0</v>
      </c>
      <c r="AY918" s="36">
        <f>+VLOOKUP('2. Logging Brejo Seco'!AQ918,Leyenda!$B$55:$D$59,3,FALSE)</f>
        <v>3</v>
      </c>
      <c r="AZ918" s="36">
        <f>+VLOOKUP('2. Logging Brejo Seco'!AR918,Relleno,3,FALSE)</f>
        <v>0</v>
      </c>
      <c r="BA918" s="36">
        <f t="shared" si="347"/>
        <v>4</v>
      </c>
      <c r="BB918" s="225">
        <f t="shared" si="348"/>
        <v>0</v>
      </c>
      <c r="BC918" s="49">
        <f>VLOOKUP(AH918,Leyenda!$B$4:$D$10,3,FALSE)</f>
        <v>0</v>
      </c>
      <c r="BD918" s="50">
        <f t="shared" si="349"/>
        <v>6</v>
      </c>
      <c r="BE918" s="50">
        <f t="shared" si="350"/>
        <v>4</v>
      </c>
      <c r="BF918" s="50">
        <f>VLOOKUP(AS918,Leyenda!$B$70:$D$75,3,FALSE)</f>
        <v>15</v>
      </c>
      <c r="BG918" s="110">
        <f t="shared" si="351"/>
        <v>6</v>
      </c>
      <c r="BH918" s="110">
        <f>VLOOKUP(AG918,Leyenda!$B$4:$E$10,4,FALSE)</f>
        <v>0</v>
      </c>
      <c r="BI918" s="67">
        <f t="shared" si="352"/>
        <v>4</v>
      </c>
      <c r="BJ918" s="110">
        <f t="shared" si="353"/>
        <v>0</v>
      </c>
      <c r="BK918" s="110">
        <f>+VLOOKUP('2. Logging Brejo Seco'!AP918,Leyenda!$B$47:$E$51,4,FALSE)</f>
        <v>0</v>
      </c>
      <c r="BL918" s="110">
        <f>+VLOOKUP('2. Logging Brejo Seco'!AQ918,Leyenda!$B$55:$E$59,4,FALSE)</f>
        <v>3</v>
      </c>
      <c r="BM918" s="110">
        <f>+VLOOKUP('2. Logging Brejo Seco'!AR918,Leyenda!$B$63:$E$67,3,FALSE)</f>
        <v>0</v>
      </c>
      <c r="BN918" s="110">
        <f>+VLOOKUP('2. Logging Brejo Seco'!AO918,Leyenda!$B$39:$E$43,4,FALSE)</f>
        <v>0</v>
      </c>
      <c r="BO918" s="110">
        <f>+VLOOKUP('2. Logging Brejo Seco'!AN918,Leyenda!$B$30:$E$34,4,FALSE)</f>
        <v>1</v>
      </c>
      <c r="BP918" s="110">
        <f>VLOOKUP(AS918,Leyenda!$B$71:$E$75,4,FALSE)</f>
        <v>10</v>
      </c>
      <c r="BQ918" s="110">
        <f t="shared" si="354"/>
        <v>18</v>
      </c>
      <c r="BR918" s="36">
        <f t="shared" si="355"/>
        <v>25</v>
      </c>
      <c r="BS918" s="240">
        <f t="shared" si="361"/>
        <v>0.23749999999999982</v>
      </c>
      <c r="BT918" s="6"/>
    </row>
    <row r="919" spans="1:72" x14ac:dyDescent="0.25">
      <c r="A919" s="18" t="s">
        <v>6</v>
      </c>
      <c r="B919" s="18">
        <v>2024</v>
      </c>
      <c r="C919" s="18" t="s">
        <v>138</v>
      </c>
      <c r="D919" s="18" t="s">
        <v>662</v>
      </c>
      <c r="E919" s="18">
        <v>60</v>
      </c>
      <c r="F919" s="192">
        <v>30</v>
      </c>
      <c r="G919" s="18" t="s">
        <v>152</v>
      </c>
      <c r="H919" s="18">
        <v>20</v>
      </c>
      <c r="I919" s="18" t="s">
        <v>760</v>
      </c>
      <c r="J919" s="18"/>
      <c r="K919" s="18">
        <f t="shared" si="365"/>
        <v>4.5999999999999996</v>
      </c>
      <c r="L919" s="18">
        <v>5.5</v>
      </c>
      <c r="M919" s="4">
        <f t="shared" si="363"/>
        <v>0.90000000000000036</v>
      </c>
      <c r="N919" s="113">
        <f t="shared" si="366"/>
        <v>0.58888888888888868</v>
      </c>
      <c r="O919" s="5">
        <f t="shared" si="356"/>
        <v>0.41111111111111132</v>
      </c>
      <c r="P919" s="18">
        <v>0.53</v>
      </c>
      <c r="Q919" s="185"/>
      <c r="R919" s="6"/>
      <c r="S919" s="6"/>
      <c r="T919" s="6">
        <v>0.53</v>
      </c>
      <c r="U919" s="6">
        <v>0.26</v>
      </c>
      <c r="V919" s="18">
        <f t="shared" si="359"/>
        <v>28.888888888888882</v>
      </c>
      <c r="W919" s="6"/>
      <c r="X919" s="6"/>
      <c r="Y919" s="224">
        <v>9</v>
      </c>
      <c r="Z919" s="31">
        <f t="shared" si="362"/>
        <v>100.00000000000004</v>
      </c>
      <c r="AA919" s="6"/>
      <c r="AB919" s="6"/>
      <c r="AC919" s="6"/>
      <c r="AD919" s="6"/>
      <c r="AE919" s="6"/>
      <c r="AF919" s="6"/>
      <c r="AG919" s="18" t="s">
        <v>29</v>
      </c>
      <c r="AH919" s="18" t="s">
        <v>29</v>
      </c>
      <c r="AI919" s="18" t="str">
        <f>+VLOOKUP(AH919,Leyenda!$O$4:$U$10,6,FALSE)</f>
        <v>0,25-0,35</v>
      </c>
      <c r="AJ919" s="18" t="str">
        <f>+VLOOKUP(AG919,Leyenda!$O$4:$U$10,7,FALSE)</f>
        <v>No Blasting need</v>
      </c>
      <c r="AK919" s="18">
        <f>+VLOOKUP(AJ919,Leyenda!$U$4:$V$10,2,FALSE)</f>
        <v>2</v>
      </c>
      <c r="AL919" s="6"/>
      <c r="AM919" s="18" t="s">
        <v>32</v>
      </c>
      <c r="AN919" s="18" t="s">
        <v>64</v>
      </c>
      <c r="AO919" s="18" t="s">
        <v>79</v>
      </c>
      <c r="AP919" s="18" t="s">
        <v>100</v>
      </c>
      <c r="AQ919" s="18" t="s">
        <v>109</v>
      </c>
      <c r="AR919" s="18" t="s">
        <v>122</v>
      </c>
      <c r="AS919" s="18" t="s">
        <v>267</v>
      </c>
      <c r="AT919" s="18"/>
      <c r="AU919" s="6"/>
      <c r="AV919" s="36">
        <f>+VLOOKUP(AN919,Leyenda!$B$30:$E$34,3,FALSE)</f>
        <v>2</v>
      </c>
      <c r="AW919" s="36">
        <f>+VLOOKUP('2. Logging Brejo Seco'!AO919,Meteorizacion,3,FALSE)</f>
        <v>1</v>
      </c>
      <c r="AX919" s="36">
        <f>+VLOOKUP('2. Logging Brejo Seco'!AP919,Apertura,3,FALSE)</f>
        <v>0</v>
      </c>
      <c r="AY919" s="36">
        <f>+VLOOKUP('2. Logging Brejo Seco'!AQ919,Leyenda!$B$55:$D$59,3,FALSE)</f>
        <v>1</v>
      </c>
      <c r="AZ919" s="36">
        <f>+VLOOKUP('2. Logging Brejo Seco'!AR919,Relleno,3,FALSE)</f>
        <v>0</v>
      </c>
      <c r="BA919" s="36">
        <f t="shared" si="347"/>
        <v>4</v>
      </c>
      <c r="BB919" s="225">
        <f t="shared" si="348"/>
        <v>6</v>
      </c>
      <c r="BC919" s="49">
        <f>VLOOKUP(AH919,Leyenda!$B$4:$D$10,3,FALSE)</f>
        <v>2</v>
      </c>
      <c r="BD919" s="50">
        <f t="shared" si="349"/>
        <v>7</v>
      </c>
      <c r="BE919" s="50">
        <f t="shared" si="350"/>
        <v>4</v>
      </c>
      <c r="BF919" s="50">
        <f>VLOOKUP(AS919,Leyenda!$B$70:$D$75,3,FALSE)</f>
        <v>15</v>
      </c>
      <c r="BG919" s="110">
        <f t="shared" si="351"/>
        <v>20.444444444444443</v>
      </c>
      <c r="BH919" s="110">
        <f>VLOOKUP(AG919,Leyenda!$B$4:$E$10,4,FALSE)</f>
        <v>2</v>
      </c>
      <c r="BI919" s="67">
        <f t="shared" si="352"/>
        <v>8</v>
      </c>
      <c r="BJ919" s="110">
        <f t="shared" si="353"/>
        <v>6</v>
      </c>
      <c r="BK919" s="110">
        <f>+VLOOKUP('2. Logging Brejo Seco'!AP919,Leyenda!$B$47:$E$51,4,FALSE)</f>
        <v>0</v>
      </c>
      <c r="BL919" s="110">
        <f>+VLOOKUP('2. Logging Brejo Seco'!AQ919,Leyenda!$B$55:$E$59,4,FALSE)</f>
        <v>1</v>
      </c>
      <c r="BM919" s="110">
        <f>+VLOOKUP('2. Logging Brejo Seco'!AR919,Leyenda!$B$63:$E$67,3,FALSE)</f>
        <v>0</v>
      </c>
      <c r="BN919" s="110">
        <f>+VLOOKUP('2. Logging Brejo Seco'!AO919,Leyenda!$B$39:$E$43,4,FALSE)</f>
        <v>1</v>
      </c>
      <c r="BO919" s="110">
        <f>+VLOOKUP('2. Logging Brejo Seco'!AN919,Leyenda!$B$30:$E$34,4,FALSE)</f>
        <v>3</v>
      </c>
      <c r="BP919" s="110">
        <f>VLOOKUP(AS919,Leyenda!$B$71:$E$75,4,FALSE)</f>
        <v>10</v>
      </c>
      <c r="BQ919" s="110">
        <f t="shared" si="354"/>
        <v>31</v>
      </c>
      <c r="BR919" s="36">
        <f t="shared" si="355"/>
        <v>34</v>
      </c>
      <c r="BS919" s="240">
        <f t="shared" si="361"/>
        <v>0.41111111111111132</v>
      </c>
      <c r="BT919" s="6"/>
    </row>
    <row r="920" spans="1:72" x14ac:dyDescent="0.25">
      <c r="A920" s="18" t="s">
        <v>6</v>
      </c>
      <c r="B920" s="18">
        <v>2024</v>
      </c>
      <c r="C920" s="18" t="s">
        <v>138</v>
      </c>
      <c r="D920" s="18" t="s">
        <v>662</v>
      </c>
      <c r="E920" s="18">
        <v>30</v>
      </c>
      <c r="F920" s="192">
        <v>30</v>
      </c>
      <c r="G920" s="18" t="s">
        <v>152</v>
      </c>
      <c r="H920" s="18">
        <v>20</v>
      </c>
      <c r="I920" s="18" t="s">
        <v>760</v>
      </c>
      <c r="J920" s="18"/>
      <c r="K920" s="18">
        <f t="shared" si="365"/>
        <v>5.5</v>
      </c>
      <c r="L920" s="18">
        <v>6.9</v>
      </c>
      <c r="M920" s="4">
        <f t="shared" si="363"/>
        <v>1.4000000000000004</v>
      </c>
      <c r="N920" s="113">
        <f t="shared" si="366"/>
        <v>0.6142857142857141</v>
      </c>
      <c r="O920" s="5">
        <f t="shared" si="356"/>
        <v>0.3857142857142859</v>
      </c>
      <c r="P920" s="18">
        <v>0.86</v>
      </c>
      <c r="Q920" s="185"/>
      <c r="R920" s="6"/>
      <c r="S920" s="6"/>
      <c r="T920" s="6">
        <v>0.86</v>
      </c>
      <c r="U920" s="6">
        <v>0.12</v>
      </c>
      <c r="V920" s="18">
        <f t="shared" si="359"/>
        <v>8.5714285714285694</v>
      </c>
      <c r="W920" s="6"/>
      <c r="X920" s="6"/>
      <c r="Y920" s="224">
        <v>16</v>
      </c>
      <c r="Z920" s="31">
        <f t="shared" si="362"/>
        <v>87.500000000000028</v>
      </c>
      <c r="AA920" s="6"/>
      <c r="AB920" s="6"/>
      <c r="AC920" s="6"/>
      <c r="AD920" s="6"/>
      <c r="AE920" s="6"/>
      <c r="AF920" s="6"/>
      <c r="AG920" s="18" t="s">
        <v>29</v>
      </c>
      <c r="AH920" s="18" t="s">
        <v>29</v>
      </c>
      <c r="AI920" s="18" t="str">
        <f>+VLOOKUP(AH920,Leyenda!$O$4:$U$10,6,FALSE)</f>
        <v>0,25-0,35</v>
      </c>
      <c r="AJ920" s="18" t="str">
        <f>+VLOOKUP(AG920,Leyenda!$O$4:$U$10,7,FALSE)</f>
        <v>No Blasting need</v>
      </c>
      <c r="AK920" s="18">
        <f>+VLOOKUP(AJ920,Leyenda!$U$4:$V$10,2,FALSE)</f>
        <v>2</v>
      </c>
      <c r="AL920" s="6"/>
      <c r="AM920" s="18" t="s">
        <v>29</v>
      </c>
      <c r="AN920" s="18" t="s">
        <v>64</v>
      </c>
      <c r="AO920" s="18" t="s">
        <v>79</v>
      </c>
      <c r="AP920" s="194" t="s">
        <v>96</v>
      </c>
      <c r="AQ920" s="194" t="s">
        <v>109</v>
      </c>
      <c r="AR920" s="18" t="s">
        <v>122</v>
      </c>
      <c r="AS920" s="18" t="s">
        <v>267</v>
      </c>
      <c r="AT920" s="18"/>
      <c r="AU920" s="6"/>
      <c r="AV920" s="36">
        <f>+VLOOKUP(AN920,Leyenda!$B$30:$E$34,3,FALSE)</f>
        <v>2</v>
      </c>
      <c r="AW920" s="36">
        <f>+VLOOKUP('2. Logging Brejo Seco'!AO920,Meteorizacion,3,FALSE)</f>
        <v>1</v>
      </c>
      <c r="AX920" s="36">
        <f>+VLOOKUP('2. Logging Brejo Seco'!AP920,Apertura,3,FALSE)</f>
        <v>1</v>
      </c>
      <c r="AY920" s="36">
        <f>+VLOOKUP('2. Logging Brejo Seco'!AQ920,Leyenda!$B$55:$D$59,3,FALSE)</f>
        <v>1</v>
      </c>
      <c r="AZ920" s="36">
        <f>+VLOOKUP('2. Logging Brejo Seco'!AR920,Relleno,3,FALSE)</f>
        <v>0</v>
      </c>
      <c r="BA920" s="36">
        <f t="shared" si="347"/>
        <v>5</v>
      </c>
      <c r="BB920" s="225">
        <f t="shared" si="348"/>
        <v>2</v>
      </c>
      <c r="BC920" s="49">
        <f>VLOOKUP(AH920,Leyenda!$B$4:$D$10,3,FALSE)</f>
        <v>2</v>
      </c>
      <c r="BD920" s="50">
        <f t="shared" si="349"/>
        <v>7</v>
      </c>
      <c r="BE920" s="50">
        <f t="shared" si="350"/>
        <v>5</v>
      </c>
      <c r="BF920" s="50">
        <f>VLOOKUP(AS920,Leyenda!$B$70:$D$75,3,FALSE)</f>
        <v>15</v>
      </c>
      <c r="BG920" s="110">
        <f t="shared" si="351"/>
        <v>11.785714285714285</v>
      </c>
      <c r="BH920" s="110">
        <f>VLOOKUP(AG920,Leyenda!$B$4:$E$10,4,FALSE)</f>
        <v>2</v>
      </c>
      <c r="BI920" s="67">
        <f t="shared" si="352"/>
        <v>7</v>
      </c>
      <c r="BJ920" s="110">
        <f t="shared" si="353"/>
        <v>2</v>
      </c>
      <c r="BK920" s="110">
        <f>+VLOOKUP('2. Logging Brejo Seco'!AP920,Leyenda!$B$47:$E$51,4,FALSE)</f>
        <v>1</v>
      </c>
      <c r="BL920" s="110">
        <f>+VLOOKUP('2. Logging Brejo Seco'!AQ920,Leyenda!$B$55:$E$59,4,FALSE)</f>
        <v>1</v>
      </c>
      <c r="BM920" s="110">
        <f>+VLOOKUP('2. Logging Brejo Seco'!AR920,Leyenda!$B$63:$E$67,3,FALSE)</f>
        <v>0</v>
      </c>
      <c r="BN920" s="110">
        <f>+VLOOKUP('2. Logging Brejo Seco'!AO920,Leyenda!$B$39:$E$43,4,FALSE)</f>
        <v>1</v>
      </c>
      <c r="BO920" s="110">
        <f>+VLOOKUP('2. Logging Brejo Seco'!AN920,Leyenda!$B$30:$E$34,4,FALSE)</f>
        <v>3</v>
      </c>
      <c r="BP920" s="110">
        <f>VLOOKUP(AS920,Leyenda!$B$71:$E$75,4,FALSE)</f>
        <v>10</v>
      </c>
      <c r="BQ920" s="110">
        <f t="shared" si="354"/>
        <v>27</v>
      </c>
      <c r="BR920" s="36">
        <f t="shared" si="355"/>
        <v>31</v>
      </c>
      <c r="BS920" s="240">
        <f t="shared" si="361"/>
        <v>0.3857142857142859</v>
      </c>
      <c r="BT920" s="6"/>
    </row>
    <row r="921" spans="1:72" x14ac:dyDescent="0.25">
      <c r="A921" s="18" t="s">
        <v>6</v>
      </c>
      <c r="B921" s="18">
        <v>2024</v>
      </c>
      <c r="C921" s="18" t="s">
        <v>138</v>
      </c>
      <c r="D921" s="18" t="s">
        <v>662</v>
      </c>
      <c r="E921" s="18">
        <v>20</v>
      </c>
      <c r="F921" s="192">
        <v>20</v>
      </c>
      <c r="G921" s="18" t="s">
        <v>156</v>
      </c>
      <c r="H921" s="245">
        <f>+F921</f>
        <v>20</v>
      </c>
      <c r="I921" s="245" t="s">
        <v>760</v>
      </c>
      <c r="J921" s="245"/>
      <c r="K921" s="18">
        <f t="shared" si="365"/>
        <v>6.9</v>
      </c>
      <c r="L921" s="18">
        <v>8.1999999999999993</v>
      </c>
      <c r="M921" s="4">
        <f t="shared" si="363"/>
        <v>1.2999999999999989</v>
      </c>
      <c r="N921" s="113">
        <f t="shared" si="366"/>
        <v>0.70000000000000062</v>
      </c>
      <c r="O921" s="5">
        <f t="shared" si="356"/>
        <v>0.29999999999999938</v>
      </c>
      <c r="P921" s="18">
        <f>0.27+0.64</f>
        <v>0.91</v>
      </c>
      <c r="Q921" s="185"/>
      <c r="R921" s="6"/>
      <c r="S921" s="6"/>
      <c r="T921" s="6">
        <v>0.27</v>
      </c>
      <c r="U921" s="6">
        <f>0.12+0.12</f>
        <v>0.24</v>
      </c>
      <c r="V921" s="4">
        <f t="shared" si="359"/>
        <v>18.461538461538478</v>
      </c>
      <c r="W921" s="6"/>
      <c r="X921" s="6"/>
      <c r="Y921" s="6">
        <f>3+5</f>
        <v>8</v>
      </c>
      <c r="Z921" s="31">
        <f t="shared" si="362"/>
        <v>162.49999999999986</v>
      </c>
      <c r="AA921" s="6"/>
      <c r="AB921" s="6"/>
      <c r="AC921" s="6"/>
      <c r="AD921" s="6"/>
      <c r="AE921" s="6"/>
      <c r="AF921" s="6"/>
      <c r="AG921" s="18" t="s">
        <v>29</v>
      </c>
      <c r="AH921" s="18" t="s">
        <v>29</v>
      </c>
      <c r="AI921" s="18" t="str">
        <f>+VLOOKUP(AH921,Leyenda!$O$4:$U$10,6,FALSE)</f>
        <v>0,25-0,35</v>
      </c>
      <c r="AJ921" s="18" t="str">
        <f>+VLOOKUP(AG921,Leyenda!$O$4:$U$10,7,FALSE)</f>
        <v>No Blasting need</v>
      </c>
      <c r="AK921" s="18">
        <f>+VLOOKUP(AJ921,Leyenda!$U$4:$V$10,2,FALSE)</f>
        <v>2</v>
      </c>
      <c r="AL921" s="6"/>
      <c r="AM921" s="18" t="s">
        <v>29</v>
      </c>
      <c r="AN921" s="18" t="s">
        <v>64</v>
      </c>
      <c r="AO921" s="18" t="s">
        <v>79</v>
      </c>
      <c r="AP921" s="18" t="s">
        <v>96</v>
      </c>
      <c r="AQ921" s="18" t="s">
        <v>109</v>
      </c>
      <c r="AR921" s="18" t="s">
        <v>122</v>
      </c>
      <c r="AS921" s="18" t="s">
        <v>267</v>
      </c>
      <c r="AT921" s="18"/>
      <c r="AU921" s="6"/>
      <c r="AV921" s="36">
        <f>+VLOOKUP(AN921,Leyenda!$B$30:$E$34,3,FALSE)</f>
        <v>2</v>
      </c>
      <c r="AW921" s="36">
        <f>+VLOOKUP('2. Logging Brejo Seco'!AO921,Meteorizacion,3,FALSE)</f>
        <v>1</v>
      </c>
      <c r="AX921" s="36">
        <f>+VLOOKUP('2. Logging Brejo Seco'!AP921,Apertura,3,FALSE)</f>
        <v>1</v>
      </c>
      <c r="AY921" s="36">
        <f>+VLOOKUP('2. Logging Brejo Seco'!AQ921,Leyenda!$B$55:$D$59,3,FALSE)</f>
        <v>1</v>
      </c>
      <c r="AZ921" s="36">
        <f>+VLOOKUP('2. Logging Brejo Seco'!AR921,Relleno,3,FALSE)</f>
        <v>0</v>
      </c>
      <c r="BA921" s="36">
        <f t="shared" si="347"/>
        <v>5</v>
      </c>
      <c r="BB921" s="50">
        <f t="shared" si="348"/>
        <v>4</v>
      </c>
      <c r="BC921" s="49">
        <f>VLOOKUP(AH921,Leyenda!$B$4:$D$10,3,FALSE)</f>
        <v>2</v>
      </c>
      <c r="BD921" s="50">
        <f t="shared" si="349"/>
        <v>9</v>
      </c>
      <c r="BE921" s="50">
        <f t="shared" si="350"/>
        <v>5</v>
      </c>
      <c r="BF921" s="50">
        <f>VLOOKUP(AS921,Leyenda!$B$70:$D$75,3,FALSE)</f>
        <v>15</v>
      </c>
      <c r="BG921" s="110">
        <f t="shared" si="351"/>
        <v>16.730769230769241</v>
      </c>
      <c r="BH921" s="110">
        <f>VLOOKUP(AG921,Leyenda!$B$4:$E$10,4,FALSE)</f>
        <v>2</v>
      </c>
      <c r="BI921" s="67">
        <f t="shared" si="352"/>
        <v>11</v>
      </c>
      <c r="BJ921" s="110">
        <f t="shared" si="353"/>
        <v>4</v>
      </c>
      <c r="BK921" s="110">
        <f>+VLOOKUP('2. Logging Brejo Seco'!AP921,Leyenda!$B$47:$E$51,4,FALSE)</f>
        <v>1</v>
      </c>
      <c r="BL921" s="110">
        <f>+VLOOKUP('2. Logging Brejo Seco'!AQ921,Leyenda!$B$55:$E$59,4,FALSE)</f>
        <v>1</v>
      </c>
      <c r="BM921" s="110">
        <f>+VLOOKUP('2. Logging Brejo Seco'!AR921,Leyenda!$B$63:$E$67,3,FALSE)</f>
        <v>0</v>
      </c>
      <c r="BN921" s="110">
        <f>+VLOOKUP('2. Logging Brejo Seco'!AO921,Leyenda!$B$39:$E$43,4,FALSE)</f>
        <v>1</v>
      </c>
      <c r="BO921" s="110">
        <f>+VLOOKUP('2. Logging Brejo Seco'!AN921,Leyenda!$B$30:$E$34,4,FALSE)</f>
        <v>3</v>
      </c>
      <c r="BP921" s="110">
        <f>VLOOKUP(AS921,Leyenda!$B$71:$E$75,4,FALSE)</f>
        <v>10</v>
      </c>
      <c r="BQ921" s="110">
        <f t="shared" si="354"/>
        <v>33</v>
      </c>
      <c r="BR921" s="36">
        <f t="shared" si="355"/>
        <v>35</v>
      </c>
      <c r="BS921" s="240">
        <f t="shared" si="361"/>
        <v>0.29999999999999938</v>
      </c>
      <c r="BT921" s="6"/>
    </row>
    <row r="922" spans="1:72" x14ac:dyDescent="0.25">
      <c r="A922" s="18" t="s">
        <v>6</v>
      </c>
      <c r="B922" s="18">
        <v>2024</v>
      </c>
      <c r="C922" s="18" t="s">
        <v>138</v>
      </c>
      <c r="D922" s="18" t="s">
        <v>662</v>
      </c>
      <c r="E922" s="18">
        <v>20</v>
      </c>
      <c r="F922" s="192">
        <v>20</v>
      </c>
      <c r="G922" s="18" t="s">
        <v>156</v>
      </c>
      <c r="H922" s="245">
        <f t="shared" ref="H922:H926" si="367">+F922</f>
        <v>20</v>
      </c>
      <c r="I922" s="245" t="s">
        <v>760</v>
      </c>
      <c r="J922" s="245"/>
      <c r="K922" s="18">
        <f t="shared" si="365"/>
        <v>8.1999999999999993</v>
      </c>
      <c r="L922" s="18">
        <v>10.199999999999999</v>
      </c>
      <c r="M922" s="4">
        <f t="shared" si="363"/>
        <v>2</v>
      </c>
      <c r="N922" s="113">
        <f t="shared" si="366"/>
        <v>0.76</v>
      </c>
      <c r="O922" s="5">
        <f t="shared" si="356"/>
        <v>0.24</v>
      </c>
      <c r="P922" s="18">
        <v>1.52</v>
      </c>
      <c r="Q922" s="185"/>
      <c r="R922" s="6"/>
      <c r="S922" s="6"/>
      <c r="T922" s="6">
        <v>1.52</v>
      </c>
      <c r="U922" s="6">
        <v>0.5</v>
      </c>
      <c r="V922" s="4">
        <f t="shared" si="359"/>
        <v>25</v>
      </c>
      <c r="W922" s="6"/>
      <c r="X922" s="6"/>
      <c r="Y922" s="6">
        <v>15</v>
      </c>
      <c r="Z922" s="31">
        <f t="shared" si="362"/>
        <v>133.33333333333334</v>
      </c>
      <c r="AA922" s="6"/>
      <c r="AB922" s="6"/>
      <c r="AC922" s="6"/>
      <c r="AD922" s="6"/>
      <c r="AE922" s="6"/>
      <c r="AF922" s="6"/>
      <c r="AG922" s="18" t="s">
        <v>29</v>
      </c>
      <c r="AH922" s="18" t="s">
        <v>29</v>
      </c>
      <c r="AI922" s="18" t="str">
        <f>+VLOOKUP(AH922,Leyenda!$O$4:$U$10,6,FALSE)</f>
        <v>0,25-0,35</v>
      </c>
      <c r="AJ922" s="18" t="str">
        <f>+VLOOKUP(AG922,Leyenda!$O$4:$U$10,7,FALSE)</f>
        <v>No Blasting need</v>
      </c>
      <c r="AK922" s="18">
        <f>+VLOOKUP(AJ922,Leyenda!$U$4:$V$10,2,FALSE)</f>
        <v>2</v>
      </c>
      <c r="AL922" s="6"/>
      <c r="AM922" s="18" t="s">
        <v>29</v>
      </c>
      <c r="AN922" s="18" t="s">
        <v>64</v>
      </c>
      <c r="AO922" s="18" t="s">
        <v>79</v>
      </c>
      <c r="AP922" s="18" t="s">
        <v>96</v>
      </c>
      <c r="AQ922" s="18" t="s">
        <v>109</v>
      </c>
      <c r="AR922" s="18" t="s">
        <v>122</v>
      </c>
      <c r="AS922" s="18" t="s">
        <v>267</v>
      </c>
      <c r="AT922" s="18"/>
      <c r="AU922" s="6"/>
      <c r="AV922" s="36">
        <f>+VLOOKUP(AN922,Leyenda!$B$30:$E$34,3,FALSE)</f>
        <v>2</v>
      </c>
      <c r="AW922" s="36">
        <f>+VLOOKUP('2. Logging Brejo Seco'!AO922,Meteorizacion,3,FALSE)</f>
        <v>1</v>
      </c>
      <c r="AX922" s="36">
        <f>+VLOOKUP('2. Logging Brejo Seco'!AP922,Apertura,3,FALSE)</f>
        <v>1</v>
      </c>
      <c r="AY922" s="36">
        <f>+VLOOKUP('2. Logging Brejo Seco'!AQ922,Leyenda!$B$55:$D$59,3,FALSE)</f>
        <v>1</v>
      </c>
      <c r="AZ922" s="36">
        <f>+VLOOKUP('2. Logging Brejo Seco'!AR922,Relleno,3,FALSE)</f>
        <v>0</v>
      </c>
      <c r="BA922" s="36">
        <f t="shared" si="347"/>
        <v>5</v>
      </c>
      <c r="BB922" s="50">
        <f t="shared" si="348"/>
        <v>5</v>
      </c>
      <c r="BC922" s="49">
        <f>VLOOKUP(AH922,Leyenda!$B$4:$D$10,3,FALSE)</f>
        <v>2</v>
      </c>
      <c r="BD922" s="50">
        <f t="shared" si="349"/>
        <v>8</v>
      </c>
      <c r="BE922" s="50">
        <f t="shared" si="350"/>
        <v>5</v>
      </c>
      <c r="BF922" s="50">
        <f>VLOOKUP(AS922,Leyenda!$B$70:$D$75,3,FALSE)</f>
        <v>15</v>
      </c>
      <c r="BG922" s="110">
        <f t="shared" si="351"/>
        <v>20</v>
      </c>
      <c r="BH922" s="110">
        <f>VLOOKUP(AG922,Leyenda!$B$4:$E$10,4,FALSE)</f>
        <v>2</v>
      </c>
      <c r="BI922" s="67">
        <f t="shared" si="352"/>
        <v>10</v>
      </c>
      <c r="BJ922" s="110">
        <f t="shared" si="353"/>
        <v>5</v>
      </c>
      <c r="BK922" s="110">
        <f>+VLOOKUP('2. Logging Brejo Seco'!AP922,Leyenda!$B$47:$E$51,4,FALSE)</f>
        <v>1</v>
      </c>
      <c r="BL922" s="110">
        <f>+VLOOKUP('2. Logging Brejo Seco'!AQ922,Leyenda!$B$55:$E$59,4,FALSE)</f>
        <v>1</v>
      </c>
      <c r="BM922" s="110">
        <f>+VLOOKUP('2. Logging Brejo Seco'!AR922,Leyenda!$B$63:$E$67,3,FALSE)</f>
        <v>0</v>
      </c>
      <c r="BN922" s="110">
        <f>+VLOOKUP('2. Logging Brejo Seco'!AO922,Leyenda!$B$39:$E$43,4,FALSE)</f>
        <v>1</v>
      </c>
      <c r="BO922" s="110">
        <f>+VLOOKUP('2. Logging Brejo Seco'!AN922,Leyenda!$B$30:$E$34,4,FALSE)</f>
        <v>3</v>
      </c>
      <c r="BP922" s="110">
        <f>VLOOKUP(AS922,Leyenda!$B$71:$E$75,4,FALSE)</f>
        <v>10</v>
      </c>
      <c r="BQ922" s="110">
        <f t="shared" si="354"/>
        <v>33</v>
      </c>
      <c r="BR922" s="36">
        <f t="shared" si="355"/>
        <v>35</v>
      </c>
      <c r="BS922" s="240">
        <f t="shared" si="361"/>
        <v>0.24</v>
      </c>
      <c r="BT922" s="6"/>
    </row>
    <row r="923" spans="1:72" x14ac:dyDescent="0.25">
      <c r="A923" s="18" t="s">
        <v>6</v>
      </c>
      <c r="B923" s="18">
        <v>2024</v>
      </c>
      <c r="C923" s="18" t="s">
        <v>138</v>
      </c>
      <c r="D923" s="18" t="s">
        <v>662</v>
      </c>
      <c r="E923" s="18">
        <v>20</v>
      </c>
      <c r="F923" s="192">
        <v>20</v>
      </c>
      <c r="G923" s="18" t="s">
        <v>156</v>
      </c>
      <c r="H923" s="245">
        <f t="shared" si="367"/>
        <v>20</v>
      </c>
      <c r="I923" s="245" t="s">
        <v>760</v>
      </c>
      <c r="J923" s="245"/>
      <c r="K923" s="18">
        <f t="shared" si="365"/>
        <v>10.199999999999999</v>
      </c>
      <c r="L923" s="18">
        <v>11.6</v>
      </c>
      <c r="M923" s="4">
        <f t="shared" si="363"/>
        <v>1.4000000000000004</v>
      </c>
      <c r="N923" s="113">
        <f t="shared" si="366"/>
        <v>0.72857142857142843</v>
      </c>
      <c r="O923" s="5">
        <f t="shared" si="356"/>
        <v>0.27142857142857157</v>
      </c>
      <c r="P923" s="18">
        <v>1.02</v>
      </c>
      <c r="Q923" s="185"/>
      <c r="R923" s="6"/>
      <c r="S923" s="6"/>
      <c r="T923" s="6">
        <f>0.43+0.59</f>
        <v>1.02</v>
      </c>
      <c r="U923" s="6">
        <f>0.11+0.27</f>
        <v>0.38</v>
      </c>
      <c r="V923" s="4">
        <f t="shared" si="359"/>
        <v>27.142857142857135</v>
      </c>
      <c r="W923" s="6"/>
      <c r="X923" s="6"/>
      <c r="Y923" s="6">
        <v>12</v>
      </c>
      <c r="Z923" s="31">
        <f t="shared" si="362"/>
        <v>116.6666666666667</v>
      </c>
      <c r="AA923" s="6"/>
      <c r="AB923" s="6"/>
      <c r="AC923" s="6"/>
      <c r="AD923" s="6"/>
      <c r="AE923" s="6"/>
      <c r="AF923" s="6"/>
      <c r="AG923" s="18" t="s">
        <v>29</v>
      </c>
      <c r="AH923" s="18" t="s">
        <v>29</v>
      </c>
      <c r="AI923" s="18" t="str">
        <f>+VLOOKUP(AH923,Leyenda!$O$4:$U$10,6,FALSE)</f>
        <v>0,25-0,35</v>
      </c>
      <c r="AJ923" s="18" t="str">
        <f>+VLOOKUP(AG923,Leyenda!$O$4:$U$10,7,FALSE)</f>
        <v>No Blasting need</v>
      </c>
      <c r="AK923" s="18">
        <f>+VLOOKUP(AJ923,Leyenda!$U$4:$V$10,2,FALSE)</f>
        <v>2</v>
      </c>
      <c r="AL923" s="6"/>
      <c r="AM923" s="18" t="s">
        <v>29</v>
      </c>
      <c r="AN923" s="18" t="s">
        <v>64</v>
      </c>
      <c r="AO923" s="18" t="s">
        <v>79</v>
      </c>
      <c r="AP923" s="18" t="s">
        <v>96</v>
      </c>
      <c r="AQ923" s="18" t="s">
        <v>109</v>
      </c>
      <c r="AR923" s="18" t="s">
        <v>122</v>
      </c>
      <c r="AS923" s="18" t="s">
        <v>267</v>
      </c>
      <c r="AT923" s="18"/>
      <c r="AU923" s="6"/>
      <c r="AV923" s="36">
        <f>+VLOOKUP(AN923,Leyenda!$B$30:$E$34,3,FALSE)</f>
        <v>2</v>
      </c>
      <c r="AW923" s="36">
        <f>+VLOOKUP('2. Logging Brejo Seco'!AO923,Meteorizacion,3,FALSE)</f>
        <v>1</v>
      </c>
      <c r="AX923" s="36">
        <f>+VLOOKUP('2. Logging Brejo Seco'!AP923,Apertura,3,FALSE)</f>
        <v>1</v>
      </c>
      <c r="AY923" s="36">
        <f>+VLOOKUP('2. Logging Brejo Seco'!AQ923,Leyenda!$B$55:$D$59,3,FALSE)</f>
        <v>1</v>
      </c>
      <c r="AZ923" s="36">
        <f>+VLOOKUP('2. Logging Brejo Seco'!AR923,Relleno,3,FALSE)</f>
        <v>0</v>
      </c>
      <c r="BA923" s="36">
        <f t="shared" si="347"/>
        <v>5</v>
      </c>
      <c r="BB923" s="50">
        <f t="shared" si="348"/>
        <v>6</v>
      </c>
      <c r="BC923" s="49">
        <f>VLOOKUP(AH923,Leyenda!$B$4:$D$10,3,FALSE)</f>
        <v>2</v>
      </c>
      <c r="BD923" s="50">
        <f t="shared" si="349"/>
        <v>8</v>
      </c>
      <c r="BE923" s="50">
        <f t="shared" si="350"/>
        <v>5</v>
      </c>
      <c r="BF923" s="50">
        <f>VLOOKUP(AS923,Leyenda!$B$70:$D$75,3,FALSE)</f>
        <v>15</v>
      </c>
      <c r="BG923" s="110">
        <f t="shared" si="351"/>
        <v>21.071428571428569</v>
      </c>
      <c r="BH923" s="110">
        <f>VLOOKUP(AG923,Leyenda!$B$4:$E$10,4,FALSE)</f>
        <v>2</v>
      </c>
      <c r="BI923" s="67">
        <f t="shared" si="352"/>
        <v>9</v>
      </c>
      <c r="BJ923" s="110">
        <f t="shared" si="353"/>
        <v>6</v>
      </c>
      <c r="BK923" s="110">
        <f>+VLOOKUP('2. Logging Brejo Seco'!AP923,Leyenda!$B$47:$E$51,4,FALSE)</f>
        <v>1</v>
      </c>
      <c r="BL923" s="110">
        <f>+VLOOKUP('2. Logging Brejo Seco'!AQ923,Leyenda!$B$55:$E$59,4,FALSE)</f>
        <v>1</v>
      </c>
      <c r="BM923" s="110">
        <f>+VLOOKUP('2. Logging Brejo Seco'!AR923,Leyenda!$B$63:$E$67,3,FALSE)</f>
        <v>0</v>
      </c>
      <c r="BN923" s="110">
        <f>+VLOOKUP('2. Logging Brejo Seco'!AO923,Leyenda!$B$39:$E$43,4,FALSE)</f>
        <v>1</v>
      </c>
      <c r="BO923" s="110">
        <f>+VLOOKUP('2. Logging Brejo Seco'!AN923,Leyenda!$B$30:$E$34,4,FALSE)</f>
        <v>3</v>
      </c>
      <c r="BP923" s="110">
        <f>VLOOKUP(AS923,Leyenda!$B$71:$E$75,4,FALSE)</f>
        <v>10</v>
      </c>
      <c r="BQ923" s="110">
        <f t="shared" si="354"/>
        <v>33</v>
      </c>
      <c r="BR923" s="36">
        <f t="shared" si="355"/>
        <v>36</v>
      </c>
      <c r="BS923" s="240">
        <f t="shared" si="361"/>
        <v>0.27142857142857157</v>
      </c>
      <c r="BT923" s="6"/>
    </row>
    <row r="924" spans="1:72" x14ac:dyDescent="0.25">
      <c r="A924" s="18" t="s">
        <v>6</v>
      </c>
      <c r="B924" s="18">
        <v>2024</v>
      </c>
      <c r="C924" s="18" t="s">
        <v>138</v>
      </c>
      <c r="D924" s="18" t="s">
        <v>662</v>
      </c>
      <c r="E924" s="18">
        <v>20</v>
      </c>
      <c r="F924" s="192">
        <v>20</v>
      </c>
      <c r="G924" s="18" t="s">
        <v>156</v>
      </c>
      <c r="H924" s="245">
        <f t="shared" si="367"/>
        <v>20</v>
      </c>
      <c r="I924" s="245" t="s">
        <v>760</v>
      </c>
      <c r="J924" s="245"/>
      <c r="K924" s="18">
        <f t="shared" si="365"/>
        <v>11.6</v>
      </c>
      <c r="L924" s="18">
        <v>13.4</v>
      </c>
      <c r="M924" s="4">
        <f t="shared" si="363"/>
        <v>1.8000000000000007</v>
      </c>
      <c r="N924" s="113">
        <f t="shared" si="366"/>
        <v>0.74444444444444424</v>
      </c>
      <c r="O924" s="5">
        <f t="shared" si="356"/>
        <v>0.25555555555555576</v>
      </c>
      <c r="P924" s="18">
        <v>1.34</v>
      </c>
      <c r="Q924" s="185"/>
      <c r="R924" s="6"/>
      <c r="S924" s="6"/>
      <c r="T924" s="6">
        <v>1.34</v>
      </c>
      <c r="U924" s="6">
        <v>0.55000000000000004</v>
      </c>
      <c r="V924" s="4">
        <f t="shared" si="359"/>
        <v>30.555555555555546</v>
      </c>
      <c r="W924" s="6"/>
      <c r="X924" s="6"/>
      <c r="Y924" s="6">
        <v>14</v>
      </c>
      <c r="Z924" s="31">
        <f t="shared" si="362"/>
        <v>128.57142857142861</v>
      </c>
      <c r="AA924" s="6"/>
      <c r="AB924" s="6"/>
      <c r="AC924" s="6"/>
      <c r="AD924" s="6"/>
      <c r="AE924" s="6"/>
      <c r="AF924" s="6"/>
      <c r="AG924" s="18" t="s">
        <v>29</v>
      </c>
      <c r="AH924" s="18" t="s">
        <v>29</v>
      </c>
      <c r="AI924" s="18" t="str">
        <f>+VLOOKUP(AH924,Leyenda!$O$4:$U$10,6,FALSE)</f>
        <v>0,25-0,35</v>
      </c>
      <c r="AJ924" s="18" t="str">
        <f>+VLOOKUP(AG924,Leyenda!$O$4:$U$10,7,FALSE)</f>
        <v>No Blasting need</v>
      </c>
      <c r="AK924" s="18">
        <f>+VLOOKUP(AJ924,Leyenda!$U$4:$V$10,2,FALSE)</f>
        <v>2</v>
      </c>
      <c r="AL924" s="6"/>
      <c r="AM924" s="18" t="s">
        <v>29</v>
      </c>
      <c r="AN924" s="18" t="s">
        <v>64</v>
      </c>
      <c r="AO924" s="18" t="s">
        <v>79</v>
      </c>
      <c r="AP924" s="194" t="s">
        <v>96</v>
      </c>
      <c r="AQ924" s="194" t="s">
        <v>109</v>
      </c>
      <c r="AR924" s="18" t="s">
        <v>122</v>
      </c>
      <c r="AS924" s="18" t="s">
        <v>267</v>
      </c>
      <c r="AT924" s="18"/>
      <c r="AU924" s="6"/>
      <c r="AV924" s="36">
        <f>+VLOOKUP(AN924,Leyenda!$B$30:$E$34,3,FALSE)</f>
        <v>2</v>
      </c>
      <c r="AW924" s="36">
        <f>+VLOOKUP('2. Logging Brejo Seco'!AO924,Meteorizacion,3,FALSE)</f>
        <v>1</v>
      </c>
      <c r="AX924" s="36">
        <f>+VLOOKUP('2. Logging Brejo Seco'!AP924,Apertura,3,FALSE)</f>
        <v>1</v>
      </c>
      <c r="AY924" s="36">
        <f>+VLOOKUP('2. Logging Brejo Seco'!AQ924,Leyenda!$B$55:$D$59,3,FALSE)</f>
        <v>1</v>
      </c>
      <c r="AZ924" s="36">
        <f>+VLOOKUP('2. Logging Brejo Seco'!AR924,Relleno,3,FALSE)</f>
        <v>0</v>
      </c>
      <c r="BA924" s="36">
        <f t="shared" si="347"/>
        <v>5</v>
      </c>
      <c r="BB924" s="50">
        <f t="shared" si="348"/>
        <v>7</v>
      </c>
      <c r="BC924" s="49">
        <f>VLOOKUP(AH924,Leyenda!$B$4:$D$10,3,FALSE)</f>
        <v>2</v>
      </c>
      <c r="BD924" s="50">
        <f t="shared" si="349"/>
        <v>8</v>
      </c>
      <c r="BE924" s="50">
        <f t="shared" si="350"/>
        <v>5</v>
      </c>
      <c r="BF924" s="50">
        <f>VLOOKUP(AS924,Leyenda!$B$70:$D$75,3,FALSE)</f>
        <v>15</v>
      </c>
      <c r="BG924" s="110">
        <f t="shared" si="351"/>
        <v>22.777777777777771</v>
      </c>
      <c r="BH924" s="110">
        <f>VLOOKUP(AG924,Leyenda!$B$4:$E$10,4,FALSE)</f>
        <v>2</v>
      </c>
      <c r="BI924" s="67">
        <f t="shared" si="352"/>
        <v>10</v>
      </c>
      <c r="BJ924" s="110">
        <f t="shared" si="353"/>
        <v>7</v>
      </c>
      <c r="BK924" s="110">
        <f>+VLOOKUP('2. Logging Brejo Seco'!AP924,Leyenda!$B$47:$E$51,4,FALSE)</f>
        <v>1</v>
      </c>
      <c r="BL924" s="110">
        <f>+VLOOKUP('2. Logging Brejo Seco'!AQ924,Leyenda!$B$55:$E$59,4,FALSE)</f>
        <v>1</v>
      </c>
      <c r="BM924" s="110">
        <f>+VLOOKUP('2. Logging Brejo Seco'!AR924,Leyenda!$B$63:$E$67,3,FALSE)</f>
        <v>0</v>
      </c>
      <c r="BN924" s="110">
        <f>+VLOOKUP('2. Logging Brejo Seco'!AO924,Leyenda!$B$39:$E$43,4,FALSE)</f>
        <v>1</v>
      </c>
      <c r="BO924" s="110">
        <f>+VLOOKUP('2. Logging Brejo Seco'!AN924,Leyenda!$B$30:$E$34,4,FALSE)</f>
        <v>3</v>
      </c>
      <c r="BP924" s="110">
        <f>VLOOKUP(AS924,Leyenda!$B$71:$E$75,4,FALSE)</f>
        <v>10</v>
      </c>
      <c r="BQ924" s="110">
        <f t="shared" si="354"/>
        <v>35</v>
      </c>
      <c r="BR924" s="36">
        <f t="shared" si="355"/>
        <v>37</v>
      </c>
      <c r="BS924" s="240">
        <f t="shared" si="361"/>
        <v>0.25555555555555576</v>
      </c>
      <c r="BT924" s="6"/>
    </row>
    <row r="925" spans="1:72" x14ac:dyDescent="0.25">
      <c r="A925" s="18" t="s">
        <v>6</v>
      </c>
      <c r="B925" s="18">
        <v>2024</v>
      </c>
      <c r="C925" s="18" t="s">
        <v>138</v>
      </c>
      <c r="D925" s="18" t="s">
        <v>662</v>
      </c>
      <c r="E925" s="18">
        <v>20</v>
      </c>
      <c r="F925" s="192">
        <v>20</v>
      </c>
      <c r="G925" s="18" t="s">
        <v>156</v>
      </c>
      <c r="H925" s="245">
        <f t="shared" si="367"/>
        <v>20</v>
      </c>
      <c r="I925" s="245" t="s">
        <v>760</v>
      </c>
      <c r="J925" s="245"/>
      <c r="K925" s="18">
        <f t="shared" si="365"/>
        <v>13.4</v>
      </c>
      <c r="L925" s="18">
        <v>14.9</v>
      </c>
      <c r="M925" s="4">
        <f t="shared" si="363"/>
        <v>1.5</v>
      </c>
      <c r="N925" s="113">
        <f t="shared" si="366"/>
        <v>0.84</v>
      </c>
      <c r="O925" s="5">
        <f t="shared" si="356"/>
        <v>0.16000000000000003</v>
      </c>
      <c r="P925" s="18">
        <f>0.76+0.5</f>
        <v>1.26</v>
      </c>
      <c r="Q925" s="185"/>
      <c r="R925" s="6"/>
      <c r="S925" s="6"/>
      <c r="T925" s="6">
        <v>1.26</v>
      </c>
      <c r="U925" s="6">
        <v>0</v>
      </c>
      <c r="V925" s="4">
        <f t="shared" si="359"/>
        <v>0</v>
      </c>
      <c r="W925" s="6"/>
      <c r="X925" s="6"/>
      <c r="Y925" s="6">
        <v>15</v>
      </c>
      <c r="Z925" s="31">
        <f t="shared" si="362"/>
        <v>100</v>
      </c>
      <c r="AA925" s="6"/>
      <c r="AB925" s="6"/>
      <c r="AC925" s="6"/>
      <c r="AD925" s="6"/>
      <c r="AE925" s="6"/>
      <c r="AF925" s="6"/>
      <c r="AG925" s="18" t="s">
        <v>29</v>
      </c>
      <c r="AH925" s="18" t="s">
        <v>29</v>
      </c>
      <c r="AI925" s="18" t="str">
        <f>+VLOOKUP(AH925,Leyenda!$O$4:$U$10,6,FALSE)</f>
        <v>0,25-0,35</v>
      </c>
      <c r="AJ925" s="18" t="str">
        <f>+VLOOKUP(AG925,Leyenda!$O$4:$U$10,7,FALSE)</f>
        <v>No Blasting need</v>
      </c>
      <c r="AK925" s="18">
        <f>+VLOOKUP(AJ925,Leyenda!$U$4:$V$10,2,FALSE)</f>
        <v>2</v>
      </c>
      <c r="AL925" s="6"/>
      <c r="AM925" s="18" t="s">
        <v>29</v>
      </c>
      <c r="AN925" s="18" t="s">
        <v>64</v>
      </c>
      <c r="AO925" s="18" t="s">
        <v>79</v>
      </c>
      <c r="AP925" s="18" t="s">
        <v>96</v>
      </c>
      <c r="AQ925" s="18" t="s">
        <v>109</v>
      </c>
      <c r="AR925" s="18" t="s">
        <v>122</v>
      </c>
      <c r="AS925" s="18" t="s">
        <v>267</v>
      </c>
      <c r="AT925" s="18"/>
      <c r="AU925" s="6"/>
      <c r="AV925" s="36">
        <f>+VLOOKUP(AN925,Leyenda!$B$30:$E$34,3,FALSE)</f>
        <v>2</v>
      </c>
      <c r="AW925" s="36">
        <f>+VLOOKUP('2. Logging Brejo Seco'!AO925,Meteorizacion,3,FALSE)</f>
        <v>1</v>
      </c>
      <c r="AX925" s="36">
        <f>+VLOOKUP('2. Logging Brejo Seco'!AP925,Apertura,3,FALSE)</f>
        <v>1</v>
      </c>
      <c r="AY925" s="36">
        <f>+VLOOKUP('2. Logging Brejo Seco'!AQ925,Leyenda!$B$55:$D$59,3,FALSE)</f>
        <v>1</v>
      </c>
      <c r="AZ925" s="36">
        <f>+VLOOKUP('2. Logging Brejo Seco'!AR925,Relleno,3,FALSE)</f>
        <v>0</v>
      </c>
      <c r="BA925" s="36">
        <f t="shared" si="347"/>
        <v>5</v>
      </c>
      <c r="BB925" s="50">
        <f t="shared" si="348"/>
        <v>0</v>
      </c>
      <c r="BC925" s="49">
        <f>VLOOKUP(AH925,Leyenda!$B$4:$D$10,3,FALSE)</f>
        <v>2</v>
      </c>
      <c r="BD925" s="50">
        <f t="shared" si="349"/>
        <v>7</v>
      </c>
      <c r="BE925" s="50">
        <f t="shared" si="350"/>
        <v>5</v>
      </c>
      <c r="BF925" s="50">
        <f>VLOOKUP(AS925,Leyenda!$B$70:$D$75,3,FALSE)</f>
        <v>15</v>
      </c>
      <c r="BG925" s="110">
        <f t="shared" si="351"/>
        <v>7.5</v>
      </c>
      <c r="BH925" s="110">
        <f>VLOOKUP(AG925,Leyenda!$B$4:$E$10,4,FALSE)</f>
        <v>2</v>
      </c>
      <c r="BI925" s="67">
        <f t="shared" si="352"/>
        <v>8</v>
      </c>
      <c r="BJ925" s="110">
        <f t="shared" si="353"/>
        <v>0</v>
      </c>
      <c r="BK925" s="110">
        <f>+VLOOKUP('2. Logging Brejo Seco'!AP925,Leyenda!$B$47:$E$51,4,FALSE)</f>
        <v>1</v>
      </c>
      <c r="BL925" s="110">
        <f>+VLOOKUP('2. Logging Brejo Seco'!AQ925,Leyenda!$B$55:$E$59,4,FALSE)</f>
        <v>1</v>
      </c>
      <c r="BM925" s="110">
        <f>+VLOOKUP('2. Logging Brejo Seco'!AR925,Leyenda!$B$63:$E$67,3,FALSE)</f>
        <v>0</v>
      </c>
      <c r="BN925" s="110">
        <f>+VLOOKUP('2. Logging Brejo Seco'!AO925,Leyenda!$B$39:$E$43,4,FALSE)</f>
        <v>1</v>
      </c>
      <c r="BO925" s="110">
        <f>+VLOOKUP('2. Logging Brejo Seco'!AN925,Leyenda!$B$30:$E$34,4,FALSE)</f>
        <v>3</v>
      </c>
      <c r="BP925" s="110">
        <f>VLOOKUP(AS925,Leyenda!$B$71:$E$75,4,FALSE)</f>
        <v>10</v>
      </c>
      <c r="BQ925" s="110">
        <f t="shared" si="354"/>
        <v>26</v>
      </c>
      <c r="BR925" s="36">
        <f t="shared" si="355"/>
        <v>29</v>
      </c>
      <c r="BS925" s="240">
        <f t="shared" si="361"/>
        <v>0.16000000000000003</v>
      </c>
      <c r="BT925" s="6"/>
    </row>
    <row r="926" spans="1:72" x14ac:dyDescent="0.25">
      <c r="A926" s="18" t="s">
        <v>6</v>
      </c>
      <c r="B926" s="18">
        <v>2024</v>
      </c>
      <c r="C926" s="18" t="s">
        <v>138</v>
      </c>
      <c r="D926" s="18" t="s">
        <v>662</v>
      </c>
      <c r="E926" s="18">
        <v>20</v>
      </c>
      <c r="F926" s="192">
        <v>20</v>
      </c>
      <c r="G926" s="18" t="s">
        <v>156</v>
      </c>
      <c r="H926" s="245">
        <f t="shared" si="367"/>
        <v>20</v>
      </c>
      <c r="I926" s="245" t="s">
        <v>760</v>
      </c>
      <c r="J926" s="245"/>
      <c r="K926" s="18">
        <f t="shared" si="365"/>
        <v>14.9</v>
      </c>
      <c r="L926" s="18">
        <v>16.149999999999999</v>
      </c>
      <c r="M926" s="4">
        <f t="shared" si="363"/>
        <v>1.2499999999999982</v>
      </c>
      <c r="N926" s="113">
        <f t="shared" si="366"/>
        <v>0.90400000000000125</v>
      </c>
      <c r="O926" s="5">
        <f t="shared" si="356"/>
        <v>9.5999999999998753E-2</v>
      </c>
      <c r="P926" s="18">
        <v>1.1299999999999999</v>
      </c>
      <c r="Q926" s="185"/>
      <c r="R926" s="6"/>
      <c r="S926" s="6"/>
      <c r="T926" s="6">
        <v>1.1299999999999999</v>
      </c>
      <c r="U926" s="6">
        <v>0.12</v>
      </c>
      <c r="V926" s="4">
        <f t="shared" si="359"/>
        <v>9.6000000000000121</v>
      </c>
      <c r="W926" s="6"/>
      <c r="X926" s="6"/>
      <c r="Y926" s="6">
        <f>10+8</f>
        <v>18</v>
      </c>
      <c r="Z926" s="31">
        <f t="shared" si="362"/>
        <v>69.444444444444343</v>
      </c>
      <c r="AA926" s="6"/>
      <c r="AB926" s="6"/>
      <c r="AC926" s="6"/>
      <c r="AD926" s="6"/>
      <c r="AE926" s="6"/>
      <c r="AF926" s="6"/>
      <c r="AG926" s="3" t="s">
        <v>32</v>
      </c>
      <c r="AH926" s="3" t="s">
        <v>32</v>
      </c>
      <c r="AI926" s="18" t="str">
        <f>+VLOOKUP(AH926,Leyenda!$O$4:$U$10,6,FALSE)</f>
        <v>0,15-0,25</v>
      </c>
      <c r="AJ926" s="18" t="str">
        <f>+VLOOKUP(AG926,Leyenda!$O$4:$U$10,7,FALSE)</f>
        <v>No Blasting need</v>
      </c>
      <c r="AK926" s="18">
        <f>+VLOOKUP(AJ926,Leyenda!$U$4:$V$10,2,FALSE)</f>
        <v>2</v>
      </c>
      <c r="AL926" s="6"/>
      <c r="AM926" s="3" t="s">
        <v>32</v>
      </c>
      <c r="AN926" s="18" t="s">
        <v>66</v>
      </c>
      <c r="AO926" s="18" t="s">
        <v>81</v>
      </c>
      <c r="AP926" s="18" t="s">
        <v>100</v>
      </c>
      <c r="AQ926" s="18" t="s">
        <v>109</v>
      </c>
      <c r="AR926" s="18" t="s">
        <v>122</v>
      </c>
      <c r="AS926" s="18" t="s">
        <v>267</v>
      </c>
      <c r="AT926" s="18"/>
      <c r="AU926" s="6"/>
      <c r="AV926" s="36">
        <f>+VLOOKUP(AN926,Leyenda!$B$30:$E$34,3,FALSE)</f>
        <v>1</v>
      </c>
      <c r="AW926" s="36">
        <f>+VLOOKUP('2. Logging Brejo Seco'!AO926,Meteorizacion,3,FALSE)</f>
        <v>0</v>
      </c>
      <c r="AX926" s="36">
        <f>+VLOOKUP('2. Logging Brejo Seco'!AP926,Apertura,3,FALSE)</f>
        <v>0</v>
      </c>
      <c r="AY926" s="36">
        <f>+VLOOKUP('2. Logging Brejo Seco'!AQ926,Leyenda!$B$55:$D$59,3,FALSE)</f>
        <v>1</v>
      </c>
      <c r="AZ926" s="36">
        <f>+VLOOKUP('2. Logging Brejo Seco'!AR926,Relleno,3,FALSE)</f>
        <v>0</v>
      </c>
      <c r="BA926" s="36">
        <f t="shared" si="347"/>
        <v>2</v>
      </c>
      <c r="BB926" s="50">
        <f t="shared" si="348"/>
        <v>2</v>
      </c>
      <c r="BC926" s="49">
        <f>VLOOKUP(AH926,Leyenda!$B$4:$D$10,3,FALSE)</f>
        <v>1</v>
      </c>
      <c r="BD926" s="50">
        <f t="shared" si="349"/>
        <v>6</v>
      </c>
      <c r="BE926" s="50">
        <f t="shared" si="350"/>
        <v>2</v>
      </c>
      <c r="BF926" s="50">
        <f>VLOOKUP(AS926,Leyenda!$B$70:$D$75,3,FALSE)</f>
        <v>15</v>
      </c>
      <c r="BG926" s="110">
        <f t="shared" si="351"/>
        <v>7.800000000000006</v>
      </c>
      <c r="BH926" s="110">
        <f>VLOOKUP(AG926,Leyenda!$B$4:$E$10,4,FALSE)</f>
        <v>1</v>
      </c>
      <c r="BI926" s="67">
        <f t="shared" si="352"/>
        <v>6</v>
      </c>
      <c r="BJ926" s="110">
        <f t="shared" si="353"/>
        <v>2</v>
      </c>
      <c r="BK926" s="110">
        <f>+VLOOKUP('2. Logging Brejo Seco'!AP926,Leyenda!$B$47:$E$51,4,FALSE)</f>
        <v>0</v>
      </c>
      <c r="BL926" s="110">
        <f>+VLOOKUP('2. Logging Brejo Seco'!AQ926,Leyenda!$B$55:$E$59,4,FALSE)</f>
        <v>1</v>
      </c>
      <c r="BM926" s="110">
        <f>+VLOOKUP('2. Logging Brejo Seco'!AR926,Leyenda!$B$63:$E$67,3,FALSE)</f>
        <v>0</v>
      </c>
      <c r="BN926" s="110">
        <f>+VLOOKUP('2. Logging Brejo Seco'!AO926,Leyenda!$B$39:$E$43,4,FALSE)</f>
        <v>0</v>
      </c>
      <c r="BO926" s="110">
        <f>+VLOOKUP('2. Logging Brejo Seco'!AN926,Leyenda!$B$30:$E$34,4,FALSE)</f>
        <v>1</v>
      </c>
      <c r="BP926" s="110">
        <f>VLOOKUP(AS926,Leyenda!$B$71:$E$75,4,FALSE)</f>
        <v>10</v>
      </c>
      <c r="BQ926" s="110">
        <f t="shared" si="354"/>
        <v>21</v>
      </c>
      <c r="BR926" s="36">
        <f t="shared" si="355"/>
        <v>26</v>
      </c>
      <c r="BS926" s="240">
        <f t="shared" si="361"/>
        <v>9.5999999999998753E-2</v>
      </c>
      <c r="BT926" s="6"/>
    </row>
    <row r="927" spans="1:72" x14ac:dyDescent="0.25">
      <c r="A927" s="18" t="s">
        <v>6</v>
      </c>
      <c r="B927" s="18">
        <v>2024</v>
      </c>
      <c r="C927" s="18" t="s">
        <v>138</v>
      </c>
      <c r="D927" s="18" t="s">
        <v>662</v>
      </c>
      <c r="E927" s="18">
        <v>20</v>
      </c>
      <c r="F927" s="192">
        <v>20</v>
      </c>
      <c r="G927" s="18" t="s">
        <v>156</v>
      </c>
      <c r="H927" s="18">
        <v>30</v>
      </c>
      <c r="I927" s="18" t="s">
        <v>759</v>
      </c>
      <c r="J927" s="18"/>
      <c r="K927" s="18">
        <f t="shared" si="365"/>
        <v>16.149999999999999</v>
      </c>
      <c r="L927" s="18">
        <v>17.7</v>
      </c>
      <c r="M927" s="4">
        <f t="shared" si="363"/>
        <v>1.5500000000000007</v>
      </c>
      <c r="N927" s="113">
        <f t="shared" si="366"/>
        <v>0.88387096774193519</v>
      </c>
      <c r="O927" s="5">
        <f t="shared" si="356"/>
        <v>0.11612903225806481</v>
      </c>
      <c r="P927" s="18">
        <f>1.1+0.27</f>
        <v>1.37</v>
      </c>
      <c r="Q927" s="185"/>
      <c r="R927" s="6"/>
      <c r="S927" s="6"/>
      <c r="T927" s="6">
        <v>1.37</v>
      </c>
      <c r="U927" s="6">
        <f>0.31+0.16</f>
        <v>0.47</v>
      </c>
      <c r="V927" s="4">
        <f t="shared" si="359"/>
        <v>30.322580645161274</v>
      </c>
      <c r="W927" s="6"/>
      <c r="X927" s="6"/>
      <c r="Y927" s="6">
        <v>11</v>
      </c>
      <c r="Z927" s="31">
        <f t="shared" si="362"/>
        <v>140.90909090909096</v>
      </c>
      <c r="AA927" s="6"/>
      <c r="AB927" s="6"/>
      <c r="AC927" s="6"/>
      <c r="AD927" s="6"/>
      <c r="AE927" s="6"/>
      <c r="AF927" s="6"/>
      <c r="AG927" s="3" t="s">
        <v>32</v>
      </c>
      <c r="AH927" s="3" t="s">
        <v>32</v>
      </c>
      <c r="AI927" s="18" t="str">
        <f>+VLOOKUP(AH927,Leyenda!$O$4:$U$10,6,FALSE)</f>
        <v>0,15-0,25</v>
      </c>
      <c r="AJ927" s="18" t="str">
        <f>+VLOOKUP(AG927,Leyenda!$O$4:$U$10,7,FALSE)</f>
        <v>No Blasting need</v>
      </c>
      <c r="AK927" s="18">
        <f>+VLOOKUP(AJ927,Leyenda!$U$4:$V$10,2,FALSE)</f>
        <v>2</v>
      </c>
      <c r="AL927" s="6"/>
      <c r="AM927" s="3" t="s">
        <v>32</v>
      </c>
      <c r="AN927" s="18" t="s">
        <v>64</v>
      </c>
      <c r="AO927" s="18" t="s">
        <v>79</v>
      </c>
      <c r="AP927" s="18" t="s">
        <v>96</v>
      </c>
      <c r="AQ927" s="18" t="s">
        <v>107</v>
      </c>
      <c r="AR927" s="18" t="s">
        <v>120</v>
      </c>
      <c r="AS927" s="18" t="s">
        <v>267</v>
      </c>
      <c r="AT927" s="18"/>
      <c r="AU927" s="6"/>
      <c r="AV927" s="36">
        <f>+VLOOKUP(AN927,Leyenda!$B$30:$E$34,3,FALSE)</f>
        <v>2</v>
      </c>
      <c r="AW927" s="36">
        <f>+VLOOKUP('2. Logging Brejo Seco'!AO927,Meteorizacion,3,FALSE)</f>
        <v>1</v>
      </c>
      <c r="AX927" s="36">
        <f>+VLOOKUP('2. Logging Brejo Seco'!AP927,Apertura,3,FALSE)</f>
        <v>1</v>
      </c>
      <c r="AY927" s="36">
        <f>+VLOOKUP('2. Logging Brejo Seco'!AQ927,Leyenda!$B$55:$D$59,3,FALSE)</f>
        <v>3</v>
      </c>
      <c r="AZ927" s="36">
        <f>+VLOOKUP('2. Logging Brejo Seco'!AR927,Relleno,3,FALSE)</f>
        <v>2</v>
      </c>
      <c r="BA927" s="36">
        <f t="shared" si="347"/>
        <v>9</v>
      </c>
      <c r="BB927" s="50">
        <f t="shared" si="348"/>
        <v>6</v>
      </c>
      <c r="BC927" s="49">
        <f>VLOOKUP(AH927,Leyenda!$B$4:$D$10,3,FALSE)</f>
        <v>1</v>
      </c>
      <c r="BD927" s="50">
        <f t="shared" si="349"/>
        <v>8</v>
      </c>
      <c r="BE927" s="50">
        <f t="shared" si="350"/>
        <v>9</v>
      </c>
      <c r="BF927" s="50">
        <f>VLOOKUP(AS927,Leyenda!$B$70:$D$75,3,FALSE)</f>
        <v>15</v>
      </c>
      <c r="BG927" s="110">
        <f t="shared" si="351"/>
        <v>28.661290322580637</v>
      </c>
      <c r="BH927" s="110">
        <f>VLOOKUP(AG927,Leyenda!$B$4:$E$10,4,FALSE)</f>
        <v>1</v>
      </c>
      <c r="BI927" s="67">
        <f t="shared" si="352"/>
        <v>10</v>
      </c>
      <c r="BJ927" s="110">
        <f t="shared" si="353"/>
        <v>6</v>
      </c>
      <c r="BK927" s="110">
        <f>+VLOOKUP('2. Logging Brejo Seco'!AP927,Leyenda!$B$47:$E$51,4,FALSE)</f>
        <v>1</v>
      </c>
      <c r="BL927" s="110">
        <f>+VLOOKUP('2. Logging Brejo Seco'!AQ927,Leyenda!$B$55:$E$59,4,FALSE)</f>
        <v>3</v>
      </c>
      <c r="BM927" s="110">
        <f>+VLOOKUP('2. Logging Brejo Seco'!AR927,Leyenda!$B$63:$E$67,3,FALSE)</f>
        <v>2</v>
      </c>
      <c r="BN927" s="110">
        <f>+VLOOKUP('2. Logging Brejo Seco'!AO927,Leyenda!$B$39:$E$43,4,FALSE)</f>
        <v>1</v>
      </c>
      <c r="BO927" s="110">
        <f>+VLOOKUP('2. Logging Brejo Seco'!AN927,Leyenda!$B$30:$E$34,4,FALSE)</f>
        <v>3</v>
      </c>
      <c r="BP927" s="110">
        <f>VLOOKUP(AS927,Leyenda!$B$71:$E$75,4,FALSE)</f>
        <v>10</v>
      </c>
      <c r="BQ927" s="110">
        <f t="shared" si="354"/>
        <v>37</v>
      </c>
      <c r="BR927" s="36">
        <f t="shared" si="355"/>
        <v>39</v>
      </c>
      <c r="BS927" s="240">
        <f t="shared" si="361"/>
        <v>0.11612903225806481</v>
      </c>
      <c r="BT927" s="6"/>
    </row>
    <row r="928" spans="1:72" x14ac:dyDescent="0.25">
      <c r="A928" s="18" t="s">
        <v>6</v>
      </c>
      <c r="B928" s="18">
        <v>2024</v>
      </c>
      <c r="C928" s="18" t="s">
        <v>138</v>
      </c>
      <c r="D928" s="18" t="s">
        <v>662</v>
      </c>
      <c r="E928" s="18">
        <v>20</v>
      </c>
      <c r="F928" s="192">
        <v>20</v>
      </c>
      <c r="G928" s="18" t="s">
        <v>156</v>
      </c>
      <c r="H928" s="245">
        <f>+F928</f>
        <v>20</v>
      </c>
      <c r="I928" s="245" t="s">
        <v>760</v>
      </c>
      <c r="J928" s="245"/>
      <c r="K928" s="18">
        <f t="shared" si="365"/>
        <v>17.7</v>
      </c>
      <c r="L928" s="18">
        <v>18.899999999999999</v>
      </c>
      <c r="M928" s="4">
        <f t="shared" si="363"/>
        <v>1.1999999999999993</v>
      </c>
      <c r="N928" s="113">
        <f t="shared" si="366"/>
        <v>0.90000000000000058</v>
      </c>
      <c r="O928" s="5">
        <f t="shared" si="356"/>
        <v>9.9999999999999423E-2</v>
      </c>
      <c r="P928" s="18">
        <v>1.08</v>
      </c>
      <c r="Q928" s="185"/>
      <c r="R928" s="6"/>
      <c r="S928" s="6"/>
      <c r="T928" s="6">
        <v>1.08</v>
      </c>
      <c r="U928" s="6">
        <v>0.22</v>
      </c>
      <c r="V928" s="4">
        <f t="shared" si="359"/>
        <v>18.333333333333343</v>
      </c>
      <c r="W928" s="6"/>
      <c r="X928" s="6"/>
      <c r="Y928" s="6">
        <v>12</v>
      </c>
      <c r="Z928" s="31">
        <f t="shared" si="362"/>
        <v>99.999999999999943</v>
      </c>
      <c r="AA928" s="6"/>
      <c r="AB928" s="6"/>
      <c r="AC928" s="6"/>
      <c r="AD928" s="6"/>
      <c r="AE928" s="6"/>
      <c r="AF928" s="6"/>
      <c r="AG928" s="3" t="s">
        <v>32</v>
      </c>
      <c r="AH928" s="3" t="s">
        <v>32</v>
      </c>
      <c r="AI928" s="18" t="str">
        <f>+VLOOKUP(AH928,Leyenda!$O$4:$U$10,6,FALSE)</f>
        <v>0,15-0,25</v>
      </c>
      <c r="AJ928" s="18" t="str">
        <f>+VLOOKUP(AG928,Leyenda!$O$4:$U$10,7,FALSE)</f>
        <v>No Blasting need</v>
      </c>
      <c r="AK928" s="18">
        <f>+VLOOKUP(AJ928,Leyenda!$U$4:$V$10,2,FALSE)</f>
        <v>2</v>
      </c>
      <c r="AL928" s="6"/>
      <c r="AM928" s="3" t="s">
        <v>32</v>
      </c>
      <c r="AN928" s="18" t="s">
        <v>64</v>
      </c>
      <c r="AO928" s="18" t="s">
        <v>79</v>
      </c>
      <c r="AP928" s="18" t="s">
        <v>96</v>
      </c>
      <c r="AQ928" s="18" t="s">
        <v>107</v>
      </c>
      <c r="AR928" s="18" t="s">
        <v>120</v>
      </c>
      <c r="AS928" s="18" t="s">
        <v>267</v>
      </c>
      <c r="AT928" s="18"/>
      <c r="AU928" s="6"/>
      <c r="AV928" s="36">
        <f>+VLOOKUP(AN928,Leyenda!$B$30:$E$34,3,FALSE)</f>
        <v>2</v>
      </c>
      <c r="AW928" s="36">
        <f>+VLOOKUP('2. Logging Brejo Seco'!AO928,Meteorizacion,3,FALSE)</f>
        <v>1</v>
      </c>
      <c r="AX928" s="36">
        <f>+VLOOKUP('2. Logging Brejo Seco'!AP928,Apertura,3,FALSE)</f>
        <v>1</v>
      </c>
      <c r="AY928" s="36">
        <f>+VLOOKUP('2. Logging Brejo Seco'!AQ928,Leyenda!$B$55:$D$59,3,FALSE)</f>
        <v>3</v>
      </c>
      <c r="AZ928" s="36">
        <f>+VLOOKUP('2. Logging Brejo Seco'!AR928,Relleno,3,FALSE)</f>
        <v>2</v>
      </c>
      <c r="BA928" s="36">
        <f t="shared" si="347"/>
        <v>9</v>
      </c>
      <c r="BB928" s="50">
        <f t="shared" si="348"/>
        <v>4</v>
      </c>
      <c r="BC928" s="49">
        <f>VLOOKUP(AH928,Leyenda!$B$4:$D$10,3,FALSE)</f>
        <v>1</v>
      </c>
      <c r="BD928" s="50">
        <f t="shared" si="349"/>
        <v>7</v>
      </c>
      <c r="BE928" s="50">
        <f t="shared" si="350"/>
        <v>9</v>
      </c>
      <c r="BF928" s="50">
        <f>VLOOKUP(AS928,Leyenda!$B$70:$D$75,3,FALSE)</f>
        <v>15</v>
      </c>
      <c r="BG928" s="110">
        <f t="shared" si="351"/>
        <v>22.666666666666671</v>
      </c>
      <c r="BH928" s="110">
        <f>VLOOKUP(AG928,Leyenda!$B$4:$E$10,4,FALSE)</f>
        <v>1</v>
      </c>
      <c r="BI928" s="67">
        <f t="shared" si="352"/>
        <v>8</v>
      </c>
      <c r="BJ928" s="110">
        <f t="shared" si="353"/>
        <v>4</v>
      </c>
      <c r="BK928" s="110">
        <f>+VLOOKUP('2. Logging Brejo Seco'!AP928,Leyenda!$B$47:$E$51,4,FALSE)</f>
        <v>1</v>
      </c>
      <c r="BL928" s="110">
        <f>+VLOOKUP('2. Logging Brejo Seco'!AQ928,Leyenda!$B$55:$E$59,4,FALSE)</f>
        <v>3</v>
      </c>
      <c r="BM928" s="110">
        <f>+VLOOKUP('2. Logging Brejo Seco'!AR928,Leyenda!$B$63:$E$67,3,FALSE)</f>
        <v>2</v>
      </c>
      <c r="BN928" s="110">
        <f>+VLOOKUP('2. Logging Brejo Seco'!AO928,Leyenda!$B$39:$E$43,4,FALSE)</f>
        <v>1</v>
      </c>
      <c r="BO928" s="110">
        <f>+VLOOKUP('2. Logging Brejo Seco'!AN928,Leyenda!$B$30:$E$34,4,FALSE)</f>
        <v>3</v>
      </c>
      <c r="BP928" s="110">
        <f>VLOOKUP(AS928,Leyenda!$B$71:$E$75,4,FALSE)</f>
        <v>10</v>
      </c>
      <c r="BQ928" s="110">
        <f t="shared" si="354"/>
        <v>33</v>
      </c>
      <c r="BR928" s="36">
        <f t="shared" si="355"/>
        <v>36</v>
      </c>
      <c r="BS928" s="240">
        <f t="shared" si="361"/>
        <v>9.9999999999999423E-2</v>
      </c>
      <c r="BT928" s="6"/>
    </row>
    <row r="929" spans="1:72" x14ac:dyDescent="0.25">
      <c r="A929" s="18" t="s">
        <v>6</v>
      </c>
      <c r="B929" s="18">
        <v>2024</v>
      </c>
      <c r="C929" s="18" t="s">
        <v>138</v>
      </c>
      <c r="D929" s="18" t="s">
        <v>662</v>
      </c>
      <c r="E929" s="18">
        <v>20</v>
      </c>
      <c r="F929" s="192">
        <v>20</v>
      </c>
      <c r="G929" s="18" t="s">
        <v>156</v>
      </c>
      <c r="H929" s="245">
        <f t="shared" ref="H929:H933" si="368">+F929</f>
        <v>20</v>
      </c>
      <c r="I929" s="245" t="s">
        <v>760</v>
      </c>
      <c r="J929" s="245"/>
      <c r="K929" s="18">
        <f t="shared" si="365"/>
        <v>18.899999999999999</v>
      </c>
      <c r="L929" s="18">
        <v>19.899999999999999</v>
      </c>
      <c r="M929" s="4">
        <f t="shared" si="363"/>
        <v>1</v>
      </c>
      <c r="N929" s="113">
        <f t="shared" si="366"/>
        <v>0.71</v>
      </c>
      <c r="O929" s="5">
        <f t="shared" si="356"/>
        <v>0.29000000000000004</v>
      </c>
      <c r="P929" s="18">
        <v>0.71</v>
      </c>
      <c r="Q929" s="185"/>
      <c r="R929" s="6"/>
      <c r="S929" s="6"/>
      <c r="T929" s="6">
        <v>0.71</v>
      </c>
      <c r="U929" s="6">
        <v>0</v>
      </c>
      <c r="V929" s="4">
        <f t="shared" si="359"/>
        <v>0</v>
      </c>
      <c r="W929" s="6"/>
      <c r="X929" s="6"/>
      <c r="Y929" s="6">
        <v>14</v>
      </c>
      <c r="Z929" s="31">
        <f t="shared" si="362"/>
        <v>71.428571428571431</v>
      </c>
      <c r="AA929" s="6"/>
      <c r="AB929" s="6"/>
      <c r="AC929" s="6"/>
      <c r="AD929" s="6"/>
      <c r="AE929" s="6"/>
      <c r="AF929" s="6"/>
      <c r="AG929" s="3" t="s">
        <v>32</v>
      </c>
      <c r="AH929" s="3" t="s">
        <v>32</v>
      </c>
      <c r="AI929" s="18" t="str">
        <f>+VLOOKUP(AH929,Leyenda!$O$4:$U$10,6,FALSE)</f>
        <v>0,15-0,25</v>
      </c>
      <c r="AJ929" s="18" t="str">
        <f>+VLOOKUP(AG929,Leyenda!$O$4:$U$10,7,FALSE)</f>
        <v>No Blasting need</v>
      </c>
      <c r="AK929" s="18">
        <f>+VLOOKUP(AJ929,Leyenda!$U$4:$V$10,2,FALSE)</f>
        <v>2</v>
      </c>
      <c r="AL929" s="6"/>
      <c r="AM929" s="3" t="s">
        <v>32</v>
      </c>
      <c r="AN929" s="18" t="s">
        <v>64</v>
      </c>
      <c r="AO929" s="18" t="s">
        <v>79</v>
      </c>
      <c r="AP929" s="18" t="s">
        <v>96</v>
      </c>
      <c r="AQ929" s="18" t="s">
        <v>107</v>
      </c>
      <c r="AR929" s="18" t="s">
        <v>120</v>
      </c>
      <c r="AS929" s="18" t="s">
        <v>267</v>
      </c>
      <c r="AT929" s="18"/>
      <c r="AU929" s="6"/>
      <c r="AV929" s="36">
        <f>+VLOOKUP(AN929,Leyenda!$B$30:$E$34,3,FALSE)</f>
        <v>2</v>
      </c>
      <c r="AW929" s="36">
        <f>+VLOOKUP('2. Logging Brejo Seco'!AO929,Meteorizacion,3,FALSE)</f>
        <v>1</v>
      </c>
      <c r="AX929" s="36">
        <f>+VLOOKUP('2. Logging Brejo Seco'!AP929,Apertura,3,FALSE)</f>
        <v>1</v>
      </c>
      <c r="AY929" s="36">
        <f>+VLOOKUP('2. Logging Brejo Seco'!AQ929,Leyenda!$B$55:$D$59,3,FALSE)</f>
        <v>3</v>
      </c>
      <c r="AZ929" s="36">
        <f>+VLOOKUP('2. Logging Brejo Seco'!AR929,Relleno,3,FALSE)</f>
        <v>2</v>
      </c>
      <c r="BA929" s="36">
        <f t="shared" si="347"/>
        <v>9</v>
      </c>
      <c r="BB929" s="50">
        <f t="shared" si="348"/>
        <v>0</v>
      </c>
      <c r="BC929" s="49">
        <f>VLOOKUP(AH929,Leyenda!$B$4:$D$10,3,FALSE)</f>
        <v>1</v>
      </c>
      <c r="BD929" s="50">
        <f t="shared" si="349"/>
        <v>6</v>
      </c>
      <c r="BE929" s="50">
        <f t="shared" si="350"/>
        <v>9</v>
      </c>
      <c r="BF929" s="50">
        <f>VLOOKUP(AS929,Leyenda!$B$70:$D$75,3,FALSE)</f>
        <v>15</v>
      </c>
      <c r="BG929" s="110">
        <f t="shared" si="351"/>
        <v>13.5</v>
      </c>
      <c r="BH929" s="110">
        <f>VLOOKUP(AG929,Leyenda!$B$4:$E$10,4,FALSE)</f>
        <v>1</v>
      </c>
      <c r="BI929" s="67">
        <f t="shared" si="352"/>
        <v>6</v>
      </c>
      <c r="BJ929" s="110">
        <f t="shared" si="353"/>
        <v>0</v>
      </c>
      <c r="BK929" s="110">
        <f>+VLOOKUP('2. Logging Brejo Seco'!AP929,Leyenda!$B$47:$E$51,4,FALSE)</f>
        <v>1</v>
      </c>
      <c r="BL929" s="110">
        <f>+VLOOKUP('2. Logging Brejo Seco'!AQ929,Leyenda!$B$55:$E$59,4,FALSE)</f>
        <v>3</v>
      </c>
      <c r="BM929" s="110">
        <f>+VLOOKUP('2. Logging Brejo Seco'!AR929,Leyenda!$B$63:$E$67,3,FALSE)</f>
        <v>2</v>
      </c>
      <c r="BN929" s="110">
        <f>+VLOOKUP('2. Logging Brejo Seco'!AO929,Leyenda!$B$39:$E$43,4,FALSE)</f>
        <v>1</v>
      </c>
      <c r="BO929" s="110">
        <f>+VLOOKUP('2. Logging Brejo Seco'!AN929,Leyenda!$B$30:$E$34,4,FALSE)</f>
        <v>3</v>
      </c>
      <c r="BP929" s="110">
        <f>VLOOKUP(AS929,Leyenda!$B$71:$E$75,4,FALSE)</f>
        <v>10</v>
      </c>
      <c r="BQ929" s="110">
        <f t="shared" si="354"/>
        <v>27</v>
      </c>
      <c r="BR929" s="36">
        <f t="shared" si="355"/>
        <v>31</v>
      </c>
      <c r="BS929" s="240">
        <f t="shared" si="361"/>
        <v>0.29000000000000004</v>
      </c>
      <c r="BT929" s="6"/>
    </row>
    <row r="930" spans="1:72" x14ac:dyDescent="0.25">
      <c r="A930" s="18" t="s">
        <v>6</v>
      </c>
      <c r="B930" s="18">
        <v>2024</v>
      </c>
      <c r="C930" s="18" t="s">
        <v>138</v>
      </c>
      <c r="D930" s="18" t="s">
        <v>662</v>
      </c>
      <c r="E930" s="18">
        <v>20</v>
      </c>
      <c r="F930" s="192">
        <v>20</v>
      </c>
      <c r="G930" s="18" t="s">
        <v>156</v>
      </c>
      <c r="H930" s="245">
        <f t="shared" si="368"/>
        <v>20</v>
      </c>
      <c r="I930" s="245" t="s">
        <v>760</v>
      </c>
      <c r="J930" s="245"/>
      <c r="K930" s="18">
        <f t="shared" si="365"/>
        <v>19.899999999999999</v>
      </c>
      <c r="L930" s="18">
        <v>21.3</v>
      </c>
      <c r="M930" s="4">
        <f t="shared" si="363"/>
        <v>1.4000000000000021</v>
      </c>
      <c r="N930" s="113">
        <f t="shared" si="366"/>
        <v>0.77857142857142747</v>
      </c>
      <c r="O930" s="5">
        <f t="shared" si="356"/>
        <v>0.22142857142857253</v>
      </c>
      <c r="P930" s="18">
        <v>1.0900000000000001</v>
      </c>
      <c r="Q930" s="185"/>
      <c r="R930" s="6"/>
      <c r="S930" s="6"/>
      <c r="T930" s="6">
        <f>0.57+0.52</f>
        <v>1.0899999999999999</v>
      </c>
      <c r="U930" s="6">
        <v>0.1</v>
      </c>
      <c r="V930" s="4">
        <f t="shared" si="359"/>
        <v>7.1428571428571326</v>
      </c>
      <c r="W930" s="6"/>
      <c r="X930" s="6"/>
      <c r="Y930" s="6">
        <f>7+10</f>
        <v>17</v>
      </c>
      <c r="Z930" s="31">
        <f t="shared" si="362"/>
        <v>82.352941176470708</v>
      </c>
      <c r="AA930" s="6"/>
      <c r="AB930" s="6"/>
      <c r="AC930" s="6"/>
      <c r="AD930" s="6"/>
      <c r="AE930" s="6"/>
      <c r="AF930" s="6"/>
      <c r="AG930" s="3" t="s">
        <v>32</v>
      </c>
      <c r="AH930" s="3" t="s">
        <v>32</v>
      </c>
      <c r="AI930" s="18" t="str">
        <f>+VLOOKUP(AH930,Leyenda!$O$4:$U$10,6,FALSE)</f>
        <v>0,15-0,25</v>
      </c>
      <c r="AJ930" s="18" t="str">
        <f>+VLOOKUP(AG930,Leyenda!$O$4:$U$10,7,FALSE)</f>
        <v>No Blasting need</v>
      </c>
      <c r="AK930" s="18">
        <f>+VLOOKUP(AJ930,Leyenda!$U$4:$V$10,2,FALSE)</f>
        <v>2</v>
      </c>
      <c r="AL930" s="6"/>
      <c r="AM930" s="3" t="s">
        <v>32</v>
      </c>
      <c r="AN930" s="18" t="s">
        <v>66</v>
      </c>
      <c r="AO930" s="18" t="s">
        <v>81</v>
      </c>
      <c r="AP930" s="18" t="s">
        <v>100</v>
      </c>
      <c r="AQ930" s="18" t="s">
        <v>109</v>
      </c>
      <c r="AR930" s="18" t="s">
        <v>122</v>
      </c>
      <c r="AS930" s="18" t="s">
        <v>267</v>
      </c>
      <c r="AT930" s="18"/>
      <c r="AU930" s="6"/>
      <c r="AV930" s="36">
        <f>+VLOOKUP(AN930,Leyenda!$B$30:$E$34,3,FALSE)</f>
        <v>1</v>
      </c>
      <c r="AW930" s="36">
        <f>+VLOOKUP('2. Logging Brejo Seco'!AO930,Meteorizacion,3,FALSE)</f>
        <v>0</v>
      </c>
      <c r="AX930" s="36">
        <f>+VLOOKUP('2. Logging Brejo Seco'!AP930,Apertura,3,FALSE)</f>
        <v>0</v>
      </c>
      <c r="AY930" s="36">
        <f>+VLOOKUP('2. Logging Brejo Seco'!AQ930,Leyenda!$B$55:$D$59,3,FALSE)</f>
        <v>1</v>
      </c>
      <c r="AZ930" s="36">
        <f>+VLOOKUP('2. Logging Brejo Seco'!AR930,Relleno,3,FALSE)</f>
        <v>0</v>
      </c>
      <c r="BA930" s="36">
        <f t="shared" si="347"/>
        <v>2</v>
      </c>
      <c r="BB930" s="50">
        <f t="shared" si="348"/>
        <v>2</v>
      </c>
      <c r="BC930" s="49">
        <f>VLOOKUP(AH930,Leyenda!$B$4:$D$10,3,FALSE)</f>
        <v>1</v>
      </c>
      <c r="BD930" s="50">
        <f t="shared" si="349"/>
        <v>7</v>
      </c>
      <c r="BE930" s="50">
        <f t="shared" si="350"/>
        <v>2</v>
      </c>
      <c r="BF930" s="50">
        <f>VLOOKUP(AS930,Leyenda!$B$70:$D$75,3,FALSE)</f>
        <v>15</v>
      </c>
      <c r="BG930" s="110">
        <f t="shared" si="351"/>
        <v>6.5714285714285658</v>
      </c>
      <c r="BH930" s="110">
        <f>VLOOKUP(AG930,Leyenda!$B$4:$E$10,4,FALSE)</f>
        <v>1</v>
      </c>
      <c r="BI930" s="67">
        <f t="shared" si="352"/>
        <v>7</v>
      </c>
      <c r="BJ930" s="110">
        <f t="shared" si="353"/>
        <v>2</v>
      </c>
      <c r="BK930" s="110">
        <f>+VLOOKUP('2. Logging Brejo Seco'!AP930,Leyenda!$B$47:$E$51,4,FALSE)</f>
        <v>0</v>
      </c>
      <c r="BL930" s="110">
        <f>+VLOOKUP('2. Logging Brejo Seco'!AQ930,Leyenda!$B$55:$E$59,4,FALSE)</f>
        <v>1</v>
      </c>
      <c r="BM930" s="110">
        <f>+VLOOKUP('2. Logging Brejo Seco'!AR930,Leyenda!$B$63:$E$67,3,FALSE)</f>
        <v>0</v>
      </c>
      <c r="BN930" s="110">
        <f>+VLOOKUP('2. Logging Brejo Seco'!AO930,Leyenda!$B$39:$E$43,4,FALSE)</f>
        <v>0</v>
      </c>
      <c r="BO930" s="110">
        <f>+VLOOKUP('2. Logging Brejo Seco'!AN930,Leyenda!$B$30:$E$34,4,FALSE)</f>
        <v>1</v>
      </c>
      <c r="BP930" s="110">
        <f>VLOOKUP(AS930,Leyenda!$B$71:$E$75,4,FALSE)</f>
        <v>10</v>
      </c>
      <c r="BQ930" s="110">
        <f t="shared" si="354"/>
        <v>22</v>
      </c>
      <c r="BR930" s="36">
        <f t="shared" si="355"/>
        <v>27</v>
      </c>
      <c r="BS930" s="240">
        <f t="shared" si="361"/>
        <v>0.22142857142857253</v>
      </c>
      <c r="BT930" s="6"/>
    </row>
    <row r="931" spans="1:72" x14ac:dyDescent="0.25">
      <c r="A931" s="18" t="s">
        <v>6</v>
      </c>
      <c r="B931" s="18">
        <v>2024</v>
      </c>
      <c r="C931" s="18" t="s">
        <v>138</v>
      </c>
      <c r="D931" s="18" t="s">
        <v>662</v>
      </c>
      <c r="E931" s="18">
        <v>20</v>
      </c>
      <c r="F931" s="192">
        <v>20</v>
      </c>
      <c r="G931" s="18" t="s">
        <v>156</v>
      </c>
      <c r="H931" s="245">
        <f t="shared" si="368"/>
        <v>20</v>
      </c>
      <c r="I931" s="245" t="s">
        <v>760</v>
      </c>
      <c r="J931" s="245"/>
      <c r="K931" s="18">
        <f t="shared" si="365"/>
        <v>21.3</v>
      </c>
      <c r="L931" s="18">
        <v>21.95</v>
      </c>
      <c r="M931" s="4">
        <f t="shared" si="363"/>
        <v>0.64999999999999858</v>
      </c>
      <c r="N931" s="113">
        <f t="shared" si="366"/>
        <v>0.6769230769230784</v>
      </c>
      <c r="O931" s="5">
        <f t="shared" si="356"/>
        <v>0.3230769230769216</v>
      </c>
      <c r="P931" s="18">
        <v>0.44</v>
      </c>
      <c r="Q931" s="185"/>
      <c r="R931" s="6"/>
      <c r="S931" s="6"/>
      <c r="T931" s="6">
        <v>0.44</v>
      </c>
      <c r="U931" s="6">
        <v>0.23</v>
      </c>
      <c r="V931" s="4">
        <f t="shared" si="359"/>
        <v>35.384615384615465</v>
      </c>
      <c r="W931" s="6"/>
      <c r="X931" s="6"/>
      <c r="Y931" s="6">
        <v>7</v>
      </c>
      <c r="Z931" s="31">
        <f t="shared" si="362"/>
        <v>92.857142857142662</v>
      </c>
      <c r="AA931" s="6"/>
      <c r="AB931" s="6"/>
      <c r="AC931" s="6"/>
      <c r="AD931" s="6"/>
      <c r="AE931" s="6"/>
      <c r="AF931" s="6"/>
      <c r="AG931" s="3" t="s">
        <v>32</v>
      </c>
      <c r="AH931" s="3" t="s">
        <v>32</v>
      </c>
      <c r="AI931" s="18" t="str">
        <f>+VLOOKUP(AH931,Leyenda!$O$4:$U$10,6,FALSE)</f>
        <v>0,15-0,25</v>
      </c>
      <c r="AJ931" s="18" t="str">
        <f>+VLOOKUP(AG931,Leyenda!$O$4:$U$10,7,FALSE)</f>
        <v>No Blasting need</v>
      </c>
      <c r="AK931" s="18">
        <f>+VLOOKUP(AJ931,Leyenda!$U$4:$V$10,2,FALSE)</f>
        <v>2</v>
      </c>
      <c r="AL931" s="6"/>
      <c r="AM931" s="3" t="s">
        <v>32</v>
      </c>
      <c r="AN931" s="18" t="s">
        <v>64</v>
      </c>
      <c r="AO931" s="18" t="s">
        <v>79</v>
      </c>
      <c r="AP931" s="18" t="s">
        <v>92</v>
      </c>
      <c r="AQ931" s="18" t="s">
        <v>107</v>
      </c>
      <c r="AR931" s="18" t="s">
        <v>120</v>
      </c>
      <c r="AS931" s="18" t="s">
        <v>267</v>
      </c>
      <c r="AT931" s="18"/>
      <c r="AU931" s="6"/>
      <c r="AV931" s="36">
        <f>+VLOOKUP(AN931,Leyenda!$B$30:$E$34,3,FALSE)</f>
        <v>2</v>
      </c>
      <c r="AW931" s="36">
        <f>+VLOOKUP('2. Logging Brejo Seco'!AO931,Meteorizacion,3,FALSE)</f>
        <v>1</v>
      </c>
      <c r="AX931" s="36">
        <f>+VLOOKUP('2. Logging Brejo Seco'!AP931,Apertura,3,FALSE)</f>
        <v>3</v>
      </c>
      <c r="AY931" s="36">
        <f>+VLOOKUP('2. Logging Brejo Seco'!AQ931,Leyenda!$B$55:$D$59,3,FALSE)</f>
        <v>3</v>
      </c>
      <c r="AZ931" s="36">
        <f>+VLOOKUP('2. Logging Brejo Seco'!AR931,Relleno,3,FALSE)</f>
        <v>2</v>
      </c>
      <c r="BA931" s="36">
        <f t="shared" si="347"/>
        <v>11</v>
      </c>
      <c r="BB931" s="50">
        <f t="shared" si="348"/>
        <v>8</v>
      </c>
      <c r="BC931" s="49">
        <f>VLOOKUP(AH931,Leyenda!$B$4:$D$10,3,FALSE)</f>
        <v>1</v>
      </c>
      <c r="BD931" s="50">
        <f t="shared" si="349"/>
        <v>7</v>
      </c>
      <c r="BE931" s="50">
        <f t="shared" si="350"/>
        <v>11</v>
      </c>
      <c r="BF931" s="50">
        <f>VLOOKUP(AS931,Leyenda!$B$70:$D$75,3,FALSE)</f>
        <v>15</v>
      </c>
      <c r="BG931" s="110">
        <f t="shared" si="351"/>
        <v>34.192307692307736</v>
      </c>
      <c r="BH931" s="110">
        <f>VLOOKUP(AG931,Leyenda!$B$4:$E$10,4,FALSE)</f>
        <v>1</v>
      </c>
      <c r="BI931" s="67">
        <f t="shared" si="352"/>
        <v>8</v>
      </c>
      <c r="BJ931" s="110">
        <f t="shared" si="353"/>
        <v>8</v>
      </c>
      <c r="BK931" s="110">
        <f>+VLOOKUP('2. Logging Brejo Seco'!AP931,Leyenda!$B$47:$E$51,4,FALSE)</f>
        <v>3</v>
      </c>
      <c r="BL931" s="110">
        <f>+VLOOKUP('2. Logging Brejo Seco'!AQ931,Leyenda!$B$55:$E$59,4,FALSE)</f>
        <v>3</v>
      </c>
      <c r="BM931" s="110">
        <f>+VLOOKUP('2. Logging Brejo Seco'!AR931,Leyenda!$B$63:$E$67,3,FALSE)</f>
        <v>2</v>
      </c>
      <c r="BN931" s="110">
        <f>+VLOOKUP('2. Logging Brejo Seco'!AO931,Leyenda!$B$39:$E$43,4,FALSE)</f>
        <v>1</v>
      </c>
      <c r="BO931" s="110">
        <f>+VLOOKUP('2. Logging Brejo Seco'!AN931,Leyenda!$B$30:$E$34,4,FALSE)</f>
        <v>3</v>
      </c>
      <c r="BP931" s="110">
        <f>VLOOKUP(AS931,Leyenda!$B$71:$E$75,4,FALSE)</f>
        <v>10</v>
      </c>
      <c r="BQ931" s="110">
        <f t="shared" si="354"/>
        <v>39</v>
      </c>
      <c r="BR931" s="36">
        <f t="shared" si="355"/>
        <v>42</v>
      </c>
      <c r="BS931" s="240">
        <f t="shared" si="361"/>
        <v>0.3230769230769216</v>
      </c>
      <c r="BT931" s="6"/>
    </row>
    <row r="932" spans="1:72" x14ac:dyDescent="0.25">
      <c r="A932" s="18" t="s">
        <v>6</v>
      </c>
      <c r="B932" s="18">
        <v>2024</v>
      </c>
      <c r="C932" s="18" t="s">
        <v>138</v>
      </c>
      <c r="D932" s="18" t="s">
        <v>662</v>
      </c>
      <c r="E932" s="18">
        <v>20</v>
      </c>
      <c r="F932" s="192">
        <v>20</v>
      </c>
      <c r="G932" s="18" t="s">
        <v>156</v>
      </c>
      <c r="H932" s="245">
        <f t="shared" si="368"/>
        <v>20</v>
      </c>
      <c r="I932" s="245" t="s">
        <v>760</v>
      </c>
      <c r="J932" s="245"/>
      <c r="K932" s="18">
        <f t="shared" si="365"/>
        <v>21.95</v>
      </c>
      <c r="L932" s="18">
        <v>22.95</v>
      </c>
      <c r="M932" s="4">
        <f t="shared" si="363"/>
        <v>1</v>
      </c>
      <c r="N932" s="113">
        <f t="shared" si="366"/>
        <v>0.69</v>
      </c>
      <c r="O932" s="5">
        <f t="shared" si="356"/>
        <v>0.31000000000000005</v>
      </c>
      <c r="P932" s="18">
        <v>0.69</v>
      </c>
      <c r="Q932" s="185"/>
      <c r="R932" s="6"/>
      <c r="S932" s="6"/>
      <c r="T932" s="6">
        <v>0.69</v>
      </c>
      <c r="U932" s="6">
        <v>0</v>
      </c>
      <c r="V932" s="4">
        <f t="shared" si="359"/>
        <v>0</v>
      </c>
      <c r="W932" s="6"/>
      <c r="X932" s="6"/>
      <c r="Y932" s="6">
        <v>14</v>
      </c>
      <c r="Z932" s="31">
        <f t="shared" si="362"/>
        <v>71.428571428571431</v>
      </c>
      <c r="AA932" s="6"/>
      <c r="AB932" s="6"/>
      <c r="AC932" s="6"/>
      <c r="AD932" s="6"/>
      <c r="AE932" s="6"/>
      <c r="AF932" s="6"/>
      <c r="AG932" s="3" t="s">
        <v>32</v>
      </c>
      <c r="AH932" s="3" t="s">
        <v>32</v>
      </c>
      <c r="AI932" s="18" t="str">
        <f>+VLOOKUP(AH932,Leyenda!$O$4:$U$10,6,FALSE)</f>
        <v>0,15-0,25</v>
      </c>
      <c r="AJ932" s="18" t="str">
        <f>+VLOOKUP(AG932,Leyenda!$O$4:$U$10,7,FALSE)</f>
        <v>No Blasting need</v>
      </c>
      <c r="AK932" s="18">
        <f>+VLOOKUP(AJ932,Leyenda!$U$4:$V$10,2,FALSE)</f>
        <v>2</v>
      </c>
      <c r="AL932" s="6"/>
      <c r="AM932" s="3" t="s">
        <v>32</v>
      </c>
      <c r="AN932" s="18" t="s">
        <v>66</v>
      </c>
      <c r="AO932" s="18" t="s">
        <v>81</v>
      </c>
      <c r="AP932" s="18" t="s">
        <v>100</v>
      </c>
      <c r="AQ932" s="18" t="s">
        <v>109</v>
      </c>
      <c r="AR932" s="18" t="s">
        <v>122</v>
      </c>
      <c r="AS932" s="18" t="s">
        <v>267</v>
      </c>
      <c r="AT932" s="18"/>
      <c r="AU932" s="6"/>
      <c r="AV932" s="36">
        <f>+VLOOKUP(AN932,Leyenda!$B$30:$E$34,3,FALSE)</f>
        <v>1</v>
      </c>
      <c r="AW932" s="36">
        <f>+VLOOKUP('2. Logging Brejo Seco'!AO932,Meteorizacion,3,FALSE)</f>
        <v>0</v>
      </c>
      <c r="AX932" s="36">
        <f>+VLOOKUP('2. Logging Brejo Seco'!AP932,Apertura,3,FALSE)</f>
        <v>0</v>
      </c>
      <c r="AY932" s="36">
        <f>+VLOOKUP('2. Logging Brejo Seco'!AQ932,Leyenda!$B$55:$D$59,3,FALSE)</f>
        <v>1</v>
      </c>
      <c r="AZ932" s="36">
        <f>+VLOOKUP('2. Logging Brejo Seco'!AR932,Relleno,3,FALSE)</f>
        <v>0</v>
      </c>
      <c r="BA932" s="36">
        <f t="shared" si="347"/>
        <v>2</v>
      </c>
      <c r="BB932" s="50">
        <f t="shared" si="348"/>
        <v>0</v>
      </c>
      <c r="BC932" s="49">
        <f>VLOOKUP(AH932,Leyenda!$B$4:$D$10,3,FALSE)</f>
        <v>1</v>
      </c>
      <c r="BD932" s="50">
        <f t="shared" si="349"/>
        <v>6</v>
      </c>
      <c r="BE932" s="50">
        <f t="shared" si="350"/>
        <v>2</v>
      </c>
      <c r="BF932" s="50">
        <f>VLOOKUP(AS932,Leyenda!$B$70:$D$75,3,FALSE)</f>
        <v>15</v>
      </c>
      <c r="BG932" s="110">
        <f t="shared" si="351"/>
        <v>3</v>
      </c>
      <c r="BH932" s="110">
        <f>VLOOKUP(AG932,Leyenda!$B$4:$E$10,4,FALSE)</f>
        <v>1</v>
      </c>
      <c r="BI932" s="67">
        <f t="shared" si="352"/>
        <v>6</v>
      </c>
      <c r="BJ932" s="110">
        <f t="shared" si="353"/>
        <v>0</v>
      </c>
      <c r="BK932" s="110">
        <f>+VLOOKUP('2. Logging Brejo Seco'!AP932,Leyenda!$B$47:$E$51,4,FALSE)</f>
        <v>0</v>
      </c>
      <c r="BL932" s="110">
        <f>+VLOOKUP('2. Logging Brejo Seco'!AQ932,Leyenda!$B$55:$E$59,4,FALSE)</f>
        <v>1</v>
      </c>
      <c r="BM932" s="110">
        <f>+VLOOKUP('2. Logging Brejo Seco'!AR932,Leyenda!$B$63:$E$67,3,FALSE)</f>
        <v>0</v>
      </c>
      <c r="BN932" s="110">
        <f>+VLOOKUP('2. Logging Brejo Seco'!AO932,Leyenda!$B$39:$E$43,4,FALSE)</f>
        <v>0</v>
      </c>
      <c r="BO932" s="110">
        <f>+VLOOKUP('2. Logging Brejo Seco'!AN932,Leyenda!$B$30:$E$34,4,FALSE)</f>
        <v>1</v>
      </c>
      <c r="BP932" s="110">
        <f>VLOOKUP(AS932,Leyenda!$B$71:$E$75,4,FALSE)</f>
        <v>10</v>
      </c>
      <c r="BQ932" s="110">
        <f t="shared" si="354"/>
        <v>19</v>
      </c>
      <c r="BR932" s="36">
        <f t="shared" si="355"/>
        <v>24</v>
      </c>
      <c r="BS932" s="240">
        <f t="shared" si="361"/>
        <v>0.31000000000000005</v>
      </c>
      <c r="BT932" s="6"/>
    </row>
    <row r="933" spans="1:72" x14ac:dyDescent="0.25">
      <c r="A933" s="18" t="s">
        <v>6</v>
      </c>
      <c r="B933" s="18">
        <v>2024</v>
      </c>
      <c r="C933" s="18" t="s">
        <v>138</v>
      </c>
      <c r="D933" s="18" t="s">
        <v>662</v>
      </c>
      <c r="E933" s="18">
        <v>20</v>
      </c>
      <c r="F933" s="192">
        <v>20</v>
      </c>
      <c r="G933" s="18" t="s">
        <v>156</v>
      </c>
      <c r="H933" s="245">
        <f t="shared" si="368"/>
        <v>20</v>
      </c>
      <c r="I933" s="245" t="s">
        <v>760</v>
      </c>
      <c r="J933" s="245"/>
      <c r="K933" s="18">
        <f t="shared" si="365"/>
        <v>22.95</v>
      </c>
      <c r="L933" s="18">
        <v>24.15</v>
      </c>
      <c r="M933" s="4">
        <f t="shared" si="363"/>
        <v>1.1999999999999993</v>
      </c>
      <c r="N933" s="113">
        <f t="shared" si="366"/>
        <v>0.62500000000000033</v>
      </c>
      <c r="O933" s="5">
        <f t="shared" si="356"/>
        <v>0.37499999999999967</v>
      </c>
      <c r="P933" s="18">
        <v>0.75</v>
      </c>
      <c r="Q933" s="185"/>
      <c r="R933" s="6"/>
      <c r="S933" s="6"/>
      <c r="T933" s="6">
        <v>0.75</v>
      </c>
      <c r="U933" s="6">
        <v>0.11</v>
      </c>
      <c r="V933" s="4">
        <f t="shared" si="359"/>
        <v>9.1666666666666714</v>
      </c>
      <c r="W933" s="6"/>
      <c r="X933" s="6"/>
      <c r="Y933" s="6">
        <v>20</v>
      </c>
      <c r="Z933" s="31">
        <f t="shared" si="362"/>
        <v>59.999999999999964</v>
      </c>
      <c r="AA933" s="6"/>
      <c r="AB933" s="6"/>
      <c r="AC933" s="6"/>
      <c r="AD933" s="6"/>
      <c r="AE933" s="6"/>
      <c r="AF933" s="6"/>
      <c r="AG933" s="3" t="s">
        <v>32</v>
      </c>
      <c r="AH933" s="3" t="s">
        <v>32</v>
      </c>
      <c r="AI933" s="18" t="str">
        <f>+VLOOKUP(AH933,Leyenda!$O$4:$U$10,6,FALSE)</f>
        <v>0,15-0,25</v>
      </c>
      <c r="AJ933" s="18" t="str">
        <f>+VLOOKUP(AG933,Leyenda!$O$4:$U$10,7,FALSE)</f>
        <v>No Blasting need</v>
      </c>
      <c r="AK933" s="18">
        <f>+VLOOKUP(AJ933,Leyenda!$U$4:$V$10,2,FALSE)</f>
        <v>2</v>
      </c>
      <c r="AL933" s="6"/>
      <c r="AM933" s="3" t="s">
        <v>32</v>
      </c>
      <c r="AN933" s="18" t="s">
        <v>66</v>
      </c>
      <c r="AO933" s="18" t="s">
        <v>81</v>
      </c>
      <c r="AP933" s="18" t="s">
        <v>100</v>
      </c>
      <c r="AQ933" s="18" t="s">
        <v>109</v>
      </c>
      <c r="AR933" s="18" t="s">
        <v>122</v>
      </c>
      <c r="AS933" s="18" t="s">
        <v>267</v>
      </c>
      <c r="AT933" s="18"/>
      <c r="AU933" s="6"/>
      <c r="AV933" s="36">
        <f>+VLOOKUP(AN933,Leyenda!$B$30:$E$34,3,FALSE)</f>
        <v>1</v>
      </c>
      <c r="AW933" s="36">
        <f>+VLOOKUP('2. Logging Brejo Seco'!AO933,Meteorizacion,3,FALSE)</f>
        <v>0</v>
      </c>
      <c r="AX933" s="36">
        <f>+VLOOKUP('2. Logging Brejo Seco'!AP933,Apertura,3,FALSE)</f>
        <v>0</v>
      </c>
      <c r="AY933" s="36">
        <f>+VLOOKUP('2. Logging Brejo Seco'!AQ933,Leyenda!$B$55:$D$59,3,FALSE)</f>
        <v>1</v>
      </c>
      <c r="AZ933" s="36">
        <f>+VLOOKUP('2. Logging Brejo Seco'!AR933,Relleno,3,FALSE)</f>
        <v>0</v>
      </c>
      <c r="BA933" s="36">
        <f t="shared" si="347"/>
        <v>2</v>
      </c>
      <c r="BB933" s="50">
        <f t="shared" si="348"/>
        <v>2</v>
      </c>
      <c r="BC933" s="49">
        <f>VLOOKUP(AH933,Leyenda!$B$4:$D$10,3,FALSE)</f>
        <v>1</v>
      </c>
      <c r="BD933" s="50">
        <f t="shared" si="349"/>
        <v>6</v>
      </c>
      <c r="BE933" s="50">
        <f t="shared" si="350"/>
        <v>2</v>
      </c>
      <c r="BF933" s="50">
        <f>VLOOKUP(AS933,Leyenda!$B$70:$D$75,3,FALSE)</f>
        <v>15</v>
      </c>
      <c r="BG933" s="110">
        <f t="shared" si="351"/>
        <v>7.5833333333333357</v>
      </c>
      <c r="BH933" s="110">
        <f>VLOOKUP(AG933,Leyenda!$B$4:$E$10,4,FALSE)</f>
        <v>1</v>
      </c>
      <c r="BI933" s="67">
        <f t="shared" si="352"/>
        <v>5</v>
      </c>
      <c r="BJ933" s="110">
        <f t="shared" si="353"/>
        <v>2</v>
      </c>
      <c r="BK933" s="110">
        <f>+VLOOKUP('2. Logging Brejo Seco'!AP933,Leyenda!$B$47:$E$51,4,FALSE)</f>
        <v>0</v>
      </c>
      <c r="BL933" s="110">
        <f>+VLOOKUP('2. Logging Brejo Seco'!AQ933,Leyenda!$B$55:$E$59,4,FALSE)</f>
        <v>1</v>
      </c>
      <c r="BM933" s="110">
        <f>+VLOOKUP('2. Logging Brejo Seco'!AR933,Leyenda!$B$63:$E$67,3,FALSE)</f>
        <v>0</v>
      </c>
      <c r="BN933" s="110">
        <f>+VLOOKUP('2. Logging Brejo Seco'!AO933,Leyenda!$B$39:$E$43,4,FALSE)</f>
        <v>0</v>
      </c>
      <c r="BO933" s="110">
        <f>+VLOOKUP('2. Logging Brejo Seco'!AN933,Leyenda!$B$30:$E$34,4,FALSE)</f>
        <v>1</v>
      </c>
      <c r="BP933" s="110">
        <f>VLOOKUP(AS933,Leyenda!$B$71:$E$75,4,FALSE)</f>
        <v>10</v>
      </c>
      <c r="BQ933" s="110">
        <f t="shared" si="354"/>
        <v>20</v>
      </c>
      <c r="BR933" s="36">
        <f t="shared" si="355"/>
        <v>26</v>
      </c>
      <c r="BS933" s="240">
        <f t="shared" si="361"/>
        <v>0.37499999999999967</v>
      </c>
      <c r="BT933" s="6"/>
    </row>
    <row r="934" spans="1:72" x14ac:dyDescent="0.25">
      <c r="A934" s="18" t="s">
        <v>6</v>
      </c>
      <c r="B934" s="18">
        <v>2024</v>
      </c>
      <c r="C934" s="18" t="s">
        <v>138</v>
      </c>
      <c r="D934" s="18" t="s">
        <v>662</v>
      </c>
      <c r="E934" s="18">
        <v>20</v>
      </c>
      <c r="F934" s="192">
        <v>20</v>
      </c>
      <c r="G934" s="18" t="s">
        <v>156</v>
      </c>
      <c r="H934" s="18">
        <v>30</v>
      </c>
      <c r="I934" s="18" t="s">
        <v>759</v>
      </c>
      <c r="J934" s="18"/>
      <c r="K934" s="18">
        <f t="shared" si="365"/>
        <v>24.15</v>
      </c>
      <c r="L934" s="18">
        <v>25</v>
      </c>
      <c r="M934" s="4">
        <f t="shared" si="363"/>
        <v>0.85000000000000142</v>
      </c>
      <c r="N934" s="113">
        <f t="shared" si="366"/>
        <v>0.24705882352941133</v>
      </c>
      <c r="O934" s="5">
        <f t="shared" si="356"/>
        <v>0.75294117647058867</v>
      </c>
      <c r="P934" s="18">
        <v>0.21</v>
      </c>
      <c r="Q934" s="185"/>
      <c r="R934" s="6"/>
      <c r="S934" s="6"/>
      <c r="T934" s="6">
        <v>0.21</v>
      </c>
      <c r="U934" s="6">
        <v>0</v>
      </c>
      <c r="V934" s="4">
        <f t="shared" si="359"/>
        <v>0</v>
      </c>
      <c r="W934" s="6"/>
      <c r="X934" s="6"/>
      <c r="Y934" s="6">
        <v>7</v>
      </c>
      <c r="Z934" s="31">
        <f t="shared" si="362"/>
        <v>121.42857142857163</v>
      </c>
      <c r="AA934" s="6"/>
      <c r="AB934" s="6"/>
      <c r="AC934" s="6"/>
      <c r="AD934" s="6"/>
      <c r="AE934" s="6"/>
      <c r="AF934" s="6"/>
      <c r="AG934" s="3" t="s">
        <v>32</v>
      </c>
      <c r="AH934" s="3" t="s">
        <v>32</v>
      </c>
      <c r="AI934" s="18" t="str">
        <f>+VLOOKUP(AH934,Leyenda!$O$4:$U$10,6,FALSE)</f>
        <v>0,15-0,25</v>
      </c>
      <c r="AJ934" s="18" t="str">
        <f>+VLOOKUP(AG934,Leyenda!$O$4:$U$10,7,FALSE)</f>
        <v>No Blasting need</v>
      </c>
      <c r="AK934" s="18">
        <f>+VLOOKUP(AJ934,Leyenda!$U$4:$V$10,2,FALSE)</f>
        <v>2</v>
      </c>
      <c r="AL934" s="6"/>
      <c r="AM934" s="3" t="s">
        <v>32</v>
      </c>
      <c r="AN934" s="18" t="s">
        <v>66</v>
      </c>
      <c r="AO934" s="18" t="s">
        <v>81</v>
      </c>
      <c r="AP934" s="18" t="s">
        <v>100</v>
      </c>
      <c r="AQ934" s="18" t="s">
        <v>109</v>
      </c>
      <c r="AR934" s="18" t="s">
        <v>122</v>
      </c>
      <c r="AS934" s="18" t="s">
        <v>267</v>
      </c>
      <c r="AT934" s="18"/>
      <c r="AU934" s="6"/>
      <c r="AV934" s="36">
        <f>+VLOOKUP(AN934,Leyenda!$B$30:$E$34,3,FALSE)</f>
        <v>1</v>
      </c>
      <c r="AW934" s="36">
        <f>+VLOOKUP('2. Logging Brejo Seco'!AO934,Meteorizacion,3,FALSE)</f>
        <v>0</v>
      </c>
      <c r="AX934" s="36">
        <f>+VLOOKUP('2. Logging Brejo Seco'!AP934,Apertura,3,FALSE)</f>
        <v>0</v>
      </c>
      <c r="AY934" s="36">
        <f>+VLOOKUP('2. Logging Brejo Seco'!AQ934,Leyenda!$B$55:$D$59,3,FALSE)</f>
        <v>1</v>
      </c>
      <c r="AZ934" s="36">
        <f>+VLOOKUP('2. Logging Brejo Seco'!AR934,Relleno,3,FALSE)</f>
        <v>0</v>
      </c>
      <c r="BA934" s="36">
        <f t="shared" si="347"/>
        <v>2</v>
      </c>
      <c r="BB934" s="50">
        <f t="shared" si="348"/>
        <v>0</v>
      </c>
      <c r="BC934" s="49">
        <f>VLOOKUP(AH934,Leyenda!$B$4:$D$10,3,FALSE)</f>
        <v>1</v>
      </c>
      <c r="BD934" s="50">
        <f t="shared" si="349"/>
        <v>8</v>
      </c>
      <c r="BE934" s="50">
        <f t="shared" si="350"/>
        <v>2</v>
      </c>
      <c r="BF934" s="50">
        <f>VLOOKUP(AS934,Leyenda!$B$70:$D$75,3,FALSE)</f>
        <v>15</v>
      </c>
      <c r="BG934" s="110">
        <f t="shared" si="351"/>
        <v>3</v>
      </c>
      <c r="BH934" s="110">
        <f>VLOOKUP(AG934,Leyenda!$B$4:$E$10,4,FALSE)</f>
        <v>1</v>
      </c>
      <c r="BI934" s="67">
        <f t="shared" si="352"/>
        <v>9</v>
      </c>
      <c r="BJ934" s="110">
        <f t="shared" si="353"/>
        <v>0</v>
      </c>
      <c r="BK934" s="110">
        <f>+VLOOKUP('2. Logging Brejo Seco'!AP934,Leyenda!$B$47:$E$51,4,FALSE)</f>
        <v>0</v>
      </c>
      <c r="BL934" s="110">
        <f>+VLOOKUP('2. Logging Brejo Seco'!AQ934,Leyenda!$B$55:$E$59,4,FALSE)</f>
        <v>1</v>
      </c>
      <c r="BM934" s="110">
        <f>+VLOOKUP('2. Logging Brejo Seco'!AR934,Leyenda!$B$63:$E$67,3,FALSE)</f>
        <v>0</v>
      </c>
      <c r="BN934" s="110">
        <f>+VLOOKUP('2. Logging Brejo Seco'!AO934,Leyenda!$B$39:$E$43,4,FALSE)</f>
        <v>0</v>
      </c>
      <c r="BO934" s="110">
        <f>+VLOOKUP('2. Logging Brejo Seco'!AN934,Leyenda!$B$30:$E$34,4,FALSE)</f>
        <v>1</v>
      </c>
      <c r="BP934" s="110">
        <f>VLOOKUP(AS934,Leyenda!$B$71:$E$75,4,FALSE)</f>
        <v>10</v>
      </c>
      <c r="BQ934" s="110">
        <f t="shared" si="354"/>
        <v>22</v>
      </c>
      <c r="BR934" s="36">
        <f t="shared" si="355"/>
        <v>26</v>
      </c>
      <c r="BS934" s="240">
        <f t="shared" si="361"/>
        <v>0.75294117647058867</v>
      </c>
      <c r="BT934" s="6"/>
    </row>
    <row r="935" spans="1:72" x14ac:dyDescent="0.25">
      <c r="A935" s="18" t="s">
        <v>6</v>
      </c>
      <c r="B935" s="18">
        <v>2024</v>
      </c>
      <c r="C935" s="18" t="s">
        <v>138</v>
      </c>
      <c r="D935" s="18" t="s">
        <v>662</v>
      </c>
      <c r="E935" s="18">
        <v>20</v>
      </c>
      <c r="F935" s="192">
        <v>20</v>
      </c>
      <c r="G935" s="18" t="s">
        <v>156</v>
      </c>
      <c r="H935" s="18">
        <v>30</v>
      </c>
      <c r="I935" s="18" t="s">
        <v>759</v>
      </c>
      <c r="J935" s="18"/>
      <c r="K935" s="18">
        <f t="shared" si="365"/>
        <v>25</v>
      </c>
      <c r="L935" s="18">
        <v>26</v>
      </c>
      <c r="M935" s="4">
        <f t="shared" si="363"/>
        <v>1</v>
      </c>
      <c r="N935" s="113">
        <f t="shared" si="366"/>
        <v>0.67</v>
      </c>
      <c r="O935" s="5">
        <f t="shared" si="356"/>
        <v>0.32999999999999996</v>
      </c>
      <c r="P935" s="18">
        <v>0.67</v>
      </c>
      <c r="Q935" s="185"/>
      <c r="R935" s="6"/>
      <c r="S935" s="6"/>
      <c r="T935" s="6">
        <v>0.67</v>
      </c>
      <c r="U935" s="6">
        <v>0</v>
      </c>
      <c r="V935" s="4">
        <f t="shared" si="359"/>
        <v>0</v>
      </c>
      <c r="W935" s="6"/>
      <c r="X935" s="6"/>
      <c r="Y935" s="6">
        <v>11</v>
      </c>
      <c r="Z935" s="31">
        <f t="shared" si="362"/>
        <v>90.909090909090907</v>
      </c>
      <c r="AA935" s="6"/>
      <c r="AB935" s="6"/>
      <c r="AC935" s="6"/>
      <c r="AD935" s="6"/>
      <c r="AE935" s="6"/>
      <c r="AF935" s="6"/>
      <c r="AG935" s="3" t="s">
        <v>32</v>
      </c>
      <c r="AH935" s="3" t="s">
        <v>32</v>
      </c>
      <c r="AI935" s="18" t="str">
        <f>+VLOOKUP(AH935,Leyenda!$O$4:$U$10,6,FALSE)</f>
        <v>0,15-0,25</v>
      </c>
      <c r="AJ935" s="18" t="str">
        <f>+VLOOKUP(AG935,Leyenda!$O$4:$U$10,7,FALSE)</f>
        <v>No Blasting need</v>
      </c>
      <c r="AK935" s="18">
        <f>+VLOOKUP(AJ935,Leyenda!$U$4:$V$10,2,FALSE)</f>
        <v>2</v>
      </c>
      <c r="AL935" s="6"/>
      <c r="AM935" s="3" t="s">
        <v>32</v>
      </c>
      <c r="AN935" s="18" t="s">
        <v>66</v>
      </c>
      <c r="AO935" s="18" t="s">
        <v>81</v>
      </c>
      <c r="AP935" s="18" t="s">
        <v>100</v>
      </c>
      <c r="AQ935" s="18" t="s">
        <v>109</v>
      </c>
      <c r="AR935" s="18" t="s">
        <v>122</v>
      </c>
      <c r="AS935" s="18" t="s">
        <v>267</v>
      </c>
      <c r="AT935" s="18"/>
      <c r="AU935" s="6"/>
      <c r="AV935" s="36">
        <f>+VLOOKUP(AN935,Leyenda!$B$30:$E$34,3,FALSE)</f>
        <v>1</v>
      </c>
      <c r="AW935" s="36">
        <f>+VLOOKUP('2. Logging Brejo Seco'!AO935,Meteorizacion,3,FALSE)</f>
        <v>0</v>
      </c>
      <c r="AX935" s="36">
        <f>+VLOOKUP('2. Logging Brejo Seco'!AP935,Apertura,3,FALSE)</f>
        <v>0</v>
      </c>
      <c r="AY935" s="36">
        <f>+VLOOKUP('2. Logging Brejo Seco'!AQ935,Leyenda!$B$55:$D$59,3,FALSE)</f>
        <v>1</v>
      </c>
      <c r="AZ935" s="36">
        <f>+VLOOKUP('2. Logging Brejo Seco'!AR935,Relleno,3,FALSE)</f>
        <v>0</v>
      </c>
      <c r="BA935" s="36">
        <f t="shared" si="347"/>
        <v>2</v>
      </c>
      <c r="BB935" s="50">
        <f t="shared" si="348"/>
        <v>0</v>
      </c>
      <c r="BC935" s="49">
        <f>VLOOKUP(AH935,Leyenda!$B$4:$D$10,3,FALSE)</f>
        <v>1</v>
      </c>
      <c r="BD935" s="50">
        <f t="shared" si="349"/>
        <v>7</v>
      </c>
      <c r="BE935" s="50">
        <f t="shared" si="350"/>
        <v>2</v>
      </c>
      <c r="BF935" s="50">
        <f>VLOOKUP(AS935,Leyenda!$B$70:$D$75,3,FALSE)</f>
        <v>15</v>
      </c>
      <c r="BG935" s="110">
        <f t="shared" si="351"/>
        <v>3</v>
      </c>
      <c r="BH935" s="110">
        <f>VLOOKUP(AG935,Leyenda!$B$4:$E$10,4,FALSE)</f>
        <v>1</v>
      </c>
      <c r="BI935" s="67">
        <f t="shared" si="352"/>
        <v>8</v>
      </c>
      <c r="BJ935" s="110">
        <f t="shared" si="353"/>
        <v>0</v>
      </c>
      <c r="BK935" s="110">
        <f>+VLOOKUP('2. Logging Brejo Seco'!AP935,Leyenda!$B$47:$E$51,4,FALSE)</f>
        <v>0</v>
      </c>
      <c r="BL935" s="110">
        <f>+VLOOKUP('2. Logging Brejo Seco'!AQ935,Leyenda!$B$55:$E$59,4,FALSE)</f>
        <v>1</v>
      </c>
      <c r="BM935" s="110">
        <f>+VLOOKUP('2. Logging Brejo Seco'!AR935,Leyenda!$B$63:$E$67,3,FALSE)</f>
        <v>0</v>
      </c>
      <c r="BN935" s="110">
        <f>+VLOOKUP('2. Logging Brejo Seco'!AO935,Leyenda!$B$39:$E$43,4,FALSE)</f>
        <v>0</v>
      </c>
      <c r="BO935" s="110">
        <f>+VLOOKUP('2. Logging Brejo Seco'!AN935,Leyenda!$B$30:$E$34,4,FALSE)</f>
        <v>1</v>
      </c>
      <c r="BP935" s="110">
        <f>VLOOKUP(AS935,Leyenda!$B$71:$E$75,4,FALSE)</f>
        <v>10</v>
      </c>
      <c r="BQ935" s="110">
        <f t="shared" si="354"/>
        <v>21</v>
      </c>
      <c r="BR935" s="36">
        <f t="shared" si="355"/>
        <v>25</v>
      </c>
      <c r="BS935" s="240">
        <f t="shared" si="361"/>
        <v>0.32999999999999996</v>
      </c>
      <c r="BT935" s="6"/>
    </row>
    <row r="936" spans="1:72" x14ac:dyDescent="0.25">
      <c r="A936" s="18" t="s">
        <v>6</v>
      </c>
      <c r="B936" s="18">
        <v>2024</v>
      </c>
      <c r="C936" s="18" t="s">
        <v>138</v>
      </c>
      <c r="D936" s="18" t="s">
        <v>662</v>
      </c>
      <c r="E936" s="18">
        <v>20</v>
      </c>
      <c r="F936" s="192">
        <v>20</v>
      </c>
      <c r="G936" s="18" t="s">
        <v>156</v>
      </c>
      <c r="H936" s="18">
        <v>30</v>
      </c>
      <c r="I936" s="18" t="s">
        <v>759</v>
      </c>
      <c r="J936" s="18"/>
      <c r="K936" s="18">
        <f t="shared" si="365"/>
        <v>26</v>
      </c>
      <c r="L936" s="18">
        <v>27</v>
      </c>
      <c r="M936" s="4">
        <f t="shared" si="363"/>
        <v>1</v>
      </c>
      <c r="N936" s="113">
        <f t="shared" si="366"/>
        <v>0.69</v>
      </c>
      <c r="O936" s="5">
        <f t="shared" si="356"/>
        <v>0.31000000000000005</v>
      </c>
      <c r="P936" s="18">
        <v>0.69</v>
      </c>
      <c r="Q936" s="185"/>
      <c r="R936" s="6"/>
      <c r="S936" s="6"/>
      <c r="T936" s="6">
        <v>0.69</v>
      </c>
      <c r="U936" s="6">
        <v>0.21</v>
      </c>
      <c r="V936" s="4">
        <f t="shared" si="359"/>
        <v>21</v>
      </c>
      <c r="W936" s="6"/>
      <c r="X936" s="6"/>
      <c r="Y936" s="6">
        <v>9</v>
      </c>
      <c r="Z936" s="31">
        <f t="shared" si="362"/>
        <v>111.11111111111111</v>
      </c>
      <c r="AA936" s="6"/>
      <c r="AB936" s="6"/>
      <c r="AC936" s="6"/>
      <c r="AD936" s="6"/>
      <c r="AE936" s="6"/>
      <c r="AF936" s="6"/>
      <c r="AG936" s="3" t="s">
        <v>29</v>
      </c>
      <c r="AH936" s="3" t="s">
        <v>29</v>
      </c>
      <c r="AI936" s="18" t="str">
        <f>+VLOOKUP(AH936,Leyenda!$O$4:$U$10,6,FALSE)</f>
        <v>0,25-0,35</v>
      </c>
      <c r="AJ936" s="18" t="str">
        <f>+VLOOKUP(AG936,Leyenda!$O$4:$U$10,7,FALSE)</f>
        <v>No Blasting need</v>
      </c>
      <c r="AK936" s="18">
        <f>+VLOOKUP(AJ936,Leyenda!$U$4:$V$10,2,FALSE)</f>
        <v>2</v>
      </c>
      <c r="AL936" s="6"/>
      <c r="AM936" s="3" t="s">
        <v>29</v>
      </c>
      <c r="AN936" s="18" t="s">
        <v>64</v>
      </c>
      <c r="AO936" s="18" t="s">
        <v>79</v>
      </c>
      <c r="AP936" s="18" t="s">
        <v>100</v>
      </c>
      <c r="AQ936" s="18" t="s">
        <v>109</v>
      </c>
      <c r="AR936" s="18" t="s">
        <v>122</v>
      </c>
      <c r="AS936" s="18" t="s">
        <v>267</v>
      </c>
      <c r="AT936" s="18"/>
      <c r="AU936" s="6"/>
      <c r="AV936" s="36">
        <f>+VLOOKUP(AN936,Leyenda!$B$30:$E$34,3,FALSE)</f>
        <v>2</v>
      </c>
      <c r="AW936" s="36">
        <f>+VLOOKUP('2. Logging Brejo Seco'!AO936,Meteorizacion,3,FALSE)</f>
        <v>1</v>
      </c>
      <c r="AX936" s="36">
        <f>+VLOOKUP('2. Logging Brejo Seco'!AP936,Apertura,3,FALSE)</f>
        <v>0</v>
      </c>
      <c r="AY936" s="36">
        <f>+VLOOKUP('2. Logging Brejo Seco'!AQ936,Leyenda!$B$55:$D$59,3,FALSE)</f>
        <v>1</v>
      </c>
      <c r="AZ936" s="36">
        <f>+VLOOKUP('2. Logging Brejo Seco'!AR936,Relleno,3,FALSE)</f>
        <v>0</v>
      </c>
      <c r="BA936" s="36">
        <f t="shared" ref="BA936:BA950" si="369">+SUM(AV936:AZ936)</f>
        <v>4</v>
      </c>
      <c r="BB936" s="50">
        <f t="shared" ref="BB936:BB950" si="370">ROUND(-0.0002*POWER(V936,2)+0.2197*V936,0)</f>
        <v>5</v>
      </c>
      <c r="BC936" s="49">
        <f>VLOOKUP(AH936,Leyenda!$B$4:$D$10,3,FALSE)</f>
        <v>2</v>
      </c>
      <c r="BD936" s="50">
        <f t="shared" ref="BD936:BD950" si="371">IF(Z936="",ROUND((IF(Z936&lt;=400,1.5478*POWER(Z936,0.3351),-2*POWER(10,-6)*POWER(Z936,2)+0.0091*Z936+8.1704)),0),ROUND((IF(Z936&lt;=400,1.5478*POWER(Z936,0.3351),-2*POWER(10,-6)*POWER(Z936,2)+0.0091*Z936+8.1704)),0))</f>
        <v>8</v>
      </c>
      <c r="BE936" s="50">
        <f t="shared" ref="BE936:BE950" si="372">+BA936</f>
        <v>4</v>
      </c>
      <c r="BF936" s="50">
        <f>VLOOKUP(AS936,Leyenda!$B$70:$D$75,3,FALSE)</f>
        <v>15</v>
      </c>
      <c r="BG936" s="110">
        <f t="shared" ref="BG936:BG950" si="373">1.5*BA936+(V936*0.5)</f>
        <v>16.5</v>
      </c>
      <c r="BH936" s="110">
        <f>VLOOKUP(AG936,Leyenda!$B$4:$E$10,4,FALSE)</f>
        <v>2</v>
      </c>
      <c r="BI936" s="67">
        <f t="shared" ref="BI936:BI950" si="374">IF(Z936="",ROUND(IF(Z936&lt;=50,5,IF(Z936&gt;=3000,30,6.038*LN(Z936)-19.63)),0),ROUND(IF(Z936&lt;=50,5,IF(Z936&gt;=3000,30,6.038*LN(Z936)-19.63)),0))</f>
        <v>9</v>
      </c>
      <c r="BJ936" s="110">
        <f t="shared" ref="BJ936:BJ950" si="375">ROUND(-0.0002*POWER(V936,2)+0.2197*V936,0)</f>
        <v>5</v>
      </c>
      <c r="BK936" s="110">
        <f>+VLOOKUP('2. Logging Brejo Seco'!AP936,Leyenda!$B$47:$E$51,4,FALSE)</f>
        <v>0</v>
      </c>
      <c r="BL936" s="110">
        <f>+VLOOKUP('2. Logging Brejo Seco'!AQ936,Leyenda!$B$55:$E$59,4,FALSE)</f>
        <v>1</v>
      </c>
      <c r="BM936" s="110">
        <f>+VLOOKUP('2. Logging Brejo Seco'!AR936,Leyenda!$B$63:$E$67,3,FALSE)</f>
        <v>0</v>
      </c>
      <c r="BN936" s="110">
        <f>+VLOOKUP('2. Logging Brejo Seco'!AO936,Leyenda!$B$39:$E$43,4,FALSE)</f>
        <v>1</v>
      </c>
      <c r="BO936" s="110">
        <f>+VLOOKUP('2. Logging Brejo Seco'!AN936,Leyenda!$B$30:$E$34,4,FALSE)</f>
        <v>3</v>
      </c>
      <c r="BP936" s="110">
        <f>VLOOKUP(AS936,Leyenda!$B$71:$E$75,4,FALSE)</f>
        <v>10</v>
      </c>
      <c r="BQ936" s="110">
        <f t="shared" ref="BQ936:BQ950" si="376">+BH936+BI936+BJ936+BK936+BL936+BM936+BN936+BO936+BP936</f>
        <v>31</v>
      </c>
      <c r="BR936" s="36">
        <f t="shared" ref="BR936:BR950" si="377">+BC936+BD936+BB936+BE936+BF936</f>
        <v>34</v>
      </c>
      <c r="BS936" s="240">
        <f t="shared" si="361"/>
        <v>0.31000000000000005</v>
      </c>
      <c r="BT936" s="6"/>
    </row>
    <row r="937" spans="1:72" x14ac:dyDescent="0.25">
      <c r="A937" s="18" t="s">
        <v>6</v>
      </c>
      <c r="B937" s="18">
        <v>2024</v>
      </c>
      <c r="C937" s="18" t="s">
        <v>138</v>
      </c>
      <c r="D937" s="18" t="s">
        <v>662</v>
      </c>
      <c r="E937" s="18">
        <v>20</v>
      </c>
      <c r="F937" s="192">
        <v>20</v>
      </c>
      <c r="G937" s="18" t="s">
        <v>156</v>
      </c>
      <c r="H937" s="18">
        <v>30</v>
      </c>
      <c r="I937" s="18" t="s">
        <v>759</v>
      </c>
      <c r="J937" s="18"/>
      <c r="K937" s="18">
        <f t="shared" si="365"/>
        <v>27</v>
      </c>
      <c r="L937" s="18">
        <v>27.6</v>
      </c>
      <c r="M937" s="4">
        <f t="shared" si="363"/>
        <v>0.60000000000000142</v>
      </c>
      <c r="N937" s="113">
        <f t="shared" si="366"/>
        <v>0.54999999999999871</v>
      </c>
      <c r="O937" s="5">
        <f t="shared" si="356"/>
        <v>0.45000000000000129</v>
      </c>
      <c r="P937" s="18">
        <v>0.33</v>
      </c>
      <c r="Q937" s="185"/>
      <c r="R937" s="6"/>
      <c r="S937" s="6"/>
      <c r="T937" s="6">
        <v>0.33</v>
      </c>
      <c r="U937" s="6">
        <v>0</v>
      </c>
      <c r="V937" s="4">
        <f t="shared" si="359"/>
        <v>0</v>
      </c>
      <c r="W937" s="6"/>
      <c r="X937" s="6"/>
      <c r="Y937" s="6">
        <v>10</v>
      </c>
      <c r="Z937" s="31">
        <f t="shared" si="362"/>
        <v>60.000000000000135</v>
      </c>
      <c r="AA937" s="6"/>
      <c r="AB937" s="6"/>
      <c r="AC937" s="6"/>
      <c r="AD937" s="6"/>
      <c r="AE937" s="6"/>
      <c r="AF937" s="6"/>
      <c r="AG937" s="3" t="s">
        <v>32</v>
      </c>
      <c r="AH937" s="3" t="s">
        <v>32</v>
      </c>
      <c r="AI937" s="18" t="str">
        <f>+VLOOKUP(AH937,Leyenda!$O$4:$U$10,6,FALSE)</f>
        <v>0,15-0,25</v>
      </c>
      <c r="AJ937" s="18" t="str">
        <f>+VLOOKUP(AG937,Leyenda!$O$4:$U$10,7,FALSE)</f>
        <v>No Blasting need</v>
      </c>
      <c r="AK937" s="18">
        <f>+VLOOKUP(AJ937,Leyenda!$U$4:$V$10,2,FALSE)</f>
        <v>2</v>
      </c>
      <c r="AL937" s="6"/>
      <c r="AM937" s="3" t="s">
        <v>32</v>
      </c>
      <c r="AN937" s="18" t="s">
        <v>66</v>
      </c>
      <c r="AO937" s="18" t="s">
        <v>81</v>
      </c>
      <c r="AP937" s="18" t="s">
        <v>100</v>
      </c>
      <c r="AQ937" s="18" t="s">
        <v>109</v>
      </c>
      <c r="AR937" s="18" t="s">
        <v>122</v>
      </c>
      <c r="AS937" s="18" t="s">
        <v>267</v>
      </c>
      <c r="AT937" s="18"/>
      <c r="AU937" s="6"/>
      <c r="AV937" s="36">
        <f>+VLOOKUP(AN937,Leyenda!$B$30:$E$34,3,FALSE)</f>
        <v>1</v>
      </c>
      <c r="AW937" s="36">
        <f>+VLOOKUP('2. Logging Brejo Seco'!AO937,Meteorizacion,3,FALSE)</f>
        <v>0</v>
      </c>
      <c r="AX937" s="36">
        <f>+VLOOKUP('2. Logging Brejo Seco'!AP937,Apertura,3,FALSE)</f>
        <v>0</v>
      </c>
      <c r="AY937" s="36">
        <f>+VLOOKUP('2. Logging Brejo Seco'!AQ937,Leyenda!$B$55:$D$59,3,FALSE)</f>
        <v>1</v>
      </c>
      <c r="AZ937" s="36">
        <f>+VLOOKUP('2. Logging Brejo Seco'!AR937,Relleno,3,FALSE)</f>
        <v>0</v>
      </c>
      <c r="BA937" s="36">
        <f t="shared" si="369"/>
        <v>2</v>
      </c>
      <c r="BB937" s="50">
        <f t="shared" si="370"/>
        <v>0</v>
      </c>
      <c r="BC937" s="49">
        <f>VLOOKUP(AH937,Leyenda!$B$4:$D$10,3,FALSE)</f>
        <v>1</v>
      </c>
      <c r="BD937" s="50">
        <f t="shared" si="371"/>
        <v>6</v>
      </c>
      <c r="BE937" s="50">
        <f t="shared" si="372"/>
        <v>2</v>
      </c>
      <c r="BF937" s="50">
        <f>VLOOKUP(AS937,Leyenda!$B$70:$D$75,3,FALSE)</f>
        <v>15</v>
      </c>
      <c r="BG937" s="110">
        <f t="shared" si="373"/>
        <v>3</v>
      </c>
      <c r="BH937" s="110">
        <f>VLOOKUP(AG937,Leyenda!$B$4:$E$10,4,FALSE)</f>
        <v>1</v>
      </c>
      <c r="BI937" s="67">
        <f t="shared" si="374"/>
        <v>5</v>
      </c>
      <c r="BJ937" s="110">
        <f t="shared" si="375"/>
        <v>0</v>
      </c>
      <c r="BK937" s="110">
        <f>+VLOOKUP('2. Logging Brejo Seco'!AP937,Leyenda!$B$47:$E$51,4,FALSE)</f>
        <v>0</v>
      </c>
      <c r="BL937" s="110">
        <f>+VLOOKUP('2. Logging Brejo Seco'!AQ937,Leyenda!$B$55:$E$59,4,FALSE)</f>
        <v>1</v>
      </c>
      <c r="BM937" s="110">
        <f>+VLOOKUP('2. Logging Brejo Seco'!AR937,Leyenda!$B$63:$E$67,3,FALSE)</f>
        <v>0</v>
      </c>
      <c r="BN937" s="110">
        <f>+VLOOKUP('2. Logging Brejo Seco'!AO937,Leyenda!$B$39:$E$43,4,FALSE)</f>
        <v>0</v>
      </c>
      <c r="BO937" s="110">
        <f>+VLOOKUP('2. Logging Brejo Seco'!AN937,Leyenda!$B$30:$E$34,4,FALSE)</f>
        <v>1</v>
      </c>
      <c r="BP937" s="110">
        <f>VLOOKUP(AS937,Leyenda!$B$71:$E$75,4,FALSE)</f>
        <v>10</v>
      </c>
      <c r="BQ937" s="110">
        <f t="shared" si="376"/>
        <v>18</v>
      </c>
      <c r="BR937" s="36">
        <f t="shared" si="377"/>
        <v>24</v>
      </c>
      <c r="BS937" s="240">
        <f t="shared" si="361"/>
        <v>0.45000000000000129</v>
      </c>
      <c r="BT937" s="6"/>
    </row>
    <row r="938" spans="1:72" x14ac:dyDescent="0.25">
      <c r="A938" s="18" t="s">
        <v>6</v>
      </c>
      <c r="B938" s="18">
        <v>2024</v>
      </c>
      <c r="C938" s="18" t="s">
        <v>138</v>
      </c>
      <c r="D938" s="18" t="s">
        <v>662</v>
      </c>
      <c r="E938" s="18">
        <v>20</v>
      </c>
      <c r="F938" s="192">
        <v>20</v>
      </c>
      <c r="G938" s="18" t="s">
        <v>156</v>
      </c>
      <c r="H938" s="18">
        <v>30</v>
      </c>
      <c r="I938" s="18" t="s">
        <v>759</v>
      </c>
      <c r="J938" s="18"/>
      <c r="K938" s="18">
        <f t="shared" si="365"/>
        <v>27.6</v>
      </c>
      <c r="L938" s="18">
        <v>28.4</v>
      </c>
      <c r="M938" s="4">
        <f t="shared" si="363"/>
        <v>0.79999999999999716</v>
      </c>
      <c r="N938" s="113">
        <f t="shared" si="366"/>
        <v>0.70000000000000251</v>
      </c>
      <c r="O938" s="5">
        <f t="shared" si="356"/>
        <v>0.29999999999999749</v>
      </c>
      <c r="P938" s="18">
        <v>0.56000000000000005</v>
      </c>
      <c r="Q938" s="185"/>
      <c r="R938" s="6"/>
      <c r="S938" s="6"/>
      <c r="T938" s="6">
        <v>0.56000000000000005</v>
      </c>
      <c r="U938" s="6">
        <v>0</v>
      </c>
      <c r="V938" s="4">
        <f t="shared" si="359"/>
        <v>0</v>
      </c>
      <c r="W938" s="6"/>
      <c r="X938" s="6"/>
      <c r="Y938" s="6">
        <v>9</v>
      </c>
      <c r="Z938" s="31">
        <f t="shared" si="362"/>
        <v>88.888888888888573</v>
      </c>
      <c r="AA938" s="6"/>
      <c r="AB938" s="6"/>
      <c r="AC938" s="6"/>
      <c r="AD938" s="6"/>
      <c r="AE938" s="6"/>
      <c r="AF938" s="6"/>
      <c r="AG938" s="18" t="s">
        <v>32</v>
      </c>
      <c r="AH938" s="18" t="s">
        <v>32</v>
      </c>
      <c r="AI938" s="18" t="str">
        <f>+VLOOKUP(AH938,Leyenda!$O$4:$U$10,6,FALSE)</f>
        <v>0,15-0,25</v>
      </c>
      <c r="AJ938" s="18" t="str">
        <f>+VLOOKUP(AG938,Leyenda!$O$4:$U$10,7,FALSE)</f>
        <v>No Blasting need</v>
      </c>
      <c r="AK938" s="18">
        <f>+VLOOKUP(AJ938,Leyenda!$U$4:$V$10,2,FALSE)</f>
        <v>2</v>
      </c>
      <c r="AL938" s="18"/>
      <c r="AM938" s="18" t="s">
        <v>32</v>
      </c>
      <c r="AN938" s="18" t="s">
        <v>66</v>
      </c>
      <c r="AO938" s="18" t="s">
        <v>81</v>
      </c>
      <c r="AP938" s="18" t="s">
        <v>100</v>
      </c>
      <c r="AQ938" s="18" t="s">
        <v>109</v>
      </c>
      <c r="AR938" s="18" t="s">
        <v>122</v>
      </c>
      <c r="AS938" s="18" t="s">
        <v>267</v>
      </c>
      <c r="AT938" s="18"/>
      <c r="AU938" s="6"/>
      <c r="AV938" s="36">
        <f>+VLOOKUP(AN938,Leyenda!$B$30:$E$34,3,FALSE)</f>
        <v>1</v>
      </c>
      <c r="AW938" s="36">
        <f>+VLOOKUP('2. Logging Brejo Seco'!AO938,Meteorizacion,3,FALSE)</f>
        <v>0</v>
      </c>
      <c r="AX938" s="36">
        <f>+VLOOKUP('2. Logging Brejo Seco'!AP938,Apertura,3,FALSE)</f>
        <v>0</v>
      </c>
      <c r="AY938" s="36">
        <f>+VLOOKUP('2. Logging Brejo Seco'!AQ938,Leyenda!$B$55:$D$59,3,FALSE)</f>
        <v>1</v>
      </c>
      <c r="AZ938" s="36">
        <f>+VLOOKUP('2. Logging Brejo Seco'!AR938,Relleno,3,FALSE)</f>
        <v>0</v>
      </c>
      <c r="BA938" s="36">
        <f t="shared" si="369"/>
        <v>2</v>
      </c>
      <c r="BB938" s="50">
        <f t="shared" si="370"/>
        <v>0</v>
      </c>
      <c r="BC938" s="49">
        <f>VLOOKUP(AH938,Leyenda!$B$4:$D$10,3,FALSE)</f>
        <v>1</v>
      </c>
      <c r="BD938" s="50">
        <f t="shared" si="371"/>
        <v>7</v>
      </c>
      <c r="BE938" s="50">
        <f t="shared" si="372"/>
        <v>2</v>
      </c>
      <c r="BF938" s="50">
        <f>VLOOKUP(AS938,Leyenda!$B$70:$D$75,3,FALSE)</f>
        <v>15</v>
      </c>
      <c r="BG938" s="110">
        <f t="shared" si="373"/>
        <v>3</v>
      </c>
      <c r="BH938" s="110">
        <f>VLOOKUP(AG938,Leyenda!$B$4:$E$10,4,FALSE)</f>
        <v>1</v>
      </c>
      <c r="BI938" s="67">
        <f t="shared" si="374"/>
        <v>7</v>
      </c>
      <c r="BJ938" s="110">
        <f t="shared" si="375"/>
        <v>0</v>
      </c>
      <c r="BK938" s="110">
        <f>+VLOOKUP('2. Logging Brejo Seco'!AP938,Leyenda!$B$47:$E$51,4,FALSE)</f>
        <v>0</v>
      </c>
      <c r="BL938" s="110">
        <f>+VLOOKUP('2. Logging Brejo Seco'!AQ938,Leyenda!$B$55:$E$59,4,FALSE)</f>
        <v>1</v>
      </c>
      <c r="BM938" s="110">
        <f>+VLOOKUP('2. Logging Brejo Seco'!AR938,Leyenda!$B$63:$E$67,3,FALSE)</f>
        <v>0</v>
      </c>
      <c r="BN938" s="110">
        <f>+VLOOKUP('2. Logging Brejo Seco'!AO938,Leyenda!$B$39:$E$43,4,FALSE)</f>
        <v>0</v>
      </c>
      <c r="BO938" s="110">
        <f>+VLOOKUP('2. Logging Brejo Seco'!AN938,Leyenda!$B$30:$E$34,4,FALSE)</f>
        <v>1</v>
      </c>
      <c r="BP938" s="110">
        <f>VLOOKUP(AS938,Leyenda!$B$71:$E$75,4,FALSE)</f>
        <v>10</v>
      </c>
      <c r="BQ938" s="110">
        <f t="shared" si="376"/>
        <v>20</v>
      </c>
      <c r="BR938" s="36">
        <f t="shared" si="377"/>
        <v>25</v>
      </c>
      <c r="BS938" s="240">
        <f t="shared" si="361"/>
        <v>0.29999999999999749</v>
      </c>
      <c r="BT938" s="6"/>
    </row>
    <row r="939" spans="1:72" x14ac:dyDescent="0.25">
      <c r="A939" s="18" t="s">
        <v>6</v>
      </c>
      <c r="B939" s="18">
        <v>2024</v>
      </c>
      <c r="C939" s="18" t="s">
        <v>138</v>
      </c>
      <c r="D939" s="18" t="s">
        <v>662</v>
      </c>
      <c r="E939" s="18">
        <v>20</v>
      </c>
      <c r="F939" s="192">
        <v>20</v>
      </c>
      <c r="G939" s="18" t="s">
        <v>156</v>
      </c>
      <c r="H939" s="245">
        <f>+F939</f>
        <v>20</v>
      </c>
      <c r="I939" s="245" t="s">
        <v>760</v>
      </c>
      <c r="J939" s="245"/>
      <c r="K939" s="18">
        <f t="shared" si="365"/>
        <v>28.4</v>
      </c>
      <c r="L939" s="18">
        <v>29.5</v>
      </c>
      <c r="M939" s="4">
        <f t="shared" si="363"/>
        <v>1.1000000000000014</v>
      </c>
      <c r="N939" s="113">
        <f t="shared" si="366"/>
        <v>0.76363636363636267</v>
      </c>
      <c r="O939" s="5">
        <f t="shared" si="356"/>
        <v>0.23636363636363733</v>
      </c>
      <c r="P939" s="18">
        <v>0.84</v>
      </c>
      <c r="Q939" s="185"/>
      <c r="R939" s="6"/>
      <c r="S939" s="6"/>
      <c r="T939" s="6">
        <v>0.84</v>
      </c>
      <c r="U939" s="6">
        <v>0</v>
      </c>
      <c r="V939" s="4">
        <f t="shared" si="359"/>
        <v>0</v>
      </c>
      <c r="W939" s="6"/>
      <c r="X939" s="6"/>
      <c r="Y939" s="6">
        <v>15</v>
      </c>
      <c r="Z939" s="31">
        <f t="shared" si="362"/>
        <v>73.333333333333428</v>
      </c>
      <c r="AA939" s="6"/>
      <c r="AB939" s="6"/>
      <c r="AC939" s="6"/>
      <c r="AD939" s="6"/>
      <c r="AE939" s="6"/>
      <c r="AF939" s="6"/>
      <c r="AG939" s="18" t="s">
        <v>32</v>
      </c>
      <c r="AH939" s="18" t="s">
        <v>32</v>
      </c>
      <c r="AI939" s="18" t="str">
        <f>+VLOOKUP(AH939,Leyenda!$O$4:$U$10,6,FALSE)</f>
        <v>0,15-0,25</v>
      </c>
      <c r="AJ939" s="18" t="str">
        <f>+VLOOKUP(AG939,Leyenda!$O$4:$U$10,7,FALSE)</f>
        <v>No Blasting need</v>
      </c>
      <c r="AK939" s="18">
        <f>+VLOOKUP(AJ939,Leyenda!$U$4:$V$10,2,FALSE)</f>
        <v>2</v>
      </c>
      <c r="AL939" s="18"/>
      <c r="AM939" s="18" t="s">
        <v>32</v>
      </c>
      <c r="AN939" s="18" t="s">
        <v>66</v>
      </c>
      <c r="AO939" s="18" t="s">
        <v>81</v>
      </c>
      <c r="AP939" s="18" t="s">
        <v>100</v>
      </c>
      <c r="AQ939" s="18" t="s">
        <v>109</v>
      </c>
      <c r="AR939" s="18" t="s">
        <v>122</v>
      </c>
      <c r="AS939" s="18" t="s">
        <v>267</v>
      </c>
      <c r="AT939" s="18"/>
      <c r="AU939" s="6"/>
      <c r="AV939" s="36">
        <f>+VLOOKUP(AN939,Leyenda!$B$30:$E$34,3,FALSE)</f>
        <v>1</v>
      </c>
      <c r="AW939" s="36">
        <f>+VLOOKUP('2. Logging Brejo Seco'!AO939,Meteorizacion,3,FALSE)</f>
        <v>0</v>
      </c>
      <c r="AX939" s="36">
        <f>+VLOOKUP('2. Logging Brejo Seco'!AP939,Apertura,3,FALSE)</f>
        <v>0</v>
      </c>
      <c r="AY939" s="36">
        <f>+VLOOKUP('2. Logging Brejo Seco'!AQ939,Leyenda!$B$55:$D$59,3,FALSE)</f>
        <v>1</v>
      </c>
      <c r="AZ939" s="36">
        <f>+VLOOKUP('2. Logging Brejo Seco'!AR939,Relleno,3,FALSE)</f>
        <v>0</v>
      </c>
      <c r="BA939" s="36">
        <f t="shared" si="369"/>
        <v>2</v>
      </c>
      <c r="BB939" s="50">
        <f t="shared" si="370"/>
        <v>0</v>
      </c>
      <c r="BC939" s="49">
        <f>VLOOKUP(AH939,Leyenda!$B$4:$D$10,3,FALSE)</f>
        <v>1</v>
      </c>
      <c r="BD939" s="50">
        <f t="shared" si="371"/>
        <v>7</v>
      </c>
      <c r="BE939" s="50">
        <f t="shared" si="372"/>
        <v>2</v>
      </c>
      <c r="BF939" s="50">
        <f>VLOOKUP(AS939,Leyenda!$B$70:$D$75,3,FALSE)</f>
        <v>15</v>
      </c>
      <c r="BG939" s="110">
        <f t="shared" si="373"/>
        <v>3</v>
      </c>
      <c r="BH939" s="110">
        <f>VLOOKUP(AG939,Leyenda!$B$4:$E$10,4,FALSE)</f>
        <v>1</v>
      </c>
      <c r="BI939" s="67">
        <f t="shared" si="374"/>
        <v>6</v>
      </c>
      <c r="BJ939" s="110">
        <f t="shared" si="375"/>
        <v>0</v>
      </c>
      <c r="BK939" s="110">
        <f>+VLOOKUP('2. Logging Brejo Seco'!AP939,Leyenda!$B$47:$E$51,4,FALSE)</f>
        <v>0</v>
      </c>
      <c r="BL939" s="110">
        <f>+VLOOKUP('2. Logging Brejo Seco'!AQ939,Leyenda!$B$55:$E$59,4,FALSE)</f>
        <v>1</v>
      </c>
      <c r="BM939" s="110">
        <f>+VLOOKUP('2. Logging Brejo Seco'!AR939,Leyenda!$B$63:$E$67,3,FALSE)</f>
        <v>0</v>
      </c>
      <c r="BN939" s="110">
        <f>+VLOOKUP('2. Logging Brejo Seco'!AO939,Leyenda!$B$39:$E$43,4,FALSE)</f>
        <v>0</v>
      </c>
      <c r="BO939" s="110">
        <f>+VLOOKUP('2. Logging Brejo Seco'!AN939,Leyenda!$B$30:$E$34,4,FALSE)</f>
        <v>1</v>
      </c>
      <c r="BP939" s="110">
        <f>VLOOKUP(AS939,Leyenda!$B$71:$E$75,4,FALSE)</f>
        <v>10</v>
      </c>
      <c r="BQ939" s="110">
        <f t="shared" si="376"/>
        <v>19</v>
      </c>
      <c r="BR939" s="36">
        <f t="shared" si="377"/>
        <v>25</v>
      </c>
      <c r="BS939" s="240">
        <f t="shared" si="361"/>
        <v>0.23636363636363733</v>
      </c>
      <c r="BT939" s="6"/>
    </row>
    <row r="940" spans="1:72" x14ac:dyDescent="0.25">
      <c r="A940" s="18" t="s">
        <v>6</v>
      </c>
      <c r="B940" s="18">
        <v>2024</v>
      </c>
      <c r="C940" s="18" t="s">
        <v>138</v>
      </c>
      <c r="D940" s="18" t="s">
        <v>662</v>
      </c>
      <c r="E940" s="18">
        <v>20</v>
      </c>
      <c r="F940" s="192">
        <v>20</v>
      </c>
      <c r="G940" s="18" t="s">
        <v>156</v>
      </c>
      <c r="H940" s="245">
        <f t="shared" ref="H940:H943" si="378">+F940</f>
        <v>20</v>
      </c>
      <c r="I940" s="245" t="s">
        <v>760</v>
      </c>
      <c r="J940" s="245"/>
      <c r="K940" s="18">
        <f t="shared" si="365"/>
        <v>29.5</v>
      </c>
      <c r="L940" s="18">
        <v>30.5</v>
      </c>
      <c r="M940" s="4">
        <f t="shared" si="363"/>
        <v>1</v>
      </c>
      <c r="N940" s="113">
        <f t="shared" si="366"/>
        <v>0.63</v>
      </c>
      <c r="O940" s="5">
        <f t="shared" si="356"/>
        <v>0.37</v>
      </c>
      <c r="P940" s="18">
        <v>0.63</v>
      </c>
      <c r="Q940" s="185"/>
      <c r="R940" s="6"/>
      <c r="S940" s="6"/>
      <c r="T940" s="6">
        <v>0.63</v>
      </c>
      <c r="U940" s="6">
        <v>0.1</v>
      </c>
      <c r="V940" s="4">
        <f t="shared" si="359"/>
        <v>10</v>
      </c>
      <c r="W940" s="6"/>
      <c r="X940" s="6"/>
      <c r="Y940" s="6">
        <f>5+4</f>
        <v>9</v>
      </c>
      <c r="Z940" s="31">
        <f t="shared" si="362"/>
        <v>111.11111111111111</v>
      </c>
      <c r="AA940" s="6"/>
      <c r="AB940" s="6"/>
      <c r="AC940" s="6"/>
      <c r="AD940" s="6"/>
      <c r="AE940" s="6"/>
      <c r="AF940" s="6"/>
      <c r="AG940" s="18" t="s">
        <v>29</v>
      </c>
      <c r="AH940" s="18" t="s">
        <v>29</v>
      </c>
      <c r="AI940" s="18" t="str">
        <f>+VLOOKUP(AH940,Leyenda!$O$4:$U$10,6,FALSE)</f>
        <v>0,25-0,35</v>
      </c>
      <c r="AJ940" s="18" t="str">
        <f>+VLOOKUP(AG940,Leyenda!$O$4:$U$10,7,FALSE)</f>
        <v>No Blasting need</v>
      </c>
      <c r="AK940" s="18">
        <f>+VLOOKUP(AJ940,Leyenda!$U$4:$V$10,2,FALSE)</f>
        <v>2</v>
      </c>
      <c r="AL940" s="18"/>
      <c r="AM940" s="18" t="s">
        <v>29</v>
      </c>
      <c r="AN940" s="18" t="s">
        <v>64</v>
      </c>
      <c r="AO940" s="18" t="s">
        <v>79</v>
      </c>
      <c r="AP940" s="18" t="s">
        <v>100</v>
      </c>
      <c r="AQ940" s="18" t="s">
        <v>109</v>
      </c>
      <c r="AR940" s="18" t="s">
        <v>122</v>
      </c>
      <c r="AS940" s="18" t="s">
        <v>267</v>
      </c>
      <c r="AT940" s="18"/>
      <c r="AU940" s="6"/>
      <c r="AV940" s="36">
        <f>+VLOOKUP(AN940,Leyenda!$B$30:$E$34,3,FALSE)</f>
        <v>2</v>
      </c>
      <c r="AW940" s="36">
        <f>+VLOOKUP('2. Logging Brejo Seco'!AO940,Meteorizacion,3,FALSE)</f>
        <v>1</v>
      </c>
      <c r="AX940" s="36">
        <f>+VLOOKUP('2. Logging Brejo Seco'!AP940,Apertura,3,FALSE)</f>
        <v>0</v>
      </c>
      <c r="AY940" s="36">
        <f>+VLOOKUP('2. Logging Brejo Seco'!AQ940,Leyenda!$B$55:$D$59,3,FALSE)</f>
        <v>1</v>
      </c>
      <c r="AZ940" s="36">
        <f>+VLOOKUP('2. Logging Brejo Seco'!AR940,Relleno,3,FALSE)</f>
        <v>0</v>
      </c>
      <c r="BA940" s="36">
        <f t="shared" si="369"/>
        <v>4</v>
      </c>
      <c r="BB940" s="50">
        <f t="shared" si="370"/>
        <v>2</v>
      </c>
      <c r="BC940" s="49">
        <f>VLOOKUP(AH940,Leyenda!$B$4:$D$10,3,FALSE)</f>
        <v>2</v>
      </c>
      <c r="BD940" s="50">
        <f t="shared" si="371"/>
        <v>8</v>
      </c>
      <c r="BE940" s="50">
        <f t="shared" si="372"/>
        <v>4</v>
      </c>
      <c r="BF940" s="50">
        <f>VLOOKUP(AS940,Leyenda!$B$70:$D$75,3,FALSE)</f>
        <v>15</v>
      </c>
      <c r="BG940" s="110">
        <f t="shared" si="373"/>
        <v>11</v>
      </c>
      <c r="BH940" s="110">
        <f>VLOOKUP(AG940,Leyenda!$B$4:$E$10,4,FALSE)</f>
        <v>2</v>
      </c>
      <c r="BI940" s="67">
        <f t="shared" si="374"/>
        <v>9</v>
      </c>
      <c r="BJ940" s="110">
        <f t="shared" si="375"/>
        <v>2</v>
      </c>
      <c r="BK940" s="110">
        <f>+VLOOKUP('2. Logging Brejo Seco'!AP940,Leyenda!$B$47:$E$51,4,FALSE)</f>
        <v>0</v>
      </c>
      <c r="BL940" s="110">
        <f>+VLOOKUP('2. Logging Brejo Seco'!AQ940,Leyenda!$B$55:$E$59,4,FALSE)</f>
        <v>1</v>
      </c>
      <c r="BM940" s="110">
        <f>+VLOOKUP('2. Logging Brejo Seco'!AR940,Leyenda!$B$63:$E$67,3,FALSE)</f>
        <v>0</v>
      </c>
      <c r="BN940" s="110">
        <f>+VLOOKUP('2. Logging Brejo Seco'!AO940,Leyenda!$B$39:$E$43,4,FALSE)</f>
        <v>1</v>
      </c>
      <c r="BO940" s="110">
        <f>+VLOOKUP('2. Logging Brejo Seco'!AN940,Leyenda!$B$30:$E$34,4,FALSE)</f>
        <v>3</v>
      </c>
      <c r="BP940" s="110">
        <f>VLOOKUP(AS940,Leyenda!$B$71:$E$75,4,FALSE)</f>
        <v>10</v>
      </c>
      <c r="BQ940" s="110">
        <f t="shared" si="376"/>
        <v>28</v>
      </c>
      <c r="BR940" s="36">
        <f t="shared" si="377"/>
        <v>31</v>
      </c>
      <c r="BS940" s="240">
        <f t="shared" si="361"/>
        <v>0.37</v>
      </c>
      <c r="BT940" s="6"/>
    </row>
    <row r="941" spans="1:72" x14ac:dyDescent="0.25">
      <c r="A941" s="18" t="s">
        <v>6</v>
      </c>
      <c r="B941" s="18">
        <v>2024</v>
      </c>
      <c r="C941" s="18" t="s">
        <v>138</v>
      </c>
      <c r="D941" s="18" t="s">
        <v>662</v>
      </c>
      <c r="E941" s="18">
        <v>20</v>
      </c>
      <c r="F941" s="192">
        <v>20</v>
      </c>
      <c r="G941" s="18" t="s">
        <v>156</v>
      </c>
      <c r="H941" s="245">
        <f t="shared" si="378"/>
        <v>20</v>
      </c>
      <c r="I941" s="245" t="s">
        <v>760</v>
      </c>
      <c r="J941" s="245"/>
      <c r="K941" s="18">
        <f t="shared" si="365"/>
        <v>30.5</v>
      </c>
      <c r="L941" s="18">
        <v>31.6</v>
      </c>
      <c r="M941" s="4">
        <f t="shared" si="363"/>
        <v>1.1000000000000014</v>
      </c>
      <c r="N941" s="113">
        <f t="shared" si="366"/>
        <v>0.70909090909090822</v>
      </c>
      <c r="O941" s="5">
        <f t="shared" si="356"/>
        <v>0.29090909090909178</v>
      </c>
      <c r="P941" s="18">
        <v>0.78</v>
      </c>
      <c r="Q941" s="185"/>
      <c r="R941" s="6"/>
      <c r="S941" s="6"/>
      <c r="T941" s="6">
        <v>0.78</v>
      </c>
      <c r="U941" s="6">
        <v>0.14000000000000001</v>
      </c>
      <c r="V941" s="4">
        <f t="shared" si="359"/>
        <v>12.727272727272712</v>
      </c>
      <c r="W941" s="6"/>
      <c r="X941" s="6"/>
      <c r="Y941" s="6">
        <f>4+10</f>
        <v>14</v>
      </c>
      <c r="Z941" s="31">
        <f t="shared" si="362"/>
        <v>78.571428571428669</v>
      </c>
      <c r="AA941" s="6"/>
      <c r="AB941" s="6"/>
      <c r="AC941" s="6"/>
      <c r="AD941" s="6"/>
      <c r="AE941" s="6"/>
      <c r="AF941" s="6"/>
      <c r="AG941" s="18" t="s">
        <v>29</v>
      </c>
      <c r="AH941" s="18" t="s">
        <v>29</v>
      </c>
      <c r="AI941" s="18" t="str">
        <f>+VLOOKUP(AH941,Leyenda!$O$4:$U$10,6,FALSE)</f>
        <v>0,25-0,35</v>
      </c>
      <c r="AJ941" s="18" t="str">
        <f>+VLOOKUP(AG941,Leyenda!$O$4:$U$10,7,FALSE)</f>
        <v>No Blasting need</v>
      </c>
      <c r="AK941" s="18">
        <f>+VLOOKUP(AJ941,Leyenda!$U$4:$V$10,2,FALSE)</f>
        <v>2</v>
      </c>
      <c r="AL941" s="18"/>
      <c r="AM941" s="18" t="s">
        <v>29</v>
      </c>
      <c r="AN941" s="18" t="s">
        <v>64</v>
      </c>
      <c r="AO941" s="18" t="s">
        <v>79</v>
      </c>
      <c r="AP941" s="18" t="s">
        <v>100</v>
      </c>
      <c r="AQ941" s="18" t="s">
        <v>109</v>
      </c>
      <c r="AR941" s="18" t="s">
        <v>122</v>
      </c>
      <c r="AS941" s="18" t="s">
        <v>267</v>
      </c>
      <c r="AT941" s="18"/>
      <c r="AU941" s="6"/>
      <c r="AV941" s="36">
        <f>+VLOOKUP(AN941,Leyenda!$B$30:$E$34,3,FALSE)</f>
        <v>2</v>
      </c>
      <c r="AW941" s="36">
        <f>+VLOOKUP('2. Logging Brejo Seco'!AO941,Meteorizacion,3,FALSE)</f>
        <v>1</v>
      </c>
      <c r="AX941" s="36">
        <f>+VLOOKUP('2. Logging Brejo Seco'!AP941,Apertura,3,FALSE)</f>
        <v>0</v>
      </c>
      <c r="AY941" s="36">
        <f>+VLOOKUP('2. Logging Brejo Seco'!AQ941,Leyenda!$B$55:$D$59,3,FALSE)</f>
        <v>1</v>
      </c>
      <c r="AZ941" s="36">
        <f>+VLOOKUP('2. Logging Brejo Seco'!AR941,Relleno,3,FALSE)</f>
        <v>0</v>
      </c>
      <c r="BA941" s="36">
        <f t="shared" si="369"/>
        <v>4</v>
      </c>
      <c r="BB941" s="50">
        <f t="shared" si="370"/>
        <v>3</v>
      </c>
      <c r="BC941" s="49">
        <f>VLOOKUP(AH941,Leyenda!$B$4:$D$10,3,FALSE)</f>
        <v>2</v>
      </c>
      <c r="BD941" s="50">
        <f t="shared" si="371"/>
        <v>7</v>
      </c>
      <c r="BE941" s="50">
        <f t="shared" si="372"/>
        <v>4</v>
      </c>
      <c r="BF941" s="50">
        <f>VLOOKUP(AS941,Leyenda!$B$70:$D$75,3,FALSE)</f>
        <v>15</v>
      </c>
      <c r="BG941" s="110">
        <f t="shared" si="373"/>
        <v>12.363636363636356</v>
      </c>
      <c r="BH941" s="110">
        <f>VLOOKUP(AG941,Leyenda!$B$4:$E$10,4,FALSE)</f>
        <v>2</v>
      </c>
      <c r="BI941" s="67">
        <f t="shared" si="374"/>
        <v>7</v>
      </c>
      <c r="BJ941" s="110">
        <f t="shared" si="375"/>
        <v>3</v>
      </c>
      <c r="BK941" s="110">
        <f>+VLOOKUP('2. Logging Brejo Seco'!AP941,Leyenda!$B$47:$E$51,4,FALSE)</f>
        <v>0</v>
      </c>
      <c r="BL941" s="110">
        <f>+VLOOKUP('2. Logging Brejo Seco'!AQ941,Leyenda!$B$55:$E$59,4,FALSE)</f>
        <v>1</v>
      </c>
      <c r="BM941" s="110">
        <f>+VLOOKUP('2. Logging Brejo Seco'!AR941,Leyenda!$B$63:$E$67,3,FALSE)</f>
        <v>0</v>
      </c>
      <c r="BN941" s="110">
        <f>+VLOOKUP('2. Logging Brejo Seco'!AO941,Leyenda!$B$39:$E$43,4,FALSE)</f>
        <v>1</v>
      </c>
      <c r="BO941" s="110">
        <f>+VLOOKUP('2. Logging Brejo Seco'!AN941,Leyenda!$B$30:$E$34,4,FALSE)</f>
        <v>3</v>
      </c>
      <c r="BP941" s="110">
        <f>VLOOKUP(AS941,Leyenda!$B$71:$E$75,4,FALSE)</f>
        <v>10</v>
      </c>
      <c r="BQ941" s="110">
        <f t="shared" si="376"/>
        <v>27</v>
      </c>
      <c r="BR941" s="36">
        <f t="shared" si="377"/>
        <v>31</v>
      </c>
      <c r="BS941" s="240">
        <f t="shared" si="361"/>
        <v>0.29090909090909178</v>
      </c>
      <c r="BT941" s="6"/>
    </row>
    <row r="942" spans="1:72" x14ac:dyDescent="0.25">
      <c r="A942" s="18" t="s">
        <v>6</v>
      </c>
      <c r="B942" s="18">
        <v>2024</v>
      </c>
      <c r="C942" s="18" t="s">
        <v>138</v>
      </c>
      <c r="D942" s="18" t="s">
        <v>662</v>
      </c>
      <c r="E942" s="18">
        <v>20</v>
      </c>
      <c r="F942" s="192">
        <v>20</v>
      </c>
      <c r="G942" s="18" t="s">
        <v>156</v>
      </c>
      <c r="H942" s="245">
        <f t="shared" si="378"/>
        <v>20</v>
      </c>
      <c r="I942" s="245" t="s">
        <v>760</v>
      </c>
      <c r="J942" s="245"/>
      <c r="K942" s="18">
        <f t="shared" si="365"/>
        <v>31.6</v>
      </c>
      <c r="L942" s="18">
        <v>33.299999999999997</v>
      </c>
      <c r="M942" s="4">
        <f t="shared" si="363"/>
        <v>1.6999999999999957</v>
      </c>
      <c r="N942" s="113">
        <f t="shared" si="366"/>
        <v>0.82941176470588451</v>
      </c>
      <c r="O942" s="5">
        <f t="shared" si="356"/>
        <v>0.17058823529411549</v>
      </c>
      <c r="P942" s="18">
        <f>1.02+0.39</f>
        <v>1.4100000000000001</v>
      </c>
      <c r="Q942" s="185"/>
      <c r="R942" s="6"/>
      <c r="S942" s="6"/>
      <c r="T942" s="6">
        <v>1.41</v>
      </c>
      <c r="U942" s="6">
        <f>0.11+0.1</f>
        <v>0.21000000000000002</v>
      </c>
      <c r="V942" s="4">
        <f t="shared" si="359"/>
        <v>12.352941176470621</v>
      </c>
      <c r="W942" s="6"/>
      <c r="X942" s="6"/>
      <c r="Y942" s="6">
        <v>16</v>
      </c>
      <c r="Z942" s="31">
        <f t="shared" si="362"/>
        <v>106.24999999999973</v>
      </c>
      <c r="AA942" s="6"/>
      <c r="AB942" s="6"/>
      <c r="AC942" s="6"/>
      <c r="AD942" s="6"/>
      <c r="AE942" s="6"/>
      <c r="AF942" s="6"/>
      <c r="AG942" s="18" t="s">
        <v>29</v>
      </c>
      <c r="AH942" s="18" t="s">
        <v>29</v>
      </c>
      <c r="AI942" s="18" t="str">
        <f>+VLOOKUP(AH942,Leyenda!$O$4:$U$10,6,FALSE)</f>
        <v>0,25-0,35</v>
      </c>
      <c r="AJ942" s="18" t="str">
        <f>+VLOOKUP(AG942,Leyenda!$O$4:$U$10,7,FALSE)</f>
        <v>No Blasting need</v>
      </c>
      <c r="AK942" s="18">
        <f>+VLOOKUP(AJ942,Leyenda!$U$4:$V$10,2,FALSE)</f>
        <v>2</v>
      </c>
      <c r="AL942" s="18"/>
      <c r="AM942" s="18" t="s">
        <v>29</v>
      </c>
      <c r="AN942" s="18" t="s">
        <v>64</v>
      </c>
      <c r="AO942" s="18" t="s">
        <v>79</v>
      </c>
      <c r="AP942" s="18" t="s">
        <v>100</v>
      </c>
      <c r="AQ942" s="18" t="s">
        <v>109</v>
      </c>
      <c r="AR942" s="18" t="s">
        <v>122</v>
      </c>
      <c r="AS942" s="18" t="s">
        <v>267</v>
      </c>
      <c r="AT942" s="18"/>
      <c r="AU942" s="6"/>
      <c r="AV942" s="36">
        <f>+VLOOKUP(AN942,Leyenda!$B$30:$E$34,3,FALSE)</f>
        <v>2</v>
      </c>
      <c r="AW942" s="36">
        <f>+VLOOKUP('2. Logging Brejo Seco'!AO942,Meteorizacion,3,FALSE)</f>
        <v>1</v>
      </c>
      <c r="AX942" s="36">
        <f>+VLOOKUP('2. Logging Brejo Seco'!AP942,Apertura,3,FALSE)</f>
        <v>0</v>
      </c>
      <c r="AY942" s="36">
        <f>+VLOOKUP('2. Logging Brejo Seco'!AQ942,Leyenda!$B$55:$D$59,3,FALSE)</f>
        <v>1</v>
      </c>
      <c r="AZ942" s="36">
        <f>+VLOOKUP('2. Logging Brejo Seco'!AR942,Relleno,3,FALSE)</f>
        <v>0</v>
      </c>
      <c r="BA942" s="36">
        <f t="shared" si="369"/>
        <v>4</v>
      </c>
      <c r="BB942" s="50">
        <f t="shared" si="370"/>
        <v>3</v>
      </c>
      <c r="BC942" s="49">
        <f>VLOOKUP(AH942,Leyenda!$B$4:$D$10,3,FALSE)</f>
        <v>2</v>
      </c>
      <c r="BD942" s="50">
        <f t="shared" si="371"/>
        <v>7</v>
      </c>
      <c r="BE942" s="50">
        <f t="shared" si="372"/>
        <v>4</v>
      </c>
      <c r="BF942" s="50">
        <f>VLOOKUP(AS942,Leyenda!$B$70:$D$75,3,FALSE)</f>
        <v>15</v>
      </c>
      <c r="BG942" s="110">
        <f t="shared" si="373"/>
        <v>12.176470588235311</v>
      </c>
      <c r="BH942" s="110">
        <f>VLOOKUP(AG942,Leyenda!$B$4:$E$10,4,FALSE)</f>
        <v>2</v>
      </c>
      <c r="BI942" s="67">
        <f t="shared" si="374"/>
        <v>9</v>
      </c>
      <c r="BJ942" s="110">
        <f t="shared" si="375"/>
        <v>3</v>
      </c>
      <c r="BK942" s="110">
        <f>+VLOOKUP('2. Logging Brejo Seco'!AP942,Leyenda!$B$47:$E$51,4,FALSE)</f>
        <v>0</v>
      </c>
      <c r="BL942" s="110">
        <f>+VLOOKUP('2. Logging Brejo Seco'!AQ942,Leyenda!$B$55:$E$59,4,FALSE)</f>
        <v>1</v>
      </c>
      <c r="BM942" s="110">
        <f>+VLOOKUP('2. Logging Brejo Seco'!AR942,Leyenda!$B$63:$E$67,3,FALSE)</f>
        <v>0</v>
      </c>
      <c r="BN942" s="110">
        <f>+VLOOKUP('2. Logging Brejo Seco'!AO942,Leyenda!$B$39:$E$43,4,FALSE)</f>
        <v>1</v>
      </c>
      <c r="BO942" s="110">
        <f>+VLOOKUP('2. Logging Brejo Seco'!AN942,Leyenda!$B$30:$E$34,4,FALSE)</f>
        <v>3</v>
      </c>
      <c r="BP942" s="110">
        <f>VLOOKUP(AS942,Leyenda!$B$71:$E$75,4,FALSE)</f>
        <v>10</v>
      </c>
      <c r="BQ942" s="110">
        <f t="shared" si="376"/>
        <v>29</v>
      </c>
      <c r="BR942" s="36">
        <f t="shared" si="377"/>
        <v>31</v>
      </c>
      <c r="BS942" s="240">
        <f t="shared" si="361"/>
        <v>0.17058823529411549</v>
      </c>
      <c r="BT942" s="6"/>
    </row>
    <row r="943" spans="1:72" x14ac:dyDescent="0.25">
      <c r="A943" s="18" t="s">
        <v>6</v>
      </c>
      <c r="B943" s="18">
        <v>2024</v>
      </c>
      <c r="C943" s="18" t="s">
        <v>138</v>
      </c>
      <c r="D943" s="18" t="s">
        <v>662</v>
      </c>
      <c r="E943" s="18">
        <v>20</v>
      </c>
      <c r="F943" s="192">
        <v>20</v>
      </c>
      <c r="G943" s="18" t="s">
        <v>156</v>
      </c>
      <c r="H943" s="245">
        <f t="shared" si="378"/>
        <v>20</v>
      </c>
      <c r="I943" s="245" t="s">
        <v>760</v>
      </c>
      <c r="J943" s="245"/>
      <c r="K943" s="18">
        <f t="shared" si="365"/>
        <v>33.299999999999997</v>
      </c>
      <c r="L943" s="18">
        <v>33.9</v>
      </c>
      <c r="M943" s="4">
        <f t="shared" si="363"/>
        <v>0.60000000000000142</v>
      </c>
      <c r="N943" s="113">
        <f t="shared" si="366"/>
        <v>0.73333333333333162</v>
      </c>
      <c r="O943" s="5">
        <f t="shared" si="356"/>
        <v>0.26666666666666838</v>
      </c>
      <c r="P943" s="18">
        <v>0.44</v>
      </c>
      <c r="Q943" s="185"/>
      <c r="R943" s="6"/>
      <c r="S943" s="6"/>
      <c r="T943" s="6">
        <v>0.44</v>
      </c>
      <c r="U943" s="6">
        <v>0</v>
      </c>
      <c r="V943" s="4">
        <f t="shared" si="359"/>
        <v>0</v>
      </c>
      <c r="W943" s="6"/>
      <c r="X943" s="6"/>
      <c r="Y943" s="6">
        <v>7</v>
      </c>
      <c r="Z943" s="31">
        <f t="shared" si="362"/>
        <v>85.714285714285907</v>
      </c>
      <c r="AA943" s="6"/>
      <c r="AB943" s="6"/>
      <c r="AC943" s="6"/>
      <c r="AD943" s="6"/>
      <c r="AE943" s="6"/>
      <c r="AF943" s="6"/>
      <c r="AG943" s="18" t="s">
        <v>32</v>
      </c>
      <c r="AH943" s="18" t="s">
        <v>32</v>
      </c>
      <c r="AI943" s="18" t="str">
        <f>+VLOOKUP(AH943,Leyenda!$O$4:$U$10,6,FALSE)</f>
        <v>0,15-0,25</v>
      </c>
      <c r="AJ943" s="18" t="str">
        <f>+VLOOKUP(AG943,Leyenda!$O$4:$U$10,7,FALSE)</f>
        <v>No Blasting need</v>
      </c>
      <c r="AK943" s="18">
        <f>+VLOOKUP(AJ943,Leyenda!$U$4:$V$10,2,FALSE)</f>
        <v>2</v>
      </c>
      <c r="AL943" s="18"/>
      <c r="AM943" s="18" t="s">
        <v>32</v>
      </c>
      <c r="AN943" s="18" t="s">
        <v>66</v>
      </c>
      <c r="AO943" s="18" t="s">
        <v>81</v>
      </c>
      <c r="AP943" s="18" t="s">
        <v>100</v>
      </c>
      <c r="AQ943" s="18" t="s">
        <v>109</v>
      </c>
      <c r="AR943" s="18" t="s">
        <v>122</v>
      </c>
      <c r="AS943" s="18" t="s">
        <v>267</v>
      </c>
      <c r="AT943" s="18"/>
      <c r="AU943" s="6"/>
      <c r="AV943" s="36">
        <f>+VLOOKUP(AN943,Leyenda!$B$30:$E$34,3,FALSE)</f>
        <v>1</v>
      </c>
      <c r="AW943" s="36">
        <f>+VLOOKUP('2. Logging Brejo Seco'!AO943,Meteorizacion,3,FALSE)</f>
        <v>0</v>
      </c>
      <c r="AX943" s="36">
        <f>+VLOOKUP('2. Logging Brejo Seco'!AP943,Apertura,3,FALSE)</f>
        <v>0</v>
      </c>
      <c r="AY943" s="36">
        <f>+VLOOKUP('2. Logging Brejo Seco'!AQ943,Leyenda!$B$55:$D$59,3,FALSE)</f>
        <v>1</v>
      </c>
      <c r="AZ943" s="36">
        <f>+VLOOKUP('2. Logging Brejo Seco'!AR943,Relleno,3,FALSE)</f>
        <v>0</v>
      </c>
      <c r="BA943" s="36">
        <f t="shared" si="369"/>
        <v>2</v>
      </c>
      <c r="BB943" s="50">
        <f t="shared" si="370"/>
        <v>0</v>
      </c>
      <c r="BC943" s="49">
        <f>VLOOKUP(AH943,Leyenda!$B$4:$D$10,3,FALSE)</f>
        <v>1</v>
      </c>
      <c r="BD943" s="50">
        <f t="shared" si="371"/>
        <v>7</v>
      </c>
      <c r="BE943" s="50">
        <f t="shared" si="372"/>
        <v>2</v>
      </c>
      <c r="BF943" s="50">
        <f>VLOOKUP(AS943,Leyenda!$B$70:$D$75,3,FALSE)</f>
        <v>15</v>
      </c>
      <c r="BG943" s="110">
        <f t="shared" si="373"/>
        <v>3</v>
      </c>
      <c r="BH943" s="110">
        <f>VLOOKUP(AG943,Leyenda!$B$4:$E$10,4,FALSE)</f>
        <v>1</v>
      </c>
      <c r="BI943" s="67">
        <f t="shared" si="374"/>
        <v>7</v>
      </c>
      <c r="BJ943" s="110">
        <f t="shared" si="375"/>
        <v>0</v>
      </c>
      <c r="BK943" s="110">
        <f>+VLOOKUP('2. Logging Brejo Seco'!AP943,Leyenda!$B$47:$E$51,4,FALSE)</f>
        <v>0</v>
      </c>
      <c r="BL943" s="110">
        <f>+VLOOKUP('2. Logging Brejo Seco'!AQ943,Leyenda!$B$55:$E$59,4,FALSE)</f>
        <v>1</v>
      </c>
      <c r="BM943" s="110">
        <f>+VLOOKUP('2. Logging Brejo Seco'!AR943,Leyenda!$B$63:$E$67,3,FALSE)</f>
        <v>0</v>
      </c>
      <c r="BN943" s="110">
        <f>+VLOOKUP('2. Logging Brejo Seco'!AO943,Leyenda!$B$39:$E$43,4,FALSE)</f>
        <v>0</v>
      </c>
      <c r="BO943" s="110">
        <f>+VLOOKUP('2. Logging Brejo Seco'!AN943,Leyenda!$B$30:$E$34,4,FALSE)</f>
        <v>1</v>
      </c>
      <c r="BP943" s="110">
        <f>VLOOKUP(AS943,Leyenda!$B$71:$E$75,4,FALSE)</f>
        <v>10</v>
      </c>
      <c r="BQ943" s="110">
        <f t="shared" si="376"/>
        <v>20</v>
      </c>
      <c r="BR943" s="36">
        <f t="shared" si="377"/>
        <v>25</v>
      </c>
      <c r="BS943" s="240">
        <f t="shared" si="361"/>
        <v>0.26666666666666838</v>
      </c>
      <c r="BT943" s="6"/>
    </row>
    <row r="944" spans="1:72" x14ac:dyDescent="0.25">
      <c r="A944" s="18" t="s">
        <v>6</v>
      </c>
      <c r="B944" s="18">
        <v>2024</v>
      </c>
      <c r="C944" s="18" t="s">
        <v>138</v>
      </c>
      <c r="D944" s="18" t="s">
        <v>662</v>
      </c>
      <c r="E944" s="18">
        <v>20</v>
      </c>
      <c r="F944" s="192">
        <v>20</v>
      </c>
      <c r="G944" s="18" t="s">
        <v>156</v>
      </c>
      <c r="H944" s="18">
        <v>10</v>
      </c>
      <c r="I944" s="18" t="s">
        <v>761</v>
      </c>
      <c r="J944" s="18"/>
      <c r="K944" s="18">
        <f t="shared" si="365"/>
        <v>33.9</v>
      </c>
      <c r="L944" s="18">
        <v>35.1</v>
      </c>
      <c r="M944" s="4">
        <f t="shared" si="363"/>
        <v>1.2000000000000028</v>
      </c>
      <c r="N944" s="113">
        <f t="shared" si="366"/>
        <v>0.63333333333333186</v>
      </c>
      <c r="O944" s="5">
        <f t="shared" si="356"/>
        <v>0.36666666666666814</v>
      </c>
      <c r="P944" s="18">
        <v>0.76</v>
      </c>
      <c r="Q944" s="185"/>
      <c r="R944" s="6"/>
      <c r="S944" s="6"/>
      <c r="T944" s="6">
        <v>0.76</v>
      </c>
      <c r="U944" s="6">
        <v>0.62</v>
      </c>
      <c r="V944" s="4">
        <f t="shared" si="359"/>
        <v>51.666666666666536</v>
      </c>
      <c r="W944" s="6"/>
      <c r="X944" s="6"/>
      <c r="Y944" s="6">
        <f>5+4</f>
        <v>9</v>
      </c>
      <c r="Z944" s="31">
        <f t="shared" si="362"/>
        <v>133.33333333333363</v>
      </c>
      <c r="AA944" s="6"/>
      <c r="AB944" s="6"/>
      <c r="AC944" s="6"/>
      <c r="AD944" s="6"/>
      <c r="AE944" s="6"/>
      <c r="AF944" s="6"/>
      <c r="AG944" s="18" t="s">
        <v>24</v>
      </c>
      <c r="AH944" s="18" t="s">
        <v>24</v>
      </c>
      <c r="AI944" s="18" t="str">
        <f>+VLOOKUP(AH944,Leyenda!$O$4:$U$10,6,FALSE)</f>
        <v>0,50-0,80</v>
      </c>
      <c r="AJ944" s="18" t="str">
        <f>+VLOOKUP(AG944,Leyenda!$O$4:$U$10,7,FALSE)</f>
        <v>Fairly easy to blast</v>
      </c>
      <c r="AK944" s="18">
        <f>+VLOOKUP(AJ944,Leyenda!$U$4:$V$10,2,FALSE)</f>
        <v>4</v>
      </c>
      <c r="AL944" s="18"/>
      <c r="AM944" s="18" t="s">
        <v>24</v>
      </c>
      <c r="AN944" s="18" t="s">
        <v>64</v>
      </c>
      <c r="AO944" s="18" t="s">
        <v>79</v>
      </c>
      <c r="AP944" s="18" t="s">
        <v>100</v>
      </c>
      <c r="AQ944" s="18" t="s">
        <v>105</v>
      </c>
      <c r="AR944" s="18" t="s">
        <v>118</v>
      </c>
      <c r="AS944" s="18" t="s">
        <v>267</v>
      </c>
      <c r="AT944" s="18"/>
      <c r="AU944" s="6"/>
      <c r="AV944" s="36">
        <f>+VLOOKUP(AN944,Leyenda!$B$30:$E$34,3,FALSE)</f>
        <v>2</v>
      </c>
      <c r="AW944" s="36">
        <f>+VLOOKUP('2. Logging Brejo Seco'!AO944,Meteorizacion,3,FALSE)</f>
        <v>1</v>
      </c>
      <c r="AX944" s="36">
        <f>+VLOOKUP('2. Logging Brejo Seco'!AP944,Apertura,3,FALSE)</f>
        <v>0</v>
      </c>
      <c r="AY944" s="36">
        <f>+VLOOKUP('2. Logging Brejo Seco'!AQ944,Leyenda!$B$55:$D$59,3,FALSE)</f>
        <v>4</v>
      </c>
      <c r="AZ944" s="36">
        <f>+VLOOKUP('2. Logging Brejo Seco'!AR944,Relleno,3,FALSE)</f>
        <v>2</v>
      </c>
      <c r="BA944" s="36">
        <f t="shared" si="369"/>
        <v>9</v>
      </c>
      <c r="BB944" s="50">
        <f t="shared" si="370"/>
        <v>11</v>
      </c>
      <c r="BC944" s="49">
        <f>VLOOKUP(AH944,Leyenda!$B$4:$D$10,3,FALSE)</f>
        <v>7</v>
      </c>
      <c r="BD944" s="50">
        <f t="shared" si="371"/>
        <v>8</v>
      </c>
      <c r="BE944" s="50">
        <f t="shared" si="372"/>
        <v>9</v>
      </c>
      <c r="BF944" s="50">
        <f>VLOOKUP(AS944,Leyenda!$B$70:$D$75,3,FALSE)</f>
        <v>15</v>
      </c>
      <c r="BG944" s="110">
        <f t="shared" si="373"/>
        <v>39.333333333333272</v>
      </c>
      <c r="BH944" s="110">
        <f>VLOOKUP(AG944,Leyenda!$B$4:$E$10,4,FALSE)</f>
        <v>7</v>
      </c>
      <c r="BI944" s="67">
        <f t="shared" si="374"/>
        <v>10</v>
      </c>
      <c r="BJ944" s="110">
        <f t="shared" si="375"/>
        <v>11</v>
      </c>
      <c r="BK944" s="110">
        <f>+VLOOKUP('2. Logging Brejo Seco'!AP944,Leyenda!$B$47:$E$51,4,FALSE)</f>
        <v>0</v>
      </c>
      <c r="BL944" s="110">
        <f>+VLOOKUP('2. Logging Brejo Seco'!AQ944,Leyenda!$B$55:$E$59,4,FALSE)</f>
        <v>4</v>
      </c>
      <c r="BM944" s="110">
        <f>+VLOOKUP('2. Logging Brejo Seco'!AR944,Leyenda!$B$63:$E$67,3,FALSE)</f>
        <v>2</v>
      </c>
      <c r="BN944" s="110">
        <f>+VLOOKUP('2. Logging Brejo Seco'!AO944,Leyenda!$B$39:$E$43,4,FALSE)</f>
        <v>1</v>
      </c>
      <c r="BO944" s="110">
        <f>+VLOOKUP('2. Logging Brejo Seco'!AN944,Leyenda!$B$30:$E$34,4,FALSE)</f>
        <v>3</v>
      </c>
      <c r="BP944" s="110">
        <f>VLOOKUP(AS944,Leyenda!$B$71:$E$75,4,FALSE)</f>
        <v>10</v>
      </c>
      <c r="BQ944" s="110">
        <f t="shared" si="376"/>
        <v>48</v>
      </c>
      <c r="BR944" s="36">
        <f t="shared" si="377"/>
        <v>50</v>
      </c>
      <c r="BS944" s="240">
        <f t="shared" si="361"/>
        <v>0.36666666666666814</v>
      </c>
      <c r="BT944" s="6"/>
    </row>
    <row r="945" spans="1:72" x14ac:dyDescent="0.25">
      <c r="A945" s="18" t="s">
        <v>6</v>
      </c>
      <c r="B945" s="18">
        <v>2024</v>
      </c>
      <c r="C945" s="18" t="s">
        <v>138</v>
      </c>
      <c r="D945" s="18" t="s">
        <v>662</v>
      </c>
      <c r="E945" s="18">
        <v>20</v>
      </c>
      <c r="F945" s="192">
        <v>20</v>
      </c>
      <c r="G945" s="18" t="s">
        <v>156</v>
      </c>
      <c r="H945" s="18">
        <v>10</v>
      </c>
      <c r="I945" s="18" t="s">
        <v>761</v>
      </c>
      <c r="J945" s="18"/>
      <c r="K945" s="18">
        <f t="shared" si="365"/>
        <v>35.1</v>
      </c>
      <c r="L945" s="18">
        <v>36.4</v>
      </c>
      <c r="M945" s="4">
        <f t="shared" si="363"/>
        <v>1.2999999999999972</v>
      </c>
      <c r="N945" s="113">
        <f t="shared" si="366"/>
        <v>0.70000000000000151</v>
      </c>
      <c r="O945" s="5">
        <f t="shared" si="356"/>
        <v>0.29999999999999849</v>
      </c>
      <c r="P945" s="18">
        <f>0.33+0.58</f>
        <v>0.90999999999999992</v>
      </c>
      <c r="Q945" s="185"/>
      <c r="R945" s="6"/>
      <c r="S945" s="6"/>
      <c r="T945" s="6">
        <v>0.91</v>
      </c>
      <c r="U945" s="6">
        <f>0.15+0.37</f>
        <v>0.52</v>
      </c>
      <c r="V945" s="4">
        <f t="shared" si="359"/>
        <v>40.000000000000092</v>
      </c>
      <c r="W945" s="6"/>
      <c r="X945" s="6"/>
      <c r="Y945" s="6">
        <v>7</v>
      </c>
      <c r="Z945" s="31">
        <f t="shared" si="362"/>
        <v>185.71428571428532</v>
      </c>
      <c r="AA945" s="6"/>
      <c r="AB945" s="6"/>
      <c r="AC945" s="6"/>
      <c r="AD945" s="6"/>
      <c r="AE945" s="6"/>
      <c r="AF945" s="6"/>
      <c r="AG945" s="18" t="s">
        <v>24</v>
      </c>
      <c r="AH945" s="18" t="s">
        <v>24</v>
      </c>
      <c r="AI945" s="18" t="str">
        <f>+VLOOKUP(AH945,Leyenda!$O$4:$U$10,6,FALSE)</f>
        <v>0,50-0,80</v>
      </c>
      <c r="AJ945" s="18" t="str">
        <f>+VLOOKUP(AG945,Leyenda!$O$4:$U$10,7,FALSE)</f>
        <v>Fairly easy to blast</v>
      </c>
      <c r="AK945" s="18">
        <f>+VLOOKUP(AJ945,Leyenda!$U$4:$V$10,2,FALSE)</f>
        <v>4</v>
      </c>
      <c r="AL945" s="18"/>
      <c r="AM945" s="18" t="s">
        <v>24</v>
      </c>
      <c r="AN945" s="18" t="s">
        <v>64</v>
      </c>
      <c r="AO945" s="18" t="s">
        <v>79</v>
      </c>
      <c r="AP945" s="18" t="s">
        <v>100</v>
      </c>
      <c r="AQ945" s="18" t="s">
        <v>105</v>
      </c>
      <c r="AR945" s="18" t="s">
        <v>118</v>
      </c>
      <c r="AS945" s="18" t="s">
        <v>267</v>
      </c>
      <c r="AT945" s="18"/>
      <c r="AU945" s="6"/>
      <c r="AV945" s="36">
        <f>+VLOOKUP(AN945,Leyenda!$B$30:$E$34,3,FALSE)</f>
        <v>2</v>
      </c>
      <c r="AW945" s="36">
        <f>+VLOOKUP('2. Logging Brejo Seco'!AO945,Meteorizacion,3,FALSE)</f>
        <v>1</v>
      </c>
      <c r="AX945" s="36">
        <f>+VLOOKUP('2. Logging Brejo Seco'!AP945,Apertura,3,FALSE)</f>
        <v>0</v>
      </c>
      <c r="AY945" s="36">
        <f>+VLOOKUP('2. Logging Brejo Seco'!AQ945,Leyenda!$B$55:$D$59,3,FALSE)</f>
        <v>4</v>
      </c>
      <c r="AZ945" s="36">
        <f>+VLOOKUP('2. Logging Brejo Seco'!AR945,Relleno,3,FALSE)</f>
        <v>2</v>
      </c>
      <c r="BA945" s="36">
        <f t="shared" si="369"/>
        <v>9</v>
      </c>
      <c r="BB945" s="50">
        <f t="shared" si="370"/>
        <v>8</v>
      </c>
      <c r="BC945" s="49">
        <f>VLOOKUP(AH945,Leyenda!$B$4:$D$10,3,FALSE)</f>
        <v>7</v>
      </c>
      <c r="BD945" s="50">
        <f t="shared" si="371"/>
        <v>9</v>
      </c>
      <c r="BE945" s="50">
        <f t="shared" si="372"/>
        <v>9</v>
      </c>
      <c r="BF945" s="50">
        <f>VLOOKUP(AS945,Leyenda!$B$70:$D$75,3,FALSE)</f>
        <v>15</v>
      </c>
      <c r="BG945" s="110">
        <f t="shared" si="373"/>
        <v>33.500000000000043</v>
      </c>
      <c r="BH945" s="110">
        <f>VLOOKUP(AG945,Leyenda!$B$4:$E$10,4,FALSE)</f>
        <v>7</v>
      </c>
      <c r="BI945" s="67">
        <f t="shared" si="374"/>
        <v>12</v>
      </c>
      <c r="BJ945" s="110">
        <f t="shared" si="375"/>
        <v>8</v>
      </c>
      <c r="BK945" s="110">
        <f>+VLOOKUP('2. Logging Brejo Seco'!AP945,Leyenda!$B$47:$E$51,4,FALSE)</f>
        <v>0</v>
      </c>
      <c r="BL945" s="110">
        <f>+VLOOKUP('2. Logging Brejo Seco'!AQ945,Leyenda!$B$55:$E$59,4,FALSE)</f>
        <v>4</v>
      </c>
      <c r="BM945" s="110">
        <f>+VLOOKUP('2. Logging Brejo Seco'!AR945,Leyenda!$B$63:$E$67,3,FALSE)</f>
        <v>2</v>
      </c>
      <c r="BN945" s="110">
        <f>+VLOOKUP('2. Logging Brejo Seco'!AO945,Leyenda!$B$39:$E$43,4,FALSE)</f>
        <v>1</v>
      </c>
      <c r="BO945" s="110">
        <f>+VLOOKUP('2. Logging Brejo Seco'!AN945,Leyenda!$B$30:$E$34,4,FALSE)</f>
        <v>3</v>
      </c>
      <c r="BP945" s="110">
        <f>VLOOKUP(AS945,Leyenda!$B$71:$E$75,4,FALSE)</f>
        <v>10</v>
      </c>
      <c r="BQ945" s="110">
        <f t="shared" si="376"/>
        <v>47</v>
      </c>
      <c r="BR945" s="36">
        <f t="shared" si="377"/>
        <v>48</v>
      </c>
      <c r="BS945" s="240">
        <f t="shared" si="361"/>
        <v>0.29999999999999849</v>
      </c>
      <c r="BT945" s="6"/>
    </row>
    <row r="946" spans="1:72" x14ac:dyDescent="0.25">
      <c r="A946" s="18" t="s">
        <v>6</v>
      </c>
      <c r="B946" s="18">
        <v>2024</v>
      </c>
      <c r="C946" s="18" t="s">
        <v>138</v>
      </c>
      <c r="D946" s="18" t="s">
        <v>662</v>
      </c>
      <c r="E946" s="18">
        <v>20</v>
      </c>
      <c r="F946" s="192">
        <v>20</v>
      </c>
      <c r="G946" s="18" t="s">
        <v>156</v>
      </c>
      <c r="H946" s="18">
        <v>10</v>
      </c>
      <c r="I946" s="18" t="s">
        <v>761</v>
      </c>
      <c r="J946" s="18"/>
      <c r="K946" s="18">
        <f t="shared" si="365"/>
        <v>36.4</v>
      </c>
      <c r="L946" s="18">
        <v>38.4</v>
      </c>
      <c r="M946" s="4">
        <f t="shared" si="363"/>
        <v>2</v>
      </c>
      <c r="N946" s="113">
        <f t="shared" si="366"/>
        <v>0.89500000000000002</v>
      </c>
      <c r="O946" s="5">
        <f t="shared" ref="O946:O1009" si="379">1-N946</f>
        <v>0.10499999999999998</v>
      </c>
      <c r="P946" s="18">
        <v>1.79</v>
      </c>
      <c r="Q946" s="185"/>
      <c r="R946" s="6"/>
      <c r="S946" s="6"/>
      <c r="T946" s="6">
        <v>1.79</v>
      </c>
      <c r="U946" s="6">
        <v>1.0900000000000001</v>
      </c>
      <c r="V946" s="4">
        <f t="shared" si="359"/>
        <v>54.500000000000007</v>
      </c>
      <c r="W946" s="6"/>
      <c r="X946" s="6"/>
      <c r="Y946" s="6">
        <v>9</v>
      </c>
      <c r="Z946" s="31">
        <f t="shared" si="362"/>
        <v>222.22222222222223</v>
      </c>
      <c r="AA946" s="6"/>
      <c r="AB946" s="6"/>
      <c r="AC946" s="6"/>
      <c r="AD946" s="6"/>
      <c r="AE946" s="6"/>
      <c r="AF946" s="6"/>
      <c r="AG946" s="18" t="s">
        <v>24</v>
      </c>
      <c r="AH946" s="18" t="s">
        <v>24</v>
      </c>
      <c r="AI946" s="18" t="str">
        <f>+VLOOKUP(AH946,Leyenda!$O$4:$U$10,6,FALSE)</f>
        <v>0,50-0,80</v>
      </c>
      <c r="AJ946" s="18" t="str">
        <f>+VLOOKUP(AG946,Leyenda!$O$4:$U$10,7,FALSE)</f>
        <v>Fairly easy to blast</v>
      </c>
      <c r="AK946" s="18">
        <f>+VLOOKUP(AJ946,Leyenda!$U$4:$V$10,2,FALSE)</f>
        <v>4</v>
      </c>
      <c r="AL946" s="18"/>
      <c r="AM946" s="18" t="s">
        <v>24</v>
      </c>
      <c r="AN946" s="18" t="s">
        <v>64</v>
      </c>
      <c r="AO946" s="18" t="s">
        <v>79</v>
      </c>
      <c r="AP946" s="18" t="s">
        <v>100</v>
      </c>
      <c r="AQ946" s="18" t="s">
        <v>105</v>
      </c>
      <c r="AR946" s="18" t="s">
        <v>118</v>
      </c>
      <c r="AS946" s="18" t="s">
        <v>267</v>
      </c>
      <c r="AT946" s="18"/>
      <c r="AU946" s="6"/>
      <c r="AV946" s="36">
        <f>+VLOOKUP(AN946,Leyenda!$B$30:$E$34,3,FALSE)</f>
        <v>2</v>
      </c>
      <c r="AW946" s="36">
        <f>+VLOOKUP('2. Logging Brejo Seco'!AO946,Meteorizacion,3,FALSE)</f>
        <v>1</v>
      </c>
      <c r="AX946" s="36">
        <f>+VLOOKUP('2. Logging Brejo Seco'!AP946,Apertura,3,FALSE)</f>
        <v>0</v>
      </c>
      <c r="AY946" s="36">
        <f>+VLOOKUP('2. Logging Brejo Seco'!AQ946,Leyenda!$B$55:$D$59,3,FALSE)</f>
        <v>4</v>
      </c>
      <c r="AZ946" s="36">
        <f>+VLOOKUP('2. Logging Brejo Seco'!AR946,Relleno,3,FALSE)</f>
        <v>2</v>
      </c>
      <c r="BA946" s="36">
        <f t="shared" si="369"/>
        <v>9</v>
      </c>
      <c r="BB946" s="50">
        <f t="shared" si="370"/>
        <v>11</v>
      </c>
      <c r="BC946" s="49">
        <f>VLOOKUP(AH946,Leyenda!$B$4:$D$10,3,FALSE)</f>
        <v>7</v>
      </c>
      <c r="BD946" s="50">
        <f t="shared" si="371"/>
        <v>9</v>
      </c>
      <c r="BE946" s="50">
        <f t="shared" si="372"/>
        <v>9</v>
      </c>
      <c r="BF946" s="50">
        <f>VLOOKUP(AS946,Leyenda!$B$70:$D$75,3,FALSE)</f>
        <v>15</v>
      </c>
      <c r="BG946" s="110">
        <f t="shared" si="373"/>
        <v>40.75</v>
      </c>
      <c r="BH946" s="110">
        <f>VLOOKUP(AG946,Leyenda!$B$4:$E$10,4,FALSE)</f>
        <v>7</v>
      </c>
      <c r="BI946" s="67">
        <f t="shared" si="374"/>
        <v>13</v>
      </c>
      <c r="BJ946" s="110">
        <f t="shared" si="375"/>
        <v>11</v>
      </c>
      <c r="BK946" s="110">
        <f>+VLOOKUP('2. Logging Brejo Seco'!AP946,Leyenda!$B$47:$E$51,4,FALSE)</f>
        <v>0</v>
      </c>
      <c r="BL946" s="110">
        <f>+VLOOKUP('2. Logging Brejo Seco'!AQ946,Leyenda!$B$55:$E$59,4,FALSE)</f>
        <v>4</v>
      </c>
      <c r="BM946" s="110">
        <f>+VLOOKUP('2. Logging Brejo Seco'!AR946,Leyenda!$B$63:$E$67,3,FALSE)</f>
        <v>2</v>
      </c>
      <c r="BN946" s="110">
        <f>+VLOOKUP('2. Logging Brejo Seco'!AO946,Leyenda!$B$39:$E$43,4,FALSE)</f>
        <v>1</v>
      </c>
      <c r="BO946" s="110">
        <f>+VLOOKUP('2. Logging Brejo Seco'!AN946,Leyenda!$B$30:$E$34,4,FALSE)</f>
        <v>3</v>
      </c>
      <c r="BP946" s="110">
        <f>VLOOKUP(AS946,Leyenda!$B$71:$E$75,4,FALSE)</f>
        <v>10</v>
      </c>
      <c r="BQ946" s="110">
        <f t="shared" si="376"/>
        <v>51</v>
      </c>
      <c r="BR946" s="36">
        <f t="shared" si="377"/>
        <v>51</v>
      </c>
      <c r="BS946" s="240">
        <f t="shared" si="361"/>
        <v>0.10499999999999998</v>
      </c>
      <c r="BT946" s="6"/>
    </row>
    <row r="947" spans="1:72" x14ac:dyDescent="0.25">
      <c r="A947" s="18" t="s">
        <v>6</v>
      </c>
      <c r="B947" s="18">
        <v>2024</v>
      </c>
      <c r="C947" s="18" t="s">
        <v>138</v>
      </c>
      <c r="D947" s="18" t="s">
        <v>662</v>
      </c>
      <c r="E947" s="18">
        <v>10</v>
      </c>
      <c r="F947" s="192">
        <v>10</v>
      </c>
      <c r="G947" s="18" t="s">
        <v>135</v>
      </c>
      <c r="H947" s="18">
        <v>10</v>
      </c>
      <c r="I947" s="18" t="s">
        <v>761</v>
      </c>
      <c r="J947" s="18"/>
      <c r="K947" s="18">
        <f t="shared" si="365"/>
        <v>38.4</v>
      </c>
      <c r="L947" s="18">
        <v>40.049999999999997</v>
      </c>
      <c r="M947" s="4">
        <f t="shared" si="363"/>
        <v>1.6499999999999986</v>
      </c>
      <c r="N947" s="113">
        <f t="shared" si="366"/>
        <v>0.81818181818181879</v>
      </c>
      <c r="O947" s="5">
        <f t="shared" si="379"/>
        <v>0.18181818181818121</v>
      </c>
      <c r="P947" s="18">
        <f>0.19+1.16</f>
        <v>1.3499999999999999</v>
      </c>
      <c r="Q947" s="185"/>
      <c r="R947" s="6"/>
      <c r="S947" s="6"/>
      <c r="T947" s="6">
        <v>1.35</v>
      </c>
      <c r="U947" s="6">
        <f>0.19+0.66</f>
        <v>0.85000000000000009</v>
      </c>
      <c r="V947" s="18">
        <f t="shared" si="359"/>
        <v>51.515151515151572</v>
      </c>
      <c r="W947" s="6"/>
      <c r="X947" s="6"/>
      <c r="Y947" s="6">
        <v>8</v>
      </c>
      <c r="Z947" s="31">
        <f t="shared" si="362"/>
        <v>206.24999999999983</v>
      </c>
      <c r="AA947" s="6"/>
      <c r="AB947" s="6"/>
      <c r="AC947" s="6"/>
      <c r="AD947" s="6"/>
      <c r="AE947" s="6"/>
      <c r="AF947" s="6"/>
      <c r="AG947" s="18" t="s">
        <v>24</v>
      </c>
      <c r="AH947" s="18" t="s">
        <v>24</v>
      </c>
      <c r="AI947" s="18" t="str">
        <f>+VLOOKUP(AH947,Leyenda!$O$4:$U$10,6,FALSE)</f>
        <v>0,50-0,80</v>
      </c>
      <c r="AJ947" s="18" t="str">
        <f>+VLOOKUP(AG947,Leyenda!$O$4:$U$10,7,FALSE)</f>
        <v>Fairly easy to blast</v>
      </c>
      <c r="AK947" s="18">
        <f>+VLOOKUP(AJ947,Leyenda!$U$4:$V$10,2,FALSE)</f>
        <v>4</v>
      </c>
      <c r="AL947" s="18"/>
      <c r="AM947" s="18" t="s">
        <v>24</v>
      </c>
      <c r="AN947" s="18" t="s">
        <v>64</v>
      </c>
      <c r="AO947" s="18" t="s">
        <v>79</v>
      </c>
      <c r="AP947" s="18" t="s">
        <v>100</v>
      </c>
      <c r="AQ947" s="18" t="s">
        <v>105</v>
      </c>
      <c r="AR947" s="18" t="s">
        <v>118</v>
      </c>
      <c r="AS947" s="18" t="s">
        <v>267</v>
      </c>
      <c r="AT947" s="18"/>
      <c r="AU947" s="6"/>
      <c r="AV947" s="36">
        <f>+VLOOKUP(AN947,Leyenda!$B$30:$E$34,3,FALSE)</f>
        <v>2</v>
      </c>
      <c r="AW947" s="36">
        <f>+VLOOKUP('2. Logging Brejo Seco'!AO947,Meteorizacion,3,FALSE)</f>
        <v>1</v>
      </c>
      <c r="AX947" s="36">
        <f>+VLOOKUP('2. Logging Brejo Seco'!AP947,Apertura,3,FALSE)</f>
        <v>0</v>
      </c>
      <c r="AY947" s="36">
        <f>+VLOOKUP('2. Logging Brejo Seco'!AQ947,Leyenda!$B$55:$D$59,3,FALSE)</f>
        <v>4</v>
      </c>
      <c r="AZ947" s="36">
        <f>+VLOOKUP('2. Logging Brejo Seco'!AR947,Relleno,3,FALSE)</f>
        <v>2</v>
      </c>
      <c r="BA947" s="36">
        <f t="shared" si="369"/>
        <v>9</v>
      </c>
      <c r="BB947" s="50">
        <f t="shared" si="370"/>
        <v>11</v>
      </c>
      <c r="BC947" s="49">
        <f>VLOOKUP(AH947,Leyenda!$B$4:$D$10,3,FALSE)</f>
        <v>7</v>
      </c>
      <c r="BD947" s="50">
        <f t="shared" si="371"/>
        <v>9</v>
      </c>
      <c r="BE947" s="50">
        <f t="shared" si="372"/>
        <v>9</v>
      </c>
      <c r="BF947" s="50">
        <f>VLOOKUP(AS947,Leyenda!$B$70:$D$75,3,FALSE)</f>
        <v>15</v>
      </c>
      <c r="BG947" s="110">
        <f t="shared" si="373"/>
        <v>39.257575757575786</v>
      </c>
      <c r="BH947" s="110">
        <f>VLOOKUP(AG947,Leyenda!$B$4:$E$10,4,FALSE)</f>
        <v>7</v>
      </c>
      <c r="BI947" s="67">
        <f t="shared" si="374"/>
        <v>13</v>
      </c>
      <c r="BJ947" s="110">
        <f t="shared" si="375"/>
        <v>11</v>
      </c>
      <c r="BK947" s="110">
        <f>+VLOOKUP('2. Logging Brejo Seco'!AP947,Leyenda!$B$47:$E$51,4,FALSE)</f>
        <v>0</v>
      </c>
      <c r="BL947" s="110">
        <f>+VLOOKUP('2. Logging Brejo Seco'!AQ947,Leyenda!$B$55:$E$59,4,FALSE)</f>
        <v>4</v>
      </c>
      <c r="BM947" s="110">
        <f>+VLOOKUP('2. Logging Brejo Seco'!AR947,Leyenda!$B$63:$E$67,3,FALSE)</f>
        <v>2</v>
      </c>
      <c r="BN947" s="110">
        <f>+VLOOKUP('2. Logging Brejo Seco'!AO947,Leyenda!$B$39:$E$43,4,FALSE)</f>
        <v>1</v>
      </c>
      <c r="BO947" s="110">
        <f>+VLOOKUP('2. Logging Brejo Seco'!AN947,Leyenda!$B$30:$E$34,4,FALSE)</f>
        <v>3</v>
      </c>
      <c r="BP947" s="110">
        <f>VLOOKUP(AS947,Leyenda!$B$71:$E$75,4,FALSE)</f>
        <v>10</v>
      </c>
      <c r="BQ947" s="110">
        <f t="shared" si="376"/>
        <v>51</v>
      </c>
      <c r="BR947" s="36">
        <f t="shared" si="377"/>
        <v>51</v>
      </c>
      <c r="BS947" s="240">
        <f t="shared" si="361"/>
        <v>0.18181818181818121</v>
      </c>
      <c r="BT947" s="6"/>
    </row>
    <row r="948" spans="1:72" x14ac:dyDescent="0.25">
      <c r="A948" s="18" t="s">
        <v>6</v>
      </c>
      <c r="B948" s="18">
        <v>2024</v>
      </c>
      <c r="C948" s="18" t="s">
        <v>138</v>
      </c>
      <c r="D948" s="18" t="s">
        <v>663</v>
      </c>
      <c r="E948" s="3">
        <v>60</v>
      </c>
      <c r="F948" s="191">
        <v>60</v>
      </c>
      <c r="G948" s="3" t="s">
        <v>136</v>
      </c>
      <c r="H948" s="244">
        <f>+F948</f>
        <v>60</v>
      </c>
      <c r="I948" s="244" t="s">
        <v>762</v>
      </c>
      <c r="J948" s="244"/>
      <c r="K948" s="3">
        <v>0</v>
      </c>
      <c r="L948" s="18">
        <v>1.1000000000000001</v>
      </c>
      <c r="M948" s="4">
        <f t="shared" si="363"/>
        <v>1.1000000000000001</v>
      </c>
      <c r="N948" s="113">
        <f t="shared" si="366"/>
        <v>0.74545454545454537</v>
      </c>
      <c r="O948" s="5">
        <f t="shared" si="379"/>
        <v>0.25454545454545463</v>
      </c>
      <c r="P948" s="3">
        <v>0.82</v>
      </c>
      <c r="Q948" s="6"/>
      <c r="R948" s="6"/>
      <c r="S948" s="6"/>
      <c r="T948" s="6">
        <v>0.82</v>
      </c>
      <c r="U948" s="6">
        <v>1.03</v>
      </c>
      <c r="V948" s="18">
        <f t="shared" si="359"/>
        <v>93.636363636363626</v>
      </c>
      <c r="W948" s="6"/>
      <c r="X948" s="6"/>
      <c r="Y948" s="6">
        <v>4</v>
      </c>
      <c r="Z948" s="31">
        <f t="shared" si="362"/>
        <v>275</v>
      </c>
      <c r="AA948" s="6"/>
      <c r="AB948" s="6"/>
      <c r="AC948" s="6"/>
      <c r="AD948" s="6"/>
      <c r="AE948" s="6"/>
      <c r="AF948" s="6"/>
      <c r="AG948" s="18" t="s">
        <v>27</v>
      </c>
      <c r="AH948" s="18" t="s">
        <v>27</v>
      </c>
      <c r="AI948" s="18" t="str">
        <f>+VLOOKUP(AH948,Leyenda!$O$4:$U$10,6,FALSE)</f>
        <v>0,35-0,50</v>
      </c>
      <c r="AJ948" s="18" t="str">
        <f>+VLOOKUP(AG948,Leyenda!$O$4:$U$10,7,FALSE)</f>
        <v>Easy to blast</v>
      </c>
      <c r="AK948" s="18">
        <f>+VLOOKUP(AJ948,Leyenda!$U$4:$V$10,2,FALSE)</f>
        <v>3</v>
      </c>
      <c r="AL948" s="18"/>
      <c r="AM948" s="18" t="s">
        <v>27</v>
      </c>
      <c r="AN948" s="18" t="s">
        <v>64</v>
      </c>
      <c r="AO948" s="18" t="s">
        <v>79</v>
      </c>
      <c r="AP948" s="18" t="s">
        <v>96</v>
      </c>
      <c r="AQ948" s="18" t="s">
        <v>107</v>
      </c>
      <c r="AR948" s="18" t="s">
        <v>122</v>
      </c>
      <c r="AS948" s="18" t="s">
        <v>267</v>
      </c>
      <c r="AT948" s="18"/>
      <c r="AU948" s="6"/>
      <c r="AV948" s="36">
        <f>+VLOOKUP(AN948,Leyenda!$B$30:$E$34,3,FALSE)</f>
        <v>2</v>
      </c>
      <c r="AW948" s="36">
        <f>+VLOOKUP('2. Logging Brejo Seco'!AO948,Meteorizacion,3,FALSE)</f>
        <v>1</v>
      </c>
      <c r="AX948" s="36">
        <f>+VLOOKUP('2. Logging Brejo Seco'!AP948,Apertura,3,FALSE)</f>
        <v>1</v>
      </c>
      <c r="AY948" s="36">
        <f>+VLOOKUP('2. Logging Brejo Seco'!AQ948,Leyenda!$B$55:$D$59,3,FALSE)</f>
        <v>3</v>
      </c>
      <c r="AZ948" s="36">
        <f>+VLOOKUP('2. Logging Brejo Seco'!AR948,Relleno,3,FALSE)</f>
        <v>0</v>
      </c>
      <c r="BA948" s="36">
        <f t="shared" si="369"/>
        <v>7</v>
      </c>
      <c r="BB948" s="50">
        <f t="shared" si="370"/>
        <v>19</v>
      </c>
      <c r="BC948" s="49">
        <f>VLOOKUP(AH948,Leyenda!$B$4:$D$10,3,FALSE)</f>
        <v>4</v>
      </c>
      <c r="BD948" s="50">
        <f t="shared" si="371"/>
        <v>10</v>
      </c>
      <c r="BE948" s="50">
        <f t="shared" si="372"/>
        <v>7</v>
      </c>
      <c r="BF948" s="50">
        <f>VLOOKUP(AS948,Leyenda!$B$70:$D$75,3,FALSE)</f>
        <v>15</v>
      </c>
      <c r="BG948" s="110">
        <f t="shared" si="373"/>
        <v>57.318181818181813</v>
      </c>
      <c r="BH948" s="110">
        <f>VLOOKUP(AG948,Leyenda!$B$4:$E$10,4,FALSE)</f>
        <v>4</v>
      </c>
      <c r="BI948" s="67">
        <f t="shared" si="374"/>
        <v>14</v>
      </c>
      <c r="BJ948" s="110">
        <f t="shared" si="375"/>
        <v>19</v>
      </c>
      <c r="BK948" s="110">
        <f>+VLOOKUP('2. Logging Brejo Seco'!AP948,Leyenda!$B$47:$E$51,4,FALSE)</f>
        <v>1</v>
      </c>
      <c r="BL948" s="110">
        <f>+VLOOKUP('2. Logging Brejo Seco'!AQ948,Leyenda!$B$55:$E$59,4,FALSE)</f>
        <v>3</v>
      </c>
      <c r="BM948" s="110">
        <f>+VLOOKUP('2. Logging Brejo Seco'!AR948,Leyenda!$B$63:$E$67,3,FALSE)</f>
        <v>0</v>
      </c>
      <c r="BN948" s="110">
        <f>+VLOOKUP('2. Logging Brejo Seco'!AO948,Leyenda!$B$39:$E$43,4,FALSE)</f>
        <v>1</v>
      </c>
      <c r="BO948" s="110">
        <f>+VLOOKUP('2. Logging Brejo Seco'!AN948,Leyenda!$B$30:$E$34,4,FALSE)</f>
        <v>3</v>
      </c>
      <c r="BP948" s="110">
        <f>VLOOKUP(AS948,Leyenda!$B$71:$E$75,4,FALSE)</f>
        <v>10</v>
      </c>
      <c r="BQ948" s="110">
        <f t="shared" si="376"/>
        <v>55</v>
      </c>
      <c r="BR948" s="36">
        <f t="shared" si="377"/>
        <v>55</v>
      </c>
      <c r="BS948" s="240">
        <f t="shared" si="361"/>
        <v>0.25454545454545463</v>
      </c>
      <c r="BT948" s="6"/>
    </row>
    <row r="949" spans="1:72" x14ac:dyDescent="0.25">
      <c r="A949" s="18" t="s">
        <v>6</v>
      </c>
      <c r="B949" s="18">
        <v>2024</v>
      </c>
      <c r="C949" s="18" t="s">
        <v>138</v>
      </c>
      <c r="D949" s="18" t="s">
        <v>663</v>
      </c>
      <c r="E949" s="3">
        <v>60</v>
      </c>
      <c r="F949" s="191">
        <v>60</v>
      </c>
      <c r="G949" s="3" t="s">
        <v>136</v>
      </c>
      <c r="H949" s="244">
        <f t="shared" ref="H949:H951" si="380">+F949</f>
        <v>60</v>
      </c>
      <c r="I949" s="244" t="s">
        <v>762</v>
      </c>
      <c r="J949" s="244"/>
      <c r="K949" s="18">
        <f>+L948</f>
        <v>1.1000000000000001</v>
      </c>
      <c r="L949" s="18">
        <v>2.1</v>
      </c>
      <c r="M949" s="4">
        <f t="shared" si="363"/>
        <v>1</v>
      </c>
      <c r="N949" s="113">
        <f t="shared" si="366"/>
        <v>0.61</v>
      </c>
      <c r="O949" s="5">
        <f t="shared" si="379"/>
        <v>0.39</v>
      </c>
      <c r="P949" s="3">
        <v>0.61</v>
      </c>
      <c r="Q949" s="6"/>
      <c r="R949" s="6"/>
      <c r="S949" s="6"/>
      <c r="T949" s="6">
        <v>0.61</v>
      </c>
      <c r="U949" s="6">
        <v>0.56000000000000005</v>
      </c>
      <c r="V949" s="18">
        <f t="shared" si="359"/>
        <v>56.000000000000007</v>
      </c>
      <c r="W949" s="6"/>
      <c r="X949" s="6"/>
      <c r="Y949" s="6">
        <v>5</v>
      </c>
      <c r="Z949" s="31">
        <f t="shared" si="362"/>
        <v>200</v>
      </c>
      <c r="AA949" s="6"/>
      <c r="AB949" s="6"/>
      <c r="AC949" s="6"/>
      <c r="AD949" s="6"/>
      <c r="AE949" s="6"/>
      <c r="AF949" s="6"/>
      <c r="AG949" s="18" t="s">
        <v>27</v>
      </c>
      <c r="AH949" s="18" t="s">
        <v>27</v>
      </c>
      <c r="AI949" s="18" t="str">
        <f>+VLOOKUP(AH949,Leyenda!$O$4:$U$10,6,FALSE)</f>
        <v>0,35-0,50</v>
      </c>
      <c r="AJ949" s="18" t="str">
        <f>+VLOOKUP(AG949,Leyenda!$O$4:$U$10,7,FALSE)</f>
        <v>Easy to blast</v>
      </c>
      <c r="AK949" s="18">
        <f>+VLOOKUP(AJ949,Leyenda!$U$4:$V$10,2,FALSE)</f>
        <v>3</v>
      </c>
      <c r="AL949" s="18"/>
      <c r="AM949" s="18" t="s">
        <v>27</v>
      </c>
      <c r="AN949" s="18" t="s">
        <v>64</v>
      </c>
      <c r="AO949" s="18" t="s">
        <v>79</v>
      </c>
      <c r="AP949" s="18" t="s">
        <v>96</v>
      </c>
      <c r="AQ949" s="18" t="s">
        <v>107</v>
      </c>
      <c r="AR949" s="18" t="s">
        <v>122</v>
      </c>
      <c r="AS949" s="18" t="s">
        <v>267</v>
      </c>
      <c r="AT949" s="18"/>
      <c r="AU949" s="6"/>
      <c r="AV949" s="36">
        <f>+VLOOKUP(AN949,Leyenda!$B$30:$E$34,3,FALSE)</f>
        <v>2</v>
      </c>
      <c r="AW949" s="36">
        <f>+VLOOKUP('2. Logging Brejo Seco'!AO949,Meteorizacion,3,FALSE)</f>
        <v>1</v>
      </c>
      <c r="AX949" s="36">
        <f>+VLOOKUP('2. Logging Brejo Seco'!AP949,Apertura,3,FALSE)</f>
        <v>1</v>
      </c>
      <c r="AY949" s="36">
        <f>+VLOOKUP('2. Logging Brejo Seco'!AQ949,Leyenda!$B$55:$D$59,3,FALSE)</f>
        <v>3</v>
      </c>
      <c r="AZ949" s="36">
        <f>+VLOOKUP('2. Logging Brejo Seco'!AR949,Relleno,3,FALSE)</f>
        <v>0</v>
      </c>
      <c r="BA949" s="36">
        <f t="shared" si="369"/>
        <v>7</v>
      </c>
      <c r="BB949" s="50">
        <f t="shared" si="370"/>
        <v>12</v>
      </c>
      <c r="BC949" s="49">
        <f>VLOOKUP(AH949,Leyenda!$B$4:$D$10,3,FALSE)</f>
        <v>4</v>
      </c>
      <c r="BD949" s="50">
        <f t="shared" si="371"/>
        <v>9</v>
      </c>
      <c r="BE949" s="50">
        <f t="shared" si="372"/>
        <v>7</v>
      </c>
      <c r="BF949" s="50">
        <f>VLOOKUP(AS949,Leyenda!$B$70:$D$75,3,FALSE)</f>
        <v>15</v>
      </c>
      <c r="BG949" s="110">
        <f t="shared" si="373"/>
        <v>38.5</v>
      </c>
      <c r="BH949" s="110">
        <f>VLOOKUP(AG949,Leyenda!$B$4:$E$10,4,FALSE)</f>
        <v>4</v>
      </c>
      <c r="BI949" s="67">
        <f t="shared" si="374"/>
        <v>12</v>
      </c>
      <c r="BJ949" s="110">
        <f t="shared" si="375"/>
        <v>12</v>
      </c>
      <c r="BK949" s="110">
        <f>+VLOOKUP('2. Logging Brejo Seco'!AP949,Leyenda!$B$47:$E$51,4,FALSE)</f>
        <v>1</v>
      </c>
      <c r="BL949" s="110">
        <f>+VLOOKUP('2. Logging Brejo Seco'!AQ949,Leyenda!$B$55:$E$59,4,FALSE)</f>
        <v>3</v>
      </c>
      <c r="BM949" s="110">
        <f>+VLOOKUP('2. Logging Brejo Seco'!AR949,Leyenda!$B$63:$E$67,3,FALSE)</f>
        <v>0</v>
      </c>
      <c r="BN949" s="110">
        <f>+VLOOKUP('2. Logging Brejo Seco'!AO949,Leyenda!$B$39:$E$43,4,FALSE)</f>
        <v>1</v>
      </c>
      <c r="BO949" s="110">
        <f>+VLOOKUP('2. Logging Brejo Seco'!AN949,Leyenda!$B$30:$E$34,4,FALSE)</f>
        <v>3</v>
      </c>
      <c r="BP949" s="110">
        <f>VLOOKUP(AS949,Leyenda!$B$71:$E$75,4,FALSE)</f>
        <v>10</v>
      </c>
      <c r="BQ949" s="110">
        <f t="shared" si="376"/>
        <v>46</v>
      </c>
      <c r="BR949" s="36">
        <f t="shared" si="377"/>
        <v>47</v>
      </c>
      <c r="BS949" s="240">
        <f t="shared" si="361"/>
        <v>0.39</v>
      </c>
      <c r="BT949" s="6"/>
    </row>
    <row r="950" spans="1:72" x14ac:dyDescent="0.25">
      <c r="A950" s="18" t="s">
        <v>6</v>
      </c>
      <c r="B950" s="18">
        <v>2024</v>
      </c>
      <c r="C950" s="18" t="s">
        <v>138</v>
      </c>
      <c r="D950" s="18" t="s">
        <v>663</v>
      </c>
      <c r="E950" s="3">
        <v>60</v>
      </c>
      <c r="F950" s="191">
        <v>60</v>
      </c>
      <c r="G950" s="3" t="s">
        <v>136</v>
      </c>
      <c r="H950" s="244">
        <f t="shared" si="380"/>
        <v>60</v>
      </c>
      <c r="I950" s="244" t="s">
        <v>762</v>
      </c>
      <c r="J950" s="244"/>
      <c r="K950" s="18">
        <f t="shared" ref="K950:K979" si="381">+L949</f>
        <v>2.1</v>
      </c>
      <c r="L950" s="18">
        <v>3.5</v>
      </c>
      <c r="M950" s="4">
        <f t="shared" si="363"/>
        <v>1.4</v>
      </c>
      <c r="N950" s="113">
        <f t="shared" si="366"/>
        <v>0.72142857142857153</v>
      </c>
      <c r="O950" s="5">
        <f t="shared" si="379"/>
        <v>0.27857142857142847</v>
      </c>
      <c r="P950" s="3">
        <v>1.01</v>
      </c>
      <c r="Q950" s="6"/>
      <c r="R950" s="6"/>
      <c r="S950" s="6"/>
      <c r="T950" s="6">
        <v>1.01</v>
      </c>
      <c r="U950" s="6">
        <v>0.47</v>
      </c>
      <c r="V950" s="18">
        <f t="shared" si="359"/>
        <v>33.571428571428577</v>
      </c>
      <c r="W950" s="6"/>
      <c r="X950" s="6"/>
      <c r="Y950" s="6">
        <v>9</v>
      </c>
      <c r="Z950" s="31">
        <f t="shared" si="362"/>
        <v>155.55555555555554</v>
      </c>
      <c r="AA950" s="6"/>
      <c r="AB950" s="6"/>
      <c r="AC950" s="6"/>
      <c r="AD950" s="6"/>
      <c r="AE950" s="6"/>
      <c r="AF950" s="6"/>
      <c r="AG950" s="18" t="s">
        <v>27</v>
      </c>
      <c r="AH950" s="18" t="s">
        <v>27</v>
      </c>
      <c r="AI950" s="18" t="str">
        <f>+VLOOKUP(AH950,Leyenda!$O$4:$U$10,6,FALSE)</f>
        <v>0,35-0,50</v>
      </c>
      <c r="AJ950" s="18" t="str">
        <f>+VLOOKUP(AG950,Leyenda!$O$4:$U$10,7,FALSE)</f>
        <v>Easy to blast</v>
      </c>
      <c r="AK950" s="18">
        <f>+VLOOKUP(AJ950,Leyenda!$U$4:$V$10,2,FALSE)</f>
        <v>3</v>
      </c>
      <c r="AL950" s="18"/>
      <c r="AM950" s="18" t="s">
        <v>27</v>
      </c>
      <c r="AN950" s="18" t="s">
        <v>64</v>
      </c>
      <c r="AO950" s="18" t="s">
        <v>79</v>
      </c>
      <c r="AP950" s="18" t="s">
        <v>96</v>
      </c>
      <c r="AQ950" s="18" t="s">
        <v>107</v>
      </c>
      <c r="AR950" s="18" t="s">
        <v>122</v>
      </c>
      <c r="AS950" s="18" t="s">
        <v>267</v>
      </c>
      <c r="AT950" s="18"/>
      <c r="AU950" s="6"/>
      <c r="AV950" s="36">
        <f>+VLOOKUP(AN950,Leyenda!$B$30:$E$34,3,FALSE)</f>
        <v>2</v>
      </c>
      <c r="AW950" s="36">
        <f>+VLOOKUP('2. Logging Brejo Seco'!AO950,Meteorizacion,3,FALSE)</f>
        <v>1</v>
      </c>
      <c r="AX950" s="36">
        <f>+VLOOKUP('2. Logging Brejo Seco'!AP950,Apertura,3,FALSE)</f>
        <v>1</v>
      </c>
      <c r="AY950" s="36">
        <f>+VLOOKUP('2. Logging Brejo Seco'!AQ950,Leyenda!$B$55:$D$59,3,FALSE)</f>
        <v>3</v>
      </c>
      <c r="AZ950" s="36">
        <f>+VLOOKUP('2. Logging Brejo Seco'!AR950,Relleno,3,FALSE)</f>
        <v>0</v>
      </c>
      <c r="BA950" s="36">
        <f t="shared" si="369"/>
        <v>7</v>
      </c>
      <c r="BB950" s="50">
        <f t="shared" si="370"/>
        <v>7</v>
      </c>
      <c r="BC950" s="49">
        <f>VLOOKUP(AH950,Leyenda!$B$4:$D$10,3,FALSE)</f>
        <v>4</v>
      </c>
      <c r="BD950" s="50">
        <f t="shared" si="371"/>
        <v>8</v>
      </c>
      <c r="BE950" s="50">
        <f t="shared" si="372"/>
        <v>7</v>
      </c>
      <c r="BF950" s="50">
        <f>VLOOKUP(AS950,Leyenda!$B$70:$D$75,3,FALSE)</f>
        <v>15</v>
      </c>
      <c r="BG950" s="110">
        <f t="shared" si="373"/>
        <v>27.285714285714288</v>
      </c>
      <c r="BH950" s="110">
        <f>VLOOKUP(AG950,Leyenda!$B$4:$E$10,4,FALSE)</f>
        <v>4</v>
      </c>
      <c r="BI950" s="67">
        <f t="shared" si="374"/>
        <v>11</v>
      </c>
      <c r="BJ950" s="110">
        <f t="shared" si="375"/>
        <v>7</v>
      </c>
      <c r="BK950" s="110">
        <f>+VLOOKUP('2. Logging Brejo Seco'!AP950,Leyenda!$B$47:$E$51,4,FALSE)</f>
        <v>1</v>
      </c>
      <c r="BL950" s="110">
        <f>+VLOOKUP('2. Logging Brejo Seco'!AQ950,Leyenda!$B$55:$E$59,4,FALSE)</f>
        <v>3</v>
      </c>
      <c r="BM950" s="110">
        <f>+VLOOKUP('2. Logging Brejo Seco'!AR950,Leyenda!$B$63:$E$67,3,FALSE)</f>
        <v>0</v>
      </c>
      <c r="BN950" s="110">
        <f>+VLOOKUP('2. Logging Brejo Seco'!AO950,Leyenda!$B$39:$E$43,4,FALSE)</f>
        <v>1</v>
      </c>
      <c r="BO950" s="110">
        <f>+VLOOKUP('2. Logging Brejo Seco'!AN950,Leyenda!$B$30:$E$34,4,FALSE)</f>
        <v>3</v>
      </c>
      <c r="BP950" s="110">
        <f>VLOOKUP(AS950,Leyenda!$B$71:$E$75,4,FALSE)</f>
        <v>10</v>
      </c>
      <c r="BQ950" s="110">
        <f t="shared" si="376"/>
        <v>40</v>
      </c>
      <c r="BR950" s="36">
        <f t="shared" si="377"/>
        <v>41</v>
      </c>
      <c r="BS950" s="240">
        <f t="shared" si="361"/>
        <v>0.27857142857142847</v>
      </c>
      <c r="BT950" s="6"/>
    </row>
    <row r="951" spans="1:72" x14ac:dyDescent="0.25">
      <c r="A951" s="18" t="s">
        <v>6</v>
      </c>
      <c r="B951" s="18">
        <v>2024</v>
      </c>
      <c r="C951" s="18" t="s">
        <v>138</v>
      </c>
      <c r="D951" s="18" t="s">
        <v>663</v>
      </c>
      <c r="E951" s="3">
        <v>60</v>
      </c>
      <c r="F951" s="191">
        <v>60</v>
      </c>
      <c r="G951" s="3" t="s">
        <v>136</v>
      </c>
      <c r="H951" s="244">
        <f t="shared" si="380"/>
        <v>60</v>
      </c>
      <c r="I951" s="244" t="s">
        <v>762</v>
      </c>
      <c r="J951" s="244"/>
      <c r="K951" s="18">
        <f t="shared" si="381"/>
        <v>3.5</v>
      </c>
      <c r="L951" s="18">
        <v>4</v>
      </c>
      <c r="M951" s="4">
        <f t="shared" si="363"/>
        <v>0.5</v>
      </c>
      <c r="N951" s="113">
        <f t="shared" si="366"/>
        <v>0.66</v>
      </c>
      <c r="O951" s="5">
        <f t="shared" si="379"/>
        <v>0.33999999999999997</v>
      </c>
      <c r="P951" s="3">
        <v>0.33</v>
      </c>
      <c r="Q951" s="6"/>
      <c r="R951" s="6"/>
      <c r="S951" s="6"/>
      <c r="T951" s="6">
        <v>0.33</v>
      </c>
      <c r="U951" s="6">
        <v>0</v>
      </c>
      <c r="V951" s="18">
        <f t="shared" si="359"/>
        <v>0</v>
      </c>
      <c r="W951" s="6"/>
      <c r="X951" s="6"/>
      <c r="Y951" s="6">
        <v>7</v>
      </c>
      <c r="Z951" s="31">
        <f t="shared" si="362"/>
        <v>71.428571428571431</v>
      </c>
      <c r="AA951" s="6"/>
      <c r="AB951" s="6"/>
      <c r="AC951" s="6"/>
      <c r="AD951" s="6"/>
      <c r="AE951" s="6"/>
      <c r="AF951" s="6"/>
      <c r="AG951" s="18" t="s">
        <v>27</v>
      </c>
      <c r="AH951" s="18" t="s">
        <v>27</v>
      </c>
      <c r="AI951" s="18" t="str">
        <f>+VLOOKUP(AH951,Leyenda!$O$4:$U$10,6,FALSE)</f>
        <v>0,35-0,50</v>
      </c>
      <c r="AJ951" s="18" t="str">
        <f>+VLOOKUP(AG951,Leyenda!$O$4:$U$10,7,FALSE)</f>
        <v>Easy to blast</v>
      </c>
      <c r="AK951" s="18">
        <f>+VLOOKUP(AJ951,Leyenda!$U$4:$V$10,2,FALSE)</f>
        <v>3</v>
      </c>
      <c r="AL951" s="18"/>
      <c r="AM951" s="18" t="s">
        <v>27</v>
      </c>
      <c r="AN951" s="18" t="s">
        <v>64</v>
      </c>
      <c r="AO951" s="18" t="s">
        <v>79</v>
      </c>
      <c r="AP951" s="18" t="s">
        <v>96</v>
      </c>
      <c r="AQ951" s="18" t="s">
        <v>107</v>
      </c>
      <c r="AR951" s="18" t="s">
        <v>122</v>
      </c>
      <c r="AS951" s="18" t="s">
        <v>267</v>
      </c>
      <c r="AT951" s="18"/>
      <c r="AU951" s="6"/>
      <c r="AV951" s="36">
        <f>+VLOOKUP(AN951,Leyenda!$B$30:$E$34,3,FALSE)</f>
        <v>2</v>
      </c>
      <c r="AW951" s="36">
        <f>+VLOOKUP('2. Logging Brejo Seco'!AO951,Meteorizacion,3,FALSE)</f>
        <v>1</v>
      </c>
      <c r="AX951" s="36">
        <f>+VLOOKUP('2. Logging Brejo Seco'!AP951,Apertura,3,FALSE)</f>
        <v>1</v>
      </c>
      <c r="AY951" s="36">
        <f>+VLOOKUP('2. Logging Brejo Seco'!AQ951,Leyenda!$B$55:$D$59,3,FALSE)</f>
        <v>3</v>
      </c>
      <c r="AZ951" s="36">
        <f>+VLOOKUP('2. Logging Brejo Seco'!AR951,Relleno,3,FALSE)</f>
        <v>0</v>
      </c>
      <c r="BA951" s="36">
        <f t="shared" ref="BA951:BA1014" si="382">+SUM(AV951:AZ951)</f>
        <v>7</v>
      </c>
      <c r="BB951" s="50">
        <f t="shared" ref="BB951:BB1014" si="383">ROUND(-0.0002*POWER(V951,2)+0.2197*V951,0)</f>
        <v>0</v>
      </c>
      <c r="BC951" s="49">
        <f>VLOOKUP(AH951,Leyenda!$B$4:$D$10,3,FALSE)</f>
        <v>4</v>
      </c>
      <c r="BD951" s="50">
        <f t="shared" ref="BD951:BD1014" si="384">IF(Z951="",ROUND((IF(Z951&lt;=400,1.5478*POWER(Z951,0.3351),-2*POWER(10,-6)*POWER(Z951,2)+0.0091*Z951+8.1704)),0),ROUND((IF(Z951&lt;=400,1.5478*POWER(Z951,0.3351),-2*POWER(10,-6)*POWER(Z951,2)+0.0091*Z951+8.1704)),0))</f>
        <v>6</v>
      </c>
      <c r="BE951" s="50">
        <f t="shared" ref="BE951:BE1014" si="385">+BA951</f>
        <v>7</v>
      </c>
      <c r="BF951" s="50">
        <f>VLOOKUP(AS951,Leyenda!$B$70:$D$75,3,FALSE)</f>
        <v>15</v>
      </c>
      <c r="BG951" s="110">
        <f t="shared" ref="BG951:BG1014" si="386">1.5*BA951+(V951*0.5)</f>
        <v>10.5</v>
      </c>
      <c r="BH951" s="110">
        <f>VLOOKUP(AG951,Leyenda!$B$4:$E$10,4,FALSE)</f>
        <v>4</v>
      </c>
      <c r="BI951" s="67">
        <f t="shared" ref="BI951:BI1014" si="387">IF(Z951="",ROUND(IF(Z951&lt;=50,5,IF(Z951&gt;=3000,30,6.038*LN(Z951)-19.63)),0),ROUND(IF(Z951&lt;=50,5,IF(Z951&gt;=3000,30,6.038*LN(Z951)-19.63)),0))</f>
        <v>6</v>
      </c>
      <c r="BJ951" s="110">
        <f t="shared" ref="BJ951:BJ1014" si="388">ROUND(-0.0002*POWER(V951,2)+0.2197*V951,0)</f>
        <v>0</v>
      </c>
      <c r="BK951" s="110">
        <f>+VLOOKUP('2. Logging Brejo Seco'!AP951,Leyenda!$B$47:$E$51,4,FALSE)</f>
        <v>1</v>
      </c>
      <c r="BL951" s="110">
        <f>+VLOOKUP('2. Logging Brejo Seco'!AQ951,Leyenda!$B$55:$E$59,4,FALSE)</f>
        <v>3</v>
      </c>
      <c r="BM951" s="110">
        <f>+VLOOKUP('2. Logging Brejo Seco'!AR951,Leyenda!$B$63:$E$67,3,FALSE)</f>
        <v>0</v>
      </c>
      <c r="BN951" s="110">
        <f>+VLOOKUP('2. Logging Brejo Seco'!AO951,Leyenda!$B$39:$E$43,4,FALSE)</f>
        <v>1</v>
      </c>
      <c r="BO951" s="110">
        <f>+VLOOKUP('2. Logging Brejo Seco'!AN951,Leyenda!$B$30:$E$34,4,FALSE)</f>
        <v>3</v>
      </c>
      <c r="BP951" s="110">
        <f>VLOOKUP(AS951,Leyenda!$B$71:$E$75,4,FALSE)</f>
        <v>10</v>
      </c>
      <c r="BQ951" s="110">
        <f t="shared" ref="BQ951:BQ1014" si="389">+BH951+BI951+BJ951+BK951+BL951+BM951+BN951+BO951+BP951</f>
        <v>28</v>
      </c>
      <c r="BR951" s="36">
        <f t="shared" ref="BR951:BR1014" si="390">+BC951+BD951+BB951+BE951+BF951</f>
        <v>32</v>
      </c>
      <c r="BS951" s="240">
        <f t="shared" si="361"/>
        <v>0.33999999999999997</v>
      </c>
      <c r="BT951" s="6"/>
    </row>
    <row r="952" spans="1:72" x14ac:dyDescent="0.25">
      <c r="A952" s="18" t="s">
        <v>6</v>
      </c>
      <c r="B952" s="18">
        <v>2024</v>
      </c>
      <c r="C952" s="18" t="s">
        <v>138</v>
      </c>
      <c r="D952" s="18" t="s">
        <v>663</v>
      </c>
      <c r="E952" s="3">
        <v>60</v>
      </c>
      <c r="F952" s="191">
        <v>60</v>
      </c>
      <c r="G952" s="3" t="s">
        <v>136</v>
      </c>
      <c r="H952" s="3">
        <v>40</v>
      </c>
      <c r="I952" s="3" t="s">
        <v>757</v>
      </c>
      <c r="J952" s="3"/>
      <c r="K952" s="18">
        <f t="shared" si="381"/>
        <v>4</v>
      </c>
      <c r="L952" s="18">
        <v>4.7</v>
      </c>
      <c r="M952" s="4">
        <f t="shared" si="363"/>
        <v>0.70000000000000018</v>
      </c>
      <c r="N952" s="113">
        <f t="shared" si="366"/>
        <v>0.72857142857142843</v>
      </c>
      <c r="O952" s="5">
        <f t="shared" si="379"/>
        <v>0.27142857142857157</v>
      </c>
      <c r="P952" s="3">
        <v>0.51</v>
      </c>
      <c r="Q952" s="6"/>
      <c r="R952" s="6"/>
      <c r="S952" s="6"/>
      <c r="T952" s="6">
        <v>0.51</v>
      </c>
      <c r="U952" s="6">
        <v>0.23</v>
      </c>
      <c r="V952" s="18">
        <f t="shared" si="359"/>
        <v>32.857142857142854</v>
      </c>
      <c r="W952" s="6"/>
      <c r="X952" s="6"/>
      <c r="Y952" s="6">
        <v>7</v>
      </c>
      <c r="Z952" s="31">
        <f t="shared" si="362"/>
        <v>100.00000000000003</v>
      </c>
      <c r="AA952" s="6"/>
      <c r="AB952" s="6"/>
      <c r="AC952" s="6"/>
      <c r="AD952" s="6"/>
      <c r="AE952" s="6"/>
      <c r="AF952" s="6"/>
      <c r="AG952" s="18" t="s">
        <v>27</v>
      </c>
      <c r="AH952" s="18" t="s">
        <v>27</v>
      </c>
      <c r="AI952" s="18" t="str">
        <f>+VLOOKUP(AH952,Leyenda!$O$4:$U$10,6,FALSE)</f>
        <v>0,35-0,50</v>
      </c>
      <c r="AJ952" s="18" t="str">
        <f>+VLOOKUP(AG952,Leyenda!$O$4:$U$10,7,FALSE)</f>
        <v>Easy to blast</v>
      </c>
      <c r="AK952" s="18">
        <f>+VLOOKUP(AJ952,Leyenda!$U$4:$V$10,2,FALSE)</f>
        <v>3</v>
      </c>
      <c r="AL952" s="18"/>
      <c r="AM952" s="18" t="s">
        <v>27</v>
      </c>
      <c r="AN952" s="18" t="s">
        <v>64</v>
      </c>
      <c r="AO952" s="18" t="s">
        <v>79</v>
      </c>
      <c r="AP952" s="18" t="s">
        <v>96</v>
      </c>
      <c r="AQ952" s="18" t="s">
        <v>107</v>
      </c>
      <c r="AR952" s="18" t="s">
        <v>122</v>
      </c>
      <c r="AS952" s="18" t="s">
        <v>267</v>
      </c>
      <c r="AT952" s="18"/>
      <c r="AU952" s="6"/>
      <c r="AV952" s="36">
        <f>+VLOOKUP(AN952,Leyenda!$B$30:$E$34,3,FALSE)</f>
        <v>2</v>
      </c>
      <c r="AW952" s="36">
        <f>+VLOOKUP('2. Logging Brejo Seco'!AO952,Meteorizacion,3,FALSE)</f>
        <v>1</v>
      </c>
      <c r="AX952" s="36">
        <f>+VLOOKUP('2. Logging Brejo Seco'!AP952,Apertura,3,FALSE)</f>
        <v>1</v>
      </c>
      <c r="AY952" s="36">
        <f>+VLOOKUP('2. Logging Brejo Seco'!AQ952,Leyenda!$B$55:$D$59,3,FALSE)</f>
        <v>3</v>
      </c>
      <c r="AZ952" s="36">
        <f>+VLOOKUP('2. Logging Brejo Seco'!AR952,Relleno,3,FALSE)</f>
        <v>0</v>
      </c>
      <c r="BA952" s="36">
        <f t="shared" si="382"/>
        <v>7</v>
      </c>
      <c r="BB952" s="50">
        <f t="shared" si="383"/>
        <v>7</v>
      </c>
      <c r="BC952" s="49">
        <f>VLOOKUP(AH952,Leyenda!$B$4:$D$10,3,FALSE)</f>
        <v>4</v>
      </c>
      <c r="BD952" s="50">
        <f t="shared" si="384"/>
        <v>7</v>
      </c>
      <c r="BE952" s="50">
        <f t="shared" si="385"/>
        <v>7</v>
      </c>
      <c r="BF952" s="50">
        <f>VLOOKUP(AS952,Leyenda!$B$70:$D$75,3,FALSE)</f>
        <v>15</v>
      </c>
      <c r="BG952" s="110">
        <f t="shared" si="386"/>
        <v>26.928571428571427</v>
      </c>
      <c r="BH952" s="110">
        <f>VLOOKUP(AG952,Leyenda!$B$4:$E$10,4,FALSE)</f>
        <v>4</v>
      </c>
      <c r="BI952" s="67">
        <f t="shared" si="387"/>
        <v>8</v>
      </c>
      <c r="BJ952" s="110">
        <f t="shared" si="388"/>
        <v>7</v>
      </c>
      <c r="BK952" s="110">
        <f>+VLOOKUP('2. Logging Brejo Seco'!AP952,Leyenda!$B$47:$E$51,4,FALSE)</f>
        <v>1</v>
      </c>
      <c r="BL952" s="110">
        <f>+VLOOKUP('2. Logging Brejo Seco'!AQ952,Leyenda!$B$55:$E$59,4,FALSE)</f>
        <v>3</v>
      </c>
      <c r="BM952" s="110">
        <f>+VLOOKUP('2. Logging Brejo Seco'!AR952,Leyenda!$B$63:$E$67,3,FALSE)</f>
        <v>0</v>
      </c>
      <c r="BN952" s="110">
        <f>+VLOOKUP('2. Logging Brejo Seco'!AO952,Leyenda!$B$39:$E$43,4,FALSE)</f>
        <v>1</v>
      </c>
      <c r="BO952" s="110">
        <f>+VLOOKUP('2. Logging Brejo Seco'!AN952,Leyenda!$B$30:$E$34,4,FALSE)</f>
        <v>3</v>
      </c>
      <c r="BP952" s="110">
        <f>VLOOKUP(AS952,Leyenda!$B$71:$E$75,4,FALSE)</f>
        <v>10</v>
      </c>
      <c r="BQ952" s="110">
        <f t="shared" si="389"/>
        <v>37</v>
      </c>
      <c r="BR952" s="36">
        <f t="shared" si="390"/>
        <v>40</v>
      </c>
      <c r="BS952" s="240">
        <f t="shared" si="361"/>
        <v>0.27142857142857157</v>
      </c>
      <c r="BT952" s="6"/>
    </row>
    <row r="953" spans="1:72" x14ac:dyDescent="0.25">
      <c r="A953" s="18" t="s">
        <v>6</v>
      </c>
      <c r="B953" s="18">
        <v>2024</v>
      </c>
      <c r="C953" s="18" t="s">
        <v>138</v>
      </c>
      <c r="D953" s="18" t="s">
        <v>663</v>
      </c>
      <c r="E953" s="3">
        <v>60</v>
      </c>
      <c r="F953" s="191">
        <v>30</v>
      </c>
      <c r="G953" s="3" t="s">
        <v>136</v>
      </c>
      <c r="H953" s="18">
        <v>40</v>
      </c>
      <c r="I953" s="3" t="s">
        <v>757</v>
      </c>
      <c r="J953" s="3"/>
      <c r="K953" s="18">
        <f t="shared" si="381"/>
        <v>4.7</v>
      </c>
      <c r="L953" s="18">
        <v>5.6</v>
      </c>
      <c r="M953" s="4">
        <f t="shared" si="363"/>
        <v>0.89999999999999947</v>
      </c>
      <c r="N953" s="113">
        <f t="shared" si="366"/>
        <v>0.72222222222222265</v>
      </c>
      <c r="O953" s="5">
        <f t="shared" si="379"/>
        <v>0.27777777777777735</v>
      </c>
      <c r="P953" s="3">
        <f>0.22+0.43</f>
        <v>0.65</v>
      </c>
      <c r="Q953" s="6"/>
      <c r="R953" s="6"/>
      <c r="S953" s="6"/>
      <c r="T953" s="6">
        <v>0.65</v>
      </c>
      <c r="U953" s="6">
        <v>0.43</v>
      </c>
      <c r="V953" s="18">
        <f t="shared" si="359"/>
        <v>47.777777777777807</v>
      </c>
      <c r="W953" s="6"/>
      <c r="X953" s="6"/>
      <c r="Y953" s="224">
        <v>6</v>
      </c>
      <c r="Z953" s="31">
        <f t="shared" si="362"/>
        <v>149.99999999999991</v>
      </c>
      <c r="AA953" s="6"/>
      <c r="AB953" s="6"/>
      <c r="AC953" s="6"/>
      <c r="AD953" s="6"/>
      <c r="AE953" s="6"/>
      <c r="AF953" s="6"/>
      <c r="AG953" s="18" t="s">
        <v>29</v>
      </c>
      <c r="AH953" s="18" t="s">
        <v>29</v>
      </c>
      <c r="AI953" s="18" t="str">
        <f>+VLOOKUP(AH953,Leyenda!$O$4:$U$10,6,FALSE)</f>
        <v>0,25-0,35</v>
      </c>
      <c r="AJ953" s="18" t="str">
        <f>+VLOOKUP(AG953,Leyenda!$O$4:$U$10,7,FALSE)</f>
        <v>No Blasting need</v>
      </c>
      <c r="AK953" s="18">
        <f>+VLOOKUP(AJ953,Leyenda!$U$4:$V$10,2,FALSE)</f>
        <v>2</v>
      </c>
      <c r="AL953" s="18"/>
      <c r="AM953" s="18" t="s">
        <v>29</v>
      </c>
      <c r="AN953" s="18" t="s">
        <v>66</v>
      </c>
      <c r="AO953" s="18" t="s">
        <v>79</v>
      </c>
      <c r="AP953" s="18" t="s">
        <v>96</v>
      </c>
      <c r="AQ953" s="18" t="s">
        <v>107</v>
      </c>
      <c r="AR953" s="18" t="s">
        <v>120</v>
      </c>
      <c r="AS953" s="18" t="s">
        <v>267</v>
      </c>
      <c r="AT953" s="18"/>
      <c r="AU953" s="6"/>
      <c r="AV953" s="36">
        <f>+VLOOKUP(AN953,Leyenda!$B$30:$E$34,3,FALSE)</f>
        <v>1</v>
      </c>
      <c r="AW953" s="36">
        <f>+VLOOKUP('2. Logging Brejo Seco'!AO953,Meteorizacion,3,FALSE)</f>
        <v>1</v>
      </c>
      <c r="AX953" s="36">
        <f>+VLOOKUP('2. Logging Brejo Seco'!AP953,Apertura,3,FALSE)</f>
        <v>1</v>
      </c>
      <c r="AY953" s="36">
        <f>+VLOOKUP('2. Logging Brejo Seco'!AQ953,Leyenda!$B$55:$D$59,3,FALSE)</f>
        <v>3</v>
      </c>
      <c r="AZ953" s="36">
        <f>+VLOOKUP('2. Logging Brejo Seco'!AR953,Relleno,3,FALSE)</f>
        <v>2</v>
      </c>
      <c r="BA953" s="36">
        <f t="shared" si="382"/>
        <v>8</v>
      </c>
      <c r="BB953" s="225">
        <f t="shared" si="383"/>
        <v>10</v>
      </c>
      <c r="BC953" s="49">
        <f>VLOOKUP(AH953,Leyenda!$B$4:$D$10,3,FALSE)</f>
        <v>2</v>
      </c>
      <c r="BD953" s="50">
        <f t="shared" si="384"/>
        <v>8</v>
      </c>
      <c r="BE953" s="50">
        <f t="shared" si="385"/>
        <v>8</v>
      </c>
      <c r="BF953" s="50">
        <f>VLOOKUP(AS953,Leyenda!$B$70:$D$75,3,FALSE)</f>
        <v>15</v>
      </c>
      <c r="BG953" s="110">
        <f t="shared" si="386"/>
        <v>35.8888888888889</v>
      </c>
      <c r="BH953" s="110">
        <f>VLOOKUP(AG953,Leyenda!$B$4:$E$10,4,FALSE)</f>
        <v>2</v>
      </c>
      <c r="BI953" s="67">
        <f t="shared" si="387"/>
        <v>11</v>
      </c>
      <c r="BJ953" s="110">
        <f t="shared" si="388"/>
        <v>10</v>
      </c>
      <c r="BK953" s="110">
        <f>+VLOOKUP('2. Logging Brejo Seco'!AP953,Leyenda!$B$47:$E$51,4,FALSE)</f>
        <v>1</v>
      </c>
      <c r="BL953" s="110">
        <f>+VLOOKUP('2. Logging Brejo Seco'!AQ953,Leyenda!$B$55:$E$59,4,FALSE)</f>
        <v>3</v>
      </c>
      <c r="BM953" s="110">
        <f>+VLOOKUP('2. Logging Brejo Seco'!AR953,Leyenda!$B$63:$E$67,3,FALSE)</f>
        <v>2</v>
      </c>
      <c r="BN953" s="110">
        <f>+VLOOKUP('2. Logging Brejo Seco'!AO953,Leyenda!$B$39:$E$43,4,FALSE)</f>
        <v>1</v>
      </c>
      <c r="BO953" s="110">
        <f>+VLOOKUP('2. Logging Brejo Seco'!AN953,Leyenda!$B$30:$E$34,4,FALSE)</f>
        <v>1</v>
      </c>
      <c r="BP953" s="110">
        <f>VLOOKUP(AS953,Leyenda!$B$71:$E$75,4,FALSE)</f>
        <v>10</v>
      </c>
      <c r="BQ953" s="110">
        <f t="shared" si="389"/>
        <v>41</v>
      </c>
      <c r="BR953" s="36">
        <f t="shared" si="390"/>
        <v>43</v>
      </c>
      <c r="BS953" s="240">
        <f t="shared" si="361"/>
        <v>0.27777777777777735</v>
      </c>
      <c r="BT953" s="6"/>
    </row>
    <row r="954" spans="1:72" x14ac:dyDescent="0.25">
      <c r="A954" s="18" t="s">
        <v>6</v>
      </c>
      <c r="B954" s="18">
        <v>2024</v>
      </c>
      <c r="C954" s="18" t="s">
        <v>138</v>
      </c>
      <c r="D954" s="18" t="s">
        <v>663</v>
      </c>
      <c r="E954" s="3">
        <v>60</v>
      </c>
      <c r="F954" s="191">
        <v>30</v>
      </c>
      <c r="G954" s="3" t="s">
        <v>136</v>
      </c>
      <c r="H954" s="18">
        <v>40</v>
      </c>
      <c r="I954" s="3" t="s">
        <v>757</v>
      </c>
      <c r="J954" s="3"/>
      <c r="K954" s="18">
        <f t="shared" si="381"/>
        <v>5.6</v>
      </c>
      <c r="L954" s="18">
        <v>7.1</v>
      </c>
      <c r="M954" s="4">
        <f t="shared" si="363"/>
        <v>1.5</v>
      </c>
      <c r="N954" s="113">
        <f t="shared" si="366"/>
        <v>0.7466666666666667</v>
      </c>
      <c r="O954" s="5">
        <f t="shared" si="379"/>
        <v>0.2533333333333333</v>
      </c>
      <c r="P954" s="3">
        <v>1.1200000000000001</v>
      </c>
      <c r="Q954" s="6"/>
      <c r="R954" s="6"/>
      <c r="S954" s="6"/>
      <c r="T954" s="6">
        <v>1.1200000000000001</v>
      </c>
      <c r="U954" s="6">
        <v>0.44</v>
      </c>
      <c r="V954" s="18">
        <f t="shared" si="359"/>
        <v>29.333333333333332</v>
      </c>
      <c r="W954" s="6"/>
      <c r="X954" s="6"/>
      <c r="Y954" s="224">
        <v>9</v>
      </c>
      <c r="Z954" s="31">
        <f t="shared" si="362"/>
        <v>166.66666666666666</v>
      </c>
      <c r="AA954" s="6"/>
      <c r="AB954" s="6"/>
      <c r="AC954" s="6"/>
      <c r="AD954" s="6"/>
      <c r="AE954" s="6"/>
      <c r="AF954" s="6"/>
      <c r="AG954" s="3" t="s">
        <v>29</v>
      </c>
      <c r="AH954" s="3" t="s">
        <v>29</v>
      </c>
      <c r="AI954" s="18" t="str">
        <f>+VLOOKUP(AH954,Leyenda!$O$4:$U$10,6,FALSE)</f>
        <v>0,25-0,35</v>
      </c>
      <c r="AJ954" s="18" t="str">
        <f>+VLOOKUP(AG954,Leyenda!$O$4:$U$10,7,FALSE)</f>
        <v>No Blasting need</v>
      </c>
      <c r="AK954" s="18">
        <f>+VLOOKUP(AJ954,Leyenda!$U$4:$V$10,2,FALSE)</f>
        <v>2</v>
      </c>
      <c r="AL954" s="18"/>
      <c r="AM954" s="3" t="s">
        <v>29</v>
      </c>
      <c r="AN954" s="18" t="s">
        <v>66</v>
      </c>
      <c r="AO954" s="18" t="s">
        <v>79</v>
      </c>
      <c r="AP954" s="18" t="s">
        <v>96</v>
      </c>
      <c r="AQ954" s="18" t="s">
        <v>107</v>
      </c>
      <c r="AR954" s="18" t="s">
        <v>120</v>
      </c>
      <c r="AS954" s="18" t="s">
        <v>267</v>
      </c>
      <c r="AT954" s="18"/>
      <c r="AU954" s="6"/>
      <c r="AV954" s="36">
        <f>+VLOOKUP(AN954,Leyenda!$B$30:$E$34,3,FALSE)</f>
        <v>1</v>
      </c>
      <c r="AW954" s="36">
        <f>+VLOOKUP('2. Logging Brejo Seco'!AO954,Meteorizacion,3,FALSE)</f>
        <v>1</v>
      </c>
      <c r="AX954" s="36">
        <f>+VLOOKUP('2. Logging Brejo Seco'!AP954,Apertura,3,FALSE)</f>
        <v>1</v>
      </c>
      <c r="AY954" s="36">
        <f>+VLOOKUP('2. Logging Brejo Seco'!AQ954,Leyenda!$B$55:$D$59,3,FALSE)</f>
        <v>3</v>
      </c>
      <c r="AZ954" s="36">
        <f>+VLOOKUP('2. Logging Brejo Seco'!AR954,Relleno,3,FALSE)</f>
        <v>2</v>
      </c>
      <c r="BA954" s="36">
        <f t="shared" si="382"/>
        <v>8</v>
      </c>
      <c r="BB954" s="225">
        <f t="shared" si="383"/>
        <v>6</v>
      </c>
      <c r="BC954" s="49">
        <f>VLOOKUP(AH954,Leyenda!$B$4:$D$10,3,FALSE)</f>
        <v>2</v>
      </c>
      <c r="BD954" s="50">
        <f t="shared" si="384"/>
        <v>9</v>
      </c>
      <c r="BE954" s="50">
        <f t="shared" si="385"/>
        <v>8</v>
      </c>
      <c r="BF954" s="50">
        <f>VLOOKUP(AS954,Leyenda!$B$70:$D$75,3,FALSE)</f>
        <v>15</v>
      </c>
      <c r="BG954" s="110">
        <f t="shared" si="386"/>
        <v>26.666666666666664</v>
      </c>
      <c r="BH954" s="110">
        <f>VLOOKUP(AG954,Leyenda!$B$4:$E$10,4,FALSE)</f>
        <v>2</v>
      </c>
      <c r="BI954" s="67">
        <f t="shared" si="387"/>
        <v>11</v>
      </c>
      <c r="BJ954" s="110">
        <f t="shared" si="388"/>
        <v>6</v>
      </c>
      <c r="BK954" s="110">
        <f>+VLOOKUP('2. Logging Brejo Seco'!AP954,Leyenda!$B$47:$E$51,4,FALSE)</f>
        <v>1</v>
      </c>
      <c r="BL954" s="110">
        <f>+VLOOKUP('2. Logging Brejo Seco'!AQ954,Leyenda!$B$55:$E$59,4,FALSE)</f>
        <v>3</v>
      </c>
      <c r="BM954" s="110">
        <f>+VLOOKUP('2. Logging Brejo Seco'!AR954,Leyenda!$B$63:$E$67,3,FALSE)</f>
        <v>2</v>
      </c>
      <c r="BN954" s="110">
        <f>+VLOOKUP('2. Logging Brejo Seco'!AO954,Leyenda!$B$39:$E$43,4,FALSE)</f>
        <v>1</v>
      </c>
      <c r="BO954" s="110">
        <f>+VLOOKUP('2. Logging Brejo Seco'!AN954,Leyenda!$B$30:$E$34,4,FALSE)</f>
        <v>1</v>
      </c>
      <c r="BP954" s="110">
        <f>VLOOKUP(AS954,Leyenda!$B$71:$E$75,4,FALSE)</f>
        <v>10</v>
      </c>
      <c r="BQ954" s="110">
        <f t="shared" si="389"/>
        <v>37</v>
      </c>
      <c r="BR954" s="36">
        <f t="shared" si="390"/>
        <v>40</v>
      </c>
      <c r="BS954" s="240">
        <f t="shared" si="361"/>
        <v>0.2533333333333333</v>
      </c>
      <c r="BT954" s="6"/>
    </row>
    <row r="955" spans="1:72" x14ac:dyDescent="0.25">
      <c r="A955" s="18" t="s">
        <v>6</v>
      </c>
      <c r="B955" s="18">
        <v>2024</v>
      </c>
      <c r="C955" s="18" t="s">
        <v>138</v>
      </c>
      <c r="D955" s="18" t="s">
        <v>663</v>
      </c>
      <c r="E955" s="3">
        <v>60</v>
      </c>
      <c r="F955" s="191">
        <v>30</v>
      </c>
      <c r="G955" s="3" t="s">
        <v>136</v>
      </c>
      <c r="H955" s="245">
        <f>+F955</f>
        <v>30</v>
      </c>
      <c r="I955" s="244" t="s">
        <v>759</v>
      </c>
      <c r="J955" s="244"/>
      <c r="K955" s="18">
        <f t="shared" si="381"/>
        <v>7.1</v>
      </c>
      <c r="L955" s="18">
        <v>8.6999999999999993</v>
      </c>
      <c r="M955" s="4">
        <f t="shared" si="363"/>
        <v>1.5999999999999996</v>
      </c>
      <c r="N955" s="113">
        <f t="shared" si="366"/>
        <v>0.73125000000000007</v>
      </c>
      <c r="O955" s="5">
        <f t="shared" si="379"/>
        <v>0.26874999999999993</v>
      </c>
      <c r="P955" s="3">
        <v>1.17</v>
      </c>
      <c r="Q955" s="6"/>
      <c r="R955" s="6"/>
      <c r="S955" s="6"/>
      <c r="T955" s="6">
        <v>1.17</v>
      </c>
      <c r="U955" s="6">
        <v>0.32</v>
      </c>
      <c r="V955" s="18">
        <f t="shared" si="359"/>
        <v>20.000000000000004</v>
      </c>
      <c r="W955" s="6"/>
      <c r="X955" s="6"/>
      <c r="Y955" s="224">
        <v>12</v>
      </c>
      <c r="Z955" s="31">
        <f t="shared" si="362"/>
        <v>133.33333333333329</v>
      </c>
      <c r="AA955" s="6"/>
      <c r="AB955" s="6"/>
      <c r="AC955" s="6"/>
      <c r="AD955" s="6"/>
      <c r="AE955" s="6"/>
      <c r="AF955" s="6"/>
      <c r="AG955" s="3" t="s">
        <v>29</v>
      </c>
      <c r="AH955" s="3" t="s">
        <v>29</v>
      </c>
      <c r="AI955" s="18" t="str">
        <f>+VLOOKUP(AH955,Leyenda!$O$4:$U$10,6,FALSE)</f>
        <v>0,25-0,35</v>
      </c>
      <c r="AJ955" s="18" t="str">
        <f>+VLOOKUP(AG955,Leyenda!$O$4:$U$10,7,FALSE)</f>
        <v>No Blasting need</v>
      </c>
      <c r="AK955" s="18">
        <f>+VLOOKUP(AJ955,Leyenda!$U$4:$V$10,2,FALSE)</f>
        <v>2</v>
      </c>
      <c r="AL955" s="3"/>
      <c r="AM955" s="3" t="s">
        <v>29</v>
      </c>
      <c r="AN955" s="18" t="s">
        <v>66</v>
      </c>
      <c r="AO955" s="18" t="s">
        <v>79</v>
      </c>
      <c r="AP955" s="18" t="s">
        <v>96</v>
      </c>
      <c r="AQ955" s="18" t="s">
        <v>107</v>
      </c>
      <c r="AR955" s="18" t="s">
        <v>120</v>
      </c>
      <c r="AS955" s="18" t="s">
        <v>267</v>
      </c>
      <c r="AT955" s="18"/>
      <c r="AU955" s="6"/>
      <c r="AV955" s="36">
        <f>+VLOOKUP(AN955,Leyenda!$B$30:$E$34,3,FALSE)</f>
        <v>1</v>
      </c>
      <c r="AW955" s="36">
        <f>+VLOOKUP('2. Logging Brejo Seco'!AO955,Meteorizacion,3,FALSE)</f>
        <v>1</v>
      </c>
      <c r="AX955" s="36">
        <f>+VLOOKUP('2. Logging Brejo Seco'!AP955,Apertura,3,FALSE)</f>
        <v>1</v>
      </c>
      <c r="AY955" s="36">
        <f>+VLOOKUP('2. Logging Brejo Seco'!AQ955,Leyenda!$B$55:$D$59,3,FALSE)</f>
        <v>3</v>
      </c>
      <c r="AZ955" s="36">
        <f>+VLOOKUP('2. Logging Brejo Seco'!AR955,Relleno,3,FALSE)</f>
        <v>2</v>
      </c>
      <c r="BA955" s="36">
        <f t="shared" si="382"/>
        <v>8</v>
      </c>
      <c r="BB955" s="225">
        <f t="shared" si="383"/>
        <v>4</v>
      </c>
      <c r="BC955" s="49">
        <f>VLOOKUP(AH955,Leyenda!$B$4:$D$10,3,FALSE)</f>
        <v>2</v>
      </c>
      <c r="BD955" s="50">
        <f t="shared" si="384"/>
        <v>8</v>
      </c>
      <c r="BE955" s="50">
        <f t="shared" si="385"/>
        <v>8</v>
      </c>
      <c r="BF955" s="50">
        <f>VLOOKUP(AS955,Leyenda!$B$70:$D$75,3,FALSE)</f>
        <v>15</v>
      </c>
      <c r="BG955" s="110">
        <f t="shared" si="386"/>
        <v>22</v>
      </c>
      <c r="BH955" s="110">
        <f>VLOOKUP(AG955,Leyenda!$B$4:$E$10,4,FALSE)</f>
        <v>2</v>
      </c>
      <c r="BI955" s="67">
        <f t="shared" si="387"/>
        <v>10</v>
      </c>
      <c r="BJ955" s="110">
        <f t="shared" si="388"/>
        <v>4</v>
      </c>
      <c r="BK955" s="110">
        <f>+VLOOKUP('2. Logging Brejo Seco'!AP955,Leyenda!$B$47:$E$51,4,FALSE)</f>
        <v>1</v>
      </c>
      <c r="BL955" s="110">
        <f>+VLOOKUP('2. Logging Brejo Seco'!AQ955,Leyenda!$B$55:$E$59,4,FALSE)</f>
        <v>3</v>
      </c>
      <c r="BM955" s="110">
        <f>+VLOOKUP('2. Logging Brejo Seco'!AR955,Leyenda!$B$63:$E$67,3,FALSE)</f>
        <v>2</v>
      </c>
      <c r="BN955" s="110">
        <f>+VLOOKUP('2. Logging Brejo Seco'!AO955,Leyenda!$B$39:$E$43,4,FALSE)</f>
        <v>1</v>
      </c>
      <c r="BO955" s="110">
        <f>+VLOOKUP('2. Logging Brejo Seco'!AN955,Leyenda!$B$30:$E$34,4,FALSE)</f>
        <v>1</v>
      </c>
      <c r="BP955" s="110">
        <f>VLOOKUP(AS955,Leyenda!$B$71:$E$75,4,FALSE)</f>
        <v>10</v>
      </c>
      <c r="BQ955" s="110">
        <f t="shared" si="389"/>
        <v>34</v>
      </c>
      <c r="BR955" s="36">
        <f t="shared" si="390"/>
        <v>37</v>
      </c>
      <c r="BS955" s="240">
        <f t="shared" si="361"/>
        <v>0.26874999999999993</v>
      </c>
      <c r="BT955" s="6"/>
    </row>
    <row r="956" spans="1:72" x14ac:dyDescent="0.25">
      <c r="A956" s="18" t="s">
        <v>6</v>
      </c>
      <c r="B956" s="18">
        <v>2024</v>
      </c>
      <c r="C956" s="18" t="s">
        <v>138</v>
      </c>
      <c r="D956" s="18" t="s">
        <v>663</v>
      </c>
      <c r="E956" s="3">
        <v>60</v>
      </c>
      <c r="F956" s="191">
        <v>30</v>
      </c>
      <c r="G956" s="3" t="s">
        <v>136</v>
      </c>
      <c r="H956" s="245">
        <f t="shared" ref="H956:H960" si="391">+F956</f>
        <v>30</v>
      </c>
      <c r="I956" s="244" t="s">
        <v>759</v>
      </c>
      <c r="J956" s="244"/>
      <c r="K956" s="18">
        <f t="shared" si="381"/>
        <v>8.6999999999999993</v>
      </c>
      <c r="L956" s="18">
        <v>9.9499999999999993</v>
      </c>
      <c r="M956" s="4">
        <f t="shared" si="363"/>
        <v>1.25</v>
      </c>
      <c r="N956" s="113">
        <f t="shared" si="366"/>
        <v>0.70399999999999996</v>
      </c>
      <c r="O956" s="5">
        <f t="shared" si="379"/>
        <v>0.29600000000000004</v>
      </c>
      <c r="P956" s="3">
        <v>0.88</v>
      </c>
      <c r="Q956" s="6"/>
      <c r="R956" s="6"/>
      <c r="S956" s="6"/>
      <c r="T956" s="6">
        <v>0.88</v>
      </c>
      <c r="U956" s="6">
        <v>0.11</v>
      </c>
      <c r="V956" s="18">
        <f t="shared" si="359"/>
        <v>8.7999999999999989</v>
      </c>
      <c r="W956" s="6"/>
      <c r="X956" s="6"/>
      <c r="Y956" s="224">
        <v>13</v>
      </c>
      <c r="Z956" s="31">
        <f t="shared" si="362"/>
        <v>96.15384615384616</v>
      </c>
      <c r="AA956" s="6"/>
      <c r="AB956" s="6"/>
      <c r="AC956" s="6"/>
      <c r="AD956" s="6"/>
      <c r="AE956" s="6"/>
      <c r="AF956" s="6"/>
      <c r="AG956" s="3" t="s">
        <v>29</v>
      </c>
      <c r="AH956" s="3" t="s">
        <v>29</v>
      </c>
      <c r="AI956" s="18" t="str">
        <f>+VLOOKUP(AH956,Leyenda!$O$4:$U$10,6,FALSE)</f>
        <v>0,25-0,35</v>
      </c>
      <c r="AJ956" s="18" t="str">
        <f>+VLOOKUP(AG956,Leyenda!$O$4:$U$10,7,FALSE)</f>
        <v>No Blasting need</v>
      </c>
      <c r="AK956" s="18">
        <f>+VLOOKUP(AJ956,Leyenda!$U$4:$V$10,2,FALSE)</f>
        <v>2</v>
      </c>
      <c r="AL956" s="3"/>
      <c r="AM956" s="3" t="s">
        <v>29</v>
      </c>
      <c r="AN956" s="18" t="s">
        <v>66</v>
      </c>
      <c r="AO956" s="18" t="s">
        <v>79</v>
      </c>
      <c r="AP956" s="18" t="s">
        <v>96</v>
      </c>
      <c r="AQ956" s="18" t="s">
        <v>107</v>
      </c>
      <c r="AR956" s="18" t="s">
        <v>120</v>
      </c>
      <c r="AS956" s="18" t="s">
        <v>267</v>
      </c>
      <c r="AT956" s="18"/>
      <c r="AU956" s="6"/>
      <c r="AV956" s="36">
        <f>+VLOOKUP(AN956,Leyenda!$B$30:$E$34,3,FALSE)</f>
        <v>1</v>
      </c>
      <c r="AW956" s="36">
        <f>+VLOOKUP('2. Logging Brejo Seco'!AO956,Meteorizacion,3,FALSE)</f>
        <v>1</v>
      </c>
      <c r="AX956" s="36">
        <f>+VLOOKUP('2. Logging Brejo Seco'!AP956,Apertura,3,FALSE)</f>
        <v>1</v>
      </c>
      <c r="AY956" s="36">
        <f>+VLOOKUP('2. Logging Brejo Seco'!AQ956,Leyenda!$B$55:$D$59,3,FALSE)</f>
        <v>3</v>
      </c>
      <c r="AZ956" s="36">
        <f>+VLOOKUP('2. Logging Brejo Seco'!AR956,Relleno,3,FALSE)</f>
        <v>2</v>
      </c>
      <c r="BA956" s="36">
        <f t="shared" si="382"/>
        <v>8</v>
      </c>
      <c r="BB956" s="225">
        <f t="shared" si="383"/>
        <v>2</v>
      </c>
      <c r="BC956" s="49">
        <f>VLOOKUP(AH956,Leyenda!$B$4:$D$10,3,FALSE)</f>
        <v>2</v>
      </c>
      <c r="BD956" s="50">
        <f t="shared" si="384"/>
        <v>7</v>
      </c>
      <c r="BE956" s="50">
        <f t="shared" si="385"/>
        <v>8</v>
      </c>
      <c r="BF956" s="50">
        <f>VLOOKUP(AS956,Leyenda!$B$70:$D$75,3,FALSE)</f>
        <v>15</v>
      </c>
      <c r="BG956" s="110">
        <f t="shared" si="386"/>
        <v>16.399999999999999</v>
      </c>
      <c r="BH956" s="110">
        <f>VLOOKUP(AG956,Leyenda!$B$4:$E$10,4,FALSE)</f>
        <v>2</v>
      </c>
      <c r="BI956" s="67">
        <f t="shared" si="387"/>
        <v>8</v>
      </c>
      <c r="BJ956" s="110">
        <f t="shared" si="388"/>
        <v>2</v>
      </c>
      <c r="BK956" s="110">
        <f>+VLOOKUP('2. Logging Brejo Seco'!AP956,Leyenda!$B$47:$E$51,4,FALSE)</f>
        <v>1</v>
      </c>
      <c r="BL956" s="110">
        <f>+VLOOKUP('2. Logging Brejo Seco'!AQ956,Leyenda!$B$55:$E$59,4,FALSE)</f>
        <v>3</v>
      </c>
      <c r="BM956" s="110">
        <f>+VLOOKUP('2. Logging Brejo Seco'!AR956,Leyenda!$B$63:$E$67,3,FALSE)</f>
        <v>2</v>
      </c>
      <c r="BN956" s="110">
        <f>+VLOOKUP('2. Logging Brejo Seco'!AO956,Leyenda!$B$39:$E$43,4,FALSE)</f>
        <v>1</v>
      </c>
      <c r="BO956" s="110">
        <f>+VLOOKUP('2. Logging Brejo Seco'!AN956,Leyenda!$B$30:$E$34,4,FALSE)</f>
        <v>1</v>
      </c>
      <c r="BP956" s="110">
        <f>VLOOKUP(AS956,Leyenda!$B$71:$E$75,4,FALSE)</f>
        <v>10</v>
      </c>
      <c r="BQ956" s="110">
        <f t="shared" si="389"/>
        <v>30</v>
      </c>
      <c r="BR956" s="36">
        <f t="shared" si="390"/>
        <v>34</v>
      </c>
      <c r="BS956" s="240">
        <f t="shared" si="361"/>
        <v>0.29600000000000004</v>
      </c>
      <c r="BT956" s="6"/>
    </row>
    <row r="957" spans="1:72" x14ac:dyDescent="0.25">
      <c r="A957" s="18" t="s">
        <v>6</v>
      </c>
      <c r="B957" s="18">
        <v>2024</v>
      </c>
      <c r="C957" s="18" t="s">
        <v>138</v>
      </c>
      <c r="D957" s="18" t="s">
        <v>663</v>
      </c>
      <c r="E957" s="3">
        <v>60</v>
      </c>
      <c r="F957" s="191">
        <v>10</v>
      </c>
      <c r="G957" s="3" t="s">
        <v>136</v>
      </c>
      <c r="H957" s="245">
        <f t="shared" si="391"/>
        <v>10</v>
      </c>
      <c r="I957" s="244" t="s">
        <v>761</v>
      </c>
      <c r="J957" s="244"/>
      <c r="K957" s="18">
        <f t="shared" si="381"/>
        <v>9.9499999999999993</v>
      </c>
      <c r="L957" s="18">
        <v>11.85</v>
      </c>
      <c r="M957" s="4">
        <f t="shared" si="363"/>
        <v>1.9000000000000004</v>
      </c>
      <c r="N957" s="113">
        <f t="shared" si="366"/>
        <v>0.86315789473684201</v>
      </c>
      <c r="O957" s="5">
        <f t="shared" si="379"/>
        <v>0.13684210526315799</v>
      </c>
      <c r="P957" s="3">
        <f>1.1+0.54</f>
        <v>1.6400000000000001</v>
      </c>
      <c r="Q957" s="6"/>
      <c r="R957" s="6"/>
      <c r="S957" s="6"/>
      <c r="T957" s="6">
        <v>1.64</v>
      </c>
      <c r="U957" s="6">
        <f>0.45+0.94</f>
        <v>1.39</v>
      </c>
      <c r="V957" s="18">
        <f t="shared" si="359"/>
        <v>73.157894736842081</v>
      </c>
      <c r="W957" s="6"/>
      <c r="X957" s="6"/>
      <c r="Y957" s="6">
        <v>6</v>
      </c>
      <c r="Z957" s="31">
        <f t="shared" si="362"/>
        <v>316.66666666666674</v>
      </c>
      <c r="AA957" s="6"/>
      <c r="AB957" s="6"/>
      <c r="AC957" s="6"/>
      <c r="AD957" s="6"/>
      <c r="AE957" s="6"/>
      <c r="AF957" s="6"/>
      <c r="AG957" s="3" t="s">
        <v>29</v>
      </c>
      <c r="AH957" s="3" t="s">
        <v>29</v>
      </c>
      <c r="AI957" s="18" t="str">
        <f>+VLOOKUP(AH957,Leyenda!$O$4:$U$10,6,FALSE)</f>
        <v>0,25-0,35</v>
      </c>
      <c r="AJ957" s="18" t="str">
        <f>+VLOOKUP(AG957,Leyenda!$O$4:$U$10,7,FALSE)</f>
        <v>No Blasting need</v>
      </c>
      <c r="AK957" s="18">
        <f>+VLOOKUP(AJ957,Leyenda!$U$4:$V$10,2,FALSE)</f>
        <v>2</v>
      </c>
      <c r="AL957" s="3"/>
      <c r="AM957" s="3" t="s">
        <v>29</v>
      </c>
      <c r="AN957" s="18" t="s">
        <v>66</v>
      </c>
      <c r="AO957" s="18" t="s">
        <v>79</v>
      </c>
      <c r="AP957" s="18" t="s">
        <v>96</v>
      </c>
      <c r="AQ957" s="18" t="s">
        <v>107</v>
      </c>
      <c r="AR957" s="18" t="s">
        <v>120</v>
      </c>
      <c r="AS957" s="18" t="s">
        <v>267</v>
      </c>
      <c r="AT957" s="18"/>
      <c r="AU957" s="6"/>
      <c r="AV957" s="36">
        <f>+VLOOKUP(AN957,Leyenda!$B$30:$E$34,3,FALSE)</f>
        <v>1</v>
      </c>
      <c r="AW957" s="36">
        <f>+VLOOKUP('2. Logging Brejo Seco'!AO957,Meteorizacion,3,FALSE)</f>
        <v>1</v>
      </c>
      <c r="AX957" s="36">
        <f>+VLOOKUP('2. Logging Brejo Seco'!AP957,Apertura,3,FALSE)</f>
        <v>1</v>
      </c>
      <c r="AY957" s="36">
        <f>+VLOOKUP('2. Logging Brejo Seco'!AQ957,Leyenda!$B$55:$D$59,3,FALSE)</f>
        <v>3</v>
      </c>
      <c r="AZ957" s="36">
        <f>+VLOOKUP('2. Logging Brejo Seco'!AR957,Relleno,3,FALSE)</f>
        <v>2</v>
      </c>
      <c r="BA957" s="36">
        <f t="shared" si="382"/>
        <v>8</v>
      </c>
      <c r="BB957" s="50">
        <f t="shared" si="383"/>
        <v>15</v>
      </c>
      <c r="BC957" s="49">
        <f>VLOOKUP(AH957,Leyenda!$B$4:$D$10,3,FALSE)</f>
        <v>2</v>
      </c>
      <c r="BD957" s="50">
        <f t="shared" si="384"/>
        <v>11</v>
      </c>
      <c r="BE957" s="50">
        <f t="shared" si="385"/>
        <v>8</v>
      </c>
      <c r="BF957" s="50">
        <f>VLOOKUP(AS957,Leyenda!$B$70:$D$75,3,FALSE)</f>
        <v>15</v>
      </c>
      <c r="BG957" s="110">
        <f t="shared" si="386"/>
        <v>48.578947368421041</v>
      </c>
      <c r="BH957" s="110">
        <f>VLOOKUP(AG957,Leyenda!$B$4:$E$10,4,FALSE)</f>
        <v>2</v>
      </c>
      <c r="BI957" s="67">
        <f t="shared" si="387"/>
        <v>15</v>
      </c>
      <c r="BJ957" s="110">
        <f t="shared" si="388"/>
        <v>15</v>
      </c>
      <c r="BK957" s="110">
        <f>+VLOOKUP('2. Logging Brejo Seco'!AP957,Leyenda!$B$47:$E$51,4,FALSE)</f>
        <v>1</v>
      </c>
      <c r="BL957" s="110">
        <f>+VLOOKUP('2. Logging Brejo Seco'!AQ957,Leyenda!$B$55:$E$59,4,FALSE)</f>
        <v>3</v>
      </c>
      <c r="BM957" s="110">
        <f>+VLOOKUP('2. Logging Brejo Seco'!AR957,Leyenda!$B$63:$E$67,3,FALSE)</f>
        <v>2</v>
      </c>
      <c r="BN957" s="110">
        <f>+VLOOKUP('2. Logging Brejo Seco'!AO957,Leyenda!$B$39:$E$43,4,FALSE)</f>
        <v>1</v>
      </c>
      <c r="BO957" s="110">
        <f>+VLOOKUP('2. Logging Brejo Seco'!AN957,Leyenda!$B$30:$E$34,4,FALSE)</f>
        <v>1</v>
      </c>
      <c r="BP957" s="110">
        <f>VLOOKUP(AS957,Leyenda!$B$71:$E$75,4,FALSE)</f>
        <v>10</v>
      </c>
      <c r="BQ957" s="110">
        <f t="shared" si="389"/>
        <v>50</v>
      </c>
      <c r="BR957" s="36">
        <f t="shared" si="390"/>
        <v>51</v>
      </c>
      <c r="BS957" s="240">
        <f t="shared" si="361"/>
        <v>0.13684210526315799</v>
      </c>
      <c r="BT957" s="6"/>
    </row>
    <row r="958" spans="1:72" x14ac:dyDescent="0.25">
      <c r="A958" s="18" t="s">
        <v>6</v>
      </c>
      <c r="B958" s="18">
        <v>2024</v>
      </c>
      <c r="C958" s="18" t="s">
        <v>138</v>
      </c>
      <c r="D958" s="18" t="s">
        <v>663</v>
      </c>
      <c r="E958" s="3">
        <v>30</v>
      </c>
      <c r="F958" s="191">
        <v>30</v>
      </c>
      <c r="G958" s="18" t="s">
        <v>152</v>
      </c>
      <c r="H958" s="245">
        <f t="shared" si="391"/>
        <v>30</v>
      </c>
      <c r="I958" s="244" t="s">
        <v>759</v>
      </c>
      <c r="J958" s="244"/>
      <c r="K958" s="18">
        <f t="shared" si="381"/>
        <v>11.85</v>
      </c>
      <c r="L958" s="18">
        <v>13.25</v>
      </c>
      <c r="M958" s="4">
        <f t="shared" si="363"/>
        <v>1.4000000000000004</v>
      </c>
      <c r="N958" s="113">
        <f t="shared" si="366"/>
        <v>0.71428571428571408</v>
      </c>
      <c r="O958" s="5">
        <f t="shared" si="379"/>
        <v>0.28571428571428592</v>
      </c>
      <c r="P958" s="3">
        <v>1</v>
      </c>
      <c r="Q958" s="6"/>
      <c r="R958" s="6"/>
      <c r="S958" s="6"/>
      <c r="T958" s="6">
        <v>1</v>
      </c>
      <c r="U958" s="6">
        <v>0.37</v>
      </c>
      <c r="V958" s="18">
        <f t="shared" si="359"/>
        <v>26.428571428571423</v>
      </c>
      <c r="W958" s="6"/>
      <c r="X958" s="6"/>
      <c r="Y958" s="224">
        <v>9</v>
      </c>
      <c r="Z958" s="31">
        <f t="shared" si="362"/>
        <v>155.5555555555556</v>
      </c>
      <c r="AA958" s="6"/>
      <c r="AB958" s="6"/>
      <c r="AC958" s="6"/>
      <c r="AD958" s="6"/>
      <c r="AE958" s="6"/>
      <c r="AF958" s="6"/>
      <c r="AG958" s="3" t="s">
        <v>29</v>
      </c>
      <c r="AH958" s="3" t="s">
        <v>29</v>
      </c>
      <c r="AI958" s="18" t="str">
        <f>+VLOOKUP(AH958,Leyenda!$O$4:$U$10,6,FALSE)</f>
        <v>0,25-0,35</v>
      </c>
      <c r="AJ958" s="18" t="str">
        <f>+VLOOKUP(AG958,Leyenda!$O$4:$U$10,7,FALSE)</f>
        <v>No Blasting need</v>
      </c>
      <c r="AK958" s="18">
        <f>+VLOOKUP(AJ958,Leyenda!$U$4:$V$10,2,FALSE)</f>
        <v>2</v>
      </c>
      <c r="AL958" s="3"/>
      <c r="AM958" s="3" t="s">
        <v>29</v>
      </c>
      <c r="AN958" s="18" t="s">
        <v>66</v>
      </c>
      <c r="AO958" s="18" t="s">
        <v>79</v>
      </c>
      <c r="AP958" s="18" t="s">
        <v>96</v>
      </c>
      <c r="AQ958" s="18" t="s">
        <v>107</v>
      </c>
      <c r="AR958" s="18" t="s">
        <v>120</v>
      </c>
      <c r="AS958" s="18" t="s">
        <v>267</v>
      </c>
      <c r="AT958" s="18"/>
      <c r="AU958" s="6"/>
      <c r="AV958" s="36">
        <f>+VLOOKUP(AN958,Leyenda!$B$30:$E$34,3,FALSE)</f>
        <v>1</v>
      </c>
      <c r="AW958" s="36">
        <f>+VLOOKUP('2. Logging Brejo Seco'!AO958,Meteorizacion,3,FALSE)</f>
        <v>1</v>
      </c>
      <c r="AX958" s="36">
        <f>+VLOOKUP('2. Logging Brejo Seco'!AP958,Apertura,3,FALSE)</f>
        <v>1</v>
      </c>
      <c r="AY958" s="36">
        <f>+VLOOKUP('2. Logging Brejo Seco'!AQ958,Leyenda!$B$55:$D$59,3,FALSE)</f>
        <v>3</v>
      </c>
      <c r="AZ958" s="36">
        <f>+VLOOKUP('2. Logging Brejo Seco'!AR958,Relleno,3,FALSE)</f>
        <v>2</v>
      </c>
      <c r="BA958" s="36">
        <f t="shared" si="382"/>
        <v>8</v>
      </c>
      <c r="BB958" s="225">
        <f t="shared" si="383"/>
        <v>6</v>
      </c>
      <c r="BC958" s="49">
        <f>VLOOKUP(AH958,Leyenda!$B$4:$D$10,3,FALSE)</f>
        <v>2</v>
      </c>
      <c r="BD958" s="50">
        <f t="shared" si="384"/>
        <v>8</v>
      </c>
      <c r="BE958" s="50">
        <f t="shared" si="385"/>
        <v>8</v>
      </c>
      <c r="BF958" s="50">
        <f>VLOOKUP(AS958,Leyenda!$B$70:$D$75,3,FALSE)</f>
        <v>15</v>
      </c>
      <c r="BG958" s="110">
        <f t="shared" si="386"/>
        <v>25.214285714285712</v>
      </c>
      <c r="BH958" s="110">
        <f>VLOOKUP(AG958,Leyenda!$B$4:$E$10,4,FALSE)</f>
        <v>2</v>
      </c>
      <c r="BI958" s="67">
        <f t="shared" si="387"/>
        <v>11</v>
      </c>
      <c r="BJ958" s="110">
        <f t="shared" si="388"/>
        <v>6</v>
      </c>
      <c r="BK958" s="110">
        <f>+VLOOKUP('2. Logging Brejo Seco'!AP958,Leyenda!$B$47:$E$51,4,FALSE)</f>
        <v>1</v>
      </c>
      <c r="BL958" s="110">
        <f>+VLOOKUP('2. Logging Brejo Seco'!AQ958,Leyenda!$B$55:$E$59,4,FALSE)</f>
        <v>3</v>
      </c>
      <c r="BM958" s="110">
        <f>+VLOOKUP('2. Logging Brejo Seco'!AR958,Leyenda!$B$63:$E$67,3,FALSE)</f>
        <v>2</v>
      </c>
      <c r="BN958" s="110">
        <f>+VLOOKUP('2. Logging Brejo Seco'!AO958,Leyenda!$B$39:$E$43,4,FALSE)</f>
        <v>1</v>
      </c>
      <c r="BO958" s="110">
        <f>+VLOOKUP('2. Logging Brejo Seco'!AN958,Leyenda!$B$30:$E$34,4,FALSE)</f>
        <v>1</v>
      </c>
      <c r="BP958" s="110">
        <f>VLOOKUP(AS958,Leyenda!$B$71:$E$75,4,FALSE)</f>
        <v>10</v>
      </c>
      <c r="BQ958" s="110">
        <f t="shared" si="389"/>
        <v>37</v>
      </c>
      <c r="BR958" s="36">
        <f t="shared" si="390"/>
        <v>39</v>
      </c>
      <c r="BS958" s="240">
        <f t="shared" si="361"/>
        <v>0.28571428571428592</v>
      </c>
      <c r="BT958" s="6"/>
    </row>
    <row r="959" spans="1:72" x14ac:dyDescent="0.25">
      <c r="A959" s="18" t="s">
        <v>6</v>
      </c>
      <c r="B959" s="18">
        <v>2024</v>
      </c>
      <c r="C959" s="18" t="s">
        <v>138</v>
      </c>
      <c r="D959" s="18" t="s">
        <v>663</v>
      </c>
      <c r="E959" s="3">
        <v>30</v>
      </c>
      <c r="F959" s="191">
        <v>30</v>
      </c>
      <c r="G959" s="18" t="s">
        <v>152</v>
      </c>
      <c r="H959" s="245">
        <f t="shared" si="391"/>
        <v>30</v>
      </c>
      <c r="I959" s="244" t="s">
        <v>759</v>
      </c>
      <c r="J959" s="244"/>
      <c r="K959" s="18">
        <f t="shared" si="381"/>
        <v>13.25</v>
      </c>
      <c r="L959" s="18">
        <v>14.15</v>
      </c>
      <c r="M959" s="4">
        <f t="shared" si="363"/>
        <v>0.90000000000000036</v>
      </c>
      <c r="N959" s="113">
        <f t="shared" si="366"/>
        <v>0.69999999999999973</v>
      </c>
      <c r="O959" s="5">
        <f t="shared" si="379"/>
        <v>0.30000000000000027</v>
      </c>
      <c r="P959" s="3">
        <v>0.63</v>
      </c>
      <c r="Q959" s="6"/>
      <c r="R959" s="6"/>
      <c r="S959" s="6"/>
      <c r="T959" s="6">
        <f>0.36+0.27</f>
        <v>0.63</v>
      </c>
      <c r="U959" s="6">
        <v>0.38</v>
      </c>
      <c r="V959" s="18">
        <f t="shared" si="359"/>
        <v>42.222222222222207</v>
      </c>
      <c r="W959" s="6"/>
      <c r="X959" s="6"/>
      <c r="Y959" s="224">
        <v>6</v>
      </c>
      <c r="Z959" s="31">
        <f t="shared" si="362"/>
        <v>150.00000000000006</v>
      </c>
      <c r="AA959" s="6"/>
      <c r="AB959" s="6"/>
      <c r="AC959" s="6"/>
      <c r="AD959" s="6"/>
      <c r="AE959" s="6"/>
      <c r="AF959" s="6"/>
      <c r="AG959" s="3" t="s">
        <v>29</v>
      </c>
      <c r="AH959" s="3" t="s">
        <v>29</v>
      </c>
      <c r="AI959" s="18" t="str">
        <f>+VLOOKUP(AH959,Leyenda!$O$4:$U$10,6,FALSE)</f>
        <v>0,25-0,35</v>
      </c>
      <c r="AJ959" s="18" t="str">
        <f>+VLOOKUP(AG959,Leyenda!$O$4:$U$10,7,FALSE)</f>
        <v>No Blasting need</v>
      </c>
      <c r="AK959" s="18">
        <f>+VLOOKUP(AJ959,Leyenda!$U$4:$V$10,2,FALSE)</f>
        <v>2</v>
      </c>
      <c r="AL959" s="3"/>
      <c r="AM959" s="3" t="s">
        <v>29</v>
      </c>
      <c r="AN959" s="18" t="s">
        <v>66</v>
      </c>
      <c r="AO959" s="18" t="s">
        <v>79</v>
      </c>
      <c r="AP959" s="18" t="s">
        <v>96</v>
      </c>
      <c r="AQ959" s="18" t="s">
        <v>107</v>
      </c>
      <c r="AR959" s="18" t="s">
        <v>120</v>
      </c>
      <c r="AS959" s="18" t="s">
        <v>267</v>
      </c>
      <c r="AT959" s="18"/>
      <c r="AU959" s="6"/>
      <c r="AV959" s="36">
        <f>+VLOOKUP(AN959,Leyenda!$B$30:$E$34,3,FALSE)</f>
        <v>1</v>
      </c>
      <c r="AW959" s="36">
        <f>+VLOOKUP('2. Logging Brejo Seco'!AO959,Meteorizacion,3,FALSE)</f>
        <v>1</v>
      </c>
      <c r="AX959" s="36">
        <f>+VLOOKUP('2. Logging Brejo Seco'!AP959,Apertura,3,FALSE)</f>
        <v>1</v>
      </c>
      <c r="AY959" s="36">
        <f>+VLOOKUP('2. Logging Brejo Seco'!AQ959,Leyenda!$B$55:$D$59,3,FALSE)</f>
        <v>3</v>
      </c>
      <c r="AZ959" s="36">
        <f>+VLOOKUP('2. Logging Brejo Seco'!AR959,Relleno,3,FALSE)</f>
        <v>2</v>
      </c>
      <c r="BA959" s="36">
        <f t="shared" si="382"/>
        <v>8</v>
      </c>
      <c r="BB959" s="225">
        <f t="shared" si="383"/>
        <v>9</v>
      </c>
      <c r="BC959" s="49">
        <f>VLOOKUP(AH959,Leyenda!$B$4:$D$10,3,FALSE)</f>
        <v>2</v>
      </c>
      <c r="BD959" s="50">
        <f t="shared" si="384"/>
        <v>8</v>
      </c>
      <c r="BE959" s="50">
        <f t="shared" si="385"/>
        <v>8</v>
      </c>
      <c r="BF959" s="50">
        <f>VLOOKUP(AS959,Leyenda!$B$70:$D$75,3,FALSE)</f>
        <v>15</v>
      </c>
      <c r="BG959" s="110">
        <f t="shared" si="386"/>
        <v>33.1111111111111</v>
      </c>
      <c r="BH959" s="110">
        <f>VLOOKUP(AG959,Leyenda!$B$4:$E$10,4,FALSE)</f>
        <v>2</v>
      </c>
      <c r="BI959" s="67">
        <f t="shared" si="387"/>
        <v>11</v>
      </c>
      <c r="BJ959" s="110">
        <f t="shared" si="388"/>
        <v>9</v>
      </c>
      <c r="BK959" s="110">
        <f>+VLOOKUP('2. Logging Brejo Seco'!AP959,Leyenda!$B$47:$E$51,4,FALSE)</f>
        <v>1</v>
      </c>
      <c r="BL959" s="110">
        <f>+VLOOKUP('2. Logging Brejo Seco'!AQ959,Leyenda!$B$55:$E$59,4,FALSE)</f>
        <v>3</v>
      </c>
      <c r="BM959" s="110">
        <f>+VLOOKUP('2. Logging Brejo Seco'!AR959,Leyenda!$B$63:$E$67,3,FALSE)</f>
        <v>2</v>
      </c>
      <c r="BN959" s="110">
        <f>+VLOOKUP('2. Logging Brejo Seco'!AO959,Leyenda!$B$39:$E$43,4,FALSE)</f>
        <v>1</v>
      </c>
      <c r="BO959" s="110">
        <f>+VLOOKUP('2. Logging Brejo Seco'!AN959,Leyenda!$B$30:$E$34,4,FALSE)</f>
        <v>1</v>
      </c>
      <c r="BP959" s="110">
        <f>VLOOKUP(AS959,Leyenda!$B$71:$E$75,4,FALSE)</f>
        <v>10</v>
      </c>
      <c r="BQ959" s="110">
        <f t="shared" si="389"/>
        <v>40</v>
      </c>
      <c r="BR959" s="36">
        <f t="shared" si="390"/>
        <v>42</v>
      </c>
      <c r="BS959" s="240">
        <f t="shared" si="361"/>
        <v>0.30000000000000027</v>
      </c>
      <c r="BT959" s="6"/>
    </row>
    <row r="960" spans="1:72" x14ac:dyDescent="0.25">
      <c r="A960" s="18" t="s">
        <v>6</v>
      </c>
      <c r="B960" s="18">
        <v>2024</v>
      </c>
      <c r="C960" s="18" t="s">
        <v>138</v>
      </c>
      <c r="D960" s="18" t="s">
        <v>663</v>
      </c>
      <c r="E960" s="3">
        <v>30</v>
      </c>
      <c r="F960" s="191">
        <v>30</v>
      </c>
      <c r="G960" s="18" t="s">
        <v>152</v>
      </c>
      <c r="H960" s="245">
        <f t="shared" si="391"/>
        <v>30</v>
      </c>
      <c r="I960" s="244" t="s">
        <v>759</v>
      </c>
      <c r="J960" s="244"/>
      <c r="K960" s="18">
        <f t="shared" si="381"/>
        <v>14.15</v>
      </c>
      <c r="L960" s="18">
        <v>15.55</v>
      </c>
      <c r="M960" s="4">
        <f t="shared" si="363"/>
        <v>1.4000000000000004</v>
      </c>
      <c r="N960" s="113">
        <f t="shared" si="366"/>
        <v>0.85714285714285687</v>
      </c>
      <c r="O960" s="5">
        <f t="shared" si="379"/>
        <v>0.14285714285714313</v>
      </c>
      <c r="P960" s="3">
        <v>1.2</v>
      </c>
      <c r="Q960" s="6"/>
      <c r="R960" s="6"/>
      <c r="S960" s="6"/>
      <c r="T960" s="6">
        <v>1.2</v>
      </c>
      <c r="U960" s="6">
        <v>0.63</v>
      </c>
      <c r="V960" s="18">
        <f t="shared" si="359"/>
        <v>44.999999999999993</v>
      </c>
      <c r="W960" s="6"/>
      <c r="X960" s="6"/>
      <c r="Y960" s="224">
        <v>8</v>
      </c>
      <c r="Z960" s="31">
        <f t="shared" si="362"/>
        <v>175.00000000000006</v>
      </c>
      <c r="AA960" s="6"/>
      <c r="AB960" s="6"/>
      <c r="AC960" s="6"/>
      <c r="AD960" s="6"/>
      <c r="AE960" s="6"/>
      <c r="AF960" s="6"/>
      <c r="AG960" s="3" t="s">
        <v>29</v>
      </c>
      <c r="AH960" s="3" t="s">
        <v>29</v>
      </c>
      <c r="AI960" s="18" t="str">
        <f>+VLOOKUP(AH960,Leyenda!$O$4:$U$10,6,FALSE)</f>
        <v>0,25-0,35</v>
      </c>
      <c r="AJ960" s="18" t="str">
        <f>+VLOOKUP(AG960,Leyenda!$O$4:$U$10,7,FALSE)</f>
        <v>No Blasting need</v>
      </c>
      <c r="AK960" s="18">
        <f>+VLOOKUP(AJ960,Leyenda!$U$4:$V$10,2,FALSE)</f>
        <v>2</v>
      </c>
      <c r="AL960" s="3"/>
      <c r="AM960" s="3" t="s">
        <v>29</v>
      </c>
      <c r="AN960" s="18" t="s">
        <v>66</v>
      </c>
      <c r="AO960" s="18" t="s">
        <v>79</v>
      </c>
      <c r="AP960" s="18" t="s">
        <v>96</v>
      </c>
      <c r="AQ960" s="18" t="s">
        <v>107</v>
      </c>
      <c r="AR960" s="18" t="s">
        <v>120</v>
      </c>
      <c r="AS960" s="18" t="s">
        <v>267</v>
      </c>
      <c r="AT960" s="18"/>
      <c r="AU960" s="6"/>
      <c r="AV960" s="36">
        <f>+VLOOKUP(AN960,Leyenda!$B$30:$E$34,3,FALSE)</f>
        <v>1</v>
      </c>
      <c r="AW960" s="36">
        <f>+VLOOKUP('2. Logging Brejo Seco'!AO960,Meteorizacion,3,FALSE)</f>
        <v>1</v>
      </c>
      <c r="AX960" s="36">
        <f>+VLOOKUP('2. Logging Brejo Seco'!AP960,Apertura,3,FALSE)</f>
        <v>1</v>
      </c>
      <c r="AY960" s="36">
        <f>+VLOOKUP('2. Logging Brejo Seco'!AQ960,Leyenda!$B$55:$D$59,3,FALSE)</f>
        <v>3</v>
      </c>
      <c r="AZ960" s="36">
        <f>+VLOOKUP('2. Logging Brejo Seco'!AR960,Relleno,3,FALSE)</f>
        <v>2</v>
      </c>
      <c r="BA960" s="36">
        <f t="shared" si="382"/>
        <v>8</v>
      </c>
      <c r="BB960" s="225">
        <f t="shared" si="383"/>
        <v>9</v>
      </c>
      <c r="BC960" s="49">
        <f>VLOOKUP(AH960,Leyenda!$B$4:$D$10,3,FALSE)</f>
        <v>2</v>
      </c>
      <c r="BD960" s="50">
        <f t="shared" si="384"/>
        <v>9</v>
      </c>
      <c r="BE960" s="50">
        <f t="shared" si="385"/>
        <v>8</v>
      </c>
      <c r="BF960" s="50">
        <f>VLOOKUP(AS960,Leyenda!$B$70:$D$75,3,FALSE)</f>
        <v>15</v>
      </c>
      <c r="BG960" s="110">
        <f t="shared" si="386"/>
        <v>34.5</v>
      </c>
      <c r="BH960" s="110">
        <f>VLOOKUP(AG960,Leyenda!$B$4:$E$10,4,FALSE)</f>
        <v>2</v>
      </c>
      <c r="BI960" s="67">
        <f t="shared" si="387"/>
        <v>12</v>
      </c>
      <c r="BJ960" s="110">
        <f t="shared" si="388"/>
        <v>9</v>
      </c>
      <c r="BK960" s="110">
        <f>+VLOOKUP('2. Logging Brejo Seco'!AP960,Leyenda!$B$47:$E$51,4,FALSE)</f>
        <v>1</v>
      </c>
      <c r="BL960" s="110">
        <f>+VLOOKUP('2. Logging Brejo Seco'!AQ960,Leyenda!$B$55:$E$59,4,FALSE)</f>
        <v>3</v>
      </c>
      <c r="BM960" s="110">
        <f>+VLOOKUP('2. Logging Brejo Seco'!AR960,Leyenda!$B$63:$E$67,3,FALSE)</f>
        <v>2</v>
      </c>
      <c r="BN960" s="110">
        <f>+VLOOKUP('2. Logging Brejo Seco'!AO960,Leyenda!$B$39:$E$43,4,FALSE)</f>
        <v>1</v>
      </c>
      <c r="BO960" s="110">
        <f>+VLOOKUP('2. Logging Brejo Seco'!AN960,Leyenda!$B$30:$E$34,4,FALSE)</f>
        <v>1</v>
      </c>
      <c r="BP960" s="110">
        <f>VLOOKUP(AS960,Leyenda!$B$71:$E$75,4,FALSE)</f>
        <v>10</v>
      </c>
      <c r="BQ960" s="110">
        <f t="shared" si="389"/>
        <v>41</v>
      </c>
      <c r="BR960" s="36">
        <f t="shared" si="390"/>
        <v>43</v>
      </c>
      <c r="BS960" s="240">
        <f t="shared" si="361"/>
        <v>0.14285714285714313</v>
      </c>
      <c r="BT960" s="6"/>
    </row>
    <row r="961" spans="1:72" x14ac:dyDescent="0.25">
      <c r="A961" s="18" t="s">
        <v>6</v>
      </c>
      <c r="B961" s="18">
        <v>2024</v>
      </c>
      <c r="C961" s="18" t="s">
        <v>138</v>
      </c>
      <c r="D961" s="18" t="s">
        <v>663</v>
      </c>
      <c r="E961" s="3">
        <v>30</v>
      </c>
      <c r="F961" s="191">
        <v>10</v>
      </c>
      <c r="G961" s="18" t="s">
        <v>152</v>
      </c>
      <c r="H961" s="18">
        <v>20</v>
      </c>
      <c r="I961" s="3" t="s">
        <v>760</v>
      </c>
      <c r="J961" s="3"/>
      <c r="K961" s="18">
        <f t="shared" si="381"/>
        <v>15.55</v>
      </c>
      <c r="L961" s="18">
        <v>17.100000000000001</v>
      </c>
      <c r="M961" s="4">
        <f t="shared" si="363"/>
        <v>1.5500000000000007</v>
      </c>
      <c r="N961" s="113">
        <f t="shared" si="366"/>
        <v>0.79354838709677378</v>
      </c>
      <c r="O961" s="5">
        <f t="shared" si="379"/>
        <v>0.20645161290322622</v>
      </c>
      <c r="P961" s="3">
        <f>1.15+0.08</f>
        <v>1.23</v>
      </c>
      <c r="Q961" s="6"/>
      <c r="R961" s="6"/>
      <c r="S961" s="6"/>
      <c r="T961" s="6">
        <v>1.1499999999999999</v>
      </c>
      <c r="U961" s="6">
        <v>0.76</v>
      </c>
      <c r="V961" s="18">
        <f t="shared" si="359"/>
        <v>49.032258064516107</v>
      </c>
      <c r="W961" s="6"/>
      <c r="X961" s="6"/>
      <c r="Y961" s="6">
        <v>8</v>
      </c>
      <c r="Z961" s="31">
        <f t="shared" si="362"/>
        <v>193.75000000000009</v>
      </c>
      <c r="AA961" s="6"/>
      <c r="AB961" s="6"/>
      <c r="AC961" s="6"/>
      <c r="AD961" s="6"/>
      <c r="AE961" s="6"/>
      <c r="AF961" s="6"/>
      <c r="AG961" s="3" t="s">
        <v>29</v>
      </c>
      <c r="AH961" s="3" t="s">
        <v>29</v>
      </c>
      <c r="AI961" s="18" t="str">
        <f>+VLOOKUP(AH961,Leyenda!$O$4:$U$10,6,FALSE)</f>
        <v>0,25-0,35</v>
      </c>
      <c r="AJ961" s="18" t="str">
        <f>+VLOOKUP(AG961,Leyenda!$O$4:$U$10,7,FALSE)</f>
        <v>No Blasting need</v>
      </c>
      <c r="AK961" s="18">
        <f>+VLOOKUP(AJ961,Leyenda!$U$4:$V$10,2,FALSE)</f>
        <v>2</v>
      </c>
      <c r="AL961" s="3"/>
      <c r="AM961" s="3" t="s">
        <v>29</v>
      </c>
      <c r="AN961" s="18" t="s">
        <v>66</v>
      </c>
      <c r="AO961" s="18" t="s">
        <v>79</v>
      </c>
      <c r="AP961" s="18" t="s">
        <v>96</v>
      </c>
      <c r="AQ961" s="18" t="s">
        <v>107</v>
      </c>
      <c r="AR961" s="18" t="s">
        <v>120</v>
      </c>
      <c r="AS961" s="18" t="s">
        <v>267</v>
      </c>
      <c r="AT961" s="18"/>
      <c r="AU961" s="6"/>
      <c r="AV961" s="36">
        <f>+VLOOKUP(AN961,Leyenda!$B$30:$E$34,3,FALSE)</f>
        <v>1</v>
      </c>
      <c r="AW961" s="36">
        <f>+VLOOKUP('2. Logging Brejo Seco'!AO961,Meteorizacion,3,FALSE)</f>
        <v>1</v>
      </c>
      <c r="AX961" s="36">
        <f>+VLOOKUP('2. Logging Brejo Seco'!AP961,Apertura,3,FALSE)</f>
        <v>1</v>
      </c>
      <c r="AY961" s="36">
        <f>+VLOOKUP('2. Logging Brejo Seco'!AQ961,Leyenda!$B$55:$D$59,3,FALSE)</f>
        <v>3</v>
      </c>
      <c r="AZ961" s="36">
        <f>+VLOOKUP('2. Logging Brejo Seco'!AR961,Relleno,3,FALSE)</f>
        <v>2</v>
      </c>
      <c r="BA961" s="36">
        <f t="shared" si="382"/>
        <v>8</v>
      </c>
      <c r="BB961" s="50">
        <f t="shared" si="383"/>
        <v>10</v>
      </c>
      <c r="BC961" s="49">
        <f>VLOOKUP(AH961,Leyenda!$B$4:$D$10,3,FALSE)</f>
        <v>2</v>
      </c>
      <c r="BD961" s="50">
        <f t="shared" si="384"/>
        <v>9</v>
      </c>
      <c r="BE961" s="50">
        <f t="shared" si="385"/>
        <v>8</v>
      </c>
      <c r="BF961" s="50">
        <f>VLOOKUP(AS961,Leyenda!$B$70:$D$75,3,FALSE)</f>
        <v>15</v>
      </c>
      <c r="BG961" s="110">
        <f t="shared" si="386"/>
        <v>36.51612903225805</v>
      </c>
      <c r="BH961" s="110">
        <f>VLOOKUP(AG961,Leyenda!$B$4:$E$10,4,FALSE)</f>
        <v>2</v>
      </c>
      <c r="BI961" s="67">
        <f t="shared" si="387"/>
        <v>12</v>
      </c>
      <c r="BJ961" s="110">
        <f t="shared" si="388"/>
        <v>10</v>
      </c>
      <c r="BK961" s="110">
        <f>+VLOOKUP('2. Logging Brejo Seco'!AP961,Leyenda!$B$47:$E$51,4,FALSE)</f>
        <v>1</v>
      </c>
      <c r="BL961" s="110">
        <f>+VLOOKUP('2. Logging Brejo Seco'!AQ961,Leyenda!$B$55:$E$59,4,FALSE)</f>
        <v>3</v>
      </c>
      <c r="BM961" s="110">
        <f>+VLOOKUP('2. Logging Brejo Seco'!AR961,Leyenda!$B$63:$E$67,3,FALSE)</f>
        <v>2</v>
      </c>
      <c r="BN961" s="110">
        <f>+VLOOKUP('2. Logging Brejo Seco'!AO961,Leyenda!$B$39:$E$43,4,FALSE)</f>
        <v>1</v>
      </c>
      <c r="BO961" s="110">
        <f>+VLOOKUP('2. Logging Brejo Seco'!AN961,Leyenda!$B$30:$E$34,4,FALSE)</f>
        <v>1</v>
      </c>
      <c r="BP961" s="110">
        <f>VLOOKUP(AS961,Leyenda!$B$71:$E$75,4,FALSE)</f>
        <v>10</v>
      </c>
      <c r="BQ961" s="110">
        <f t="shared" si="389"/>
        <v>42</v>
      </c>
      <c r="BR961" s="36">
        <f t="shared" si="390"/>
        <v>44</v>
      </c>
      <c r="BS961" s="240">
        <f t="shared" si="361"/>
        <v>0.20645161290322622</v>
      </c>
      <c r="BT961" s="6"/>
    </row>
    <row r="962" spans="1:72" x14ac:dyDescent="0.25">
      <c r="A962" s="18" t="s">
        <v>6</v>
      </c>
      <c r="B962" s="18">
        <v>2024</v>
      </c>
      <c r="C962" s="18" t="s">
        <v>138</v>
      </c>
      <c r="D962" s="18" t="s">
        <v>663</v>
      </c>
      <c r="E962" s="3">
        <v>30</v>
      </c>
      <c r="F962" s="191">
        <v>20</v>
      </c>
      <c r="G962" s="18" t="s">
        <v>152</v>
      </c>
      <c r="H962" s="3">
        <v>30</v>
      </c>
      <c r="I962" s="3" t="s">
        <v>759</v>
      </c>
      <c r="J962" s="3"/>
      <c r="K962" s="18">
        <f t="shared" si="381"/>
        <v>17.100000000000001</v>
      </c>
      <c r="L962" s="18">
        <v>18.5</v>
      </c>
      <c r="M962" s="4">
        <f t="shared" si="363"/>
        <v>1.3999999999999986</v>
      </c>
      <c r="N962" s="113">
        <f t="shared" si="366"/>
        <v>0.85714285714285798</v>
      </c>
      <c r="O962" s="5">
        <f t="shared" si="379"/>
        <v>0.14285714285714202</v>
      </c>
      <c r="P962" s="3">
        <v>1.2</v>
      </c>
      <c r="Q962" s="6"/>
      <c r="R962" s="6"/>
      <c r="S962" s="6"/>
      <c r="T962" s="6">
        <v>1.2</v>
      </c>
      <c r="U962" s="6">
        <v>0.76</v>
      </c>
      <c r="V962" s="18">
        <f t="shared" ref="V962:V1019" si="392">+U962/M962*100</f>
        <v>54.285714285714334</v>
      </c>
      <c r="W962" s="6"/>
      <c r="X962" s="6"/>
      <c r="Y962" s="6">
        <v>9</v>
      </c>
      <c r="Z962" s="31">
        <f t="shared" si="362"/>
        <v>155.5555555555554</v>
      </c>
      <c r="AA962" s="6"/>
      <c r="AB962" s="6"/>
      <c r="AC962" s="6"/>
      <c r="AD962" s="6"/>
      <c r="AE962" s="6"/>
      <c r="AF962" s="6"/>
      <c r="AG962" s="3" t="s">
        <v>29</v>
      </c>
      <c r="AH962" s="3" t="s">
        <v>29</v>
      </c>
      <c r="AI962" s="18" t="str">
        <f>+VLOOKUP(AH962,Leyenda!$O$4:$U$10,6,FALSE)</f>
        <v>0,25-0,35</v>
      </c>
      <c r="AJ962" s="18" t="str">
        <f>+VLOOKUP(AG962,Leyenda!$O$4:$U$10,7,FALSE)</f>
        <v>No Blasting need</v>
      </c>
      <c r="AK962" s="18">
        <f>+VLOOKUP(AJ962,Leyenda!$U$4:$V$10,2,FALSE)</f>
        <v>2</v>
      </c>
      <c r="AL962" s="3"/>
      <c r="AM962" s="3" t="s">
        <v>29</v>
      </c>
      <c r="AN962" s="18" t="s">
        <v>66</v>
      </c>
      <c r="AO962" s="18" t="s">
        <v>79</v>
      </c>
      <c r="AP962" s="18" t="s">
        <v>96</v>
      </c>
      <c r="AQ962" s="18" t="s">
        <v>107</v>
      </c>
      <c r="AR962" s="18" t="s">
        <v>120</v>
      </c>
      <c r="AS962" s="18" t="s">
        <v>267</v>
      </c>
      <c r="AT962" s="18"/>
      <c r="AU962" s="6"/>
      <c r="AV962" s="36">
        <f>+VLOOKUP(AN962,Leyenda!$B$30:$E$34,3,FALSE)</f>
        <v>1</v>
      </c>
      <c r="AW962" s="36">
        <f>+VLOOKUP('2. Logging Brejo Seco'!AO962,Meteorizacion,3,FALSE)</f>
        <v>1</v>
      </c>
      <c r="AX962" s="36">
        <f>+VLOOKUP('2. Logging Brejo Seco'!AP962,Apertura,3,FALSE)</f>
        <v>1</v>
      </c>
      <c r="AY962" s="36">
        <f>+VLOOKUP('2. Logging Brejo Seco'!AQ962,Leyenda!$B$55:$D$59,3,FALSE)</f>
        <v>3</v>
      </c>
      <c r="AZ962" s="36">
        <f>+VLOOKUP('2. Logging Brejo Seco'!AR962,Relleno,3,FALSE)</f>
        <v>2</v>
      </c>
      <c r="BA962" s="36">
        <f t="shared" si="382"/>
        <v>8</v>
      </c>
      <c r="BB962" s="50">
        <f t="shared" si="383"/>
        <v>11</v>
      </c>
      <c r="BC962" s="49">
        <f>VLOOKUP(AH962,Leyenda!$B$4:$D$10,3,FALSE)</f>
        <v>2</v>
      </c>
      <c r="BD962" s="50">
        <f t="shared" si="384"/>
        <v>8</v>
      </c>
      <c r="BE962" s="50">
        <f t="shared" si="385"/>
        <v>8</v>
      </c>
      <c r="BF962" s="50">
        <f>VLOOKUP(AS962,Leyenda!$B$70:$D$75,3,FALSE)</f>
        <v>15</v>
      </c>
      <c r="BG962" s="110">
        <f t="shared" si="386"/>
        <v>39.142857142857167</v>
      </c>
      <c r="BH962" s="110">
        <f>VLOOKUP(AG962,Leyenda!$B$4:$E$10,4,FALSE)</f>
        <v>2</v>
      </c>
      <c r="BI962" s="67">
        <f t="shared" si="387"/>
        <v>11</v>
      </c>
      <c r="BJ962" s="110">
        <f t="shared" si="388"/>
        <v>11</v>
      </c>
      <c r="BK962" s="110">
        <f>+VLOOKUP('2. Logging Brejo Seco'!AP962,Leyenda!$B$47:$E$51,4,FALSE)</f>
        <v>1</v>
      </c>
      <c r="BL962" s="110">
        <f>+VLOOKUP('2. Logging Brejo Seco'!AQ962,Leyenda!$B$55:$E$59,4,FALSE)</f>
        <v>3</v>
      </c>
      <c r="BM962" s="110">
        <f>+VLOOKUP('2. Logging Brejo Seco'!AR962,Leyenda!$B$63:$E$67,3,FALSE)</f>
        <v>2</v>
      </c>
      <c r="BN962" s="110">
        <f>+VLOOKUP('2. Logging Brejo Seco'!AO962,Leyenda!$B$39:$E$43,4,FALSE)</f>
        <v>1</v>
      </c>
      <c r="BO962" s="110">
        <f>+VLOOKUP('2. Logging Brejo Seco'!AN962,Leyenda!$B$30:$E$34,4,FALSE)</f>
        <v>1</v>
      </c>
      <c r="BP962" s="110">
        <f>VLOOKUP(AS962,Leyenda!$B$71:$E$75,4,FALSE)</f>
        <v>10</v>
      </c>
      <c r="BQ962" s="110">
        <f t="shared" si="389"/>
        <v>42</v>
      </c>
      <c r="BR962" s="36">
        <f t="shared" si="390"/>
        <v>44</v>
      </c>
      <c r="BS962" s="240">
        <f t="shared" si="361"/>
        <v>0.14285714285714202</v>
      </c>
      <c r="BT962" s="6"/>
    </row>
    <row r="963" spans="1:72" x14ac:dyDescent="0.25">
      <c r="A963" s="18" t="s">
        <v>6</v>
      </c>
      <c r="B963" s="18">
        <v>2024</v>
      </c>
      <c r="C963" s="18" t="s">
        <v>138</v>
      </c>
      <c r="D963" s="18" t="s">
        <v>663</v>
      </c>
      <c r="E963" s="3">
        <v>30</v>
      </c>
      <c r="F963" s="191">
        <v>20</v>
      </c>
      <c r="G963" s="18" t="s">
        <v>152</v>
      </c>
      <c r="H963" s="3">
        <v>30</v>
      </c>
      <c r="I963" s="3" t="s">
        <v>759</v>
      </c>
      <c r="J963" s="3"/>
      <c r="K963" s="18">
        <f t="shared" si="381"/>
        <v>18.5</v>
      </c>
      <c r="L963" s="18">
        <v>19.45</v>
      </c>
      <c r="M963" s="4">
        <f t="shared" si="363"/>
        <v>0.94999999999999929</v>
      </c>
      <c r="N963" s="113">
        <f t="shared" si="366"/>
        <v>0.74736842105263213</v>
      </c>
      <c r="O963" s="5">
        <f t="shared" si="379"/>
        <v>0.25263157894736787</v>
      </c>
      <c r="P963" s="3">
        <v>0.71</v>
      </c>
      <c r="Q963" s="6"/>
      <c r="R963" s="6"/>
      <c r="S963" s="6"/>
      <c r="T963" s="6">
        <v>0.71</v>
      </c>
      <c r="U963" s="6">
        <v>0.5</v>
      </c>
      <c r="V963" s="18">
        <f t="shared" si="392"/>
        <v>52.63157894736846</v>
      </c>
      <c r="W963" s="6"/>
      <c r="X963" s="6"/>
      <c r="Y963" s="6">
        <v>5</v>
      </c>
      <c r="Z963" s="31">
        <f t="shared" si="362"/>
        <v>189.99999999999986</v>
      </c>
      <c r="AA963" s="6"/>
      <c r="AB963" s="6"/>
      <c r="AC963" s="6"/>
      <c r="AD963" s="6"/>
      <c r="AE963" s="6"/>
      <c r="AF963" s="6"/>
      <c r="AG963" s="3" t="s">
        <v>29</v>
      </c>
      <c r="AH963" s="3" t="s">
        <v>29</v>
      </c>
      <c r="AI963" s="18" t="str">
        <f>+VLOOKUP(AH963,Leyenda!$O$4:$U$10,6,FALSE)</f>
        <v>0,25-0,35</v>
      </c>
      <c r="AJ963" s="18" t="str">
        <f>+VLOOKUP(AG963,Leyenda!$O$4:$U$10,7,FALSE)</f>
        <v>No Blasting need</v>
      </c>
      <c r="AK963" s="18">
        <f>+VLOOKUP(AJ963,Leyenda!$U$4:$V$10,2,FALSE)</f>
        <v>2</v>
      </c>
      <c r="AL963" s="3"/>
      <c r="AM963" s="3" t="s">
        <v>29</v>
      </c>
      <c r="AN963" s="18" t="s">
        <v>66</v>
      </c>
      <c r="AO963" s="18" t="s">
        <v>79</v>
      </c>
      <c r="AP963" s="18" t="s">
        <v>96</v>
      </c>
      <c r="AQ963" s="18" t="s">
        <v>107</v>
      </c>
      <c r="AR963" s="18" t="s">
        <v>120</v>
      </c>
      <c r="AS963" s="18" t="s">
        <v>267</v>
      </c>
      <c r="AT963" s="18"/>
      <c r="AU963" s="6"/>
      <c r="AV963" s="36">
        <f>+VLOOKUP(AN963,Leyenda!$B$30:$E$34,3,FALSE)</f>
        <v>1</v>
      </c>
      <c r="AW963" s="36">
        <f>+VLOOKUP('2. Logging Brejo Seco'!AO963,Meteorizacion,3,FALSE)</f>
        <v>1</v>
      </c>
      <c r="AX963" s="36">
        <f>+VLOOKUP('2. Logging Brejo Seco'!AP963,Apertura,3,FALSE)</f>
        <v>1</v>
      </c>
      <c r="AY963" s="36">
        <f>+VLOOKUP('2. Logging Brejo Seco'!AQ963,Leyenda!$B$55:$D$59,3,FALSE)</f>
        <v>3</v>
      </c>
      <c r="AZ963" s="36">
        <f>+VLOOKUP('2. Logging Brejo Seco'!AR963,Relleno,3,FALSE)</f>
        <v>2</v>
      </c>
      <c r="BA963" s="36">
        <f t="shared" si="382"/>
        <v>8</v>
      </c>
      <c r="BB963" s="50">
        <f t="shared" si="383"/>
        <v>11</v>
      </c>
      <c r="BC963" s="49">
        <f>VLOOKUP(AH963,Leyenda!$B$4:$D$10,3,FALSE)</f>
        <v>2</v>
      </c>
      <c r="BD963" s="50">
        <f t="shared" si="384"/>
        <v>9</v>
      </c>
      <c r="BE963" s="50">
        <f t="shared" si="385"/>
        <v>8</v>
      </c>
      <c r="BF963" s="50">
        <f>VLOOKUP(AS963,Leyenda!$B$70:$D$75,3,FALSE)</f>
        <v>15</v>
      </c>
      <c r="BG963" s="110">
        <f t="shared" si="386"/>
        <v>38.315789473684234</v>
      </c>
      <c r="BH963" s="110">
        <f>VLOOKUP(AG963,Leyenda!$B$4:$E$10,4,FALSE)</f>
        <v>2</v>
      </c>
      <c r="BI963" s="67">
        <f t="shared" si="387"/>
        <v>12</v>
      </c>
      <c r="BJ963" s="110">
        <f t="shared" si="388"/>
        <v>11</v>
      </c>
      <c r="BK963" s="110">
        <f>+VLOOKUP('2. Logging Brejo Seco'!AP963,Leyenda!$B$47:$E$51,4,FALSE)</f>
        <v>1</v>
      </c>
      <c r="BL963" s="110">
        <f>+VLOOKUP('2. Logging Brejo Seco'!AQ963,Leyenda!$B$55:$E$59,4,FALSE)</f>
        <v>3</v>
      </c>
      <c r="BM963" s="110">
        <f>+VLOOKUP('2. Logging Brejo Seco'!AR963,Leyenda!$B$63:$E$67,3,FALSE)</f>
        <v>2</v>
      </c>
      <c r="BN963" s="110">
        <f>+VLOOKUP('2. Logging Brejo Seco'!AO963,Leyenda!$B$39:$E$43,4,FALSE)</f>
        <v>1</v>
      </c>
      <c r="BO963" s="110">
        <f>+VLOOKUP('2. Logging Brejo Seco'!AN963,Leyenda!$B$30:$E$34,4,FALSE)</f>
        <v>1</v>
      </c>
      <c r="BP963" s="110">
        <f>VLOOKUP(AS963,Leyenda!$B$71:$E$75,4,FALSE)</f>
        <v>10</v>
      </c>
      <c r="BQ963" s="110">
        <f t="shared" si="389"/>
        <v>43</v>
      </c>
      <c r="BR963" s="36">
        <f t="shared" si="390"/>
        <v>45</v>
      </c>
      <c r="BS963" s="240">
        <f t="shared" si="361"/>
        <v>0.25263157894736787</v>
      </c>
      <c r="BT963" s="6"/>
    </row>
    <row r="964" spans="1:72" x14ac:dyDescent="0.25">
      <c r="A964" s="18" t="s">
        <v>6</v>
      </c>
      <c r="B964" s="18">
        <v>2024</v>
      </c>
      <c r="C964" s="18" t="s">
        <v>138</v>
      </c>
      <c r="D964" s="18" t="s">
        <v>663</v>
      </c>
      <c r="E964" s="3">
        <v>30</v>
      </c>
      <c r="F964" s="191">
        <v>30</v>
      </c>
      <c r="G964" s="18" t="s">
        <v>152</v>
      </c>
      <c r="H964" s="3">
        <v>30</v>
      </c>
      <c r="I964" s="3" t="s">
        <v>759</v>
      </c>
      <c r="J964" s="3"/>
      <c r="K964" s="18">
        <f t="shared" si="381"/>
        <v>19.45</v>
      </c>
      <c r="L964" s="18">
        <v>20.3</v>
      </c>
      <c r="M964" s="4">
        <f t="shared" si="363"/>
        <v>0.85000000000000142</v>
      </c>
      <c r="N964" s="113">
        <f t="shared" si="366"/>
        <v>0.7411764705882341</v>
      </c>
      <c r="O964" s="5">
        <f t="shared" si="379"/>
        <v>0.2588235294117659</v>
      </c>
      <c r="P964" s="3">
        <v>0.63</v>
      </c>
      <c r="Q964" s="6"/>
      <c r="R964" s="6"/>
      <c r="S964" s="6"/>
      <c r="T964" s="6">
        <f>0.35+0.28</f>
        <v>0.63</v>
      </c>
      <c r="U964" s="6">
        <f>0.2+0.19</f>
        <v>0.39</v>
      </c>
      <c r="V964" s="18">
        <f t="shared" si="392"/>
        <v>45.882352941176393</v>
      </c>
      <c r="W964" s="6"/>
      <c r="X964" s="6"/>
      <c r="Y964" s="224">
        <v>5</v>
      </c>
      <c r="Z964" s="31">
        <f t="shared" si="362"/>
        <v>170.00000000000028</v>
      </c>
      <c r="AA964" s="6"/>
      <c r="AB964" s="6"/>
      <c r="AC964" s="6"/>
      <c r="AD964" s="6"/>
      <c r="AE964" s="6"/>
      <c r="AF964" s="6"/>
      <c r="AG964" s="3" t="s">
        <v>29</v>
      </c>
      <c r="AH964" s="3" t="s">
        <v>29</v>
      </c>
      <c r="AI964" s="18" t="str">
        <f>+VLOOKUP(AH964,Leyenda!$O$4:$U$10,6,FALSE)</f>
        <v>0,25-0,35</v>
      </c>
      <c r="AJ964" s="18" t="str">
        <f>+VLOOKUP(AG964,Leyenda!$O$4:$U$10,7,FALSE)</f>
        <v>No Blasting need</v>
      </c>
      <c r="AK964" s="18">
        <f>+VLOOKUP(AJ964,Leyenda!$U$4:$V$10,2,FALSE)</f>
        <v>2</v>
      </c>
      <c r="AL964" s="3"/>
      <c r="AM964" s="3" t="s">
        <v>29</v>
      </c>
      <c r="AN964" s="18" t="s">
        <v>66</v>
      </c>
      <c r="AO964" s="18" t="s">
        <v>79</v>
      </c>
      <c r="AP964" s="18" t="s">
        <v>96</v>
      </c>
      <c r="AQ964" s="18" t="s">
        <v>107</v>
      </c>
      <c r="AR964" s="18" t="s">
        <v>120</v>
      </c>
      <c r="AS964" s="18" t="s">
        <v>267</v>
      </c>
      <c r="AT964" s="18"/>
      <c r="AU964" s="6"/>
      <c r="AV964" s="36">
        <f>+VLOOKUP(AN964,Leyenda!$B$30:$E$34,3,FALSE)</f>
        <v>1</v>
      </c>
      <c r="AW964" s="36">
        <f>+VLOOKUP('2. Logging Brejo Seco'!AO964,Meteorizacion,3,FALSE)</f>
        <v>1</v>
      </c>
      <c r="AX964" s="36">
        <f>+VLOOKUP('2. Logging Brejo Seco'!AP964,Apertura,3,FALSE)</f>
        <v>1</v>
      </c>
      <c r="AY964" s="36">
        <f>+VLOOKUP('2. Logging Brejo Seco'!AQ964,Leyenda!$B$55:$D$59,3,FALSE)</f>
        <v>3</v>
      </c>
      <c r="AZ964" s="36">
        <f>+VLOOKUP('2. Logging Brejo Seco'!AR964,Relleno,3,FALSE)</f>
        <v>2</v>
      </c>
      <c r="BA964" s="36">
        <f t="shared" si="382"/>
        <v>8</v>
      </c>
      <c r="BB964" s="225">
        <f t="shared" si="383"/>
        <v>10</v>
      </c>
      <c r="BC964" s="49">
        <f>VLOOKUP(AH964,Leyenda!$B$4:$D$10,3,FALSE)</f>
        <v>2</v>
      </c>
      <c r="BD964" s="50">
        <f t="shared" si="384"/>
        <v>9</v>
      </c>
      <c r="BE964" s="50">
        <f t="shared" si="385"/>
        <v>8</v>
      </c>
      <c r="BF964" s="50">
        <f>VLOOKUP(AS964,Leyenda!$B$70:$D$75,3,FALSE)</f>
        <v>15</v>
      </c>
      <c r="BG964" s="110">
        <f t="shared" si="386"/>
        <v>34.941176470588196</v>
      </c>
      <c r="BH964" s="110">
        <f>VLOOKUP(AG964,Leyenda!$B$4:$E$10,4,FALSE)</f>
        <v>2</v>
      </c>
      <c r="BI964" s="67">
        <f t="shared" si="387"/>
        <v>11</v>
      </c>
      <c r="BJ964" s="110">
        <f t="shared" si="388"/>
        <v>10</v>
      </c>
      <c r="BK964" s="110">
        <f>+VLOOKUP('2. Logging Brejo Seco'!AP964,Leyenda!$B$47:$E$51,4,FALSE)</f>
        <v>1</v>
      </c>
      <c r="BL964" s="110">
        <f>+VLOOKUP('2. Logging Brejo Seco'!AQ964,Leyenda!$B$55:$E$59,4,FALSE)</f>
        <v>3</v>
      </c>
      <c r="BM964" s="110">
        <f>+VLOOKUP('2. Logging Brejo Seco'!AR964,Leyenda!$B$63:$E$67,3,FALSE)</f>
        <v>2</v>
      </c>
      <c r="BN964" s="110">
        <f>+VLOOKUP('2. Logging Brejo Seco'!AO964,Leyenda!$B$39:$E$43,4,FALSE)</f>
        <v>1</v>
      </c>
      <c r="BO964" s="110">
        <f>+VLOOKUP('2. Logging Brejo Seco'!AN964,Leyenda!$B$30:$E$34,4,FALSE)</f>
        <v>1</v>
      </c>
      <c r="BP964" s="110">
        <f>VLOOKUP(AS964,Leyenda!$B$71:$E$75,4,FALSE)</f>
        <v>10</v>
      </c>
      <c r="BQ964" s="110">
        <f t="shared" si="389"/>
        <v>41</v>
      </c>
      <c r="BR964" s="36">
        <f t="shared" si="390"/>
        <v>44</v>
      </c>
      <c r="BS964" s="240">
        <f t="shared" ref="BS964:BS1019" si="393">1-N964</f>
        <v>0.2588235294117659</v>
      </c>
      <c r="BT964" s="6"/>
    </row>
    <row r="965" spans="1:72" x14ac:dyDescent="0.25">
      <c r="A965" s="18" t="s">
        <v>6</v>
      </c>
      <c r="B965" s="18">
        <v>2024</v>
      </c>
      <c r="C965" s="18" t="s">
        <v>138</v>
      </c>
      <c r="D965" s="18" t="s">
        <v>663</v>
      </c>
      <c r="E965" s="3">
        <v>30</v>
      </c>
      <c r="F965" s="191">
        <v>30</v>
      </c>
      <c r="G965" s="18" t="s">
        <v>152</v>
      </c>
      <c r="H965" s="3">
        <v>30</v>
      </c>
      <c r="I965" s="3" t="s">
        <v>759</v>
      </c>
      <c r="J965" s="3"/>
      <c r="K965" s="18">
        <f t="shared" si="381"/>
        <v>20.3</v>
      </c>
      <c r="L965" s="18">
        <v>21</v>
      </c>
      <c r="M965" s="4">
        <f t="shared" si="363"/>
        <v>0.69999999999999929</v>
      </c>
      <c r="N965" s="113">
        <f t="shared" si="366"/>
        <v>0.72857142857142931</v>
      </c>
      <c r="O965" s="5">
        <f t="shared" si="379"/>
        <v>0.27142857142857069</v>
      </c>
      <c r="P965" s="3">
        <v>0.51</v>
      </c>
      <c r="Q965" s="6"/>
      <c r="R965" s="6"/>
      <c r="S965" s="6"/>
      <c r="T965" s="6">
        <v>0.51</v>
      </c>
      <c r="U965" s="6">
        <v>0.27</v>
      </c>
      <c r="V965" s="18">
        <f t="shared" si="392"/>
        <v>38.571428571428612</v>
      </c>
      <c r="W965" s="6"/>
      <c r="X965" s="6"/>
      <c r="Y965" s="224">
        <f>3+2</f>
        <v>5</v>
      </c>
      <c r="Z965" s="31">
        <f t="shared" si="362"/>
        <v>139.99999999999986</v>
      </c>
      <c r="AA965" s="6"/>
      <c r="AB965" s="6"/>
      <c r="AC965" s="6"/>
      <c r="AD965" s="6"/>
      <c r="AE965" s="6"/>
      <c r="AF965" s="6"/>
      <c r="AG965" s="3" t="s">
        <v>29</v>
      </c>
      <c r="AH965" s="3" t="s">
        <v>29</v>
      </c>
      <c r="AI965" s="18" t="str">
        <f>+VLOOKUP(AH965,Leyenda!$O$4:$U$10,6,FALSE)</f>
        <v>0,25-0,35</v>
      </c>
      <c r="AJ965" s="18" t="str">
        <f>+VLOOKUP(AG965,Leyenda!$O$4:$U$10,7,FALSE)</f>
        <v>No Blasting need</v>
      </c>
      <c r="AK965" s="18">
        <f>+VLOOKUP(AJ965,Leyenda!$U$4:$V$10,2,FALSE)</f>
        <v>2</v>
      </c>
      <c r="AL965" s="3"/>
      <c r="AM965" s="3" t="s">
        <v>29</v>
      </c>
      <c r="AN965" s="18" t="s">
        <v>66</v>
      </c>
      <c r="AO965" s="18" t="s">
        <v>79</v>
      </c>
      <c r="AP965" s="18" t="s">
        <v>96</v>
      </c>
      <c r="AQ965" s="18" t="s">
        <v>107</v>
      </c>
      <c r="AR965" s="18" t="s">
        <v>120</v>
      </c>
      <c r="AS965" s="18" t="s">
        <v>267</v>
      </c>
      <c r="AT965" s="18"/>
      <c r="AU965" s="6"/>
      <c r="AV965" s="36">
        <f>+VLOOKUP(AN965,Leyenda!$B$30:$E$34,3,FALSE)</f>
        <v>1</v>
      </c>
      <c r="AW965" s="36">
        <f>+VLOOKUP('2. Logging Brejo Seco'!AO965,Meteorizacion,3,FALSE)</f>
        <v>1</v>
      </c>
      <c r="AX965" s="36">
        <f>+VLOOKUP('2. Logging Brejo Seco'!AP965,Apertura,3,FALSE)</f>
        <v>1</v>
      </c>
      <c r="AY965" s="36">
        <f>+VLOOKUP('2. Logging Brejo Seco'!AQ965,Leyenda!$B$55:$D$59,3,FALSE)</f>
        <v>3</v>
      </c>
      <c r="AZ965" s="36">
        <f>+VLOOKUP('2. Logging Brejo Seco'!AR965,Relleno,3,FALSE)</f>
        <v>2</v>
      </c>
      <c r="BA965" s="36">
        <f t="shared" si="382"/>
        <v>8</v>
      </c>
      <c r="BB965" s="225">
        <f t="shared" si="383"/>
        <v>8</v>
      </c>
      <c r="BC965" s="49">
        <f>VLOOKUP(AH965,Leyenda!$B$4:$D$10,3,FALSE)</f>
        <v>2</v>
      </c>
      <c r="BD965" s="50">
        <f t="shared" si="384"/>
        <v>8</v>
      </c>
      <c r="BE965" s="50">
        <f t="shared" si="385"/>
        <v>8</v>
      </c>
      <c r="BF965" s="50">
        <f>VLOOKUP(AS965,Leyenda!$B$70:$D$75,3,FALSE)</f>
        <v>15</v>
      </c>
      <c r="BG965" s="110">
        <f t="shared" si="386"/>
        <v>31.285714285714306</v>
      </c>
      <c r="BH965" s="110">
        <f>VLOOKUP(AG965,Leyenda!$B$4:$E$10,4,FALSE)</f>
        <v>2</v>
      </c>
      <c r="BI965" s="67">
        <f t="shared" si="387"/>
        <v>10</v>
      </c>
      <c r="BJ965" s="110">
        <f t="shared" si="388"/>
        <v>8</v>
      </c>
      <c r="BK965" s="110">
        <f>+VLOOKUP('2. Logging Brejo Seco'!AP965,Leyenda!$B$47:$E$51,4,FALSE)</f>
        <v>1</v>
      </c>
      <c r="BL965" s="110">
        <f>+VLOOKUP('2. Logging Brejo Seco'!AQ965,Leyenda!$B$55:$E$59,4,FALSE)</f>
        <v>3</v>
      </c>
      <c r="BM965" s="110">
        <f>+VLOOKUP('2. Logging Brejo Seco'!AR965,Leyenda!$B$63:$E$67,3,FALSE)</f>
        <v>2</v>
      </c>
      <c r="BN965" s="110">
        <f>+VLOOKUP('2. Logging Brejo Seco'!AO965,Leyenda!$B$39:$E$43,4,FALSE)</f>
        <v>1</v>
      </c>
      <c r="BO965" s="110">
        <f>+VLOOKUP('2. Logging Brejo Seco'!AN965,Leyenda!$B$30:$E$34,4,FALSE)</f>
        <v>1</v>
      </c>
      <c r="BP965" s="110">
        <f>VLOOKUP(AS965,Leyenda!$B$71:$E$75,4,FALSE)</f>
        <v>10</v>
      </c>
      <c r="BQ965" s="110">
        <f t="shared" si="389"/>
        <v>38</v>
      </c>
      <c r="BR965" s="36">
        <f t="shared" si="390"/>
        <v>41</v>
      </c>
      <c r="BS965" s="240">
        <f t="shared" si="393"/>
        <v>0.27142857142857069</v>
      </c>
      <c r="BT965" s="6"/>
    </row>
    <row r="966" spans="1:72" x14ac:dyDescent="0.25">
      <c r="A966" s="18" t="s">
        <v>6</v>
      </c>
      <c r="B966" s="18">
        <v>2024</v>
      </c>
      <c r="C966" s="18" t="s">
        <v>138</v>
      </c>
      <c r="D966" s="18" t="s">
        <v>663</v>
      </c>
      <c r="E966" s="3">
        <v>30</v>
      </c>
      <c r="F966" s="191">
        <v>20</v>
      </c>
      <c r="G966" s="18" t="s">
        <v>152</v>
      </c>
      <c r="H966" s="3">
        <v>30</v>
      </c>
      <c r="I966" s="3" t="s">
        <v>759</v>
      </c>
      <c r="J966" s="3"/>
      <c r="K966" s="18">
        <f t="shared" si="381"/>
        <v>21</v>
      </c>
      <c r="L966" s="18">
        <v>22.7</v>
      </c>
      <c r="M966" s="4">
        <f t="shared" si="363"/>
        <v>1.6999999999999993</v>
      </c>
      <c r="N966" s="113">
        <f t="shared" si="366"/>
        <v>0.68235294117647083</v>
      </c>
      <c r="O966" s="5">
        <f t="shared" si="379"/>
        <v>0.31764705882352917</v>
      </c>
      <c r="P966" s="3">
        <v>1.1599999999999999</v>
      </c>
      <c r="Q966" s="6"/>
      <c r="R966" s="6"/>
      <c r="S966" s="6"/>
      <c r="T966" s="6">
        <v>1.1599999999999999</v>
      </c>
      <c r="U966" s="6">
        <v>0.96</v>
      </c>
      <c r="V966" s="18">
        <f t="shared" si="392"/>
        <v>56.470588235294137</v>
      </c>
      <c r="W966" s="6"/>
      <c r="X966" s="6"/>
      <c r="Y966" s="6">
        <v>10</v>
      </c>
      <c r="Z966" s="31">
        <f t="shared" si="362"/>
        <v>169.99999999999994</v>
      </c>
      <c r="AA966" s="6"/>
      <c r="AB966" s="6"/>
      <c r="AC966" s="6"/>
      <c r="AD966" s="6"/>
      <c r="AE966" s="6"/>
      <c r="AF966" s="6"/>
      <c r="AG966" s="3" t="s">
        <v>29</v>
      </c>
      <c r="AH966" s="3" t="s">
        <v>29</v>
      </c>
      <c r="AI966" s="18" t="str">
        <f>+VLOOKUP(AH966,Leyenda!$O$4:$U$10,6,FALSE)</f>
        <v>0,25-0,35</v>
      </c>
      <c r="AJ966" s="18" t="str">
        <f>+VLOOKUP(AG966,Leyenda!$O$4:$U$10,7,FALSE)</f>
        <v>No Blasting need</v>
      </c>
      <c r="AK966" s="18">
        <f>+VLOOKUP(AJ966,Leyenda!$U$4:$V$10,2,FALSE)</f>
        <v>2</v>
      </c>
      <c r="AL966" s="3"/>
      <c r="AM966" s="3" t="s">
        <v>29</v>
      </c>
      <c r="AN966" s="18" t="s">
        <v>66</v>
      </c>
      <c r="AO966" s="18" t="s">
        <v>79</v>
      </c>
      <c r="AP966" s="18" t="s">
        <v>96</v>
      </c>
      <c r="AQ966" s="18" t="s">
        <v>107</v>
      </c>
      <c r="AR966" s="18" t="s">
        <v>120</v>
      </c>
      <c r="AS966" s="18" t="s">
        <v>267</v>
      </c>
      <c r="AT966" s="18"/>
      <c r="AU966" s="6"/>
      <c r="AV966" s="36">
        <f>+VLOOKUP(AN966,Leyenda!$B$30:$E$34,3,FALSE)</f>
        <v>1</v>
      </c>
      <c r="AW966" s="36">
        <f>+VLOOKUP('2. Logging Brejo Seco'!AO966,Meteorizacion,3,FALSE)</f>
        <v>1</v>
      </c>
      <c r="AX966" s="36">
        <f>+VLOOKUP('2. Logging Brejo Seco'!AP966,Apertura,3,FALSE)</f>
        <v>1</v>
      </c>
      <c r="AY966" s="36">
        <f>+VLOOKUP('2. Logging Brejo Seco'!AQ966,Leyenda!$B$55:$D$59,3,FALSE)</f>
        <v>3</v>
      </c>
      <c r="AZ966" s="36">
        <f>+VLOOKUP('2. Logging Brejo Seco'!AR966,Relleno,3,FALSE)</f>
        <v>2</v>
      </c>
      <c r="BA966" s="36">
        <f t="shared" si="382"/>
        <v>8</v>
      </c>
      <c r="BB966" s="50">
        <f t="shared" si="383"/>
        <v>12</v>
      </c>
      <c r="BC966" s="49">
        <f>VLOOKUP(AH966,Leyenda!$B$4:$D$10,3,FALSE)</f>
        <v>2</v>
      </c>
      <c r="BD966" s="50">
        <f t="shared" si="384"/>
        <v>9</v>
      </c>
      <c r="BE966" s="50">
        <f t="shared" si="385"/>
        <v>8</v>
      </c>
      <c r="BF966" s="50">
        <f>VLOOKUP(AS966,Leyenda!$B$70:$D$75,3,FALSE)</f>
        <v>15</v>
      </c>
      <c r="BG966" s="110">
        <f t="shared" si="386"/>
        <v>40.235294117647072</v>
      </c>
      <c r="BH966" s="110">
        <f>VLOOKUP(AG966,Leyenda!$B$4:$E$10,4,FALSE)</f>
        <v>2</v>
      </c>
      <c r="BI966" s="67">
        <f t="shared" si="387"/>
        <v>11</v>
      </c>
      <c r="BJ966" s="110">
        <f t="shared" si="388"/>
        <v>12</v>
      </c>
      <c r="BK966" s="110">
        <f>+VLOOKUP('2. Logging Brejo Seco'!AP966,Leyenda!$B$47:$E$51,4,FALSE)</f>
        <v>1</v>
      </c>
      <c r="BL966" s="110">
        <f>+VLOOKUP('2. Logging Brejo Seco'!AQ966,Leyenda!$B$55:$E$59,4,FALSE)</f>
        <v>3</v>
      </c>
      <c r="BM966" s="110">
        <f>+VLOOKUP('2. Logging Brejo Seco'!AR966,Leyenda!$B$63:$E$67,3,FALSE)</f>
        <v>2</v>
      </c>
      <c r="BN966" s="110">
        <f>+VLOOKUP('2. Logging Brejo Seco'!AO966,Leyenda!$B$39:$E$43,4,FALSE)</f>
        <v>1</v>
      </c>
      <c r="BO966" s="110">
        <f>+VLOOKUP('2. Logging Brejo Seco'!AN966,Leyenda!$B$30:$E$34,4,FALSE)</f>
        <v>1</v>
      </c>
      <c r="BP966" s="110">
        <f>VLOOKUP(AS966,Leyenda!$B$71:$E$75,4,FALSE)</f>
        <v>10</v>
      </c>
      <c r="BQ966" s="110">
        <f t="shared" si="389"/>
        <v>43</v>
      </c>
      <c r="BR966" s="36">
        <f t="shared" si="390"/>
        <v>46</v>
      </c>
      <c r="BS966" s="240">
        <f t="shared" si="393"/>
        <v>0.31764705882352917</v>
      </c>
      <c r="BT966" s="6"/>
    </row>
    <row r="967" spans="1:72" x14ac:dyDescent="0.25">
      <c r="A967" s="18" t="s">
        <v>6</v>
      </c>
      <c r="B967" s="18">
        <v>2024</v>
      </c>
      <c r="C967" s="18" t="s">
        <v>138</v>
      </c>
      <c r="D967" s="18" t="s">
        <v>663</v>
      </c>
      <c r="E967" s="3">
        <v>20</v>
      </c>
      <c r="F967" s="191">
        <v>20</v>
      </c>
      <c r="G967" s="18" t="s">
        <v>156</v>
      </c>
      <c r="H967" s="3">
        <v>30</v>
      </c>
      <c r="I967" s="3" t="s">
        <v>759</v>
      </c>
      <c r="J967" s="3"/>
      <c r="K967" s="18">
        <f t="shared" si="381"/>
        <v>22.7</v>
      </c>
      <c r="L967" s="18">
        <v>24.5</v>
      </c>
      <c r="M967" s="4">
        <f t="shared" si="363"/>
        <v>1.8000000000000007</v>
      </c>
      <c r="N967" s="113">
        <f t="shared" si="366"/>
        <v>0.70555555555555527</v>
      </c>
      <c r="O967" s="5">
        <f t="shared" si="379"/>
        <v>0.29444444444444473</v>
      </c>
      <c r="P967" s="3">
        <v>1.27</v>
      </c>
      <c r="Q967" s="6"/>
      <c r="R967" s="6"/>
      <c r="S967" s="6"/>
      <c r="T967" s="6">
        <f>0.31+0.96</f>
        <v>1.27</v>
      </c>
      <c r="U967" s="6">
        <f>0.31+0.64</f>
        <v>0.95</v>
      </c>
      <c r="V967" s="4">
        <f t="shared" si="392"/>
        <v>52.777777777777757</v>
      </c>
      <c r="W967" s="6"/>
      <c r="X967" s="6"/>
      <c r="Y967" s="6">
        <v>6</v>
      </c>
      <c r="Z967" s="31">
        <f t="shared" si="362"/>
        <v>300.00000000000011</v>
      </c>
      <c r="AA967" s="6"/>
      <c r="AB967" s="6"/>
      <c r="AC967" s="6"/>
      <c r="AD967" s="6"/>
      <c r="AE967" s="6"/>
      <c r="AF967" s="6"/>
      <c r="AG967" s="3" t="s">
        <v>29</v>
      </c>
      <c r="AH967" s="3" t="s">
        <v>29</v>
      </c>
      <c r="AI967" s="18" t="str">
        <f>+VLOOKUP(AH967,Leyenda!$O$4:$U$10,6,FALSE)</f>
        <v>0,25-0,35</v>
      </c>
      <c r="AJ967" s="18" t="str">
        <f>+VLOOKUP(AG967,Leyenda!$O$4:$U$10,7,FALSE)</f>
        <v>No Blasting need</v>
      </c>
      <c r="AK967" s="18">
        <f>+VLOOKUP(AJ967,Leyenda!$U$4:$V$10,2,FALSE)</f>
        <v>2</v>
      </c>
      <c r="AL967" s="3"/>
      <c r="AM967" s="3" t="s">
        <v>29</v>
      </c>
      <c r="AN967" s="18" t="s">
        <v>66</v>
      </c>
      <c r="AO967" s="18" t="s">
        <v>79</v>
      </c>
      <c r="AP967" s="18" t="s">
        <v>96</v>
      </c>
      <c r="AQ967" s="18" t="s">
        <v>107</v>
      </c>
      <c r="AR967" s="18" t="s">
        <v>120</v>
      </c>
      <c r="AS967" s="18" t="s">
        <v>267</v>
      </c>
      <c r="AT967" s="18"/>
      <c r="AU967" s="6"/>
      <c r="AV967" s="36">
        <f>+VLOOKUP(AN967,Leyenda!$B$30:$E$34,3,FALSE)</f>
        <v>1</v>
      </c>
      <c r="AW967" s="36">
        <f>+VLOOKUP('2. Logging Brejo Seco'!AO967,Meteorizacion,3,FALSE)</f>
        <v>1</v>
      </c>
      <c r="AX967" s="36">
        <f>+VLOOKUP('2. Logging Brejo Seco'!AP967,Apertura,3,FALSE)</f>
        <v>1</v>
      </c>
      <c r="AY967" s="36">
        <f>+VLOOKUP('2. Logging Brejo Seco'!AQ967,Leyenda!$B$55:$D$59,3,FALSE)</f>
        <v>3</v>
      </c>
      <c r="AZ967" s="36">
        <f>+VLOOKUP('2. Logging Brejo Seco'!AR967,Relleno,3,FALSE)</f>
        <v>2</v>
      </c>
      <c r="BA967" s="36">
        <f t="shared" si="382"/>
        <v>8</v>
      </c>
      <c r="BB967" s="50">
        <f t="shared" si="383"/>
        <v>11</v>
      </c>
      <c r="BC967" s="49">
        <f>VLOOKUP(AH967,Leyenda!$B$4:$D$10,3,FALSE)</f>
        <v>2</v>
      </c>
      <c r="BD967" s="50">
        <f t="shared" si="384"/>
        <v>10</v>
      </c>
      <c r="BE967" s="50">
        <f t="shared" si="385"/>
        <v>8</v>
      </c>
      <c r="BF967" s="50">
        <f>VLOOKUP(AS967,Leyenda!$B$70:$D$75,3,FALSE)</f>
        <v>15</v>
      </c>
      <c r="BG967" s="110">
        <f t="shared" si="386"/>
        <v>38.388888888888879</v>
      </c>
      <c r="BH967" s="110">
        <f>VLOOKUP(AG967,Leyenda!$B$4:$E$10,4,FALSE)</f>
        <v>2</v>
      </c>
      <c r="BI967" s="67">
        <f t="shared" si="387"/>
        <v>15</v>
      </c>
      <c r="BJ967" s="110">
        <f t="shared" si="388"/>
        <v>11</v>
      </c>
      <c r="BK967" s="110">
        <f>+VLOOKUP('2. Logging Brejo Seco'!AP967,Leyenda!$B$47:$E$51,4,FALSE)</f>
        <v>1</v>
      </c>
      <c r="BL967" s="110">
        <f>+VLOOKUP('2. Logging Brejo Seco'!AQ967,Leyenda!$B$55:$E$59,4,FALSE)</f>
        <v>3</v>
      </c>
      <c r="BM967" s="110">
        <f>+VLOOKUP('2. Logging Brejo Seco'!AR967,Leyenda!$B$63:$E$67,3,FALSE)</f>
        <v>2</v>
      </c>
      <c r="BN967" s="110">
        <f>+VLOOKUP('2. Logging Brejo Seco'!AO967,Leyenda!$B$39:$E$43,4,FALSE)</f>
        <v>1</v>
      </c>
      <c r="BO967" s="110">
        <f>+VLOOKUP('2. Logging Brejo Seco'!AN967,Leyenda!$B$30:$E$34,4,FALSE)</f>
        <v>1</v>
      </c>
      <c r="BP967" s="110">
        <f>VLOOKUP(AS967,Leyenda!$B$71:$E$75,4,FALSE)</f>
        <v>10</v>
      </c>
      <c r="BQ967" s="110">
        <f t="shared" si="389"/>
        <v>46</v>
      </c>
      <c r="BR967" s="36">
        <f t="shared" si="390"/>
        <v>46</v>
      </c>
      <c r="BS967" s="240">
        <f t="shared" si="393"/>
        <v>0.29444444444444473</v>
      </c>
      <c r="BT967" s="6"/>
    </row>
    <row r="968" spans="1:72" x14ac:dyDescent="0.25">
      <c r="A968" s="18" t="s">
        <v>6</v>
      </c>
      <c r="B968" s="18">
        <v>2024</v>
      </c>
      <c r="C968" s="18" t="s">
        <v>138</v>
      </c>
      <c r="D968" s="18" t="s">
        <v>663</v>
      </c>
      <c r="E968" s="3">
        <v>20</v>
      </c>
      <c r="F968" s="191">
        <v>20</v>
      </c>
      <c r="G968" s="18" t="s">
        <v>156</v>
      </c>
      <c r="H968" s="3">
        <v>30</v>
      </c>
      <c r="I968" s="3" t="s">
        <v>759</v>
      </c>
      <c r="J968" s="3"/>
      <c r="K968" s="18">
        <f t="shared" si="381"/>
        <v>24.5</v>
      </c>
      <c r="L968" s="18">
        <v>25.8</v>
      </c>
      <c r="M968" s="4">
        <f t="shared" si="363"/>
        <v>1.3000000000000007</v>
      </c>
      <c r="N968" s="113">
        <f t="shared" si="366"/>
        <v>0.77692307692307649</v>
      </c>
      <c r="O968" s="5">
        <f t="shared" si="379"/>
        <v>0.22307692307692351</v>
      </c>
      <c r="P968" s="3">
        <v>1.01</v>
      </c>
      <c r="Q968" s="6"/>
      <c r="R968" s="6"/>
      <c r="S968" s="6"/>
      <c r="T968" s="6">
        <v>1.01</v>
      </c>
      <c r="U968" s="6">
        <v>0.83</v>
      </c>
      <c r="V968" s="4">
        <f t="shared" si="392"/>
        <v>63.846153846153811</v>
      </c>
      <c r="W968" s="6"/>
      <c r="X968" s="6"/>
      <c r="Y968" s="6">
        <v>5</v>
      </c>
      <c r="Z968" s="31">
        <f t="shared" si="362"/>
        <v>260.00000000000011</v>
      </c>
      <c r="AA968" s="6"/>
      <c r="AB968" s="6"/>
      <c r="AC968" s="6"/>
      <c r="AD968" s="6"/>
      <c r="AE968" s="6"/>
      <c r="AF968" s="6"/>
      <c r="AG968" s="3" t="s">
        <v>27</v>
      </c>
      <c r="AH968" s="3" t="s">
        <v>27</v>
      </c>
      <c r="AI968" s="18" t="str">
        <f>+VLOOKUP(AH968,Leyenda!$O$4:$U$10,6,FALSE)</f>
        <v>0,35-0,50</v>
      </c>
      <c r="AJ968" s="18" t="str">
        <f>+VLOOKUP(AG968,Leyenda!$O$4:$U$10,7,FALSE)</f>
        <v>Easy to blast</v>
      </c>
      <c r="AK968" s="18">
        <f>+VLOOKUP(AJ968,Leyenda!$U$4:$V$10,2,FALSE)</f>
        <v>3</v>
      </c>
      <c r="AL968" s="3"/>
      <c r="AM968" s="18" t="s">
        <v>27</v>
      </c>
      <c r="AN968" s="18" t="s">
        <v>64</v>
      </c>
      <c r="AO968" s="18" t="s">
        <v>79</v>
      </c>
      <c r="AP968" s="18" t="s">
        <v>96</v>
      </c>
      <c r="AQ968" s="18" t="s">
        <v>107</v>
      </c>
      <c r="AR968" s="18" t="s">
        <v>122</v>
      </c>
      <c r="AS968" s="18" t="s">
        <v>267</v>
      </c>
      <c r="AT968" s="18"/>
      <c r="AU968" s="6"/>
      <c r="AV968" s="36">
        <f>+VLOOKUP(AN968,Leyenda!$B$30:$E$34,3,FALSE)</f>
        <v>2</v>
      </c>
      <c r="AW968" s="36">
        <f>+VLOOKUP('2. Logging Brejo Seco'!AO968,Meteorizacion,3,FALSE)</f>
        <v>1</v>
      </c>
      <c r="AX968" s="36">
        <f>+VLOOKUP('2. Logging Brejo Seco'!AP968,Apertura,3,FALSE)</f>
        <v>1</v>
      </c>
      <c r="AY968" s="36">
        <f>+VLOOKUP('2. Logging Brejo Seco'!AQ968,Leyenda!$B$55:$D$59,3,FALSE)</f>
        <v>3</v>
      </c>
      <c r="AZ968" s="36">
        <f>+VLOOKUP('2. Logging Brejo Seco'!AR968,Relleno,3,FALSE)</f>
        <v>0</v>
      </c>
      <c r="BA968" s="36">
        <f t="shared" si="382"/>
        <v>7</v>
      </c>
      <c r="BB968" s="50">
        <f t="shared" si="383"/>
        <v>13</v>
      </c>
      <c r="BC968" s="49">
        <f>VLOOKUP(AH968,Leyenda!$B$4:$D$10,3,FALSE)</f>
        <v>4</v>
      </c>
      <c r="BD968" s="50">
        <f t="shared" si="384"/>
        <v>10</v>
      </c>
      <c r="BE968" s="50">
        <f t="shared" si="385"/>
        <v>7</v>
      </c>
      <c r="BF968" s="50">
        <f>VLOOKUP(AS968,Leyenda!$B$70:$D$75,3,FALSE)</f>
        <v>15</v>
      </c>
      <c r="BG968" s="110">
        <f t="shared" si="386"/>
        <v>42.423076923076906</v>
      </c>
      <c r="BH968" s="110">
        <f>VLOOKUP(AG968,Leyenda!$B$4:$E$10,4,FALSE)</f>
        <v>4</v>
      </c>
      <c r="BI968" s="67">
        <f t="shared" si="387"/>
        <v>14</v>
      </c>
      <c r="BJ968" s="110">
        <f t="shared" si="388"/>
        <v>13</v>
      </c>
      <c r="BK968" s="110">
        <f>+VLOOKUP('2. Logging Brejo Seco'!AP968,Leyenda!$B$47:$E$51,4,FALSE)</f>
        <v>1</v>
      </c>
      <c r="BL968" s="110">
        <f>+VLOOKUP('2. Logging Brejo Seco'!AQ968,Leyenda!$B$55:$E$59,4,FALSE)</f>
        <v>3</v>
      </c>
      <c r="BM968" s="110">
        <f>+VLOOKUP('2. Logging Brejo Seco'!AR968,Leyenda!$B$63:$E$67,3,FALSE)</f>
        <v>0</v>
      </c>
      <c r="BN968" s="110">
        <f>+VLOOKUP('2. Logging Brejo Seco'!AO968,Leyenda!$B$39:$E$43,4,FALSE)</f>
        <v>1</v>
      </c>
      <c r="BO968" s="110">
        <f>+VLOOKUP('2. Logging Brejo Seco'!AN968,Leyenda!$B$30:$E$34,4,FALSE)</f>
        <v>3</v>
      </c>
      <c r="BP968" s="110">
        <f>VLOOKUP(AS968,Leyenda!$B$71:$E$75,4,FALSE)</f>
        <v>10</v>
      </c>
      <c r="BQ968" s="110">
        <f t="shared" si="389"/>
        <v>49</v>
      </c>
      <c r="BR968" s="36">
        <f t="shared" si="390"/>
        <v>49</v>
      </c>
      <c r="BS968" s="240">
        <f t="shared" si="393"/>
        <v>0.22307692307692351</v>
      </c>
      <c r="BT968" s="6"/>
    </row>
    <row r="969" spans="1:72" x14ac:dyDescent="0.25">
      <c r="A969" s="18" t="s">
        <v>6</v>
      </c>
      <c r="B969" s="18">
        <v>2024</v>
      </c>
      <c r="C969" s="18" t="s">
        <v>138</v>
      </c>
      <c r="D969" s="18" t="s">
        <v>663</v>
      </c>
      <c r="E969" s="3">
        <v>20</v>
      </c>
      <c r="F969" s="191">
        <v>20</v>
      </c>
      <c r="G969" s="18" t="s">
        <v>156</v>
      </c>
      <c r="H969" s="244">
        <f>+F969</f>
        <v>20</v>
      </c>
      <c r="I969" s="244" t="s">
        <v>760</v>
      </c>
      <c r="J969" s="244"/>
      <c r="K969" s="18">
        <f t="shared" si="381"/>
        <v>25.8</v>
      </c>
      <c r="L969" s="18">
        <v>27.4</v>
      </c>
      <c r="M969" s="4">
        <f t="shared" si="363"/>
        <v>1.5999999999999979</v>
      </c>
      <c r="N969" s="113">
        <f t="shared" si="366"/>
        <v>0.93750000000000122</v>
      </c>
      <c r="O969" s="5">
        <f t="shared" si="379"/>
        <v>6.2499999999998779E-2</v>
      </c>
      <c r="P969" s="3">
        <f>0.43+1.07</f>
        <v>1.5</v>
      </c>
      <c r="Q969" s="6"/>
      <c r="R969" s="6"/>
      <c r="S969" s="6"/>
      <c r="T969" s="6">
        <v>1.5</v>
      </c>
      <c r="U969" s="6">
        <v>0.33</v>
      </c>
      <c r="V969" s="4">
        <f t="shared" si="392"/>
        <v>20.625000000000028</v>
      </c>
      <c r="W969" s="6"/>
      <c r="X969" s="6"/>
      <c r="Y969" s="6">
        <v>16</v>
      </c>
      <c r="Z969" s="31">
        <f t="shared" si="362"/>
        <v>99.999999999999872</v>
      </c>
      <c r="AA969" s="6"/>
      <c r="AB969" s="6"/>
      <c r="AC969" s="6"/>
      <c r="AD969" s="6"/>
      <c r="AE969" s="6"/>
      <c r="AF969" s="6"/>
      <c r="AG969" s="18" t="s">
        <v>32</v>
      </c>
      <c r="AH969" s="18" t="s">
        <v>32</v>
      </c>
      <c r="AI969" s="18" t="str">
        <f>+VLOOKUP(AH969,Leyenda!$O$4:$U$10,6,FALSE)</f>
        <v>0,15-0,25</v>
      </c>
      <c r="AJ969" s="18" t="str">
        <f>+VLOOKUP(AG969,Leyenda!$O$4:$U$10,7,FALSE)</f>
        <v>No Blasting need</v>
      </c>
      <c r="AK969" s="18">
        <f>+VLOOKUP(AJ969,Leyenda!$U$4:$V$10,2,FALSE)</f>
        <v>2</v>
      </c>
      <c r="AL969" s="18"/>
      <c r="AM969" s="18" t="s">
        <v>32</v>
      </c>
      <c r="AN969" s="18" t="s">
        <v>66</v>
      </c>
      <c r="AO969" s="18" t="s">
        <v>81</v>
      </c>
      <c r="AP969" s="18" t="s">
        <v>96</v>
      </c>
      <c r="AQ969" s="18" t="s">
        <v>107</v>
      </c>
      <c r="AR969" s="18" t="s">
        <v>122</v>
      </c>
      <c r="AS969" s="18" t="s">
        <v>267</v>
      </c>
      <c r="AT969" s="18"/>
      <c r="AU969" s="6"/>
      <c r="AV969" s="36">
        <f>+VLOOKUP(AN969,Leyenda!$B$30:$E$34,3,FALSE)</f>
        <v>1</v>
      </c>
      <c r="AW969" s="36">
        <f>+VLOOKUP('2. Logging Brejo Seco'!AO969,Meteorizacion,3,FALSE)</f>
        <v>0</v>
      </c>
      <c r="AX969" s="36">
        <f>+VLOOKUP('2. Logging Brejo Seco'!AP969,Apertura,3,FALSE)</f>
        <v>1</v>
      </c>
      <c r="AY969" s="36">
        <f>+VLOOKUP('2. Logging Brejo Seco'!AQ969,Leyenda!$B$55:$D$59,3,FALSE)</f>
        <v>3</v>
      </c>
      <c r="AZ969" s="36">
        <f>+VLOOKUP('2. Logging Brejo Seco'!AR969,Relleno,3,FALSE)</f>
        <v>0</v>
      </c>
      <c r="BA969" s="36">
        <f t="shared" si="382"/>
        <v>5</v>
      </c>
      <c r="BB969" s="50">
        <f t="shared" si="383"/>
        <v>4</v>
      </c>
      <c r="BC969" s="49">
        <f>VLOOKUP(AH969,Leyenda!$B$4:$D$10,3,FALSE)</f>
        <v>1</v>
      </c>
      <c r="BD969" s="50">
        <f t="shared" si="384"/>
        <v>7</v>
      </c>
      <c r="BE969" s="50">
        <f t="shared" si="385"/>
        <v>5</v>
      </c>
      <c r="BF969" s="50">
        <f>VLOOKUP(AS969,Leyenda!$B$70:$D$75,3,FALSE)</f>
        <v>15</v>
      </c>
      <c r="BG969" s="110">
        <f t="shared" si="386"/>
        <v>17.812500000000014</v>
      </c>
      <c r="BH969" s="110">
        <f>VLOOKUP(AG969,Leyenda!$B$4:$E$10,4,FALSE)</f>
        <v>1</v>
      </c>
      <c r="BI969" s="67">
        <f t="shared" si="387"/>
        <v>8</v>
      </c>
      <c r="BJ969" s="110">
        <f t="shared" si="388"/>
        <v>4</v>
      </c>
      <c r="BK969" s="110">
        <f>+VLOOKUP('2. Logging Brejo Seco'!AP969,Leyenda!$B$47:$E$51,4,FALSE)</f>
        <v>1</v>
      </c>
      <c r="BL969" s="110">
        <f>+VLOOKUP('2. Logging Brejo Seco'!AQ969,Leyenda!$B$55:$E$59,4,FALSE)</f>
        <v>3</v>
      </c>
      <c r="BM969" s="110">
        <f>+VLOOKUP('2. Logging Brejo Seco'!AR969,Leyenda!$B$63:$E$67,3,FALSE)</f>
        <v>0</v>
      </c>
      <c r="BN969" s="110">
        <f>+VLOOKUP('2. Logging Brejo Seco'!AO969,Leyenda!$B$39:$E$43,4,FALSE)</f>
        <v>0</v>
      </c>
      <c r="BO969" s="110">
        <f>+VLOOKUP('2. Logging Brejo Seco'!AN969,Leyenda!$B$30:$E$34,4,FALSE)</f>
        <v>1</v>
      </c>
      <c r="BP969" s="110">
        <f>VLOOKUP(AS969,Leyenda!$B$71:$E$75,4,FALSE)</f>
        <v>10</v>
      </c>
      <c r="BQ969" s="110">
        <f t="shared" si="389"/>
        <v>28</v>
      </c>
      <c r="BR969" s="36">
        <f t="shared" si="390"/>
        <v>32</v>
      </c>
      <c r="BS969" s="240">
        <f t="shared" si="393"/>
        <v>6.2499999999998779E-2</v>
      </c>
      <c r="BT969" s="6"/>
    </row>
    <row r="970" spans="1:72" x14ac:dyDescent="0.25">
      <c r="A970" s="18" t="s">
        <v>6</v>
      </c>
      <c r="B970" s="18">
        <v>2024</v>
      </c>
      <c r="C970" s="18" t="s">
        <v>138</v>
      </c>
      <c r="D970" s="18" t="s">
        <v>663</v>
      </c>
      <c r="E970" s="3">
        <v>20</v>
      </c>
      <c r="F970" s="191">
        <v>20</v>
      </c>
      <c r="G970" s="18" t="s">
        <v>156</v>
      </c>
      <c r="H970" s="244">
        <f>+F970</f>
        <v>20</v>
      </c>
      <c r="I970" s="244" t="s">
        <v>760</v>
      </c>
      <c r="J970" s="244"/>
      <c r="K970" s="18">
        <f t="shared" si="381"/>
        <v>27.4</v>
      </c>
      <c r="L970" s="18">
        <v>28.55</v>
      </c>
      <c r="M970" s="4">
        <f t="shared" si="363"/>
        <v>1.1500000000000021</v>
      </c>
      <c r="N970" s="113">
        <f t="shared" si="366"/>
        <v>0.93043478260869394</v>
      </c>
      <c r="O970" s="5">
        <f t="shared" si="379"/>
        <v>6.9565217391306056E-2</v>
      </c>
      <c r="P970" s="3">
        <v>1.07</v>
      </c>
      <c r="Q970" s="6"/>
      <c r="R970" s="6"/>
      <c r="S970" s="6"/>
      <c r="T970" s="6">
        <v>1.07</v>
      </c>
      <c r="U970" s="6">
        <v>0.1</v>
      </c>
      <c r="V970" s="4">
        <f t="shared" si="392"/>
        <v>8.6956521739130288</v>
      </c>
      <c r="W970" s="6"/>
      <c r="X970" s="6"/>
      <c r="Y970" s="6">
        <v>13</v>
      </c>
      <c r="Z970" s="31">
        <f t="shared" si="362"/>
        <v>88.461538461538623</v>
      </c>
      <c r="AA970" s="6"/>
      <c r="AB970" s="6"/>
      <c r="AC970" s="6"/>
      <c r="AD970" s="6"/>
      <c r="AE970" s="6"/>
      <c r="AF970" s="6"/>
      <c r="AG970" s="18" t="s">
        <v>32</v>
      </c>
      <c r="AH970" s="18" t="s">
        <v>32</v>
      </c>
      <c r="AI970" s="18" t="str">
        <f>+VLOOKUP(AH970,Leyenda!$O$4:$U$10,6,FALSE)</f>
        <v>0,15-0,25</v>
      </c>
      <c r="AJ970" s="18" t="str">
        <f>+VLOOKUP(AG970,Leyenda!$O$4:$U$10,7,FALSE)</f>
        <v>No Blasting need</v>
      </c>
      <c r="AK970" s="18">
        <f>+VLOOKUP(AJ970,Leyenda!$U$4:$V$10,2,FALSE)</f>
        <v>2</v>
      </c>
      <c r="AL970" s="18"/>
      <c r="AM970" s="18" t="s">
        <v>32</v>
      </c>
      <c r="AN970" s="18" t="s">
        <v>66</v>
      </c>
      <c r="AO970" s="18" t="s">
        <v>81</v>
      </c>
      <c r="AP970" s="18" t="s">
        <v>96</v>
      </c>
      <c r="AQ970" s="18" t="s">
        <v>107</v>
      </c>
      <c r="AR970" s="18" t="s">
        <v>122</v>
      </c>
      <c r="AS970" s="18" t="s">
        <v>267</v>
      </c>
      <c r="AT970" s="18"/>
      <c r="AU970" s="6"/>
      <c r="AV970" s="36">
        <f>+VLOOKUP(AN970,Leyenda!$B$30:$E$34,3,FALSE)</f>
        <v>1</v>
      </c>
      <c r="AW970" s="36">
        <f>+VLOOKUP('2. Logging Brejo Seco'!AO970,Meteorizacion,3,FALSE)</f>
        <v>0</v>
      </c>
      <c r="AX970" s="36">
        <f>+VLOOKUP('2. Logging Brejo Seco'!AP970,Apertura,3,FALSE)</f>
        <v>1</v>
      </c>
      <c r="AY970" s="36">
        <f>+VLOOKUP('2. Logging Brejo Seco'!AQ970,Leyenda!$B$55:$D$59,3,FALSE)</f>
        <v>3</v>
      </c>
      <c r="AZ970" s="36">
        <f>+VLOOKUP('2. Logging Brejo Seco'!AR970,Relleno,3,FALSE)</f>
        <v>0</v>
      </c>
      <c r="BA970" s="36">
        <f t="shared" si="382"/>
        <v>5</v>
      </c>
      <c r="BB970" s="50">
        <f t="shared" si="383"/>
        <v>2</v>
      </c>
      <c r="BC970" s="49">
        <f>VLOOKUP(AH970,Leyenda!$B$4:$D$10,3,FALSE)</f>
        <v>1</v>
      </c>
      <c r="BD970" s="50">
        <f t="shared" si="384"/>
        <v>7</v>
      </c>
      <c r="BE970" s="50">
        <f t="shared" si="385"/>
        <v>5</v>
      </c>
      <c r="BF970" s="50">
        <f>VLOOKUP(AS970,Leyenda!$B$70:$D$75,3,FALSE)</f>
        <v>15</v>
      </c>
      <c r="BG970" s="110">
        <f t="shared" si="386"/>
        <v>11.847826086956514</v>
      </c>
      <c r="BH970" s="110">
        <f>VLOOKUP(AG970,Leyenda!$B$4:$E$10,4,FALSE)</f>
        <v>1</v>
      </c>
      <c r="BI970" s="67">
        <f t="shared" si="387"/>
        <v>7</v>
      </c>
      <c r="BJ970" s="110">
        <f t="shared" si="388"/>
        <v>2</v>
      </c>
      <c r="BK970" s="110">
        <f>+VLOOKUP('2. Logging Brejo Seco'!AP970,Leyenda!$B$47:$E$51,4,FALSE)</f>
        <v>1</v>
      </c>
      <c r="BL970" s="110">
        <f>+VLOOKUP('2. Logging Brejo Seco'!AQ970,Leyenda!$B$55:$E$59,4,FALSE)</f>
        <v>3</v>
      </c>
      <c r="BM970" s="110">
        <f>+VLOOKUP('2. Logging Brejo Seco'!AR970,Leyenda!$B$63:$E$67,3,FALSE)</f>
        <v>0</v>
      </c>
      <c r="BN970" s="110">
        <f>+VLOOKUP('2. Logging Brejo Seco'!AO970,Leyenda!$B$39:$E$43,4,FALSE)</f>
        <v>0</v>
      </c>
      <c r="BO970" s="110">
        <f>+VLOOKUP('2. Logging Brejo Seco'!AN970,Leyenda!$B$30:$E$34,4,FALSE)</f>
        <v>1</v>
      </c>
      <c r="BP970" s="110">
        <f>VLOOKUP(AS970,Leyenda!$B$71:$E$75,4,FALSE)</f>
        <v>10</v>
      </c>
      <c r="BQ970" s="110">
        <f t="shared" si="389"/>
        <v>25</v>
      </c>
      <c r="BR970" s="36">
        <f t="shared" si="390"/>
        <v>30</v>
      </c>
      <c r="BS970" s="240">
        <f t="shared" si="393"/>
        <v>6.9565217391306056E-2</v>
      </c>
      <c r="BT970" s="6"/>
    </row>
    <row r="971" spans="1:72" x14ac:dyDescent="0.25">
      <c r="A971" s="18" t="s">
        <v>6</v>
      </c>
      <c r="B971" s="18">
        <v>2024</v>
      </c>
      <c r="C971" s="18" t="s">
        <v>138</v>
      </c>
      <c r="D971" s="18" t="s">
        <v>663</v>
      </c>
      <c r="E971" s="3">
        <v>20</v>
      </c>
      <c r="F971" s="191">
        <v>20</v>
      </c>
      <c r="G971" s="18" t="s">
        <v>156</v>
      </c>
      <c r="H971" s="3">
        <v>70</v>
      </c>
      <c r="I971" s="3" t="s">
        <v>758</v>
      </c>
      <c r="J971" s="3"/>
      <c r="K971" s="18">
        <f t="shared" si="381"/>
        <v>28.55</v>
      </c>
      <c r="L971" s="18">
        <v>29.55</v>
      </c>
      <c r="M971" s="4">
        <f t="shared" si="363"/>
        <v>1</v>
      </c>
      <c r="N971" s="113">
        <f t="shared" si="366"/>
        <v>0.8899999999999999</v>
      </c>
      <c r="O971" s="5">
        <f t="shared" si="379"/>
        <v>0.1100000000000001</v>
      </c>
      <c r="P971" s="3">
        <f>0.6+0.29</f>
        <v>0.8899999999999999</v>
      </c>
      <c r="Q971" s="6"/>
      <c r="R971" s="6"/>
      <c r="S971" s="6"/>
      <c r="T971" s="6">
        <v>0.6</v>
      </c>
      <c r="U971" s="6">
        <v>0.22</v>
      </c>
      <c r="V971" s="4">
        <f t="shared" si="392"/>
        <v>22</v>
      </c>
      <c r="W971" s="6"/>
      <c r="X971" s="6"/>
      <c r="Y971" s="6">
        <v>19</v>
      </c>
      <c r="Z971" s="31">
        <f t="shared" si="362"/>
        <v>52.631578947368418</v>
      </c>
      <c r="AA971" s="6"/>
      <c r="AB971" s="6"/>
      <c r="AC971" s="6"/>
      <c r="AD971" s="6"/>
      <c r="AE971" s="6"/>
      <c r="AF971" s="6"/>
      <c r="AG971" s="18" t="s">
        <v>32</v>
      </c>
      <c r="AH971" s="18" t="s">
        <v>32</v>
      </c>
      <c r="AI971" s="18" t="str">
        <f>+VLOOKUP(AH971,Leyenda!$O$4:$U$10,6,FALSE)</f>
        <v>0,15-0,25</v>
      </c>
      <c r="AJ971" s="18" t="str">
        <f>+VLOOKUP(AG971,Leyenda!$O$4:$U$10,7,FALSE)</f>
        <v>No Blasting need</v>
      </c>
      <c r="AK971" s="18">
        <f>+VLOOKUP(AJ971,Leyenda!$U$4:$V$10,2,FALSE)</f>
        <v>2</v>
      </c>
      <c r="AL971" s="18"/>
      <c r="AM971" s="18" t="s">
        <v>32</v>
      </c>
      <c r="AN971" s="18" t="s">
        <v>66</v>
      </c>
      <c r="AO971" s="18" t="s">
        <v>81</v>
      </c>
      <c r="AP971" s="18" t="s">
        <v>96</v>
      </c>
      <c r="AQ971" s="18" t="s">
        <v>107</v>
      </c>
      <c r="AR971" s="18" t="s">
        <v>122</v>
      </c>
      <c r="AS971" s="18" t="s">
        <v>267</v>
      </c>
      <c r="AT971" s="18"/>
      <c r="AU971" s="6"/>
      <c r="AV971" s="36">
        <f>+VLOOKUP(AN971,Leyenda!$B$30:$E$34,3,FALSE)</f>
        <v>1</v>
      </c>
      <c r="AW971" s="36">
        <f>+VLOOKUP('2. Logging Brejo Seco'!AO971,Meteorizacion,3,FALSE)</f>
        <v>0</v>
      </c>
      <c r="AX971" s="36">
        <f>+VLOOKUP('2. Logging Brejo Seco'!AP971,Apertura,3,FALSE)</f>
        <v>1</v>
      </c>
      <c r="AY971" s="36">
        <f>+VLOOKUP('2. Logging Brejo Seco'!AQ971,Leyenda!$B$55:$D$59,3,FALSE)</f>
        <v>3</v>
      </c>
      <c r="AZ971" s="36">
        <f>+VLOOKUP('2. Logging Brejo Seco'!AR971,Relleno,3,FALSE)</f>
        <v>0</v>
      </c>
      <c r="BA971" s="36">
        <f t="shared" si="382"/>
        <v>5</v>
      </c>
      <c r="BB971" s="50">
        <f t="shared" si="383"/>
        <v>5</v>
      </c>
      <c r="BC971" s="49">
        <f>VLOOKUP(AH971,Leyenda!$B$4:$D$10,3,FALSE)</f>
        <v>1</v>
      </c>
      <c r="BD971" s="50">
        <f t="shared" si="384"/>
        <v>6</v>
      </c>
      <c r="BE971" s="50">
        <f t="shared" si="385"/>
        <v>5</v>
      </c>
      <c r="BF971" s="50">
        <f>VLOOKUP(AS971,Leyenda!$B$70:$D$75,3,FALSE)</f>
        <v>15</v>
      </c>
      <c r="BG971" s="110">
        <f t="shared" si="386"/>
        <v>18.5</v>
      </c>
      <c r="BH971" s="110">
        <f>VLOOKUP(AG971,Leyenda!$B$4:$E$10,4,FALSE)</f>
        <v>1</v>
      </c>
      <c r="BI971" s="67">
        <f t="shared" si="387"/>
        <v>4</v>
      </c>
      <c r="BJ971" s="110">
        <f t="shared" si="388"/>
        <v>5</v>
      </c>
      <c r="BK971" s="110">
        <f>+VLOOKUP('2. Logging Brejo Seco'!AP971,Leyenda!$B$47:$E$51,4,FALSE)</f>
        <v>1</v>
      </c>
      <c r="BL971" s="110">
        <f>+VLOOKUP('2. Logging Brejo Seco'!AQ971,Leyenda!$B$55:$E$59,4,FALSE)</f>
        <v>3</v>
      </c>
      <c r="BM971" s="110">
        <f>+VLOOKUP('2. Logging Brejo Seco'!AR971,Leyenda!$B$63:$E$67,3,FALSE)</f>
        <v>0</v>
      </c>
      <c r="BN971" s="110">
        <f>+VLOOKUP('2. Logging Brejo Seco'!AO971,Leyenda!$B$39:$E$43,4,FALSE)</f>
        <v>0</v>
      </c>
      <c r="BO971" s="110">
        <f>+VLOOKUP('2. Logging Brejo Seco'!AN971,Leyenda!$B$30:$E$34,4,FALSE)</f>
        <v>1</v>
      </c>
      <c r="BP971" s="110">
        <f>VLOOKUP(AS971,Leyenda!$B$71:$E$75,4,FALSE)</f>
        <v>10</v>
      </c>
      <c r="BQ971" s="110">
        <f t="shared" si="389"/>
        <v>25</v>
      </c>
      <c r="BR971" s="36">
        <f t="shared" si="390"/>
        <v>32</v>
      </c>
      <c r="BS971" s="240">
        <f t="shared" si="393"/>
        <v>0.1100000000000001</v>
      </c>
      <c r="BT971" s="6"/>
    </row>
    <row r="972" spans="1:72" x14ac:dyDescent="0.25">
      <c r="A972" s="18" t="s">
        <v>6</v>
      </c>
      <c r="B972" s="18">
        <v>2024</v>
      </c>
      <c r="C972" s="18" t="s">
        <v>138</v>
      </c>
      <c r="D972" s="18" t="s">
        <v>663</v>
      </c>
      <c r="E972" s="3">
        <v>20</v>
      </c>
      <c r="F972" s="191">
        <v>20</v>
      </c>
      <c r="G972" s="18" t="s">
        <v>156</v>
      </c>
      <c r="H972" s="3">
        <v>70</v>
      </c>
      <c r="I972" s="3" t="s">
        <v>758</v>
      </c>
      <c r="J972" s="3"/>
      <c r="K972" s="18">
        <f t="shared" si="381"/>
        <v>29.55</v>
      </c>
      <c r="L972" s="18">
        <v>30.6</v>
      </c>
      <c r="M972" s="4">
        <f t="shared" si="363"/>
        <v>1.0500000000000007</v>
      </c>
      <c r="N972" s="113">
        <f t="shared" si="366"/>
        <v>0.91428571428571359</v>
      </c>
      <c r="O972" s="5">
        <f t="shared" si="379"/>
        <v>8.5714285714286409E-2</v>
      </c>
      <c r="P972" s="3">
        <v>0.96</v>
      </c>
      <c r="Q972" s="6"/>
      <c r="R972" s="6"/>
      <c r="S972" s="6"/>
      <c r="T972" s="6">
        <v>0.96</v>
      </c>
      <c r="U972" s="6">
        <v>0.1</v>
      </c>
      <c r="V972" s="4">
        <f t="shared" si="392"/>
        <v>9.5238095238095184</v>
      </c>
      <c r="W972" s="6"/>
      <c r="X972" s="6"/>
      <c r="Y972" s="6">
        <v>13</v>
      </c>
      <c r="Z972" s="31">
        <f t="shared" ref="Z972:Z1019" si="394">+IF(M972=0,"",(M972*1000)/Y972)</f>
        <v>80.769230769230816</v>
      </c>
      <c r="AA972" s="6"/>
      <c r="AB972" s="6"/>
      <c r="AC972" s="6"/>
      <c r="AD972" s="6"/>
      <c r="AE972" s="6"/>
      <c r="AF972" s="6"/>
      <c r="AG972" s="18" t="s">
        <v>32</v>
      </c>
      <c r="AH972" s="18" t="s">
        <v>32</v>
      </c>
      <c r="AI972" s="18" t="str">
        <f>+VLOOKUP(AH972,Leyenda!$O$4:$U$10,6,FALSE)</f>
        <v>0,15-0,25</v>
      </c>
      <c r="AJ972" s="18" t="str">
        <f>+VLOOKUP(AG972,Leyenda!$O$4:$U$10,7,FALSE)</f>
        <v>No Blasting need</v>
      </c>
      <c r="AK972" s="18">
        <f>+VLOOKUP(AJ972,Leyenda!$U$4:$V$10,2,FALSE)</f>
        <v>2</v>
      </c>
      <c r="AL972" s="18"/>
      <c r="AM972" s="18" t="s">
        <v>32</v>
      </c>
      <c r="AN972" s="18" t="s">
        <v>66</v>
      </c>
      <c r="AO972" s="18" t="s">
        <v>81</v>
      </c>
      <c r="AP972" s="18" t="s">
        <v>96</v>
      </c>
      <c r="AQ972" s="18" t="s">
        <v>107</v>
      </c>
      <c r="AR972" s="18" t="s">
        <v>122</v>
      </c>
      <c r="AS972" s="18" t="s">
        <v>267</v>
      </c>
      <c r="AT972" s="18"/>
      <c r="AU972" s="6"/>
      <c r="AV972" s="36">
        <f>+VLOOKUP(AN972,Leyenda!$B$30:$E$34,3,FALSE)</f>
        <v>1</v>
      </c>
      <c r="AW972" s="36">
        <f>+VLOOKUP('2. Logging Brejo Seco'!AO972,Meteorizacion,3,FALSE)</f>
        <v>0</v>
      </c>
      <c r="AX972" s="36">
        <f>+VLOOKUP('2. Logging Brejo Seco'!AP972,Apertura,3,FALSE)</f>
        <v>1</v>
      </c>
      <c r="AY972" s="36">
        <f>+VLOOKUP('2. Logging Brejo Seco'!AQ972,Leyenda!$B$55:$D$59,3,FALSE)</f>
        <v>3</v>
      </c>
      <c r="AZ972" s="36">
        <f>+VLOOKUP('2. Logging Brejo Seco'!AR972,Relleno,3,FALSE)</f>
        <v>0</v>
      </c>
      <c r="BA972" s="36">
        <f t="shared" si="382"/>
        <v>5</v>
      </c>
      <c r="BB972" s="50">
        <f t="shared" si="383"/>
        <v>2</v>
      </c>
      <c r="BC972" s="49">
        <f>VLOOKUP(AH972,Leyenda!$B$4:$D$10,3,FALSE)</f>
        <v>1</v>
      </c>
      <c r="BD972" s="50">
        <f t="shared" si="384"/>
        <v>7</v>
      </c>
      <c r="BE972" s="50">
        <f t="shared" si="385"/>
        <v>5</v>
      </c>
      <c r="BF972" s="50">
        <f>VLOOKUP(AS972,Leyenda!$B$70:$D$75,3,FALSE)</f>
        <v>15</v>
      </c>
      <c r="BG972" s="110">
        <f t="shared" si="386"/>
        <v>12.261904761904759</v>
      </c>
      <c r="BH972" s="110">
        <f>VLOOKUP(AG972,Leyenda!$B$4:$E$10,4,FALSE)</f>
        <v>1</v>
      </c>
      <c r="BI972" s="67">
        <f t="shared" si="387"/>
        <v>7</v>
      </c>
      <c r="BJ972" s="110">
        <f t="shared" si="388"/>
        <v>2</v>
      </c>
      <c r="BK972" s="110">
        <f>+VLOOKUP('2. Logging Brejo Seco'!AP972,Leyenda!$B$47:$E$51,4,FALSE)</f>
        <v>1</v>
      </c>
      <c r="BL972" s="110">
        <f>+VLOOKUP('2. Logging Brejo Seco'!AQ972,Leyenda!$B$55:$E$59,4,FALSE)</f>
        <v>3</v>
      </c>
      <c r="BM972" s="110">
        <f>+VLOOKUP('2. Logging Brejo Seco'!AR972,Leyenda!$B$63:$E$67,3,FALSE)</f>
        <v>0</v>
      </c>
      <c r="BN972" s="110">
        <f>+VLOOKUP('2. Logging Brejo Seco'!AO972,Leyenda!$B$39:$E$43,4,FALSE)</f>
        <v>0</v>
      </c>
      <c r="BO972" s="110">
        <f>+VLOOKUP('2. Logging Brejo Seco'!AN972,Leyenda!$B$30:$E$34,4,FALSE)</f>
        <v>1</v>
      </c>
      <c r="BP972" s="110">
        <f>VLOOKUP(AS972,Leyenda!$B$71:$E$75,4,FALSE)</f>
        <v>10</v>
      </c>
      <c r="BQ972" s="110">
        <f t="shared" si="389"/>
        <v>25</v>
      </c>
      <c r="BR972" s="36">
        <f t="shared" si="390"/>
        <v>30</v>
      </c>
      <c r="BS972" s="240">
        <f t="shared" si="393"/>
        <v>8.5714285714286409E-2</v>
      </c>
      <c r="BT972" s="6"/>
    </row>
    <row r="973" spans="1:72" x14ac:dyDescent="0.25">
      <c r="A973" s="18" t="s">
        <v>6</v>
      </c>
      <c r="B973" s="18">
        <v>2024</v>
      </c>
      <c r="C973" s="18" t="s">
        <v>138</v>
      </c>
      <c r="D973" s="18" t="s">
        <v>663</v>
      </c>
      <c r="E973" s="3">
        <v>20</v>
      </c>
      <c r="F973" s="191">
        <v>20</v>
      </c>
      <c r="G973" s="18" t="s">
        <v>156</v>
      </c>
      <c r="H973" s="3">
        <v>70</v>
      </c>
      <c r="I973" s="3" t="s">
        <v>758</v>
      </c>
      <c r="J973" s="3"/>
      <c r="K973" s="18">
        <f t="shared" si="381"/>
        <v>30.6</v>
      </c>
      <c r="L973" s="18">
        <v>31</v>
      </c>
      <c r="M973" s="4">
        <f t="shared" si="363"/>
        <v>0.39999999999999858</v>
      </c>
      <c r="N973" s="113">
        <f t="shared" si="366"/>
        <v>0.87500000000000311</v>
      </c>
      <c r="O973" s="5">
        <f t="shared" si="379"/>
        <v>0.12499999999999689</v>
      </c>
      <c r="P973" s="3">
        <v>0.35</v>
      </c>
      <c r="Q973" s="6"/>
      <c r="R973" s="6"/>
      <c r="S973" s="6"/>
      <c r="T973" s="6">
        <v>0.35</v>
      </c>
      <c r="U973" s="6">
        <v>0</v>
      </c>
      <c r="V973" s="4">
        <f t="shared" si="392"/>
        <v>0</v>
      </c>
      <c r="W973" s="6"/>
      <c r="X973" s="6"/>
      <c r="Y973" s="6">
        <f>5+1</f>
        <v>6</v>
      </c>
      <c r="Z973" s="31">
        <f t="shared" si="394"/>
        <v>66.66666666666643</v>
      </c>
      <c r="AA973" s="6"/>
      <c r="AB973" s="6"/>
      <c r="AC973" s="6"/>
      <c r="AD973" s="6"/>
      <c r="AE973" s="6"/>
      <c r="AF973" s="6"/>
      <c r="AG973" s="18" t="s">
        <v>29</v>
      </c>
      <c r="AH973" s="18" t="s">
        <v>29</v>
      </c>
      <c r="AI973" s="18" t="str">
        <f>+VLOOKUP(AH973,Leyenda!$O$4:$U$10,6,FALSE)</f>
        <v>0,25-0,35</v>
      </c>
      <c r="AJ973" s="18" t="str">
        <f>+VLOOKUP(AG973,Leyenda!$O$4:$U$10,7,FALSE)</f>
        <v>No Blasting need</v>
      </c>
      <c r="AK973" s="18">
        <f>+VLOOKUP(AJ973,Leyenda!$U$4:$V$10,2,FALSE)</f>
        <v>2</v>
      </c>
      <c r="AL973" s="18"/>
      <c r="AM973" s="18" t="s">
        <v>29</v>
      </c>
      <c r="AN973" s="18" t="s">
        <v>66</v>
      </c>
      <c r="AO973" s="18" t="s">
        <v>81</v>
      </c>
      <c r="AP973" s="18" t="s">
        <v>96</v>
      </c>
      <c r="AQ973" s="18" t="s">
        <v>107</v>
      </c>
      <c r="AR973" s="18" t="s">
        <v>122</v>
      </c>
      <c r="AS973" s="18" t="s">
        <v>267</v>
      </c>
      <c r="AT973" s="18"/>
      <c r="AU973" s="6"/>
      <c r="AV973" s="36">
        <f>+VLOOKUP(AN973,Leyenda!$B$30:$E$34,3,FALSE)</f>
        <v>1</v>
      </c>
      <c r="AW973" s="36">
        <f>+VLOOKUP('2. Logging Brejo Seco'!AO973,Meteorizacion,3,FALSE)</f>
        <v>0</v>
      </c>
      <c r="AX973" s="36">
        <f>+VLOOKUP('2. Logging Brejo Seco'!AP973,Apertura,3,FALSE)</f>
        <v>1</v>
      </c>
      <c r="AY973" s="36">
        <f>+VLOOKUP('2. Logging Brejo Seco'!AQ973,Leyenda!$B$55:$D$59,3,FALSE)</f>
        <v>3</v>
      </c>
      <c r="AZ973" s="36">
        <f>+VLOOKUP('2. Logging Brejo Seco'!AR973,Relleno,3,FALSE)</f>
        <v>0</v>
      </c>
      <c r="BA973" s="36">
        <f t="shared" si="382"/>
        <v>5</v>
      </c>
      <c r="BB973" s="50">
        <f t="shared" si="383"/>
        <v>0</v>
      </c>
      <c r="BC973" s="49">
        <f>VLOOKUP(AH973,Leyenda!$B$4:$D$10,3,FALSE)</f>
        <v>2</v>
      </c>
      <c r="BD973" s="50">
        <f t="shared" si="384"/>
        <v>6</v>
      </c>
      <c r="BE973" s="50">
        <f t="shared" si="385"/>
        <v>5</v>
      </c>
      <c r="BF973" s="50">
        <f>VLOOKUP(AS973,Leyenda!$B$70:$D$75,3,FALSE)</f>
        <v>15</v>
      </c>
      <c r="BG973" s="110">
        <f t="shared" si="386"/>
        <v>7.5</v>
      </c>
      <c r="BH973" s="110">
        <f>VLOOKUP(AG973,Leyenda!$B$4:$E$10,4,FALSE)</f>
        <v>2</v>
      </c>
      <c r="BI973" s="67">
        <f t="shared" si="387"/>
        <v>6</v>
      </c>
      <c r="BJ973" s="110">
        <f t="shared" si="388"/>
        <v>0</v>
      </c>
      <c r="BK973" s="110">
        <f>+VLOOKUP('2. Logging Brejo Seco'!AP973,Leyenda!$B$47:$E$51,4,FALSE)</f>
        <v>1</v>
      </c>
      <c r="BL973" s="110">
        <f>+VLOOKUP('2. Logging Brejo Seco'!AQ973,Leyenda!$B$55:$E$59,4,FALSE)</f>
        <v>3</v>
      </c>
      <c r="BM973" s="110">
        <f>+VLOOKUP('2. Logging Brejo Seco'!AR973,Leyenda!$B$63:$E$67,3,FALSE)</f>
        <v>0</v>
      </c>
      <c r="BN973" s="110">
        <f>+VLOOKUP('2. Logging Brejo Seco'!AO973,Leyenda!$B$39:$E$43,4,FALSE)</f>
        <v>0</v>
      </c>
      <c r="BO973" s="110">
        <f>+VLOOKUP('2. Logging Brejo Seco'!AN973,Leyenda!$B$30:$E$34,4,FALSE)</f>
        <v>1</v>
      </c>
      <c r="BP973" s="110">
        <f>VLOOKUP(AS973,Leyenda!$B$71:$E$75,4,FALSE)</f>
        <v>10</v>
      </c>
      <c r="BQ973" s="110">
        <f t="shared" si="389"/>
        <v>23</v>
      </c>
      <c r="BR973" s="36">
        <f t="shared" si="390"/>
        <v>28</v>
      </c>
      <c r="BS973" s="240">
        <f t="shared" si="393"/>
        <v>0.12499999999999689</v>
      </c>
      <c r="BT973" s="6"/>
    </row>
    <row r="974" spans="1:72" x14ac:dyDescent="0.25">
      <c r="A974" s="18" t="s">
        <v>6</v>
      </c>
      <c r="B974" s="18">
        <v>2024</v>
      </c>
      <c r="C974" s="18" t="s">
        <v>138</v>
      </c>
      <c r="D974" s="18" t="s">
        <v>663</v>
      </c>
      <c r="E974" s="3">
        <v>20</v>
      </c>
      <c r="F974" s="191">
        <v>20</v>
      </c>
      <c r="G974" s="18" t="s">
        <v>156</v>
      </c>
      <c r="H974" s="3">
        <v>70</v>
      </c>
      <c r="I974" s="3" t="s">
        <v>758</v>
      </c>
      <c r="J974" s="3"/>
      <c r="K974" s="18">
        <f t="shared" si="381"/>
        <v>31</v>
      </c>
      <c r="L974" s="18">
        <v>32.1</v>
      </c>
      <c r="M974" s="4">
        <f t="shared" si="363"/>
        <v>1.1000000000000014</v>
      </c>
      <c r="N974" s="113">
        <f t="shared" si="366"/>
        <v>0.69999999999999907</v>
      </c>
      <c r="O974" s="5">
        <f t="shared" si="379"/>
        <v>0.30000000000000093</v>
      </c>
      <c r="P974" s="3">
        <v>0.77</v>
      </c>
      <c r="Q974" s="6"/>
      <c r="R974" s="6"/>
      <c r="S974" s="6"/>
      <c r="T974" s="6">
        <v>0.77</v>
      </c>
      <c r="U974" s="6">
        <v>0.18</v>
      </c>
      <c r="V974" s="4">
        <f t="shared" si="392"/>
        <v>16.363636363636342</v>
      </c>
      <c r="W974" s="6"/>
      <c r="X974" s="6"/>
      <c r="Y974" s="6">
        <v>12</v>
      </c>
      <c r="Z974" s="31">
        <f t="shared" si="394"/>
        <v>91.666666666666785</v>
      </c>
      <c r="AA974" s="6"/>
      <c r="AB974" s="6"/>
      <c r="AC974" s="6"/>
      <c r="AD974" s="6"/>
      <c r="AE974" s="6"/>
      <c r="AF974" s="6"/>
      <c r="AG974" s="18" t="s">
        <v>29</v>
      </c>
      <c r="AH974" s="18" t="s">
        <v>29</v>
      </c>
      <c r="AI974" s="18" t="str">
        <f>+VLOOKUP(AH974,Leyenda!$O$4:$U$10,6,FALSE)</f>
        <v>0,25-0,35</v>
      </c>
      <c r="AJ974" s="18" t="str">
        <f>+VLOOKUP(AG974,Leyenda!$O$4:$U$10,7,FALSE)</f>
        <v>No Blasting need</v>
      </c>
      <c r="AK974" s="18">
        <f>+VLOOKUP(AJ974,Leyenda!$U$4:$V$10,2,FALSE)</f>
        <v>2</v>
      </c>
      <c r="AL974" s="18"/>
      <c r="AM974" s="18" t="s">
        <v>29</v>
      </c>
      <c r="AN974" s="18" t="s">
        <v>66</v>
      </c>
      <c r="AO974" s="18" t="s">
        <v>81</v>
      </c>
      <c r="AP974" s="18" t="s">
        <v>96</v>
      </c>
      <c r="AQ974" s="18" t="s">
        <v>107</v>
      </c>
      <c r="AR974" s="18" t="s">
        <v>122</v>
      </c>
      <c r="AS974" s="18" t="s">
        <v>267</v>
      </c>
      <c r="AT974" s="18"/>
      <c r="AU974" s="6"/>
      <c r="AV974" s="36">
        <f>+VLOOKUP(AN974,Leyenda!$B$30:$E$34,3,FALSE)</f>
        <v>1</v>
      </c>
      <c r="AW974" s="36">
        <f>+VLOOKUP('2. Logging Brejo Seco'!AO974,Meteorizacion,3,FALSE)</f>
        <v>0</v>
      </c>
      <c r="AX974" s="36">
        <f>+VLOOKUP('2. Logging Brejo Seco'!AP974,Apertura,3,FALSE)</f>
        <v>1</v>
      </c>
      <c r="AY974" s="36">
        <f>+VLOOKUP('2. Logging Brejo Seco'!AQ974,Leyenda!$B$55:$D$59,3,FALSE)</f>
        <v>3</v>
      </c>
      <c r="AZ974" s="36">
        <f>+VLOOKUP('2. Logging Brejo Seco'!AR974,Relleno,3,FALSE)</f>
        <v>0</v>
      </c>
      <c r="BA974" s="36">
        <f t="shared" si="382"/>
        <v>5</v>
      </c>
      <c r="BB974" s="50">
        <f t="shared" si="383"/>
        <v>4</v>
      </c>
      <c r="BC974" s="49">
        <f>VLOOKUP(AH974,Leyenda!$B$4:$D$10,3,FALSE)</f>
        <v>2</v>
      </c>
      <c r="BD974" s="50">
        <f t="shared" si="384"/>
        <v>7</v>
      </c>
      <c r="BE974" s="50">
        <f t="shared" si="385"/>
        <v>5</v>
      </c>
      <c r="BF974" s="50">
        <f>VLOOKUP(AS974,Leyenda!$B$70:$D$75,3,FALSE)</f>
        <v>15</v>
      </c>
      <c r="BG974" s="110">
        <f t="shared" si="386"/>
        <v>15.681818181818171</v>
      </c>
      <c r="BH974" s="110">
        <f>VLOOKUP(AG974,Leyenda!$B$4:$E$10,4,FALSE)</f>
        <v>2</v>
      </c>
      <c r="BI974" s="67">
        <f t="shared" si="387"/>
        <v>8</v>
      </c>
      <c r="BJ974" s="110">
        <f t="shared" si="388"/>
        <v>4</v>
      </c>
      <c r="BK974" s="110">
        <f>+VLOOKUP('2. Logging Brejo Seco'!AP974,Leyenda!$B$47:$E$51,4,FALSE)</f>
        <v>1</v>
      </c>
      <c r="BL974" s="110">
        <f>+VLOOKUP('2. Logging Brejo Seco'!AQ974,Leyenda!$B$55:$E$59,4,FALSE)</f>
        <v>3</v>
      </c>
      <c r="BM974" s="110">
        <f>+VLOOKUP('2. Logging Brejo Seco'!AR974,Leyenda!$B$63:$E$67,3,FALSE)</f>
        <v>0</v>
      </c>
      <c r="BN974" s="110">
        <f>+VLOOKUP('2. Logging Brejo Seco'!AO974,Leyenda!$B$39:$E$43,4,FALSE)</f>
        <v>0</v>
      </c>
      <c r="BO974" s="110">
        <f>+VLOOKUP('2. Logging Brejo Seco'!AN974,Leyenda!$B$30:$E$34,4,FALSE)</f>
        <v>1</v>
      </c>
      <c r="BP974" s="110">
        <f>VLOOKUP(AS974,Leyenda!$B$71:$E$75,4,FALSE)</f>
        <v>10</v>
      </c>
      <c r="BQ974" s="110">
        <f t="shared" si="389"/>
        <v>29</v>
      </c>
      <c r="BR974" s="36">
        <f t="shared" si="390"/>
        <v>33</v>
      </c>
      <c r="BS974" s="240">
        <f t="shared" si="393"/>
        <v>0.30000000000000093</v>
      </c>
      <c r="BT974" s="6"/>
    </row>
    <row r="975" spans="1:72" x14ac:dyDescent="0.25">
      <c r="A975" s="18" t="s">
        <v>6</v>
      </c>
      <c r="B975" s="18">
        <v>2024</v>
      </c>
      <c r="C975" s="18" t="s">
        <v>138</v>
      </c>
      <c r="D975" s="18" t="s">
        <v>663</v>
      </c>
      <c r="E975" s="3">
        <v>20</v>
      </c>
      <c r="F975" s="191">
        <v>20</v>
      </c>
      <c r="G975" s="18" t="s">
        <v>156</v>
      </c>
      <c r="H975" s="3">
        <v>70</v>
      </c>
      <c r="I975" s="3" t="s">
        <v>758</v>
      </c>
      <c r="J975" s="3"/>
      <c r="K975" s="18">
        <f t="shared" si="381"/>
        <v>32.1</v>
      </c>
      <c r="L975" s="18">
        <v>34</v>
      </c>
      <c r="M975" s="4">
        <f t="shared" ref="M975:M1019" si="395">+L975-K975</f>
        <v>1.8999999999999986</v>
      </c>
      <c r="N975" s="113">
        <f>+P975/M975</f>
        <v>0.76842105263157945</v>
      </c>
      <c r="O975" s="5">
        <f t="shared" si="379"/>
        <v>0.23157894736842055</v>
      </c>
      <c r="P975" s="3">
        <f>1.19+0.27</f>
        <v>1.46</v>
      </c>
      <c r="Q975" s="6"/>
      <c r="R975" s="6"/>
      <c r="S975" s="6"/>
      <c r="T975" s="6">
        <v>1.46</v>
      </c>
      <c r="U975" s="6">
        <f>0.4+0.39</f>
        <v>0.79</v>
      </c>
      <c r="V975" s="4">
        <f t="shared" si="392"/>
        <v>41.57894736842109</v>
      </c>
      <c r="W975" s="6"/>
      <c r="X975" s="6"/>
      <c r="Y975" s="6">
        <v>16</v>
      </c>
      <c r="Z975" s="31">
        <f t="shared" si="394"/>
        <v>118.74999999999991</v>
      </c>
      <c r="AA975" s="6"/>
      <c r="AB975" s="6"/>
      <c r="AC975" s="6"/>
      <c r="AD975" s="6"/>
      <c r="AE975" s="6"/>
      <c r="AF975" s="6"/>
      <c r="AG975" s="18" t="s">
        <v>29</v>
      </c>
      <c r="AH975" s="18" t="s">
        <v>29</v>
      </c>
      <c r="AI975" s="18" t="str">
        <f>+VLOOKUP(AH975,Leyenda!$O$4:$U$10,6,FALSE)</f>
        <v>0,25-0,35</v>
      </c>
      <c r="AJ975" s="18" t="str">
        <f>+VLOOKUP(AG975,Leyenda!$O$4:$U$10,7,FALSE)</f>
        <v>No Blasting need</v>
      </c>
      <c r="AK975" s="18">
        <f>+VLOOKUP(AJ975,Leyenda!$U$4:$V$10,2,FALSE)</f>
        <v>2</v>
      </c>
      <c r="AL975" s="18"/>
      <c r="AM975" s="18" t="s">
        <v>29</v>
      </c>
      <c r="AN975" s="18" t="s">
        <v>64</v>
      </c>
      <c r="AO975" s="18" t="s">
        <v>79</v>
      </c>
      <c r="AP975" s="18" t="s">
        <v>96</v>
      </c>
      <c r="AQ975" s="18" t="s">
        <v>107</v>
      </c>
      <c r="AR975" s="18" t="s">
        <v>122</v>
      </c>
      <c r="AS975" s="18" t="s">
        <v>267</v>
      </c>
      <c r="AT975" s="18"/>
      <c r="AU975" s="6"/>
      <c r="AV975" s="36">
        <f>+VLOOKUP(AN975,Leyenda!$B$30:$E$34,3,FALSE)</f>
        <v>2</v>
      </c>
      <c r="AW975" s="36">
        <f>+VLOOKUP('2. Logging Brejo Seco'!AO975,Meteorizacion,3,FALSE)</f>
        <v>1</v>
      </c>
      <c r="AX975" s="36">
        <f>+VLOOKUP('2. Logging Brejo Seco'!AP975,Apertura,3,FALSE)</f>
        <v>1</v>
      </c>
      <c r="AY975" s="36">
        <f>+VLOOKUP('2. Logging Brejo Seco'!AQ975,Leyenda!$B$55:$D$59,3,FALSE)</f>
        <v>3</v>
      </c>
      <c r="AZ975" s="36">
        <f>+VLOOKUP('2. Logging Brejo Seco'!AR975,Relleno,3,FALSE)</f>
        <v>0</v>
      </c>
      <c r="BA975" s="36">
        <f t="shared" si="382"/>
        <v>7</v>
      </c>
      <c r="BB975" s="50">
        <f t="shared" si="383"/>
        <v>9</v>
      </c>
      <c r="BC975" s="49">
        <f>VLOOKUP(AH975,Leyenda!$B$4:$D$10,3,FALSE)</f>
        <v>2</v>
      </c>
      <c r="BD975" s="50">
        <f t="shared" si="384"/>
        <v>8</v>
      </c>
      <c r="BE975" s="50">
        <f t="shared" si="385"/>
        <v>7</v>
      </c>
      <c r="BF975" s="50">
        <f>VLOOKUP(AS975,Leyenda!$B$70:$D$75,3,FALSE)</f>
        <v>15</v>
      </c>
      <c r="BG975" s="110">
        <f t="shared" si="386"/>
        <v>31.289473684210545</v>
      </c>
      <c r="BH975" s="110">
        <f>VLOOKUP(AG975,Leyenda!$B$4:$E$10,4,FALSE)</f>
        <v>2</v>
      </c>
      <c r="BI975" s="67">
        <f t="shared" si="387"/>
        <v>9</v>
      </c>
      <c r="BJ975" s="110">
        <f t="shared" si="388"/>
        <v>9</v>
      </c>
      <c r="BK975" s="110">
        <f>+VLOOKUP('2. Logging Brejo Seco'!AP975,Leyenda!$B$47:$E$51,4,FALSE)</f>
        <v>1</v>
      </c>
      <c r="BL975" s="110">
        <f>+VLOOKUP('2. Logging Brejo Seco'!AQ975,Leyenda!$B$55:$E$59,4,FALSE)</f>
        <v>3</v>
      </c>
      <c r="BM975" s="110">
        <f>+VLOOKUP('2. Logging Brejo Seco'!AR975,Leyenda!$B$63:$E$67,3,FALSE)</f>
        <v>0</v>
      </c>
      <c r="BN975" s="110">
        <f>+VLOOKUP('2. Logging Brejo Seco'!AO975,Leyenda!$B$39:$E$43,4,FALSE)</f>
        <v>1</v>
      </c>
      <c r="BO975" s="110">
        <f>+VLOOKUP('2. Logging Brejo Seco'!AN975,Leyenda!$B$30:$E$34,4,FALSE)</f>
        <v>3</v>
      </c>
      <c r="BP975" s="110">
        <f>VLOOKUP(AS975,Leyenda!$B$71:$E$75,4,FALSE)</f>
        <v>10</v>
      </c>
      <c r="BQ975" s="110">
        <f t="shared" si="389"/>
        <v>38</v>
      </c>
      <c r="BR975" s="36">
        <f t="shared" si="390"/>
        <v>41</v>
      </c>
      <c r="BS975" s="240">
        <f t="shared" si="393"/>
        <v>0.23157894736842055</v>
      </c>
      <c r="BT975" s="6"/>
    </row>
    <row r="976" spans="1:72" x14ac:dyDescent="0.25">
      <c r="A976" s="18" t="s">
        <v>6</v>
      </c>
      <c r="B976" s="18">
        <v>2024</v>
      </c>
      <c r="C976" s="18" t="s">
        <v>138</v>
      </c>
      <c r="D976" s="18" t="s">
        <v>663</v>
      </c>
      <c r="E976" s="3">
        <v>20</v>
      </c>
      <c r="F976" s="191">
        <v>20</v>
      </c>
      <c r="G976" s="18" t="s">
        <v>156</v>
      </c>
      <c r="H976" s="3">
        <v>70</v>
      </c>
      <c r="I976" s="3" t="s">
        <v>758</v>
      </c>
      <c r="J976" s="3"/>
      <c r="K976" s="18">
        <f t="shared" si="381"/>
        <v>34</v>
      </c>
      <c r="L976" s="18">
        <v>35.35</v>
      </c>
      <c r="M976" s="4">
        <f t="shared" si="395"/>
        <v>1.3500000000000014</v>
      </c>
      <c r="N976" s="113">
        <f>+P976/M976</f>
        <v>0.87407407407407312</v>
      </c>
      <c r="O976" s="5">
        <f t="shared" si="379"/>
        <v>0.12592592592592688</v>
      </c>
      <c r="P976" s="3">
        <v>1.18</v>
      </c>
      <c r="Q976" s="6"/>
      <c r="R976" s="6"/>
      <c r="S976" s="6"/>
      <c r="T976" s="6">
        <v>1.18</v>
      </c>
      <c r="U976" s="6">
        <v>0.38</v>
      </c>
      <c r="V976" s="4">
        <f t="shared" si="392"/>
        <v>28.148148148148117</v>
      </c>
      <c r="W976" s="6"/>
      <c r="X976" s="6"/>
      <c r="Y976" s="202">
        <v>12</v>
      </c>
      <c r="Z976" s="31">
        <f t="shared" si="394"/>
        <v>112.50000000000011</v>
      </c>
      <c r="AA976" s="6"/>
      <c r="AB976" s="6"/>
      <c r="AC976" s="6"/>
      <c r="AD976" s="6"/>
      <c r="AE976" s="6"/>
      <c r="AF976" s="6"/>
      <c r="AG976" s="18" t="s">
        <v>29</v>
      </c>
      <c r="AH976" s="18" t="s">
        <v>29</v>
      </c>
      <c r="AI976" s="18" t="str">
        <f>+VLOOKUP(AH976,Leyenda!$O$4:$U$10,6,FALSE)</f>
        <v>0,25-0,35</v>
      </c>
      <c r="AJ976" s="18" t="str">
        <f>+VLOOKUP(AG976,Leyenda!$O$4:$U$10,7,FALSE)</f>
        <v>No Blasting need</v>
      </c>
      <c r="AK976" s="18">
        <f>+VLOOKUP(AJ976,Leyenda!$U$4:$V$10,2,FALSE)</f>
        <v>2</v>
      </c>
      <c r="AL976" s="18"/>
      <c r="AM976" s="18" t="s">
        <v>29</v>
      </c>
      <c r="AN976" s="18" t="s">
        <v>64</v>
      </c>
      <c r="AO976" s="18" t="s">
        <v>79</v>
      </c>
      <c r="AP976" s="18" t="s">
        <v>96</v>
      </c>
      <c r="AQ976" s="18" t="s">
        <v>107</v>
      </c>
      <c r="AR976" s="18" t="s">
        <v>122</v>
      </c>
      <c r="AS976" s="18" t="s">
        <v>267</v>
      </c>
      <c r="AT976" s="18"/>
      <c r="AU976" s="6"/>
      <c r="AV976" s="36">
        <f>+VLOOKUP(AN976,Leyenda!$B$30:$E$34,3,FALSE)</f>
        <v>2</v>
      </c>
      <c r="AW976" s="36">
        <f>+VLOOKUP('2. Logging Brejo Seco'!AO976,Meteorizacion,3,FALSE)</f>
        <v>1</v>
      </c>
      <c r="AX976" s="36">
        <f>+VLOOKUP('2. Logging Brejo Seco'!AP976,Apertura,3,FALSE)</f>
        <v>1</v>
      </c>
      <c r="AY976" s="36">
        <f>+VLOOKUP('2. Logging Brejo Seco'!AQ976,Leyenda!$B$55:$D$59,3,FALSE)</f>
        <v>3</v>
      </c>
      <c r="AZ976" s="36">
        <f>+VLOOKUP('2. Logging Brejo Seco'!AR976,Relleno,3,FALSE)</f>
        <v>0</v>
      </c>
      <c r="BA976" s="36">
        <f t="shared" si="382"/>
        <v>7</v>
      </c>
      <c r="BB976" s="50">
        <f t="shared" si="383"/>
        <v>6</v>
      </c>
      <c r="BC976" s="49">
        <f>VLOOKUP(AH976,Leyenda!$B$4:$D$10,3,FALSE)</f>
        <v>2</v>
      </c>
      <c r="BD976" s="50">
        <f t="shared" si="384"/>
        <v>8</v>
      </c>
      <c r="BE976" s="50">
        <f t="shared" si="385"/>
        <v>7</v>
      </c>
      <c r="BF976" s="50">
        <f>VLOOKUP(AS976,Leyenda!$B$70:$D$75,3,FALSE)</f>
        <v>15</v>
      </c>
      <c r="BG976" s="110">
        <f t="shared" si="386"/>
        <v>24.574074074074058</v>
      </c>
      <c r="BH976" s="110">
        <f>VLOOKUP(AG976,Leyenda!$B$4:$E$10,4,FALSE)</f>
        <v>2</v>
      </c>
      <c r="BI976" s="67">
        <f t="shared" si="387"/>
        <v>9</v>
      </c>
      <c r="BJ976" s="110">
        <f t="shared" si="388"/>
        <v>6</v>
      </c>
      <c r="BK976" s="110">
        <f>+VLOOKUP('2. Logging Brejo Seco'!AP976,Leyenda!$B$47:$E$51,4,FALSE)</f>
        <v>1</v>
      </c>
      <c r="BL976" s="110">
        <f>+VLOOKUP('2. Logging Brejo Seco'!AQ976,Leyenda!$B$55:$E$59,4,FALSE)</f>
        <v>3</v>
      </c>
      <c r="BM976" s="110">
        <f>+VLOOKUP('2. Logging Brejo Seco'!AR976,Leyenda!$B$63:$E$67,3,FALSE)</f>
        <v>0</v>
      </c>
      <c r="BN976" s="110">
        <f>+VLOOKUP('2. Logging Brejo Seco'!AO976,Leyenda!$B$39:$E$43,4,FALSE)</f>
        <v>1</v>
      </c>
      <c r="BO976" s="110">
        <f>+VLOOKUP('2. Logging Brejo Seco'!AN976,Leyenda!$B$30:$E$34,4,FALSE)</f>
        <v>3</v>
      </c>
      <c r="BP976" s="110">
        <f>VLOOKUP(AS976,Leyenda!$B$71:$E$75,4,FALSE)</f>
        <v>10</v>
      </c>
      <c r="BQ976" s="110">
        <f t="shared" si="389"/>
        <v>35</v>
      </c>
      <c r="BR976" s="36">
        <f t="shared" si="390"/>
        <v>38</v>
      </c>
      <c r="BS976" s="240">
        <f t="shared" si="393"/>
        <v>0.12592592592592688</v>
      </c>
      <c r="BT976" s="6"/>
    </row>
    <row r="977" spans="1:72" x14ac:dyDescent="0.25">
      <c r="A977" s="18" t="s">
        <v>6</v>
      </c>
      <c r="B977" s="18">
        <v>2024</v>
      </c>
      <c r="C977" s="18" t="s">
        <v>138</v>
      </c>
      <c r="D977" s="18" t="s">
        <v>663</v>
      </c>
      <c r="E977" s="3">
        <v>20</v>
      </c>
      <c r="F977" s="191">
        <v>20</v>
      </c>
      <c r="G977" s="18" t="s">
        <v>156</v>
      </c>
      <c r="H977" s="3">
        <v>70</v>
      </c>
      <c r="I977" s="3" t="s">
        <v>758</v>
      </c>
      <c r="J977" s="3"/>
      <c r="K977" s="18">
        <f t="shared" si="381"/>
        <v>35.35</v>
      </c>
      <c r="L977" s="18">
        <v>37.450000000000003</v>
      </c>
      <c r="M977" s="4">
        <f t="shared" si="395"/>
        <v>2.1000000000000014</v>
      </c>
      <c r="N977" s="113">
        <f t="shared" si="366"/>
        <v>0.74761904761904718</v>
      </c>
      <c r="O977" s="5">
        <f t="shared" si="379"/>
        <v>0.25238095238095282</v>
      </c>
      <c r="P977" s="3">
        <v>1.57</v>
      </c>
      <c r="Q977" s="6"/>
      <c r="R977" s="6"/>
      <c r="S977" s="6"/>
      <c r="T977" s="6">
        <f>0.29+1.28</f>
        <v>1.57</v>
      </c>
      <c r="U977" s="6">
        <f>0.17+0.82</f>
        <v>0.99</v>
      </c>
      <c r="V977" s="4">
        <f t="shared" si="392"/>
        <v>47.14285714285711</v>
      </c>
      <c r="W977" s="6"/>
      <c r="X977" s="6"/>
      <c r="Y977" s="6">
        <v>7</v>
      </c>
      <c r="Z977" s="31">
        <f t="shared" si="394"/>
        <v>300.00000000000017</v>
      </c>
      <c r="AA977" s="6"/>
      <c r="AB977" s="6"/>
      <c r="AC977" s="6"/>
      <c r="AD977" s="6"/>
      <c r="AE977" s="6"/>
      <c r="AF977" s="6"/>
      <c r="AG977" s="18" t="s">
        <v>29</v>
      </c>
      <c r="AH977" s="18" t="s">
        <v>29</v>
      </c>
      <c r="AI977" s="18" t="str">
        <f>+VLOOKUP(AH977,Leyenda!$O$4:$U$10,6,FALSE)</f>
        <v>0,25-0,35</v>
      </c>
      <c r="AJ977" s="18" t="str">
        <f>+VLOOKUP(AG977,Leyenda!$O$4:$U$10,7,FALSE)</f>
        <v>No Blasting need</v>
      </c>
      <c r="AK977" s="18">
        <f>+VLOOKUP(AJ977,Leyenda!$U$4:$V$10,2,FALSE)</f>
        <v>2</v>
      </c>
      <c r="AL977" s="18"/>
      <c r="AM977" s="18" t="s">
        <v>29</v>
      </c>
      <c r="AN977" s="18" t="s">
        <v>66</v>
      </c>
      <c r="AO977" s="18" t="s">
        <v>79</v>
      </c>
      <c r="AP977" s="18" t="s">
        <v>96</v>
      </c>
      <c r="AQ977" s="18" t="s">
        <v>109</v>
      </c>
      <c r="AR977" s="18" t="s">
        <v>122</v>
      </c>
      <c r="AS977" s="18" t="s">
        <v>267</v>
      </c>
      <c r="AT977" s="18"/>
      <c r="AU977" s="6"/>
      <c r="AV977" s="36">
        <f>+VLOOKUP(AN977,Leyenda!$B$30:$E$34,3,FALSE)</f>
        <v>1</v>
      </c>
      <c r="AW977" s="36">
        <f>+VLOOKUP('2. Logging Brejo Seco'!AO977,Meteorizacion,3,FALSE)</f>
        <v>1</v>
      </c>
      <c r="AX977" s="36">
        <f>+VLOOKUP('2. Logging Brejo Seco'!AP977,Apertura,3,FALSE)</f>
        <v>1</v>
      </c>
      <c r="AY977" s="36">
        <f>+VLOOKUP('2. Logging Brejo Seco'!AQ977,Leyenda!$B$55:$D$59,3,FALSE)</f>
        <v>1</v>
      </c>
      <c r="AZ977" s="36">
        <f>+VLOOKUP('2. Logging Brejo Seco'!AR977,Relleno,3,FALSE)</f>
        <v>0</v>
      </c>
      <c r="BA977" s="36">
        <f t="shared" si="382"/>
        <v>4</v>
      </c>
      <c r="BB977" s="50">
        <f t="shared" si="383"/>
        <v>10</v>
      </c>
      <c r="BC977" s="49">
        <f>VLOOKUP(AH977,Leyenda!$B$4:$D$10,3,FALSE)</f>
        <v>2</v>
      </c>
      <c r="BD977" s="50">
        <f t="shared" si="384"/>
        <v>10</v>
      </c>
      <c r="BE977" s="50">
        <f t="shared" si="385"/>
        <v>4</v>
      </c>
      <c r="BF977" s="50">
        <f>VLOOKUP(AS977,Leyenda!$B$70:$D$75,3,FALSE)</f>
        <v>15</v>
      </c>
      <c r="BG977" s="110">
        <f t="shared" si="386"/>
        <v>29.571428571428555</v>
      </c>
      <c r="BH977" s="110">
        <f>VLOOKUP(AG977,Leyenda!$B$4:$E$10,4,FALSE)</f>
        <v>2</v>
      </c>
      <c r="BI977" s="67">
        <f t="shared" si="387"/>
        <v>15</v>
      </c>
      <c r="BJ977" s="110">
        <f t="shared" si="388"/>
        <v>10</v>
      </c>
      <c r="BK977" s="110">
        <f>+VLOOKUP('2. Logging Brejo Seco'!AP977,Leyenda!$B$47:$E$51,4,FALSE)</f>
        <v>1</v>
      </c>
      <c r="BL977" s="110">
        <f>+VLOOKUP('2. Logging Brejo Seco'!AQ977,Leyenda!$B$55:$E$59,4,FALSE)</f>
        <v>1</v>
      </c>
      <c r="BM977" s="110">
        <f>+VLOOKUP('2. Logging Brejo Seco'!AR977,Leyenda!$B$63:$E$67,3,FALSE)</f>
        <v>0</v>
      </c>
      <c r="BN977" s="110">
        <f>+VLOOKUP('2. Logging Brejo Seco'!AO977,Leyenda!$B$39:$E$43,4,FALSE)</f>
        <v>1</v>
      </c>
      <c r="BO977" s="110">
        <f>+VLOOKUP('2. Logging Brejo Seco'!AN977,Leyenda!$B$30:$E$34,4,FALSE)</f>
        <v>1</v>
      </c>
      <c r="BP977" s="110">
        <f>VLOOKUP(AS977,Leyenda!$B$71:$E$75,4,FALSE)</f>
        <v>10</v>
      </c>
      <c r="BQ977" s="110">
        <f t="shared" si="389"/>
        <v>41</v>
      </c>
      <c r="BR977" s="36">
        <f t="shared" si="390"/>
        <v>41</v>
      </c>
      <c r="BS977" s="240">
        <f t="shared" si="393"/>
        <v>0.25238095238095282</v>
      </c>
      <c r="BT977" s="6"/>
    </row>
    <row r="978" spans="1:72" x14ac:dyDescent="0.25">
      <c r="A978" s="18" t="s">
        <v>6</v>
      </c>
      <c r="B978" s="18">
        <v>2024</v>
      </c>
      <c r="C978" s="18" t="s">
        <v>138</v>
      </c>
      <c r="D978" s="18" t="s">
        <v>663</v>
      </c>
      <c r="E978" s="3">
        <v>20</v>
      </c>
      <c r="F978" s="191">
        <v>20</v>
      </c>
      <c r="G978" s="18" t="s">
        <v>156</v>
      </c>
      <c r="H978" s="3">
        <v>70</v>
      </c>
      <c r="I978" s="3" t="s">
        <v>758</v>
      </c>
      <c r="J978" s="3"/>
      <c r="K978" s="18">
        <f t="shared" si="381"/>
        <v>37.450000000000003</v>
      </c>
      <c r="L978" s="18">
        <v>39.35</v>
      </c>
      <c r="M978" s="4">
        <f t="shared" si="395"/>
        <v>1.8999999999999986</v>
      </c>
      <c r="N978" s="113">
        <f t="shared" si="366"/>
        <v>0.78947368421052688</v>
      </c>
      <c r="O978" s="5">
        <f t="shared" si="379"/>
        <v>0.21052631578947312</v>
      </c>
      <c r="P978" s="3">
        <v>1.5</v>
      </c>
      <c r="Q978" s="6"/>
      <c r="R978" s="6"/>
      <c r="S978" s="6"/>
      <c r="T978" s="6">
        <v>1.5</v>
      </c>
      <c r="U978" s="6">
        <v>0.59</v>
      </c>
      <c r="V978" s="4">
        <f t="shared" si="392"/>
        <v>31.052631578947388</v>
      </c>
      <c r="W978" s="6"/>
      <c r="X978" s="6"/>
      <c r="Y978" s="6">
        <f>9+4</f>
        <v>13</v>
      </c>
      <c r="Z978" s="31">
        <f t="shared" si="394"/>
        <v>146.15384615384605</v>
      </c>
      <c r="AA978" s="6"/>
      <c r="AB978" s="6"/>
      <c r="AC978" s="6"/>
      <c r="AD978" s="6"/>
      <c r="AE978" s="6"/>
      <c r="AF978" s="6"/>
      <c r="AG978" s="18" t="s">
        <v>29</v>
      </c>
      <c r="AH978" s="18" t="s">
        <v>29</v>
      </c>
      <c r="AI978" s="18" t="str">
        <f>+VLOOKUP(AH978,Leyenda!$O$4:$U$10,6,FALSE)</f>
        <v>0,25-0,35</v>
      </c>
      <c r="AJ978" s="18" t="str">
        <f>+VLOOKUP(AG978,Leyenda!$O$4:$U$10,7,FALSE)</f>
        <v>No Blasting need</v>
      </c>
      <c r="AK978" s="18">
        <f>+VLOOKUP(AJ978,Leyenda!$U$4:$V$10,2,FALSE)</f>
        <v>2</v>
      </c>
      <c r="AL978" s="18"/>
      <c r="AM978" s="18" t="s">
        <v>29</v>
      </c>
      <c r="AN978" s="18" t="s">
        <v>66</v>
      </c>
      <c r="AO978" s="18" t="s">
        <v>79</v>
      </c>
      <c r="AP978" s="18" t="s">
        <v>96</v>
      </c>
      <c r="AQ978" s="18" t="s">
        <v>109</v>
      </c>
      <c r="AR978" s="18" t="s">
        <v>122</v>
      </c>
      <c r="AS978" s="18" t="s">
        <v>267</v>
      </c>
      <c r="AT978" s="18"/>
      <c r="AU978" s="6"/>
      <c r="AV978" s="36">
        <f>+VLOOKUP(AN978,Leyenda!$B$30:$E$34,3,FALSE)</f>
        <v>1</v>
      </c>
      <c r="AW978" s="36">
        <f>+VLOOKUP('2. Logging Brejo Seco'!AO978,Meteorizacion,3,FALSE)</f>
        <v>1</v>
      </c>
      <c r="AX978" s="36">
        <f>+VLOOKUP('2. Logging Brejo Seco'!AP978,Apertura,3,FALSE)</f>
        <v>1</v>
      </c>
      <c r="AY978" s="36">
        <f>+VLOOKUP('2. Logging Brejo Seco'!AQ978,Leyenda!$B$55:$D$59,3,FALSE)</f>
        <v>1</v>
      </c>
      <c r="AZ978" s="36">
        <f>+VLOOKUP('2. Logging Brejo Seco'!AR978,Relleno,3,FALSE)</f>
        <v>0</v>
      </c>
      <c r="BA978" s="36">
        <f t="shared" si="382"/>
        <v>4</v>
      </c>
      <c r="BB978" s="50">
        <f t="shared" si="383"/>
        <v>7</v>
      </c>
      <c r="BC978" s="49">
        <f>VLOOKUP(AH978,Leyenda!$B$4:$D$10,3,FALSE)</f>
        <v>2</v>
      </c>
      <c r="BD978" s="50">
        <f t="shared" si="384"/>
        <v>8</v>
      </c>
      <c r="BE978" s="50">
        <f t="shared" si="385"/>
        <v>4</v>
      </c>
      <c r="BF978" s="50">
        <f>VLOOKUP(AS978,Leyenda!$B$70:$D$75,3,FALSE)</f>
        <v>15</v>
      </c>
      <c r="BG978" s="110">
        <f t="shared" si="386"/>
        <v>21.526315789473692</v>
      </c>
      <c r="BH978" s="110">
        <f>VLOOKUP(AG978,Leyenda!$B$4:$E$10,4,FALSE)</f>
        <v>2</v>
      </c>
      <c r="BI978" s="67">
        <f t="shared" si="387"/>
        <v>10</v>
      </c>
      <c r="BJ978" s="110">
        <f t="shared" si="388"/>
        <v>7</v>
      </c>
      <c r="BK978" s="110">
        <f>+VLOOKUP('2. Logging Brejo Seco'!AP978,Leyenda!$B$47:$E$51,4,FALSE)</f>
        <v>1</v>
      </c>
      <c r="BL978" s="110">
        <f>+VLOOKUP('2. Logging Brejo Seco'!AQ978,Leyenda!$B$55:$E$59,4,FALSE)</f>
        <v>1</v>
      </c>
      <c r="BM978" s="110">
        <f>+VLOOKUP('2. Logging Brejo Seco'!AR978,Leyenda!$B$63:$E$67,3,FALSE)</f>
        <v>0</v>
      </c>
      <c r="BN978" s="110">
        <f>+VLOOKUP('2. Logging Brejo Seco'!AO978,Leyenda!$B$39:$E$43,4,FALSE)</f>
        <v>1</v>
      </c>
      <c r="BO978" s="110">
        <f>+VLOOKUP('2. Logging Brejo Seco'!AN978,Leyenda!$B$30:$E$34,4,FALSE)</f>
        <v>1</v>
      </c>
      <c r="BP978" s="110">
        <f>VLOOKUP(AS978,Leyenda!$B$71:$E$75,4,FALSE)</f>
        <v>10</v>
      </c>
      <c r="BQ978" s="110">
        <f t="shared" si="389"/>
        <v>33</v>
      </c>
      <c r="BR978" s="36">
        <f t="shared" si="390"/>
        <v>36</v>
      </c>
      <c r="BS978" s="240">
        <f t="shared" si="393"/>
        <v>0.21052631578947312</v>
      </c>
      <c r="BT978" s="6"/>
    </row>
    <row r="979" spans="1:72" x14ac:dyDescent="0.25">
      <c r="A979" s="18" t="s">
        <v>6</v>
      </c>
      <c r="B979" s="18">
        <v>2024</v>
      </c>
      <c r="C979" s="18" t="s">
        <v>138</v>
      </c>
      <c r="D979" s="18" t="s">
        <v>663</v>
      </c>
      <c r="E979" s="3">
        <v>20</v>
      </c>
      <c r="F979" s="191">
        <v>20</v>
      </c>
      <c r="G979" s="18" t="s">
        <v>156</v>
      </c>
      <c r="H979" s="3">
        <v>70</v>
      </c>
      <c r="I979" s="3" t="s">
        <v>758</v>
      </c>
      <c r="J979" s="3"/>
      <c r="K979" s="18">
        <f t="shared" si="381"/>
        <v>39.35</v>
      </c>
      <c r="L979" s="18">
        <v>40.049999999999997</v>
      </c>
      <c r="M979" s="4">
        <f t="shared" si="395"/>
        <v>0.69999999999999574</v>
      </c>
      <c r="N979" s="113">
        <f t="shared" si="366"/>
        <v>1.000000000000006</v>
      </c>
      <c r="O979" s="5">
        <f t="shared" si="379"/>
        <v>-5.9952043329758453E-15</v>
      </c>
      <c r="P979" s="3">
        <v>0.7</v>
      </c>
      <c r="Q979" s="6"/>
      <c r="R979" s="6"/>
      <c r="S979" s="6"/>
      <c r="T979" s="6">
        <v>0.7</v>
      </c>
      <c r="U979" s="6">
        <v>0</v>
      </c>
      <c r="V979" s="4">
        <f t="shared" si="392"/>
        <v>0</v>
      </c>
      <c r="W979" s="6"/>
      <c r="X979" s="6"/>
      <c r="Y979" s="6">
        <v>5</v>
      </c>
      <c r="Z979" s="31">
        <f t="shared" si="394"/>
        <v>139.99999999999915</v>
      </c>
      <c r="AA979" s="6"/>
      <c r="AB979" s="6"/>
      <c r="AC979" s="6"/>
      <c r="AD979" s="6"/>
      <c r="AE979" s="6"/>
      <c r="AF979" s="6"/>
      <c r="AG979" s="18" t="s">
        <v>29</v>
      </c>
      <c r="AH979" s="18" t="s">
        <v>29</v>
      </c>
      <c r="AI979" s="18" t="str">
        <f>+VLOOKUP(AH979,Leyenda!$O$4:$U$10,6,FALSE)</f>
        <v>0,25-0,35</v>
      </c>
      <c r="AJ979" s="18" t="str">
        <f>+VLOOKUP(AG979,Leyenda!$O$4:$U$10,7,FALSE)</f>
        <v>No Blasting need</v>
      </c>
      <c r="AK979" s="18">
        <f>+VLOOKUP(AJ979,Leyenda!$U$4:$V$10,2,FALSE)</f>
        <v>2</v>
      </c>
      <c r="AL979" s="18"/>
      <c r="AM979" s="18" t="s">
        <v>29</v>
      </c>
      <c r="AN979" s="18" t="s">
        <v>66</v>
      </c>
      <c r="AO979" s="18" t="s">
        <v>79</v>
      </c>
      <c r="AP979" s="18" t="s">
        <v>96</v>
      </c>
      <c r="AQ979" s="18" t="s">
        <v>109</v>
      </c>
      <c r="AR979" s="18" t="s">
        <v>122</v>
      </c>
      <c r="AS979" s="18" t="s">
        <v>267</v>
      </c>
      <c r="AT979" s="18"/>
      <c r="AU979" s="6"/>
      <c r="AV979" s="36">
        <f>+VLOOKUP(AN979,Leyenda!$B$30:$E$34,3,FALSE)</f>
        <v>1</v>
      </c>
      <c r="AW979" s="36">
        <f>+VLOOKUP('2. Logging Brejo Seco'!AO979,Meteorizacion,3,FALSE)</f>
        <v>1</v>
      </c>
      <c r="AX979" s="36">
        <f>+VLOOKUP('2. Logging Brejo Seco'!AP979,Apertura,3,FALSE)</f>
        <v>1</v>
      </c>
      <c r="AY979" s="36">
        <f>+VLOOKUP('2. Logging Brejo Seco'!AQ979,Leyenda!$B$55:$D$59,3,FALSE)</f>
        <v>1</v>
      </c>
      <c r="AZ979" s="36">
        <f>+VLOOKUP('2. Logging Brejo Seco'!AR979,Relleno,3,FALSE)</f>
        <v>0</v>
      </c>
      <c r="BA979" s="36">
        <f t="shared" si="382"/>
        <v>4</v>
      </c>
      <c r="BB979" s="50">
        <f t="shared" si="383"/>
        <v>0</v>
      </c>
      <c r="BC979" s="49">
        <f>VLOOKUP(AH979,Leyenda!$B$4:$D$10,3,FALSE)</f>
        <v>2</v>
      </c>
      <c r="BD979" s="50">
        <f t="shared" si="384"/>
        <v>8</v>
      </c>
      <c r="BE979" s="50">
        <f t="shared" si="385"/>
        <v>4</v>
      </c>
      <c r="BF979" s="50">
        <f>VLOOKUP(AS979,Leyenda!$B$70:$D$75,3,FALSE)</f>
        <v>15</v>
      </c>
      <c r="BG979" s="110">
        <f t="shared" si="386"/>
        <v>6</v>
      </c>
      <c r="BH979" s="110">
        <f>VLOOKUP(AG979,Leyenda!$B$4:$E$10,4,FALSE)</f>
        <v>2</v>
      </c>
      <c r="BI979" s="67">
        <f t="shared" si="387"/>
        <v>10</v>
      </c>
      <c r="BJ979" s="110">
        <f t="shared" si="388"/>
        <v>0</v>
      </c>
      <c r="BK979" s="110">
        <f>+VLOOKUP('2. Logging Brejo Seco'!AP979,Leyenda!$B$47:$E$51,4,FALSE)</f>
        <v>1</v>
      </c>
      <c r="BL979" s="110">
        <f>+VLOOKUP('2. Logging Brejo Seco'!AQ979,Leyenda!$B$55:$E$59,4,FALSE)</f>
        <v>1</v>
      </c>
      <c r="BM979" s="110">
        <f>+VLOOKUP('2. Logging Brejo Seco'!AR979,Leyenda!$B$63:$E$67,3,FALSE)</f>
        <v>0</v>
      </c>
      <c r="BN979" s="110">
        <f>+VLOOKUP('2. Logging Brejo Seco'!AO979,Leyenda!$B$39:$E$43,4,FALSE)</f>
        <v>1</v>
      </c>
      <c r="BO979" s="110">
        <f>+VLOOKUP('2. Logging Brejo Seco'!AN979,Leyenda!$B$30:$E$34,4,FALSE)</f>
        <v>1</v>
      </c>
      <c r="BP979" s="110">
        <f>VLOOKUP(AS979,Leyenda!$B$71:$E$75,4,FALSE)</f>
        <v>10</v>
      </c>
      <c r="BQ979" s="110">
        <f t="shared" si="389"/>
        <v>26</v>
      </c>
      <c r="BR979" s="36">
        <f t="shared" si="390"/>
        <v>29</v>
      </c>
      <c r="BS979" s="240">
        <f t="shared" si="393"/>
        <v>-5.9952043329758453E-15</v>
      </c>
      <c r="BT979" s="6"/>
    </row>
    <row r="980" spans="1:72" x14ac:dyDescent="0.25">
      <c r="A980" s="18" t="s">
        <v>6</v>
      </c>
      <c r="B980" s="18">
        <v>2024</v>
      </c>
      <c r="C980" s="18" t="s">
        <v>138</v>
      </c>
      <c r="D980" s="18" t="s">
        <v>664</v>
      </c>
      <c r="E980" s="3">
        <v>60</v>
      </c>
      <c r="F980" s="191">
        <v>60</v>
      </c>
      <c r="G980" s="3" t="s">
        <v>136</v>
      </c>
      <c r="H980" s="244">
        <f t="shared" ref="H980:H982" si="396">+F980</f>
        <v>60</v>
      </c>
      <c r="I980" s="244" t="s">
        <v>762</v>
      </c>
      <c r="J980" s="244"/>
      <c r="K980" s="3">
        <v>0</v>
      </c>
      <c r="L980" s="18">
        <v>0.7</v>
      </c>
      <c r="M980" s="4">
        <f t="shared" si="395"/>
        <v>0.7</v>
      </c>
      <c r="N980" s="113">
        <f t="shared" si="366"/>
        <v>0.84285714285714286</v>
      </c>
      <c r="O980" s="5">
        <f t="shared" si="379"/>
        <v>0.15714285714285714</v>
      </c>
      <c r="P980" s="3">
        <v>0.59</v>
      </c>
      <c r="Q980" s="6"/>
      <c r="R980" s="6"/>
      <c r="S980" s="6"/>
      <c r="T980" s="6">
        <v>0.59</v>
      </c>
      <c r="U980" s="6">
        <v>0</v>
      </c>
      <c r="V980" s="18">
        <f t="shared" si="392"/>
        <v>0</v>
      </c>
      <c r="W980" s="6"/>
      <c r="X980" s="6"/>
      <c r="Y980" s="6">
        <v>15</v>
      </c>
      <c r="Z980" s="31">
        <f t="shared" si="394"/>
        <v>46.666666666666664</v>
      </c>
      <c r="AA980" s="6"/>
      <c r="AB980" s="6"/>
      <c r="AC980" s="6"/>
      <c r="AD980" s="6"/>
      <c r="AE980" s="6"/>
      <c r="AF980" s="6"/>
      <c r="AG980" s="3" t="s">
        <v>34</v>
      </c>
      <c r="AH980" s="3" t="s">
        <v>34</v>
      </c>
      <c r="AI980" s="18">
        <f>+VLOOKUP(AH980,Leyenda!$O$4:$U$10,6,FALSE)</f>
        <v>0</v>
      </c>
      <c r="AJ980" s="18" t="str">
        <f>+VLOOKUP(AG980,Leyenda!$O$4:$U$10,7,FALSE)</f>
        <v>No Blasting need</v>
      </c>
      <c r="AK980" s="18">
        <f>+VLOOKUP(AJ980,Leyenda!$U$4:$V$10,2,FALSE)</f>
        <v>2</v>
      </c>
      <c r="AL980" s="3"/>
      <c r="AM980" s="18" t="s">
        <v>34</v>
      </c>
      <c r="AN980" s="18" t="s">
        <v>69</v>
      </c>
      <c r="AO980" s="18" t="s">
        <v>81</v>
      </c>
      <c r="AP980" s="18" t="s">
        <v>100</v>
      </c>
      <c r="AQ980" s="18" t="s">
        <v>111</v>
      </c>
      <c r="AR980" s="18" t="s">
        <v>120</v>
      </c>
      <c r="AS980" s="18" t="s">
        <v>267</v>
      </c>
      <c r="AT980" s="18"/>
      <c r="AU980" s="6"/>
      <c r="AV980" s="36">
        <f>+VLOOKUP(AN980,Leyenda!$B$30:$E$34,3,FALSE)</f>
        <v>0</v>
      </c>
      <c r="AW980" s="36">
        <f>+VLOOKUP('2. Logging Brejo Seco'!AO980,Meteorizacion,3,FALSE)</f>
        <v>0</v>
      </c>
      <c r="AX980" s="36">
        <f>+VLOOKUP('2. Logging Brejo Seco'!AP980,Apertura,3,FALSE)</f>
        <v>0</v>
      </c>
      <c r="AY980" s="36">
        <f>+VLOOKUP('2. Logging Brejo Seco'!AQ980,Leyenda!$B$55:$D$59,3,FALSE)</f>
        <v>0</v>
      </c>
      <c r="AZ980" s="36">
        <f>+VLOOKUP('2. Logging Brejo Seco'!AR980,Relleno,3,FALSE)</f>
        <v>2</v>
      </c>
      <c r="BA980" s="36">
        <f t="shared" si="382"/>
        <v>2</v>
      </c>
      <c r="BB980" s="50">
        <f t="shared" si="383"/>
        <v>0</v>
      </c>
      <c r="BC980" s="49">
        <f>VLOOKUP(AH980,Leyenda!$B$4:$D$10,3,FALSE)</f>
        <v>0</v>
      </c>
      <c r="BD980" s="50">
        <f t="shared" si="384"/>
        <v>6</v>
      </c>
      <c r="BE980" s="50">
        <f t="shared" si="385"/>
        <v>2</v>
      </c>
      <c r="BF980" s="50">
        <f>VLOOKUP(AS980,Leyenda!$B$70:$D$75,3,FALSE)</f>
        <v>15</v>
      </c>
      <c r="BG980" s="110">
        <f t="shared" si="386"/>
        <v>3</v>
      </c>
      <c r="BH980" s="110">
        <f>VLOOKUP(AG980,Leyenda!$B$4:$E$10,4,FALSE)</f>
        <v>0</v>
      </c>
      <c r="BI980" s="67">
        <f t="shared" si="387"/>
        <v>5</v>
      </c>
      <c r="BJ980" s="110">
        <f t="shared" si="388"/>
        <v>0</v>
      </c>
      <c r="BK980" s="110">
        <f>+VLOOKUP('2. Logging Brejo Seco'!AP980,Leyenda!$B$47:$E$51,4,FALSE)</f>
        <v>0</v>
      </c>
      <c r="BL980" s="110">
        <f>+VLOOKUP('2. Logging Brejo Seco'!AQ980,Leyenda!$B$55:$E$59,4,FALSE)</f>
        <v>0</v>
      </c>
      <c r="BM980" s="110">
        <f>+VLOOKUP('2. Logging Brejo Seco'!AR980,Leyenda!$B$63:$E$67,3,FALSE)</f>
        <v>2</v>
      </c>
      <c r="BN980" s="110">
        <f>+VLOOKUP('2. Logging Brejo Seco'!AO980,Leyenda!$B$39:$E$43,4,FALSE)</f>
        <v>0</v>
      </c>
      <c r="BO980" s="110">
        <f>+VLOOKUP('2. Logging Brejo Seco'!AN980,Leyenda!$B$30:$E$34,4,FALSE)</f>
        <v>0</v>
      </c>
      <c r="BP980" s="110">
        <f>VLOOKUP(AS980,Leyenda!$B$71:$E$75,4,FALSE)</f>
        <v>10</v>
      </c>
      <c r="BQ980" s="110">
        <f t="shared" si="389"/>
        <v>17</v>
      </c>
      <c r="BR980" s="36">
        <f t="shared" si="390"/>
        <v>23</v>
      </c>
      <c r="BS980" s="240">
        <f t="shared" si="393"/>
        <v>0.15714285714285714</v>
      </c>
      <c r="BT980" s="6"/>
    </row>
    <row r="981" spans="1:72" x14ac:dyDescent="0.25">
      <c r="A981" s="18" t="s">
        <v>6</v>
      </c>
      <c r="B981" s="18">
        <v>2024</v>
      </c>
      <c r="C981" s="18" t="s">
        <v>138</v>
      </c>
      <c r="D981" s="18" t="s">
        <v>664</v>
      </c>
      <c r="E981" s="3">
        <v>60</v>
      </c>
      <c r="F981" s="191">
        <v>60</v>
      </c>
      <c r="G981" s="3" t="s">
        <v>136</v>
      </c>
      <c r="H981" s="244">
        <f t="shared" si="396"/>
        <v>60</v>
      </c>
      <c r="I981" s="244" t="s">
        <v>762</v>
      </c>
      <c r="J981" s="244"/>
      <c r="K981" s="18">
        <f>+L980</f>
        <v>0.7</v>
      </c>
      <c r="L981" s="18">
        <v>1.4</v>
      </c>
      <c r="M981" s="4">
        <f t="shared" si="395"/>
        <v>0.7</v>
      </c>
      <c r="N981" s="113">
        <f t="shared" ref="N981:N1019" si="397">+P981/M981</f>
        <v>0.74285714285714288</v>
      </c>
      <c r="O981" s="5">
        <f t="shared" si="379"/>
        <v>0.25714285714285712</v>
      </c>
      <c r="P981" s="3">
        <v>0.52</v>
      </c>
      <c r="Q981" s="6"/>
      <c r="R981" s="6"/>
      <c r="S981" s="6"/>
      <c r="T981" s="6">
        <v>0.52</v>
      </c>
      <c r="U981" s="6">
        <v>0</v>
      </c>
      <c r="V981" s="18">
        <f t="shared" si="392"/>
        <v>0</v>
      </c>
      <c r="W981" s="6"/>
      <c r="X981" s="6"/>
      <c r="Y981" s="6">
        <v>15</v>
      </c>
      <c r="Z981" s="31">
        <f t="shared" si="394"/>
        <v>46.666666666666664</v>
      </c>
      <c r="AA981" s="6"/>
      <c r="AB981" s="6"/>
      <c r="AC981" s="6"/>
      <c r="AD981" s="6"/>
      <c r="AE981" s="6"/>
      <c r="AF981" s="6"/>
      <c r="AG981" s="3" t="s">
        <v>34</v>
      </c>
      <c r="AH981" s="3" t="s">
        <v>34</v>
      </c>
      <c r="AI981" s="18">
        <f>+VLOOKUP(AH981,Leyenda!$O$4:$U$10,6,FALSE)</f>
        <v>0</v>
      </c>
      <c r="AJ981" s="18" t="str">
        <f>+VLOOKUP(AG981,Leyenda!$O$4:$U$10,7,FALSE)</f>
        <v>No Blasting need</v>
      </c>
      <c r="AK981" s="18">
        <f>+VLOOKUP(AJ981,Leyenda!$U$4:$V$10,2,FALSE)</f>
        <v>2</v>
      </c>
      <c r="AL981" s="3"/>
      <c r="AM981" s="18" t="s">
        <v>34</v>
      </c>
      <c r="AN981" s="18" t="s">
        <v>69</v>
      </c>
      <c r="AO981" s="18" t="s">
        <v>81</v>
      </c>
      <c r="AP981" s="18" t="s">
        <v>100</v>
      </c>
      <c r="AQ981" s="18" t="s">
        <v>111</v>
      </c>
      <c r="AR981" s="18" t="s">
        <v>120</v>
      </c>
      <c r="AS981" s="18" t="s">
        <v>267</v>
      </c>
      <c r="AT981" s="18"/>
      <c r="AU981" s="6"/>
      <c r="AV981" s="36">
        <f>+VLOOKUP(AN981,Leyenda!$B$30:$E$34,3,FALSE)</f>
        <v>0</v>
      </c>
      <c r="AW981" s="36">
        <f>+VLOOKUP('2. Logging Brejo Seco'!AO981,Meteorizacion,3,FALSE)</f>
        <v>0</v>
      </c>
      <c r="AX981" s="36">
        <f>+VLOOKUP('2. Logging Brejo Seco'!AP981,Apertura,3,FALSE)</f>
        <v>0</v>
      </c>
      <c r="AY981" s="36">
        <f>+VLOOKUP('2. Logging Brejo Seco'!AQ981,Leyenda!$B$55:$D$59,3,FALSE)</f>
        <v>0</v>
      </c>
      <c r="AZ981" s="36">
        <f>+VLOOKUP('2. Logging Brejo Seco'!AR981,Relleno,3,FALSE)</f>
        <v>2</v>
      </c>
      <c r="BA981" s="36">
        <f t="shared" si="382"/>
        <v>2</v>
      </c>
      <c r="BB981" s="50">
        <f t="shared" si="383"/>
        <v>0</v>
      </c>
      <c r="BC981" s="49">
        <f>VLOOKUP(AH981,Leyenda!$B$4:$D$10,3,FALSE)</f>
        <v>0</v>
      </c>
      <c r="BD981" s="50">
        <f t="shared" si="384"/>
        <v>6</v>
      </c>
      <c r="BE981" s="50">
        <f t="shared" si="385"/>
        <v>2</v>
      </c>
      <c r="BF981" s="50">
        <f>VLOOKUP(AS981,Leyenda!$B$70:$D$75,3,FALSE)</f>
        <v>15</v>
      </c>
      <c r="BG981" s="110">
        <f t="shared" si="386"/>
        <v>3</v>
      </c>
      <c r="BH981" s="110">
        <f>VLOOKUP(AG981,Leyenda!$B$4:$E$10,4,FALSE)</f>
        <v>0</v>
      </c>
      <c r="BI981" s="67">
        <f t="shared" si="387"/>
        <v>5</v>
      </c>
      <c r="BJ981" s="110">
        <f t="shared" si="388"/>
        <v>0</v>
      </c>
      <c r="BK981" s="110">
        <f>+VLOOKUP('2. Logging Brejo Seco'!AP981,Leyenda!$B$47:$E$51,4,FALSE)</f>
        <v>0</v>
      </c>
      <c r="BL981" s="110">
        <f>+VLOOKUP('2. Logging Brejo Seco'!AQ981,Leyenda!$B$55:$E$59,4,FALSE)</f>
        <v>0</v>
      </c>
      <c r="BM981" s="110">
        <f>+VLOOKUP('2. Logging Brejo Seco'!AR981,Leyenda!$B$63:$E$67,3,FALSE)</f>
        <v>2</v>
      </c>
      <c r="BN981" s="110">
        <f>+VLOOKUP('2. Logging Brejo Seco'!AO981,Leyenda!$B$39:$E$43,4,FALSE)</f>
        <v>0</v>
      </c>
      <c r="BO981" s="110">
        <f>+VLOOKUP('2. Logging Brejo Seco'!AN981,Leyenda!$B$30:$E$34,4,FALSE)</f>
        <v>0</v>
      </c>
      <c r="BP981" s="110">
        <f>VLOOKUP(AS981,Leyenda!$B$71:$E$75,4,FALSE)</f>
        <v>10</v>
      </c>
      <c r="BQ981" s="110">
        <f t="shared" si="389"/>
        <v>17</v>
      </c>
      <c r="BR981" s="36">
        <f t="shared" si="390"/>
        <v>23</v>
      </c>
      <c r="BS981" s="240">
        <f t="shared" si="393"/>
        <v>0.25714285714285712</v>
      </c>
      <c r="BT981" s="6"/>
    </row>
    <row r="982" spans="1:72" x14ac:dyDescent="0.25">
      <c r="A982" s="18" t="s">
        <v>6</v>
      </c>
      <c r="B982" s="18">
        <v>2024</v>
      </c>
      <c r="C982" s="18" t="s">
        <v>138</v>
      </c>
      <c r="D982" s="18" t="s">
        <v>664</v>
      </c>
      <c r="E982" s="3">
        <v>60</v>
      </c>
      <c r="F982" s="191">
        <v>60</v>
      </c>
      <c r="G982" s="3" t="s">
        <v>136</v>
      </c>
      <c r="H982" s="244">
        <f t="shared" si="396"/>
        <v>60</v>
      </c>
      <c r="I982" s="244" t="s">
        <v>762</v>
      </c>
      <c r="J982" s="244"/>
      <c r="K982" s="18">
        <f t="shared" ref="K982:K1019" si="398">+L981</f>
        <v>1.4</v>
      </c>
      <c r="L982" s="18">
        <v>2.1</v>
      </c>
      <c r="M982" s="4">
        <f t="shared" si="395"/>
        <v>0.70000000000000018</v>
      </c>
      <c r="N982" s="113">
        <f t="shared" si="397"/>
        <v>0.79999999999999982</v>
      </c>
      <c r="O982" s="5">
        <f t="shared" si="379"/>
        <v>0.20000000000000018</v>
      </c>
      <c r="P982" s="3">
        <v>0.56000000000000005</v>
      </c>
      <c r="Q982" s="6"/>
      <c r="R982" s="6"/>
      <c r="S982" s="6"/>
      <c r="T982" s="6">
        <v>0.56000000000000005</v>
      </c>
      <c r="U982" s="6">
        <v>0</v>
      </c>
      <c r="V982" s="18">
        <f t="shared" si="392"/>
        <v>0</v>
      </c>
      <c r="W982" s="6"/>
      <c r="X982" s="6"/>
      <c r="Y982" s="6">
        <v>15</v>
      </c>
      <c r="Z982" s="31">
        <f t="shared" si="394"/>
        <v>46.666666666666679</v>
      </c>
      <c r="AA982" s="6"/>
      <c r="AB982" s="6"/>
      <c r="AC982" s="6"/>
      <c r="AD982" s="6"/>
      <c r="AE982" s="6"/>
      <c r="AF982" s="6"/>
      <c r="AG982" s="3" t="s">
        <v>34</v>
      </c>
      <c r="AH982" s="3" t="s">
        <v>34</v>
      </c>
      <c r="AI982" s="18">
        <f>+VLOOKUP(AH982,Leyenda!$O$4:$U$10,6,FALSE)</f>
        <v>0</v>
      </c>
      <c r="AJ982" s="18" t="str">
        <f>+VLOOKUP(AG982,Leyenda!$O$4:$U$10,7,FALSE)</f>
        <v>No Blasting need</v>
      </c>
      <c r="AK982" s="18">
        <f>+VLOOKUP(AJ982,Leyenda!$U$4:$V$10,2,FALSE)</f>
        <v>2</v>
      </c>
      <c r="AL982" s="3"/>
      <c r="AM982" s="18" t="s">
        <v>34</v>
      </c>
      <c r="AN982" s="18" t="s">
        <v>69</v>
      </c>
      <c r="AO982" s="18" t="s">
        <v>81</v>
      </c>
      <c r="AP982" s="18" t="s">
        <v>100</v>
      </c>
      <c r="AQ982" s="18" t="s">
        <v>111</v>
      </c>
      <c r="AR982" s="18" t="s">
        <v>120</v>
      </c>
      <c r="AS982" s="18" t="s">
        <v>267</v>
      </c>
      <c r="AT982" s="18"/>
      <c r="AU982" s="6"/>
      <c r="AV982" s="36">
        <f>+VLOOKUP(AN982,Leyenda!$B$30:$E$34,3,FALSE)</f>
        <v>0</v>
      </c>
      <c r="AW982" s="36">
        <f>+VLOOKUP('2. Logging Brejo Seco'!AO982,Meteorizacion,3,FALSE)</f>
        <v>0</v>
      </c>
      <c r="AX982" s="36">
        <f>+VLOOKUP('2. Logging Brejo Seco'!AP982,Apertura,3,FALSE)</f>
        <v>0</v>
      </c>
      <c r="AY982" s="36">
        <f>+VLOOKUP('2. Logging Brejo Seco'!AQ982,Leyenda!$B$55:$D$59,3,FALSE)</f>
        <v>0</v>
      </c>
      <c r="AZ982" s="36">
        <f>+VLOOKUP('2. Logging Brejo Seco'!AR982,Relleno,3,FALSE)</f>
        <v>2</v>
      </c>
      <c r="BA982" s="36">
        <f t="shared" si="382"/>
        <v>2</v>
      </c>
      <c r="BB982" s="50">
        <f t="shared" si="383"/>
        <v>0</v>
      </c>
      <c r="BC982" s="49">
        <f>VLOOKUP(AH982,Leyenda!$B$4:$D$10,3,FALSE)</f>
        <v>0</v>
      </c>
      <c r="BD982" s="50">
        <f t="shared" si="384"/>
        <v>6</v>
      </c>
      <c r="BE982" s="50">
        <f t="shared" si="385"/>
        <v>2</v>
      </c>
      <c r="BF982" s="50">
        <f>VLOOKUP(AS982,Leyenda!$B$70:$D$75,3,FALSE)</f>
        <v>15</v>
      </c>
      <c r="BG982" s="110">
        <f t="shared" si="386"/>
        <v>3</v>
      </c>
      <c r="BH982" s="110">
        <f>VLOOKUP(AG982,Leyenda!$B$4:$E$10,4,FALSE)</f>
        <v>0</v>
      </c>
      <c r="BI982" s="67">
        <f t="shared" si="387"/>
        <v>5</v>
      </c>
      <c r="BJ982" s="110">
        <f t="shared" si="388"/>
        <v>0</v>
      </c>
      <c r="BK982" s="110">
        <f>+VLOOKUP('2. Logging Brejo Seco'!AP982,Leyenda!$B$47:$E$51,4,FALSE)</f>
        <v>0</v>
      </c>
      <c r="BL982" s="110">
        <f>+VLOOKUP('2. Logging Brejo Seco'!AQ982,Leyenda!$B$55:$E$59,4,FALSE)</f>
        <v>0</v>
      </c>
      <c r="BM982" s="110">
        <f>+VLOOKUP('2. Logging Brejo Seco'!AR982,Leyenda!$B$63:$E$67,3,FALSE)</f>
        <v>2</v>
      </c>
      <c r="BN982" s="110">
        <f>+VLOOKUP('2. Logging Brejo Seco'!AO982,Leyenda!$B$39:$E$43,4,FALSE)</f>
        <v>0</v>
      </c>
      <c r="BO982" s="110">
        <f>+VLOOKUP('2. Logging Brejo Seco'!AN982,Leyenda!$B$30:$E$34,4,FALSE)</f>
        <v>0</v>
      </c>
      <c r="BP982" s="110">
        <f>VLOOKUP(AS982,Leyenda!$B$71:$E$75,4,FALSE)</f>
        <v>10</v>
      </c>
      <c r="BQ982" s="110">
        <f t="shared" si="389"/>
        <v>17</v>
      </c>
      <c r="BR982" s="36">
        <f t="shared" si="390"/>
        <v>23</v>
      </c>
      <c r="BS982" s="240">
        <f t="shared" si="393"/>
        <v>0.20000000000000018</v>
      </c>
      <c r="BT982" s="6"/>
    </row>
    <row r="983" spans="1:72" x14ac:dyDescent="0.25">
      <c r="A983" s="18" t="s">
        <v>6</v>
      </c>
      <c r="B983" s="18">
        <v>2024</v>
      </c>
      <c r="C983" s="18" t="s">
        <v>138</v>
      </c>
      <c r="D983" s="18" t="s">
        <v>664</v>
      </c>
      <c r="E983" s="3">
        <v>60</v>
      </c>
      <c r="F983" s="191">
        <v>60</v>
      </c>
      <c r="G983" s="3" t="s">
        <v>136</v>
      </c>
      <c r="H983" s="244">
        <f>+F983</f>
        <v>60</v>
      </c>
      <c r="I983" s="244" t="s">
        <v>762</v>
      </c>
      <c r="J983" s="244"/>
      <c r="K983" s="18">
        <f t="shared" si="398"/>
        <v>2.1</v>
      </c>
      <c r="L983" s="18">
        <v>2.8</v>
      </c>
      <c r="M983" s="4">
        <f t="shared" si="395"/>
        <v>0.69999999999999973</v>
      </c>
      <c r="N983" s="113">
        <f t="shared" si="397"/>
        <v>0.7714285714285718</v>
      </c>
      <c r="O983" s="5">
        <f t="shared" si="379"/>
        <v>0.2285714285714282</v>
      </c>
      <c r="P983" s="3">
        <v>0.54</v>
      </c>
      <c r="Q983" s="6"/>
      <c r="R983" s="6"/>
      <c r="S983" s="6"/>
      <c r="T983" s="6">
        <v>0.54</v>
      </c>
      <c r="U983" s="6">
        <v>0</v>
      </c>
      <c r="V983" s="18">
        <f t="shared" si="392"/>
        <v>0</v>
      </c>
      <c r="W983" s="6"/>
      <c r="X983" s="6"/>
      <c r="Y983" s="6">
        <v>15</v>
      </c>
      <c r="Z983" s="31">
        <f t="shared" si="394"/>
        <v>46.66666666666665</v>
      </c>
      <c r="AA983" s="6"/>
      <c r="AB983" s="6"/>
      <c r="AC983" s="6"/>
      <c r="AD983" s="6"/>
      <c r="AE983" s="6"/>
      <c r="AF983" s="6"/>
      <c r="AG983" s="3" t="s">
        <v>34</v>
      </c>
      <c r="AH983" s="3" t="s">
        <v>34</v>
      </c>
      <c r="AI983" s="18">
        <f>+VLOOKUP(AH983,Leyenda!$O$4:$U$10,6,FALSE)</f>
        <v>0</v>
      </c>
      <c r="AJ983" s="18" t="str">
        <f>+VLOOKUP(AG983,Leyenda!$O$4:$U$10,7,FALSE)</f>
        <v>No Blasting need</v>
      </c>
      <c r="AK983" s="18">
        <f>+VLOOKUP(AJ983,Leyenda!$U$4:$V$10,2,FALSE)</f>
        <v>2</v>
      </c>
      <c r="AL983" s="3"/>
      <c r="AM983" s="18" t="s">
        <v>34</v>
      </c>
      <c r="AN983" s="18" t="s">
        <v>69</v>
      </c>
      <c r="AO983" s="18" t="s">
        <v>81</v>
      </c>
      <c r="AP983" s="18" t="s">
        <v>100</v>
      </c>
      <c r="AQ983" s="18" t="s">
        <v>111</v>
      </c>
      <c r="AR983" s="18" t="s">
        <v>120</v>
      </c>
      <c r="AS983" s="18" t="s">
        <v>267</v>
      </c>
      <c r="AT983" s="18"/>
      <c r="AU983" s="6"/>
      <c r="AV983" s="18">
        <f>+VLOOKUP(AN983,Leyenda!$B$30:$E$34,3,FALSE)</f>
        <v>0</v>
      </c>
      <c r="AW983" s="18">
        <f>+VLOOKUP('2. Logging Brejo Seco'!AO983,Meteorizacion,3,FALSE)</f>
        <v>0</v>
      </c>
      <c r="AX983" s="18">
        <f>+VLOOKUP('2. Logging Brejo Seco'!AP983,Apertura,3,FALSE)</f>
        <v>0</v>
      </c>
      <c r="AY983" s="18">
        <f>+VLOOKUP('2. Logging Brejo Seco'!AQ983,Leyenda!$B$55:$D$59,3,FALSE)</f>
        <v>0</v>
      </c>
      <c r="AZ983" s="18">
        <f>+VLOOKUP('2. Logging Brejo Seco'!AR983,Relleno,3,FALSE)</f>
        <v>2</v>
      </c>
      <c r="BA983" s="18">
        <f t="shared" si="382"/>
        <v>2</v>
      </c>
      <c r="BB983" s="49">
        <f t="shared" si="383"/>
        <v>0</v>
      </c>
      <c r="BC983" s="49">
        <f>VLOOKUP(AH983,Leyenda!$B$4:$D$10,3,FALSE)</f>
        <v>0</v>
      </c>
      <c r="BD983" s="49">
        <f t="shared" si="384"/>
        <v>6</v>
      </c>
      <c r="BE983" s="49">
        <f t="shared" si="385"/>
        <v>2</v>
      </c>
      <c r="BF983" s="49">
        <f>VLOOKUP(AS983,Leyenda!$B$70:$D$75,3,FALSE)</f>
        <v>15</v>
      </c>
      <c r="BG983" s="67">
        <f t="shared" si="386"/>
        <v>3</v>
      </c>
      <c r="BH983" s="67">
        <f>VLOOKUP(AG983,Leyenda!$B$4:$E$10,4,FALSE)</f>
        <v>0</v>
      </c>
      <c r="BI983" s="67">
        <f t="shared" si="387"/>
        <v>5</v>
      </c>
      <c r="BJ983" s="67">
        <f t="shared" si="388"/>
        <v>0</v>
      </c>
      <c r="BK983" s="67">
        <f>+VLOOKUP('2. Logging Brejo Seco'!AP983,Leyenda!$B$47:$E$51,4,FALSE)</f>
        <v>0</v>
      </c>
      <c r="BL983" s="67">
        <f>+VLOOKUP('2. Logging Brejo Seco'!AQ983,Leyenda!$B$55:$E$59,4,FALSE)</f>
        <v>0</v>
      </c>
      <c r="BM983" s="67">
        <f>+VLOOKUP('2. Logging Brejo Seco'!AR983,Leyenda!$B$63:$E$67,3,FALSE)</f>
        <v>2</v>
      </c>
      <c r="BN983" s="67">
        <f>+VLOOKUP('2. Logging Brejo Seco'!AO983,Leyenda!$B$39:$E$43,4,FALSE)</f>
        <v>0</v>
      </c>
      <c r="BO983" s="67">
        <f>+VLOOKUP('2. Logging Brejo Seco'!AN983,Leyenda!$B$30:$E$34,4,FALSE)</f>
        <v>0</v>
      </c>
      <c r="BP983" s="67">
        <f>VLOOKUP(AS983,Leyenda!$B$71:$E$75,4,FALSE)</f>
        <v>10</v>
      </c>
      <c r="BQ983" s="67">
        <f t="shared" si="389"/>
        <v>17</v>
      </c>
      <c r="BR983" s="18">
        <f t="shared" si="390"/>
        <v>23</v>
      </c>
      <c r="BS983" s="240">
        <f t="shared" si="393"/>
        <v>0.2285714285714282</v>
      </c>
      <c r="BT983" s="6"/>
    </row>
    <row r="984" spans="1:72" x14ac:dyDescent="0.25">
      <c r="A984" s="18" t="s">
        <v>6</v>
      </c>
      <c r="B984" s="18">
        <v>2024</v>
      </c>
      <c r="C984" s="18" t="s">
        <v>138</v>
      </c>
      <c r="D984" s="18" t="s">
        <v>664</v>
      </c>
      <c r="E984" s="3">
        <v>60</v>
      </c>
      <c r="F984" s="191">
        <v>60</v>
      </c>
      <c r="G984" s="3" t="s">
        <v>136</v>
      </c>
      <c r="H984" s="244">
        <f t="shared" ref="H984:H995" si="399">+F984</f>
        <v>60</v>
      </c>
      <c r="I984" s="244" t="s">
        <v>762</v>
      </c>
      <c r="J984" s="244"/>
      <c r="K984" s="18">
        <f t="shared" si="398"/>
        <v>2.8</v>
      </c>
      <c r="L984" s="18">
        <v>4.2</v>
      </c>
      <c r="M984" s="4">
        <f t="shared" si="395"/>
        <v>1.4000000000000004</v>
      </c>
      <c r="N984" s="113">
        <f t="shared" si="397"/>
        <v>0.7928571428571427</v>
      </c>
      <c r="O984" s="5">
        <f t="shared" si="379"/>
        <v>0.2071428571428573</v>
      </c>
      <c r="P984" s="3">
        <v>1.1100000000000001</v>
      </c>
      <c r="Q984" s="6"/>
      <c r="R984" s="6"/>
      <c r="S984" s="6"/>
      <c r="T984" s="6">
        <f>0.53+0.58</f>
        <v>1.1099999999999999</v>
      </c>
      <c r="U984" s="6">
        <v>0.23</v>
      </c>
      <c r="V984" s="18">
        <f t="shared" si="392"/>
        <v>16.428571428571427</v>
      </c>
      <c r="W984" s="6"/>
      <c r="X984" s="6"/>
      <c r="Y984" s="6">
        <f>9+4</f>
        <v>13</v>
      </c>
      <c r="Z984" s="31">
        <f t="shared" si="394"/>
        <v>107.69230769230772</v>
      </c>
      <c r="AA984" s="6"/>
      <c r="AB984" s="6"/>
      <c r="AC984" s="6"/>
      <c r="AD984" s="6"/>
      <c r="AE984" s="6"/>
      <c r="AF984" s="6"/>
      <c r="AG984" s="3" t="s">
        <v>34</v>
      </c>
      <c r="AH984" s="3" t="s">
        <v>34</v>
      </c>
      <c r="AI984" s="18">
        <f>+VLOOKUP(AH984,Leyenda!$O$4:$U$10,6,FALSE)</f>
        <v>0</v>
      </c>
      <c r="AJ984" s="18" t="str">
        <f>+VLOOKUP(AG984,Leyenda!$O$4:$U$10,7,FALSE)</f>
        <v>No Blasting need</v>
      </c>
      <c r="AK984" s="18">
        <f>+VLOOKUP(AJ984,Leyenda!$U$4:$V$10,2,FALSE)</f>
        <v>2</v>
      </c>
      <c r="AL984" s="3"/>
      <c r="AM984" s="18" t="s">
        <v>34</v>
      </c>
      <c r="AN984" s="18" t="s">
        <v>69</v>
      </c>
      <c r="AO984" s="18" t="s">
        <v>81</v>
      </c>
      <c r="AP984" s="18" t="s">
        <v>100</v>
      </c>
      <c r="AQ984" s="18" t="s">
        <v>111</v>
      </c>
      <c r="AR984" s="18" t="s">
        <v>120</v>
      </c>
      <c r="AS984" s="18" t="s">
        <v>267</v>
      </c>
      <c r="AT984" s="18"/>
      <c r="AU984" s="6"/>
      <c r="AV984" s="18">
        <f>+VLOOKUP(AN984,Leyenda!$B$30:$E$34,3,FALSE)</f>
        <v>0</v>
      </c>
      <c r="AW984" s="18">
        <f>+VLOOKUP('2. Logging Brejo Seco'!AO984,Meteorizacion,3,FALSE)</f>
        <v>0</v>
      </c>
      <c r="AX984" s="18">
        <f>+VLOOKUP('2. Logging Brejo Seco'!AP984,Apertura,3,FALSE)</f>
        <v>0</v>
      </c>
      <c r="AY984" s="18">
        <f>+VLOOKUP('2. Logging Brejo Seco'!AQ984,Leyenda!$B$55:$D$59,3,FALSE)</f>
        <v>0</v>
      </c>
      <c r="AZ984" s="18">
        <f>+VLOOKUP('2. Logging Brejo Seco'!AR984,Relleno,3,FALSE)</f>
        <v>2</v>
      </c>
      <c r="BA984" s="18">
        <f t="shared" si="382"/>
        <v>2</v>
      </c>
      <c r="BB984" s="49">
        <f t="shared" si="383"/>
        <v>4</v>
      </c>
      <c r="BC984" s="49">
        <f>VLOOKUP(AH984,Leyenda!$B$4:$D$10,3,FALSE)</f>
        <v>0</v>
      </c>
      <c r="BD984" s="49">
        <f t="shared" si="384"/>
        <v>7</v>
      </c>
      <c r="BE984" s="49">
        <f t="shared" si="385"/>
        <v>2</v>
      </c>
      <c r="BF984" s="49">
        <f>VLOOKUP(AS984,Leyenda!$B$70:$D$75,3,FALSE)</f>
        <v>15</v>
      </c>
      <c r="BG984" s="67">
        <f t="shared" si="386"/>
        <v>11.214285714285714</v>
      </c>
      <c r="BH984" s="67">
        <f>VLOOKUP(AG984,Leyenda!$B$4:$E$10,4,FALSE)</f>
        <v>0</v>
      </c>
      <c r="BI984" s="67">
        <f t="shared" si="387"/>
        <v>9</v>
      </c>
      <c r="BJ984" s="67">
        <f t="shared" si="388"/>
        <v>4</v>
      </c>
      <c r="BK984" s="67">
        <f>+VLOOKUP('2. Logging Brejo Seco'!AP984,Leyenda!$B$47:$E$51,4,FALSE)</f>
        <v>0</v>
      </c>
      <c r="BL984" s="67">
        <f>+VLOOKUP('2. Logging Brejo Seco'!AQ984,Leyenda!$B$55:$E$59,4,FALSE)</f>
        <v>0</v>
      </c>
      <c r="BM984" s="67">
        <f>+VLOOKUP('2. Logging Brejo Seco'!AR984,Leyenda!$B$63:$E$67,3,FALSE)</f>
        <v>2</v>
      </c>
      <c r="BN984" s="67">
        <f>+VLOOKUP('2. Logging Brejo Seco'!AO984,Leyenda!$B$39:$E$43,4,FALSE)</f>
        <v>0</v>
      </c>
      <c r="BO984" s="67">
        <f>+VLOOKUP('2. Logging Brejo Seco'!AN984,Leyenda!$B$30:$E$34,4,FALSE)</f>
        <v>0</v>
      </c>
      <c r="BP984" s="67">
        <f>VLOOKUP(AS984,Leyenda!$B$71:$E$75,4,FALSE)</f>
        <v>10</v>
      </c>
      <c r="BQ984" s="67">
        <f t="shared" si="389"/>
        <v>25</v>
      </c>
      <c r="BR984" s="18">
        <f t="shared" si="390"/>
        <v>28</v>
      </c>
      <c r="BS984" s="240">
        <f t="shared" si="393"/>
        <v>0.2071428571428573</v>
      </c>
      <c r="BT984" s="6"/>
    </row>
    <row r="985" spans="1:72" x14ac:dyDescent="0.25">
      <c r="A985" s="18" t="s">
        <v>6</v>
      </c>
      <c r="B985" s="18">
        <v>2024</v>
      </c>
      <c r="C985" s="18" t="s">
        <v>138</v>
      </c>
      <c r="D985" s="18" t="s">
        <v>664</v>
      </c>
      <c r="E985" s="3">
        <v>60</v>
      </c>
      <c r="F985" s="191">
        <v>60</v>
      </c>
      <c r="G985" s="3" t="s">
        <v>136</v>
      </c>
      <c r="H985" s="244">
        <f t="shared" si="399"/>
        <v>60</v>
      </c>
      <c r="I985" s="244" t="s">
        <v>762</v>
      </c>
      <c r="J985" s="244"/>
      <c r="K985" s="18">
        <f t="shared" si="398"/>
        <v>4.2</v>
      </c>
      <c r="L985" s="18">
        <v>4.9000000000000004</v>
      </c>
      <c r="M985" s="4">
        <f t="shared" si="395"/>
        <v>0.70000000000000018</v>
      </c>
      <c r="N985" s="113">
        <f t="shared" si="397"/>
        <v>0.74285714285714266</v>
      </c>
      <c r="O985" s="5">
        <f t="shared" si="379"/>
        <v>0.25714285714285734</v>
      </c>
      <c r="P985" s="3">
        <v>0.52</v>
      </c>
      <c r="Q985" s="6"/>
      <c r="R985" s="6"/>
      <c r="S985" s="6"/>
      <c r="T985" s="6">
        <v>0.52</v>
      </c>
      <c r="U985" s="6">
        <v>0</v>
      </c>
      <c r="V985" s="18">
        <f t="shared" si="392"/>
        <v>0</v>
      </c>
      <c r="W985" s="6"/>
      <c r="X985" s="6"/>
      <c r="Y985" s="6">
        <v>15</v>
      </c>
      <c r="Z985" s="31">
        <f t="shared" si="394"/>
        <v>46.666666666666679</v>
      </c>
      <c r="AA985" s="6"/>
      <c r="AB985" s="6"/>
      <c r="AC985" s="6"/>
      <c r="AD985" s="6"/>
      <c r="AE985" s="6"/>
      <c r="AF985" s="6"/>
      <c r="AG985" s="3" t="s">
        <v>27</v>
      </c>
      <c r="AH985" s="3" t="s">
        <v>27</v>
      </c>
      <c r="AI985" s="18" t="str">
        <f>+VLOOKUP(AH985,Leyenda!$O$4:$U$10,6,FALSE)</f>
        <v>0,35-0,50</v>
      </c>
      <c r="AJ985" s="18" t="str">
        <f>+VLOOKUP(AG985,Leyenda!$O$4:$U$10,7,FALSE)</f>
        <v>Easy to blast</v>
      </c>
      <c r="AK985" s="18">
        <f>+VLOOKUP(AJ985,Leyenda!$U$4:$V$10,2,FALSE)</f>
        <v>3</v>
      </c>
      <c r="AL985" s="3"/>
      <c r="AM985" s="18" t="s">
        <v>27</v>
      </c>
      <c r="AN985" s="185" t="s">
        <v>66</v>
      </c>
      <c r="AO985" s="185" t="s">
        <v>79</v>
      </c>
      <c r="AP985" s="185" t="s">
        <v>92</v>
      </c>
      <c r="AQ985" s="185" t="s">
        <v>107</v>
      </c>
      <c r="AR985" s="185" t="s">
        <v>118</v>
      </c>
      <c r="AS985" s="18" t="s">
        <v>267</v>
      </c>
      <c r="AT985" s="18"/>
      <c r="AU985" s="6"/>
      <c r="AV985" s="18">
        <f>+VLOOKUP(AN985,Leyenda!$B$30:$E$34,3,FALSE)</f>
        <v>1</v>
      </c>
      <c r="AW985" s="18">
        <f>+VLOOKUP('2. Logging Brejo Seco'!AO985,Meteorizacion,3,FALSE)</f>
        <v>1</v>
      </c>
      <c r="AX985" s="18">
        <f>+VLOOKUP('2. Logging Brejo Seco'!AP985,Apertura,3,FALSE)</f>
        <v>3</v>
      </c>
      <c r="AY985" s="18">
        <f>+VLOOKUP('2. Logging Brejo Seco'!AQ985,Leyenda!$B$55:$D$59,3,FALSE)</f>
        <v>3</v>
      </c>
      <c r="AZ985" s="18">
        <f>+VLOOKUP('2. Logging Brejo Seco'!AR985,Relleno,3,FALSE)</f>
        <v>2</v>
      </c>
      <c r="BA985" s="18">
        <f t="shared" si="382"/>
        <v>10</v>
      </c>
      <c r="BB985" s="49">
        <f t="shared" si="383"/>
        <v>0</v>
      </c>
      <c r="BC985" s="49">
        <f>VLOOKUP(AH985,Leyenda!$B$4:$D$10,3,FALSE)</f>
        <v>4</v>
      </c>
      <c r="BD985" s="49">
        <f t="shared" si="384"/>
        <v>6</v>
      </c>
      <c r="BE985" s="49">
        <f t="shared" si="385"/>
        <v>10</v>
      </c>
      <c r="BF985" s="49">
        <f>VLOOKUP(AS985,Leyenda!$B$70:$D$75,3,FALSE)</f>
        <v>15</v>
      </c>
      <c r="BG985" s="67">
        <f t="shared" si="386"/>
        <v>15</v>
      </c>
      <c r="BH985" s="67">
        <f>VLOOKUP(AG985,Leyenda!$B$4:$E$10,4,FALSE)</f>
        <v>4</v>
      </c>
      <c r="BI985" s="67">
        <f t="shared" si="387"/>
        <v>5</v>
      </c>
      <c r="BJ985" s="67">
        <f t="shared" si="388"/>
        <v>0</v>
      </c>
      <c r="BK985" s="67">
        <f>+VLOOKUP('2. Logging Brejo Seco'!AP985,Leyenda!$B$47:$E$51,4,FALSE)</f>
        <v>3</v>
      </c>
      <c r="BL985" s="67">
        <f>+VLOOKUP('2. Logging Brejo Seco'!AQ985,Leyenda!$B$55:$E$59,4,FALSE)</f>
        <v>3</v>
      </c>
      <c r="BM985" s="67">
        <f>+VLOOKUP('2. Logging Brejo Seco'!AR985,Leyenda!$B$63:$E$67,3,FALSE)</f>
        <v>2</v>
      </c>
      <c r="BN985" s="67">
        <f>+VLOOKUP('2. Logging Brejo Seco'!AO985,Leyenda!$B$39:$E$43,4,FALSE)</f>
        <v>1</v>
      </c>
      <c r="BO985" s="67">
        <f>+VLOOKUP('2. Logging Brejo Seco'!AN985,Leyenda!$B$30:$E$34,4,FALSE)</f>
        <v>1</v>
      </c>
      <c r="BP985" s="67">
        <f>VLOOKUP(AS985,Leyenda!$B$71:$E$75,4,FALSE)</f>
        <v>10</v>
      </c>
      <c r="BQ985" s="67">
        <f t="shared" si="389"/>
        <v>29</v>
      </c>
      <c r="BR985" s="18">
        <f t="shared" si="390"/>
        <v>35</v>
      </c>
      <c r="BS985" s="240">
        <f t="shared" si="393"/>
        <v>0.25714285714285734</v>
      </c>
      <c r="BT985" s="6"/>
    </row>
    <row r="986" spans="1:72" x14ac:dyDescent="0.25">
      <c r="A986" s="18" t="s">
        <v>6</v>
      </c>
      <c r="B986" s="18">
        <v>2024</v>
      </c>
      <c r="C986" s="18" t="s">
        <v>138</v>
      </c>
      <c r="D986" s="18" t="s">
        <v>664</v>
      </c>
      <c r="E986" s="3">
        <v>40</v>
      </c>
      <c r="F986" s="191">
        <v>40</v>
      </c>
      <c r="G986" s="36" t="s">
        <v>153</v>
      </c>
      <c r="H986" s="244">
        <f t="shared" si="399"/>
        <v>40</v>
      </c>
      <c r="I986" s="244" t="s">
        <v>757</v>
      </c>
      <c r="J986" s="244"/>
      <c r="K986" s="18">
        <f t="shared" si="398"/>
        <v>4.9000000000000004</v>
      </c>
      <c r="L986" s="18">
        <v>5.6</v>
      </c>
      <c r="M986" s="4">
        <f t="shared" si="395"/>
        <v>0.69999999999999929</v>
      </c>
      <c r="N986" s="113">
        <f t="shared" si="397"/>
        <v>0.78571428571428659</v>
      </c>
      <c r="O986" s="5">
        <f t="shared" si="379"/>
        <v>0.21428571428571341</v>
      </c>
      <c r="P986" s="3">
        <v>0.55000000000000004</v>
      </c>
      <c r="Q986" s="3"/>
      <c r="R986" s="3"/>
      <c r="S986" s="3"/>
      <c r="T986" s="3">
        <v>0.55000000000000004</v>
      </c>
      <c r="U986" s="3">
        <v>0</v>
      </c>
      <c r="V986" s="18">
        <f t="shared" si="392"/>
        <v>0</v>
      </c>
      <c r="W986" s="3"/>
      <c r="X986" s="3"/>
      <c r="Y986" s="3">
        <f>7+4</f>
        <v>11</v>
      </c>
      <c r="Z986" s="31">
        <f t="shared" si="394"/>
        <v>63.636363636363576</v>
      </c>
      <c r="AA986" s="6"/>
      <c r="AB986" s="6"/>
      <c r="AC986" s="6"/>
      <c r="AD986" s="6"/>
      <c r="AE986" s="6"/>
      <c r="AF986" s="6"/>
      <c r="AG986" s="3" t="s">
        <v>27</v>
      </c>
      <c r="AH986" s="3" t="s">
        <v>27</v>
      </c>
      <c r="AI986" s="18" t="str">
        <f>+VLOOKUP(AH986,Leyenda!$O$4:$U$10,6,FALSE)</f>
        <v>0,35-0,50</v>
      </c>
      <c r="AJ986" s="18" t="str">
        <f>+VLOOKUP(AG986,Leyenda!$O$4:$U$10,7,FALSE)</f>
        <v>Easy to blast</v>
      </c>
      <c r="AK986" s="18">
        <f>+VLOOKUP(AJ986,Leyenda!$U$4:$V$10,2,FALSE)</f>
        <v>3</v>
      </c>
      <c r="AL986" s="3"/>
      <c r="AM986" s="18" t="s">
        <v>27</v>
      </c>
      <c r="AN986" s="185" t="s">
        <v>66</v>
      </c>
      <c r="AO986" s="185" t="s">
        <v>79</v>
      </c>
      <c r="AP986" s="185" t="s">
        <v>92</v>
      </c>
      <c r="AQ986" s="185" t="s">
        <v>107</v>
      </c>
      <c r="AR986" s="185" t="s">
        <v>118</v>
      </c>
      <c r="AS986" s="18" t="s">
        <v>267</v>
      </c>
      <c r="AT986" s="18"/>
      <c r="AU986" s="6"/>
      <c r="AV986" s="18">
        <f>+VLOOKUP(AN986,Leyenda!$B$30:$E$34,3,FALSE)</f>
        <v>1</v>
      </c>
      <c r="AW986" s="18">
        <f>+VLOOKUP('2. Logging Brejo Seco'!AO986,Meteorizacion,3,FALSE)</f>
        <v>1</v>
      </c>
      <c r="AX986" s="18">
        <f>+VLOOKUP('2. Logging Brejo Seco'!AP986,Apertura,3,FALSE)</f>
        <v>3</v>
      </c>
      <c r="AY986" s="18">
        <f>+VLOOKUP('2. Logging Brejo Seco'!AQ986,Leyenda!$B$55:$D$59,3,FALSE)</f>
        <v>3</v>
      </c>
      <c r="AZ986" s="18">
        <f>+VLOOKUP('2. Logging Brejo Seco'!AR986,Relleno,3,FALSE)</f>
        <v>2</v>
      </c>
      <c r="BA986" s="18">
        <f t="shared" si="382"/>
        <v>10</v>
      </c>
      <c r="BB986" s="49">
        <f t="shared" si="383"/>
        <v>0</v>
      </c>
      <c r="BC986" s="49">
        <f>VLOOKUP(AH986,Leyenda!$B$4:$D$10,3,FALSE)</f>
        <v>4</v>
      </c>
      <c r="BD986" s="49">
        <f t="shared" si="384"/>
        <v>6</v>
      </c>
      <c r="BE986" s="49">
        <f t="shared" si="385"/>
        <v>10</v>
      </c>
      <c r="BF986" s="49">
        <f>VLOOKUP(AS986,Leyenda!$B$70:$D$75,3,FALSE)</f>
        <v>15</v>
      </c>
      <c r="BG986" s="67">
        <f t="shared" si="386"/>
        <v>15</v>
      </c>
      <c r="BH986" s="67">
        <f>VLOOKUP(AG986,Leyenda!$B$4:$E$10,4,FALSE)</f>
        <v>4</v>
      </c>
      <c r="BI986" s="67">
        <f t="shared" si="387"/>
        <v>5</v>
      </c>
      <c r="BJ986" s="67">
        <f t="shared" si="388"/>
        <v>0</v>
      </c>
      <c r="BK986" s="67">
        <f>+VLOOKUP('2. Logging Brejo Seco'!AP986,Leyenda!$B$47:$E$51,4,FALSE)</f>
        <v>3</v>
      </c>
      <c r="BL986" s="67">
        <f>+VLOOKUP('2. Logging Brejo Seco'!AQ986,Leyenda!$B$55:$E$59,4,FALSE)</f>
        <v>3</v>
      </c>
      <c r="BM986" s="67">
        <f>+VLOOKUP('2. Logging Brejo Seco'!AR986,Leyenda!$B$63:$E$67,3,FALSE)</f>
        <v>2</v>
      </c>
      <c r="BN986" s="67">
        <f>+VLOOKUP('2. Logging Brejo Seco'!AO986,Leyenda!$B$39:$E$43,4,FALSE)</f>
        <v>1</v>
      </c>
      <c r="BO986" s="67">
        <f>+VLOOKUP('2. Logging Brejo Seco'!AN986,Leyenda!$B$30:$E$34,4,FALSE)</f>
        <v>1</v>
      </c>
      <c r="BP986" s="67">
        <f>VLOOKUP(AS986,Leyenda!$B$71:$E$75,4,FALSE)</f>
        <v>10</v>
      </c>
      <c r="BQ986" s="67">
        <f t="shared" si="389"/>
        <v>29</v>
      </c>
      <c r="BR986" s="18">
        <f t="shared" si="390"/>
        <v>35</v>
      </c>
      <c r="BS986" s="240">
        <f t="shared" si="393"/>
        <v>0.21428571428571341</v>
      </c>
      <c r="BT986" s="6"/>
    </row>
    <row r="987" spans="1:72" x14ac:dyDescent="0.25">
      <c r="A987" s="18" t="s">
        <v>6</v>
      </c>
      <c r="B987" s="18">
        <v>2024</v>
      </c>
      <c r="C987" s="18" t="s">
        <v>138</v>
      </c>
      <c r="D987" s="18" t="s">
        <v>664</v>
      </c>
      <c r="E987" s="3">
        <v>40</v>
      </c>
      <c r="F987" s="191">
        <v>40</v>
      </c>
      <c r="G987" s="36" t="s">
        <v>153</v>
      </c>
      <c r="H987" s="244">
        <f t="shared" si="399"/>
        <v>40</v>
      </c>
      <c r="I987" s="244" t="s">
        <v>757</v>
      </c>
      <c r="J987" s="244"/>
      <c r="K987" s="18">
        <f t="shared" si="398"/>
        <v>5.6</v>
      </c>
      <c r="L987" s="18">
        <v>6.5</v>
      </c>
      <c r="M987" s="4">
        <f t="shared" si="395"/>
        <v>0.90000000000000036</v>
      </c>
      <c r="N987" s="113">
        <f t="shared" si="397"/>
        <v>0.71111111111111081</v>
      </c>
      <c r="O987" s="5">
        <f t="shared" si="379"/>
        <v>0.28888888888888919</v>
      </c>
      <c r="P987" s="3">
        <v>0.64</v>
      </c>
      <c r="Q987" s="3"/>
      <c r="R987" s="3"/>
      <c r="S987" s="3"/>
      <c r="T987" s="3">
        <v>0.64</v>
      </c>
      <c r="U987" s="3">
        <v>0.13</v>
      </c>
      <c r="V987" s="18">
        <f t="shared" si="392"/>
        <v>14.444444444444441</v>
      </c>
      <c r="W987" s="3"/>
      <c r="X987" s="3"/>
      <c r="Y987" s="3">
        <f>5+2</f>
        <v>7</v>
      </c>
      <c r="Z987" s="31">
        <f t="shared" si="394"/>
        <v>128.57142857142861</v>
      </c>
      <c r="AA987" s="6"/>
      <c r="AB987" s="6"/>
      <c r="AC987" s="6"/>
      <c r="AD987" s="6"/>
      <c r="AE987" s="6"/>
      <c r="AF987" s="6"/>
      <c r="AG987" s="3" t="s">
        <v>27</v>
      </c>
      <c r="AH987" s="3" t="s">
        <v>27</v>
      </c>
      <c r="AI987" s="18" t="str">
        <f>+VLOOKUP(AH987,Leyenda!$O$4:$U$10,6,FALSE)</f>
        <v>0,35-0,50</v>
      </c>
      <c r="AJ987" s="18" t="str">
        <f>+VLOOKUP(AG987,Leyenda!$O$4:$U$10,7,FALSE)</f>
        <v>Easy to blast</v>
      </c>
      <c r="AK987" s="18">
        <f>+VLOOKUP(AJ987,Leyenda!$U$4:$V$10,2,FALSE)</f>
        <v>3</v>
      </c>
      <c r="AL987" s="3"/>
      <c r="AM987" s="18" t="s">
        <v>27</v>
      </c>
      <c r="AN987" s="185" t="s">
        <v>66</v>
      </c>
      <c r="AO987" s="185" t="s">
        <v>79</v>
      </c>
      <c r="AP987" s="185" t="s">
        <v>92</v>
      </c>
      <c r="AQ987" s="185" t="s">
        <v>107</v>
      </c>
      <c r="AR987" s="185" t="s">
        <v>118</v>
      </c>
      <c r="AS987" s="18" t="s">
        <v>267</v>
      </c>
      <c r="AT987" s="18"/>
      <c r="AU987" s="6"/>
      <c r="AV987" s="18">
        <f>+VLOOKUP(AN987,Leyenda!$B$30:$E$34,3,FALSE)</f>
        <v>1</v>
      </c>
      <c r="AW987" s="18">
        <f>+VLOOKUP('2. Logging Brejo Seco'!AO987,Meteorizacion,3,FALSE)</f>
        <v>1</v>
      </c>
      <c r="AX987" s="18">
        <f>+VLOOKUP('2. Logging Brejo Seco'!AP987,Apertura,3,FALSE)</f>
        <v>3</v>
      </c>
      <c r="AY987" s="18">
        <f>+VLOOKUP('2. Logging Brejo Seco'!AQ987,Leyenda!$B$55:$D$59,3,FALSE)</f>
        <v>3</v>
      </c>
      <c r="AZ987" s="18">
        <f>+VLOOKUP('2. Logging Brejo Seco'!AR987,Relleno,3,FALSE)</f>
        <v>2</v>
      </c>
      <c r="BA987" s="18">
        <f t="shared" si="382"/>
        <v>10</v>
      </c>
      <c r="BB987" s="49">
        <f t="shared" si="383"/>
        <v>3</v>
      </c>
      <c r="BC987" s="49">
        <f>VLOOKUP(AH987,Leyenda!$B$4:$D$10,3,FALSE)</f>
        <v>4</v>
      </c>
      <c r="BD987" s="49">
        <f t="shared" si="384"/>
        <v>8</v>
      </c>
      <c r="BE987" s="49">
        <f t="shared" si="385"/>
        <v>10</v>
      </c>
      <c r="BF987" s="49">
        <f>VLOOKUP(AS987,Leyenda!$B$70:$D$75,3,FALSE)</f>
        <v>15</v>
      </c>
      <c r="BG987" s="67">
        <f t="shared" si="386"/>
        <v>22.222222222222221</v>
      </c>
      <c r="BH987" s="67">
        <f>VLOOKUP(AG987,Leyenda!$B$4:$E$10,4,FALSE)</f>
        <v>4</v>
      </c>
      <c r="BI987" s="67">
        <f t="shared" si="387"/>
        <v>10</v>
      </c>
      <c r="BJ987" s="67">
        <f t="shared" si="388"/>
        <v>3</v>
      </c>
      <c r="BK987" s="67">
        <f>+VLOOKUP('2. Logging Brejo Seco'!AP987,Leyenda!$B$47:$E$51,4,FALSE)</f>
        <v>3</v>
      </c>
      <c r="BL987" s="67">
        <f>+VLOOKUP('2. Logging Brejo Seco'!AQ987,Leyenda!$B$55:$E$59,4,FALSE)</f>
        <v>3</v>
      </c>
      <c r="BM987" s="67">
        <f>+VLOOKUP('2. Logging Brejo Seco'!AR987,Leyenda!$B$63:$E$67,3,FALSE)</f>
        <v>2</v>
      </c>
      <c r="BN987" s="67">
        <f>+VLOOKUP('2. Logging Brejo Seco'!AO987,Leyenda!$B$39:$E$43,4,FALSE)</f>
        <v>1</v>
      </c>
      <c r="BO987" s="67">
        <f>+VLOOKUP('2. Logging Brejo Seco'!AN987,Leyenda!$B$30:$E$34,4,FALSE)</f>
        <v>1</v>
      </c>
      <c r="BP987" s="67">
        <f>VLOOKUP(AS987,Leyenda!$B$71:$E$75,4,FALSE)</f>
        <v>10</v>
      </c>
      <c r="BQ987" s="67">
        <f t="shared" si="389"/>
        <v>37</v>
      </c>
      <c r="BR987" s="18">
        <f t="shared" si="390"/>
        <v>40</v>
      </c>
      <c r="BS987" s="240">
        <f t="shared" si="393"/>
        <v>0.28888888888888919</v>
      </c>
      <c r="BT987" s="6"/>
    </row>
    <row r="988" spans="1:72" x14ac:dyDescent="0.25">
      <c r="A988" s="18" t="s">
        <v>6</v>
      </c>
      <c r="B988" s="18">
        <v>2024</v>
      </c>
      <c r="C988" s="18" t="s">
        <v>138</v>
      </c>
      <c r="D988" s="18" t="s">
        <v>664</v>
      </c>
      <c r="E988" s="3">
        <v>40</v>
      </c>
      <c r="F988" s="191">
        <v>40</v>
      </c>
      <c r="G988" s="36" t="s">
        <v>153</v>
      </c>
      <c r="H988" s="244">
        <f t="shared" si="399"/>
        <v>40</v>
      </c>
      <c r="I988" s="244" t="s">
        <v>757</v>
      </c>
      <c r="J988" s="244"/>
      <c r="K988" s="18">
        <f t="shared" si="398"/>
        <v>6.5</v>
      </c>
      <c r="L988" s="18">
        <v>7.7</v>
      </c>
      <c r="M988" s="4">
        <f t="shared" si="395"/>
        <v>1.2000000000000002</v>
      </c>
      <c r="N988" s="113">
        <f t="shared" si="397"/>
        <v>0.69999999999999984</v>
      </c>
      <c r="O988" s="5">
        <f t="shared" si="379"/>
        <v>0.30000000000000016</v>
      </c>
      <c r="P988" s="3">
        <f>0.42+0.42</f>
        <v>0.84</v>
      </c>
      <c r="Q988" s="3"/>
      <c r="R988" s="3"/>
      <c r="S988" s="3"/>
      <c r="T988" s="3">
        <v>0.84</v>
      </c>
      <c r="U988" s="3">
        <v>0.1</v>
      </c>
      <c r="V988" s="18">
        <f t="shared" si="392"/>
        <v>8.3333333333333321</v>
      </c>
      <c r="W988" s="3"/>
      <c r="X988" s="3"/>
      <c r="Y988" s="3">
        <v>10</v>
      </c>
      <c r="Z988" s="31">
        <f t="shared" si="394"/>
        <v>120.00000000000003</v>
      </c>
      <c r="AA988" s="6"/>
      <c r="AB988" s="6"/>
      <c r="AC988" s="6"/>
      <c r="AD988" s="6"/>
      <c r="AE988" s="6"/>
      <c r="AF988" s="6"/>
      <c r="AG988" s="3" t="s">
        <v>27</v>
      </c>
      <c r="AH988" s="3" t="s">
        <v>27</v>
      </c>
      <c r="AI988" s="18" t="str">
        <f>+VLOOKUP(AH988,Leyenda!$O$4:$U$10,6,FALSE)</f>
        <v>0,35-0,50</v>
      </c>
      <c r="AJ988" s="18" t="str">
        <f>+VLOOKUP(AG988,Leyenda!$O$4:$U$10,7,FALSE)</f>
        <v>Easy to blast</v>
      </c>
      <c r="AK988" s="18">
        <f>+VLOOKUP(AJ988,Leyenda!$U$4:$V$10,2,FALSE)</f>
        <v>3</v>
      </c>
      <c r="AL988" s="3"/>
      <c r="AM988" s="18" t="s">
        <v>27</v>
      </c>
      <c r="AN988" s="185" t="s">
        <v>64</v>
      </c>
      <c r="AO988" s="185" t="s">
        <v>79</v>
      </c>
      <c r="AP988" s="185" t="s">
        <v>92</v>
      </c>
      <c r="AQ988" s="185" t="s">
        <v>107</v>
      </c>
      <c r="AR988" s="185" t="s">
        <v>118</v>
      </c>
      <c r="AS988" s="18" t="s">
        <v>267</v>
      </c>
      <c r="AT988" s="18"/>
      <c r="AU988" s="6"/>
      <c r="AV988" s="18">
        <f>+VLOOKUP(AN988,Leyenda!$B$30:$E$34,3,FALSE)</f>
        <v>2</v>
      </c>
      <c r="AW988" s="18">
        <f>+VLOOKUP('2. Logging Brejo Seco'!AO988,Meteorizacion,3,FALSE)</f>
        <v>1</v>
      </c>
      <c r="AX988" s="18">
        <f>+VLOOKUP('2. Logging Brejo Seco'!AP988,Apertura,3,FALSE)</f>
        <v>3</v>
      </c>
      <c r="AY988" s="18">
        <f>+VLOOKUP('2. Logging Brejo Seco'!AQ988,Leyenda!$B$55:$D$59,3,FALSE)</f>
        <v>3</v>
      </c>
      <c r="AZ988" s="18">
        <f>+VLOOKUP('2. Logging Brejo Seco'!AR988,Relleno,3,FALSE)</f>
        <v>2</v>
      </c>
      <c r="BA988" s="18">
        <f t="shared" si="382"/>
        <v>11</v>
      </c>
      <c r="BB988" s="49">
        <f t="shared" si="383"/>
        <v>2</v>
      </c>
      <c r="BC988" s="49">
        <f>VLOOKUP(AH988,Leyenda!$B$4:$D$10,3,FALSE)</f>
        <v>4</v>
      </c>
      <c r="BD988" s="49">
        <f t="shared" si="384"/>
        <v>8</v>
      </c>
      <c r="BE988" s="49">
        <f t="shared" si="385"/>
        <v>11</v>
      </c>
      <c r="BF988" s="49">
        <f>VLOOKUP(AS988,Leyenda!$B$70:$D$75,3,FALSE)</f>
        <v>15</v>
      </c>
      <c r="BG988" s="67">
        <f t="shared" si="386"/>
        <v>20.666666666666664</v>
      </c>
      <c r="BH988" s="67">
        <f>VLOOKUP(AG988,Leyenda!$B$4:$E$10,4,FALSE)</f>
        <v>4</v>
      </c>
      <c r="BI988" s="67">
        <f t="shared" si="387"/>
        <v>9</v>
      </c>
      <c r="BJ988" s="67">
        <f t="shared" si="388"/>
        <v>2</v>
      </c>
      <c r="BK988" s="67">
        <f>+VLOOKUP('2. Logging Brejo Seco'!AP988,Leyenda!$B$47:$E$51,4,FALSE)</f>
        <v>3</v>
      </c>
      <c r="BL988" s="67">
        <f>+VLOOKUP('2. Logging Brejo Seco'!AQ988,Leyenda!$B$55:$E$59,4,FALSE)</f>
        <v>3</v>
      </c>
      <c r="BM988" s="67">
        <f>+VLOOKUP('2. Logging Brejo Seco'!AR988,Leyenda!$B$63:$E$67,3,FALSE)</f>
        <v>2</v>
      </c>
      <c r="BN988" s="67">
        <f>+VLOOKUP('2. Logging Brejo Seco'!AO988,Leyenda!$B$39:$E$43,4,FALSE)</f>
        <v>1</v>
      </c>
      <c r="BO988" s="67">
        <f>+VLOOKUP('2. Logging Brejo Seco'!AN988,Leyenda!$B$30:$E$34,4,FALSE)</f>
        <v>3</v>
      </c>
      <c r="BP988" s="67">
        <f>VLOOKUP(AS988,Leyenda!$B$71:$E$75,4,FALSE)</f>
        <v>10</v>
      </c>
      <c r="BQ988" s="67">
        <f t="shared" si="389"/>
        <v>37</v>
      </c>
      <c r="BR988" s="18">
        <f t="shared" si="390"/>
        <v>40</v>
      </c>
      <c r="BS988" s="240">
        <f t="shared" si="393"/>
        <v>0.30000000000000016</v>
      </c>
      <c r="BT988" s="6"/>
    </row>
    <row r="989" spans="1:72" x14ac:dyDescent="0.25">
      <c r="A989" s="18" t="s">
        <v>6</v>
      </c>
      <c r="B989" s="18">
        <v>2024</v>
      </c>
      <c r="C989" s="18" t="s">
        <v>138</v>
      </c>
      <c r="D989" s="18" t="s">
        <v>664</v>
      </c>
      <c r="E989" s="3">
        <v>40</v>
      </c>
      <c r="F989" s="191">
        <v>40</v>
      </c>
      <c r="G989" s="36" t="s">
        <v>153</v>
      </c>
      <c r="H989" s="244">
        <f t="shared" si="399"/>
        <v>40</v>
      </c>
      <c r="I989" s="244" t="s">
        <v>757</v>
      </c>
      <c r="J989" s="244"/>
      <c r="K989" s="18">
        <f t="shared" si="398"/>
        <v>7.7</v>
      </c>
      <c r="L989" s="18">
        <v>9.1999999999999993</v>
      </c>
      <c r="M989" s="4">
        <f t="shared" si="395"/>
        <v>1.4999999999999991</v>
      </c>
      <c r="N989" s="113">
        <f t="shared" si="397"/>
        <v>0.76000000000000034</v>
      </c>
      <c r="O989" s="5">
        <f t="shared" si="379"/>
        <v>0.23999999999999966</v>
      </c>
      <c r="P989" s="3">
        <v>1.1399999999999999</v>
      </c>
      <c r="Q989" s="3"/>
      <c r="R989" s="3"/>
      <c r="S989" s="3"/>
      <c r="T989" s="3">
        <v>1.1399999999999999</v>
      </c>
      <c r="U989" s="3">
        <v>0.5</v>
      </c>
      <c r="V989" s="18">
        <f t="shared" si="392"/>
        <v>33.333333333333357</v>
      </c>
      <c r="W989" s="3"/>
      <c r="X989" s="3"/>
      <c r="Y989" s="3">
        <v>9</v>
      </c>
      <c r="Z989" s="31">
        <f t="shared" si="394"/>
        <v>166.66666666666657</v>
      </c>
      <c r="AA989" s="6"/>
      <c r="AB989" s="6"/>
      <c r="AC989" s="6"/>
      <c r="AD989" s="6"/>
      <c r="AE989" s="6"/>
      <c r="AF989" s="6"/>
      <c r="AG989" s="3" t="s">
        <v>29</v>
      </c>
      <c r="AH989" s="3" t="s">
        <v>29</v>
      </c>
      <c r="AI989" s="18" t="str">
        <f>+VLOOKUP(AH989,Leyenda!$O$4:$U$10,6,FALSE)</f>
        <v>0,25-0,35</v>
      </c>
      <c r="AJ989" s="18" t="str">
        <f>+VLOOKUP(AG989,Leyenda!$O$4:$U$10,7,FALSE)</f>
        <v>No Blasting need</v>
      </c>
      <c r="AK989" s="18">
        <f>+VLOOKUP(AJ989,Leyenda!$U$4:$V$10,2,FALSE)</f>
        <v>2</v>
      </c>
      <c r="AL989" s="3"/>
      <c r="AM989" s="18" t="s">
        <v>29</v>
      </c>
      <c r="AN989" s="185" t="s">
        <v>64</v>
      </c>
      <c r="AO989" s="185" t="s">
        <v>79</v>
      </c>
      <c r="AP989" s="185" t="s">
        <v>92</v>
      </c>
      <c r="AQ989" s="185" t="s">
        <v>107</v>
      </c>
      <c r="AR989" s="185" t="s">
        <v>118</v>
      </c>
      <c r="AS989" s="18" t="s">
        <v>267</v>
      </c>
      <c r="AT989" s="18"/>
      <c r="AU989" s="6"/>
      <c r="AV989" s="18">
        <f>+VLOOKUP(AN989,Leyenda!$B$30:$E$34,3,FALSE)</f>
        <v>2</v>
      </c>
      <c r="AW989" s="18">
        <f>+VLOOKUP('2. Logging Brejo Seco'!AO989,Meteorizacion,3,FALSE)</f>
        <v>1</v>
      </c>
      <c r="AX989" s="18">
        <f>+VLOOKUP('2. Logging Brejo Seco'!AP989,Apertura,3,FALSE)</f>
        <v>3</v>
      </c>
      <c r="AY989" s="18">
        <f>+VLOOKUP('2. Logging Brejo Seco'!AQ989,Leyenda!$B$55:$D$59,3,FALSE)</f>
        <v>3</v>
      </c>
      <c r="AZ989" s="18">
        <f>+VLOOKUP('2. Logging Brejo Seco'!AR989,Relleno,3,FALSE)</f>
        <v>2</v>
      </c>
      <c r="BA989" s="18">
        <f t="shared" si="382"/>
        <v>11</v>
      </c>
      <c r="BB989" s="49">
        <f t="shared" si="383"/>
        <v>7</v>
      </c>
      <c r="BC989" s="49">
        <f>VLOOKUP(AH989,Leyenda!$B$4:$D$10,3,FALSE)</f>
        <v>2</v>
      </c>
      <c r="BD989" s="49">
        <f t="shared" si="384"/>
        <v>9</v>
      </c>
      <c r="BE989" s="49">
        <f t="shared" si="385"/>
        <v>11</v>
      </c>
      <c r="BF989" s="49">
        <f>VLOOKUP(AS989,Leyenda!$B$70:$D$75,3,FALSE)</f>
        <v>15</v>
      </c>
      <c r="BG989" s="67">
        <f t="shared" si="386"/>
        <v>33.166666666666679</v>
      </c>
      <c r="BH989" s="67">
        <f>VLOOKUP(AG989,Leyenda!$B$4:$E$10,4,FALSE)</f>
        <v>2</v>
      </c>
      <c r="BI989" s="67">
        <f t="shared" si="387"/>
        <v>11</v>
      </c>
      <c r="BJ989" s="67">
        <f t="shared" si="388"/>
        <v>7</v>
      </c>
      <c r="BK989" s="67">
        <f>+VLOOKUP('2. Logging Brejo Seco'!AP989,Leyenda!$B$47:$E$51,4,FALSE)</f>
        <v>3</v>
      </c>
      <c r="BL989" s="67">
        <f>+VLOOKUP('2. Logging Brejo Seco'!AQ989,Leyenda!$B$55:$E$59,4,FALSE)</f>
        <v>3</v>
      </c>
      <c r="BM989" s="67">
        <f>+VLOOKUP('2. Logging Brejo Seco'!AR989,Leyenda!$B$63:$E$67,3,FALSE)</f>
        <v>2</v>
      </c>
      <c r="BN989" s="67">
        <f>+VLOOKUP('2. Logging Brejo Seco'!AO989,Leyenda!$B$39:$E$43,4,FALSE)</f>
        <v>1</v>
      </c>
      <c r="BO989" s="67">
        <f>+VLOOKUP('2. Logging Brejo Seco'!AN989,Leyenda!$B$30:$E$34,4,FALSE)</f>
        <v>3</v>
      </c>
      <c r="BP989" s="67">
        <f>VLOOKUP(AS989,Leyenda!$B$71:$E$75,4,FALSE)</f>
        <v>10</v>
      </c>
      <c r="BQ989" s="67">
        <f t="shared" si="389"/>
        <v>42</v>
      </c>
      <c r="BR989" s="18">
        <f t="shared" si="390"/>
        <v>44</v>
      </c>
      <c r="BS989" s="240">
        <f t="shared" si="393"/>
        <v>0.23999999999999966</v>
      </c>
      <c r="BT989" s="6"/>
    </row>
    <row r="990" spans="1:72" x14ac:dyDescent="0.25">
      <c r="A990" s="18" t="s">
        <v>6</v>
      </c>
      <c r="B990" s="18">
        <v>2024</v>
      </c>
      <c r="C990" s="18" t="s">
        <v>138</v>
      </c>
      <c r="D990" s="18" t="s">
        <v>664</v>
      </c>
      <c r="E990" s="3">
        <v>30</v>
      </c>
      <c r="F990" s="191">
        <v>30</v>
      </c>
      <c r="G990" s="18" t="s">
        <v>152</v>
      </c>
      <c r="H990" s="244">
        <f t="shared" si="399"/>
        <v>30</v>
      </c>
      <c r="I990" s="244" t="s">
        <v>759</v>
      </c>
      <c r="J990" s="244"/>
      <c r="K990" s="18">
        <f t="shared" si="398"/>
        <v>9.1999999999999993</v>
      </c>
      <c r="L990" s="18">
        <v>10.199999999999999</v>
      </c>
      <c r="M990" s="4">
        <f t="shared" si="395"/>
        <v>1</v>
      </c>
      <c r="N990" s="113">
        <f t="shared" si="397"/>
        <v>0.68</v>
      </c>
      <c r="O990" s="5">
        <f t="shared" si="379"/>
        <v>0.31999999999999995</v>
      </c>
      <c r="P990" s="3">
        <v>0.68</v>
      </c>
      <c r="Q990" s="6"/>
      <c r="R990" s="6"/>
      <c r="S990" s="6"/>
      <c r="T990" s="6">
        <v>0.68</v>
      </c>
      <c r="U990" s="6">
        <v>0.38</v>
      </c>
      <c r="V990" s="18">
        <f t="shared" si="392"/>
        <v>38</v>
      </c>
      <c r="W990" s="6"/>
      <c r="X990" s="6"/>
      <c r="Y990" s="224">
        <v>5</v>
      </c>
      <c r="Z990" s="31">
        <f t="shared" si="394"/>
        <v>200</v>
      </c>
      <c r="AA990" s="6"/>
      <c r="AB990" s="6"/>
      <c r="AC990" s="6"/>
      <c r="AD990" s="6"/>
      <c r="AE990" s="6"/>
      <c r="AF990" s="6"/>
      <c r="AG990" s="3" t="s">
        <v>29</v>
      </c>
      <c r="AH990" s="3" t="s">
        <v>29</v>
      </c>
      <c r="AI990" s="18" t="str">
        <f>+VLOOKUP(AH990,Leyenda!$O$4:$U$10,6,FALSE)</f>
        <v>0,25-0,35</v>
      </c>
      <c r="AJ990" s="18" t="str">
        <f>+VLOOKUP(AG990,Leyenda!$O$4:$U$10,7,FALSE)</f>
        <v>No Blasting need</v>
      </c>
      <c r="AK990" s="18">
        <f>+VLOOKUP(AJ990,Leyenda!$U$4:$V$10,2,FALSE)</f>
        <v>2</v>
      </c>
      <c r="AL990" s="3"/>
      <c r="AM990" s="18" t="s">
        <v>29</v>
      </c>
      <c r="AN990" s="185" t="s">
        <v>64</v>
      </c>
      <c r="AO990" s="185" t="s">
        <v>79</v>
      </c>
      <c r="AP990" s="185" t="s">
        <v>92</v>
      </c>
      <c r="AQ990" s="185" t="s">
        <v>107</v>
      </c>
      <c r="AR990" s="185" t="s">
        <v>118</v>
      </c>
      <c r="AS990" s="18" t="s">
        <v>267</v>
      </c>
      <c r="AT990" s="18"/>
      <c r="AU990" s="6"/>
      <c r="AV990" s="18">
        <f>+VLOOKUP(AN990,Leyenda!$B$30:$E$34,3,FALSE)</f>
        <v>2</v>
      </c>
      <c r="AW990" s="18">
        <f>+VLOOKUP('2. Logging Brejo Seco'!AO990,Meteorizacion,3,FALSE)</f>
        <v>1</v>
      </c>
      <c r="AX990" s="18">
        <f>+VLOOKUP('2. Logging Brejo Seco'!AP990,Apertura,3,FALSE)</f>
        <v>3</v>
      </c>
      <c r="AY990" s="18">
        <f>+VLOOKUP('2. Logging Brejo Seco'!AQ990,Leyenda!$B$55:$D$59,3,FALSE)</f>
        <v>3</v>
      </c>
      <c r="AZ990" s="18">
        <f>+VLOOKUP('2. Logging Brejo Seco'!AR990,Relleno,3,FALSE)</f>
        <v>2</v>
      </c>
      <c r="BA990" s="18">
        <f t="shared" si="382"/>
        <v>11</v>
      </c>
      <c r="BB990" s="223">
        <f t="shared" si="383"/>
        <v>8</v>
      </c>
      <c r="BC990" s="49">
        <f>VLOOKUP(AH990,Leyenda!$B$4:$D$10,3,FALSE)</f>
        <v>2</v>
      </c>
      <c r="BD990" s="49">
        <f t="shared" si="384"/>
        <v>9</v>
      </c>
      <c r="BE990" s="49">
        <f t="shared" si="385"/>
        <v>11</v>
      </c>
      <c r="BF990" s="49">
        <f>VLOOKUP(AS990,Leyenda!$B$70:$D$75,3,FALSE)</f>
        <v>15</v>
      </c>
      <c r="BG990" s="67">
        <f t="shared" si="386"/>
        <v>35.5</v>
      </c>
      <c r="BH990" s="67">
        <f>VLOOKUP(AG990,Leyenda!$B$4:$E$10,4,FALSE)</f>
        <v>2</v>
      </c>
      <c r="BI990" s="67">
        <f t="shared" si="387"/>
        <v>12</v>
      </c>
      <c r="BJ990" s="67">
        <f t="shared" si="388"/>
        <v>8</v>
      </c>
      <c r="BK990" s="67">
        <f>+VLOOKUP('2. Logging Brejo Seco'!AP990,Leyenda!$B$47:$E$51,4,FALSE)</f>
        <v>3</v>
      </c>
      <c r="BL990" s="67">
        <f>+VLOOKUP('2. Logging Brejo Seco'!AQ990,Leyenda!$B$55:$E$59,4,FALSE)</f>
        <v>3</v>
      </c>
      <c r="BM990" s="67">
        <f>+VLOOKUP('2. Logging Brejo Seco'!AR990,Leyenda!$B$63:$E$67,3,FALSE)</f>
        <v>2</v>
      </c>
      <c r="BN990" s="67">
        <f>+VLOOKUP('2. Logging Brejo Seco'!AO990,Leyenda!$B$39:$E$43,4,FALSE)</f>
        <v>1</v>
      </c>
      <c r="BO990" s="67">
        <f>+VLOOKUP('2. Logging Brejo Seco'!AN990,Leyenda!$B$30:$E$34,4,FALSE)</f>
        <v>3</v>
      </c>
      <c r="BP990" s="67">
        <f>VLOOKUP(AS990,Leyenda!$B$71:$E$75,4,FALSE)</f>
        <v>10</v>
      </c>
      <c r="BQ990" s="67">
        <f t="shared" si="389"/>
        <v>44</v>
      </c>
      <c r="BR990" s="18">
        <f t="shared" si="390"/>
        <v>45</v>
      </c>
      <c r="BS990" s="240">
        <f t="shared" si="393"/>
        <v>0.31999999999999995</v>
      </c>
      <c r="BT990" s="6"/>
    </row>
    <row r="991" spans="1:72" x14ac:dyDescent="0.25">
      <c r="A991" s="18" t="s">
        <v>6</v>
      </c>
      <c r="B991" s="18">
        <v>2024</v>
      </c>
      <c r="C991" s="18" t="s">
        <v>138</v>
      </c>
      <c r="D991" s="18" t="s">
        <v>664</v>
      </c>
      <c r="E991" s="3">
        <v>30</v>
      </c>
      <c r="F991" s="191">
        <v>30</v>
      </c>
      <c r="G991" s="18" t="s">
        <v>152</v>
      </c>
      <c r="H991" s="244">
        <f t="shared" si="399"/>
        <v>30</v>
      </c>
      <c r="I991" s="244" t="s">
        <v>759</v>
      </c>
      <c r="J991" s="244"/>
      <c r="K991" s="18">
        <f t="shared" si="398"/>
        <v>10.199999999999999</v>
      </c>
      <c r="L991" s="18">
        <v>11.45</v>
      </c>
      <c r="M991" s="4">
        <f t="shared" si="395"/>
        <v>1.25</v>
      </c>
      <c r="N991" s="113">
        <f t="shared" si="397"/>
        <v>0.70399999999999996</v>
      </c>
      <c r="O991" s="5">
        <f t="shared" si="379"/>
        <v>0.29600000000000004</v>
      </c>
      <c r="P991" s="3">
        <f>0.4+0.48</f>
        <v>0.88</v>
      </c>
      <c r="Q991" s="6"/>
      <c r="R991" s="6"/>
      <c r="S991" s="6"/>
      <c r="T991" s="6">
        <v>0.88</v>
      </c>
      <c r="U991" s="6">
        <v>0.34</v>
      </c>
      <c r="V991" s="18">
        <f t="shared" si="392"/>
        <v>27.200000000000003</v>
      </c>
      <c r="W991" s="6"/>
      <c r="X991" s="6"/>
      <c r="Y991" s="224">
        <f>2+5+2</f>
        <v>9</v>
      </c>
      <c r="Z991" s="31">
        <f t="shared" si="394"/>
        <v>138.88888888888889</v>
      </c>
      <c r="AA991" s="6"/>
      <c r="AB991" s="6"/>
      <c r="AC991" s="6"/>
      <c r="AD991" s="6"/>
      <c r="AE991" s="6"/>
      <c r="AF991" s="6"/>
      <c r="AG991" s="3" t="s">
        <v>29</v>
      </c>
      <c r="AH991" s="3" t="s">
        <v>29</v>
      </c>
      <c r="AI991" s="18" t="str">
        <f>+VLOOKUP(AH991,Leyenda!$O$4:$U$10,6,FALSE)</f>
        <v>0,25-0,35</v>
      </c>
      <c r="AJ991" s="18" t="str">
        <f>+VLOOKUP(AG991,Leyenda!$O$4:$U$10,7,FALSE)</f>
        <v>No Blasting need</v>
      </c>
      <c r="AK991" s="18">
        <f>+VLOOKUP(AJ991,Leyenda!$U$4:$V$10,2,FALSE)</f>
        <v>2</v>
      </c>
      <c r="AL991" s="3"/>
      <c r="AM991" s="18" t="s">
        <v>29</v>
      </c>
      <c r="AN991" s="185" t="s">
        <v>64</v>
      </c>
      <c r="AO991" s="185" t="s">
        <v>79</v>
      </c>
      <c r="AP991" s="185" t="s">
        <v>92</v>
      </c>
      <c r="AQ991" s="185" t="s">
        <v>107</v>
      </c>
      <c r="AR991" s="185" t="s">
        <v>118</v>
      </c>
      <c r="AS991" s="18" t="s">
        <v>267</v>
      </c>
      <c r="AT991" s="18"/>
      <c r="AU991" s="6"/>
      <c r="AV991" s="18">
        <f>+VLOOKUP(AN991,Leyenda!$B$30:$E$34,3,FALSE)</f>
        <v>2</v>
      </c>
      <c r="AW991" s="18">
        <f>+VLOOKUP('2. Logging Brejo Seco'!AO991,Meteorizacion,3,FALSE)</f>
        <v>1</v>
      </c>
      <c r="AX991" s="18">
        <f>+VLOOKUP('2. Logging Brejo Seco'!AP991,Apertura,3,FALSE)</f>
        <v>3</v>
      </c>
      <c r="AY991" s="18">
        <f>+VLOOKUP('2. Logging Brejo Seco'!AQ991,Leyenda!$B$55:$D$59,3,FALSE)</f>
        <v>3</v>
      </c>
      <c r="AZ991" s="18">
        <f>+VLOOKUP('2. Logging Brejo Seco'!AR991,Relleno,3,FALSE)</f>
        <v>2</v>
      </c>
      <c r="BA991" s="18">
        <f t="shared" si="382"/>
        <v>11</v>
      </c>
      <c r="BB991" s="223">
        <f t="shared" si="383"/>
        <v>6</v>
      </c>
      <c r="BC991" s="49">
        <f>VLOOKUP(AH991,Leyenda!$B$4:$D$10,3,FALSE)</f>
        <v>2</v>
      </c>
      <c r="BD991" s="49">
        <f t="shared" si="384"/>
        <v>8</v>
      </c>
      <c r="BE991" s="49">
        <f t="shared" si="385"/>
        <v>11</v>
      </c>
      <c r="BF991" s="49">
        <f>VLOOKUP(AS991,Leyenda!$B$70:$D$75,3,FALSE)</f>
        <v>15</v>
      </c>
      <c r="BG991" s="67">
        <f t="shared" si="386"/>
        <v>30.1</v>
      </c>
      <c r="BH991" s="67">
        <f>VLOOKUP(AG991,Leyenda!$B$4:$E$10,4,FALSE)</f>
        <v>2</v>
      </c>
      <c r="BI991" s="67">
        <f t="shared" si="387"/>
        <v>10</v>
      </c>
      <c r="BJ991" s="67">
        <f t="shared" si="388"/>
        <v>6</v>
      </c>
      <c r="BK991" s="67">
        <f>+VLOOKUP('2. Logging Brejo Seco'!AP991,Leyenda!$B$47:$E$51,4,FALSE)</f>
        <v>3</v>
      </c>
      <c r="BL991" s="67">
        <f>+VLOOKUP('2. Logging Brejo Seco'!AQ991,Leyenda!$B$55:$E$59,4,FALSE)</f>
        <v>3</v>
      </c>
      <c r="BM991" s="67">
        <f>+VLOOKUP('2. Logging Brejo Seco'!AR991,Leyenda!$B$63:$E$67,3,FALSE)</f>
        <v>2</v>
      </c>
      <c r="BN991" s="67">
        <f>+VLOOKUP('2. Logging Brejo Seco'!AO991,Leyenda!$B$39:$E$43,4,FALSE)</f>
        <v>1</v>
      </c>
      <c r="BO991" s="67">
        <f>+VLOOKUP('2. Logging Brejo Seco'!AN991,Leyenda!$B$30:$E$34,4,FALSE)</f>
        <v>3</v>
      </c>
      <c r="BP991" s="67">
        <f>VLOOKUP(AS991,Leyenda!$B$71:$E$75,4,FALSE)</f>
        <v>10</v>
      </c>
      <c r="BQ991" s="67">
        <f t="shared" si="389"/>
        <v>40</v>
      </c>
      <c r="BR991" s="18">
        <f t="shared" si="390"/>
        <v>42</v>
      </c>
      <c r="BS991" s="240">
        <f t="shared" si="393"/>
        <v>0.29600000000000004</v>
      </c>
      <c r="BT991" s="6"/>
    </row>
    <row r="992" spans="1:72" x14ac:dyDescent="0.25">
      <c r="A992" s="18" t="s">
        <v>6</v>
      </c>
      <c r="B992" s="18">
        <v>2024</v>
      </c>
      <c r="C992" s="18" t="s">
        <v>138</v>
      </c>
      <c r="D992" s="18" t="s">
        <v>664</v>
      </c>
      <c r="E992" s="3">
        <v>30</v>
      </c>
      <c r="F992" s="191">
        <v>30</v>
      </c>
      <c r="G992" s="18" t="s">
        <v>152</v>
      </c>
      <c r="H992" s="244">
        <f t="shared" si="399"/>
        <v>30</v>
      </c>
      <c r="I992" s="244" t="s">
        <v>759</v>
      </c>
      <c r="J992" s="244"/>
      <c r="K992" s="18">
        <f t="shared" si="398"/>
        <v>11.45</v>
      </c>
      <c r="L992" s="18">
        <v>12.95</v>
      </c>
      <c r="M992" s="4">
        <f t="shared" si="395"/>
        <v>1.5</v>
      </c>
      <c r="N992" s="113">
        <f t="shared" si="397"/>
        <v>0.81333333333333335</v>
      </c>
      <c r="O992" s="5">
        <f t="shared" si="379"/>
        <v>0.18666666666666665</v>
      </c>
      <c r="P992" s="3">
        <v>1.22</v>
      </c>
      <c r="Q992" s="6"/>
      <c r="R992" s="6"/>
      <c r="S992" s="6"/>
      <c r="T992" s="6">
        <v>1.22</v>
      </c>
      <c r="U992" s="6">
        <v>0.47</v>
      </c>
      <c r="V992" s="18">
        <f t="shared" si="392"/>
        <v>31.333333333333329</v>
      </c>
      <c r="W992" s="6"/>
      <c r="X992" s="6"/>
      <c r="Y992" s="224">
        <v>7</v>
      </c>
      <c r="Z992" s="31">
        <f t="shared" si="394"/>
        <v>214.28571428571428</v>
      </c>
      <c r="AA992" s="6"/>
      <c r="AB992" s="6"/>
      <c r="AC992" s="6"/>
      <c r="AD992" s="6"/>
      <c r="AE992" s="6"/>
      <c r="AF992" s="6"/>
      <c r="AG992" s="3" t="s">
        <v>29</v>
      </c>
      <c r="AH992" s="3" t="s">
        <v>29</v>
      </c>
      <c r="AI992" s="18" t="str">
        <f>+VLOOKUP(AH992,Leyenda!$O$4:$U$10,6,FALSE)</f>
        <v>0,25-0,35</v>
      </c>
      <c r="AJ992" s="18" t="str">
        <f>+VLOOKUP(AG992,Leyenda!$O$4:$U$10,7,FALSE)</f>
        <v>No Blasting need</v>
      </c>
      <c r="AK992" s="18">
        <f>+VLOOKUP(AJ992,Leyenda!$U$4:$V$10,2,FALSE)</f>
        <v>2</v>
      </c>
      <c r="AL992" s="3"/>
      <c r="AM992" s="18" t="s">
        <v>29</v>
      </c>
      <c r="AN992" s="185" t="s">
        <v>66</v>
      </c>
      <c r="AO992" s="185" t="s">
        <v>79</v>
      </c>
      <c r="AP992" s="6" t="s">
        <v>100</v>
      </c>
      <c r="AQ992" s="185" t="s">
        <v>109</v>
      </c>
      <c r="AR992" s="185" t="s">
        <v>120</v>
      </c>
      <c r="AS992" s="18" t="s">
        <v>267</v>
      </c>
      <c r="AT992" s="18"/>
      <c r="AU992" s="6"/>
      <c r="AV992" s="18">
        <f>+VLOOKUP(AN992,Leyenda!$B$30:$E$34,3,FALSE)</f>
        <v>1</v>
      </c>
      <c r="AW992" s="18">
        <f>+VLOOKUP('2. Logging Brejo Seco'!AO992,Meteorizacion,3,FALSE)</f>
        <v>1</v>
      </c>
      <c r="AX992" s="18">
        <f>+VLOOKUP('2. Logging Brejo Seco'!AP992,Apertura,3,FALSE)</f>
        <v>0</v>
      </c>
      <c r="AY992" s="18">
        <f>+VLOOKUP('2. Logging Brejo Seco'!AQ992,Leyenda!$B$55:$D$59,3,FALSE)</f>
        <v>1</v>
      </c>
      <c r="AZ992" s="18">
        <f>+VLOOKUP('2. Logging Brejo Seco'!AR992,Relleno,3,FALSE)</f>
        <v>2</v>
      </c>
      <c r="BA992" s="18">
        <f t="shared" si="382"/>
        <v>5</v>
      </c>
      <c r="BB992" s="223">
        <f t="shared" si="383"/>
        <v>7</v>
      </c>
      <c r="BC992" s="49">
        <f>VLOOKUP(AH992,Leyenda!$B$4:$D$10,3,FALSE)</f>
        <v>2</v>
      </c>
      <c r="BD992" s="49">
        <f t="shared" si="384"/>
        <v>9</v>
      </c>
      <c r="BE992" s="49">
        <f t="shared" si="385"/>
        <v>5</v>
      </c>
      <c r="BF992" s="49">
        <f>VLOOKUP(AS992,Leyenda!$B$70:$D$75,3,FALSE)</f>
        <v>15</v>
      </c>
      <c r="BG992" s="67">
        <f t="shared" si="386"/>
        <v>23.166666666666664</v>
      </c>
      <c r="BH992" s="67">
        <f>VLOOKUP(AG992,Leyenda!$B$4:$E$10,4,FALSE)</f>
        <v>2</v>
      </c>
      <c r="BI992" s="67">
        <f t="shared" si="387"/>
        <v>13</v>
      </c>
      <c r="BJ992" s="67">
        <f t="shared" si="388"/>
        <v>7</v>
      </c>
      <c r="BK992" s="67">
        <f>+VLOOKUP('2. Logging Brejo Seco'!AP992,Leyenda!$B$47:$E$51,4,FALSE)</f>
        <v>0</v>
      </c>
      <c r="BL992" s="67">
        <f>+VLOOKUP('2. Logging Brejo Seco'!AQ992,Leyenda!$B$55:$E$59,4,FALSE)</f>
        <v>1</v>
      </c>
      <c r="BM992" s="67">
        <f>+VLOOKUP('2. Logging Brejo Seco'!AR992,Leyenda!$B$63:$E$67,3,FALSE)</f>
        <v>2</v>
      </c>
      <c r="BN992" s="67">
        <f>+VLOOKUP('2. Logging Brejo Seco'!AO992,Leyenda!$B$39:$E$43,4,FALSE)</f>
        <v>1</v>
      </c>
      <c r="BO992" s="67">
        <f>+VLOOKUP('2. Logging Brejo Seco'!AN992,Leyenda!$B$30:$E$34,4,FALSE)</f>
        <v>1</v>
      </c>
      <c r="BP992" s="67">
        <f>VLOOKUP(AS992,Leyenda!$B$71:$E$75,4,FALSE)</f>
        <v>10</v>
      </c>
      <c r="BQ992" s="67">
        <f t="shared" si="389"/>
        <v>37</v>
      </c>
      <c r="BR992" s="18">
        <f t="shared" si="390"/>
        <v>38</v>
      </c>
      <c r="BS992" s="240">
        <f t="shared" si="393"/>
        <v>0.18666666666666665</v>
      </c>
      <c r="BT992" s="6"/>
    </row>
    <row r="993" spans="1:72" x14ac:dyDescent="0.25">
      <c r="A993" s="18" t="s">
        <v>6</v>
      </c>
      <c r="B993" s="18">
        <v>2024</v>
      </c>
      <c r="C993" s="18" t="s">
        <v>138</v>
      </c>
      <c r="D993" s="18" t="s">
        <v>664</v>
      </c>
      <c r="E993" s="3">
        <v>30</v>
      </c>
      <c r="F993" s="191">
        <v>30</v>
      </c>
      <c r="G993" s="18" t="s">
        <v>152</v>
      </c>
      <c r="H993" s="244">
        <f t="shared" si="399"/>
        <v>30</v>
      </c>
      <c r="I993" s="244" t="s">
        <v>759</v>
      </c>
      <c r="J993" s="244"/>
      <c r="K993" s="18">
        <f t="shared" si="398"/>
        <v>12.95</v>
      </c>
      <c r="L993" s="18">
        <v>14.55</v>
      </c>
      <c r="M993" s="4">
        <f t="shared" si="395"/>
        <v>1.6000000000000014</v>
      </c>
      <c r="N993" s="113">
        <f t="shared" si="397"/>
        <v>0.91874999999999929</v>
      </c>
      <c r="O993" s="5">
        <f t="shared" si="379"/>
        <v>8.1250000000000711E-2</v>
      </c>
      <c r="P993" s="3">
        <f>1.07+0.4</f>
        <v>1.4700000000000002</v>
      </c>
      <c r="Q993" s="6"/>
      <c r="R993" s="6"/>
      <c r="S993" s="6"/>
      <c r="T993" s="6">
        <v>1.47</v>
      </c>
      <c r="U993" s="6">
        <v>0.34</v>
      </c>
      <c r="V993" s="18">
        <f t="shared" si="392"/>
        <v>21.249999999999982</v>
      </c>
      <c r="W993" s="6"/>
      <c r="X993" s="6"/>
      <c r="Y993" s="224">
        <f>6+7</f>
        <v>13</v>
      </c>
      <c r="Z993" s="31">
        <f t="shared" si="394"/>
        <v>123.07692307692318</v>
      </c>
      <c r="AA993" s="6"/>
      <c r="AB993" s="6"/>
      <c r="AC993" s="6"/>
      <c r="AD993" s="6"/>
      <c r="AE993" s="6"/>
      <c r="AF993" s="6"/>
      <c r="AG993" s="3" t="s">
        <v>29</v>
      </c>
      <c r="AH993" s="3" t="s">
        <v>29</v>
      </c>
      <c r="AI993" s="18" t="str">
        <f>+VLOOKUP(AH993,Leyenda!$O$4:$U$10,6,FALSE)</f>
        <v>0,25-0,35</v>
      </c>
      <c r="AJ993" s="18" t="str">
        <f>+VLOOKUP(AG993,Leyenda!$O$4:$U$10,7,FALSE)</f>
        <v>No Blasting need</v>
      </c>
      <c r="AK993" s="18">
        <f>+VLOOKUP(AJ993,Leyenda!$U$4:$V$10,2,FALSE)</f>
        <v>2</v>
      </c>
      <c r="AL993" s="3"/>
      <c r="AM993" s="18" t="s">
        <v>29</v>
      </c>
      <c r="AN993" s="6" t="s">
        <v>66</v>
      </c>
      <c r="AO993" s="185" t="s">
        <v>79</v>
      </c>
      <c r="AP993" s="6" t="s">
        <v>100</v>
      </c>
      <c r="AQ993" s="185" t="s">
        <v>109</v>
      </c>
      <c r="AR993" s="185" t="s">
        <v>120</v>
      </c>
      <c r="AS993" s="18" t="s">
        <v>267</v>
      </c>
      <c r="AT993" s="18"/>
      <c r="AU993" s="6"/>
      <c r="AV993" s="18">
        <f>+VLOOKUP(AN993,Leyenda!$B$30:$E$34,3,FALSE)</f>
        <v>1</v>
      </c>
      <c r="AW993" s="18">
        <f>+VLOOKUP('2. Logging Brejo Seco'!AO993,Meteorizacion,3,FALSE)</f>
        <v>1</v>
      </c>
      <c r="AX993" s="18">
        <f>+VLOOKUP('2. Logging Brejo Seco'!AP993,Apertura,3,FALSE)</f>
        <v>0</v>
      </c>
      <c r="AY993" s="18">
        <f>+VLOOKUP('2. Logging Brejo Seco'!AQ993,Leyenda!$B$55:$D$59,3,FALSE)</f>
        <v>1</v>
      </c>
      <c r="AZ993" s="18">
        <f>+VLOOKUP('2. Logging Brejo Seco'!AR993,Relleno,3,FALSE)</f>
        <v>2</v>
      </c>
      <c r="BA993" s="18">
        <f t="shared" si="382"/>
        <v>5</v>
      </c>
      <c r="BB993" s="223">
        <f t="shared" si="383"/>
        <v>5</v>
      </c>
      <c r="BC993" s="49">
        <f>VLOOKUP(AH993,Leyenda!$B$4:$D$10,3,FALSE)</f>
        <v>2</v>
      </c>
      <c r="BD993" s="49">
        <f t="shared" si="384"/>
        <v>8</v>
      </c>
      <c r="BE993" s="49">
        <f t="shared" si="385"/>
        <v>5</v>
      </c>
      <c r="BF993" s="49">
        <f>VLOOKUP(AS993,Leyenda!$B$70:$D$75,3,FALSE)</f>
        <v>15</v>
      </c>
      <c r="BG993" s="67">
        <f t="shared" si="386"/>
        <v>18.124999999999993</v>
      </c>
      <c r="BH993" s="67">
        <f>VLOOKUP(AG993,Leyenda!$B$4:$E$10,4,FALSE)</f>
        <v>2</v>
      </c>
      <c r="BI993" s="67">
        <f t="shared" si="387"/>
        <v>9</v>
      </c>
      <c r="BJ993" s="67">
        <f t="shared" si="388"/>
        <v>5</v>
      </c>
      <c r="BK993" s="67">
        <f>+VLOOKUP('2. Logging Brejo Seco'!AP993,Leyenda!$B$47:$E$51,4,FALSE)</f>
        <v>0</v>
      </c>
      <c r="BL993" s="67">
        <f>+VLOOKUP('2. Logging Brejo Seco'!AQ993,Leyenda!$B$55:$E$59,4,FALSE)</f>
        <v>1</v>
      </c>
      <c r="BM993" s="67">
        <f>+VLOOKUP('2. Logging Brejo Seco'!AR993,Leyenda!$B$63:$E$67,3,FALSE)</f>
        <v>2</v>
      </c>
      <c r="BN993" s="67">
        <f>+VLOOKUP('2. Logging Brejo Seco'!AO993,Leyenda!$B$39:$E$43,4,FALSE)</f>
        <v>1</v>
      </c>
      <c r="BO993" s="67">
        <f>+VLOOKUP('2. Logging Brejo Seco'!AN993,Leyenda!$B$30:$E$34,4,FALSE)</f>
        <v>1</v>
      </c>
      <c r="BP993" s="67">
        <f>VLOOKUP(AS993,Leyenda!$B$71:$E$75,4,FALSE)</f>
        <v>10</v>
      </c>
      <c r="BQ993" s="67">
        <f t="shared" si="389"/>
        <v>31</v>
      </c>
      <c r="BR993" s="18">
        <f t="shared" si="390"/>
        <v>35</v>
      </c>
      <c r="BS993" s="240">
        <f t="shared" si="393"/>
        <v>8.1250000000000711E-2</v>
      </c>
      <c r="BT993" s="6"/>
    </row>
    <row r="994" spans="1:72" x14ac:dyDescent="0.25">
      <c r="A994" s="18" t="s">
        <v>6</v>
      </c>
      <c r="B994" s="18">
        <v>2024</v>
      </c>
      <c r="C994" s="18" t="s">
        <v>138</v>
      </c>
      <c r="D994" s="18" t="s">
        <v>664</v>
      </c>
      <c r="E994" s="3">
        <v>30</v>
      </c>
      <c r="F994" s="191">
        <v>30</v>
      </c>
      <c r="G994" s="18" t="s">
        <v>152</v>
      </c>
      <c r="H994" s="244">
        <f t="shared" si="399"/>
        <v>30</v>
      </c>
      <c r="I994" s="244" t="s">
        <v>759</v>
      </c>
      <c r="J994" s="244"/>
      <c r="K994" s="18">
        <f t="shared" si="398"/>
        <v>14.55</v>
      </c>
      <c r="L994" s="18">
        <v>15.7</v>
      </c>
      <c r="M994" s="4">
        <f t="shared" si="395"/>
        <v>1.1499999999999986</v>
      </c>
      <c r="N994" s="113">
        <f t="shared" si="397"/>
        <v>0.91304347826087073</v>
      </c>
      <c r="O994" s="5">
        <f t="shared" si="379"/>
        <v>8.6956521739129267E-2</v>
      </c>
      <c r="P994" s="3">
        <v>1.05</v>
      </c>
      <c r="Q994" s="6"/>
      <c r="R994" s="6"/>
      <c r="S994" s="6"/>
      <c r="T994" s="6">
        <v>1.05</v>
      </c>
      <c r="U994" s="6">
        <v>0</v>
      </c>
      <c r="V994" s="18">
        <f t="shared" si="392"/>
        <v>0</v>
      </c>
      <c r="W994" s="6"/>
      <c r="X994" s="6"/>
      <c r="Y994" s="224">
        <f>12+8</f>
        <v>20</v>
      </c>
      <c r="Z994" s="31">
        <f t="shared" si="394"/>
        <v>57.499999999999929</v>
      </c>
      <c r="AA994" s="6"/>
      <c r="AB994" s="6"/>
      <c r="AC994" s="6"/>
      <c r="AD994" s="6"/>
      <c r="AE994" s="6"/>
      <c r="AF994" s="6"/>
      <c r="AG994" s="3" t="s">
        <v>29</v>
      </c>
      <c r="AH994" s="3" t="s">
        <v>29</v>
      </c>
      <c r="AI994" s="18" t="str">
        <f>+VLOOKUP(AH994,Leyenda!$O$4:$U$10,6,FALSE)</f>
        <v>0,25-0,35</v>
      </c>
      <c r="AJ994" s="18" t="str">
        <f>+VLOOKUP(AG994,Leyenda!$O$4:$U$10,7,FALSE)</f>
        <v>No Blasting need</v>
      </c>
      <c r="AK994" s="18">
        <f>+VLOOKUP(AJ994,Leyenda!$U$4:$V$10,2,FALSE)</f>
        <v>2</v>
      </c>
      <c r="AL994" s="3"/>
      <c r="AM994" s="3" t="s">
        <v>29</v>
      </c>
      <c r="AN994" s="6" t="s">
        <v>66</v>
      </c>
      <c r="AO994" s="185" t="s">
        <v>79</v>
      </c>
      <c r="AP994" s="6" t="s">
        <v>100</v>
      </c>
      <c r="AQ994" s="185" t="s">
        <v>109</v>
      </c>
      <c r="AR994" s="185" t="s">
        <v>120</v>
      </c>
      <c r="AS994" s="18" t="s">
        <v>267</v>
      </c>
      <c r="AT994" s="18"/>
      <c r="AU994" s="6"/>
      <c r="AV994" s="18">
        <f>+VLOOKUP(AN994,Leyenda!$B$30:$E$34,3,FALSE)</f>
        <v>1</v>
      </c>
      <c r="AW994" s="18">
        <f>+VLOOKUP('2. Logging Brejo Seco'!AO994,Meteorizacion,3,FALSE)</f>
        <v>1</v>
      </c>
      <c r="AX994" s="18">
        <f>+VLOOKUP('2. Logging Brejo Seco'!AP994,Apertura,3,FALSE)</f>
        <v>0</v>
      </c>
      <c r="AY994" s="18">
        <f>+VLOOKUP('2. Logging Brejo Seco'!AQ994,Leyenda!$B$55:$D$59,3,FALSE)</f>
        <v>1</v>
      </c>
      <c r="AZ994" s="18">
        <f>+VLOOKUP('2. Logging Brejo Seco'!AR994,Relleno,3,FALSE)</f>
        <v>2</v>
      </c>
      <c r="BA994" s="18">
        <f t="shared" si="382"/>
        <v>5</v>
      </c>
      <c r="BB994" s="223">
        <f t="shared" si="383"/>
        <v>0</v>
      </c>
      <c r="BC994" s="49">
        <f>VLOOKUP(AH994,Leyenda!$B$4:$D$10,3,FALSE)</f>
        <v>2</v>
      </c>
      <c r="BD994" s="49">
        <f t="shared" si="384"/>
        <v>6</v>
      </c>
      <c r="BE994" s="49">
        <f t="shared" si="385"/>
        <v>5</v>
      </c>
      <c r="BF994" s="49">
        <f>VLOOKUP(AS994,Leyenda!$B$70:$D$75,3,FALSE)</f>
        <v>15</v>
      </c>
      <c r="BG994" s="67">
        <f t="shared" si="386"/>
        <v>7.5</v>
      </c>
      <c r="BH994" s="67">
        <f>VLOOKUP(AG994,Leyenda!$B$4:$E$10,4,FALSE)</f>
        <v>2</v>
      </c>
      <c r="BI994" s="67">
        <f t="shared" si="387"/>
        <v>5</v>
      </c>
      <c r="BJ994" s="67">
        <f t="shared" si="388"/>
        <v>0</v>
      </c>
      <c r="BK994" s="67">
        <f>+VLOOKUP('2. Logging Brejo Seco'!AP994,Leyenda!$B$47:$E$51,4,FALSE)</f>
        <v>0</v>
      </c>
      <c r="BL994" s="67">
        <f>+VLOOKUP('2. Logging Brejo Seco'!AQ994,Leyenda!$B$55:$E$59,4,FALSE)</f>
        <v>1</v>
      </c>
      <c r="BM994" s="67">
        <f>+VLOOKUP('2. Logging Brejo Seco'!AR994,Leyenda!$B$63:$E$67,3,FALSE)</f>
        <v>2</v>
      </c>
      <c r="BN994" s="67">
        <f>+VLOOKUP('2. Logging Brejo Seco'!AO994,Leyenda!$B$39:$E$43,4,FALSE)</f>
        <v>1</v>
      </c>
      <c r="BO994" s="67">
        <f>+VLOOKUP('2. Logging Brejo Seco'!AN994,Leyenda!$B$30:$E$34,4,FALSE)</f>
        <v>1</v>
      </c>
      <c r="BP994" s="67">
        <f>VLOOKUP(AS994,Leyenda!$B$71:$E$75,4,FALSE)</f>
        <v>10</v>
      </c>
      <c r="BQ994" s="67">
        <f t="shared" si="389"/>
        <v>22</v>
      </c>
      <c r="BR994" s="18">
        <f t="shared" si="390"/>
        <v>28</v>
      </c>
      <c r="BS994" s="240">
        <f t="shared" si="393"/>
        <v>8.6956521739129267E-2</v>
      </c>
      <c r="BT994" s="6"/>
    </row>
    <row r="995" spans="1:72" x14ac:dyDescent="0.25">
      <c r="A995" s="18" t="s">
        <v>6</v>
      </c>
      <c r="B995" s="18">
        <v>2024</v>
      </c>
      <c r="C995" s="18" t="s">
        <v>138</v>
      </c>
      <c r="D995" s="18" t="s">
        <v>664</v>
      </c>
      <c r="E995" s="3">
        <v>20</v>
      </c>
      <c r="F995" s="191">
        <v>20</v>
      </c>
      <c r="G995" s="18" t="s">
        <v>156</v>
      </c>
      <c r="H995" s="244">
        <f t="shared" si="399"/>
        <v>20</v>
      </c>
      <c r="I995" s="244" t="s">
        <v>760</v>
      </c>
      <c r="J995" s="244"/>
      <c r="K995" s="18">
        <f t="shared" si="398"/>
        <v>15.7</v>
      </c>
      <c r="L995" s="18">
        <v>16.3</v>
      </c>
      <c r="M995" s="4">
        <f t="shared" si="395"/>
        <v>0.60000000000000142</v>
      </c>
      <c r="N995" s="113">
        <f t="shared" si="397"/>
        <v>0.81666666666666476</v>
      </c>
      <c r="O995" s="5">
        <f t="shared" si="379"/>
        <v>0.18333333333333524</v>
      </c>
      <c r="P995" s="3">
        <v>0.49</v>
      </c>
      <c r="Q995" s="6"/>
      <c r="R995" s="6"/>
      <c r="S995" s="6"/>
      <c r="T995" s="6">
        <v>0.49</v>
      </c>
      <c r="U995" s="6">
        <v>0</v>
      </c>
      <c r="V995" s="4">
        <f t="shared" si="392"/>
        <v>0</v>
      </c>
      <c r="W995" s="6"/>
      <c r="X995" s="6"/>
      <c r="Y995" s="6">
        <f>6+15</f>
        <v>21</v>
      </c>
      <c r="Z995" s="31">
        <f t="shared" si="394"/>
        <v>28.571428571428637</v>
      </c>
      <c r="AA995" s="6"/>
      <c r="AB995" s="6"/>
      <c r="AC995" s="6"/>
      <c r="AD995" s="6"/>
      <c r="AE995" s="6"/>
      <c r="AF995" s="6"/>
      <c r="AG995" s="3" t="s">
        <v>29</v>
      </c>
      <c r="AH995" s="3" t="s">
        <v>29</v>
      </c>
      <c r="AI995" s="18" t="str">
        <f>+VLOOKUP(AH995,Leyenda!$O$4:$U$10,6,FALSE)</f>
        <v>0,25-0,35</v>
      </c>
      <c r="AJ995" s="18" t="str">
        <f>+VLOOKUP(AG995,Leyenda!$O$4:$U$10,7,FALSE)</f>
        <v>No Blasting need</v>
      </c>
      <c r="AK995" s="18">
        <f>+VLOOKUP(AJ995,Leyenda!$U$4:$V$10,2,FALSE)</f>
        <v>2</v>
      </c>
      <c r="AL995" s="3"/>
      <c r="AM995" s="3" t="s">
        <v>29</v>
      </c>
      <c r="AN995" s="6" t="s">
        <v>66</v>
      </c>
      <c r="AO995" s="185" t="s">
        <v>79</v>
      </c>
      <c r="AP995" s="6" t="s">
        <v>100</v>
      </c>
      <c r="AQ995" s="185" t="s">
        <v>109</v>
      </c>
      <c r="AR995" s="185" t="s">
        <v>120</v>
      </c>
      <c r="AS995" s="18" t="s">
        <v>267</v>
      </c>
      <c r="AT995" s="18"/>
      <c r="AU995" s="6"/>
      <c r="AV995" s="18">
        <f>+VLOOKUP(AN995,Leyenda!$B$30:$E$34,3,FALSE)</f>
        <v>1</v>
      </c>
      <c r="AW995" s="18">
        <f>+VLOOKUP('2. Logging Brejo Seco'!AO995,Meteorizacion,3,FALSE)</f>
        <v>1</v>
      </c>
      <c r="AX995" s="18">
        <f>+VLOOKUP('2. Logging Brejo Seco'!AP995,Apertura,3,FALSE)</f>
        <v>0</v>
      </c>
      <c r="AY995" s="18">
        <f>+VLOOKUP('2. Logging Brejo Seco'!AQ995,Leyenda!$B$55:$D$59,3,FALSE)</f>
        <v>1</v>
      </c>
      <c r="AZ995" s="18">
        <f>+VLOOKUP('2. Logging Brejo Seco'!AR995,Relleno,3,FALSE)</f>
        <v>2</v>
      </c>
      <c r="BA995" s="18">
        <f t="shared" si="382"/>
        <v>5</v>
      </c>
      <c r="BB995" s="49">
        <f t="shared" si="383"/>
        <v>0</v>
      </c>
      <c r="BC995" s="49">
        <f>VLOOKUP(AH995,Leyenda!$B$4:$D$10,3,FALSE)</f>
        <v>2</v>
      </c>
      <c r="BD995" s="49">
        <f t="shared" si="384"/>
        <v>5</v>
      </c>
      <c r="BE995" s="49">
        <f t="shared" si="385"/>
        <v>5</v>
      </c>
      <c r="BF995" s="49">
        <f>VLOOKUP(AS995,Leyenda!$B$70:$D$75,3,FALSE)</f>
        <v>15</v>
      </c>
      <c r="BG995" s="67">
        <f t="shared" si="386"/>
        <v>7.5</v>
      </c>
      <c r="BH995" s="67">
        <f>VLOOKUP(AG995,Leyenda!$B$4:$E$10,4,FALSE)</f>
        <v>2</v>
      </c>
      <c r="BI995" s="67">
        <f t="shared" si="387"/>
        <v>5</v>
      </c>
      <c r="BJ995" s="67">
        <f t="shared" si="388"/>
        <v>0</v>
      </c>
      <c r="BK995" s="67">
        <f>+VLOOKUP('2. Logging Brejo Seco'!AP995,Leyenda!$B$47:$E$51,4,FALSE)</f>
        <v>0</v>
      </c>
      <c r="BL995" s="67">
        <f>+VLOOKUP('2. Logging Brejo Seco'!AQ995,Leyenda!$B$55:$E$59,4,FALSE)</f>
        <v>1</v>
      </c>
      <c r="BM995" s="67">
        <f>+VLOOKUP('2. Logging Brejo Seco'!AR995,Leyenda!$B$63:$E$67,3,FALSE)</f>
        <v>2</v>
      </c>
      <c r="BN995" s="67">
        <f>+VLOOKUP('2. Logging Brejo Seco'!AO995,Leyenda!$B$39:$E$43,4,FALSE)</f>
        <v>1</v>
      </c>
      <c r="BO995" s="67">
        <f>+VLOOKUP('2. Logging Brejo Seco'!AN995,Leyenda!$B$30:$E$34,4,FALSE)</f>
        <v>1</v>
      </c>
      <c r="BP995" s="67">
        <f>VLOOKUP(AS995,Leyenda!$B$71:$E$75,4,FALSE)</f>
        <v>10</v>
      </c>
      <c r="BQ995" s="67">
        <f t="shared" si="389"/>
        <v>22</v>
      </c>
      <c r="BR995" s="18">
        <f t="shared" si="390"/>
        <v>27</v>
      </c>
      <c r="BS995" s="240">
        <f t="shared" si="393"/>
        <v>0.18333333333333524</v>
      </c>
      <c r="BT995" s="6"/>
    </row>
    <row r="996" spans="1:72" x14ac:dyDescent="0.25">
      <c r="A996" s="18" t="s">
        <v>6</v>
      </c>
      <c r="B996" s="18">
        <v>2024</v>
      </c>
      <c r="C996" s="18" t="s">
        <v>138</v>
      </c>
      <c r="D996" s="18" t="s">
        <v>664</v>
      </c>
      <c r="E996" s="3">
        <v>20</v>
      </c>
      <c r="F996" s="191">
        <v>20</v>
      </c>
      <c r="G996" s="18" t="s">
        <v>156</v>
      </c>
      <c r="H996" s="3">
        <v>11</v>
      </c>
      <c r="I996" s="3" t="s">
        <v>765</v>
      </c>
      <c r="J996" s="3"/>
      <c r="K996" s="18">
        <f t="shared" si="398"/>
        <v>16.3</v>
      </c>
      <c r="L996" s="18">
        <v>16.8</v>
      </c>
      <c r="M996" s="4">
        <f t="shared" si="395"/>
        <v>0.5</v>
      </c>
      <c r="N996" s="113">
        <f t="shared" si="397"/>
        <v>0.88</v>
      </c>
      <c r="O996" s="5">
        <f t="shared" si="379"/>
        <v>0.12</v>
      </c>
      <c r="P996" s="3">
        <v>0.44</v>
      </c>
      <c r="Q996" s="6"/>
      <c r="R996" s="6"/>
      <c r="S996" s="6"/>
      <c r="T996" s="6">
        <v>0.44</v>
      </c>
      <c r="U996" s="6">
        <v>0.14000000000000001</v>
      </c>
      <c r="V996" s="4">
        <f t="shared" si="392"/>
        <v>28.000000000000004</v>
      </c>
      <c r="W996" s="6"/>
      <c r="X996" s="6"/>
      <c r="Y996" s="6">
        <v>7</v>
      </c>
      <c r="Z996" s="31">
        <f t="shared" si="394"/>
        <v>71.428571428571431</v>
      </c>
      <c r="AA996" s="6"/>
      <c r="AB996" s="6"/>
      <c r="AC996" s="6"/>
      <c r="AD996" s="6"/>
      <c r="AE996" s="6"/>
      <c r="AF996" s="6"/>
      <c r="AG996" s="3" t="s">
        <v>29</v>
      </c>
      <c r="AH996" s="3" t="s">
        <v>29</v>
      </c>
      <c r="AI996" s="18" t="str">
        <f>+VLOOKUP(AH996,Leyenda!$O$4:$U$10,6,FALSE)</f>
        <v>0,25-0,35</v>
      </c>
      <c r="AJ996" s="18" t="str">
        <f>+VLOOKUP(AG996,Leyenda!$O$4:$U$10,7,FALSE)</f>
        <v>No Blasting need</v>
      </c>
      <c r="AK996" s="18">
        <f>+VLOOKUP(AJ996,Leyenda!$U$4:$V$10,2,FALSE)</f>
        <v>2</v>
      </c>
      <c r="AL996" s="3"/>
      <c r="AM996" s="3" t="s">
        <v>29</v>
      </c>
      <c r="AN996" s="6" t="s">
        <v>66</v>
      </c>
      <c r="AO996" s="185" t="s">
        <v>79</v>
      </c>
      <c r="AP996" s="6" t="s">
        <v>96</v>
      </c>
      <c r="AQ996" s="185" t="s">
        <v>109</v>
      </c>
      <c r="AR996" s="185" t="s">
        <v>120</v>
      </c>
      <c r="AS996" s="18" t="s">
        <v>267</v>
      </c>
      <c r="AT996" s="18"/>
      <c r="AU996" s="6"/>
      <c r="AV996" s="18">
        <f>+VLOOKUP(AN996,Leyenda!$B$30:$E$34,3,FALSE)</f>
        <v>1</v>
      </c>
      <c r="AW996" s="18">
        <f>+VLOOKUP('2. Logging Brejo Seco'!AO996,Meteorizacion,3,FALSE)</f>
        <v>1</v>
      </c>
      <c r="AX996" s="18">
        <f>+VLOOKUP('2. Logging Brejo Seco'!AP996,Apertura,3,FALSE)</f>
        <v>1</v>
      </c>
      <c r="AY996" s="18">
        <f>+VLOOKUP('2. Logging Brejo Seco'!AQ996,Leyenda!$B$55:$D$59,3,FALSE)</f>
        <v>1</v>
      </c>
      <c r="AZ996" s="18">
        <f>+VLOOKUP('2. Logging Brejo Seco'!AR996,Relleno,3,FALSE)</f>
        <v>2</v>
      </c>
      <c r="BA996" s="18">
        <f t="shared" si="382"/>
        <v>6</v>
      </c>
      <c r="BB996" s="49">
        <f t="shared" si="383"/>
        <v>6</v>
      </c>
      <c r="BC996" s="49">
        <f>VLOOKUP(AH996,Leyenda!$B$4:$D$10,3,FALSE)</f>
        <v>2</v>
      </c>
      <c r="BD996" s="49">
        <f t="shared" si="384"/>
        <v>6</v>
      </c>
      <c r="BE996" s="49">
        <f t="shared" si="385"/>
        <v>6</v>
      </c>
      <c r="BF996" s="49">
        <f>VLOOKUP(AS996,Leyenda!$B$70:$D$75,3,FALSE)</f>
        <v>15</v>
      </c>
      <c r="BG996" s="67">
        <f t="shared" si="386"/>
        <v>23</v>
      </c>
      <c r="BH996" s="67">
        <f>VLOOKUP(AG996,Leyenda!$B$4:$E$10,4,FALSE)</f>
        <v>2</v>
      </c>
      <c r="BI996" s="67">
        <f t="shared" si="387"/>
        <v>6</v>
      </c>
      <c r="BJ996" s="67">
        <f t="shared" si="388"/>
        <v>6</v>
      </c>
      <c r="BK996" s="67">
        <f>+VLOOKUP('2. Logging Brejo Seco'!AP996,Leyenda!$B$47:$E$51,4,FALSE)</f>
        <v>1</v>
      </c>
      <c r="BL996" s="67">
        <f>+VLOOKUP('2. Logging Brejo Seco'!AQ996,Leyenda!$B$55:$E$59,4,FALSE)</f>
        <v>1</v>
      </c>
      <c r="BM996" s="67">
        <f>+VLOOKUP('2. Logging Brejo Seco'!AR996,Leyenda!$B$63:$E$67,3,FALSE)</f>
        <v>2</v>
      </c>
      <c r="BN996" s="67">
        <f>+VLOOKUP('2. Logging Brejo Seco'!AO996,Leyenda!$B$39:$E$43,4,FALSE)</f>
        <v>1</v>
      </c>
      <c r="BO996" s="67">
        <f>+VLOOKUP('2. Logging Brejo Seco'!AN996,Leyenda!$B$30:$E$34,4,FALSE)</f>
        <v>1</v>
      </c>
      <c r="BP996" s="67">
        <f>VLOOKUP(AS996,Leyenda!$B$71:$E$75,4,FALSE)</f>
        <v>10</v>
      </c>
      <c r="BQ996" s="67">
        <f t="shared" si="389"/>
        <v>30</v>
      </c>
      <c r="BR996" s="18">
        <f t="shared" si="390"/>
        <v>35</v>
      </c>
      <c r="BS996" s="240">
        <f t="shared" si="393"/>
        <v>0.12</v>
      </c>
      <c r="BT996" s="6"/>
    </row>
    <row r="997" spans="1:72" x14ac:dyDescent="0.25">
      <c r="A997" s="18" t="s">
        <v>6</v>
      </c>
      <c r="B997" s="18">
        <v>2024</v>
      </c>
      <c r="C997" s="18" t="s">
        <v>138</v>
      </c>
      <c r="D997" s="18" t="s">
        <v>664</v>
      </c>
      <c r="E997" s="3">
        <v>20</v>
      </c>
      <c r="F997" s="191">
        <v>20</v>
      </c>
      <c r="G997" s="18" t="s">
        <v>156</v>
      </c>
      <c r="H997" s="3">
        <v>11</v>
      </c>
      <c r="I997" s="3" t="s">
        <v>765</v>
      </c>
      <c r="J997" s="3"/>
      <c r="K997" s="18">
        <f t="shared" si="398"/>
        <v>16.8</v>
      </c>
      <c r="L997" s="18">
        <v>17.899999999999999</v>
      </c>
      <c r="M997" s="4">
        <f t="shared" si="395"/>
        <v>1.0999999999999979</v>
      </c>
      <c r="N997" s="113">
        <f t="shared" si="397"/>
        <v>0.85454545454545627</v>
      </c>
      <c r="O997" s="5">
        <f t="shared" si="379"/>
        <v>0.14545454545454373</v>
      </c>
      <c r="P997" s="3">
        <f>0.17+0.77</f>
        <v>0.94000000000000006</v>
      </c>
      <c r="Q997" s="6"/>
      <c r="R997" s="6"/>
      <c r="S997" s="6"/>
      <c r="T997" s="6">
        <v>0.94</v>
      </c>
      <c r="U997" s="6">
        <f>0.12+0.17</f>
        <v>0.29000000000000004</v>
      </c>
      <c r="V997" s="4">
        <f t="shared" si="392"/>
        <v>26.363636363636417</v>
      </c>
      <c r="W997" s="6"/>
      <c r="X997" s="6"/>
      <c r="Y997" s="6">
        <v>11</v>
      </c>
      <c r="Z997" s="31">
        <f t="shared" si="394"/>
        <v>99.999999999999815</v>
      </c>
      <c r="AA997" s="6"/>
      <c r="AB997" s="6"/>
      <c r="AC997" s="6"/>
      <c r="AD997" s="6"/>
      <c r="AE997" s="6"/>
      <c r="AF997" s="6"/>
      <c r="AG997" s="3" t="s">
        <v>27</v>
      </c>
      <c r="AH997" s="3" t="s">
        <v>27</v>
      </c>
      <c r="AI997" s="18" t="str">
        <f>+VLOOKUP(AH997,Leyenda!$O$4:$U$10,6,FALSE)</f>
        <v>0,35-0,50</v>
      </c>
      <c r="AJ997" s="18" t="str">
        <f>+VLOOKUP(AG997,Leyenda!$O$4:$U$10,7,FALSE)</f>
        <v>Easy to blast</v>
      </c>
      <c r="AK997" s="18">
        <f>+VLOOKUP(AJ997,Leyenda!$U$4:$V$10,2,FALSE)</f>
        <v>3</v>
      </c>
      <c r="AL997" s="3"/>
      <c r="AM997" s="3" t="s">
        <v>27</v>
      </c>
      <c r="AN997" s="6" t="s">
        <v>66</v>
      </c>
      <c r="AO997" s="185" t="s">
        <v>79</v>
      </c>
      <c r="AP997" s="6" t="s">
        <v>96</v>
      </c>
      <c r="AQ997" s="185" t="s">
        <v>109</v>
      </c>
      <c r="AR997" s="185" t="s">
        <v>120</v>
      </c>
      <c r="AS997" s="18" t="s">
        <v>267</v>
      </c>
      <c r="AT997" s="18"/>
      <c r="AU997" s="6"/>
      <c r="AV997" s="18">
        <f>+VLOOKUP(AN997,Leyenda!$B$30:$E$34,3,FALSE)</f>
        <v>1</v>
      </c>
      <c r="AW997" s="18">
        <f>+VLOOKUP('2. Logging Brejo Seco'!AO997,Meteorizacion,3,FALSE)</f>
        <v>1</v>
      </c>
      <c r="AX997" s="18">
        <f>+VLOOKUP('2. Logging Brejo Seco'!AP997,Apertura,3,FALSE)</f>
        <v>1</v>
      </c>
      <c r="AY997" s="18">
        <f>+VLOOKUP('2. Logging Brejo Seco'!AQ997,Leyenda!$B$55:$D$59,3,FALSE)</f>
        <v>1</v>
      </c>
      <c r="AZ997" s="18">
        <f>+VLOOKUP('2. Logging Brejo Seco'!AR997,Relleno,3,FALSE)</f>
        <v>2</v>
      </c>
      <c r="BA997" s="18">
        <f t="shared" si="382"/>
        <v>6</v>
      </c>
      <c r="BB997" s="49">
        <f t="shared" si="383"/>
        <v>6</v>
      </c>
      <c r="BC997" s="49">
        <f>VLOOKUP(AH997,Leyenda!$B$4:$D$10,3,FALSE)</f>
        <v>4</v>
      </c>
      <c r="BD997" s="49">
        <f t="shared" si="384"/>
        <v>7</v>
      </c>
      <c r="BE997" s="49">
        <f t="shared" si="385"/>
        <v>6</v>
      </c>
      <c r="BF997" s="49">
        <f>VLOOKUP(AS997,Leyenda!$B$70:$D$75,3,FALSE)</f>
        <v>15</v>
      </c>
      <c r="BG997" s="67">
        <f t="shared" si="386"/>
        <v>22.181818181818208</v>
      </c>
      <c r="BH997" s="67">
        <f>VLOOKUP(AG997,Leyenda!$B$4:$E$10,4,FALSE)</f>
        <v>4</v>
      </c>
      <c r="BI997" s="67">
        <f t="shared" si="387"/>
        <v>8</v>
      </c>
      <c r="BJ997" s="67">
        <f t="shared" si="388"/>
        <v>6</v>
      </c>
      <c r="BK997" s="67">
        <f>+VLOOKUP('2. Logging Brejo Seco'!AP997,Leyenda!$B$47:$E$51,4,FALSE)</f>
        <v>1</v>
      </c>
      <c r="BL997" s="67">
        <f>+VLOOKUP('2. Logging Brejo Seco'!AQ997,Leyenda!$B$55:$E$59,4,FALSE)</f>
        <v>1</v>
      </c>
      <c r="BM997" s="67">
        <f>+VLOOKUP('2. Logging Brejo Seco'!AR997,Leyenda!$B$63:$E$67,3,FALSE)</f>
        <v>2</v>
      </c>
      <c r="BN997" s="67">
        <f>+VLOOKUP('2. Logging Brejo Seco'!AO997,Leyenda!$B$39:$E$43,4,FALSE)</f>
        <v>1</v>
      </c>
      <c r="BO997" s="67">
        <f>+VLOOKUP('2. Logging Brejo Seco'!AN997,Leyenda!$B$30:$E$34,4,FALSE)</f>
        <v>1</v>
      </c>
      <c r="BP997" s="67">
        <f>VLOOKUP(AS997,Leyenda!$B$71:$E$75,4,FALSE)</f>
        <v>10</v>
      </c>
      <c r="BQ997" s="67">
        <f t="shared" si="389"/>
        <v>34</v>
      </c>
      <c r="BR997" s="18">
        <f t="shared" si="390"/>
        <v>38</v>
      </c>
      <c r="BS997" s="240">
        <f t="shared" si="393"/>
        <v>0.14545454545454373</v>
      </c>
      <c r="BT997" s="6"/>
    </row>
    <row r="998" spans="1:72" x14ac:dyDescent="0.25">
      <c r="A998" s="18" t="s">
        <v>6</v>
      </c>
      <c r="B998" s="18">
        <v>2024</v>
      </c>
      <c r="C998" s="18" t="s">
        <v>138</v>
      </c>
      <c r="D998" s="18" t="s">
        <v>664</v>
      </c>
      <c r="E998" s="3">
        <v>20</v>
      </c>
      <c r="F998" s="191">
        <v>20</v>
      </c>
      <c r="G998" s="18" t="s">
        <v>156</v>
      </c>
      <c r="H998" s="3">
        <v>11</v>
      </c>
      <c r="I998" s="3" t="s">
        <v>765</v>
      </c>
      <c r="J998" s="3"/>
      <c r="K998" s="18">
        <f t="shared" si="398"/>
        <v>17.899999999999999</v>
      </c>
      <c r="L998" s="18">
        <v>18.350000000000001</v>
      </c>
      <c r="M998" s="4">
        <f t="shared" si="395"/>
        <v>0.45000000000000284</v>
      </c>
      <c r="N998" s="113">
        <f t="shared" si="397"/>
        <v>0.82222222222221697</v>
      </c>
      <c r="O998" s="5">
        <f t="shared" si="379"/>
        <v>0.17777777777778303</v>
      </c>
      <c r="P998" s="3">
        <v>0.37</v>
      </c>
      <c r="Q998" s="6"/>
      <c r="R998" s="6"/>
      <c r="S998" s="6"/>
      <c r="T998" s="6">
        <v>0.37</v>
      </c>
      <c r="U998" s="6">
        <v>0</v>
      </c>
      <c r="V998" s="4">
        <f t="shared" si="392"/>
        <v>0</v>
      </c>
      <c r="W998" s="6"/>
      <c r="X998" s="6"/>
      <c r="Y998" s="6">
        <f>7+10</f>
        <v>17</v>
      </c>
      <c r="Z998" s="31">
        <f t="shared" si="394"/>
        <v>26.470588235294287</v>
      </c>
      <c r="AA998" s="6"/>
      <c r="AB998" s="6"/>
      <c r="AC998" s="6"/>
      <c r="AD998" s="6"/>
      <c r="AE998" s="6"/>
      <c r="AF998" s="6"/>
      <c r="AG998" s="3" t="s">
        <v>29</v>
      </c>
      <c r="AH998" s="3" t="s">
        <v>29</v>
      </c>
      <c r="AI998" s="18" t="str">
        <f>+VLOOKUP(AH998,Leyenda!$O$4:$U$10,6,FALSE)</f>
        <v>0,25-0,35</v>
      </c>
      <c r="AJ998" s="18" t="str">
        <f>+VLOOKUP(AG998,Leyenda!$O$4:$U$10,7,FALSE)</f>
        <v>No Blasting need</v>
      </c>
      <c r="AK998" s="18">
        <f>+VLOOKUP(AJ998,Leyenda!$U$4:$V$10,2,FALSE)</f>
        <v>2</v>
      </c>
      <c r="AL998" s="3"/>
      <c r="AM998" s="3" t="s">
        <v>29</v>
      </c>
      <c r="AN998" s="6" t="s">
        <v>66</v>
      </c>
      <c r="AO998" s="185" t="s">
        <v>79</v>
      </c>
      <c r="AP998" s="6" t="s">
        <v>96</v>
      </c>
      <c r="AQ998" s="185" t="s">
        <v>109</v>
      </c>
      <c r="AR998" s="185" t="s">
        <v>120</v>
      </c>
      <c r="AS998" s="18" t="s">
        <v>267</v>
      </c>
      <c r="AT998" s="18"/>
      <c r="AU998" s="6"/>
      <c r="AV998" s="18">
        <f>+VLOOKUP(AN998,Leyenda!$B$30:$E$34,3,FALSE)</f>
        <v>1</v>
      </c>
      <c r="AW998" s="18">
        <f>+VLOOKUP('2. Logging Brejo Seco'!AO998,Meteorizacion,3,FALSE)</f>
        <v>1</v>
      </c>
      <c r="AX998" s="18">
        <f>+VLOOKUP('2. Logging Brejo Seco'!AP998,Apertura,3,FALSE)</f>
        <v>1</v>
      </c>
      <c r="AY998" s="18">
        <f>+VLOOKUP('2. Logging Brejo Seco'!AQ998,Leyenda!$B$55:$D$59,3,FALSE)</f>
        <v>1</v>
      </c>
      <c r="AZ998" s="18">
        <f>+VLOOKUP('2. Logging Brejo Seco'!AR998,Relleno,3,FALSE)</f>
        <v>2</v>
      </c>
      <c r="BA998" s="18">
        <f t="shared" si="382"/>
        <v>6</v>
      </c>
      <c r="BB998" s="49">
        <f t="shared" si="383"/>
        <v>0</v>
      </c>
      <c r="BC998" s="49">
        <f>VLOOKUP(AH998,Leyenda!$B$4:$D$10,3,FALSE)</f>
        <v>2</v>
      </c>
      <c r="BD998" s="49">
        <f t="shared" si="384"/>
        <v>5</v>
      </c>
      <c r="BE998" s="49">
        <f t="shared" si="385"/>
        <v>6</v>
      </c>
      <c r="BF998" s="49">
        <f>VLOOKUP(AS998,Leyenda!$B$70:$D$75,3,FALSE)</f>
        <v>15</v>
      </c>
      <c r="BG998" s="67">
        <f t="shared" si="386"/>
        <v>9</v>
      </c>
      <c r="BH998" s="67">
        <f>VLOOKUP(AG998,Leyenda!$B$4:$E$10,4,FALSE)</f>
        <v>2</v>
      </c>
      <c r="BI998" s="67">
        <f t="shared" si="387"/>
        <v>5</v>
      </c>
      <c r="BJ998" s="67">
        <f t="shared" si="388"/>
        <v>0</v>
      </c>
      <c r="BK998" s="67">
        <f>+VLOOKUP('2. Logging Brejo Seco'!AP998,Leyenda!$B$47:$E$51,4,FALSE)</f>
        <v>1</v>
      </c>
      <c r="BL998" s="67">
        <f>+VLOOKUP('2. Logging Brejo Seco'!AQ998,Leyenda!$B$55:$E$59,4,FALSE)</f>
        <v>1</v>
      </c>
      <c r="BM998" s="67">
        <f>+VLOOKUP('2. Logging Brejo Seco'!AR998,Leyenda!$B$63:$E$67,3,FALSE)</f>
        <v>2</v>
      </c>
      <c r="BN998" s="67">
        <f>+VLOOKUP('2. Logging Brejo Seco'!AO998,Leyenda!$B$39:$E$43,4,FALSE)</f>
        <v>1</v>
      </c>
      <c r="BO998" s="67">
        <f>+VLOOKUP('2. Logging Brejo Seco'!AN998,Leyenda!$B$30:$E$34,4,FALSE)</f>
        <v>1</v>
      </c>
      <c r="BP998" s="67">
        <f>VLOOKUP(AS998,Leyenda!$B$71:$E$75,4,FALSE)</f>
        <v>10</v>
      </c>
      <c r="BQ998" s="67">
        <f t="shared" si="389"/>
        <v>23</v>
      </c>
      <c r="BR998" s="18">
        <f t="shared" si="390"/>
        <v>28</v>
      </c>
      <c r="BS998" s="240">
        <f t="shared" si="393"/>
        <v>0.17777777777778303</v>
      </c>
      <c r="BT998" s="6"/>
    </row>
    <row r="999" spans="1:72" x14ac:dyDescent="0.25">
      <c r="A999" s="18" t="s">
        <v>6</v>
      </c>
      <c r="B999" s="18">
        <v>2024</v>
      </c>
      <c r="C999" s="18" t="s">
        <v>138</v>
      </c>
      <c r="D999" s="18" t="s">
        <v>664</v>
      </c>
      <c r="E999" s="3">
        <v>20</v>
      </c>
      <c r="F999" s="191">
        <v>20</v>
      </c>
      <c r="G999" s="18" t="s">
        <v>156</v>
      </c>
      <c r="H999" s="3">
        <v>11</v>
      </c>
      <c r="I999" s="3" t="s">
        <v>765</v>
      </c>
      <c r="J999" s="3"/>
      <c r="K999" s="18">
        <f t="shared" si="398"/>
        <v>18.350000000000001</v>
      </c>
      <c r="L999" s="18">
        <v>19.05</v>
      </c>
      <c r="M999" s="4">
        <f t="shared" si="395"/>
        <v>0.69999999999999929</v>
      </c>
      <c r="N999" s="113">
        <f t="shared" si="397"/>
        <v>0.90000000000000091</v>
      </c>
      <c r="O999" s="5">
        <f t="shared" si="379"/>
        <v>9.999999999999909E-2</v>
      </c>
      <c r="P999" s="3">
        <v>0.63</v>
      </c>
      <c r="Q999" s="6"/>
      <c r="R999" s="6"/>
      <c r="S999" s="6"/>
      <c r="T999" s="6">
        <v>0.63</v>
      </c>
      <c r="U999" s="6">
        <v>0.1</v>
      </c>
      <c r="V999" s="4">
        <f t="shared" si="392"/>
        <v>14.285714285714302</v>
      </c>
      <c r="W999" s="6"/>
      <c r="X999" s="6"/>
      <c r="Y999" s="6">
        <f>4+5</f>
        <v>9</v>
      </c>
      <c r="Z999" s="31">
        <f t="shared" si="394"/>
        <v>77.7777777777777</v>
      </c>
      <c r="AA999" s="6"/>
      <c r="AB999" s="6"/>
      <c r="AC999" s="6"/>
      <c r="AD999" s="6"/>
      <c r="AE999" s="6"/>
      <c r="AF999" s="6"/>
      <c r="AG999" s="3" t="s">
        <v>29</v>
      </c>
      <c r="AH999" s="3" t="s">
        <v>29</v>
      </c>
      <c r="AI999" s="18" t="str">
        <f>+VLOOKUP(AH999,Leyenda!$O$4:$U$10,6,FALSE)</f>
        <v>0,25-0,35</v>
      </c>
      <c r="AJ999" s="18" t="str">
        <f>+VLOOKUP(AG999,Leyenda!$O$4:$U$10,7,FALSE)</f>
        <v>No Blasting need</v>
      </c>
      <c r="AK999" s="18">
        <f>+VLOOKUP(AJ999,Leyenda!$U$4:$V$10,2,FALSE)</f>
        <v>2</v>
      </c>
      <c r="AL999" s="3"/>
      <c r="AM999" s="3" t="s">
        <v>29</v>
      </c>
      <c r="AN999" s="6" t="s">
        <v>66</v>
      </c>
      <c r="AO999" s="185" t="s">
        <v>79</v>
      </c>
      <c r="AP999" s="6" t="s">
        <v>96</v>
      </c>
      <c r="AQ999" s="185" t="s">
        <v>109</v>
      </c>
      <c r="AR999" s="185" t="s">
        <v>120</v>
      </c>
      <c r="AS999" s="18" t="s">
        <v>267</v>
      </c>
      <c r="AT999" s="18"/>
      <c r="AU999" s="6"/>
      <c r="AV999" s="18">
        <f>+VLOOKUP(AN999,Leyenda!$B$30:$E$34,3,FALSE)</f>
        <v>1</v>
      </c>
      <c r="AW999" s="18">
        <f>+VLOOKUP('2. Logging Brejo Seco'!AO999,Meteorizacion,3,FALSE)</f>
        <v>1</v>
      </c>
      <c r="AX999" s="18">
        <f>+VLOOKUP('2. Logging Brejo Seco'!AP999,Apertura,3,FALSE)</f>
        <v>1</v>
      </c>
      <c r="AY999" s="18">
        <f>+VLOOKUP('2. Logging Brejo Seco'!AQ999,Leyenda!$B$55:$D$59,3,FALSE)</f>
        <v>1</v>
      </c>
      <c r="AZ999" s="18">
        <f>+VLOOKUP('2. Logging Brejo Seco'!AR999,Relleno,3,FALSE)</f>
        <v>2</v>
      </c>
      <c r="BA999" s="18">
        <f t="shared" si="382"/>
        <v>6</v>
      </c>
      <c r="BB999" s="49">
        <f t="shared" si="383"/>
        <v>3</v>
      </c>
      <c r="BC999" s="49">
        <f>VLOOKUP(AH999,Leyenda!$B$4:$D$10,3,FALSE)</f>
        <v>2</v>
      </c>
      <c r="BD999" s="49">
        <f t="shared" si="384"/>
        <v>7</v>
      </c>
      <c r="BE999" s="49">
        <f t="shared" si="385"/>
        <v>6</v>
      </c>
      <c r="BF999" s="49">
        <f>VLOOKUP(AS999,Leyenda!$B$70:$D$75,3,FALSE)</f>
        <v>15</v>
      </c>
      <c r="BG999" s="67">
        <f t="shared" si="386"/>
        <v>16.142857142857153</v>
      </c>
      <c r="BH999" s="67">
        <f>VLOOKUP(AG999,Leyenda!$B$4:$E$10,4,FALSE)</f>
        <v>2</v>
      </c>
      <c r="BI999" s="67">
        <f t="shared" si="387"/>
        <v>7</v>
      </c>
      <c r="BJ999" s="67">
        <f t="shared" si="388"/>
        <v>3</v>
      </c>
      <c r="BK999" s="67">
        <f>+VLOOKUP('2. Logging Brejo Seco'!AP999,Leyenda!$B$47:$E$51,4,FALSE)</f>
        <v>1</v>
      </c>
      <c r="BL999" s="67">
        <f>+VLOOKUP('2. Logging Brejo Seco'!AQ999,Leyenda!$B$55:$E$59,4,FALSE)</f>
        <v>1</v>
      </c>
      <c r="BM999" s="67">
        <f>+VLOOKUP('2. Logging Brejo Seco'!AR999,Leyenda!$B$63:$E$67,3,FALSE)</f>
        <v>2</v>
      </c>
      <c r="BN999" s="67">
        <f>+VLOOKUP('2. Logging Brejo Seco'!AO999,Leyenda!$B$39:$E$43,4,FALSE)</f>
        <v>1</v>
      </c>
      <c r="BO999" s="67">
        <f>+VLOOKUP('2. Logging Brejo Seco'!AN999,Leyenda!$B$30:$E$34,4,FALSE)</f>
        <v>1</v>
      </c>
      <c r="BP999" s="67">
        <f>VLOOKUP(AS999,Leyenda!$B$71:$E$75,4,FALSE)</f>
        <v>10</v>
      </c>
      <c r="BQ999" s="67">
        <f t="shared" si="389"/>
        <v>28</v>
      </c>
      <c r="BR999" s="18">
        <f t="shared" si="390"/>
        <v>33</v>
      </c>
      <c r="BS999" s="240">
        <f t="shared" si="393"/>
        <v>9.999999999999909E-2</v>
      </c>
      <c r="BT999" s="6"/>
    </row>
    <row r="1000" spans="1:72" x14ac:dyDescent="0.25">
      <c r="A1000" s="18" t="s">
        <v>6</v>
      </c>
      <c r="B1000" s="18">
        <v>2024</v>
      </c>
      <c r="C1000" s="18" t="s">
        <v>138</v>
      </c>
      <c r="D1000" s="18" t="s">
        <v>664</v>
      </c>
      <c r="E1000" s="3">
        <v>20</v>
      </c>
      <c r="F1000" s="191">
        <v>20</v>
      </c>
      <c r="G1000" s="18" t="s">
        <v>156</v>
      </c>
      <c r="H1000" s="244">
        <f>+F1000</f>
        <v>20</v>
      </c>
      <c r="I1000" s="244" t="s">
        <v>760</v>
      </c>
      <c r="J1000" s="244"/>
      <c r="K1000" s="18">
        <f t="shared" si="398"/>
        <v>19.05</v>
      </c>
      <c r="L1000" s="18">
        <v>20.05</v>
      </c>
      <c r="M1000" s="4">
        <f t="shared" si="395"/>
        <v>1</v>
      </c>
      <c r="N1000" s="113">
        <f t="shared" si="397"/>
        <v>0.95</v>
      </c>
      <c r="O1000" s="5">
        <f t="shared" si="379"/>
        <v>5.0000000000000044E-2</v>
      </c>
      <c r="P1000" s="3">
        <v>0.95</v>
      </c>
      <c r="Q1000" s="6"/>
      <c r="R1000" s="6"/>
      <c r="S1000" s="6"/>
      <c r="T1000" s="6">
        <v>0.95</v>
      </c>
      <c r="U1000" s="6">
        <v>0</v>
      </c>
      <c r="V1000" s="4">
        <f t="shared" si="392"/>
        <v>0</v>
      </c>
      <c r="W1000" s="6"/>
      <c r="X1000" s="6"/>
      <c r="Y1000" s="6">
        <v>13</v>
      </c>
      <c r="Z1000" s="31">
        <f t="shared" si="394"/>
        <v>76.92307692307692</v>
      </c>
      <c r="AA1000" s="6"/>
      <c r="AB1000" s="6"/>
      <c r="AC1000" s="6"/>
      <c r="AD1000" s="6"/>
      <c r="AE1000" s="6"/>
      <c r="AF1000" s="6"/>
      <c r="AG1000" s="3" t="s">
        <v>29</v>
      </c>
      <c r="AH1000" s="3" t="s">
        <v>29</v>
      </c>
      <c r="AI1000" s="18" t="str">
        <f>+VLOOKUP(AH1000,Leyenda!$O$4:$U$10,6,FALSE)</f>
        <v>0,25-0,35</v>
      </c>
      <c r="AJ1000" s="18" t="str">
        <f>+VLOOKUP(AG1000,Leyenda!$O$4:$U$10,7,FALSE)</f>
        <v>No Blasting need</v>
      </c>
      <c r="AK1000" s="18">
        <f>+VLOOKUP(AJ1000,Leyenda!$U$4:$V$10,2,FALSE)</f>
        <v>2</v>
      </c>
      <c r="AL1000" s="3"/>
      <c r="AM1000" s="3" t="s">
        <v>29</v>
      </c>
      <c r="AN1000" s="6" t="s">
        <v>66</v>
      </c>
      <c r="AO1000" s="185" t="s">
        <v>79</v>
      </c>
      <c r="AP1000" s="6" t="s">
        <v>96</v>
      </c>
      <c r="AQ1000" s="185" t="s">
        <v>109</v>
      </c>
      <c r="AR1000" s="185" t="s">
        <v>120</v>
      </c>
      <c r="AS1000" s="18" t="s">
        <v>267</v>
      </c>
      <c r="AT1000" s="18"/>
      <c r="AU1000" s="6"/>
      <c r="AV1000" s="18">
        <f>+VLOOKUP(AN1000,Leyenda!$B$30:$E$34,3,FALSE)</f>
        <v>1</v>
      </c>
      <c r="AW1000" s="18">
        <f>+VLOOKUP('2. Logging Brejo Seco'!AO1000,Meteorizacion,3,FALSE)</f>
        <v>1</v>
      </c>
      <c r="AX1000" s="18">
        <f>+VLOOKUP('2. Logging Brejo Seco'!AP1000,Apertura,3,FALSE)</f>
        <v>1</v>
      </c>
      <c r="AY1000" s="18">
        <f>+VLOOKUP('2. Logging Brejo Seco'!AQ1000,Leyenda!$B$55:$D$59,3,FALSE)</f>
        <v>1</v>
      </c>
      <c r="AZ1000" s="18">
        <f>+VLOOKUP('2. Logging Brejo Seco'!AR1000,Relleno,3,FALSE)</f>
        <v>2</v>
      </c>
      <c r="BA1000" s="18">
        <f t="shared" si="382"/>
        <v>6</v>
      </c>
      <c r="BB1000" s="49">
        <f t="shared" si="383"/>
        <v>0</v>
      </c>
      <c r="BC1000" s="49">
        <f>VLOOKUP(AH1000,Leyenda!$B$4:$D$10,3,FALSE)</f>
        <v>2</v>
      </c>
      <c r="BD1000" s="49">
        <f t="shared" si="384"/>
        <v>7</v>
      </c>
      <c r="BE1000" s="49">
        <f t="shared" si="385"/>
        <v>6</v>
      </c>
      <c r="BF1000" s="49">
        <f>VLOOKUP(AS1000,Leyenda!$B$70:$D$75,3,FALSE)</f>
        <v>15</v>
      </c>
      <c r="BG1000" s="67">
        <f t="shared" si="386"/>
        <v>9</v>
      </c>
      <c r="BH1000" s="67">
        <f>VLOOKUP(AG1000,Leyenda!$B$4:$E$10,4,FALSE)</f>
        <v>2</v>
      </c>
      <c r="BI1000" s="67">
        <f t="shared" si="387"/>
        <v>7</v>
      </c>
      <c r="BJ1000" s="67">
        <f t="shared" si="388"/>
        <v>0</v>
      </c>
      <c r="BK1000" s="67">
        <f>+VLOOKUP('2. Logging Brejo Seco'!AP1000,Leyenda!$B$47:$E$51,4,FALSE)</f>
        <v>1</v>
      </c>
      <c r="BL1000" s="67">
        <f>+VLOOKUP('2. Logging Brejo Seco'!AQ1000,Leyenda!$B$55:$E$59,4,FALSE)</f>
        <v>1</v>
      </c>
      <c r="BM1000" s="67">
        <f>+VLOOKUP('2. Logging Brejo Seco'!AR1000,Leyenda!$B$63:$E$67,3,FALSE)</f>
        <v>2</v>
      </c>
      <c r="BN1000" s="67">
        <f>+VLOOKUP('2. Logging Brejo Seco'!AO1000,Leyenda!$B$39:$E$43,4,FALSE)</f>
        <v>1</v>
      </c>
      <c r="BO1000" s="67">
        <f>+VLOOKUP('2. Logging Brejo Seco'!AN1000,Leyenda!$B$30:$E$34,4,FALSE)</f>
        <v>1</v>
      </c>
      <c r="BP1000" s="67">
        <f>VLOOKUP(AS1000,Leyenda!$B$71:$E$75,4,FALSE)</f>
        <v>10</v>
      </c>
      <c r="BQ1000" s="67">
        <f t="shared" si="389"/>
        <v>25</v>
      </c>
      <c r="BR1000" s="18">
        <f t="shared" si="390"/>
        <v>30</v>
      </c>
      <c r="BS1000" s="240">
        <f t="shared" si="393"/>
        <v>5.0000000000000044E-2</v>
      </c>
      <c r="BT1000" s="6"/>
    </row>
    <row r="1001" spans="1:72" x14ac:dyDescent="0.25">
      <c r="A1001" s="18" t="s">
        <v>6</v>
      </c>
      <c r="B1001" s="18">
        <v>2024</v>
      </c>
      <c r="C1001" s="18" t="s">
        <v>138</v>
      </c>
      <c r="D1001" s="18" t="s">
        <v>664</v>
      </c>
      <c r="E1001" s="3">
        <v>20</v>
      </c>
      <c r="F1001" s="191">
        <v>20</v>
      </c>
      <c r="G1001" s="18" t="s">
        <v>156</v>
      </c>
      <c r="H1001" s="244">
        <f t="shared" ref="H1001:H1005" si="400">+F1001</f>
        <v>20</v>
      </c>
      <c r="I1001" s="244" t="s">
        <v>760</v>
      </c>
      <c r="J1001" s="244"/>
      <c r="K1001" s="18">
        <f t="shared" si="398"/>
        <v>20.05</v>
      </c>
      <c r="L1001" s="18">
        <v>20.85</v>
      </c>
      <c r="M1001" s="4">
        <f t="shared" si="395"/>
        <v>0.80000000000000071</v>
      </c>
      <c r="N1001" s="113">
        <f t="shared" si="397"/>
        <v>0.94999999999999918</v>
      </c>
      <c r="O1001" s="5">
        <f t="shared" si="379"/>
        <v>5.0000000000000822E-2</v>
      </c>
      <c r="P1001" s="3">
        <v>0.76</v>
      </c>
      <c r="Q1001" s="6"/>
      <c r="R1001" s="6"/>
      <c r="S1001" s="6"/>
      <c r="T1001" s="6">
        <v>0.76</v>
      </c>
      <c r="U1001" s="6">
        <v>0</v>
      </c>
      <c r="V1001" s="4">
        <f t="shared" si="392"/>
        <v>0</v>
      </c>
      <c r="W1001" s="6"/>
      <c r="X1001" s="6"/>
      <c r="Y1001" s="6">
        <v>13</v>
      </c>
      <c r="Z1001" s="31">
        <f t="shared" si="394"/>
        <v>61.53846153846159</v>
      </c>
      <c r="AA1001" s="6"/>
      <c r="AB1001" s="6"/>
      <c r="AC1001" s="6"/>
      <c r="AD1001" s="6"/>
      <c r="AE1001" s="6"/>
      <c r="AF1001" s="6"/>
      <c r="AG1001" s="3" t="s">
        <v>29</v>
      </c>
      <c r="AH1001" s="3" t="s">
        <v>29</v>
      </c>
      <c r="AI1001" s="18" t="str">
        <f>+VLOOKUP(AH1001,Leyenda!$O$4:$U$10,6,FALSE)</f>
        <v>0,25-0,35</v>
      </c>
      <c r="AJ1001" s="18" t="str">
        <f>+VLOOKUP(AG1001,Leyenda!$O$4:$U$10,7,FALSE)</f>
        <v>No Blasting need</v>
      </c>
      <c r="AK1001" s="18">
        <f>+VLOOKUP(AJ1001,Leyenda!$U$4:$V$10,2,FALSE)</f>
        <v>2</v>
      </c>
      <c r="AL1001" s="3"/>
      <c r="AM1001" s="3" t="s">
        <v>29</v>
      </c>
      <c r="AN1001" s="6" t="s">
        <v>66</v>
      </c>
      <c r="AO1001" s="185" t="s">
        <v>79</v>
      </c>
      <c r="AP1001" s="6" t="s">
        <v>96</v>
      </c>
      <c r="AQ1001" s="185" t="s">
        <v>109</v>
      </c>
      <c r="AR1001" s="185" t="s">
        <v>120</v>
      </c>
      <c r="AS1001" s="18" t="s">
        <v>267</v>
      </c>
      <c r="AT1001" s="18"/>
      <c r="AU1001" s="6"/>
      <c r="AV1001" s="18">
        <f>+VLOOKUP(AN1001,Leyenda!$B$30:$E$34,3,FALSE)</f>
        <v>1</v>
      </c>
      <c r="AW1001" s="18">
        <f>+VLOOKUP('2. Logging Brejo Seco'!AO1001,Meteorizacion,3,FALSE)</f>
        <v>1</v>
      </c>
      <c r="AX1001" s="18">
        <f>+VLOOKUP('2. Logging Brejo Seco'!AP1001,Apertura,3,FALSE)</f>
        <v>1</v>
      </c>
      <c r="AY1001" s="18">
        <f>+VLOOKUP('2. Logging Brejo Seco'!AQ1001,Leyenda!$B$55:$D$59,3,FALSE)</f>
        <v>1</v>
      </c>
      <c r="AZ1001" s="18">
        <f>+VLOOKUP('2. Logging Brejo Seco'!AR1001,Relleno,3,FALSE)</f>
        <v>2</v>
      </c>
      <c r="BA1001" s="18">
        <f t="shared" si="382"/>
        <v>6</v>
      </c>
      <c r="BB1001" s="49">
        <f t="shared" si="383"/>
        <v>0</v>
      </c>
      <c r="BC1001" s="49">
        <f>VLOOKUP(AH1001,Leyenda!$B$4:$D$10,3,FALSE)</f>
        <v>2</v>
      </c>
      <c r="BD1001" s="49">
        <f t="shared" si="384"/>
        <v>6</v>
      </c>
      <c r="BE1001" s="49">
        <f t="shared" si="385"/>
        <v>6</v>
      </c>
      <c r="BF1001" s="49">
        <f>VLOOKUP(AS1001,Leyenda!$B$70:$D$75,3,FALSE)</f>
        <v>15</v>
      </c>
      <c r="BG1001" s="67">
        <f t="shared" si="386"/>
        <v>9</v>
      </c>
      <c r="BH1001" s="67">
        <f>VLOOKUP(AG1001,Leyenda!$B$4:$E$10,4,FALSE)</f>
        <v>2</v>
      </c>
      <c r="BI1001" s="67">
        <f t="shared" si="387"/>
        <v>5</v>
      </c>
      <c r="BJ1001" s="67">
        <f t="shared" si="388"/>
        <v>0</v>
      </c>
      <c r="BK1001" s="67">
        <f>+VLOOKUP('2. Logging Brejo Seco'!AP1001,Leyenda!$B$47:$E$51,4,FALSE)</f>
        <v>1</v>
      </c>
      <c r="BL1001" s="67">
        <f>+VLOOKUP('2. Logging Brejo Seco'!AQ1001,Leyenda!$B$55:$E$59,4,FALSE)</f>
        <v>1</v>
      </c>
      <c r="BM1001" s="67">
        <f>+VLOOKUP('2. Logging Brejo Seco'!AR1001,Leyenda!$B$63:$E$67,3,FALSE)</f>
        <v>2</v>
      </c>
      <c r="BN1001" s="67">
        <f>+VLOOKUP('2. Logging Brejo Seco'!AO1001,Leyenda!$B$39:$E$43,4,FALSE)</f>
        <v>1</v>
      </c>
      <c r="BO1001" s="67">
        <f>+VLOOKUP('2. Logging Brejo Seco'!AN1001,Leyenda!$B$30:$E$34,4,FALSE)</f>
        <v>1</v>
      </c>
      <c r="BP1001" s="67">
        <f>VLOOKUP(AS1001,Leyenda!$B$71:$E$75,4,FALSE)</f>
        <v>10</v>
      </c>
      <c r="BQ1001" s="67">
        <f t="shared" si="389"/>
        <v>23</v>
      </c>
      <c r="BR1001" s="18">
        <f t="shared" si="390"/>
        <v>29</v>
      </c>
      <c r="BS1001" s="240">
        <f t="shared" si="393"/>
        <v>5.0000000000000822E-2</v>
      </c>
      <c r="BT1001" s="6"/>
    </row>
    <row r="1002" spans="1:72" x14ac:dyDescent="0.25">
      <c r="A1002" s="18" t="s">
        <v>6</v>
      </c>
      <c r="B1002" s="18">
        <v>2024</v>
      </c>
      <c r="C1002" s="18" t="s">
        <v>138</v>
      </c>
      <c r="D1002" s="18" t="s">
        <v>664</v>
      </c>
      <c r="E1002" s="3">
        <v>20</v>
      </c>
      <c r="F1002" s="191">
        <v>10</v>
      </c>
      <c r="G1002" s="18" t="s">
        <v>156</v>
      </c>
      <c r="H1002" s="244">
        <f t="shared" si="400"/>
        <v>10</v>
      </c>
      <c r="I1002" s="244" t="s">
        <v>761</v>
      </c>
      <c r="J1002" s="244"/>
      <c r="K1002" s="18">
        <f t="shared" si="398"/>
        <v>20.85</v>
      </c>
      <c r="L1002" s="18">
        <v>21.15</v>
      </c>
      <c r="M1002" s="4">
        <f t="shared" si="395"/>
        <v>0.29999999999999716</v>
      </c>
      <c r="N1002" s="113">
        <f t="shared" si="397"/>
        <v>1.0000000000000093</v>
      </c>
      <c r="O1002" s="5">
        <f t="shared" si="379"/>
        <v>-9.3258734068513149E-15</v>
      </c>
      <c r="P1002" s="3">
        <v>0.3</v>
      </c>
      <c r="Q1002" s="6"/>
      <c r="R1002" s="6"/>
      <c r="S1002" s="6"/>
      <c r="T1002" s="6">
        <v>0.3</v>
      </c>
      <c r="U1002" s="6">
        <v>0.11</v>
      </c>
      <c r="V1002" s="18">
        <f t="shared" si="392"/>
        <v>36.666666666667012</v>
      </c>
      <c r="W1002" s="6"/>
      <c r="X1002" s="6"/>
      <c r="Y1002" s="6">
        <v>6</v>
      </c>
      <c r="Z1002" s="31">
        <f t="shared" si="394"/>
        <v>49.999999999999524</v>
      </c>
      <c r="AA1002" s="6"/>
      <c r="AB1002" s="6"/>
      <c r="AC1002" s="6"/>
      <c r="AD1002" s="6"/>
      <c r="AE1002" s="6"/>
      <c r="AF1002" s="6"/>
      <c r="AG1002" s="3" t="s">
        <v>29</v>
      </c>
      <c r="AH1002" s="3" t="s">
        <v>29</v>
      </c>
      <c r="AI1002" s="18" t="str">
        <f>+VLOOKUP(AH1002,Leyenda!$O$4:$U$10,6,FALSE)</f>
        <v>0,25-0,35</v>
      </c>
      <c r="AJ1002" s="18" t="str">
        <f>+VLOOKUP(AG1002,Leyenda!$O$4:$U$10,7,FALSE)</f>
        <v>No Blasting need</v>
      </c>
      <c r="AK1002" s="18">
        <f>+VLOOKUP(AJ1002,Leyenda!$U$4:$V$10,2,FALSE)</f>
        <v>2</v>
      </c>
      <c r="AL1002" s="3"/>
      <c r="AM1002" s="3" t="s">
        <v>29</v>
      </c>
      <c r="AN1002" s="6" t="s">
        <v>66</v>
      </c>
      <c r="AO1002" s="185" t="s">
        <v>79</v>
      </c>
      <c r="AP1002" s="6" t="s">
        <v>96</v>
      </c>
      <c r="AQ1002" s="185" t="s">
        <v>109</v>
      </c>
      <c r="AR1002" s="185" t="s">
        <v>120</v>
      </c>
      <c r="AS1002" s="18" t="s">
        <v>267</v>
      </c>
      <c r="AT1002" s="18"/>
      <c r="AU1002" s="6"/>
      <c r="AV1002" s="18">
        <f>+VLOOKUP(AN1002,Leyenda!$B$30:$E$34,3,FALSE)</f>
        <v>1</v>
      </c>
      <c r="AW1002" s="18">
        <f>+VLOOKUP('2. Logging Brejo Seco'!AO1002,Meteorizacion,3,FALSE)</f>
        <v>1</v>
      </c>
      <c r="AX1002" s="18">
        <f>+VLOOKUP('2. Logging Brejo Seco'!AP1002,Apertura,3,FALSE)</f>
        <v>1</v>
      </c>
      <c r="AY1002" s="18">
        <f>+VLOOKUP('2. Logging Brejo Seco'!AQ1002,Leyenda!$B$55:$D$59,3,FALSE)</f>
        <v>1</v>
      </c>
      <c r="AZ1002" s="18">
        <f>+VLOOKUP('2. Logging Brejo Seco'!AR1002,Relleno,3,FALSE)</f>
        <v>2</v>
      </c>
      <c r="BA1002" s="18">
        <f t="shared" si="382"/>
        <v>6</v>
      </c>
      <c r="BB1002" s="49">
        <f t="shared" si="383"/>
        <v>8</v>
      </c>
      <c r="BC1002" s="49">
        <f>VLOOKUP(AH1002,Leyenda!$B$4:$D$10,3,FALSE)</f>
        <v>2</v>
      </c>
      <c r="BD1002" s="49">
        <f t="shared" si="384"/>
        <v>6</v>
      </c>
      <c r="BE1002" s="49">
        <f t="shared" si="385"/>
        <v>6</v>
      </c>
      <c r="BF1002" s="49">
        <f>VLOOKUP(AS1002,Leyenda!$B$70:$D$75,3,FALSE)</f>
        <v>15</v>
      </c>
      <c r="BG1002" s="67">
        <f t="shared" si="386"/>
        <v>27.333333333333506</v>
      </c>
      <c r="BH1002" s="67">
        <f>VLOOKUP(AG1002,Leyenda!$B$4:$E$10,4,FALSE)</f>
        <v>2</v>
      </c>
      <c r="BI1002" s="67">
        <f t="shared" si="387"/>
        <v>5</v>
      </c>
      <c r="BJ1002" s="67">
        <f t="shared" si="388"/>
        <v>8</v>
      </c>
      <c r="BK1002" s="67">
        <f>+VLOOKUP('2. Logging Brejo Seco'!AP1002,Leyenda!$B$47:$E$51,4,FALSE)</f>
        <v>1</v>
      </c>
      <c r="BL1002" s="67">
        <f>+VLOOKUP('2. Logging Brejo Seco'!AQ1002,Leyenda!$B$55:$E$59,4,FALSE)</f>
        <v>1</v>
      </c>
      <c r="BM1002" s="67">
        <f>+VLOOKUP('2. Logging Brejo Seco'!AR1002,Leyenda!$B$63:$E$67,3,FALSE)</f>
        <v>2</v>
      </c>
      <c r="BN1002" s="67">
        <f>+VLOOKUP('2. Logging Brejo Seco'!AO1002,Leyenda!$B$39:$E$43,4,FALSE)</f>
        <v>1</v>
      </c>
      <c r="BO1002" s="67">
        <f>+VLOOKUP('2. Logging Brejo Seco'!AN1002,Leyenda!$B$30:$E$34,4,FALSE)</f>
        <v>1</v>
      </c>
      <c r="BP1002" s="67">
        <f>VLOOKUP(AS1002,Leyenda!$B$71:$E$75,4,FALSE)</f>
        <v>10</v>
      </c>
      <c r="BQ1002" s="67">
        <f t="shared" si="389"/>
        <v>31</v>
      </c>
      <c r="BR1002" s="18">
        <f t="shared" si="390"/>
        <v>37</v>
      </c>
      <c r="BS1002" s="240">
        <f t="shared" si="393"/>
        <v>-9.3258734068513149E-15</v>
      </c>
      <c r="BT1002" s="6"/>
    </row>
    <row r="1003" spans="1:72" x14ac:dyDescent="0.25">
      <c r="A1003" s="18" t="s">
        <v>6</v>
      </c>
      <c r="B1003" s="18">
        <v>2024</v>
      </c>
      <c r="C1003" s="18" t="s">
        <v>138</v>
      </c>
      <c r="D1003" s="18" t="s">
        <v>664</v>
      </c>
      <c r="E1003" s="3">
        <v>20</v>
      </c>
      <c r="F1003" s="191">
        <v>10</v>
      </c>
      <c r="G1003" s="18" t="s">
        <v>156</v>
      </c>
      <c r="H1003" s="244">
        <f t="shared" si="400"/>
        <v>10</v>
      </c>
      <c r="I1003" s="244" t="s">
        <v>761</v>
      </c>
      <c r="J1003" s="244"/>
      <c r="K1003" s="18">
        <f t="shared" si="398"/>
        <v>21.15</v>
      </c>
      <c r="L1003" s="18">
        <v>21.45</v>
      </c>
      <c r="M1003" s="4">
        <f t="shared" si="395"/>
        <v>0.30000000000000071</v>
      </c>
      <c r="N1003" s="113">
        <f t="shared" si="397"/>
        <v>0.99999999999999756</v>
      </c>
      <c r="O1003" s="5">
        <f t="shared" si="379"/>
        <v>2.4424906541753444E-15</v>
      </c>
      <c r="P1003" s="3">
        <v>0.3</v>
      </c>
      <c r="Q1003" s="6"/>
      <c r="R1003" s="6"/>
      <c r="S1003" s="6"/>
      <c r="T1003" s="6">
        <v>0.3</v>
      </c>
      <c r="U1003" s="6">
        <v>0.22</v>
      </c>
      <c r="V1003" s="4">
        <f t="shared" si="392"/>
        <v>73.333333333333158</v>
      </c>
      <c r="W1003" s="6"/>
      <c r="X1003" s="6"/>
      <c r="Y1003" s="6">
        <v>3</v>
      </c>
      <c r="Z1003" s="31">
        <f t="shared" si="394"/>
        <v>100.00000000000023</v>
      </c>
      <c r="AA1003" s="6"/>
      <c r="AB1003" s="6"/>
      <c r="AC1003" s="6"/>
      <c r="AD1003" s="6"/>
      <c r="AE1003" s="6"/>
      <c r="AF1003" s="6"/>
      <c r="AG1003" s="3" t="s">
        <v>29</v>
      </c>
      <c r="AH1003" s="3" t="s">
        <v>29</v>
      </c>
      <c r="AI1003" s="18" t="str">
        <f>+VLOOKUP(AH1003,Leyenda!$O$4:$U$10,6,FALSE)</f>
        <v>0,25-0,35</v>
      </c>
      <c r="AJ1003" s="18" t="str">
        <f>+VLOOKUP(AG1003,Leyenda!$O$4:$U$10,7,FALSE)</f>
        <v>No Blasting need</v>
      </c>
      <c r="AK1003" s="18">
        <f>+VLOOKUP(AJ1003,Leyenda!$U$4:$V$10,2,FALSE)</f>
        <v>2</v>
      </c>
      <c r="AL1003" s="3"/>
      <c r="AM1003" s="3" t="s">
        <v>29</v>
      </c>
      <c r="AN1003" s="6" t="s">
        <v>66</v>
      </c>
      <c r="AO1003" s="185" t="s">
        <v>79</v>
      </c>
      <c r="AP1003" s="6" t="s">
        <v>96</v>
      </c>
      <c r="AQ1003" s="185" t="s">
        <v>109</v>
      </c>
      <c r="AR1003" s="185" t="s">
        <v>120</v>
      </c>
      <c r="AS1003" s="18" t="s">
        <v>267</v>
      </c>
      <c r="AT1003" s="18"/>
      <c r="AU1003" s="6"/>
      <c r="AV1003" s="18">
        <f>+VLOOKUP(AN1003,Leyenda!$B$30:$E$34,3,FALSE)</f>
        <v>1</v>
      </c>
      <c r="AW1003" s="18">
        <f>+VLOOKUP('2. Logging Brejo Seco'!AO1003,Meteorizacion,3,FALSE)</f>
        <v>1</v>
      </c>
      <c r="AX1003" s="18">
        <f>+VLOOKUP('2. Logging Brejo Seco'!AP1003,Apertura,3,FALSE)</f>
        <v>1</v>
      </c>
      <c r="AY1003" s="18">
        <f>+VLOOKUP('2. Logging Brejo Seco'!AQ1003,Leyenda!$B$55:$D$59,3,FALSE)</f>
        <v>1</v>
      </c>
      <c r="AZ1003" s="18">
        <f>+VLOOKUP('2. Logging Brejo Seco'!AR1003,Relleno,3,FALSE)</f>
        <v>2</v>
      </c>
      <c r="BA1003" s="18">
        <f t="shared" si="382"/>
        <v>6</v>
      </c>
      <c r="BB1003" s="49">
        <f t="shared" si="383"/>
        <v>15</v>
      </c>
      <c r="BC1003" s="49">
        <f>VLOOKUP(AH1003,Leyenda!$B$4:$D$10,3,FALSE)</f>
        <v>2</v>
      </c>
      <c r="BD1003" s="49">
        <f t="shared" si="384"/>
        <v>7</v>
      </c>
      <c r="BE1003" s="49">
        <f t="shared" si="385"/>
        <v>6</v>
      </c>
      <c r="BF1003" s="49">
        <f>VLOOKUP(AS1003,Leyenda!$B$70:$D$75,3,FALSE)</f>
        <v>15</v>
      </c>
      <c r="BG1003" s="67">
        <f t="shared" si="386"/>
        <v>45.666666666666579</v>
      </c>
      <c r="BH1003" s="67">
        <f>VLOOKUP(AG1003,Leyenda!$B$4:$E$10,4,FALSE)</f>
        <v>2</v>
      </c>
      <c r="BI1003" s="67">
        <f t="shared" si="387"/>
        <v>8</v>
      </c>
      <c r="BJ1003" s="67">
        <f t="shared" si="388"/>
        <v>15</v>
      </c>
      <c r="BK1003" s="67">
        <f>+VLOOKUP('2. Logging Brejo Seco'!AP1003,Leyenda!$B$47:$E$51,4,FALSE)</f>
        <v>1</v>
      </c>
      <c r="BL1003" s="67">
        <f>+VLOOKUP('2. Logging Brejo Seco'!AQ1003,Leyenda!$B$55:$E$59,4,FALSE)</f>
        <v>1</v>
      </c>
      <c r="BM1003" s="67">
        <f>+VLOOKUP('2. Logging Brejo Seco'!AR1003,Leyenda!$B$63:$E$67,3,FALSE)</f>
        <v>2</v>
      </c>
      <c r="BN1003" s="67">
        <f>+VLOOKUP('2. Logging Brejo Seco'!AO1003,Leyenda!$B$39:$E$43,4,FALSE)</f>
        <v>1</v>
      </c>
      <c r="BO1003" s="67">
        <f>+VLOOKUP('2. Logging Brejo Seco'!AN1003,Leyenda!$B$30:$E$34,4,FALSE)</f>
        <v>1</v>
      </c>
      <c r="BP1003" s="67">
        <f>VLOOKUP(AS1003,Leyenda!$B$71:$E$75,4,FALSE)</f>
        <v>10</v>
      </c>
      <c r="BQ1003" s="67">
        <f t="shared" si="389"/>
        <v>41</v>
      </c>
      <c r="BR1003" s="18">
        <f t="shared" si="390"/>
        <v>45</v>
      </c>
      <c r="BS1003" s="240">
        <f t="shared" si="393"/>
        <v>2.4424906541753444E-15</v>
      </c>
      <c r="BT1003" s="6"/>
    </row>
    <row r="1004" spans="1:72" x14ac:dyDescent="0.25">
      <c r="A1004" s="18" t="s">
        <v>6</v>
      </c>
      <c r="B1004" s="18">
        <v>2024</v>
      </c>
      <c r="C1004" s="18" t="s">
        <v>138</v>
      </c>
      <c r="D1004" s="18" t="s">
        <v>664</v>
      </c>
      <c r="E1004" s="3">
        <v>20</v>
      </c>
      <c r="F1004" s="191">
        <v>20</v>
      </c>
      <c r="G1004" s="18" t="s">
        <v>156</v>
      </c>
      <c r="H1004" s="244">
        <f t="shared" si="400"/>
        <v>20</v>
      </c>
      <c r="I1004" s="244" t="s">
        <v>760</v>
      </c>
      <c r="J1004" s="244"/>
      <c r="K1004" s="18">
        <f t="shared" si="398"/>
        <v>21.45</v>
      </c>
      <c r="L1004" s="18">
        <v>22.65</v>
      </c>
      <c r="M1004" s="4">
        <f t="shared" si="395"/>
        <v>1.1999999999999993</v>
      </c>
      <c r="N1004" s="113">
        <f t="shared" si="397"/>
        <v>0.39166666666666689</v>
      </c>
      <c r="O1004" s="5">
        <f t="shared" si="379"/>
        <v>0.60833333333333317</v>
      </c>
      <c r="P1004" s="3">
        <v>0.47</v>
      </c>
      <c r="Q1004" s="6"/>
      <c r="R1004" s="6"/>
      <c r="S1004" s="6"/>
      <c r="T1004" s="6">
        <v>0.47</v>
      </c>
      <c r="U1004" s="6">
        <v>0.1</v>
      </c>
      <c r="V1004" s="4">
        <f t="shared" si="392"/>
        <v>8.3333333333333393</v>
      </c>
      <c r="W1004" s="6"/>
      <c r="X1004" s="6"/>
      <c r="Y1004" s="6">
        <v>20</v>
      </c>
      <c r="Z1004" s="31">
        <f t="shared" si="394"/>
        <v>59.999999999999964</v>
      </c>
      <c r="AA1004" s="6"/>
      <c r="AB1004" s="6"/>
      <c r="AC1004" s="6"/>
      <c r="AD1004" s="6"/>
      <c r="AE1004" s="6"/>
      <c r="AF1004" s="6"/>
      <c r="AG1004" s="3" t="s">
        <v>34</v>
      </c>
      <c r="AH1004" s="3" t="s">
        <v>34</v>
      </c>
      <c r="AI1004" s="18">
        <f>+VLOOKUP(AH1004,Leyenda!$O$4:$U$10,6,FALSE)</f>
        <v>0</v>
      </c>
      <c r="AJ1004" s="18" t="str">
        <f>+VLOOKUP(AG1004,Leyenda!$O$4:$U$10,7,FALSE)</f>
        <v>No Blasting need</v>
      </c>
      <c r="AK1004" s="18">
        <f>+VLOOKUP(AJ1004,Leyenda!$U$4:$V$10,2,FALSE)</f>
        <v>2</v>
      </c>
      <c r="AL1004" s="3"/>
      <c r="AM1004" s="3" t="s">
        <v>34</v>
      </c>
      <c r="AN1004" s="6" t="s">
        <v>66</v>
      </c>
      <c r="AO1004" s="6" t="s">
        <v>81</v>
      </c>
      <c r="AP1004" s="6" t="s">
        <v>100</v>
      </c>
      <c r="AQ1004" s="6" t="s">
        <v>109</v>
      </c>
      <c r="AR1004" s="6" t="s">
        <v>120</v>
      </c>
      <c r="AS1004" s="18" t="s">
        <v>267</v>
      </c>
      <c r="AT1004" s="18"/>
      <c r="AU1004" s="6"/>
      <c r="AV1004" s="18">
        <f>+VLOOKUP(AN1004,Leyenda!$B$30:$E$34,3,FALSE)</f>
        <v>1</v>
      </c>
      <c r="AW1004" s="18">
        <f>+VLOOKUP('2. Logging Brejo Seco'!AO1004,Meteorizacion,3,FALSE)</f>
        <v>0</v>
      </c>
      <c r="AX1004" s="18">
        <f>+VLOOKUP('2. Logging Brejo Seco'!AP1004,Apertura,3,FALSE)</f>
        <v>0</v>
      </c>
      <c r="AY1004" s="18">
        <f>+VLOOKUP('2. Logging Brejo Seco'!AQ1004,Leyenda!$B$55:$D$59,3,FALSE)</f>
        <v>1</v>
      </c>
      <c r="AZ1004" s="18">
        <f>+VLOOKUP('2. Logging Brejo Seco'!AR1004,Relleno,3,FALSE)</f>
        <v>2</v>
      </c>
      <c r="BA1004" s="18">
        <f t="shared" si="382"/>
        <v>4</v>
      </c>
      <c r="BB1004" s="49">
        <f t="shared" si="383"/>
        <v>2</v>
      </c>
      <c r="BC1004" s="49">
        <f>VLOOKUP(AH1004,Leyenda!$B$4:$D$10,3,FALSE)</f>
        <v>0</v>
      </c>
      <c r="BD1004" s="49">
        <f t="shared" si="384"/>
        <v>6</v>
      </c>
      <c r="BE1004" s="49">
        <f t="shared" si="385"/>
        <v>4</v>
      </c>
      <c r="BF1004" s="49">
        <f>VLOOKUP(AS1004,Leyenda!$B$70:$D$75,3,FALSE)</f>
        <v>15</v>
      </c>
      <c r="BG1004" s="67">
        <f t="shared" si="386"/>
        <v>10.16666666666667</v>
      </c>
      <c r="BH1004" s="67">
        <f>VLOOKUP(AG1004,Leyenda!$B$4:$E$10,4,FALSE)</f>
        <v>0</v>
      </c>
      <c r="BI1004" s="67">
        <f t="shared" si="387"/>
        <v>5</v>
      </c>
      <c r="BJ1004" s="67">
        <f t="shared" si="388"/>
        <v>2</v>
      </c>
      <c r="BK1004" s="67">
        <f>+VLOOKUP('2. Logging Brejo Seco'!AP1004,Leyenda!$B$47:$E$51,4,FALSE)</f>
        <v>0</v>
      </c>
      <c r="BL1004" s="67">
        <f>+VLOOKUP('2. Logging Brejo Seco'!AQ1004,Leyenda!$B$55:$E$59,4,FALSE)</f>
        <v>1</v>
      </c>
      <c r="BM1004" s="67">
        <f>+VLOOKUP('2. Logging Brejo Seco'!AR1004,Leyenda!$B$63:$E$67,3,FALSE)</f>
        <v>2</v>
      </c>
      <c r="BN1004" s="67">
        <f>+VLOOKUP('2. Logging Brejo Seco'!AO1004,Leyenda!$B$39:$E$43,4,FALSE)</f>
        <v>0</v>
      </c>
      <c r="BO1004" s="67">
        <f>+VLOOKUP('2. Logging Brejo Seco'!AN1004,Leyenda!$B$30:$E$34,4,FALSE)</f>
        <v>1</v>
      </c>
      <c r="BP1004" s="67">
        <f>VLOOKUP(AS1004,Leyenda!$B$71:$E$75,4,FALSE)</f>
        <v>10</v>
      </c>
      <c r="BQ1004" s="67">
        <f t="shared" si="389"/>
        <v>21</v>
      </c>
      <c r="BR1004" s="18">
        <f t="shared" si="390"/>
        <v>27</v>
      </c>
      <c r="BS1004" s="240">
        <f t="shared" si="393"/>
        <v>0.60833333333333317</v>
      </c>
      <c r="BT1004" s="6"/>
    </row>
    <row r="1005" spans="1:72" x14ac:dyDescent="0.25">
      <c r="A1005" s="18" t="s">
        <v>6</v>
      </c>
      <c r="B1005" s="18">
        <v>2024</v>
      </c>
      <c r="C1005" s="18" t="s">
        <v>138</v>
      </c>
      <c r="D1005" s="18" t="s">
        <v>664</v>
      </c>
      <c r="E1005" s="3">
        <v>20</v>
      </c>
      <c r="F1005" s="191">
        <v>10</v>
      </c>
      <c r="G1005" s="18" t="s">
        <v>156</v>
      </c>
      <c r="H1005" s="244">
        <f t="shared" si="400"/>
        <v>10</v>
      </c>
      <c r="I1005" s="244" t="s">
        <v>761</v>
      </c>
      <c r="J1005" s="244"/>
      <c r="K1005" s="18">
        <f t="shared" si="398"/>
        <v>22.65</v>
      </c>
      <c r="L1005" s="18">
        <v>23.45</v>
      </c>
      <c r="M1005" s="4">
        <f t="shared" si="395"/>
        <v>0.80000000000000071</v>
      </c>
      <c r="N1005" s="113">
        <f t="shared" si="397"/>
        <v>0.67499999999999949</v>
      </c>
      <c r="O1005" s="5">
        <f t="shared" si="379"/>
        <v>0.32500000000000051</v>
      </c>
      <c r="P1005" s="3">
        <f>0.23+0.31</f>
        <v>0.54</v>
      </c>
      <c r="Q1005" s="6"/>
      <c r="R1005" s="6"/>
      <c r="S1005" s="6"/>
      <c r="T1005" s="6">
        <v>0.54</v>
      </c>
      <c r="U1005" s="6">
        <v>0.12</v>
      </c>
      <c r="V1005" s="18">
        <f t="shared" si="392"/>
        <v>14.999999999999986</v>
      </c>
      <c r="W1005" s="6"/>
      <c r="X1005" s="6"/>
      <c r="Y1005" s="6">
        <f>1+5</f>
        <v>6</v>
      </c>
      <c r="Z1005" s="31">
        <f t="shared" si="394"/>
        <v>133.33333333333346</v>
      </c>
      <c r="AA1005" s="6"/>
      <c r="AB1005" s="6"/>
      <c r="AC1005" s="6"/>
      <c r="AD1005" s="6"/>
      <c r="AE1005" s="6"/>
      <c r="AF1005" s="6"/>
      <c r="AG1005" s="3" t="s">
        <v>34</v>
      </c>
      <c r="AH1005" s="3" t="s">
        <v>34</v>
      </c>
      <c r="AI1005" s="18">
        <f>+VLOOKUP(AH1005,Leyenda!$O$4:$U$10,6,FALSE)</f>
        <v>0</v>
      </c>
      <c r="AJ1005" s="18" t="str">
        <f>+VLOOKUP(AG1005,Leyenda!$O$4:$U$10,7,FALSE)</f>
        <v>No Blasting need</v>
      </c>
      <c r="AK1005" s="18">
        <f>+VLOOKUP(AJ1005,Leyenda!$U$4:$V$10,2,FALSE)</f>
        <v>2</v>
      </c>
      <c r="AL1005" s="3"/>
      <c r="AM1005" s="3" t="s">
        <v>34</v>
      </c>
      <c r="AN1005" s="6" t="s">
        <v>66</v>
      </c>
      <c r="AO1005" s="6" t="s">
        <v>81</v>
      </c>
      <c r="AP1005" s="6" t="s">
        <v>100</v>
      </c>
      <c r="AQ1005" s="6" t="s">
        <v>109</v>
      </c>
      <c r="AR1005" s="6" t="s">
        <v>120</v>
      </c>
      <c r="AS1005" s="18" t="s">
        <v>267</v>
      </c>
      <c r="AT1005" s="18"/>
      <c r="AU1005" s="6"/>
      <c r="AV1005" s="18">
        <f>+VLOOKUP(AN1005,Leyenda!$B$30:$E$34,3,FALSE)</f>
        <v>1</v>
      </c>
      <c r="AW1005" s="18">
        <f>+VLOOKUP('2. Logging Brejo Seco'!AO1005,Meteorizacion,3,FALSE)</f>
        <v>0</v>
      </c>
      <c r="AX1005" s="18">
        <f>+VLOOKUP('2. Logging Brejo Seco'!AP1005,Apertura,3,FALSE)</f>
        <v>0</v>
      </c>
      <c r="AY1005" s="18">
        <f>+VLOOKUP('2. Logging Brejo Seco'!AQ1005,Leyenda!$B$55:$D$59,3,FALSE)</f>
        <v>1</v>
      </c>
      <c r="AZ1005" s="18">
        <f>+VLOOKUP('2. Logging Brejo Seco'!AR1005,Relleno,3,FALSE)</f>
        <v>2</v>
      </c>
      <c r="BA1005" s="18">
        <f t="shared" si="382"/>
        <v>4</v>
      </c>
      <c r="BB1005" s="49">
        <f t="shared" si="383"/>
        <v>3</v>
      </c>
      <c r="BC1005" s="49">
        <f>VLOOKUP(AH1005,Leyenda!$B$4:$D$10,3,FALSE)</f>
        <v>0</v>
      </c>
      <c r="BD1005" s="49">
        <f t="shared" si="384"/>
        <v>8</v>
      </c>
      <c r="BE1005" s="49">
        <f t="shared" si="385"/>
        <v>4</v>
      </c>
      <c r="BF1005" s="49">
        <f>VLOOKUP(AS1005,Leyenda!$B$70:$D$75,3,FALSE)</f>
        <v>15</v>
      </c>
      <c r="BG1005" s="67">
        <f t="shared" si="386"/>
        <v>13.499999999999993</v>
      </c>
      <c r="BH1005" s="67">
        <f>VLOOKUP(AG1005,Leyenda!$B$4:$E$10,4,FALSE)</f>
        <v>0</v>
      </c>
      <c r="BI1005" s="67">
        <f t="shared" si="387"/>
        <v>10</v>
      </c>
      <c r="BJ1005" s="67">
        <f t="shared" si="388"/>
        <v>3</v>
      </c>
      <c r="BK1005" s="67">
        <f>+VLOOKUP('2. Logging Brejo Seco'!AP1005,Leyenda!$B$47:$E$51,4,FALSE)</f>
        <v>0</v>
      </c>
      <c r="BL1005" s="67">
        <f>+VLOOKUP('2. Logging Brejo Seco'!AQ1005,Leyenda!$B$55:$E$59,4,FALSE)</f>
        <v>1</v>
      </c>
      <c r="BM1005" s="67">
        <f>+VLOOKUP('2. Logging Brejo Seco'!AR1005,Leyenda!$B$63:$E$67,3,FALSE)</f>
        <v>2</v>
      </c>
      <c r="BN1005" s="67">
        <f>+VLOOKUP('2. Logging Brejo Seco'!AO1005,Leyenda!$B$39:$E$43,4,FALSE)</f>
        <v>0</v>
      </c>
      <c r="BO1005" s="67">
        <f>+VLOOKUP('2. Logging Brejo Seco'!AN1005,Leyenda!$B$30:$E$34,4,FALSE)</f>
        <v>1</v>
      </c>
      <c r="BP1005" s="67">
        <f>VLOOKUP(AS1005,Leyenda!$B$71:$E$75,4,FALSE)</f>
        <v>10</v>
      </c>
      <c r="BQ1005" s="67">
        <f t="shared" si="389"/>
        <v>27</v>
      </c>
      <c r="BR1005" s="18">
        <f t="shared" si="390"/>
        <v>30</v>
      </c>
      <c r="BS1005" s="240">
        <f t="shared" si="393"/>
        <v>0.32500000000000051</v>
      </c>
      <c r="BT1005" s="6"/>
    </row>
    <row r="1006" spans="1:72" x14ac:dyDescent="0.25">
      <c r="A1006" s="18" t="s">
        <v>6</v>
      </c>
      <c r="B1006" s="18">
        <v>2024</v>
      </c>
      <c r="C1006" s="18" t="s">
        <v>138</v>
      </c>
      <c r="D1006" s="18" t="s">
        <v>664</v>
      </c>
      <c r="E1006" s="3">
        <v>20</v>
      </c>
      <c r="F1006" s="191">
        <v>10</v>
      </c>
      <c r="G1006" s="18" t="s">
        <v>156</v>
      </c>
      <c r="H1006" s="3">
        <v>20</v>
      </c>
      <c r="I1006" s="3" t="s">
        <v>760</v>
      </c>
      <c r="J1006" s="3"/>
      <c r="K1006" s="18">
        <f t="shared" si="398"/>
        <v>23.45</v>
      </c>
      <c r="L1006" s="18">
        <v>24.3</v>
      </c>
      <c r="M1006" s="4">
        <f t="shared" si="395"/>
        <v>0.85000000000000142</v>
      </c>
      <c r="N1006" s="113">
        <f t="shared" si="397"/>
        <v>0.47058823529411686</v>
      </c>
      <c r="O1006" s="5">
        <f t="shared" si="379"/>
        <v>0.52941176470588314</v>
      </c>
      <c r="P1006" s="3">
        <v>0.4</v>
      </c>
      <c r="Q1006" s="6"/>
      <c r="R1006" s="6"/>
      <c r="S1006" s="6"/>
      <c r="T1006" s="6">
        <v>0.4</v>
      </c>
      <c r="U1006" s="6">
        <v>0.31</v>
      </c>
      <c r="V1006" s="18">
        <f t="shared" si="392"/>
        <v>36.470588235294052</v>
      </c>
      <c r="W1006" s="6"/>
      <c r="X1006" s="6"/>
      <c r="Y1006" s="6">
        <f>3+2</f>
        <v>5</v>
      </c>
      <c r="Z1006" s="31">
        <f t="shared" si="394"/>
        <v>170.00000000000028</v>
      </c>
      <c r="AA1006" s="6"/>
      <c r="AB1006" s="6"/>
      <c r="AC1006" s="6"/>
      <c r="AD1006" s="6"/>
      <c r="AE1006" s="6"/>
      <c r="AF1006" s="6"/>
      <c r="AG1006" s="3" t="s">
        <v>27</v>
      </c>
      <c r="AH1006" s="3" t="s">
        <v>27</v>
      </c>
      <c r="AI1006" s="18" t="str">
        <f>+VLOOKUP(AH1006,Leyenda!$O$4:$U$10,6,FALSE)</f>
        <v>0,35-0,50</v>
      </c>
      <c r="AJ1006" s="18" t="str">
        <f>+VLOOKUP(AG1006,Leyenda!$O$4:$U$10,7,FALSE)</f>
        <v>Easy to blast</v>
      </c>
      <c r="AK1006" s="18">
        <f>+VLOOKUP(AJ1006,Leyenda!$U$4:$V$10,2,FALSE)</f>
        <v>3</v>
      </c>
      <c r="AL1006" s="3"/>
      <c r="AM1006" s="3" t="s">
        <v>27</v>
      </c>
      <c r="AN1006" s="6" t="s">
        <v>64</v>
      </c>
      <c r="AO1006" s="6" t="s">
        <v>79</v>
      </c>
      <c r="AP1006" s="6" t="s">
        <v>96</v>
      </c>
      <c r="AQ1006" s="6" t="s">
        <v>107</v>
      </c>
      <c r="AR1006" s="6" t="s">
        <v>120</v>
      </c>
      <c r="AS1006" s="18" t="s">
        <v>267</v>
      </c>
      <c r="AT1006" s="18"/>
      <c r="AU1006" s="6"/>
      <c r="AV1006" s="18">
        <f>+VLOOKUP(AN1006,Leyenda!$B$30:$E$34,3,FALSE)</f>
        <v>2</v>
      </c>
      <c r="AW1006" s="18">
        <f>+VLOOKUP('2. Logging Brejo Seco'!AO1006,Meteorizacion,3,FALSE)</f>
        <v>1</v>
      </c>
      <c r="AX1006" s="18">
        <f>+VLOOKUP('2. Logging Brejo Seco'!AP1006,Apertura,3,FALSE)</f>
        <v>1</v>
      </c>
      <c r="AY1006" s="18">
        <f>+VLOOKUP('2. Logging Brejo Seco'!AQ1006,Leyenda!$B$55:$D$59,3,FALSE)</f>
        <v>3</v>
      </c>
      <c r="AZ1006" s="18">
        <f>+VLOOKUP('2. Logging Brejo Seco'!AR1006,Relleno,3,FALSE)</f>
        <v>2</v>
      </c>
      <c r="BA1006" s="18">
        <f t="shared" si="382"/>
        <v>9</v>
      </c>
      <c r="BB1006" s="49">
        <f t="shared" si="383"/>
        <v>8</v>
      </c>
      <c r="BC1006" s="49">
        <f>VLOOKUP(AH1006,Leyenda!$B$4:$D$10,3,FALSE)</f>
        <v>4</v>
      </c>
      <c r="BD1006" s="49">
        <f t="shared" si="384"/>
        <v>9</v>
      </c>
      <c r="BE1006" s="49">
        <f t="shared" si="385"/>
        <v>9</v>
      </c>
      <c r="BF1006" s="49">
        <f>VLOOKUP(AS1006,Leyenda!$B$70:$D$75,3,FALSE)</f>
        <v>15</v>
      </c>
      <c r="BG1006" s="67">
        <f t="shared" si="386"/>
        <v>31.735294117647026</v>
      </c>
      <c r="BH1006" s="67">
        <f>VLOOKUP(AG1006,Leyenda!$B$4:$E$10,4,FALSE)</f>
        <v>4</v>
      </c>
      <c r="BI1006" s="67">
        <f t="shared" si="387"/>
        <v>11</v>
      </c>
      <c r="BJ1006" s="67">
        <f t="shared" si="388"/>
        <v>8</v>
      </c>
      <c r="BK1006" s="67">
        <f>+VLOOKUP('2. Logging Brejo Seco'!AP1006,Leyenda!$B$47:$E$51,4,FALSE)</f>
        <v>1</v>
      </c>
      <c r="BL1006" s="67">
        <f>+VLOOKUP('2. Logging Brejo Seco'!AQ1006,Leyenda!$B$55:$E$59,4,FALSE)</f>
        <v>3</v>
      </c>
      <c r="BM1006" s="67">
        <f>+VLOOKUP('2. Logging Brejo Seco'!AR1006,Leyenda!$B$63:$E$67,3,FALSE)</f>
        <v>2</v>
      </c>
      <c r="BN1006" s="67">
        <f>+VLOOKUP('2. Logging Brejo Seco'!AO1006,Leyenda!$B$39:$E$43,4,FALSE)</f>
        <v>1</v>
      </c>
      <c r="BO1006" s="67">
        <f>+VLOOKUP('2. Logging Brejo Seco'!AN1006,Leyenda!$B$30:$E$34,4,FALSE)</f>
        <v>3</v>
      </c>
      <c r="BP1006" s="67">
        <f>VLOOKUP(AS1006,Leyenda!$B$71:$E$75,4,FALSE)</f>
        <v>10</v>
      </c>
      <c r="BQ1006" s="67">
        <f t="shared" si="389"/>
        <v>43</v>
      </c>
      <c r="BR1006" s="18">
        <f t="shared" si="390"/>
        <v>45</v>
      </c>
      <c r="BS1006" s="240">
        <f t="shared" si="393"/>
        <v>0.52941176470588314</v>
      </c>
      <c r="BT1006" s="6"/>
    </row>
    <row r="1007" spans="1:72" x14ac:dyDescent="0.25">
      <c r="A1007" s="18" t="s">
        <v>6</v>
      </c>
      <c r="B1007" s="18">
        <v>2024</v>
      </c>
      <c r="C1007" s="18" t="s">
        <v>138</v>
      </c>
      <c r="D1007" s="18" t="s">
        <v>664</v>
      </c>
      <c r="E1007" s="3">
        <v>20</v>
      </c>
      <c r="F1007" s="191">
        <v>10</v>
      </c>
      <c r="G1007" s="18" t="s">
        <v>156</v>
      </c>
      <c r="H1007" s="3">
        <v>20</v>
      </c>
      <c r="I1007" s="3" t="s">
        <v>760</v>
      </c>
      <c r="J1007" s="3"/>
      <c r="K1007" s="18">
        <f t="shared" si="398"/>
        <v>24.3</v>
      </c>
      <c r="L1007" s="18">
        <v>24.95</v>
      </c>
      <c r="M1007" s="4">
        <f t="shared" si="395"/>
        <v>0.64999999999999858</v>
      </c>
      <c r="N1007" s="113">
        <f t="shared" si="397"/>
        <v>0.72307692307692462</v>
      </c>
      <c r="O1007" s="5">
        <f t="shared" si="379"/>
        <v>0.27692307692307538</v>
      </c>
      <c r="P1007" s="3">
        <v>0.47</v>
      </c>
      <c r="Q1007" s="6"/>
      <c r="R1007" s="6"/>
      <c r="S1007" s="6"/>
      <c r="T1007" s="6">
        <v>0.47</v>
      </c>
      <c r="U1007" s="6">
        <v>0.15</v>
      </c>
      <c r="V1007" s="18">
        <f t="shared" si="392"/>
        <v>23.076923076923126</v>
      </c>
      <c r="W1007" s="6"/>
      <c r="X1007" s="6"/>
      <c r="Y1007" s="6">
        <v>8</v>
      </c>
      <c r="Z1007" s="31">
        <f t="shared" si="394"/>
        <v>81.249999999999829</v>
      </c>
      <c r="AA1007" s="6"/>
      <c r="AB1007" s="6"/>
      <c r="AC1007" s="6"/>
      <c r="AD1007" s="6"/>
      <c r="AE1007" s="6"/>
      <c r="AF1007" s="6"/>
      <c r="AG1007" s="3" t="s">
        <v>34</v>
      </c>
      <c r="AH1007" s="3" t="s">
        <v>34</v>
      </c>
      <c r="AI1007" s="18">
        <f>+VLOOKUP(AH1007,Leyenda!$O$4:$U$10,6,FALSE)</f>
        <v>0</v>
      </c>
      <c r="AJ1007" s="18" t="str">
        <f>+VLOOKUP(AG1007,Leyenda!$O$4:$U$10,7,FALSE)</f>
        <v>No Blasting need</v>
      </c>
      <c r="AK1007" s="18">
        <f>+VLOOKUP(AJ1007,Leyenda!$U$4:$V$10,2,FALSE)</f>
        <v>2</v>
      </c>
      <c r="AL1007" s="3"/>
      <c r="AM1007" s="3" t="s">
        <v>34</v>
      </c>
      <c r="AN1007" s="6" t="s">
        <v>66</v>
      </c>
      <c r="AO1007" s="6" t="s">
        <v>81</v>
      </c>
      <c r="AP1007" s="6" t="s">
        <v>100</v>
      </c>
      <c r="AQ1007" s="6" t="s">
        <v>109</v>
      </c>
      <c r="AR1007" s="6" t="s">
        <v>120</v>
      </c>
      <c r="AS1007" s="18" t="s">
        <v>267</v>
      </c>
      <c r="AT1007" s="18"/>
      <c r="AU1007" s="6"/>
      <c r="AV1007" s="18">
        <f>+VLOOKUP(AN1007,Leyenda!$B$30:$E$34,3,FALSE)</f>
        <v>1</v>
      </c>
      <c r="AW1007" s="18">
        <f>+VLOOKUP('2. Logging Brejo Seco'!AO1007,Meteorizacion,3,FALSE)</f>
        <v>0</v>
      </c>
      <c r="AX1007" s="18">
        <f>+VLOOKUP('2. Logging Brejo Seco'!AP1007,Apertura,3,FALSE)</f>
        <v>0</v>
      </c>
      <c r="AY1007" s="18">
        <f>+VLOOKUP('2. Logging Brejo Seco'!AQ1007,Leyenda!$B$55:$D$59,3,FALSE)</f>
        <v>1</v>
      </c>
      <c r="AZ1007" s="18">
        <f>+VLOOKUP('2. Logging Brejo Seco'!AR1007,Relleno,3,FALSE)</f>
        <v>2</v>
      </c>
      <c r="BA1007" s="18">
        <f t="shared" si="382"/>
        <v>4</v>
      </c>
      <c r="BB1007" s="49">
        <f t="shared" si="383"/>
        <v>5</v>
      </c>
      <c r="BC1007" s="49">
        <f>VLOOKUP(AH1007,Leyenda!$B$4:$D$10,3,FALSE)</f>
        <v>0</v>
      </c>
      <c r="BD1007" s="49">
        <f t="shared" si="384"/>
        <v>7</v>
      </c>
      <c r="BE1007" s="49">
        <f t="shared" si="385"/>
        <v>4</v>
      </c>
      <c r="BF1007" s="49">
        <f>VLOOKUP(AS1007,Leyenda!$B$70:$D$75,3,FALSE)</f>
        <v>15</v>
      </c>
      <c r="BG1007" s="67">
        <f t="shared" si="386"/>
        <v>17.538461538461561</v>
      </c>
      <c r="BH1007" s="67">
        <f>VLOOKUP(AG1007,Leyenda!$B$4:$E$10,4,FALSE)</f>
        <v>0</v>
      </c>
      <c r="BI1007" s="67">
        <f t="shared" si="387"/>
        <v>7</v>
      </c>
      <c r="BJ1007" s="67">
        <f t="shared" si="388"/>
        <v>5</v>
      </c>
      <c r="BK1007" s="67">
        <f>+VLOOKUP('2. Logging Brejo Seco'!AP1007,Leyenda!$B$47:$E$51,4,FALSE)</f>
        <v>0</v>
      </c>
      <c r="BL1007" s="67">
        <f>+VLOOKUP('2. Logging Brejo Seco'!AQ1007,Leyenda!$B$55:$E$59,4,FALSE)</f>
        <v>1</v>
      </c>
      <c r="BM1007" s="67">
        <f>+VLOOKUP('2. Logging Brejo Seco'!AR1007,Leyenda!$B$63:$E$67,3,FALSE)</f>
        <v>2</v>
      </c>
      <c r="BN1007" s="67">
        <f>+VLOOKUP('2. Logging Brejo Seco'!AO1007,Leyenda!$B$39:$E$43,4,FALSE)</f>
        <v>0</v>
      </c>
      <c r="BO1007" s="67">
        <f>+VLOOKUP('2. Logging Brejo Seco'!AN1007,Leyenda!$B$30:$E$34,4,FALSE)</f>
        <v>1</v>
      </c>
      <c r="BP1007" s="67">
        <f>VLOOKUP(AS1007,Leyenda!$B$71:$E$75,4,FALSE)</f>
        <v>10</v>
      </c>
      <c r="BQ1007" s="67">
        <f t="shared" si="389"/>
        <v>26</v>
      </c>
      <c r="BR1007" s="18">
        <f t="shared" si="390"/>
        <v>31</v>
      </c>
      <c r="BS1007" s="240">
        <f t="shared" si="393"/>
        <v>0.27692307692307538</v>
      </c>
      <c r="BT1007" s="6"/>
    </row>
    <row r="1008" spans="1:72" x14ac:dyDescent="0.25">
      <c r="A1008" s="18" t="s">
        <v>6</v>
      </c>
      <c r="B1008" s="18">
        <v>2024</v>
      </c>
      <c r="C1008" s="18" t="s">
        <v>138</v>
      </c>
      <c r="D1008" s="18" t="s">
        <v>664</v>
      </c>
      <c r="E1008" s="3">
        <v>20</v>
      </c>
      <c r="F1008" s="191">
        <v>10</v>
      </c>
      <c r="G1008" s="18" t="s">
        <v>156</v>
      </c>
      <c r="H1008" s="3">
        <v>20</v>
      </c>
      <c r="I1008" s="3" t="s">
        <v>760</v>
      </c>
      <c r="J1008" s="3"/>
      <c r="K1008" s="18">
        <f t="shared" si="398"/>
        <v>24.95</v>
      </c>
      <c r="L1008" s="18">
        <v>25.85</v>
      </c>
      <c r="M1008" s="4">
        <f t="shared" si="395"/>
        <v>0.90000000000000213</v>
      </c>
      <c r="N1008" s="113">
        <f t="shared" si="397"/>
        <v>0.63333333333333175</v>
      </c>
      <c r="O1008" s="5">
        <f t="shared" si="379"/>
        <v>0.36666666666666825</v>
      </c>
      <c r="P1008" s="3">
        <v>0.56999999999999995</v>
      </c>
      <c r="Q1008" s="6"/>
      <c r="R1008" s="6"/>
      <c r="S1008" s="6"/>
      <c r="T1008" s="6">
        <v>0.56999999999999995</v>
      </c>
      <c r="U1008" s="6">
        <v>0.33</v>
      </c>
      <c r="V1008" s="18">
        <f t="shared" si="392"/>
        <v>36.666666666666579</v>
      </c>
      <c r="W1008" s="6"/>
      <c r="X1008" s="6"/>
      <c r="Y1008" s="6">
        <v>7</v>
      </c>
      <c r="Z1008" s="31">
        <f t="shared" si="394"/>
        <v>128.57142857142887</v>
      </c>
      <c r="AA1008" s="6"/>
      <c r="AB1008" s="6"/>
      <c r="AC1008" s="6"/>
      <c r="AD1008" s="6"/>
      <c r="AE1008" s="6"/>
      <c r="AF1008" s="6"/>
      <c r="AG1008" s="3" t="s">
        <v>27</v>
      </c>
      <c r="AH1008" s="3" t="s">
        <v>27</v>
      </c>
      <c r="AI1008" s="18" t="str">
        <f>+VLOOKUP(AH1008,Leyenda!$O$4:$U$10,6,FALSE)</f>
        <v>0,35-0,50</v>
      </c>
      <c r="AJ1008" s="18" t="str">
        <f>+VLOOKUP(AG1008,Leyenda!$O$4:$U$10,7,FALSE)</f>
        <v>Easy to blast</v>
      </c>
      <c r="AK1008" s="18">
        <f>+VLOOKUP(AJ1008,Leyenda!$U$4:$V$10,2,FALSE)</f>
        <v>3</v>
      </c>
      <c r="AL1008" s="3"/>
      <c r="AM1008" s="3" t="s">
        <v>27</v>
      </c>
      <c r="AN1008" s="6" t="s">
        <v>64</v>
      </c>
      <c r="AO1008" s="6" t="s">
        <v>79</v>
      </c>
      <c r="AP1008" s="6" t="s">
        <v>96</v>
      </c>
      <c r="AQ1008" s="6" t="s">
        <v>107</v>
      </c>
      <c r="AR1008" s="6" t="s">
        <v>120</v>
      </c>
      <c r="AS1008" s="18" t="s">
        <v>267</v>
      </c>
      <c r="AT1008" s="18"/>
      <c r="AU1008" s="6"/>
      <c r="AV1008" s="18">
        <f>+VLOOKUP(AN1008,Leyenda!$B$30:$E$34,3,FALSE)</f>
        <v>2</v>
      </c>
      <c r="AW1008" s="18">
        <f>+VLOOKUP('2. Logging Brejo Seco'!AO1008,Meteorizacion,3,FALSE)</f>
        <v>1</v>
      </c>
      <c r="AX1008" s="18">
        <f>+VLOOKUP('2. Logging Brejo Seco'!AP1008,Apertura,3,FALSE)</f>
        <v>1</v>
      </c>
      <c r="AY1008" s="18">
        <f>+VLOOKUP('2. Logging Brejo Seco'!AQ1008,Leyenda!$B$55:$D$59,3,FALSE)</f>
        <v>3</v>
      </c>
      <c r="AZ1008" s="18">
        <f>+VLOOKUP('2. Logging Brejo Seco'!AR1008,Relleno,3,FALSE)</f>
        <v>2</v>
      </c>
      <c r="BA1008" s="18">
        <f t="shared" si="382"/>
        <v>9</v>
      </c>
      <c r="BB1008" s="49">
        <f t="shared" si="383"/>
        <v>8</v>
      </c>
      <c r="BC1008" s="49">
        <f>VLOOKUP(AH1008,Leyenda!$B$4:$D$10,3,FALSE)</f>
        <v>4</v>
      </c>
      <c r="BD1008" s="49">
        <f t="shared" si="384"/>
        <v>8</v>
      </c>
      <c r="BE1008" s="49">
        <f t="shared" si="385"/>
        <v>9</v>
      </c>
      <c r="BF1008" s="49">
        <f>VLOOKUP(AS1008,Leyenda!$B$70:$D$75,3,FALSE)</f>
        <v>15</v>
      </c>
      <c r="BG1008" s="67">
        <f t="shared" si="386"/>
        <v>31.83333333333329</v>
      </c>
      <c r="BH1008" s="67">
        <f>VLOOKUP(AG1008,Leyenda!$B$4:$E$10,4,FALSE)</f>
        <v>4</v>
      </c>
      <c r="BI1008" s="67">
        <f t="shared" si="387"/>
        <v>10</v>
      </c>
      <c r="BJ1008" s="67">
        <f t="shared" si="388"/>
        <v>8</v>
      </c>
      <c r="BK1008" s="67">
        <f>+VLOOKUP('2. Logging Brejo Seco'!AP1008,Leyenda!$B$47:$E$51,4,FALSE)</f>
        <v>1</v>
      </c>
      <c r="BL1008" s="67">
        <f>+VLOOKUP('2. Logging Brejo Seco'!AQ1008,Leyenda!$B$55:$E$59,4,FALSE)</f>
        <v>3</v>
      </c>
      <c r="BM1008" s="67">
        <f>+VLOOKUP('2. Logging Brejo Seco'!AR1008,Leyenda!$B$63:$E$67,3,FALSE)</f>
        <v>2</v>
      </c>
      <c r="BN1008" s="67">
        <f>+VLOOKUP('2. Logging Brejo Seco'!AO1008,Leyenda!$B$39:$E$43,4,FALSE)</f>
        <v>1</v>
      </c>
      <c r="BO1008" s="67">
        <f>+VLOOKUP('2. Logging Brejo Seco'!AN1008,Leyenda!$B$30:$E$34,4,FALSE)</f>
        <v>3</v>
      </c>
      <c r="BP1008" s="67">
        <f>VLOOKUP(AS1008,Leyenda!$B$71:$E$75,4,FALSE)</f>
        <v>10</v>
      </c>
      <c r="BQ1008" s="67">
        <f t="shared" si="389"/>
        <v>42</v>
      </c>
      <c r="BR1008" s="18">
        <f t="shared" si="390"/>
        <v>44</v>
      </c>
      <c r="BS1008" s="240">
        <f t="shared" si="393"/>
        <v>0.36666666666666825</v>
      </c>
      <c r="BT1008" s="6"/>
    </row>
    <row r="1009" spans="1:72" x14ac:dyDescent="0.25">
      <c r="A1009" s="18" t="s">
        <v>6</v>
      </c>
      <c r="B1009" s="18">
        <v>2024</v>
      </c>
      <c r="C1009" s="18" t="s">
        <v>138</v>
      </c>
      <c r="D1009" s="18" t="s">
        <v>664</v>
      </c>
      <c r="E1009" s="3">
        <v>20</v>
      </c>
      <c r="F1009" s="191">
        <v>10</v>
      </c>
      <c r="G1009" s="18" t="s">
        <v>156</v>
      </c>
      <c r="H1009" s="3">
        <v>20</v>
      </c>
      <c r="I1009" s="3" t="s">
        <v>760</v>
      </c>
      <c r="J1009" s="3"/>
      <c r="K1009" s="18">
        <f t="shared" si="398"/>
        <v>25.85</v>
      </c>
      <c r="L1009" s="18">
        <v>26.75</v>
      </c>
      <c r="M1009" s="4">
        <f t="shared" si="395"/>
        <v>0.89999999999999858</v>
      </c>
      <c r="N1009" s="113">
        <f t="shared" si="397"/>
        <v>0.71111111111111225</v>
      </c>
      <c r="O1009" s="5">
        <f t="shared" si="379"/>
        <v>0.28888888888888775</v>
      </c>
      <c r="P1009" s="3">
        <v>0.64</v>
      </c>
      <c r="Q1009" s="6"/>
      <c r="R1009" s="6"/>
      <c r="S1009" s="6"/>
      <c r="T1009" s="6">
        <v>0.64</v>
      </c>
      <c r="U1009" s="6">
        <v>0.32</v>
      </c>
      <c r="V1009" s="18">
        <f t="shared" si="392"/>
        <v>35.555555555555614</v>
      </c>
      <c r="W1009" s="6"/>
      <c r="X1009" s="6"/>
      <c r="Y1009" s="6">
        <v>6</v>
      </c>
      <c r="Z1009" s="31">
        <f t="shared" si="394"/>
        <v>149.99999999999977</v>
      </c>
      <c r="AA1009" s="6"/>
      <c r="AB1009" s="6"/>
      <c r="AC1009" s="6"/>
      <c r="AD1009" s="6"/>
      <c r="AE1009" s="6"/>
      <c r="AF1009" s="6"/>
      <c r="AG1009" s="3" t="s">
        <v>27</v>
      </c>
      <c r="AH1009" s="3" t="s">
        <v>27</v>
      </c>
      <c r="AI1009" s="18" t="str">
        <f>+VLOOKUP(AH1009,Leyenda!$O$4:$U$10,6,FALSE)</f>
        <v>0,35-0,50</v>
      </c>
      <c r="AJ1009" s="18" t="str">
        <f>+VLOOKUP(AG1009,Leyenda!$O$4:$U$10,7,FALSE)</f>
        <v>Easy to blast</v>
      </c>
      <c r="AK1009" s="18">
        <f>+VLOOKUP(AJ1009,Leyenda!$U$4:$V$10,2,FALSE)</f>
        <v>3</v>
      </c>
      <c r="AL1009" s="3"/>
      <c r="AM1009" s="3" t="s">
        <v>27</v>
      </c>
      <c r="AN1009" s="6" t="s">
        <v>64</v>
      </c>
      <c r="AO1009" s="6" t="s">
        <v>79</v>
      </c>
      <c r="AP1009" s="6" t="s">
        <v>96</v>
      </c>
      <c r="AQ1009" s="6" t="s">
        <v>107</v>
      </c>
      <c r="AR1009" s="6" t="s">
        <v>120</v>
      </c>
      <c r="AS1009" s="18" t="s">
        <v>267</v>
      </c>
      <c r="AT1009" s="18"/>
      <c r="AU1009" s="6"/>
      <c r="AV1009" s="18">
        <f>+VLOOKUP(AN1009,Leyenda!$B$30:$E$34,3,FALSE)</f>
        <v>2</v>
      </c>
      <c r="AW1009" s="18">
        <f>+VLOOKUP('2. Logging Brejo Seco'!AO1009,Meteorizacion,3,FALSE)</f>
        <v>1</v>
      </c>
      <c r="AX1009" s="18">
        <f>+VLOOKUP('2. Logging Brejo Seco'!AP1009,Apertura,3,FALSE)</f>
        <v>1</v>
      </c>
      <c r="AY1009" s="18">
        <f>+VLOOKUP('2. Logging Brejo Seco'!AQ1009,Leyenda!$B$55:$D$59,3,FALSE)</f>
        <v>3</v>
      </c>
      <c r="AZ1009" s="18">
        <f>+VLOOKUP('2. Logging Brejo Seco'!AR1009,Relleno,3,FALSE)</f>
        <v>2</v>
      </c>
      <c r="BA1009" s="18">
        <f t="shared" si="382"/>
        <v>9</v>
      </c>
      <c r="BB1009" s="49">
        <f t="shared" si="383"/>
        <v>8</v>
      </c>
      <c r="BC1009" s="49">
        <f>VLOOKUP(AH1009,Leyenda!$B$4:$D$10,3,FALSE)</f>
        <v>4</v>
      </c>
      <c r="BD1009" s="49">
        <f t="shared" si="384"/>
        <v>8</v>
      </c>
      <c r="BE1009" s="49">
        <f t="shared" si="385"/>
        <v>9</v>
      </c>
      <c r="BF1009" s="49">
        <f>VLOOKUP(AS1009,Leyenda!$B$70:$D$75,3,FALSE)</f>
        <v>15</v>
      </c>
      <c r="BG1009" s="67">
        <f t="shared" si="386"/>
        <v>31.277777777777807</v>
      </c>
      <c r="BH1009" s="67">
        <f>VLOOKUP(AG1009,Leyenda!$B$4:$E$10,4,FALSE)</f>
        <v>4</v>
      </c>
      <c r="BI1009" s="67">
        <f t="shared" si="387"/>
        <v>11</v>
      </c>
      <c r="BJ1009" s="67">
        <f t="shared" si="388"/>
        <v>8</v>
      </c>
      <c r="BK1009" s="67">
        <f>+VLOOKUP('2. Logging Brejo Seco'!AP1009,Leyenda!$B$47:$E$51,4,FALSE)</f>
        <v>1</v>
      </c>
      <c r="BL1009" s="67">
        <f>+VLOOKUP('2. Logging Brejo Seco'!AQ1009,Leyenda!$B$55:$E$59,4,FALSE)</f>
        <v>3</v>
      </c>
      <c r="BM1009" s="67">
        <f>+VLOOKUP('2. Logging Brejo Seco'!AR1009,Leyenda!$B$63:$E$67,3,FALSE)</f>
        <v>2</v>
      </c>
      <c r="BN1009" s="67">
        <f>+VLOOKUP('2. Logging Brejo Seco'!AO1009,Leyenda!$B$39:$E$43,4,FALSE)</f>
        <v>1</v>
      </c>
      <c r="BO1009" s="67">
        <f>+VLOOKUP('2. Logging Brejo Seco'!AN1009,Leyenda!$B$30:$E$34,4,FALSE)</f>
        <v>3</v>
      </c>
      <c r="BP1009" s="67">
        <f>VLOOKUP(AS1009,Leyenda!$B$71:$E$75,4,FALSE)</f>
        <v>10</v>
      </c>
      <c r="BQ1009" s="67">
        <f t="shared" si="389"/>
        <v>43</v>
      </c>
      <c r="BR1009" s="18">
        <f t="shared" si="390"/>
        <v>44</v>
      </c>
      <c r="BS1009" s="240">
        <f t="shared" si="393"/>
        <v>0.28888888888888775</v>
      </c>
      <c r="BT1009" s="6"/>
    </row>
    <row r="1010" spans="1:72" x14ac:dyDescent="0.25">
      <c r="A1010" s="18" t="s">
        <v>6</v>
      </c>
      <c r="B1010" s="18">
        <v>2024</v>
      </c>
      <c r="C1010" s="18" t="s">
        <v>138</v>
      </c>
      <c r="D1010" s="18" t="s">
        <v>664</v>
      </c>
      <c r="E1010" s="3">
        <v>20</v>
      </c>
      <c r="F1010" s="191">
        <v>10</v>
      </c>
      <c r="G1010" s="18" t="s">
        <v>156</v>
      </c>
      <c r="H1010" s="3">
        <v>20</v>
      </c>
      <c r="I1010" s="3" t="s">
        <v>760</v>
      </c>
      <c r="J1010" s="3"/>
      <c r="K1010" s="18">
        <f t="shared" si="398"/>
        <v>26.75</v>
      </c>
      <c r="L1010" s="18">
        <v>28.05</v>
      </c>
      <c r="M1010" s="4">
        <f t="shared" si="395"/>
        <v>1.3000000000000007</v>
      </c>
      <c r="N1010" s="113">
        <f t="shared" si="397"/>
        <v>0.61538461538461509</v>
      </c>
      <c r="O1010" s="5">
        <f t="shared" ref="O1010:O1019" si="401">1-N1010</f>
        <v>0.38461538461538491</v>
      </c>
      <c r="P1010" s="3">
        <v>0.8</v>
      </c>
      <c r="Q1010" s="6"/>
      <c r="R1010" s="6"/>
      <c r="S1010" s="6"/>
      <c r="T1010" s="6">
        <v>0.8</v>
      </c>
      <c r="U1010" s="6">
        <v>0.52</v>
      </c>
      <c r="V1010" s="18">
        <f t="shared" si="392"/>
        <v>39.999999999999979</v>
      </c>
      <c r="W1010" s="6"/>
      <c r="X1010" s="6"/>
      <c r="Y1010" s="6">
        <f>9+3</f>
        <v>12</v>
      </c>
      <c r="Z1010" s="31">
        <f t="shared" si="394"/>
        <v>108.33333333333339</v>
      </c>
      <c r="AA1010" s="6"/>
      <c r="AB1010" s="6"/>
      <c r="AC1010" s="6"/>
      <c r="AD1010" s="6"/>
      <c r="AE1010" s="6"/>
      <c r="AF1010" s="6"/>
      <c r="AG1010" s="3" t="s">
        <v>27</v>
      </c>
      <c r="AH1010" s="3" t="s">
        <v>27</v>
      </c>
      <c r="AI1010" s="18" t="str">
        <f>+VLOOKUP(AH1010,Leyenda!$O$4:$U$10,6,FALSE)</f>
        <v>0,35-0,50</v>
      </c>
      <c r="AJ1010" s="18" t="str">
        <f>+VLOOKUP(AG1010,Leyenda!$O$4:$U$10,7,FALSE)</f>
        <v>Easy to blast</v>
      </c>
      <c r="AK1010" s="18">
        <f>+VLOOKUP(AJ1010,Leyenda!$U$4:$V$10,2,FALSE)</f>
        <v>3</v>
      </c>
      <c r="AL1010" s="3"/>
      <c r="AM1010" s="3" t="s">
        <v>27</v>
      </c>
      <c r="AN1010" s="6" t="s">
        <v>64</v>
      </c>
      <c r="AO1010" s="6" t="s">
        <v>79</v>
      </c>
      <c r="AP1010" s="6" t="s">
        <v>96</v>
      </c>
      <c r="AQ1010" s="6" t="s">
        <v>107</v>
      </c>
      <c r="AR1010" s="6" t="s">
        <v>120</v>
      </c>
      <c r="AS1010" s="18" t="s">
        <v>267</v>
      </c>
      <c r="AT1010" s="18"/>
      <c r="AU1010" s="6"/>
      <c r="AV1010" s="18">
        <f>+VLOOKUP(AN1010,Leyenda!$B$30:$E$34,3,FALSE)</f>
        <v>2</v>
      </c>
      <c r="AW1010" s="18">
        <f>+VLOOKUP('2. Logging Brejo Seco'!AO1010,Meteorizacion,3,FALSE)</f>
        <v>1</v>
      </c>
      <c r="AX1010" s="18">
        <f>+VLOOKUP('2. Logging Brejo Seco'!AP1010,Apertura,3,FALSE)</f>
        <v>1</v>
      </c>
      <c r="AY1010" s="18">
        <f>+VLOOKUP('2. Logging Brejo Seco'!AQ1010,Leyenda!$B$55:$D$59,3,FALSE)</f>
        <v>3</v>
      </c>
      <c r="AZ1010" s="18">
        <f>+VLOOKUP('2. Logging Brejo Seco'!AR1010,Relleno,3,FALSE)</f>
        <v>2</v>
      </c>
      <c r="BA1010" s="18">
        <f t="shared" si="382"/>
        <v>9</v>
      </c>
      <c r="BB1010" s="49">
        <f t="shared" si="383"/>
        <v>8</v>
      </c>
      <c r="BC1010" s="49">
        <f>VLOOKUP(AH1010,Leyenda!$B$4:$D$10,3,FALSE)</f>
        <v>4</v>
      </c>
      <c r="BD1010" s="49">
        <f t="shared" si="384"/>
        <v>7</v>
      </c>
      <c r="BE1010" s="49">
        <f t="shared" si="385"/>
        <v>9</v>
      </c>
      <c r="BF1010" s="49">
        <f>VLOOKUP(AS1010,Leyenda!$B$70:$D$75,3,FALSE)</f>
        <v>15</v>
      </c>
      <c r="BG1010" s="67">
        <f t="shared" si="386"/>
        <v>33.499999999999986</v>
      </c>
      <c r="BH1010" s="67">
        <f>VLOOKUP(AG1010,Leyenda!$B$4:$E$10,4,FALSE)</f>
        <v>4</v>
      </c>
      <c r="BI1010" s="67">
        <f t="shared" si="387"/>
        <v>9</v>
      </c>
      <c r="BJ1010" s="67">
        <f t="shared" si="388"/>
        <v>8</v>
      </c>
      <c r="BK1010" s="67">
        <f>+VLOOKUP('2. Logging Brejo Seco'!AP1010,Leyenda!$B$47:$E$51,4,FALSE)</f>
        <v>1</v>
      </c>
      <c r="BL1010" s="67">
        <f>+VLOOKUP('2. Logging Brejo Seco'!AQ1010,Leyenda!$B$55:$E$59,4,FALSE)</f>
        <v>3</v>
      </c>
      <c r="BM1010" s="67">
        <f>+VLOOKUP('2. Logging Brejo Seco'!AR1010,Leyenda!$B$63:$E$67,3,FALSE)</f>
        <v>2</v>
      </c>
      <c r="BN1010" s="67">
        <f>+VLOOKUP('2. Logging Brejo Seco'!AO1010,Leyenda!$B$39:$E$43,4,FALSE)</f>
        <v>1</v>
      </c>
      <c r="BO1010" s="67">
        <f>+VLOOKUP('2. Logging Brejo Seco'!AN1010,Leyenda!$B$30:$E$34,4,FALSE)</f>
        <v>3</v>
      </c>
      <c r="BP1010" s="67">
        <f>VLOOKUP(AS1010,Leyenda!$B$71:$E$75,4,FALSE)</f>
        <v>10</v>
      </c>
      <c r="BQ1010" s="67">
        <f t="shared" si="389"/>
        <v>41</v>
      </c>
      <c r="BR1010" s="18">
        <f t="shared" si="390"/>
        <v>43</v>
      </c>
      <c r="BS1010" s="240">
        <f t="shared" si="393"/>
        <v>0.38461538461538491</v>
      </c>
      <c r="BT1010" s="6"/>
    </row>
    <row r="1011" spans="1:72" x14ac:dyDescent="0.25">
      <c r="A1011" s="18" t="s">
        <v>6</v>
      </c>
      <c r="B1011" s="18">
        <v>2024</v>
      </c>
      <c r="C1011" s="18" t="s">
        <v>138</v>
      </c>
      <c r="D1011" s="18" t="s">
        <v>664</v>
      </c>
      <c r="E1011" s="3">
        <v>20</v>
      </c>
      <c r="F1011" s="191">
        <v>10</v>
      </c>
      <c r="G1011" s="18" t="s">
        <v>156</v>
      </c>
      <c r="H1011" s="3">
        <v>20</v>
      </c>
      <c r="I1011" s="3" t="s">
        <v>760</v>
      </c>
      <c r="J1011" s="3"/>
      <c r="K1011" s="18">
        <f t="shared" si="398"/>
        <v>28.05</v>
      </c>
      <c r="L1011" s="18">
        <v>29.15</v>
      </c>
      <c r="M1011" s="4">
        <f t="shared" si="395"/>
        <v>1.0999999999999979</v>
      </c>
      <c r="N1011" s="113">
        <f t="shared" si="397"/>
        <v>0.74545454545454681</v>
      </c>
      <c r="O1011" s="5">
        <f t="shared" si="401"/>
        <v>0.25454545454545319</v>
      </c>
      <c r="P1011" s="3">
        <v>0.82</v>
      </c>
      <c r="Q1011" s="6"/>
      <c r="R1011" s="6"/>
      <c r="S1011" s="6"/>
      <c r="T1011" s="6">
        <v>0.82</v>
      </c>
      <c r="U1011" s="6">
        <v>0</v>
      </c>
      <c r="V1011" s="18">
        <f t="shared" si="392"/>
        <v>0</v>
      </c>
      <c r="W1011" s="6"/>
      <c r="X1011" s="6"/>
      <c r="Y1011" s="6">
        <v>14</v>
      </c>
      <c r="Z1011" s="31">
        <f t="shared" si="394"/>
        <v>78.571428571428427</v>
      </c>
      <c r="AA1011" s="6"/>
      <c r="AB1011" s="6"/>
      <c r="AC1011" s="6"/>
      <c r="AD1011" s="6"/>
      <c r="AE1011" s="6"/>
      <c r="AF1011" s="6"/>
      <c r="AG1011" s="3" t="s">
        <v>34</v>
      </c>
      <c r="AH1011" s="3" t="s">
        <v>34</v>
      </c>
      <c r="AI1011" s="18">
        <f>+VLOOKUP(AH1011,Leyenda!$O$4:$U$10,6,FALSE)</f>
        <v>0</v>
      </c>
      <c r="AJ1011" s="18" t="str">
        <f>+VLOOKUP(AG1011,Leyenda!$O$4:$U$10,7,FALSE)</f>
        <v>No Blasting need</v>
      </c>
      <c r="AK1011" s="18">
        <f>+VLOOKUP(AJ1011,Leyenda!$U$4:$V$10,2,FALSE)</f>
        <v>2</v>
      </c>
      <c r="AL1011" s="3"/>
      <c r="AM1011" s="3" t="s">
        <v>34</v>
      </c>
      <c r="AN1011" s="6" t="s">
        <v>66</v>
      </c>
      <c r="AO1011" s="6" t="s">
        <v>81</v>
      </c>
      <c r="AP1011" s="6" t="s">
        <v>100</v>
      </c>
      <c r="AQ1011" s="6" t="s">
        <v>109</v>
      </c>
      <c r="AR1011" s="6" t="s">
        <v>120</v>
      </c>
      <c r="AS1011" s="18" t="s">
        <v>267</v>
      </c>
      <c r="AT1011" s="18"/>
      <c r="AU1011" s="6"/>
      <c r="AV1011" s="18">
        <f>+VLOOKUP(AN1011,Leyenda!$B$30:$E$34,3,FALSE)</f>
        <v>1</v>
      </c>
      <c r="AW1011" s="18">
        <f>+VLOOKUP('2. Logging Brejo Seco'!AO1011,Meteorizacion,3,FALSE)</f>
        <v>0</v>
      </c>
      <c r="AX1011" s="18">
        <f>+VLOOKUP('2. Logging Brejo Seco'!AP1011,Apertura,3,FALSE)</f>
        <v>0</v>
      </c>
      <c r="AY1011" s="18">
        <f>+VLOOKUP('2. Logging Brejo Seco'!AQ1011,Leyenda!$B$55:$D$59,3,FALSE)</f>
        <v>1</v>
      </c>
      <c r="AZ1011" s="18">
        <f>+VLOOKUP('2. Logging Brejo Seco'!AR1011,Relleno,3,FALSE)</f>
        <v>2</v>
      </c>
      <c r="BA1011" s="18">
        <f t="shared" si="382"/>
        <v>4</v>
      </c>
      <c r="BB1011" s="49">
        <f t="shared" si="383"/>
        <v>0</v>
      </c>
      <c r="BC1011" s="49">
        <f>VLOOKUP(AH1011,Leyenda!$B$4:$D$10,3,FALSE)</f>
        <v>0</v>
      </c>
      <c r="BD1011" s="49">
        <f t="shared" si="384"/>
        <v>7</v>
      </c>
      <c r="BE1011" s="49">
        <f t="shared" si="385"/>
        <v>4</v>
      </c>
      <c r="BF1011" s="49">
        <f>VLOOKUP(AS1011,Leyenda!$B$70:$D$75,3,FALSE)</f>
        <v>15</v>
      </c>
      <c r="BG1011" s="67">
        <f t="shared" si="386"/>
        <v>6</v>
      </c>
      <c r="BH1011" s="67">
        <f>VLOOKUP(AG1011,Leyenda!$B$4:$E$10,4,FALSE)</f>
        <v>0</v>
      </c>
      <c r="BI1011" s="67">
        <f t="shared" si="387"/>
        <v>7</v>
      </c>
      <c r="BJ1011" s="67">
        <f t="shared" si="388"/>
        <v>0</v>
      </c>
      <c r="BK1011" s="67">
        <f>+VLOOKUP('2. Logging Brejo Seco'!AP1011,Leyenda!$B$47:$E$51,4,FALSE)</f>
        <v>0</v>
      </c>
      <c r="BL1011" s="67">
        <f>+VLOOKUP('2. Logging Brejo Seco'!AQ1011,Leyenda!$B$55:$E$59,4,FALSE)</f>
        <v>1</v>
      </c>
      <c r="BM1011" s="67">
        <f>+VLOOKUP('2. Logging Brejo Seco'!AR1011,Leyenda!$B$63:$E$67,3,FALSE)</f>
        <v>2</v>
      </c>
      <c r="BN1011" s="67">
        <f>+VLOOKUP('2. Logging Brejo Seco'!AO1011,Leyenda!$B$39:$E$43,4,FALSE)</f>
        <v>0</v>
      </c>
      <c r="BO1011" s="67">
        <f>+VLOOKUP('2. Logging Brejo Seco'!AN1011,Leyenda!$B$30:$E$34,4,FALSE)</f>
        <v>1</v>
      </c>
      <c r="BP1011" s="67">
        <f>VLOOKUP(AS1011,Leyenda!$B$71:$E$75,4,FALSE)</f>
        <v>10</v>
      </c>
      <c r="BQ1011" s="67">
        <f t="shared" si="389"/>
        <v>21</v>
      </c>
      <c r="BR1011" s="18">
        <f t="shared" si="390"/>
        <v>26</v>
      </c>
      <c r="BS1011" s="240">
        <f t="shared" si="393"/>
        <v>0.25454545454545319</v>
      </c>
      <c r="BT1011" s="6"/>
    </row>
    <row r="1012" spans="1:72" x14ac:dyDescent="0.25">
      <c r="A1012" s="18" t="s">
        <v>6</v>
      </c>
      <c r="B1012" s="18">
        <v>2024</v>
      </c>
      <c r="C1012" s="18" t="s">
        <v>138</v>
      </c>
      <c r="D1012" s="18" t="s">
        <v>664</v>
      </c>
      <c r="E1012" s="3">
        <v>20</v>
      </c>
      <c r="F1012" s="191">
        <v>10</v>
      </c>
      <c r="G1012" s="18" t="s">
        <v>156</v>
      </c>
      <c r="H1012" s="3">
        <v>20</v>
      </c>
      <c r="I1012" s="3" t="s">
        <v>760</v>
      </c>
      <c r="J1012" s="3"/>
      <c r="K1012" s="18">
        <f t="shared" si="398"/>
        <v>29.15</v>
      </c>
      <c r="L1012" s="18">
        <v>30.85</v>
      </c>
      <c r="M1012" s="4">
        <f t="shared" si="395"/>
        <v>1.7000000000000028</v>
      </c>
      <c r="N1012" s="113">
        <f t="shared" si="397"/>
        <v>0.69411764705882228</v>
      </c>
      <c r="O1012" s="5">
        <f t="shared" si="401"/>
        <v>0.30588235294117772</v>
      </c>
      <c r="P1012" s="3">
        <f>1.01+0.17</f>
        <v>1.18</v>
      </c>
      <c r="Q1012" s="6"/>
      <c r="R1012" s="6"/>
      <c r="S1012" s="6"/>
      <c r="T1012" s="6">
        <v>1.18</v>
      </c>
      <c r="U1012" s="6">
        <f>0.55+0.11</f>
        <v>0.66</v>
      </c>
      <c r="V1012" s="18">
        <f t="shared" si="392"/>
        <v>38.823529411764639</v>
      </c>
      <c r="W1012" s="6"/>
      <c r="X1012" s="6"/>
      <c r="Y1012" s="6">
        <f>7+2</f>
        <v>9</v>
      </c>
      <c r="Z1012" s="31">
        <f t="shared" si="394"/>
        <v>188.8888888888892</v>
      </c>
      <c r="AA1012" s="6"/>
      <c r="AB1012" s="6"/>
      <c r="AC1012" s="6"/>
      <c r="AD1012" s="6"/>
      <c r="AE1012" s="6"/>
      <c r="AF1012" s="6"/>
      <c r="AG1012" s="3" t="s">
        <v>27</v>
      </c>
      <c r="AH1012" s="3" t="s">
        <v>27</v>
      </c>
      <c r="AI1012" s="18" t="str">
        <f>+VLOOKUP(AH1012,Leyenda!$O$4:$U$10,6,FALSE)</f>
        <v>0,35-0,50</v>
      </c>
      <c r="AJ1012" s="18" t="str">
        <f>+VLOOKUP(AG1012,Leyenda!$O$4:$U$10,7,FALSE)</f>
        <v>Easy to blast</v>
      </c>
      <c r="AK1012" s="18">
        <f>+VLOOKUP(AJ1012,Leyenda!$U$4:$V$10,2,FALSE)</f>
        <v>3</v>
      </c>
      <c r="AL1012" s="3"/>
      <c r="AM1012" s="3" t="s">
        <v>27</v>
      </c>
      <c r="AN1012" s="6" t="s">
        <v>64</v>
      </c>
      <c r="AO1012" s="6" t="s">
        <v>79</v>
      </c>
      <c r="AP1012" s="6" t="s">
        <v>96</v>
      </c>
      <c r="AQ1012" s="6" t="s">
        <v>107</v>
      </c>
      <c r="AR1012" s="6" t="s">
        <v>120</v>
      </c>
      <c r="AS1012" s="18" t="s">
        <v>267</v>
      </c>
      <c r="AT1012" s="18"/>
      <c r="AU1012" s="6"/>
      <c r="AV1012" s="18">
        <f>+VLOOKUP(AN1012,Leyenda!$B$30:$E$34,3,FALSE)</f>
        <v>2</v>
      </c>
      <c r="AW1012" s="18">
        <f>+VLOOKUP('2. Logging Brejo Seco'!AO1012,Meteorizacion,3,FALSE)</f>
        <v>1</v>
      </c>
      <c r="AX1012" s="18">
        <f>+VLOOKUP('2. Logging Brejo Seco'!AP1012,Apertura,3,FALSE)</f>
        <v>1</v>
      </c>
      <c r="AY1012" s="18">
        <f>+VLOOKUP('2. Logging Brejo Seco'!AQ1012,Leyenda!$B$55:$D$59,3,FALSE)</f>
        <v>3</v>
      </c>
      <c r="AZ1012" s="18">
        <f>+VLOOKUP('2. Logging Brejo Seco'!AR1012,Relleno,3,FALSE)</f>
        <v>2</v>
      </c>
      <c r="BA1012" s="18">
        <f t="shared" si="382"/>
        <v>9</v>
      </c>
      <c r="BB1012" s="49">
        <f t="shared" si="383"/>
        <v>8</v>
      </c>
      <c r="BC1012" s="49">
        <f>VLOOKUP(AH1012,Leyenda!$B$4:$D$10,3,FALSE)</f>
        <v>4</v>
      </c>
      <c r="BD1012" s="49">
        <f t="shared" si="384"/>
        <v>9</v>
      </c>
      <c r="BE1012" s="49">
        <f t="shared" si="385"/>
        <v>9</v>
      </c>
      <c r="BF1012" s="49">
        <f>VLOOKUP(AS1012,Leyenda!$B$70:$D$75,3,FALSE)</f>
        <v>15</v>
      </c>
      <c r="BG1012" s="67">
        <f t="shared" si="386"/>
        <v>32.91176470588232</v>
      </c>
      <c r="BH1012" s="67">
        <f>VLOOKUP(AG1012,Leyenda!$B$4:$E$10,4,FALSE)</f>
        <v>4</v>
      </c>
      <c r="BI1012" s="67">
        <f t="shared" si="387"/>
        <v>12</v>
      </c>
      <c r="BJ1012" s="67">
        <f t="shared" si="388"/>
        <v>8</v>
      </c>
      <c r="BK1012" s="67">
        <f>+VLOOKUP('2. Logging Brejo Seco'!AP1012,Leyenda!$B$47:$E$51,4,FALSE)</f>
        <v>1</v>
      </c>
      <c r="BL1012" s="67">
        <f>+VLOOKUP('2. Logging Brejo Seco'!AQ1012,Leyenda!$B$55:$E$59,4,FALSE)</f>
        <v>3</v>
      </c>
      <c r="BM1012" s="67">
        <f>+VLOOKUP('2. Logging Brejo Seco'!AR1012,Leyenda!$B$63:$E$67,3,FALSE)</f>
        <v>2</v>
      </c>
      <c r="BN1012" s="67">
        <f>+VLOOKUP('2. Logging Brejo Seco'!AO1012,Leyenda!$B$39:$E$43,4,FALSE)</f>
        <v>1</v>
      </c>
      <c r="BO1012" s="67">
        <f>+VLOOKUP('2. Logging Brejo Seco'!AN1012,Leyenda!$B$30:$E$34,4,FALSE)</f>
        <v>3</v>
      </c>
      <c r="BP1012" s="67">
        <f>VLOOKUP(AS1012,Leyenda!$B$71:$E$75,4,FALSE)</f>
        <v>10</v>
      </c>
      <c r="BQ1012" s="67">
        <f t="shared" si="389"/>
        <v>44</v>
      </c>
      <c r="BR1012" s="18">
        <f t="shared" si="390"/>
        <v>45</v>
      </c>
      <c r="BS1012" s="240">
        <f t="shared" si="393"/>
        <v>0.30588235294117772</v>
      </c>
      <c r="BT1012" s="6"/>
    </row>
    <row r="1013" spans="1:72" x14ac:dyDescent="0.25">
      <c r="A1013" s="18" t="s">
        <v>6</v>
      </c>
      <c r="B1013" s="18">
        <v>2024</v>
      </c>
      <c r="C1013" s="18" t="s">
        <v>138</v>
      </c>
      <c r="D1013" s="18" t="s">
        <v>664</v>
      </c>
      <c r="E1013" s="3">
        <v>20</v>
      </c>
      <c r="F1013" s="191">
        <v>10</v>
      </c>
      <c r="G1013" s="18" t="s">
        <v>156</v>
      </c>
      <c r="H1013" s="3">
        <v>20</v>
      </c>
      <c r="I1013" s="3" t="s">
        <v>760</v>
      </c>
      <c r="J1013" s="3"/>
      <c r="K1013" s="18">
        <f t="shared" si="398"/>
        <v>30.85</v>
      </c>
      <c r="L1013" s="18">
        <v>32.049999999999997</v>
      </c>
      <c r="M1013" s="4">
        <f t="shared" si="395"/>
        <v>1.1999999999999957</v>
      </c>
      <c r="N1013" s="113">
        <f t="shared" si="397"/>
        <v>0.59166666666666878</v>
      </c>
      <c r="O1013" s="5">
        <f t="shared" si="401"/>
        <v>0.40833333333333122</v>
      </c>
      <c r="P1013" s="3">
        <v>0.71</v>
      </c>
      <c r="Q1013" s="6"/>
      <c r="R1013" s="6"/>
      <c r="S1013" s="6"/>
      <c r="T1013" s="6">
        <v>0.71</v>
      </c>
      <c r="U1013" s="6">
        <v>0</v>
      </c>
      <c r="V1013" s="18">
        <f t="shared" si="392"/>
        <v>0</v>
      </c>
      <c r="W1013" s="6"/>
      <c r="X1013" s="6"/>
      <c r="Y1013" s="6">
        <f>10+5</f>
        <v>15</v>
      </c>
      <c r="Z1013" s="31">
        <f t="shared" si="394"/>
        <v>79.999999999999716</v>
      </c>
      <c r="AA1013" s="6"/>
      <c r="AB1013" s="6"/>
      <c r="AC1013" s="6"/>
      <c r="AD1013" s="6"/>
      <c r="AE1013" s="6"/>
      <c r="AF1013" s="6"/>
      <c r="AG1013" s="3" t="s">
        <v>27</v>
      </c>
      <c r="AH1013" s="3" t="s">
        <v>27</v>
      </c>
      <c r="AI1013" s="18" t="str">
        <f>+VLOOKUP(AH1013,Leyenda!$O$4:$U$10,6,FALSE)</f>
        <v>0,35-0,50</v>
      </c>
      <c r="AJ1013" s="18" t="str">
        <f>+VLOOKUP(AG1013,Leyenda!$O$4:$U$10,7,FALSE)</f>
        <v>Easy to blast</v>
      </c>
      <c r="AK1013" s="18">
        <f>+VLOOKUP(AJ1013,Leyenda!$U$4:$V$10,2,FALSE)</f>
        <v>3</v>
      </c>
      <c r="AL1013" s="3"/>
      <c r="AM1013" s="3" t="s">
        <v>34</v>
      </c>
      <c r="AN1013" s="6" t="s">
        <v>66</v>
      </c>
      <c r="AO1013" s="6" t="s">
        <v>81</v>
      </c>
      <c r="AP1013" s="6" t="s">
        <v>100</v>
      </c>
      <c r="AQ1013" s="6" t="s">
        <v>109</v>
      </c>
      <c r="AR1013" s="6" t="s">
        <v>120</v>
      </c>
      <c r="AS1013" s="18" t="s">
        <v>267</v>
      </c>
      <c r="AT1013" s="18"/>
      <c r="AU1013" s="6"/>
      <c r="AV1013" s="18">
        <f>+VLOOKUP(AN1013,Leyenda!$B$30:$E$34,3,FALSE)</f>
        <v>1</v>
      </c>
      <c r="AW1013" s="18">
        <f>+VLOOKUP('2. Logging Brejo Seco'!AO1013,Meteorizacion,3,FALSE)</f>
        <v>0</v>
      </c>
      <c r="AX1013" s="18">
        <f>+VLOOKUP('2. Logging Brejo Seco'!AP1013,Apertura,3,FALSE)</f>
        <v>0</v>
      </c>
      <c r="AY1013" s="18">
        <f>+VLOOKUP('2. Logging Brejo Seco'!AQ1013,Leyenda!$B$55:$D$59,3,FALSE)</f>
        <v>1</v>
      </c>
      <c r="AZ1013" s="18">
        <f>+VLOOKUP('2. Logging Brejo Seco'!AR1013,Relleno,3,FALSE)</f>
        <v>2</v>
      </c>
      <c r="BA1013" s="18">
        <f t="shared" si="382"/>
        <v>4</v>
      </c>
      <c r="BB1013" s="49">
        <f t="shared" si="383"/>
        <v>0</v>
      </c>
      <c r="BC1013" s="49">
        <f>VLOOKUP(AH1013,Leyenda!$B$4:$D$10,3,FALSE)</f>
        <v>4</v>
      </c>
      <c r="BD1013" s="49">
        <f t="shared" si="384"/>
        <v>7</v>
      </c>
      <c r="BE1013" s="49">
        <f t="shared" si="385"/>
        <v>4</v>
      </c>
      <c r="BF1013" s="49">
        <f>VLOOKUP(AS1013,Leyenda!$B$70:$D$75,3,FALSE)</f>
        <v>15</v>
      </c>
      <c r="BG1013" s="67">
        <f t="shared" si="386"/>
        <v>6</v>
      </c>
      <c r="BH1013" s="67">
        <f>VLOOKUP(AG1013,Leyenda!$B$4:$E$10,4,FALSE)</f>
        <v>4</v>
      </c>
      <c r="BI1013" s="67">
        <f t="shared" si="387"/>
        <v>7</v>
      </c>
      <c r="BJ1013" s="67">
        <f t="shared" si="388"/>
        <v>0</v>
      </c>
      <c r="BK1013" s="67">
        <f>+VLOOKUP('2. Logging Brejo Seco'!AP1013,Leyenda!$B$47:$E$51,4,FALSE)</f>
        <v>0</v>
      </c>
      <c r="BL1013" s="67">
        <f>+VLOOKUP('2. Logging Brejo Seco'!AQ1013,Leyenda!$B$55:$E$59,4,FALSE)</f>
        <v>1</v>
      </c>
      <c r="BM1013" s="67">
        <f>+VLOOKUP('2. Logging Brejo Seco'!AR1013,Leyenda!$B$63:$E$67,3,FALSE)</f>
        <v>2</v>
      </c>
      <c r="BN1013" s="67">
        <f>+VLOOKUP('2. Logging Brejo Seco'!AO1013,Leyenda!$B$39:$E$43,4,FALSE)</f>
        <v>0</v>
      </c>
      <c r="BO1013" s="67">
        <f>+VLOOKUP('2. Logging Brejo Seco'!AN1013,Leyenda!$B$30:$E$34,4,FALSE)</f>
        <v>1</v>
      </c>
      <c r="BP1013" s="67">
        <f>VLOOKUP(AS1013,Leyenda!$B$71:$E$75,4,FALSE)</f>
        <v>10</v>
      </c>
      <c r="BQ1013" s="67">
        <f t="shared" si="389"/>
        <v>25</v>
      </c>
      <c r="BR1013" s="18">
        <f t="shared" si="390"/>
        <v>30</v>
      </c>
      <c r="BS1013" s="240">
        <f t="shared" si="393"/>
        <v>0.40833333333333122</v>
      </c>
      <c r="BT1013" s="6"/>
    </row>
    <row r="1014" spans="1:72" x14ac:dyDescent="0.25">
      <c r="A1014" s="18" t="s">
        <v>6</v>
      </c>
      <c r="B1014" s="18">
        <v>2024</v>
      </c>
      <c r="C1014" s="18" t="s">
        <v>138</v>
      </c>
      <c r="D1014" s="18" t="s">
        <v>664</v>
      </c>
      <c r="E1014" s="3">
        <v>20</v>
      </c>
      <c r="F1014" s="191">
        <v>10</v>
      </c>
      <c r="G1014" s="18" t="s">
        <v>156</v>
      </c>
      <c r="H1014" s="3">
        <v>11</v>
      </c>
      <c r="I1014" s="3" t="s">
        <v>765</v>
      </c>
      <c r="J1014" s="3"/>
      <c r="K1014" s="18">
        <f t="shared" si="398"/>
        <v>32.049999999999997</v>
      </c>
      <c r="L1014" s="18">
        <v>32.700000000000003</v>
      </c>
      <c r="M1014" s="4">
        <f t="shared" si="395"/>
        <v>0.65000000000000568</v>
      </c>
      <c r="N1014" s="113">
        <f t="shared" si="397"/>
        <v>0.64615384615384053</v>
      </c>
      <c r="O1014" s="5">
        <f t="shared" si="401"/>
        <v>0.35384615384615947</v>
      </c>
      <c r="P1014" s="3">
        <v>0.42</v>
      </c>
      <c r="Q1014" s="6"/>
      <c r="R1014" s="6"/>
      <c r="S1014" s="6"/>
      <c r="T1014" s="6">
        <v>0.42</v>
      </c>
      <c r="U1014" s="6">
        <v>0.35</v>
      </c>
      <c r="V1014" s="18">
        <f t="shared" si="392"/>
        <v>53.846153846153378</v>
      </c>
      <c r="W1014" s="6"/>
      <c r="X1014" s="6"/>
      <c r="Y1014" s="6">
        <f>3+3</f>
        <v>6</v>
      </c>
      <c r="Z1014" s="31">
        <f t="shared" si="394"/>
        <v>108.33333333333428</v>
      </c>
      <c r="AA1014" s="6"/>
      <c r="AB1014" s="6"/>
      <c r="AC1014" s="6"/>
      <c r="AD1014" s="6"/>
      <c r="AE1014" s="6"/>
      <c r="AF1014" s="6"/>
      <c r="AG1014" s="3" t="s">
        <v>27</v>
      </c>
      <c r="AH1014" s="3" t="s">
        <v>27</v>
      </c>
      <c r="AI1014" s="18" t="str">
        <f>+VLOOKUP(AH1014,Leyenda!$O$4:$U$10,6,FALSE)</f>
        <v>0,35-0,50</v>
      </c>
      <c r="AJ1014" s="18" t="str">
        <f>+VLOOKUP(AG1014,Leyenda!$O$4:$U$10,7,FALSE)</f>
        <v>Easy to blast</v>
      </c>
      <c r="AK1014" s="18">
        <f>+VLOOKUP(AJ1014,Leyenda!$U$4:$V$10,2,FALSE)</f>
        <v>3</v>
      </c>
      <c r="AL1014" s="3"/>
      <c r="AM1014" s="3" t="s">
        <v>27</v>
      </c>
      <c r="AN1014" s="6" t="s">
        <v>64</v>
      </c>
      <c r="AO1014" s="6" t="s">
        <v>79</v>
      </c>
      <c r="AP1014" s="6" t="s">
        <v>96</v>
      </c>
      <c r="AQ1014" s="6" t="s">
        <v>107</v>
      </c>
      <c r="AR1014" s="6" t="s">
        <v>120</v>
      </c>
      <c r="AS1014" s="18" t="s">
        <v>267</v>
      </c>
      <c r="AT1014" s="18"/>
      <c r="AU1014" s="6"/>
      <c r="AV1014" s="18">
        <f>+VLOOKUP(AN1014,Leyenda!$B$30:$E$34,3,FALSE)</f>
        <v>2</v>
      </c>
      <c r="AW1014" s="18">
        <f>+VLOOKUP('2. Logging Brejo Seco'!AO1014,Meteorizacion,3,FALSE)</f>
        <v>1</v>
      </c>
      <c r="AX1014" s="18">
        <f>+VLOOKUP('2. Logging Brejo Seco'!AP1014,Apertura,3,FALSE)</f>
        <v>1</v>
      </c>
      <c r="AY1014" s="18">
        <f>+VLOOKUP('2. Logging Brejo Seco'!AQ1014,Leyenda!$B$55:$D$59,3,FALSE)</f>
        <v>3</v>
      </c>
      <c r="AZ1014" s="18">
        <f>+VLOOKUP('2. Logging Brejo Seco'!AR1014,Relleno,3,FALSE)</f>
        <v>2</v>
      </c>
      <c r="BA1014" s="18">
        <f t="shared" si="382"/>
        <v>9</v>
      </c>
      <c r="BB1014" s="49">
        <f t="shared" si="383"/>
        <v>11</v>
      </c>
      <c r="BC1014" s="49">
        <f>VLOOKUP(AH1014,Leyenda!$B$4:$D$10,3,FALSE)</f>
        <v>4</v>
      </c>
      <c r="BD1014" s="49">
        <f t="shared" si="384"/>
        <v>7</v>
      </c>
      <c r="BE1014" s="49">
        <f t="shared" si="385"/>
        <v>9</v>
      </c>
      <c r="BF1014" s="49">
        <f>VLOOKUP(AS1014,Leyenda!$B$70:$D$75,3,FALSE)</f>
        <v>15</v>
      </c>
      <c r="BG1014" s="67">
        <f t="shared" si="386"/>
        <v>40.423076923076692</v>
      </c>
      <c r="BH1014" s="67">
        <f>VLOOKUP(AG1014,Leyenda!$B$4:$E$10,4,FALSE)</f>
        <v>4</v>
      </c>
      <c r="BI1014" s="67">
        <f t="shared" si="387"/>
        <v>9</v>
      </c>
      <c r="BJ1014" s="67">
        <f t="shared" si="388"/>
        <v>11</v>
      </c>
      <c r="BK1014" s="67">
        <f>+VLOOKUP('2. Logging Brejo Seco'!AP1014,Leyenda!$B$47:$E$51,4,FALSE)</f>
        <v>1</v>
      </c>
      <c r="BL1014" s="67">
        <f>+VLOOKUP('2. Logging Brejo Seco'!AQ1014,Leyenda!$B$55:$E$59,4,FALSE)</f>
        <v>3</v>
      </c>
      <c r="BM1014" s="67">
        <f>+VLOOKUP('2. Logging Brejo Seco'!AR1014,Leyenda!$B$63:$E$67,3,FALSE)</f>
        <v>2</v>
      </c>
      <c r="BN1014" s="67">
        <f>+VLOOKUP('2. Logging Brejo Seco'!AO1014,Leyenda!$B$39:$E$43,4,FALSE)</f>
        <v>1</v>
      </c>
      <c r="BO1014" s="67">
        <f>+VLOOKUP('2. Logging Brejo Seco'!AN1014,Leyenda!$B$30:$E$34,4,FALSE)</f>
        <v>3</v>
      </c>
      <c r="BP1014" s="67">
        <f>VLOOKUP(AS1014,Leyenda!$B$71:$E$75,4,FALSE)</f>
        <v>10</v>
      </c>
      <c r="BQ1014" s="67">
        <f t="shared" si="389"/>
        <v>44</v>
      </c>
      <c r="BR1014" s="18">
        <f t="shared" si="390"/>
        <v>46</v>
      </c>
      <c r="BS1014" s="240">
        <f t="shared" si="393"/>
        <v>0.35384615384615947</v>
      </c>
      <c r="BT1014" s="6"/>
    </row>
    <row r="1015" spans="1:72" x14ac:dyDescent="0.25">
      <c r="A1015" s="18" t="s">
        <v>6</v>
      </c>
      <c r="B1015" s="18">
        <v>2024</v>
      </c>
      <c r="C1015" s="18" t="s">
        <v>138</v>
      </c>
      <c r="D1015" s="18" t="s">
        <v>664</v>
      </c>
      <c r="E1015" s="3">
        <v>20</v>
      </c>
      <c r="F1015" s="191">
        <v>10</v>
      </c>
      <c r="G1015" s="18" t="s">
        <v>156</v>
      </c>
      <c r="H1015" s="3">
        <v>11</v>
      </c>
      <c r="I1015" s="3" t="s">
        <v>765</v>
      </c>
      <c r="J1015" s="3"/>
      <c r="K1015" s="18">
        <f t="shared" si="398"/>
        <v>32.700000000000003</v>
      </c>
      <c r="L1015" s="18">
        <v>34.700000000000003</v>
      </c>
      <c r="M1015" s="4">
        <f t="shared" si="395"/>
        <v>2</v>
      </c>
      <c r="N1015" s="113">
        <f t="shared" si="397"/>
        <v>0.77500000000000002</v>
      </c>
      <c r="O1015" s="5">
        <f t="shared" si="401"/>
        <v>0.22499999999999998</v>
      </c>
      <c r="P1015" s="3">
        <f>1.23+0.32</f>
        <v>1.55</v>
      </c>
      <c r="Q1015" s="6"/>
      <c r="R1015" s="6"/>
      <c r="S1015" s="6"/>
      <c r="T1015" s="6">
        <v>1.55</v>
      </c>
      <c r="U1015" s="6">
        <f>0.99+0.21</f>
        <v>1.2</v>
      </c>
      <c r="V1015" s="18">
        <f t="shared" si="392"/>
        <v>60</v>
      </c>
      <c r="W1015" s="6"/>
      <c r="X1015" s="6"/>
      <c r="Y1015" s="6">
        <f>8+2</f>
        <v>10</v>
      </c>
      <c r="Z1015" s="31">
        <f t="shared" si="394"/>
        <v>200</v>
      </c>
      <c r="AA1015" s="6"/>
      <c r="AB1015" s="6"/>
      <c r="AC1015" s="6"/>
      <c r="AD1015" s="6"/>
      <c r="AE1015" s="6"/>
      <c r="AF1015" s="6"/>
      <c r="AG1015" s="3" t="s">
        <v>27</v>
      </c>
      <c r="AH1015" s="3" t="s">
        <v>27</v>
      </c>
      <c r="AI1015" s="18" t="str">
        <f>+VLOOKUP(AH1015,Leyenda!$O$4:$U$10,6,FALSE)</f>
        <v>0,35-0,50</v>
      </c>
      <c r="AJ1015" s="18" t="str">
        <f>+VLOOKUP(AG1015,Leyenda!$O$4:$U$10,7,FALSE)</f>
        <v>Easy to blast</v>
      </c>
      <c r="AK1015" s="18">
        <f>+VLOOKUP(AJ1015,Leyenda!$U$4:$V$10,2,FALSE)</f>
        <v>3</v>
      </c>
      <c r="AL1015" s="3"/>
      <c r="AM1015" s="3" t="s">
        <v>27</v>
      </c>
      <c r="AN1015" s="6" t="s">
        <v>64</v>
      </c>
      <c r="AO1015" s="6" t="s">
        <v>79</v>
      </c>
      <c r="AP1015" s="6" t="s">
        <v>96</v>
      </c>
      <c r="AQ1015" s="6" t="s">
        <v>107</v>
      </c>
      <c r="AR1015" s="6" t="s">
        <v>120</v>
      </c>
      <c r="AS1015" s="18" t="s">
        <v>267</v>
      </c>
      <c r="AT1015" s="18"/>
      <c r="AU1015" s="6"/>
      <c r="AV1015" s="18">
        <f>+VLOOKUP(AN1015,Leyenda!$B$30:$E$34,3,FALSE)</f>
        <v>2</v>
      </c>
      <c r="AW1015" s="18">
        <f>+VLOOKUP('2. Logging Brejo Seco'!AO1015,Meteorizacion,3,FALSE)</f>
        <v>1</v>
      </c>
      <c r="AX1015" s="18">
        <f>+VLOOKUP('2. Logging Brejo Seco'!AP1015,Apertura,3,FALSE)</f>
        <v>1</v>
      </c>
      <c r="AY1015" s="18">
        <f>+VLOOKUP('2. Logging Brejo Seco'!AQ1015,Leyenda!$B$55:$D$59,3,FALSE)</f>
        <v>3</v>
      </c>
      <c r="AZ1015" s="18">
        <f>+VLOOKUP('2. Logging Brejo Seco'!AR1015,Relleno,3,FALSE)</f>
        <v>2</v>
      </c>
      <c r="BA1015" s="18">
        <f t="shared" ref="BA1015:BA1019" si="402">+SUM(AV1015:AZ1015)</f>
        <v>9</v>
      </c>
      <c r="BB1015" s="49">
        <f t="shared" ref="BB1015:BB1019" si="403">ROUND(-0.0002*POWER(V1015,2)+0.2197*V1015,0)</f>
        <v>12</v>
      </c>
      <c r="BC1015" s="49">
        <f>VLOOKUP(AH1015,Leyenda!$B$4:$D$10,3,FALSE)</f>
        <v>4</v>
      </c>
      <c r="BD1015" s="49">
        <f t="shared" ref="BD1015:BD1019" si="404">IF(Z1015="",ROUND((IF(Z1015&lt;=400,1.5478*POWER(Z1015,0.3351),-2*POWER(10,-6)*POWER(Z1015,2)+0.0091*Z1015+8.1704)),0),ROUND((IF(Z1015&lt;=400,1.5478*POWER(Z1015,0.3351),-2*POWER(10,-6)*POWER(Z1015,2)+0.0091*Z1015+8.1704)),0))</f>
        <v>9</v>
      </c>
      <c r="BE1015" s="49">
        <f t="shared" ref="BE1015:BE1019" si="405">+BA1015</f>
        <v>9</v>
      </c>
      <c r="BF1015" s="49">
        <f>VLOOKUP(AS1015,Leyenda!$B$70:$D$75,3,FALSE)</f>
        <v>15</v>
      </c>
      <c r="BG1015" s="67">
        <f t="shared" ref="BG1015:BG1019" si="406">1.5*BA1015+(V1015*0.5)</f>
        <v>43.5</v>
      </c>
      <c r="BH1015" s="67">
        <f>VLOOKUP(AG1015,Leyenda!$B$4:$E$10,4,FALSE)</f>
        <v>4</v>
      </c>
      <c r="BI1015" s="67">
        <f t="shared" ref="BI1015:BI1019" si="407">IF(Z1015="",ROUND(IF(Z1015&lt;=50,5,IF(Z1015&gt;=3000,30,6.038*LN(Z1015)-19.63)),0),ROUND(IF(Z1015&lt;=50,5,IF(Z1015&gt;=3000,30,6.038*LN(Z1015)-19.63)),0))</f>
        <v>12</v>
      </c>
      <c r="BJ1015" s="67">
        <f t="shared" ref="BJ1015:BJ1019" si="408">ROUND(-0.0002*POWER(V1015,2)+0.2197*V1015,0)</f>
        <v>12</v>
      </c>
      <c r="BK1015" s="67">
        <f>+VLOOKUP('2. Logging Brejo Seco'!AP1015,Leyenda!$B$47:$E$51,4,FALSE)</f>
        <v>1</v>
      </c>
      <c r="BL1015" s="67">
        <f>+VLOOKUP('2. Logging Brejo Seco'!AQ1015,Leyenda!$B$55:$E$59,4,FALSE)</f>
        <v>3</v>
      </c>
      <c r="BM1015" s="67">
        <f>+VLOOKUP('2. Logging Brejo Seco'!AR1015,Leyenda!$B$63:$E$67,3,FALSE)</f>
        <v>2</v>
      </c>
      <c r="BN1015" s="67">
        <f>+VLOOKUP('2. Logging Brejo Seco'!AO1015,Leyenda!$B$39:$E$43,4,FALSE)</f>
        <v>1</v>
      </c>
      <c r="BO1015" s="67">
        <f>+VLOOKUP('2. Logging Brejo Seco'!AN1015,Leyenda!$B$30:$E$34,4,FALSE)</f>
        <v>3</v>
      </c>
      <c r="BP1015" s="67">
        <f>VLOOKUP(AS1015,Leyenda!$B$71:$E$75,4,FALSE)</f>
        <v>10</v>
      </c>
      <c r="BQ1015" s="67">
        <f t="shared" ref="BQ1015:BQ1019" si="409">+BH1015+BI1015+BJ1015+BK1015+BL1015+BM1015+BN1015+BO1015+BP1015</f>
        <v>48</v>
      </c>
      <c r="BR1015" s="18">
        <f t="shared" ref="BR1015:BR1019" si="410">+BC1015+BD1015+BB1015+BE1015+BF1015</f>
        <v>49</v>
      </c>
      <c r="BS1015" s="240">
        <f t="shared" si="393"/>
        <v>0.22499999999999998</v>
      </c>
      <c r="BT1015" s="6"/>
    </row>
    <row r="1016" spans="1:72" x14ac:dyDescent="0.25">
      <c r="A1016" s="18" t="s">
        <v>6</v>
      </c>
      <c r="B1016" s="18">
        <v>2024</v>
      </c>
      <c r="C1016" s="18" t="s">
        <v>138</v>
      </c>
      <c r="D1016" s="18" t="s">
        <v>664</v>
      </c>
      <c r="E1016" s="3">
        <v>20</v>
      </c>
      <c r="F1016" s="191">
        <v>10</v>
      </c>
      <c r="G1016" s="18" t="s">
        <v>156</v>
      </c>
      <c r="H1016" s="3">
        <v>11</v>
      </c>
      <c r="I1016" s="3" t="s">
        <v>765</v>
      </c>
      <c r="J1016" s="3"/>
      <c r="K1016" s="18">
        <f t="shared" si="398"/>
        <v>34.700000000000003</v>
      </c>
      <c r="L1016" s="18">
        <v>36.700000000000003</v>
      </c>
      <c r="M1016" s="4">
        <f t="shared" si="395"/>
        <v>2</v>
      </c>
      <c r="N1016" s="113">
        <f t="shared" si="397"/>
        <v>0.755</v>
      </c>
      <c r="O1016" s="5">
        <f t="shared" si="401"/>
        <v>0.245</v>
      </c>
      <c r="P1016" s="3">
        <v>1.51</v>
      </c>
      <c r="Q1016" s="6"/>
      <c r="R1016" s="6"/>
      <c r="S1016" s="6"/>
      <c r="T1016" s="6">
        <v>1.51</v>
      </c>
      <c r="U1016" s="6">
        <v>0.66</v>
      </c>
      <c r="V1016" s="18">
        <f t="shared" si="392"/>
        <v>33</v>
      </c>
      <c r="W1016" s="6"/>
      <c r="X1016" s="6"/>
      <c r="Y1016" s="6">
        <v>11</v>
      </c>
      <c r="Z1016" s="31">
        <f t="shared" si="394"/>
        <v>181.81818181818181</v>
      </c>
      <c r="AA1016" s="6"/>
      <c r="AB1016" s="6"/>
      <c r="AC1016" s="6"/>
      <c r="AD1016" s="6"/>
      <c r="AE1016" s="6"/>
      <c r="AF1016" s="6"/>
      <c r="AG1016" s="3" t="s">
        <v>34</v>
      </c>
      <c r="AH1016" s="3" t="s">
        <v>34</v>
      </c>
      <c r="AI1016" s="18">
        <f>+VLOOKUP(AH1016,Leyenda!$O$4:$U$10,6,FALSE)</f>
        <v>0</v>
      </c>
      <c r="AJ1016" s="18" t="str">
        <f>+VLOOKUP(AG1016,Leyenda!$O$4:$U$10,7,FALSE)</f>
        <v>No Blasting need</v>
      </c>
      <c r="AK1016" s="18">
        <f>+VLOOKUP(AJ1016,Leyenda!$U$4:$V$10,2,FALSE)</f>
        <v>2</v>
      </c>
      <c r="AL1016" s="3"/>
      <c r="AM1016" s="3" t="s">
        <v>34</v>
      </c>
      <c r="AN1016" s="6" t="s">
        <v>66</v>
      </c>
      <c r="AO1016" s="6" t="s">
        <v>81</v>
      </c>
      <c r="AP1016" s="6" t="s">
        <v>100</v>
      </c>
      <c r="AQ1016" s="6" t="s">
        <v>109</v>
      </c>
      <c r="AR1016" s="6" t="s">
        <v>120</v>
      </c>
      <c r="AS1016" s="18" t="s">
        <v>267</v>
      </c>
      <c r="AT1016" s="18"/>
      <c r="AU1016" s="6"/>
      <c r="AV1016" s="18">
        <f>+VLOOKUP(AN1016,Leyenda!$B$30:$E$34,3,FALSE)</f>
        <v>1</v>
      </c>
      <c r="AW1016" s="18">
        <f>+VLOOKUP('2. Logging Brejo Seco'!AO1016,Meteorizacion,3,FALSE)</f>
        <v>0</v>
      </c>
      <c r="AX1016" s="18">
        <f>+VLOOKUP('2. Logging Brejo Seco'!AP1016,Apertura,3,FALSE)</f>
        <v>0</v>
      </c>
      <c r="AY1016" s="18">
        <f>+VLOOKUP('2. Logging Brejo Seco'!AQ1016,Leyenda!$B$55:$D$59,3,FALSE)</f>
        <v>1</v>
      </c>
      <c r="AZ1016" s="18">
        <f>+VLOOKUP('2. Logging Brejo Seco'!AR1016,Relleno,3,FALSE)</f>
        <v>2</v>
      </c>
      <c r="BA1016" s="18">
        <f t="shared" si="402"/>
        <v>4</v>
      </c>
      <c r="BB1016" s="49">
        <f t="shared" si="403"/>
        <v>7</v>
      </c>
      <c r="BC1016" s="49">
        <f>VLOOKUP(AH1016,Leyenda!$B$4:$D$10,3,FALSE)</f>
        <v>0</v>
      </c>
      <c r="BD1016" s="49">
        <f t="shared" si="404"/>
        <v>9</v>
      </c>
      <c r="BE1016" s="49">
        <f t="shared" si="405"/>
        <v>4</v>
      </c>
      <c r="BF1016" s="49">
        <f>VLOOKUP(AS1016,Leyenda!$B$70:$D$75,3,FALSE)</f>
        <v>15</v>
      </c>
      <c r="BG1016" s="67">
        <f t="shared" si="406"/>
        <v>22.5</v>
      </c>
      <c r="BH1016" s="67">
        <f>VLOOKUP(AG1016,Leyenda!$B$4:$E$10,4,FALSE)</f>
        <v>0</v>
      </c>
      <c r="BI1016" s="67">
        <f t="shared" si="407"/>
        <v>12</v>
      </c>
      <c r="BJ1016" s="67">
        <f t="shared" si="408"/>
        <v>7</v>
      </c>
      <c r="BK1016" s="67">
        <f>+VLOOKUP('2. Logging Brejo Seco'!AP1016,Leyenda!$B$47:$E$51,4,FALSE)</f>
        <v>0</v>
      </c>
      <c r="BL1016" s="67">
        <f>+VLOOKUP('2. Logging Brejo Seco'!AQ1016,Leyenda!$B$55:$E$59,4,FALSE)</f>
        <v>1</v>
      </c>
      <c r="BM1016" s="67">
        <f>+VLOOKUP('2. Logging Brejo Seco'!AR1016,Leyenda!$B$63:$E$67,3,FALSE)</f>
        <v>2</v>
      </c>
      <c r="BN1016" s="67">
        <f>+VLOOKUP('2. Logging Brejo Seco'!AO1016,Leyenda!$B$39:$E$43,4,FALSE)</f>
        <v>0</v>
      </c>
      <c r="BO1016" s="67">
        <f>+VLOOKUP('2. Logging Brejo Seco'!AN1016,Leyenda!$B$30:$E$34,4,FALSE)</f>
        <v>1</v>
      </c>
      <c r="BP1016" s="67">
        <f>VLOOKUP(AS1016,Leyenda!$B$71:$E$75,4,FALSE)</f>
        <v>10</v>
      </c>
      <c r="BQ1016" s="67">
        <f t="shared" si="409"/>
        <v>33</v>
      </c>
      <c r="BR1016" s="18">
        <f t="shared" si="410"/>
        <v>35</v>
      </c>
      <c r="BS1016" s="240">
        <f t="shared" si="393"/>
        <v>0.245</v>
      </c>
      <c r="BT1016" s="6"/>
    </row>
    <row r="1017" spans="1:72" x14ac:dyDescent="0.25">
      <c r="A1017" s="18" t="s">
        <v>6</v>
      </c>
      <c r="B1017" s="18">
        <v>2024</v>
      </c>
      <c r="C1017" s="18" t="s">
        <v>138</v>
      </c>
      <c r="D1017" s="18" t="s">
        <v>664</v>
      </c>
      <c r="E1017" s="3">
        <v>20</v>
      </c>
      <c r="F1017" s="191">
        <v>10</v>
      </c>
      <c r="G1017" s="18" t="s">
        <v>156</v>
      </c>
      <c r="H1017" s="3">
        <v>11</v>
      </c>
      <c r="I1017" s="3" t="s">
        <v>765</v>
      </c>
      <c r="J1017" s="3"/>
      <c r="K1017" s="18">
        <f t="shared" si="398"/>
        <v>36.700000000000003</v>
      </c>
      <c r="L1017" s="18">
        <v>37.700000000000003</v>
      </c>
      <c r="M1017" s="4">
        <f t="shared" si="395"/>
        <v>1</v>
      </c>
      <c r="N1017" s="113">
        <f t="shared" si="397"/>
        <v>0.55000000000000004</v>
      </c>
      <c r="O1017" s="5">
        <f t="shared" si="401"/>
        <v>0.44999999999999996</v>
      </c>
      <c r="P1017" s="3">
        <v>0.55000000000000004</v>
      </c>
      <c r="Q1017" s="6"/>
      <c r="R1017" s="6"/>
      <c r="S1017" s="6"/>
      <c r="T1017" s="6">
        <v>0.55000000000000004</v>
      </c>
      <c r="U1017" s="6">
        <v>0.5</v>
      </c>
      <c r="V1017" s="18">
        <f t="shared" si="392"/>
        <v>50</v>
      </c>
      <c r="W1017" s="6"/>
      <c r="X1017" s="6"/>
      <c r="Y1017" s="6">
        <f>5+5</f>
        <v>10</v>
      </c>
      <c r="Z1017" s="31">
        <f t="shared" si="394"/>
        <v>100</v>
      </c>
      <c r="AA1017" s="6"/>
      <c r="AB1017" s="6"/>
      <c r="AC1017" s="6"/>
      <c r="AD1017" s="6"/>
      <c r="AE1017" s="6"/>
      <c r="AF1017" s="6"/>
      <c r="AG1017" s="3" t="s">
        <v>27</v>
      </c>
      <c r="AH1017" s="3" t="s">
        <v>27</v>
      </c>
      <c r="AI1017" s="18" t="str">
        <f>+VLOOKUP(AH1017,Leyenda!$O$4:$U$10,6,FALSE)</f>
        <v>0,35-0,50</v>
      </c>
      <c r="AJ1017" s="18" t="str">
        <f>+VLOOKUP(AG1017,Leyenda!$O$4:$U$10,7,FALSE)</f>
        <v>Easy to blast</v>
      </c>
      <c r="AK1017" s="18">
        <f>+VLOOKUP(AJ1017,Leyenda!$U$4:$V$10,2,FALSE)</f>
        <v>3</v>
      </c>
      <c r="AL1017" s="3"/>
      <c r="AM1017" s="3" t="s">
        <v>27</v>
      </c>
      <c r="AN1017" s="6" t="s">
        <v>64</v>
      </c>
      <c r="AO1017" s="6" t="s">
        <v>79</v>
      </c>
      <c r="AP1017" s="6" t="s">
        <v>96</v>
      </c>
      <c r="AQ1017" s="6" t="s">
        <v>107</v>
      </c>
      <c r="AR1017" s="6" t="s">
        <v>120</v>
      </c>
      <c r="AS1017" s="18" t="s">
        <v>267</v>
      </c>
      <c r="AT1017" s="18"/>
      <c r="AU1017" s="6"/>
      <c r="AV1017" s="18">
        <f>+VLOOKUP(AN1017,Leyenda!$B$30:$E$34,3,FALSE)</f>
        <v>2</v>
      </c>
      <c r="AW1017" s="18">
        <f>+VLOOKUP('2. Logging Brejo Seco'!AO1017,Meteorizacion,3,FALSE)</f>
        <v>1</v>
      </c>
      <c r="AX1017" s="18">
        <f>+VLOOKUP('2. Logging Brejo Seco'!AP1017,Apertura,3,FALSE)</f>
        <v>1</v>
      </c>
      <c r="AY1017" s="18">
        <f>+VLOOKUP('2. Logging Brejo Seco'!AQ1017,Leyenda!$B$55:$D$59,3,FALSE)</f>
        <v>3</v>
      </c>
      <c r="AZ1017" s="18">
        <f>+VLOOKUP('2. Logging Brejo Seco'!AR1017,Relleno,3,FALSE)</f>
        <v>2</v>
      </c>
      <c r="BA1017" s="18">
        <f t="shared" si="402"/>
        <v>9</v>
      </c>
      <c r="BB1017" s="49">
        <f t="shared" si="403"/>
        <v>10</v>
      </c>
      <c r="BC1017" s="49">
        <f>VLOOKUP(AH1017,Leyenda!$B$4:$D$10,3,FALSE)</f>
        <v>4</v>
      </c>
      <c r="BD1017" s="49">
        <f t="shared" si="404"/>
        <v>7</v>
      </c>
      <c r="BE1017" s="49">
        <f t="shared" si="405"/>
        <v>9</v>
      </c>
      <c r="BF1017" s="49">
        <f>VLOOKUP(AS1017,Leyenda!$B$70:$D$75,3,FALSE)</f>
        <v>15</v>
      </c>
      <c r="BG1017" s="67">
        <f t="shared" si="406"/>
        <v>38.5</v>
      </c>
      <c r="BH1017" s="67">
        <f>VLOOKUP(AG1017,Leyenda!$B$4:$E$10,4,FALSE)</f>
        <v>4</v>
      </c>
      <c r="BI1017" s="67">
        <f t="shared" si="407"/>
        <v>8</v>
      </c>
      <c r="BJ1017" s="67">
        <f t="shared" si="408"/>
        <v>10</v>
      </c>
      <c r="BK1017" s="67">
        <f>+VLOOKUP('2. Logging Brejo Seco'!AP1017,Leyenda!$B$47:$E$51,4,FALSE)</f>
        <v>1</v>
      </c>
      <c r="BL1017" s="67">
        <f>+VLOOKUP('2. Logging Brejo Seco'!AQ1017,Leyenda!$B$55:$E$59,4,FALSE)</f>
        <v>3</v>
      </c>
      <c r="BM1017" s="67">
        <f>+VLOOKUP('2. Logging Brejo Seco'!AR1017,Leyenda!$B$63:$E$67,3,FALSE)</f>
        <v>2</v>
      </c>
      <c r="BN1017" s="67">
        <f>+VLOOKUP('2. Logging Brejo Seco'!AO1017,Leyenda!$B$39:$E$43,4,FALSE)</f>
        <v>1</v>
      </c>
      <c r="BO1017" s="67">
        <f>+VLOOKUP('2. Logging Brejo Seco'!AN1017,Leyenda!$B$30:$E$34,4,FALSE)</f>
        <v>3</v>
      </c>
      <c r="BP1017" s="67">
        <f>VLOOKUP(AS1017,Leyenda!$B$71:$E$75,4,FALSE)</f>
        <v>10</v>
      </c>
      <c r="BQ1017" s="67">
        <f t="shared" si="409"/>
        <v>42</v>
      </c>
      <c r="BR1017" s="18">
        <f t="shared" si="410"/>
        <v>45</v>
      </c>
      <c r="BS1017" s="240">
        <f t="shared" si="393"/>
        <v>0.44999999999999996</v>
      </c>
      <c r="BT1017" s="6"/>
    </row>
    <row r="1018" spans="1:72" x14ac:dyDescent="0.25">
      <c r="A1018" s="18" t="s">
        <v>6</v>
      </c>
      <c r="B1018" s="18">
        <v>2024</v>
      </c>
      <c r="C1018" s="18" t="s">
        <v>138</v>
      </c>
      <c r="D1018" s="18" t="s">
        <v>664</v>
      </c>
      <c r="E1018" s="3">
        <v>20</v>
      </c>
      <c r="F1018" s="191">
        <v>10</v>
      </c>
      <c r="G1018" s="18" t="s">
        <v>156</v>
      </c>
      <c r="H1018" s="3">
        <v>11</v>
      </c>
      <c r="I1018" s="3" t="s">
        <v>765</v>
      </c>
      <c r="J1018" s="3"/>
      <c r="K1018" s="18">
        <f t="shared" si="398"/>
        <v>37.700000000000003</v>
      </c>
      <c r="L1018" s="18">
        <v>38.700000000000003</v>
      </c>
      <c r="M1018" s="4">
        <f t="shared" si="395"/>
        <v>1</v>
      </c>
      <c r="N1018" s="113">
        <f t="shared" si="397"/>
        <v>0.64</v>
      </c>
      <c r="O1018" s="5">
        <f t="shared" si="401"/>
        <v>0.36</v>
      </c>
      <c r="P1018" s="3">
        <f>0.09+0.55</f>
        <v>0.64</v>
      </c>
      <c r="Q1018" s="6"/>
      <c r="R1018" s="6"/>
      <c r="S1018" s="6"/>
      <c r="T1018" s="6">
        <v>0.64</v>
      </c>
      <c r="U1018" s="6">
        <v>0.38</v>
      </c>
      <c r="V1018" s="18">
        <f t="shared" si="392"/>
        <v>38</v>
      </c>
      <c r="W1018" s="6"/>
      <c r="X1018" s="6"/>
      <c r="Y1018" s="6">
        <v>4</v>
      </c>
      <c r="Z1018" s="31">
        <f t="shared" si="394"/>
        <v>250</v>
      </c>
      <c r="AA1018" s="6"/>
      <c r="AB1018" s="6"/>
      <c r="AC1018" s="6"/>
      <c r="AD1018" s="6"/>
      <c r="AE1018" s="6"/>
      <c r="AF1018" s="6"/>
      <c r="AG1018" s="3" t="s">
        <v>27</v>
      </c>
      <c r="AH1018" s="3" t="s">
        <v>27</v>
      </c>
      <c r="AI1018" s="18" t="str">
        <f>+VLOOKUP(AH1018,Leyenda!$O$4:$U$10,6,FALSE)</f>
        <v>0,35-0,50</v>
      </c>
      <c r="AJ1018" s="18" t="str">
        <f>+VLOOKUP(AG1018,Leyenda!$O$4:$U$10,7,FALSE)</f>
        <v>Easy to blast</v>
      </c>
      <c r="AK1018" s="18">
        <f>+VLOOKUP(AJ1018,Leyenda!$U$4:$V$10,2,FALSE)</f>
        <v>3</v>
      </c>
      <c r="AL1018" s="3"/>
      <c r="AM1018" s="3" t="s">
        <v>27</v>
      </c>
      <c r="AN1018" s="6" t="s">
        <v>64</v>
      </c>
      <c r="AO1018" s="6" t="s">
        <v>79</v>
      </c>
      <c r="AP1018" s="6" t="s">
        <v>96</v>
      </c>
      <c r="AQ1018" s="6" t="s">
        <v>107</v>
      </c>
      <c r="AR1018" s="6" t="s">
        <v>120</v>
      </c>
      <c r="AS1018" s="18" t="s">
        <v>267</v>
      </c>
      <c r="AT1018" s="18"/>
      <c r="AU1018" s="6"/>
      <c r="AV1018" s="18">
        <f>+VLOOKUP(AN1018,Leyenda!$B$30:$E$34,3,FALSE)</f>
        <v>2</v>
      </c>
      <c r="AW1018" s="18">
        <f>+VLOOKUP('2. Logging Brejo Seco'!AO1018,Meteorizacion,3,FALSE)</f>
        <v>1</v>
      </c>
      <c r="AX1018" s="18">
        <f>+VLOOKUP('2. Logging Brejo Seco'!AP1018,Apertura,3,FALSE)</f>
        <v>1</v>
      </c>
      <c r="AY1018" s="18">
        <f>+VLOOKUP('2. Logging Brejo Seco'!AQ1018,Leyenda!$B$55:$D$59,3,FALSE)</f>
        <v>3</v>
      </c>
      <c r="AZ1018" s="18">
        <f>+VLOOKUP('2. Logging Brejo Seco'!AR1018,Relleno,3,FALSE)</f>
        <v>2</v>
      </c>
      <c r="BA1018" s="18">
        <f t="shared" si="402"/>
        <v>9</v>
      </c>
      <c r="BB1018" s="49">
        <f t="shared" si="403"/>
        <v>8</v>
      </c>
      <c r="BC1018" s="49">
        <f>VLOOKUP(AH1018,Leyenda!$B$4:$D$10,3,FALSE)</f>
        <v>4</v>
      </c>
      <c r="BD1018" s="49">
        <f t="shared" si="404"/>
        <v>10</v>
      </c>
      <c r="BE1018" s="49">
        <f t="shared" si="405"/>
        <v>9</v>
      </c>
      <c r="BF1018" s="49">
        <f>VLOOKUP(AS1018,Leyenda!$B$70:$D$75,3,FALSE)</f>
        <v>15</v>
      </c>
      <c r="BG1018" s="67">
        <f t="shared" si="406"/>
        <v>32.5</v>
      </c>
      <c r="BH1018" s="67">
        <f>VLOOKUP(AG1018,Leyenda!$B$4:$E$10,4,FALSE)</f>
        <v>4</v>
      </c>
      <c r="BI1018" s="67">
        <f t="shared" si="407"/>
        <v>14</v>
      </c>
      <c r="BJ1018" s="67">
        <f t="shared" si="408"/>
        <v>8</v>
      </c>
      <c r="BK1018" s="67">
        <f>+VLOOKUP('2. Logging Brejo Seco'!AP1018,Leyenda!$B$47:$E$51,4,FALSE)</f>
        <v>1</v>
      </c>
      <c r="BL1018" s="67">
        <f>+VLOOKUP('2. Logging Brejo Seco'!AQ1018,Leyenda!$B$55:$E$59,4,FALSE)</f>
        <v>3</v>
      </c>
      <c r="BM1018" s="67">
        <f>+VLOOKUP('2. Logging Brejo Seco'!AR1018,Leyenda!$B$63:$E$67,3,FALSE)</f>
        <v>2</v>
      </c>
      <c r="BN1018" s="67">
        <f>+VLOOKUP('2. Logging Brejo Seco'!AO1018,Leyenda!$B$39:$E$43,4,FALSE)</f>
        <v>1</v>
      </c>
      <c r="BO1018" s="67">
        <f>+VLOOKUP('2. Logging Brejo Seco'!AN1018,Leyenda!$B$30:$E$34,4,FALSE)</f>
        <v>3</v>
      </c>
      <c r="BP1018" s="67">
        <f>VLOOKUP(AS1018,Leyenda!$B$71:$E$75,4,FALSE)</f>
        <v>10</v>
      </c>
      <c r="BQ1018" s="67">
        <f t="shared" si="409"/>
        <v>46</v>
      </c>
      <c r="BR1018" s="18">
        <f t="shared" si="410"/>
        <v>46</v>
      </c>
      <c r="BS1018" s="240">
        <f t="shared" si="393"/>
        <v>0.36</v>
      </c>
      <c r="BT1018" s="6"/>
    </row>
    <row r="1019" spans="1:72" x14ac:dyDescent="0.25">
      <c r="A1019" s="18" t="s">
        <v>6</v>
      </c>
      <c r="B1019" s="18">
        <v>2024</v>
      </c>
      <c r="C1019" s="18" t="s">
        <v>138</v>
      </c>
      <c r="D1019" s="18" t="s">
        <v>664</v>
      </c>
      <c r="E1019" s="3">
        <v>20</v>
      </c>
      <c r="F1019" s="191">
        <v>10</v>
      </c>
      <c r="G1019" s="18" t="s">
        <v>156</v>
      </c>
      <c r="H1019" s="3">
        <v>11</v>
      </c>
      <c r="I1019" s="3" t="s">
        <v>765</v>
      </c>
      <c r="J1019" s="3"/>
      <c r="K1019" s="18">
        <f t="shared" si="398"/>
        <v>38.700000000000003</v>
      </c>
      <c r="L1019" s="18">
        <v>40.200000000000003</v>
      </c>
      <c r="M1019" s="4">
        <f t="shared" si="395"/>
        <v>1.5</v>
      </c>
      <c r="N1019" s="32">
        <f t="shared" si="397"/>
        <v>0.78666666666666663</v>
      </c>
      <c r="O1019" s="5">
        <f t="shared" si="401"/>
        <v>0.21333333333333337</v>
      </c>
      <c r="P1019" s="3">
        <v>1.18</v>
      </c>
      <c r="Q1019" s="6"/>
      <c r="R1019" s="6"/>
      <c r="S1019" s="6"/>
      <c r="T1019" s="6">
        <v>1.18</v>
      </c>
      <c r="U1019" s="6">
        <v>0.24</v>
      </c>
      <c r="V1019" s="18">
        <f t="shared" si="392"/>
        <v>16</v>
      </c>
      <c r="W1019" s="6"/>
      <c r="X1019" s="6"/>
      <c r="Y1019" s="6">
        <v>12</v>
      </c>
      <c r="Z1019" s="31">
        <f t="shared" si="394"/>
        <v>125</v>
      </c>
      <c r="AA1019" s="6"/>
      <c r="AB1019" s="6"/>
      <c r="AC1019" s="6"/>
      <c r="AD1019" s="6"/>
      <c r="AE1019" s="6"/>
      <c r="AF1019" s="6"/>
      <c r="AG1019" s="3" t="s">
        <v>27</v>
      </c>
      <c r="AH1019" s="3" t="s">
        <v>27</v>
      </c>
      <c r="AI1019" s="18" t="str">
        <f>+VLOOKUP(AH1019,Leyenda!$O$4:$U$10,6,FALSE)</f>
        <v>0,35-0,50</v>
      </c>
      <c r="AJ1019" s="18" t="str">
        <f>+VLOOKUP(AG1019,Leyenda!$O$4:$U$10,7,FALSE)</f>
        <v>Easy to blast</v>
      </c>
      <c r="AK1019" s="18">
        <f>+VLOOKUP(AJ1019,Leyenda!$U$4:$V$10,2,FALSE)</f>
        <v>3</v>
      </c>
      <c r="AL1019" s="3"/>
      <c r="AM1019" s="3" t="s">
        <v>27</v>
      </c>
      <c r="AN1019" s="6" t="s">
        <v>64</v>
      </c>
      <c r="AO1019" s="6" t="s">
        <v>79</v>
      </c>
      <c r="AP1019" s="6" t="s">
        <v>96</v>
      </c>
      <c r="AQ1019" s="6" t="s">
        <v>107</v>
      </c>
      <c r="AR1019" s="6" t="s">
        <v>120</v>
      </c>
      <c r="AS1019" s="18" t="s">
        <v>267</v>
      </c>
      <c r="AT1019" s="18"/>
      <c r="AU1019" s="6"/>
      <c r="AV1019" s="18">
        <f>+VLOOKUP(AN1019,Leyenda!$B$30:$E$34,3,FALSE)</f>
        <v>2</v>
      </c>
      <c r="AW1019" s="18">
        <f>+VLOOKUP('2. Logging Brejo Seco'!AO1019,Meteorizacion,3,FALSE)</f>
        <v>1</v>
      </c>
      <c r="AX1019" s="18">
        <f>+VLOOKUP('2. Logging Brejo Seco'!AP1019,Apertura,3,FALSE)</f>
        <v>1</v>
      </c>
      <c r="AY1019" s="18">
        <f>+VLOOKUP('2. Logging Brejo Seco'!AQ1019,Leyenda!$B$55:$D$59,3,FALSE)</f>
        <v>3</v>
      </c>
      <c r="AZ1019" s="18">
        <f>+VLOOKUP('2. Logging Brejo Seco'!AR1019,Relleno,3,FALSE)</f>
        <v>2</v>
      </c>
      <c r="BA1019" s="18">
        <f t="shared" si="402"/>
        <v>9</v>
      </c>
      <c r="BB1019" s="49">
        <f t="shared" si="403"/>
        <v>3</v>
      </c>
      <c r="BC1019" s="49">
        <f>VLOOKUP(AH1019,Leyenda!$B$4:$D$10,3,FALSE)</f>
        <v>4</v>
      </c>
      <c r="BD1019" s="49">
        <f t="shared" si="404"/>
        <v>8</v>
      </c>
      <c r="BE1019" s="49">
        <f t="shared" si="405"/>
        <v>9</v>
      </c>
      <c r="BF1019" s="49">
        <f>VLOOKUP(AS1019,Leyenda!$B$70:$D$75,3,FALSE)</f>
        <v>15</v>
      </c>
      <c r="BG1019" s="67">
        <f t="shared" si="406"/>
        <v>21.5</v>
      </c>
      <c r="BH1019" s="67">
        <f>VLOOKUP(AG1019,Leyenda!$B$4:$E$10,4,FALSE)</f>
        <v>4</v>
      </c>
      <c r="BI1019" s="67">
        <f t="shared" si="407"/>
        <v>10</v>
      </c>
      <c r="BJ1019" s="67">
        <f t="shared" si="408"/>
        <v>3</v>
      </c>
      <c r="BK1019" s="67">
        <f>+VLOOKUP('2. Logging Brejo Seco'!AP1019,Leyenda!$B$47:$E$51,4,FALSE)</f>
        <v>1</v>
      </c>
      <c r="BL1019" s="67">
        <f>+VLOOKUP('2. Logging Brejo Seco'!AQ1019,Leyenda!$B$55:$E$59,4,FALSE)</f>
        <v>3</v>
      </c>
      <c r="BM1019" s="67">
        <f>+VLOOKUP('2. Logging Brejo Seco'!AR1019,Leyenda!$B$63:$E$67,3,FALSE)</f>
        <v>2</v>
      </c>
      <c r="BN1019" s="67">
        <f>+VLOOKUP('2. Logging Brejo Seco'!AO1019,Leyenda!$B$39:$E$43,4,FALSE)</f>
        <v>1</v>
      </c>
      <c r="BO1019" s="67">
        <f>+VLOOKUP('2. Logging Brejo Seco'!AN1019,Leyenda!$B$30:$E$34,4,FALSE)</f>
        <v>3</v>
      </c>
      <c r="BP1019" s="67">
        <f>VLOOKUP(AS1019,Leyenda!$B$71:$E$75,4,FALSE)</f>
        <v>10</v>
      </c>
      <c r="BQ1019" s="67">
        <f t="shared" si="409"/>
        <v>37</v>
      </c>
      <c r="BR1019" s="18">
        <f t="shared" si="410"/>
        <v>39</v>
      </c>
      <c r="BS1019" s="240">
        <f t="shared" si="393"/>
        <v>0.21333333333333337</v>
      </c>
      <c r="BT1019" s="6"/>
    </row>
  </sheetData>
  <autoFilter ref="A2:BT1019" xr:uid="{00000000-0001-0000-0000-000000000000}"/>
  <dataConsolidate/>
  <phoneticPr fontId="2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BC52-BF30-4BB5-ACC4-1C59D3EC1054}">
  <sheetPr>
    <tabColor rgb="FFFFC000"/>
  </sheetPr>
  <dimension ref="A1"/>
  <sheetViews>
    <sheetView zoomScale="40" zoomScaleNormal="40" workbookViewId="0">
      <selection activeCell="Q60" sqref="Q60"/>
    </sheetView>
  </sheetViews>
  <sheetFormatPr defaultColWidth="8.85546875"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F194-F0E3-49D3-8643-92E5A36A1AB4}">
  <sheetPr>
    <tabColor theme="0" tint="-4.9989318521683403E-2"/>
  </sheetPr>
  <dimension ref="Y3:AG40"/>
  <sheetViews>
    <sheetView zoomScale="26" zoomScaleNormal="40" workbookViewId="0">
      <selection activeCell="AW33" sqref="AW33"/>
    </sheetView>
  </sheetViews>
  <sheetFormatPr defaultColWidth="8.85546875" defaultRowHeight="15" x14ac:dyDescent="0.25"/>
  <sheetData>
    <row r="3" spans="25:25" x14ac:dyDescent="0.25">
      <c r="Y3" s="1"/>
    </row>
    <row r="40" spans="33:33" x14ac:dyDescent="0.25">
      <c r="AG40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B7C7-2CE2-40EA-A176-96F37A89261A}">
  <sheetPr>
    <tabColor rgb="FFEEDFAA"/>
  </sheetPr>
  <dimension ref="A2:FP154"/>
  <sheetViews>
    <sheetView view="pageBreakPreview" zoomScale="55" zoomScaleNormal="25" zoomScaleSheetLayoutView="55" workbookViewId="0">
      <selection activeCell="CG26" sqref="CG26"/>
    </sheetView>
  </sheetViews>
  <sheetFormatPr defaultColWidth="8.85546875" defaultRowHeight="15" x14ac:dyDescent="0.25"/>
  <cols>
    <col min="4" max="4" width="20.28515625" customWidth="1"/>
    <col min="7" max="7" width="20.140625" bestFit="1" customWidth="1"/>
    <col min="8" max="8" width="18.140625" bestFit="1" customWidth="1"/>
    <col min="9" max="9" width="50.140625" customWidth="1"/>
    <col min="14" max="14" width="14.42578125" customWidth="1"/>
    <col min="15" max="16" width="13.28515625" customWidth="1"/>
    <col min="17" max="17" width="15.140625" customWidth="1"/>
    <col min="18" max="18" width="13.7109375" customWidth="1"/>
    <col min="19" max="19" width="14" customWidth="1"/>
    <col min="31" max="31" width="14.7109375" customWidth="1"/>
    <col min="33" max="33" width="14.7109375" customWidth="1"/>
    <col min="34" max="35" width="16.42578125" customWidth="1"/>
    <col min="51" max="51" width="10.7109375" customWidth="1"/>
    <col min="52" max="52" width="11.42578125" customWidth="1"/>
    <col min="55" max="55" width="14.42578125" customWidth="1"/>
    <col min="64" max="64" width="12.85546875" customWidth="1"/>
    <col min="65" max="65" width="13.85546875" customWidth="1"/>
    <col min="66" max="66" width="16.42578125" bestFit="1" customWidth="1"/>
    <col min="68" max="68" width="12.28515625" customWidth="1"/>
    <col min="70" max="70" width="25.42578125" bestFit="1" customWidth="1"/>
    <col min="71" max="71" width="4.42578125" customWidth="1"/>
    <col min="74" max="74" width="12" bestFit="1" customWidth="1"/>
  </cols>
  <sheetData>
    <row r="2" spans="1:172" ht="60" x14ac:dyDescent="0.25">
      <c r="A2" s="2" t="s">
        <v>0</v>
      </c>
      <c r="B2" s="46" t="s">
        <v>1</v>
      </c>
      <c r="C2" s="46" t="s">
        <v>137</v>
      </c>
      <c r="D2" s="46" t="s">
        <v>2</v>
      </c>
      <c r="E2" s="46" t="s">
        <v>131</v>
      </c>
      <c r="F2" s="134" t="s">
        <v>635</v>
      </c>
      <c r="G2" s="30" t="s">
        <v>633</v>
      </c>
      <c r="H2" s="134" t="s">
        <v>632</v>
      </c>
      <c r="I2" s="33" t="s">
        <v>129</v>
      </c>
      <c r="J2" s="48" t="s">
        <v>3</v>
      </c>
      <c r="K2" s="48" t="s">
        <v>4</v>
      </c>
      <c r="L2" s="46" t="s">
        <v>5</v>
      </c>
      <c r="M2" s="46" t="s">
        <v>133</v>
      </c>
      <c r="N2" s="46" t="s">
        <v>345</v>
      </c>
      <c r="O2" s="45" t="s">
        <v>339</v>
      </c>
      <c r="P2" s="45" t="s">
        <v>285</v>
      </c>
      <c r="Q2" s="45" t="s">
        <v>286</v>
      </c>
      <c r="R2" s="83" t="s">
        <v>576</v>
      </c>
      <c r="S2" s="83" t="s">
        <v>575</v>
      </c>
      <c r="T2" s="83" t="s">
        <v>11</v>
      </c>
      <c r="U2" s="83" t="s">
        <v>577</v>
      </c>
      <c r="V2" s="83" t="s">
        <v>578</v>
      </c>
      <c r="W2" s="83" t="s">
        <v>579</v>
      </c>
      <c r="X2" s="83" t="s">
        <v>285</v>
      </c>
      <c r="Y2" s="45" t="s">
        <v>340</v>
      </c>
      <c r="Z2" s="45" t="s">
        <v>7</v>
      </c>
      <c r="AA2" s="45" t="s">
        <v>8</v>
      </c>
      <c r="AB2" s="45" t="s">
        <v>9</v>
      </c>
      <c r="AC2" s="46" t="s">
        <v>188</v>
      </c>
      <c r="AD2" s="46" t="s">
        <v>347</v>
      </c>
      <c r="AE2" s="46" t="s">
        <v>350</v>
      </c>
      <c r="AF2" s="30" t="s">
        <v>305</v>
      </c>
      <c r="AG2" s="46" t="s">
        <v>344</v>
      </c>
      <c r="AH2" s="166" t="s">
        <v>647</v>
      </c>
      <c r="AI2" s="46" t="s">
        <v>650</v>
      </c>
      <c r="AJ2" s="46" t="s">
        <v>189</v>
      </c>
      <c r="AK2" s="46" t="s">
        <v>190</v>
      </c>
      <c r="AL2" s="46" t="s">
        <v>191</v>
      </c>
      <c r="AM2" s="46" t="s">
        <v>192</v>
      </c>
      <c r="AN2" s="46" t="s">
        <v>113</v>
      </c>
      <c r="AO2" s="46" t="s">
        <v>193</v>
      </c>
      <c r="AP2" s="47" t="s">
        <v>226</v>
      </c>
      <c r="AQ2" s="46"/>
      <c r="AR2" s="46" t="s">
        <v>189</v>
      </c>
      <c r="AS2" s="46" t="s">
        <v>190</v>
      </c>
      <c r="AT2" s="46" t="s">
        <v>191</v>
      </c>
      <c r="AU2" s="46" t="s">
        <v>192</v>
      </c>
      <c r="AV2" s="46" t="s">
        <v>572</v>
      </c>
      <c r="AW2" s="46" t="s">
        <v>649</v>
      </c>
      <c r="AX2" s="51" t="s">
        <v>300</v>
      </c>
      <c r="AY2" s="51" t="s">
        <v>301</v>
      </c>
      <c r="AZ2" s="51" t="s">
        <v>302</v>
      </c>
      <c r="BA2" s="51" t="s">
        <v>303</v>
      </c>
      <c r="BB2" s="52" t="s">
        <v>304</v>
      </c>
      <c r="BC2" s="46" t="s">
        <v>346</v>
      </c>
      <c r="BD2" s="74" t="s">
        <v>565</v>
      </c>
      <c r="BE2" s="74" t="s">
        <v>566</v>
      </c>
      <c r="BF2" s="74" t="s">
        <v>564</v>
      </c>
      <c r="BG2" s="74" t="s">
        <v>567</v>
      </c>
      <c r="BH2" s="74" t="s">
        <v>568</v>
      </c>
      <c r="BI2" s="74" t="s">
        <v>569</v>
      </c>
      <c r="BJ2" s="74" t="s">
        <v>570</v>
      </c>
      <c r="BK2" s="74" t="s">
        <v>571</v>
      </c>
      <c r="BL2" s="74" t="s">
        <v>304</v>
      </c>
      <c r="BM2" s="46" t="s">
        <v>194</v>
      </c>
      <c r="BN2" s="46" t="s">
        <v>12</v>
      </c>
      <c r="BO2" s="46"/>
      <c r="BP2" s="46" t="s">
        <v>327</v>
      </c>
      <c r="BQ2" s="155"/>
    </row>
    <row r="3" spans="1:172" ht="15.75" thickBot="1" x14ac:dyDescent="0.3">
      <c r="A3" s="18" t="s">
        <v>6</v>
      </c>
      <c r="B3" s="18">
        <v>2024</v>
      </c>
      <c r="C3" s="18" t="s">
        <v>138</v>
      </c>
      <c r="D3" s="18" t="s">
        <v>10</v>
      </c>
      <c r="E3" s="18">
        <v>40</v>
      </c>
      <c r="F3" s="18">
        <v>40</v>
      </c>
      <c r="G3" s="18" t="s">
        <v>153</v>
      </c>
      <c r="H3" s="18" t="s">
        <v>153</v>
      </c>
      <c r="I3" s="18" t="s">
        <v>158</v>
      </c>
      <c r="J3" s="31">
        <v>3</v>
      </c>
      <c r="K3" s="31">
        <v>3.5</v>
      </c>
      <c r="L3" s="4">
        <v>0.5</v>
      </c>
      <c r="M3" s="5">
        <v>0.8</v>
      </c>
      <c r="N3" s="31">
        <v>0.4</v>
      </c>
      <c r="O3" s="31">
        <v>0.4</v>
      </c>
      <c r="P3" s="31">
        <v>80</v>
      </c>
      <c r="Q3" s="31">
        <v>5</v>
      </c>
      <c r="R3" s="31">
        <v>0.38</v>
      </c>
      <c r="S3" s="31">
        <v>0.3</v>
      </c>
      <c r="T3" s="86">
        <v>60</v>
      </c>
      <c r="U3" s="31">
        <v>1</v>
      </c>
      <c r="V3" s="31">
        <v>2</v>
      </c>
      <c r="W3" s="31">
        <v>3</v>
      </c>
      <c r="X3" s="4">
        <v>126.66666666666667</v>
      </c>
      <c r="Y3" s="18">
        <v>64</v>
      </c>
      <c r="Z3" s="18" t="s">
        <v>88</v>
      </c>
      <c r="AA3" s="18" t="s">
        <v>118</v>
      </c>
      <c r="AB3" s="18" t="s">
        <v>336</v>
      </c>
      <c r="AC3" s="18">
        <v>5</v>
      </c>
      <c r="AD3" s="18">
        <v>80</v>
      </c>
      <c r="AE3" s="18" t="s">
        <v>32</v>
      </c>
      <c r="AF3" s="18" t="s">
        <v>196</v>
      </c>
      <c r="AG3" s="18" t="s">
        <v>196</v>
      </c>
      <c r="AH3" s="18">
        <v>17</v>
      </c>
      <c r="AI3" s="18" t="s">
        <v>32</v>
      </c>
      <c r="AJ3" s="18" t="s">
        <v>64</v>
      </c>
      <c r="AK3" s="18" t="s">
        <v>79</v>
      </c>
      <c r="AL3" s="18" t="s">
        <v>96</v>
      </c>
      <c r="AM3" s="18" t="s">
        <v>107</v>
      </c>
      <c r="AN3" s="18" t="s">
        <v>116</v>
      </c>
      <c r="AO3" s="18" t="s">
        <v>198</v>
      </c>
      <c r="AP3" s="18" t="s">
        <v>197</v>
      </c>
      <c r="AQ3" s="18"/>
      <c r="AR3" s="18">
        <v>2</v>
      </c>
      <c r="AS3" s="18">
        <v>1</v>
      </c>
      <c r="AT3" s="18">
        <v>1</v>
      </c>
      <c r="AU3" s="18">
        <v>3</v>
      </c>
      <c r="AV3" s="18">
        <v>4</v>
      </c>
      <c r="AW3" s="18">
        <v>11</v>
      </c>
      <c r="AX3" s="49">
        <f>ROUND(-0.0002*POWER(T3,2)+0.2197*T3,0)</f>
        <v>12</v>
      </c>
      <c r="AY3" s="49">
        <v>1</v>
      </c>
      <c r="AZ3" s="50">
        <f>IF(X3="",ROUND((IF(X3&lt;=400,1.5478*POWER(X3,0.3351),-2*POWER(10,-6)*POWER(X3,2)+0.0091*X3+8.1704)),0),ROUND((IF(X3&lt;=400,1.5478*POWER(X3,0.3351),-2*POWER(10,-6)*POWER(X3,2)+0.0091*X3+8.1704)),0))</f>
        <v>8</v>
      </c>
      <c r="BA3" s="49">
        <v>11</v>
      </c>
      <c r="BB3" s="49">
        <v>15</v>
      </c>
      <c r="BC3" s="67">
        <v>46.5</v>
      </c>
      <c r="BD3" s="67">
        <v>1</v>
      </c>
      <c r="BE3" s="67">
        <f>IF(X3="",ROUND(IF(X3&lt;=50,5,IF(X3&gt;=3000,30,6.038*LN(X3)-19.63)),0),ROUND(IF(X3&lt;=50,5,IF(X3&gt;=3000,30,6.038*LN(X3)-19.63)),0))</f>
        <v>10</v>
      </c>
      <c r="BF3" s="67">
        <f>ROUND(-0.0002*POWER(T3,2)+0.2197*T3,0)</f>
        <v>12</v>
      </c>
      <c r="BG3" s="67">
        <v>1</v>
      </c>
      <c r="BH3" s="67">
        <v>3</v>
      </c>
      <c r="BI3" s="67">
        <v>4</v>
      </c>
      <c r="BJ3" s="67">
        <v>1</v>
      </c>
      <c r="BK3" s="67">
        <v>3</v>
      </c>
      <c r="BL3" s="67">
        <v>10</v>
      </c>
      <c r="BM3" s="67">
        <f>+BD3+BE3+BF3+BG3+BH3+BI3+BJ3+BK3+BL3</f>
        <v>45</v>
      </c>
      <c r="BN3" s="18">
        <f>AX3+AY3+AZ3+BA3+BB3</f>
        <v>47</v>
      </c>
      <c r="BO3" s="18"/>
      <c r="BP3" s="18"/>
      <c r="BQ3" s="1"/>
    </row>
    <row r="4" spans="1:172" ht="15.75" thickBot="1" x14ac:dyDescent="0.3">
      <c r="A4" s="18" t="s">
        <v>6</v>
      </c>
      <c r="B4" s="18">
        <v>2024</v>
      </c>
      <c r="C4" s="18" t="s">
        <v>138</v>
      </c>
      <c r="D4" s="18" t="s">
        <v>10</v>
      </c>
      <c r="E4" s="18">
        <v>40</v>
      </c>
      <c r="F4" s="18">
        <v>40</v>
      </c>
      <c r="G4" s="18" t="s">
        <v>153</v>
      </c>
      <c r="H4" s="18" t="s">
        <v>153</v>
      </c>
      <c r="I4" s="18" t="s">
        <v>158</v>
      </c>
      <c r="J4" s="31">
        <v>3.5</v>
      </c>
      <c r="K4" s="31">
        <v>4</v>
      </c>
      <c r="L4" s="4">
        <v>0.5</v>
      </c>
      <c r="M4" s="5">
        <v>0.76</v>
      </c>
      <c r="N4" s="31">
        <v>0.38</v>
      </c>
      <c r="O4" s="31">
        <v>0.38</v>
      </c>
      <c r="P4" s="31">
        <v>76</v>
      </c>
      <c r="Q4" s="31">
        <v>5</v>
      </c>
      <c r="R4" s="31">
        <v>0.42</v>
      </c>
      <c r="S4" s="31">
        <v>0.5</v>
      </c>
      <c r="T4" s="86">
        <v>100</v>
      </c>
      <c r="U4" s="31">
        <v>3</v>
      </c>
      <c r="V4" s="31"/>
      <c r="W4" s="31">
        <v>3</v>
      </c>
      <c r="X4" s="4">
        <v>140</v>
      </c>
      <c r="Y4" s="18">
        <v>22</v>
      </c>
      <c r="Z4" s="18" t="s">
        <v>88</v>
      </c>
      <c r="AA4" s="18" t="s">
        <v>118</v>
      </c>
      <c r="AB4" s="18" t="s">
        <v>336</v>
      </c>
      <c r="AC4" s="18">
        <v>5</v>
      </c>
      <c r="AD4" s="18">
        <v>76</v>
      </c>
      <c r="AE4" s="18" t="s">
        <v>32</v>
      </c>
      <c r="AF4" s="18" t="s">
        <v>199</v>
      </c>
      <c r="AG4" s="18" t="s">
        <v>199</v>
      </c>
      <c r="AH4" s="18">
        <v>17</v>
      </c>
      <c r="AI4" s="18" t="s">
        <v>32</v>
      </c>
      <c r="AJ4" s="18" t="s">
        <v>64</v>
      </c>
      <c r="AK4" s="18" t="s">
        <v>81</v>
      </c>
      <c r="AL4" s="18" t="s">
        <v>96</v>
      </c>
      <c r="AM4" s="18" t="s">
        <v>107</v>
      </c>
      <c r="AN4" s="18" t="s">
        <v>118</v>
      </c>
      <c r="AO4" s="18" t="s">
        <v>198</v>
      </c>
      <c r="AP4" s="18" t="s">
        <v>197</v>
      </c>
      <c r="AQ4" s="18"/>
      <c r="AR4" s="18">
        <v>2</v>
      </c>
      <c r="AS4" s="18">
        <v>0</v>
      </c>
      <c r="AT4" s="18">
        <v>1</v>
      </c>
      <c r="AU4" s="18">
        <v>3</v>
      </c>
      <c r="AV4" s="18">
        <v>2</v>
      </c>
      <c r="AW4" s="18">
        <v>8</v>
      </c>
      <c r="AX4" s="49">
        <f t="shared" ref="AX4:AX67" si="0">ROUND(-0.0002*POWER(T4,2)+0.2197*T4,0)</f>
        <v>20</v>
      </c>
      <c r="AY4" s="49">
        <v>1</v>
      </c>
      <c r="AZ4" s="50">
        <f t="shared" ref="AZ4:AZ67" si="1">IF(X4="",ROUND((IF(X4&lt;=400,1.5478*POWER(X4,0.3351),-2*POWER(10,-6)*POWER(X4,2)+0.0091*X4+8.1704)),0),ROUND((IF(X4&lt;=400,1.5478*POWER(X4,0.3351),-2*POWER(10,-6)*POWER(X4,2)+0.0091*X4+8.1704)),0))</f>
        <v>8</v>
      </c>
      <c r="BA4" s="49">
        <v>8</v>
      </c>
      <c r="BB4" s="49">
        <v>15</v>
      </c>
      <c r="BC4" s="67">
        <v>62</v>
      </c>
      <c r="BD4" s="67">
        <v>1</v>
      </c>
      <c r="BE4" s="67">
        <f t="shared" ref="BE4:BE67" si="2">IF(X4="",ROUND(IF(X4&lt;=50,5,IF(X4&gt;=3000,30,6.038*LN(X4)-19.63)),0),ROUND(IF(X4&lt;=50,5,IF(X4&gt;=3000,30,6.038*LN(X4)-19.63)),0))</f>
        <v>10</v>
      </c>
      <c r="BF4" s="67">
        <f t="shared" ref="BF4:BF67" si="3">ROUND(-0.0002*POWER(T4,2)+0.2197*T4,0)</f>
        <v>20</v>
      </c>
      <c r="BG4" s="67">
        <v>1</v>
      </c>
      <c r="BH4" s="67">
        <v>3</v>
      </c>
      <c r="BI4" s="67">
        <v>2</v>
      </c>
      <c r="BJ4" s="67">
        <v>0</v>
      </c>
      <c r="BK4" s="67">
        <v>3</v>
      </c>
      <c r="BL4" s="67">
        <v>10</v>
      </c>
      <c r="BM4" s="67">
        <f t="shared" ref="BM4:BM67" si="4">+BD4+BE4+BF4+BG4+BH4+BI4+BJ4+BK4+BL4</f>
        <v>50</v>
      </c>
      <c r="BN4" s="18">
        <f t="shared" ref="BN4:BN67" si="5">AX4+AY4+AZ4+BA4+BB4</f>
        <v>52</v>
      </c>
      <c r="BO4" s="18"/>
      <c r="BP4" s="18"/>
      <c r="BQ4" s="1"/>
      <c r="BR4" s="157"/>
      <c r="BS4" s="138"/>
      <c r="BT4" s="139"/>
    </row>
    <row r="5" spans="1:172" ht="15.75" thickBot="1" x14ac:dyDescent="0.3">
      <c r="A5" s="18" t="s">
        <v>6</v>
      </c>
      <c r="B5" s="18">
        <v>2024</v>
      </c>
      <c r="C5" s="18" t="s">
        <v>138</v>
      </c>
      <c r="D5" s="18" t="s">
        <v>10</v>
      </c>
      <c r="E5" s="18">
        <v>40</v>
      </c>
      <c r="F5" s="18">
        <v>40</v>
      </c>
      <c r="G5" s="18" t="s">
        <v>153</v>
      </c>
      <c r="H5" s="18" t="s">
        <v>153</v>
      </c>
      <c r="I5" s="18" t="s">
        <v>158</v>
      </c>
      <c r="J5" s="31">
        <v>4</v>
      </c>
      <c r="K5" s="31">
        <v>4.5</v>
      </c>
      <c r="L5" s="4">
        <v>0.5</v>
      </c>
      <c r="M5" s="5">
        <v>0.86</v>
      </c>
      <c r="N5" s="31">
        <v>0.43</v>
      </c>
      <c r="O5" s="31">
        <v>0.43</v>
      </c>
      <c r="P5" s="31">
        <v>21.5</v>
      </c>
      <c r="Q5" s="31">
        <v>20</v>
      </c>
      <c r="R5" s="31">
        <v>0.19</v>
      </c>
      <c r="S5" s="31">
        <v>0</v>
      </c>
      <c r="T5" s="86">
        <v>0</v>
      </c>
      <c r="U5" s="31">
        <v>0</v>
      </c>
      <c r="V5" s="31">
        <v>10</v>
      </c>
      <c r="W5" s="31">
        <v>10</v>
      </c>
      <c r="X5" s="4">
        <v>19</v>
      </c>
      <c r="Y5" s="18">
        <v>0</v>
      </c>
      <c r="Z5" s="18" t="s">
        <v>88</v>
      </c>
      <c r="AA5" s="18" t="s">
        <v>333</v>
      </c>
      <c r="AB5" s="18" t="s">
        <v>336</v>
      </c>
      <c r="AC5" s="18">
        <v>20</v>
      </c>
      <c r="AD5" s="18">
        <v>21.5</v>
      </c>
      <c r="AE5" s="18" t="s">
        <v>32</v>
      </c>
      <c r="AF5" s="18" t="s">
        <v>199</v>
      </c>
      <c r="AG5" s="18" t="s">
        <v>199</v>
      </c>
      <c r="AH5" s="18">
        <v>17</v>
      </c>
      <c r="AI5" s="18" t="s">
        <v>32</v>
      </c>
      <c r="AJ5" s="18" t="s">
        <v>64</v>
      </c>
      <c r="AK5" s="18" t="s">
        <v>81</v>
      </c>
      <c r="AL5" s="18" t="s">
        <v>100</v>
      </c>
      <c r="AM5" s="18" t="s">
        <v>111</v>
      </c>
      <c r="AN5" s="18" t="s">
        <v>122</v>
      </c>
      <c r="AO5" s="18" t="s">
        <v>198</v>
      </c>
      <c r="AP5" s="18" t="s">
        <v>201</v>
      </c>
      <c r="AQ5" s="18"/>
      <c r="AR5" s="18">
        <v>2</v>
      </c>
      <c r="AS5" s="18">
        <v>0</v>
      </c>
      <c r="AT5" s="18">
        <v>0</v>
      </c>
      <c r="AU5" s="18">
        <v>0</v>
      </c>
      <c r="AV5" s="18">
        <v>0</v>
      </c>
      <c r="AW5" s="18">
        <v>2</v>
      </c>
      <c r="AX5" s="49">
        <f t="shared" si="0"/>
        <v>0</v>
      </c>
      <c r="AY5" s="49">
        <v>1</v>
      </c>
      <c r="AZ5" s="50">
        <f t="shared" si="1"/>
        <v>4</v>
      </c>
      <c r="BA5" s="49">
        <v>2</v>
      </c>
      <c r="BB5" s="49">
        <v>15</v>
      </c>
      <c r="BC5" s="67">
        <v>3</v>
      </c>
      <c r="BD5" s="67">
        <v>1</v>
      </c>
      <c r="BE5" s="67">
        <f t="shared" si="2"/>
        <v>5</v>
      </c>
      <c r="BF5" s="67">
        <f t="shared" si="3"/>
        <v>0</v>
      </c>
      <c r="BG5" s="67">
        <v>0</v>
      </c>
      <c r="BH5" s="67">
        <v>0</v>
      </c>
      <c r="BI5" s="67">
        <v>0</v>
      </c>
      <c r="BJ5" s="67">
        <v>0</v>
      </c>
      <c r="BK5" s="67">
        <v>3</v>
      </c>
      <c r="BL5" s="67">
        <v>10</v>
      </c>
      <c r="BM5" s="67">
        <f t="shared" si="4"/>
        <v>19</v>
      </c>
      <c r="BN5" s="18">
        <f t="shared" si="5"/>
        <v>22</v>
      </c>
      <c r="BO5" s="18"/>
      <c r="BP5" s="18"/>
      <c r="BQ5" s="156"/>
      <c r="BR5" s="158" t="s">
        <v>194</v>
      </c>
      <c r="BS5" s="136"/>
      <c r="BT5" s="140"/>
    </row>
    <row r="6" spans="1:172" x14ac:dyDescent="0.25">
      <c r="A6" s="18" t="s">
        <v>6</v>
      </c>
      <c r="B6" s="18">
        <v>2024</v>
      </c>
      <c r="C6" s="18" t="s">
        <v>138</v>
      </c>
      <c r="D6" s="18" t="s">
        <v>10</v>
      </c>
      <c r="E6" s="18">
        <v>40</v>
      </c>
      <c r="F6" s="18">
        <v>40</v>
      </c>
      <c r="G6" s="18" t="s">
        <v>153</v>
      </c>
      <c r="H6" s="18" t="s">
        <v>153</v>
      </c>
      <c r="I6" s="18" t="s">
        <v>158</v>
      </c>
      <c r="J6" s="31">
        <v>6.5</v>
      </c>
      <c r="K6" s="31">
        <v>7</v>
      </c>
      <c r="L6" s="4">
        <v>0.5</v>
      </c>
      <c r="M6" s="5">
        <v>0.74</v>
      </c>
      <c r="N6" s="31">
        <v>0.37</v>
      </c>
      <c r="O6" s="31">
        <v>0.37</v>
      </c>
      <c r="P6" s="31">
        <v>74</v>
      </c>
      <c r="Q6" s="31">
        <v>5</v>
      </c>
      <c r="R6" s="31">
        <v>0.46</v>
      </c>
      <c r="S6" s="31">
        <v>0.11</v>
      </c>
      <c r="T6" s="86">
        <v>22</v>
      </c>
      <c r="U6" s="31">
        <v>6</v>
      </c>
      <c r="V6" s="31"/>
      <c r="W6" s="31">
        <v>6</v>
      </c>
      <c r="X6" s="4">
        <v>76.666666666666671</v>
      </c>
      <c r="Y6" s="18">
        <v>24</v>
      </c>
      <c r="Z6" s="18" t="s">
        <v>88</v>
      </c>
      <c r="AA6" s="18" t="s">
        <v>118</v>
      </c>
      <c r="AB6" s="18" t="s">
        <v>336</v>
      </c>
      <c r="AC6" s="18">
        <v>5</v>
      </c>
      <c r="AD6" s="18">
        <v>74</v>
      </c>
      <c r="AE6" s="18" t="s">
        <v>32</v>
      </c>
      <c r="AF6" s="18" t="s">
        <v>199</v>
      </c>
      <c r="AG6" s="18" t="s">
        <v>199</v>
      </c>
      <c r="AH6" s="18">
        <v>17</v>
      </c>
      <c r="AI6" s="18" t="s">
        <v>32</v>
      </c>
      <c r="AJ6" s="18" t="s">
        <v>64</v>
      </c>
      <c r="AK6" s="18" t="s">
        <v>77</v>
      </c>
      <c r="AL6" s="18" t="s">
        <v>100</v>
      </c>
      <c r="AM6" s="18" t="s">
        <v>109</v>
      </c>
      <c r="AN6" s="18" t="s">
        <v>118</v>
      </c>
      <c r="AO6" s="18" t="s">
        <v>198</v>
      </c>
      <c r="AP6" s="18" t="s">
        <v>205</v>
      </c>
      <c r="AQ6" s="18"/>
      <c r="AR6" s="18">
        <v>2</v>
      </c>
      <c r="AS6" s="18">
        <v>3</v>
      </c>
      <c r="AT6" s="18">
        <v>0</v>
      </c>
      <c r="AU6" s="18">
        <v>1</v>
      </c>
      <c r="AV6" s="18">
        <v>2</v>
      </c>
      <c r="AW6" s="18">
        <v>8</v>
      </c>
      <c r="AX6" s="49">
        <f t="shared" si="0"/>
        <v>5</v>
      </c>
      <c r="AY6" s="49">
        <v>1</v>
      </c>
      <c r="AZ6" s="50">
        <f t="shared" si="1"/>
        <v>7</v>
      </c>
      <c r="BA6" s="49">
        <v>8</v>
      </c>
      <c r="BB6" s="49">
        <v>15</v>
      </c>
      <c r="BC6" s="67">
        <v>23</v>
      </c>
      <c r="BD6" s="67">
        <v>1</v>
      </c>
      <c r="BE6" s="67">
        <f t="shared" si="2"/>
        <v>7</v>
      </c>
      <c r="BF6" s="67">
        <f t="shared" si="3"/>
        <v>5</v>
      </c>
      <c r="BG6" s="67">
        <v>0</v>
      </c>
      <c r="BH6" s="67">
        <v>1</v>
      </c>
      <c r="BI6" s="67">
        <v>2</v>
      </c>
      <c r="BJ6" s="67">
        <v>3</v>
      </c>
      <c r="BK6" s="67">
        <v>3</v>
      </c>
      <c r="BL6" s="67">
        <v>10</v>
      </c>
      <c r="BM6" s="67">
        <f t="shared" si="4"/>
        <v>32</v>
      </c>
      <c r="BN6" s="18">
        <f t="shared" si="5"/>
        <v>36</v>
      </c>
      <c r="BO6" s="18"/>
      <c r="BP6" s="18"/>
      <c r="BQ6" s="1"/>
      <c r="BR6" s="159"/>
      <c r="BS6" s="98"/>
      <c r="BT6" s="140"/>
      <c r="DB6" s="80" t="s">
        <v>58</v>
      </c>
      <c r="DC6" s="80"/>
      <c r="DD6" s="80" t="s">
        <v>17</v>
      </c>
      <c r="DG6" s="96" t="s">
        <v>287</v>
      </c>
      <c r="DH6" s="96" t="s">
        <v>288</v>
      </c>
      <c r="DI6" s="96" t="s">
        <v>582</v>
      </c>
      <c r="DJ6" s="96" t="s">
        <v>287</v>
      </c>
      <c r="DK6" s="96" t="s">
        <v>288</v>
      </c>
      <c r="DL6" s="96" t="s">
        <v>582</v>
      </c>
      <c r="DQ6" s="80" t="s">
        <v>584</v>
      </c>
      <c r="DR6" s="80" t="s">
        <v>261</v>
      </c>
      <c r="DS6" s="80" t="s">
        <v>17</v>
      </c>
      <c r="EC6" s="80" t="s">
        <v>11</v>
      </c>
      <c r="ED6" s="80" t="s">
        <v>16</v>
      </c>
      <c r="EE6" s="81" t="s">
        <v>17</v>
      </c>
      <c r="EL6" s="80" t="s">
        <v>290</v>
      </c>
      <c r="EM6" s="80" t="s">
        <v>261</v>
      </c>
      <c r="EN6" s="80" t="s">
        <v>17</v>
      </c>
      <c r="EX6" s="80" t="s">
        <v>572</v>
      </c>
      <c r="EY6" s="80" t="s">
        <v>261</v>
      </c>
      <c r="EZ6" s="81" t="s">
        <v>16</v>
      </c>
      <c r="FA6" s="80" t="s">
        <v>17</v>
      </c>
      <c r="FM6" s="80" t="s">
        <v>586</v>
      </c>
      <c r="FN6" s="80" t="s">
        <v>261</v>
      </c>
      <c r="FO6" s="81" t="s">
        <v>16</v>
      </c>
      <c r="FP6" s="80" t="s">
        <v>17</v>
      </c>
    </row>
    <row r="7" spans="1:172" ht="25.5" x14ac:dyDescent="0.25">
      <c r="A7" s="18" t="s">
        <v>6</v>
      </c>
      <c r="B7" s="18">
        <v>2024</v>
      </c>
      <c r="C7" s="18" t="s">
        <v>138</v>
      </c>
      <c r="D7" s="18" t="s">
        <v>10</v>
      </c>
      <c r="E7" s="18">
        <v>40</v>
      </c>
      <c r="F7" s="18">
        <v>40</v>
      </c>
      <c r="G7" s="18" t="s">
        <v>153</v>
      </c>
      <c r="H7" s="18" t="s">
        <v>153</v>
      </c>
      <c r="I7" s="18" t="s">
        <v>158</v>
      </c>
      <c r="J7" s="31">
        <v>7</v>
      </c>
      <c r="K7" s="31">
        <v>7.5</v>
      </c>
      <c r="L7" s="4">
        <v>0.5</v>
      </c>
      <c r="M7" s="5">
        <v>0.98</v>
      </c>
      <c r="N7" s="31">
        <v>0.49</v>
      </c>
      <c r="O7" s="31">
        <v>0.49</v>
      </c>
      <c r="P7" s="31">
        <v>98</v>
      </c>
      <c r="Q7" s="31">
        <v>5</v>
      </c>
      <c r="R7" s="31">
        <v>0.43</v>
      </c>
      <c r="S7" s="31">
        <v>0.21000000000000002</v>
      </c>
      <c r="T7" s="86">
        <v>42.000000000000007</v>
      </c>
      <c r="U7" s="31">
        <v>5</v>
      </c>
      <c r="V7" s="31"/>
      <c r="W7" s="31">
        <v>5</v>
      </c>
      <c r="X7" s="4">
        <v>86</v>
      </c>
      <c r="Y7" s="18">
        <v>50</v>
      </c>
      <c r="Z7" s="18" t="s">
        <v>88</v>
      </c>
      <c r="AA7" s="18" t="s">
        <v>118</v>
      </c>
      <c r="AB7" s="18" t="s">
        <v>336</v>
      </c>
      <c r="AC7" s="18">
        <v>5</v>
      </c>
      <c r="AD7" s="18">
        <v>98</v>
      </c>
      <c r="AE7" s="18" t="s">
        <v>32</v>
      </c>
      <c r="AF7" s="18" t="s">
        <v>199</v>
      </c>
      <c r="AG7" s="18" t="s">
        <v>199</v>
      </c>
      <c r="AH7" s="18">
        <v>17</v>
      </c>
      <c r="AI7" s="18" t="s">
        <v>32</v>
      </c>
      <c r="AJ7" s="18" t="s">
        <v>64</v>
      </c>
      <c r="AK7" s="18" t="s">
        <v>79</v>
      </c>
      <c r="AL7" s="18" t="s">
        <v>100</v>
      </c>
      <c r="AM7" s="18" t="s">
        <v>107</v>
      </c>
      <c r="AN7" s="18" t="s">
        <v>120</v>
      </c>
      <c r="AO7" s="18" t="s">
        <v>198</v>
      </c>
      <c r="AP7" s="18" t="s">
        <v>206</v>
      </c>
      <c r="AQ7" s="18"/>
      <c r="AR7" s="18">
        <v>2</v>
      </c>
      <c r="AS7" s="18">
        <v>1</v>
      </c>
      <c r="AT7" s="18">
        <v>0</v>
      </c>
      <c r="AU7" s="18">
        <v>3</v>
      </c>
      <c r="AV7" s="18">
        <v>2</v>
      </c>
      <c r="AW7" s="18">
        <v>8</v>
      </c>
      <c r="AX7" s="49">
        <f t="shared" si="0"/>
        <v>9</v>
      </c>
      <c r="AY7" s="49">
        <v>1</v>
      </c>
      <c r="AZ7" s="50">
        <f t="shared" si="1"/>
        <v>7</v>
      </c>
      <c r="BA7" s="49">
        <v>8</v>
      </c>
      <c r="BB7" s="49">
        <v>15</v>
      </c>
      <c r="BC7" s="67">
        <v>33</v>
      </c>
      <c r="BD7" s="67">
        <v>1</v>
      </c>
      <c r="BE7" s="67">
        <f t="shared" si="2"/>
        <v>7</v>
      </c>
      <c r="BF7" s="67">
        <f t="shared" si="3"/>
        <v>9</v>
      </c>
      <c r="BG7" s="67">
        <v>0</v>
      </c>
      <c r="BH7" s="67">
        <v>3</v>
      </c>
      <c r="BI7" s="67">
        <v>2</v>
      </c>
      <c r="BJ7" s="67">
        <v>1</v>
      </c>
      <c r="BK7" s="67">
        <v>3</v>
      </c>
      <c r="BL7" s="67">
        <v>10</v>
      </c>
      <c r="BM7" s="67">
        <f t="shared" si="4"/>
        <v>36</v>
      </c>
      <c r="BN7" s="18">
        <f t="shared" si="5"/>
        <v>40</v>
      </c>
      <c r="BO7" s="18"/>
      <c r="BP7" s="18"/>
      <c r="BQ7" s="1"/>
      <c r="BR7" s="160" t="s">
        <v>307</v>
      </c>
      <c r="BS7" s="161">
        <v>26.577181208053691</v>
      </c>
      <c r="BT7" s="140"/>
      <c r="DB7" s="61" t="s">
        <v>60</v>
      </c>
      <c r="DC7" s="76" t="s">
        <v>59</v>
      </c>
      <c r="DD7" s="77">
        <v>5</v>
      </c>
      <c r="DF7" t="s">
        <v>69</v>
      </c>
      <c r="DG7">
        <v>0</v>
      </c>
      <c r="DH7">
        <v>64</v>
      </c>
      <c r="DI7" s="55">
        <v>0.42953020134228187</v>
      </c>
      <c r="DJ7">
        <v>0</v>
      </c>
      <c r="DK7">
        <v>64</v>
      </c>
      <c r="DL7" s="55">
        <v>0.42953020134228187</v>
      </c>
      <c r="DM7" s="42">
        <f>+DH7/$DH$13</f>
        <v>0.42953020134228187</v>
      </c>
      <c r="DQ7" s="75" t="s">
        <v>85</v>
      </c>
      <c r="DR7" s="75">
        <v>0</v>
      </c>
      <c r="DS7" s="77">
        <v>5</v>
      </c>
      <c r="EC7" s="15" t="s">
        <v>38</v>
      </c>
      <c r="ED7" s="9">
        <v>3</v>
      </c>
      <c r="EE7" s="16">
        <v>3</v>
      </c>
      <c r="EL7" s="75" t="s">
        <v>103</v>
      </c>
      <c r="EM7" s="75" t="s">
        <v>104</v>
      </c>
      <c r="EN7" s="77">
        <v>5</v>
      </c>
      <c r="EX7" s="75" t="s">
        <v>114</v>
      </c>
      <c r="EY7" s="78" t="s">
        <v>115</v>
      </c>
      <c r="EZ7" s="75">
        <v>6</v>
      </c>
      <c r="FA7" s="77">
        <v>5</v>
      </c>
      <c r="FM7" s="75" t="s">
        <v>73</v>
      </c>
      <c r="FN7" s="75" t="s">
        <v>74</v>
      </c>
      <c r="FO7" s="75">
        <v>6</v>
      </c>
      <c r="FP7" s="77">
        <v>5</v>
      </c>
    </row>
    <row r="8" spans="1:172" ht="25.5" x14ac:dyDescent="0.25">
      <c r="A8" s="18" t="s">
        <v>6</v>
      </c>
      <c r="B8" s="18">
        <v>2024</v>
      </c>
      <c r="C8" s="18" t="s">
        <v>138</v>
      </c>
      <c r="D8" s="18" t="s">
        <v>10</v>
      </c>
      <c r="E8" s="18">
        <v>40</v>
      </c>
      <c r="F8" s="18">
        <v>40</v>
      </c>
      <c r="G8" s="18" t="s">
        <v>153</v>
      </c>
      <c r="H8" s="18" t="s">
        <v>153</v>
      </c>
      <c r="I8" s="18" t="s">
        <v>158</v>
      </c>
      <c r="J8" s="31">
        <v>7.5</v>
      </c>
      <c r="K8" s="31">
        <v>8</v>
      </c>
      <c r="L8" s="4">
        <v>0.5</v>
      </c>
      <c r="M8" s="5">
        <v>1</v>
      </c>
      <c r="N8" s="31">
        <v>0.5</v>
      </c>
      <c r="O8" s="31">
        <v>0.5</v>
      </c>
      <c r="P8" s="31">
        <v>50</v>
      </c>
      <c r="Q8" s="31">
        <v>10</v>
      </c>
      <c r="R8" s="31">
        <v>0.45</v>
      </c>
      <c r="S8" s="31">
        <v>0.28000000000000003</v>
      </c>
      <c r="T8" s="86">
        <v>56.000000000000007</v>
      </c>
      <c r="U8" s="31">
        <v>4</v>
      </c>
      <c r="V8" s="31"/>
      <c r="W8" s="31">
        <v>4</v>
      </c>
      <c r="X8" s="4">
        <v>112.5</v>
      </c>
      <c r="Y8" s="18">
        <v>68</v>
      </c>
      <c r="Z8" s="18" t="s">
        <v>88</v>
      </c>
      <c r="AA8" s="18" t="s">
        <v>120</v>
      </c>
      <c r="AB8" s="18" t="s">
        <v>336</v>
      </c>
      <c r="AC8" s="18">
        <v>10</v>
      </c>
      <c r="AD8" s="18">
        <v>50</v>
      </c>
      <c r="AE8" s="18" t="s">
        <v>32</v>
      </c>
      <c r="AF8" s="18" t="s">
        <v>199</v>
      </c>
      <c r="AG8" s="18" t="s">
        <v>199</v>
      </c>
      <c r="AH8" s="18">
        <v>17</v>
      </c>
      <c r="AI8" s="18" t="s">
        <v>32</v>
      </c>
      <c r="AJ8" s="18" t="s">
        <v>64</v>
      </c>
      <c r="AK8" s="18" t="s">
        <v>77</v>
      </c>
      <c r="AL8" s="18" t="s">
        <v>96</v>
      </c>
      <c r="AM8" s="18" t="s">
        <v>107</v>
      </c>
      <c r="AN8" s="18" t="s">
        <v>118</v>
      </c>
      <c r="AO8" s="18" t="s">
        <v>198</v>
      </c>
      <c r="AP8" s="18" t="s">
        <v>207</v>
      </c>
      <c r="AQ8" s="18"/>
      <c r="AR8" s="18">
        <v>2</v>
      </c>
      <c r="AS8" s="18">
        <v>3</v>
      </c>
      <c r="AT8" s="18">
        <v>1</v>
      </c>
      <c r="AU8" s="18">
        <v>3</v>
      </c>
      <c r="AV8" s="18">
        <v>2</v>
      </c>
      <c r="AW8" s="18">
        <v>11</v>
      </c>
      <c r="AX8" s="49">
        <f t="shared" si="0"/>
        <v>12</v>
      </c>
      <c r="AY8" s="49">
        <v>1</v>
      </c>
      <c r="AZ8" s="50">
        <f t="shared" si="1"/>
        <v>8</v>
      </c>
      <c r="BA8" s="49">
        <v>11</v>
      </c>
      <c r="BB8" s="49">
        <v>15</v>
      </c>
      <c r="BC8" s="67">
        <v>44.5</v>
      </c>
      <c r="BD8" s="67">
        <v>1</v>
      </c>
      <c r="BE8" s="67">
        <f t="shared" si="2"/>
        <v>9</v>
      </c>
      <c r="BF8" s="67">
        <f t="shared" si="3"/>
        <v>12</v>
      </c>
      <c r="BG8" s="67">
        <v>1</v>
      </c>
      <c r="BH8" s="67">
        <v>3</v>
      </c>
      <c r="BI8" s="67">
        <v>2</v>
      </c>
      <c r="BJ8" s="67">
        <v>3</v>
      </c>
      <c r="BK8" s="67">
        <v>3</v>
      </c>
      <c r="BL8" s="67">
        <v>10</v>
      </c>
      <c r="BM8" s="67">
        <f t="shared" si="4"/>
        <v>44</v>
      </c>
      <c r="BN8" s="18">
        <f t="shared" si="5"/>
        <v>47</v>
      </c>
      <c r="BO8" s="18"/>
      <c r="BP8" s="18"/>
      <c r="BQ8" s="1"/>
      <c r="BR8" s="159" t="s">
        <v>308</v>
      </c>
      <c r="BS8" s="98">
        <v>0.77386929201398635</v>
      </c>
      <c r="BT8" s="140"/>
      <c r="DB8" s="61" t="s">
        <v>62</v>
      </c>
      <c r="DC8" s="62" t="s">
        <v>61</v>
      </c>
      <c r="DD8" s="77">
        <v>4</v>
      </c>
      <c r="DF8" t="s">
        <v>66</v>
      </c>
      <c r="DG8">
        <v>1</v>
      </c>
      <c r="DH8">
        <v>51</v>
      </c>
      <c r="DI8" s="55">
        <v>0.77181208053691275</v>
      </c>
      <c r="DJ8">
        <v>1</v>
      </c>
      <c r="DK8">
        <v>51</v>
      </c>
      <c r="DL8" s="55">
        <v>0.77181208053691275</v>
      </c>
      <c r="DM8" s="42">
        <f t="shared" ref="DM8:DM11" si="6">+DH8/$DH$13</f>
        <v>0.34228187919463088</v>
      </c>
      <c r="DQ8" s="75" t="s">
        <v>88</v>
      </c>
      <c r="DR8" s="75" t="s">
        <v>87</v>
      </c>
      <c r="DS8" s="77">
        <v>4</v>
      </c>
      <c r="EC8" s="14" t="s">
        <v>40</v>
      </c>
      <c r="ED8" s="14">
        <v>8</v>
      </c>
      <c r="EE8" s="3">
        <v>8</v>
      </c>
      <c r="EL8" s="75" t="s">
        <v>105</v>
      </c>
      <c r="EM8" s="75" t="s">
        <v>106</v>
      </c>
      <c r="EN8" s="77">
        <v>4</v>
      </c>
      <c r="EX8" s="75" t="s">
        <v>116</v>
      </c>
      <c r="EY8" s="78" t="s">
        <v>117</v>
      </c>
      <c r="EZ8" s="75">
        <v>4</v>
      </c>
      <c r="FA8" s="77">
        <v>4</v>
      </c>
      <c r="FM8" s="75" t="s">
        <v>75</v>
      </c>
      <c r="FN8" s="75" t="s">
        <v>76</v>
      </c>
      <c r="FO8" s="75">
        <v>5</v>
      </c>
      <c r="FP8" s="77">
        <v>4</v>
      </c>
    </row>
    <row r="9" spans="1:172" ht="25.5" x14ac:dyDescent="0.25">
      <c r="A9" s="18" t="s">
        <v>6</v>
      </c>
      <c r="B9" s="18">
        <v>2024</v>
      </c>
      <c r="C9" s="18" t="s">
        <v>138</v>
      </c>
      <c r="D9" s="18" t="s">
        <v>10</v>
      </c>
      <c r="E9" s="18">
        <v>40</v>
      </c>
      <c r="F9" s="18">
        <v>40</v>
      </c>
      <c r="G9" s="18" t="s">
        <v>153</v>
      </c>
      <c r="H9" s="18" t="s">
        <v>153</v>
      </c>
      <c r="I9" s="18" t="s">
        <v>158</v>
      </c>
      <c r="J9" s="31">
        <v>8</v>
      </c>
      <c r="K9" s="31">
        <v>8.5</v>
      </c>
      <c r="L9" s="4">
        <v>0.5</v>
      </c>
      <c r="M9" s="5">
        <v>1</v>
      </c>
      <c r="N9" s="31">
        <v>0.5</v>
      </c>
      <c r="O9" s="31">
        <v>0.5</v>
      </c>
      <c r="P9" s="31">
        <v>100</v>
      </c>
      <c r="Q9" s="31">
        <v>5</v>
      </c>
      <c r="R9" s="31">
        <v>0.47</v>
      </c>
      <c r="S9" s="31">
        <v>0.31</v>
      </c>
      <c r="T9" s="86">
        <v>62</v>
      </c>
      <c r="U9" s="31">
        <v>2</v>
      </c>
      <c r="V9" s="31"/>
      <c r="W9" s="31">
        <v>2</v>
      </c>
      <c r="X9" s="4">
        <v>235</v>
      </c>
      <c r="Y9" s="18">
        <v>86</v>
      </c>
      <c r="Z9" s="18" t="s">
        <v>88</v>
      </c>
      <c r="AA9" s="18" t="s">
        <v>118</v>
      </c>
      <c r="AB9" s="18" t="s">
        <v>336</v>
      </c>
      <c r="AC9" s="18">
        <v>5</v>
      </c>
      <c r="AD9" s="18">
        <v>100</v>
      </c>
      <c r="AE9" s="18" t="s">
        <v>32</v>
      </c>
      <c r="AF9" s="18" t="s">
        <v>199</v>
      </c>
      <c r="AG9" s="18" t="s">
        <v>199</v>
      </c>
      <c r="AH9" s="18">
        <v>17</v>
      </c>
      <c r="AI9" s="18" t="s">
        <v>32</v>
      </c>
      <c r="AJ9" s="18" t="s">
        <v>64</v>
      </c>
      <c r="AK9" s="18" t="s">
        <v>77</v>
      </c>
      <c r="AL9" s="18" t="s">
        <v>96</v>
      </c>
      <c r="AM9" s="18" t="s">
        <v>107</v>
      </c>
      <c r="AN9" s="18" t="s">
        <v>118</v>
      </c>
      <c r="AO9" s="18" t="s">
        <v>198</v>
      </c>
      <c r="AP9" s="18" t="s">
        <v>205</v>
      </c>
      <c r="AQ9" s="18"/>
      <c r="AR9" s="18">
        <v>2</v>
      </c>
      <c r="AS9" s="18">
        <v>3</v>
      </c>
      <c r="AT9" s="18">
        <v>1</v>
      </c>
      <c r="AU9" s="18">
        <v>3</v>
      </c>
      <c r="AV9" s="18">
        <v>2</v>
      </c>
      <c r="AW9" s="18">
        <v>11</v>
      </c>
      <c r="AX9" s="49">
        <f t="shared" si="0"/>
        <v>13</v>
      </c>
      <c r="AY9" s="49">
        <v>1</v>
      </c>
      <c r="AZ9" s="50">
        <f t="shared" si="1"/>
        <v>10</v>
      </c>
      <c r="BA9" s="49">
        <v>11</v>
      </c>
      <c r="BB9" s="49">
        <v>15</v>
      </c>
      <c r="BC9" s="67">
        <v>47.5</v>
      </c>
      <c r="BD9" s="67">
        <v>1</v>
      </c>
      <c r="BE9" s="67">
        <f t="shared" si="2"/>
        <v>13</v>
      </c>
      <c r="BF9" s="67">
        <f t="shared" si="3"/>
        <v>13</v>
      </c>
      <c r="BG9" s="67">
        <v>1</v>
      </c>
      <c r="BH9" s="67">
        <v>3</v>
      </c>
      <c r="BI9" s="67">
        <v>2</v>
      </c>
      <c r="BJ9" s="67">
        <v>3</v>
      </c>
      <c r="BK9" s="67">
        <v>3</v>
      </c>
      <c r="BL9" s="67">
        <v>10</v>
      </c>
      <c r="BM9" s="67">
        <f t="shared" si="4"/>
        <v>49</v>
      </c>
      <c r="BN9" s="18">
        <f t="shared" si="5"/>
        <v>50</v>
      </c>
      <c r="BO9" s="18"/>
      <c r="BP9" s="18"/>
      <c r="BQ9" s="1"/>
      <c r="BR9" s="159" t="s">
        <v>309</v>
      </c>
      <c r="BS9" s="98">
        <v>25</v>
      </c>
      <c r="BT9" s="140"/>
      <c r="DB9" s="61" t="s">
        <v>64</v>
      </c>
      <c r="DC9" s="62" t="s">
        <v>63</v>
      </c>
      <c r="DD9" s="77">
        <v>3</v>
      </c>
      <c r="DF9" t="s">
        <v>64</v>
      </c>
      <c r="DG9">
        <v>3</v>
      </c>
      <c r="DH9">
        <v>26</v>
      </c>
      <c r="DI9" s="55">
        <v>0.94630872483221473</v>
      </c>
      <c r="DJ9">
        <v>3</v>
      </c>
      <c r="DK9">
        <v>26</v>
      </c>
      <c r="DL9" s="55">
        <v>0.94630872483221473</v>
      </c>
      <c r="DM9" s="42">
        <f t="shared" si="6"/>
        <v>0.17449664429530201</v>
      </c>
      <c r="DQ9" s="75" t="s">
        <v>92</v>
      </c>
      <c r="DR9" s="79" t="s">
        <v>91</v>
      </c>
      <c r="DS9" s="77">
        <v>3</v>
      </c>
      <c r="EC9" s="14" t="s">
        <v>42</v>
      </c>
      <c r="ED9" s="14">
        <v>13</v>
      </c>
      <c r="EE9" s="3">
        <v>13</v>
      </c>
      <c r="EL9" s="75" t="s">
        <v>107</v>
      </c>
      <c r="EM9" s="75" t="s">
        <v>108</v>
      </c>
      <c r="EN9" s="77">
        <v>3</v>
      </c>
      <c r="EX9" s="75" t="s">
        <v>118</v>
      </c>
      <c r="EY9" s="78" t="s">
        <v>119</v>
      </c>
      <c r="EZ9" s="75">
        <v>2</v>
      </c>
      <c r="FA9" s="77">
        <v>3</v>
      </c>
      <c r="FM9" s="75" t="s">
        <v>77</v>
      </c>
      <c r="FN9" s="75" t="s">
        <v>78</v>
      </c>
      <c r="FO9" s="75">
        <v>3</v>
      </c>
      <c r="FP9" s="77">
        <v>3</v>
      </c>
    </row>
    <row r="10" spans="1:172" ht="25.5" x14ac:dyDescent="0.25">
      <c r="A10" s="18" t="s">
        <v>6</v>
      </c>
      <c r="B10" s="18">
        <v>2024</v>
      </c>
      <c r="C10" s="18" t="s">
        <v>138</v>
      </c>
      <c r="D10" s="18" t="s">
        <v>10</v>
      </c>
      <c r="E10" s="18">
        <v>40</v>
      </c>
      <c r="F10" s="18">
        <v>40</v>
      </c>
      <c r="G10" s="18" t="s">
        <v>153</v>
      </c>
      <c r="H10" s="18" t="s">
        <v>153</v>
      </c>
      <c r="I10" s="18" t="s">
        <v>158</v>
      </c>
      <c r="J10" s="31">
        <v>8.5</v>
      </c>
      <c r="K10" s="31">
        <v>9</v>
      </c>
      <c r="L10" s="4">
        <v>0.5</v>
      </c>
      <c r="M10" s="5">
        <v>1</v>
      </c>
      <c r="N10" s="31">
        <v>0.5</v>
      </c>
      <c r="O10" s="31">
        <v>0.5</v>
      </c>
      <c r="P10" s="31">
        <v>500</v>
      </c>
      <c r="Q10" s="31">
        <v>1</v>
      </c>
      <c r="R10" s="31">
        <v>0.35</v>
      </c>
      <c r="S10" s="31">
        <v>0.16</v>
      </c>
      <c r="T10" s="86">
        <v>32</v>
      </c>
      <c r="U10" s="31">
        <v>5</v>
      </c>
      <c r="V10" s="31"/>
      <c r="W10" s="31">
        <v>5</v>
      </c>
      <c r="X10" s="4">
        <v>70</v>
      </c>
      <c r="Y10" s="18">
        <v>34</v>
      </c>
      <c r="Z10" s="18" t="s">
        <v>88</v>
      </c>
      <c r="AA10" s="18" t="s">
        <v>116</v>
      </c>
      <c r="AB10" s="18" t="s">
        <v>336</v>
      </c>
      <c r="AC10" s="18">
        <v>1</v>
      </c>
      <c r="AD10" s="18">
        <v>500</v>
      </c>
      <c r="AE10" s="18" t="s">
        <v>32</v>
      </c>
      <c r="AF10" s="18" t="s">
        <v>199</v>
      </c>
      <c r="AG10" s="18" t="s">
        <v>199</v>
      </c>
      <c r="AH10" s="18">
        <v>17</v>
      </c>
      <c r="AI10" s="18"/>
      <c r="AJ10" s="18" t="s">
        <v>64</v>
      </c>
      <c r="AK10" s="18" t="s">
        <v>79</v>
      </c>
      <c r="AL10" s="18" t="s">
        <v>100</v>
      </c>
      <c r="AM10" s="18" t="s">
        <v>109</v>
      </c>
      <c r="AN10" s="18" t="s">
        <v>120</v>
      </c>
      <c r="AO10" s="18" t="s">
        <v>198</v>
      </c>
      <c r="AP10" s="18"/>
      <c r="AQ10" s="18"/>
      <c r="AR10" s="18">
        <v>2</v>
      </c>
      <c r="AS10" s="18">
        <v>1</v>
      </c>
      <c r="AT10" s="18">
        <v>0</v>
      </c>
      <c r="AU10" s="18">
        <v>1</v>
      </c>
      <c r="AV10" s="18">
        <v>2</v>
      </c>
      <c r="AW10" s="18">
        <v>6</v>
      </c>
      <c r="AX10" s="49">
        <f t="shared" si="0"/>
        <v>7</v>
      </c>
      <c r="AY10" s="49">
        <v>1</v>
      </c>
      <c r="AZ10" s="50">
        <f t="shared" si="1"/>
        <v>6</v>
      </c>
      <c r="BA10" s="49">
        <v>6</v>
      </c>
      <c r="BB10" s="49">
        <v>15</v>
      </c>
      <c r="BC10" s="67">
        <v>25</v>
      </c>
      <c r="BD10" s="67">
        <v>1</v>
      </c>
      <c r="BE10" s="67">
        <f t="shared" si="2"/>
        <v>6</v>
      </c>
      <c r="BF10" s="67">
        <f t="shared" si="3"/>
        <v>7</v>
      </c>
      <c r="BG10" s="67">
        <v>0</v>
      </c>
      <c r="BH10" s="67">
        <v>1</v>
      </c>
      <c r="BI10" s="67">
        <v>2</v>
      </c>
      <c r="BJ10" s="67">
        <v>1</v>
      </c>
      <c r="BK10" s="67">
        <v>3</v>
      </c>
      <c r="BL10" s="67">
        <v>10</v>
      </c>
      <c r="BM10" s="67">
        <f t="shared" si="4"/>
        <v>31</v>
      </c>
      <c r="BN10" s="18">
        <f t="shared" si="5"/>
        <v>35</v>
      </c>
      <c r="BO10" s="18"/>
      <c r="BP10" s="18"/>
      <c r="BQ10" s="1"/>
      <c r="BR10" s="159" t="s">
        <v>310</v>
      </c>
      <c r="BS10" s="98">
        <v>25</v>
      </c>
      <c r="BT10" s="140"/>
      <c r="DB10" s="61" t="s">
        <v>66</v>
      </c>
      <c r="DC10" s="62" t="s">
        <v>65</v>
      </c>
      <c r="DD10" s="77">
        <v>1</v>
      </c>
      <c r="DF10" t="s">
        <v>62</v>
      </c>
      <c r="DG10">
        <v>4</v>
      </c>
      <c r="DH10">
        <v>8</v>
      </c>
      <c r="DI10" s="55">
        <v>1</v>
      </c>
      <c r="DJ10">
        <v>4</v>
      </c>
      <c r="DK10">
        <v>8</v>
      </c>
      <c r="DL10" s="55">
        <v>1</v>
      </c>
      <c r="DM10" s="42">
        <f t="shared" si="6"/>
        <v>5.3691275167785234E-2</v>
      </c>
      <c r="DQ10" s="75" t="s">
        <v>96</v>
      </c>
      <c r="DR10" s="75" t="s">
        <v>95</v>
      </c>
      <c r="DS10" s="77">
        <v>1</v>
      </c>
      <c r="EC10" s="14" t="s">
        <v>44</v>
      </c>
      <c r="ED10" s="14">
        <v>17</v>
      </c>
      <c r="EE10" s="3">
        <v>17</v>
      </c>
      <c r="EL10" s="75" t="s">
        <v>109</v>
      </c>
      <c r="EM10" s="75" t="s">
        <v>110</v>
      </c>
      <c r="EN10" s="77">
        <v>1</v>
      </c>
      <c r="EX10" s="75" t="s">
        <v>120</v>
      </c>
      <c r="EY10" s="78" t="s">
        <v>121</v>
      </c>
      <c r="EZ10" s="75">
        <v>2</v>
      </c>
      <c r="FA10" s="77">
        <v>2</v>
      </c>
      <c r="FM10" s="75" t="s">
        <v>79</v>
      </c>
      <c r="FN10" s="75" t="s">
        <v>80</v>
      </c>
      <c r="FO10" s="75">
        <v>1</v>
      </c>
      <c r="FP10" s="77">
        <v>1</v>
      </c>
    </row>
    <row r="11" spans="1:172" ht="25.5" x14ac:dyDescent="0.25">
      <c r="A11" s="18" t="s">
        <v>6</v>
      </c>
      <c r="B11" s="18">
        <v>2024</v>
      </c>
      <c r="C11" s="18" t="s">
        <v>138</v>
      </c>
      <c r="D11" s="18" t="s">
        <v>10</v>
      </c>
      <c r="E11" s="18">
        <v>40</v>
      </c>
      <c r="F11" s="18">
        <v>40</v>
      </c>
      <c r="G11" s="18" t="s">
        <v>153</v>
      </c>
      <c r="H11" s="18" t="s">
        <v>153</v>
      </c>
      <c r="I11" s="18" t="s">
        <v>158</v>
      </c>
      <c r="J11" s="31">
        <v>9</v>
      </c>
      <c r="K11" s="31">
        <v>9.5</v>
      </c>
      <c r="L11" s="4">
        <v>0.5</v>
      </c>
      <c r="M11" s="5">
        <v>0.8</v>
      </c>
      <c r="N11" s="31">
        <v>0.4</v>
      </c>
      <c r="O11" s="31">
        <v>0.4</v>
      </c>
      <c r="P11" s="31">
        <v>400</v>
      </c>
      <c r="Q11" s="31">
        <v>1</v>
      </c>
      <c r="R11" s="31">
        <v>0.41</v>
      </c>
      <c r="S11" s="31">
        <v>0.21</v>
      </c>
      <c r="T11" s="86">
        <v>42</v>
      </c>
      <c r="U11" s="31">
        <v>4</v>
      </c>
      <c r="V11" s="31"/>
      <c r="W11" s="31">
        <v>4</v>
      </c>
      <c r="X11" s="4">
        <v>102.5</v>
      </c>
      <c r="Y11" s="18">
        <v>46</v>
      </c>
      <c r="Z11" s="18" t="s">
        <v>88</v>
      </c>
      <c r="AA11" s="18" t="s">
        <v>116</v>
      </c>
      <c r="AB11" s="18" t="s">
        <v>336</v>
      </c>
      <c r="AC11" s="18">
        <v>1</v>
      </c>
      <c r="AD11" s="18">
        <v>400</v>
      </c>
      <c r="AE11" s="18" t="s">
        <v>32</v>
      </c>
      <c r="AF11" s="18" t="s">
        <v>196</v>
      </c>
      <c r="AG11" s="18" t="s">
        <v>196</v>
      </c>
      <c r="AH11" s="18">
        <v>17</v>
      </c>
      <c r="AI11" s="18"/>
      <c r="AJ11" s="18" t="s">
        <v>62</v>
      </c>
      <c r="AK11" s="18" t="s">
        <v>77</v>
      </c>
      <c r="AL11" s="18" t="s">
        <v>96</v>
      </c>
      <c r="AM11" s="18" t="s">
        <v>109</v>
      </c>
      <c r="AN11" s="18" t="s">
        <v>120</v>
      </c>
      <c r="AO11" s="18" t="s">
        <v>198</v>
      </c>
      <c r="AP11" s="18"/>
      <c r="AQ11" s="18"/>
      <c r="AR11" s="18">
        <v>4</v>
      </c>
      <c r="AS11" s="18">
        <v>3</v>
      </c>
      <c r="AT11" s="18">
        <v>1</v>
      </c>
      <c r="AU11" s="18">
        <v>1</v>
      </c>
      <c r="AV11" s="18">
        <v>2</v>
      </c>
      <c r="AW11" s="18">
        <v>11</v>
      </c>
      <c r="AX11" s="49">
        <f t="shared" si="0"/>
        <v>9</v>
      </c>
      <c r="AY11" s="49">
        <v>1</v>
      </c>
      <c r="AZ11" s="50">
        <f t="shared" si="1"/>
        <v>7</v>
      </c>
      <c r="BA11" s="49">
        <v>11</v>
      </c>
      <c r="BB11" s="49">
        <v>15</v>
      </c>
      <c r="BC11" s="67">
        <v>37.5</v>
      </c>
      <c r="BD11" s="67">
        <v>1</v>
      </c>
      <c r="BE11" s="67">
        <f t="shared" si="2"/>
        <v>8</v>
      </c>
      <c r="BF11" s="67">
        <f t="shared" si="3"/>
        <v>9</v>
      </c>
      <c r="BG11" s="67">
        <v>1</v>
      </c>
      <c r="BH11" s="67">
        <v>1</v>
      </c>
      <c r="BI11" s="67">
        <v>2</v>
      </c>
      <c r="BJ11" s="67">
        <v>3</v>
      </c>
      <c r="BK11" s="67">
        <v>4</v>
      </c>
      <c r="BL11" s="67">
        <v>10</v>
      </c>
      <c r="BM11" s="67">
        <f t="shared" si="4"/>
        <v>39</v>
      </c>
      <c r="BN11" s="18">
        <f t="shared" si="5"/>
        <v>43</v>
      </c>
      <c r="BO11" s="18"/>
      <c r="BP11" s="18"/>
      <c r="BQ11" s="1"/>
      <c r="BR11" s="160" t="s">
        <v>311</v>
      </c>
      <c r="BS11" s="161">
        <v>9.4462785522771888</v>
      </c>
      <c r="BT11" s="140"/>
      <c r="DB11" s="61" t="s">
        <v>69</v>
      </c>
      <c r="DC11" s="62" t="s">
        <v>68</v>
      </c>
      <c r="DD11" s="77">
        <v>0</v>
      </c>
      <c r="DF11" t="s">
        <v>60</v>
      </c>
      <c r="DG11">
        <v>5</v>
      </c>
      <c r="DH11">
        <v>0</v>
      </c>
      <c r="DI11" s="55">
        <v>1</v>
      </c>
      <c r="DJ11">
        <v>5</v>
      </c>
      <c r="DK11">
        <v>0</v>
      </c>
      <c r="DL11" s="55">
        <v>1</v>
      </c>
      <c r="DM11" s="42">
        <f t="shared" si="6"/>
        <v>0</v>
      </c>
      <c r="DQ11" s="75" t="s">
        <v>100</v>
      </c>
      <c r="DR11" s="75" t="s">
        <v>99</v>
      </c>
      <c r="DS11" s="77">
        <v>0</v>
      </c>
      <c r="EC11" s="14" t="s">
        <v>46</v>
      </c>
      <c r="ED11" s="14">
        <v>20</v>
      </c>
      <c r="EE11" s="3">
        <v>20</v>
      </c>
      <c r="EL11" s="75" t="s">
        <v>111</v>
      </c>
      <c r="EM11" s="75" t="s">
        <v>599</v>
      </c>
      <c r="EN11" s="77">
        <v>0</v>
      </c>
      <c r="EX11" s="75" t="s">
        <v>122</v>
      </c>
      <c r="EY11" s="78" t="s">
        <v>123</v>
      </c>
      <c r="EZ11" s="75">
        <v>0</v>
      </c>
      <c r="FA11" s="77">
        <v>0</v>
      </c>
      <c r="FM11" s="75" t="s">
        <v>81</v>
      </c>
      <c r="FN11" s="75" t="s">
        <v>82</v>
      </c>
      <c r="FO11" s="75">
        <v>0</v>
      </c>
      <c r="FP11" s="77">
        <v>0</v>
      </c>
    </row>
    <row r="12" spans="1:172" ht="15.75" thickBot="1" x14ac:dyDescent="0.3">
      <c r="A12" s="18" t="s">
        <v>6</v>
      </c>
      <c r="B12" s="18">
        <v>2024</v>
      </c>
      <c r="C12" s="18" t="s">
        <v>138</v>
      </c>
      <c r="D12" s="18" t="s">
        <v>10</v>
      </c>
      <c r="E12" s="18">
        <v>40</v>
      </c>
      <c r="F12" s="18">
        <v>40</v>
      </c>
      <c r="G12" s="18" t="s">
        <v>153</v>
      </c>
      <c r="H12" s="18" t="s">
        <v>153</v>
      </c>
      <c r="I12" s="18" t="s">
        <v>159</v>
      </c>
      <c r="J12" s="31">
        <v>9.5</v>
      </c>
      <c r="K12" s="31">
        <v>10</v>
      </c>
      <c r="L12" s="4">
        <v>0.5</v>
      </c>
      <c r="M12" s="5">
        <v>0.86</v>
      </c>
      <c r="N12" s="31">
        <v>0.43</v>
      </c>
      <c r="O12" s="31">
        <v>0.43</v>
      </c>
      <c r="P12" s="31">
        <v>86</v>
      </c>
      <c r="Q12" s="31">
        <v>5</v>
      </c>
      <c r="R12" s="31">
        <v>0.43</v>
      </c>
      <c r="S12" s="31">
        <v>0.25</v>
      </c>
      <c r="T12" s="86">
        <v>50</v>
      </c>
      <c r="U12" s="31">
        <v>4</v>
      </c>
      <c r="V12" s="31"/>
      <c r="W12" s="31">
        <v>4</v>
      </c>
      <c r="X12" s="4">
        <v>107.5</v>
      </c>
      <c r="Y12" s="18">
        <v>42</v>
      </c>
      <c r="Z12" s="18" t="s">
        <v>88</v>
      </c>
      <c r="AA12" s="18" t="s">
        <v>118</v>
      </c>
      <c r="AB12" s="18" t="s">
        <v>334</v>
      </c>
      <c r="AC12" s="18">
        <v>5</v>
      </c>
      <c r="AD12" s="18">
        <v>86</v>
      </c>
      <c r="AE12" s="18" t="s">
        <v>27</v>
      </c>
      <c r="AF12" s="18" t="s">
        <v>27</v>
      </c>
      <c r="AG12" s="18" t="s">
        <v>27</v>
      </c>
      <c r="AH12" s="18">
        <v>59</v>
      </c>
      <c r="AI12" s="18"/>
      <c r="AJ12" s="18" t="s">
        <v>62</v>
      </c>
      <c r="AK12" s="18" t="s">
        <v>75</v>
      </c>
      <c r="AL12" s="18" t="s">
        <v>92</v>
      </c>
      <c r="AM12" s="18" t="s">
        <v>107</v>
      </c>
      <c r="AN12" s="18" t="s">
        <v>118</v>
      </c>
      <c r="AO12" s="18" t="s">
        <v>198</v>
      </c>
      <c r="AP12" s="18" t="s">
        <v>205</v>
      </c>
      <c r="AQ12" s="18"/>
      <c r="AR12" s="18">
        <v>4</v>
      </c>
      <c r="AS12" s="18">
        <v>5</v>
      </c>
      <c r="AT12" s="18">
        <v>3</v>
      </c>
      <c r="AU12" s="18">
        <v>3</v>
      </c>
      <c r="AV12" s="18">
        <v>2</v>
      </c>
      <c r="AW12" s="18">
        <v>17</v>
      </c>
      <c r="AX12" s="49">
        <f t="shared" si="0"/>
        <v>10</v>
      </c>
      <c r="AY12" s="49">
        <v>4</v>
      </c>
      <c r="AZ12" s="50">
        <f t="shared" si="1"/>
        <v>7</v>
      </c>
      <c r="BA12" s="49">
        <v>17</v>
      </c>
      <c r="BB12" s="49">
        <v>15</v>
      </c>
      <c r="BC12" s="67">
        <v>50.5</v>
      </c>
      <c r="BD12" s="67">
        <v>4</v>
      </c>
      <c r="BE12" s="67">
        <f t="shared" si="2"/>
        <v>9</v>
      </c>
      <c r="BF12" s="67">
        <f t="shared" si="3"/>
        <v>10</v>
      </c>
      <c r="BG12" s="67">
        <v>3</v>
      </c>
      <c r="BH12" s="67">
        <v>3</v>
      </c>
      <c r="BI12" s="67">
        <v>2</v>
      </c>
      <c r="BJ12" s="67">
        <v>4</v>
      </c>
      <c r="BK12" s="67">
        <v>4</v>
      </c>
      <c r="BL12" s="67">
        <v>10</v>
      </c>
      <c r="BM12" s="67">
        <f t="shared" si="4"/>
        <v>49</v>
      </c>
      <c r="BN12" s="18">
        <f t="shared" si="5"/>
        <v>53</v>
      </c>
      <c r="BO12" s="18"/>
      <c r="BP12" s="18"/>
      <c r="BQ12" s="1"/>
      <c r="BR12" s="159" t="s">
        <v>312</v>
      </c>
      <c r="BS12" s="98">
        <v>89.232178487212039</v>
      </c>
      <c r="BT12" s="140"/>
      <c r="DG12" s="57" t="s">
        <v>581</v>
      </c>
      <c r="DH12" s="57">
        <v>0</v>
      </c>
      <c r="DI12" s="95">
        <v>1</v>
      </c>
      <c r="DJ12" s="57" t="s">
        <v>581</v>
      </c>
      <c r="DK12" s="57">
        <v>0</v>
      </c>
      <c r="DL12" s="95">
        <v>1</v>
      </c>
    </row>
    <row r="13" spans="1:172" x14ac:dyDescent="0.25">
      <c r="A13" s="18" t="s">
        <v>6</v>
      </c>
      <c r="B13" s="18">
        <v>2024</v>
      </c>
      <c r="C13" s="18" t="s">
        <v>138</v>
      </c>
      <c r="D13" s="18" t="s">
        <v>10</v>
      </c>
      <c r="E13" s="18">
        <v>40</v>
      </c>
      <c r="F13" s="18">
        <v>40</v>
      </c>
      <c r="G13" s="18" t="s">
        <v>153</v>
      </c>
      <c r="H13" s="18" t="s">
        <v>153</v>
      </c>
      <c r="I13" s="18" t="s">
        <v>159</v>
      </c>
      <c r="J13" s="31">
        <v>12</v>
      </c>
      <c r="K13" s="31">
        <v>12.5</v>
      </c>
      <c r="L13" s="4">
        <v>0.5</v>
      </c>
      <c r="M13" s="5">
        <v>0.7</v>
      </c>
      <c r="N13" s="31">
        <v>0.35</v>
      </c>
      <c r="O13" s="31">
        <v>0.35</v>
      </c>
      <c r="P13" s="31">
        <v>350</v>
      </c>
      <c r="Q13" s="31">
        <v>1</v>
      </c>
      <c r="R13" s="31">
        <v>0.22</v>
      </c>
      <c r="S13" s="31">
        <v>0.19</v>
      </c>
      <c r="T13" s="86">
        <v>38</v>
      </c>
      <c r="U13" s="31">
        <v>5</v>
      </c>
      <c r="V13" s="31"/>
      <c r="W13" s="31">
        <v>5</v>
      </c>
      <c r="X13" s="4">
        <v>44</v>
      </c>
      <c r="Y13" s="18">
        <v>26</v>
      </c>
      <c r="Z13" s="18" t="s">
        <v>92</v>
      </c>
      <c r="AA13" s="18" t="s">
        <v>116</v>
      </c>
      <c r="AB13" s="18" t="s">
        <v>337</v>
      </c>
      <c r="AC13" s="18">
        <v>1</v>
      </c>
      <c r="AD13" s="18">
        <v>350</v>
      </c>
      <c r="AE13" s="18" t="s">
        <v>29</v>
      </c>
      <c r="AF13" s="18" t="s">
        <v>27</v>
      </c>
      <c r="AG13" s="18" t="s">
        <v>27</v>
      </c>
      <c r="AH13" s="18">
        <v>59</v>
      </c>
      <c r="AI13" s="18"/>
      <c r="AJ13" s="18" t="s">
        <v>62</v>
      </c>
      <c r="AK13" s="18" t="s">
        <v>77</v>
      </c>
      <c r="AL13" s="18" t="s">
        <v>92</v>
      </c>
      <c r="AM13" s="18" t="s">
        <v>105</v>
      </c>
      <c r="AN13" s="18" t="s">
        <v>116</v>
      </c>
      <c r="AO13" s="18" t="s">
        <v>198</v>
      </c>
      <c r="AP13" s="18" t="s">
        <v>210</v>
      </c>
      <c r="AQ13" s="18"/>
      <c r="AR13" s="18">
        <v>4</v>
      </c>
      <c r="AS13" s="18">
        <v>3</v>
      </c>
      <c r="AT13" s="18">
        <v>3</v>
      </c>
      <c r="AU13" s="18">
        <v>4</v>
      </c>
      <c r="AV13" s="18">
        <v>4</v>
      </c>
      <c r="AW13" s="18">
        <v>18</v>
      </c>
      <c r="AX13" s="49">
        <f t="shared" si="0"/>
        <v>8</v>
      </c>
      <c r="AY13" s="49">
        <v>2</v>
      </c>
      <c r="AZ13" s="50">
        <f t="shared" si="1"/>
        <v>6</v>
      </c>
      <c r="BA13" s="49">
        <v>18</v>
      </c>
      <c r="BB13" s="49">
        <v>15</v>
      </c>
      <c r="BC13" s="67">
        <v>46</v>
      </c>
      <c r="BD13" s="67">
        <v>2</v>
      </c>
      <c r="BE13" s="67">
        <f t="shared" si="2"/>
        <v>5</v>
      </c>
      <c r="BF13" s="67">
        <f t="shared" si="3"/>
        <v>8</v>
      </c>
      <c r="BG13" s="67">
        <v>3</v>
      </c>
      <c r="BH13" s="67">
        <v>4</v>
      </c>
      <c r="BI13" s="67">
        <v>4</v>
      </c>
      <c r="BJ13" s="67">
        <v>3</v>
      </c>
      <c r="BK13" s="67">
        <v>4</v>
      </c>
      <c r="BL13" s="67">
        <v>10</v>
      </c>
      <c r="BM13" s="67">
        <f t="shared" si="4"/>
        <v>43</v>
      </c>
      <c r="BN13" s="18">
        <f t="shared" si="5"/>
        <v>49</v>
      </c>
      <c r="BO13" s="18"/>
      <c r="BP13" s="18"/>
      <c r="BQ13" s="1"/>
      <c r="BR13" s="159" t="s">
        <v>313</v>
      </c>
      <c r="BS13" s="98">
        <v>0.19751290523717246</v>
      </c>
      <c r="BT13" s="140"/>
      <c r="DH13">
        <f>+SUM(DH7:DH11)</f>
        <v>149</v>
      </c>
    </row>
    <row r="14" spans="1:172" ht="15.75" thickBot="1" x14ac:dyDescent="0.3">
      <c r="A14" s="18" t="s">
        <v>6</v>
      </c>
      <c r="B14" s="18">
        <v>2024</v>
      </c>
      <c r="C14" s="18" t="s">
        <v>138</v>
      </c>
      <c r="D14" s="18" t="s">
        <v>10</v>
      </c>
      <c r="E14" s="18">
        <v>40</v>
      </c>
      <c r="F14" s="18">
        <v>40</v>
      </c>
      <c r="G14" s="18" t="s">
        <v>153</v>
      </c>
      <c r="H14" s="18" t="s">
        <v>153</v>
      </c>
      <c r="I14" s="18" t="s">
        <v>159</v>
      </c>
      <c r="J14" s="31">
        <v>12.5</v>
      </c>
      <c r="K14" s="31">
        <v>13</v>
      </c>
      <c r="L14" s="4">
        <v>0.5</v>
      </c>
      <c r="M14" s="5">
        <v>0.5</v>
      </c>
      <c r="N14" s="31">
        <v>0.25</v>
      </c>
      <c r="O14" s="31">
        <v>0.25</v>
      </c>
      <c r="P14" s="31">
        <v>50</v>
      </c>
      <c r="Q14" s="31">
        <v>5</v>
      </c>
      <c r="R14" s="31">
        <v>0.23</v>
      </c>
      <c r="S14" s="31">
        <v>0.11</v>
      </c>
      <c r="T14" s="86">
        <v>22</v>
      </c>
      <c r="U14" s="31">
        <v>5</v>
      </c>
      <c r="V14" s="31"/>
      <c r="W14" s="31">
        <v>5</v>
      </c>
      <c r="X14" s="4">
        <v>46</v>
      </c>
      <c r="Y14" s="18">
        <v>24</v>
      </c>
      <c r="Z14" s="18" t="s">
        <v>92</v>
      </c>
      <c r="AA14" s="18" t="s">
        <v>118</v>
      </c>
      <c r="AB14" s="18" t="s">
        <v>337</v>
      </c>
      <c r="AC14" s="18">
        <v>5</v>
      </c>
      <c r="AD14" s="18">
        <v>50</v>
      </c>
      <c r="AE14" s="18" t="s">
        <v>29</v>
      </c>
      <c r="AF14" s="18" t="s">
        <v>24</v>
      </c>
      <c r="AG14" s="18" t="s">
        <v>24</v>
      </c>
      <c r="AH14" s="18">
        <v>59</v>
      </c>
      <c r="AI14" s="18"/>
      <c r="AJ14" s="18" t="s">
        <v>62</v>
      </c>
      <c r="AK14" s="18" t="s">
        <v>75</v>
      </c>
      <c r="AL14" s="18" t="s">
        <v>92</v>
      </c>
      <c r="AM14" s="18" t="s">
        <v>107</v>
      </c>
      <c r="AN14" s="18" t="s">
        <v>118</v>
      </c>
      <c r="AO14" s="18" t="s">
        <v>198</v>
      </c>
      <c r="AP14" s="18" t="s">
        <v>205</v>
      </c>
      <c r="AQ14" s="18"/>
      <c r="AR14" s="18">
        <v>4</v>
      </c>
      <c r="AS14" s="18">
        <v>5</v>
      </c>
      <c r="AT14" s="18">
        <v>3</v>
      </c>
      <c r="AU14" s="18">
        <v>3</v>
      </c>
      <c r="AV14" s="18">
        <v>2</v>
      </c>
      <c r="AW14" s="18">
        <v>17</v>
      </c>
      <c r="AX14" s="49">
        <f t="shared" si="0"/>
        <v>5</v>
      </c>
      <c r="AY14" s="49">
        <v>2</v>
      </c>
      <c r="AZ14" s="50">
        <f t="shared" si="1"/>
        <v>6</v>
      </c>
      <c r="BA14" s="49">
        <v>17</v>
      </c>
      <c r="BB14" s="49">
        <v>15</v>
      </c>
      <c r="BC14" s="67">
        <v>36.5</v>
      </c>
      <c r="BD14" s="67">
        <v>2</v>
      </c>
      <c r="BE14" s="67">
        <f t="shared" si="2"/>
        <v>5</v>
      </c>
      <c r="BF14" s="67">
        <f t="shared" si="3"/>
        <v>5</v>
      </c>
      <c r="BG14" s="67">
        <v>3</v>
      </c>
      <c r="BH14" s="67">
        <v>3</v>
      </c>
      <c r="BI14" s="67">
        <v>2</v>
      </c>
      <c r="BJ14" s="67">
        <v>4</v>
      </c>
      <c r="BK14" s="67">
        <v>4</v>
      </c>
      <c r="BL14" s="67">
        <v>10</v>
      </c>
      <c r="BM14" s="67">
        <f t="shared" si="4"/>
        <v>38</v>
      </c>
      <c r="BN14" s="18">
        <f t="shared" si="5"/>
        <v>45</v>
      </c>
      <c r="BO14" s="18"/>
      <c r="BP14" s="18"/>
      <c r="BQ14" s="1"/>
      <c r="BR14" s="159" t="s">
        <v>314</v>
      </c>
      <c r="BS14" s="98">
        <v>1.0202109244914774</v>
      </c>
      <c r="BT14" s="140"/>
    </row>
    <row r="15" spans="1:172" x14ac:dyDescent="0.25">
      <c r="A15" s="18" t="s">
        <v>6</v>
      </c>
      <c r="B15" s="18">
        <v>2024</v>
      </c>
      <c r="C15" s="18" t="s">
        <v>138</v>
      </c>
      <c r="D15" s="18" t="s">
        <v>10</v>
      </c>
      <c r="E15" s="18">
        <v>40</v>
      </c>
      <c r="F15" s="18">
        <v>40</v>
      </c>
      <c r="G15" s="18" t="s">
        <v>153</v>
      </c>
      <c r="H15" s="18" t="s">
        <v>153</v>
      </c>
      <c r="I15" s="18" t="s">
        <v>159</v>
      </c>
      <c r="J15" s="31">
        <v>13</v>
      </c>
      <c r="K15" s="31">
        <v>13.5</v>
      </c>
      <c r="L15" s="4">
        <v>0.5</v>
      </c>
      <c r="M15" s="5">
        <v>0.5</v>
      </c>
      <c r="N15" s="31">
        <v>0.25</v>
      </c>
      <c r="O15" s="31">
        <v>0.25</v>
      </c>
      <c r="P15" s="31">
        <v>12.5</v>
      </c>
      <c r="Q15" s="31">
        <v>20</v>
      </c>
      <c r="R15" s="31">
        <v>0.22</v>
      </c>
      <c r="S15" s="31">
        <v>0.12</v>
      </c>
      <c r="T15" s="86">
        <v>24</v>
      </c>
      <c r="U15" s="31">
        <v>3</v>
      </c>
      <c r="V15" s="31"/>
      <c r="W15" s="31">
        <v>3</v>
      </c>
      <c r="X15" s="4">
        <v>73.333333333333329</v>
      </c>
      <c r="Y15" s="18">
        <v>0</v>
      </c>
      <c r="Z15" s="18" t="s">
        <v>96</v>
      </c>
      <c r="AA15" s="18" t="s">
        <v>333</v>
      </c>
      <c r="AB15" s="18" t="s">
        <v>335</v>
      </c>
      <c r="AC15" s="18">
        <v>20</v>
      </c>
      <c r="AD15" s="18">
        <v>12.5</v>
      </c>
      <c r="AE15" s="18" t="s">
        <v>34</v>
      </c>
      <c r="AF15" s="18" t="s">
        <v>34</v>
      </c>
      <c r="AG15" s="18" t="s">
        <v>34</v>
      </c>
      <c r="AH15" s="18">
        <v>17</v>
      </c>
      <c r="AI15" s="18"/>
      <c r="AJ15" s="18" t="s">
        <v>66</v>
      </c>
      <c r="AK15" s="18" t="s">
        <v>81</v>
      </c>
      <c r="AL15" s="18" t="s">
        <v>100</v>
      </c>
      <c r="AM15" s="18" t="s">
        <v>107</v>
      </c>
      <c r="AN15" s="18" t="s">
        <v>122</v>
      </c>
      <c r="AO15" s="18" t="s">
        <v>198</v>
      </c>
      <c r="AP15" s="18" t="s">
        <v>211</v>
      </c>
      <c r="AQ15" s="18"/>
      <c r="AR15" s="18">
        <v>1</v>
      </c>
      <c r="AS15" s="18">
        <v>0</v>
      </c>
      <c r="AT15" s="18">
        <v>0</v>
      </c>
      <c r="AU15" s="18">
        <v>3</v>
      </c>
      <c r="AV15" s="18">
        <v>0</v>
      </c>
      <c r="AW15" s="18">
        <v>4</v>
      </c>
      <c r="AX15" s="49">
        <f t="shared" si="0"/>
        <v>5</v>
      </c>
      <c r="AY15" s="49">
        <v>0</v>
      </c>
      <c r="AZ15" s="50">
        <f t="shared" si="1"/>
        <v>7</v>
      </c>
      <c r="BA15" s="49">
        <v>4</v>
      </c>
      <c r="BB15" s="49">
        <v>15</v>
      </c>
      <c r="BC15" s="67">
        <v>18</v>
      </c>
      <c r="BD15" s="67">
        <v>0</v>
      </c>
      <c r="BE15" s="67">
        <f t="shared" si="2"/>
        <v>6</v>
      </c>
      <c r="BF15" s="67">
        <f t="shared" si="3"/>
        <v>5</v>
      </c>
      <c r="BG15" s="67">
        <v>0</v>
      </c>
      <c r="BH15" s="67">
        <v>3</v>
      </c>
      <c r="BI15" s="67">
        <v>0</v>
      </c>
      <c r="BJ15" s="67">
        <v>0</v>
      </c>
      <c r="BK15" s="67">
        <v>1</v>
      </c>
      <c r="BL15" s="67">
        <v>10</v>
      </c>
      <c r="BM15" s="67">
        <f t="shared" si="4"/>
        <v>25</v>
      </c>
      <c r="BN15" s="18">
        <f t="shared" si="5"/>
        <v>31</v>
      </c>
      <c r="BO15" s="18"/>
      <c r="BP15" s="18"/>
      <c r="BQ15" s="1"/>
      <c r="BR15" s="159" t="s">
        <v>315</v>
      </c>
      <c r="BS15" s="98">
        <v>40</v>
      </c>
      <c r="BT15" s="140"/>
      <c r="DA15" s="96"/>
      <c r="DB15" s="96"/>
      <c r="DC15" s="96"/>
      <c r="DD15" s="96"/>
      <c r="DE15" s="96"/>
      <c r="DF15" s="96"/>
      <c r="DG15" s="39"/>
      <c r="DP15" s="96" t="s">
        <v>287</v>
      </c>
      <c r="DQ15" s="96" t="s">
        <v>288</v>
      </c>
      <c r="DR15" s="96" t="s">
        <v>582</v>
      </c>
      <c r="DS15" s="96" t="s">
        <v>287</v>
      </c>
      <c r="DT15" s="96" t="s">
        <v>288</v>
      </c>
      <c r="DU15" s="96" t="s">
        <v>582</v>
      </c>
      <c r="DV15" s="39" t="s">
        <v>583</v>
      </c>
      <c r="EB15" s="96" t="s">
        <v>287</v>
      </c>
      <c r="EC15" s="96" t="s">
        <v>288</v>
      </c>
      <c r="ED15" s="96" t="s">
        <v>582</v>
      </c>
      <c r="EE15" s="96" t="s">
        <v>287</v>
      </c>
      <c r="EF15" s="96" t="s">
        <v>288</v>
      </c>
      <c r="EG15" s="96" t="s">
        <v>582</v>
      </c>
      <c r="EH15" s="39" t="s">
        <v>636</v>
      </c>
      <c r="EK15" s="96" t="s">
        <v>287</v>
      </c>
      <c r="EL15" s="96" t="s">
        <v>288</v>
      </c>
      <c r="EM15" s="96" t="s">
        <v>582</v>
      </c>
      <c r="EN15" s="96" t="s">
        <v>287</v>
      </c>
      <c r="EO15" s="96" t="s">
        <v>288</v>
      </c>
      <c r="EP15" s="96" t="s">
        <v>582</v>
      </c>
      <c r="EQ15" s="39" t="s">
        <v>636</v>
      </c>
      <c r="EW15" s="96" t="s">
        <v>287</v>
      </c>
      <c r="EX15" s="96" t="s">
        <v>288</v>
      </c>
      <c r="EY15" s="96" t="s">
        <v>582</v>
      </c>
      <c r="EZ15" s="96" t="s">
        <v>287</v>
      </c>
      <c r="FA15" s="96" t="s">
        <v>288</v>
      </c>
      <c r="FB15" s="96" t="s">
        <v>582</v>
      </c>
      <c r="FC15" s="39" t="s">
        <v>636</v>
      </c>
      <c r="FJ15" s="96" t="s">
        <v>287</v>
      </c>
      <c r="FK15" s="96" t="s">
        <v>288</v>
      </c>
      <c r="FL15" s="96" t="s">
        <v>582</v>
      </c>
      <c r="FM15" s="96" t="s">
        <v>287</v>
      </c>
      <c r="FN15" s="96" t="s">
        <v>288</v>
      </c>
      <c r="FO15" s="96" t="s">
        <v>582</v>
      </c>
      <c r="FP15" s="39" t="s">
        <v>642</v>
      </c>
    </row>
    <row r="16" spans="1:172" x14ac:dyDescent="0.25">
      <c r="A16" s="18" t="s">
        <v>6</v>
      </c>
      <c r="B16" s="18">
        <v>2024</v>
      </c>
      <c r="C16" s="18" t="s">
        <v>138</v>
      </c>
      <c r="D16" s="18" t="s">
        <v>10</v>
      </c>
      <c r="E16" s="18">
        <v>40</v>
      </c>
      <c r="F16" s="18">
        <v>40</v>
      </c>
      <c r="G16" s="18" t="s">
        <v>153</v>
      </c>
      <c r="H16" s="18" t="s">
        <v>153</v>
      </c>
      <c r="I16" s="18" t="s">
        <v>160</v>
      </c>
      <c r="J16" s="31">
        <v>13.5</v>
      </c>
      <c r="K16" s="31">
        <v>14</v>
      </c>
      <c r="L16" s="4">
        <v>0.5</v>
      </c>
      <c r="M16" s="5">
        <v>0.48</v>
      </c>
      <c r="N16" s="31">
        <v>0.24</v>
      </c>
      <c r="O16" s="31">
        <v>0.24</v>
      </c>
      <c r="P16" s="31">
        <v>12</v>
      </c>
      <c r="Q16" s="31">
        <v>20</v>
      </c>
      <c r="R16" s="31">
        <v>0.42</v>
      </c>
      <c r="S16" s="31">
        <v>0.14000000000000001</v>
      </c>
      <c r="T16" s="86">
        <v>28.000000000000004</v>
      </c>
      <c r="U16" s="31">
        <v>3</v>
      </c>
      <c r="V16" s="31"/>
      <c r="W16" s="31">
        <v>3</v>
      </c>
      <c r="X16" s="4">
        <v>140</v>
      </c>
      <c r="Y16" s="18">
        <v>0</v>
      </c>
      <c r="Z16" s="18" t="s">
        <v>96</v>
      </c>
      <c r="AA16" s="18" t="s">
        <v>333</v>
      </c>
      <c r="AB16" s="18" t="s">
        <v>335</v>
      </c>
      <c r="AC16" s="18">
        <v>20</v>
      </c>
      <c r="AD16" s="18">
        <v>12</v>
      </c>
      <c r="AE16" s="18" t="s">
        <v>34</v>
      </c>
      <c r="AF16" s="18" t="s">
        <v>34</v>
      </c>
      <c r="AG16" s="18" t="s">
        <v>34</v>
      </c>
      <c r="AH16" s="18">
        <v>17</v>
      </c>
      <c r="AI16" s="18"/>
      <c r="AJ16" s="18" t="s">
        <v>66</v>
      </c>
      <c r="AK16" s="18" t="s">
        <v>81</v>
      </c>
      <c r="AL16" s="18" t="s">
        <v>100</v>
      </c>
      <c r="AM16" s="18" t="s">
        <v>107</v>
      </c>
      <c r="AN16" s="18" t="s">
        <v>122</v>
      </c>
      <c r="AO16" s="18" t="s">
        <v>198</v>
      </c>
      <c r="AP16" s="18" t="s">
        <v>211</v>
      </c>
      <c r="AQ16" s="18"/>
      <c r="AR16" s="18">
        <v>1</v>
      </c>
      <c r="AS16" s="18">
        <v>0</v>
      </c>
      <c r="AT16" s="18">
        <v>0</v>
      </c>
      <c r="AU16" s="18">
        <v>3</v>
      </c>
      <c r="AV16" s="18">
        <v>0</v>
      </c>
      <c r="AW16" s="18">
        <v>4</v>
      </c>
      <c r="AX16" s="49">
        <f t="shared" si="0"/>
        <v>6</v>
      </c>
      <c r="AY16" s="49">
        <v>0</v>
      </c>
      <c r="AZ16" s="50">
        <f t="shared" si="1"/>
        <v>8</v>
      </c>
      <c r="BA16" s="49">
        <v>4</v>
      </c>
      <c r="BB16" s="49">
        <v>15</v>
      </c>
      <c r="BC16" s="67">
        <v>20</v>
      </c>
      <c r="BD16" s="67">
        <v>0</v>
      </c>
      <c r="BE16" s="67">
        <f t="shared" si="2"/>
        <v>10</v>
      </c>
      <c r="BF16" s="67">
        <f t="shared" si="3"/>
        <v>6</v>
      </c>
      <c r="BG16" s="67">
        <v>0</v>
      </c>
      <c r="BH16" s="67">
        <v>3</v>
      </c>
      <c r="BI16" s="67">
        <v>0</v>
      </c>
      <c r="BJ16" s="67">
        <v>0</v>
      </c>
      <c r="BK16" s="67">
        <v>1</v>
      </c>
      <c r="BL16" s="67">
        <v>10</v>
      </c>
      <c r="BM16" s="67">
        <f t="shared" si="4"/>
        <v>30</v>
      </c>
      <c r="BN16" s="18">
        <f t="shared" si="5"/>
        <v>33</v>
      </c>
      <c r="BO16" s="18"/>
      <c r="BP16" s="18"/>
      <c r="BQ16" s="1"/>
      <c r="BR16" s="160" t="s">
        <v>316</v>
      </c>
      <c r="BS16" s="161">
        <v>13</v>
      </c>
      <c r="BT16" s="140"/>
      <c r="DC16" s="55"/>
      <c r="DF16" s="55"/>
      <c r="DG16" s="97"/>
      <c r="DO16" t="s">
        <v>85</v>
      </c>
      <c r="DP16">
        <v>0</v>
      </c>
      <c r="DQ16">
        <v>83</v>
      </c>
      <c r="DR16" s="55">
        <v>0.55704697986577179</v>
      </c>
      <c r="DS16">
        <v>0</v>
      </c>
      <c r="DT16">
        <v>83</v>
      </c>
      <c r="DU16" s="55">
        <v>0.55704697986577179</v>
      </c>
      <c r="DV16" s="42">
        <f>+DQ16/$DQ$22</f>
        <v>0.55704697986577179</v>
      </c>
      <c r="EA16" s="15" t="s">
        <v>637</v>
      </c>
      <c r="EB16">
        <v>3</v>
      </c>
      <c r="EC16">
        <v>91</v>
      </c>
      <c r="ED16" s="55">
        <v>0.61073825503355705</v>
      </c>
      <c r="EE16">
        <v>3</v>
      </c>
      <c r="EF16">
        <v>91</v>
      </c>
      <c r="EG16" s="55">
        <v>0.61073825503355705</v>
      </c>
      <c r="EH16" s="42">
        <f>+EC16/$EC$22</f>
        <v>0.61073825503355705</v>
      </c>
      <c r="EJ16" t="s">
        <v>111</v>
      </c>
      <c r="EK16">
        <v>0</v>
      </c>
      <c r="EL16">
        <v>7</v>
      </c>
      <c r="EM16" s="55">
        <v>4.6979865771812082E-2</v>
      </c>
      <c r="EN16">
        <v>3</v>
      </c>
      <c r="EO16">
        <v>79</v>
      </c>
      <c r="EP16" s="55">
        <v>0.53020134228187921</v>
      </c>
      <c r="EQ16" s="42">
        <f>+EL16/$EL$22</f>
        <v>4.6979865771812082E-2</v>
      </c>
      <c r="EV16" t="s">
        <v>122</v>
      </c>
      <c r="EW16">
        <v>0</v>
      </c>
      <c r="EX16">
        <v>48</v>
      </c>
      <c r="EY16" s="55">
        <v>0.32214765100671139</v>
      </c>
      <c r="EZ16">
        <v>2</v>
      </c>
      <c r="FA16">
        <v>99</v>
      </c>
      <c r="FB16" s="55">
        <v>0.66442953020134232</v>
      </c>
      <c r="FC16" s="42">
        <f>+EX16/$EX$22</f>
        <v>0.32214765100671139</v>
      </c>
      <c r="FI16" t="s">
        <v>81</v>
      </c>
      <c r="FJ16">
        <v>0</v>
      </c>
      <c r="FK16">
        <v>75</v>
      </c>
      <c r="FL16" s="55">
        <v>0.50335570469798663</v>
      </c>
      <c r="FM16">
        <v>0</v>
      </c>
      <c r="FN16">
        <v>75</v>
      </c>
      <c r="FO16" s="55">
        <v>0.50335570469798663</v>
      </c>
      <c r="FP16" s="42">
        <f>+FK16/$FK$22</f>
        <v>0.50335570469798663</v>
      </c>
    </row>
    <row r="17" spans="1:172" x14ac:dyDescent="0.25">
      <c r="A17" s="18" t="s">
        <v>6</v>
      </c>
      <c r="B17" s="18">
        <v>2024</v>
      </c>
      <c r="C17" s="18" t="s">
        <v>138</v>
      </c>
      <c r="D17" s="18" t="s">
        <v>10</v>
      </c>
      <c r="E17" s="18">
        <v>40</v>
      </c>
      <c r="F17" s="18">
        <v>40</v>
      </c>
      <c r="G17" s="18" t="s">
        <v>153</v>
      </c>
      <c r="H17" s="18" t="s">
        <v>153</v>
      </c>
      <c r="I17" s="18" t="s">
        <v>160</v>
      </c>
      <c r="J17" s="31">
        <v>14</v>
      </c>
      <c r="K17" s="31">
        <v>14.5</v>
      </c>
      <c r="L17" s="4">
        <v>0.5</v>
      </c>
      <c r="M17" s="5">
        <v>0.9</v>
      </c>
      <c r="N17" s="31">
        <v>0.45</v>
      </c>
      <c r="O17" s="31">
        <v>0.45</v>
      </c>
      <c r="P17" s="31">
        <v>22.5</v>
      </c>
      <c r="Q17" s="31">
        <v>20</v>
      </c>
      <c r="R17" s="31">
        <v>0.42</v>
      </c>
      <c r="S17" s="31">
        <v>0.22</v>
      </c>
      <c r="T17" s="86">
        <v>44</v>
      </c>
      <c r="U17" s="31">
        <v>6</v>
      </c>
      <c r="V17" s="31"/>
      <c r="W17" s="31">
        <v>6</v>
      </c>
      <c r="X17" s="4">
        <v>70</v>
      </c>
      <c r="Y17" s="18">
        <v>0</v>
      </c>
      <c r="Z17" s="18" t="s">
        <v>92</v>
      </c>
      <c r="AA17" s="18" t="s">
        <v>333</v>
      </c>
      <c r="AB17" s="18" t="s">
        <v>335</v>
      </c>
      <c r="AC17" s="18">
        <v>20</v>
      </c>
      <c r="AD17" s="18">
        <v>22.5</v>
      </c>
      <c r="AE17" s="18" t="s">
        <v>34</v>
      </c>
      <c r="AF17" s="18" t="s">
        <v>24</v>
      </c>
      <c r="AG17" s="18" t="s">
        <v>24</v>
      </c>
      <c r="AH17" s="18">
        <v>59</v>
      </c>
      <c r="AI17" s="18"/>
      <c r="AJ17" s="18" t="s">
        <v>62</v>
      </c>
      <c r="AK17" s="18" t="s">
        <v>77</v>
      </c>
      <c r="AL17" s="18" t="s">
        <v>92</v>
      </c>
      <c r="AM17" s="18" t="s">
        <v>107</v>
      </c>
      <c r="AN17" s="18" t="s">
        <v>118</v>
      </c>
      <c r="AO17" s="18" t="s">
        <v>198</v>
      </c>
      <c r="AP17" s="18" t="s">
        <v>212</v>
      </c>
      <c r="AQ17" s="18"/>
      <c r="AR17" s="18">
        <v>4</v>
      </c>
      <c r="AS17" s="18">
        <v>3</v>
      </c>
      <c r="AT17" s="18">
        <v>3</v>
      </c>
      <c r="AU17" s="18">
        <v>3</v>
      </c>
      <c r="AV17" s="18">
        <v>2</v>
      </c>
      <c r="AW17" s="18">
        <v>15</v>
      </c>
      <c r="AX17" s="49">
        <f t="shared" si="0"/>
        <v>9</v>
      </c>
      <c r="AY17" s="49">
        <v>0</v>
      </c>
      <c r="AZ17" s="50">
        <f t="shared" si="1"/>
        <v>6</v>
      </c>
      <c r="BA17" s="49">
        <v>15</v>
      </c>
      <c r="BB17" s="49">
        <v>15</v>
      </c>
      <c r="BC17" s="67">
        <v>44.5</v>
      </c>
      <c r="BD17" s="67">
        <v>0</v>
      </c>
      <c r="BE17" s="67">
        <f t="shared" si="2"/>
        <v>6</v>
      </c>
      <c r="BF17" s="67">
        <f t="shared" si="3"/>
        <v>9</v>
      </c>
      <c r="BG17" s="67">
        <v>3</v>
      </c>
      <c r="BH17" s="67">
        <v>3</v>
      </c>
      <c r="BI17" s="67">
        <v>2</v>
      </c>
      <c r="BJ17" s="67">
        <v>3</v>
      </c>
      <c r="BK17" s="67">
        <v>4</v>
      </c>
      <c r="BL17" s="67">
        <v>10</v>
      </c>
      <c r="BM17" s="67">
        <f t="shared" si="4"/>
        <v>40</v>
      </c>
      <c r="BN17" s="18">
        <f t="shared" si="5"/>
        <v>45</v>
      </c>
      <c r="BO17" s="18"/>
      <c r="BP17" s="18"/>
      <c r="BQ17" s="1"/>
      <c r="BR17" s="160" t="s">
        <v>317</v>
      </c>
      <c r="BS17" s="161">
        <v>53</v>
      </c>
      <c r="BT17" s="140"/>
      <c r="DC17" s="55"/>
      <c r="DF17" s="55"/>
      <c r="DG17" s="97"/>
      <c r="DO17" t="s">
        <v>88</v>
      </c>
      <c r="DP17">
        <v>1</v>
      </c>
      <c r="DQ17">
        <v>61</v>
      </c>
      <c r="DR17" s="55">
        <v>0.96644295302013428</v>
      </c>
      <c r="DS17">
        <v>1</v>
      </c>
      <c r="DT17">
        <v>61</v>
      </c>
      <c r="DU17" s="55">
        <v>0.96644295302013428</v>
      </c>
      <c r="DV17" s="42">
        <f t="shared" ref="DV17:DV20" si="7">+DQ17/$DQ$22</f>
        <v>0.40939597315436244</v>
      </c>
      <c r="EA17" s="14" t="s">
        <v>638</v>
      </c>
      <c r="EB17">
        <v>8</v>
      </c>
      <c r="EC17">
        <v>35</v>
      </c>
      <c r="ED17" s="55">
        <v>0.84563758389261745</v>
      </c>
      <c r="EE17">
        <v>8</v>
      </c>
      <c r="EF17">
        <v>35</v>
      </c>
      <c r="EG17" s="55">
        <v>0.84563758389261745</v>
      </c>
      <c r="EH17" s="42">
        <f t="shared" ref="EH17:EH20" si="8">+EC17/$EC$22</f>
        <v>0.2348993288590604</v>
      </c>
      <c r="EJ17" t="s">
        <v>109</v>
      </c>
      <c r="EK17">
        <v>1</v>
      </c>
      <c r="EL17">
        <v>58</v>
      </c>
      <c r="EM17" s="55">
        <v>0.43624161073825501</v>
      </c>
      <c r="EN17">
        <v>1</v>
      </c>
      <c r="EO17">
        <v>58</v>
      </c>
      <c r="EP17" s="55">
        <v>0.91946308724832215</v>
      </c>
      <c r="EQ17" s="42">
        <f t="shared" ref="EQ17:EQ20" si="9">+EL17/$EL$22</f>
        <v>0.38926174496644295</v>
      </c>
      <c r="EV17" t="s">
        <v>120</v>
      </c>
      <c r="EW17">
        <v>2</v>
      </c>
      <c r="EX17">
        <v>99</v>
      </c>
      <c r="EY17" s="55">
        <v>0.98657718120805371</v>
      </c>
      <c r="EZ17">
        <v>0</v>
      </c>
      <c r="FA17">
        <v>48</v>
      </c>
      <c r="FB17" s="55">
        <v>0.98657718120805371</v>
      </c>
      <c r="FC17" s="42">
        <f t="shared" ref="FC17:FC20" si="10">+EX17/$EX$22</f>
        <v>0.66442953020134232</v>
      </c>
      <c r="FI17" t="s">
        <v>79</v>
      </c>
      <c r="FJ17">
        <v>1</v>
      </c>
      <c r="FK17">
        <v>57</v>
      </c>
      <c r="FL17" s="55">
        <v>0.88590604026845643</v>
      </c>
      <c r="FM17">
        <v>1</v>
      </c>
      <c r="FN17">
        <v>57</v>
      </c>
      <c r="FO17" s="55">
        <v>0.88590604026845643</v>
      </c>
      <c r="FP17" s="42">
        <f t="shared" ref="FP17:FP20" si="11">+FK17/$FK$22</f>
        <v>0.3825503355704698</v>
      </c>
    </row>
    <row r="18" spans="1:172" x14ac:dyDescent="0.25">
      <c r="A18" s="18" t="s">
        <v>6</v>
      </c>
      <c r="B18" s="18">
        <v>2024</v>
      </c>
      <c r="C18" s="18" t="s">
        <v>138</v>
      </c>
      <c r="D18" s="18" t="s">
        <v>10</v>
      </c>
      <c r="E18" s="18">
        <v>40</v>
      </c>
      <c r="F18" s="18">
        <v>40</v>
      </c>
      <c r="G18" s="18" t="s">
        <v>153</v>
      </c>
      <c r="H18" s="18" t="s">
        <v>153</v>
      </c>
      <c r="I18" s="18" t="s">
        <v>161</v>
      </c>
      <c r="J18" s="31">
        <v>14.5</v>
      </c>
      <c r="K18" s="31">
        <v>15</v>
      </c>
      <c r="L18" s="4">
        <v>0.5</v>
      </c>
      <c r="M18" s="5">
        <v>0.9</v>
      </c>
      <c r="N18" s="31">
        <v>0.45</v>
      </c>
      <c r="O18" s="31">
        <v>0.45</v>
      </c>
      <c r="P18" s="31">
        <v>22.5</v>
      </c>
      <c r="Q18" s="31">
        <v>20</v>
      </c>
      <c r="R18" s="31">
        <v>0.37</v>
      </c>
      <c r="S18" s="31">
        <v>0.2</v>
      </c>
      <c r="T18" s="86">
        <v>40</v>
      </c>
      <c r="U18" s="31">
        <v>4</v>
      </c>
      <c r="V18" s="31"/>
      <c r="W18" s="31">
        <v>4</v>
      </c>
      <c r="X18" s="4">
        <v>92.5</v>
      </c>
      <c r="Y18" s="18">
        <v>0</v>
      </c>
      <c r="Z18" s="18" t="s">
        <v>92</v>
      </c>
      <c r="AA18" s="18" t="s">
        <v>333</v>
      </c>
      <c r="AB18" s="18" t="s">
        <v>337</v>
      </c>
      <c r="AC18" s="18">
        <v>20</v>
      </c>
      <c r="AD18" s="18">
        <v>22.5</v>
      </c>
      <c r="AE18" s="18" t="s">
        <v>29</v>
      </c>
      <c r="AF18" s="18" t="s">
        <v>24</v>
      </c>
      <c r="AG18" s="18" t="s">
        <v>24</v>
      </c>
      <c r="AH18" s="18">
        <v>59</v>
      </c>
      <c r="AI18" s="18"/>
      <c r="AJ18" s="18" t="s">
        <v>62</v>
      </c>
      <c r="AK18" s="18" t="s">
        <v>77</v>
      </c>
      <c r="AL18" s="18" t="s">
        <v>92</v>
      </c>
      <c r="AM18" s="18" t="s">
        <v>107</v>
      </c>
      <c r="AN18" s="18" t="s">
        <v>118</v>
      </c>
      <c r="AO18" s="18" t="s">
        <v>198</v>
      </c>
      <c r="AP18" s="18" t="s">
        <v>212</v>
      </c>
      <c r="AQ18" s="18"/>
      <c r="AR18" s="18">
        <v>4</v>
      </c>
      <c r="AS18" s="18">
        <v>3</v>
      </c>
      <c r="AT18" s="18">
        <v>3</v>
      </c>
      <c r="AU18" s="18">
        <v>3</v>
      </c>
      <c r="AV18" s="18">
        <v>2</v>
      </c>
      <c r="AW18" s="18">
        <v>15</v>
      </c>
      <c r="AX18" s="49">
        <f t="shared" si="0"/>
        <v>8</v>
      </c>
      <c r="AY18" s="49">
        <v>2</v>
      </c>
      <c r="AZ18" s="50">
        <f t="shared" si="1"/>
        <v>7</v>
      </c>
      <c r="BA18" s="49">
        <v>15</v>
      </c>
      <c r="BB18" s="49">
        <v>15</v>
      </c>
      <c r="BC18" s="67">
        <v>42.5</v>
      </c>
      <c r="BD18" s="67">
        <v>2</v>
      </c>
      <c r="BE18" s="67">
        <f t="shared" si="2"/>
        <v>8</v>
      </c>
      <c r="BF18" s="67">
        <f t="shared" si="3"/>
        <v>8</v>
      </c>
      <c r="BG18" s="67">
        <v>3</v>
      </c>
      <c r="BH18" s="67">
        <v>3</v>
      </c>
      <c r="BI18" s="67">
        <v>2</v>
      </c>
      <c r="BJ18" s="67">
        <v>3</v>
      </c>
      <c r="BK18" s="67">
        <v>4</v>
      </c>
      <c r="BL18" s="67">
        <v>10</v>
      </c>
      <c r="BM18" s="67">
        <f t="shared" si="4"/>
        <v>43</v>
      </c>
      <c r="BN18" s="18">
        <f t="shared" si="5"/>
        <v>47</v>
      </c>
      <c r="BO18" s="18"/>
      <c r="BP18" s="18"/>
      <c r="BQ18" s="1"/>
      <c r="BR18" s="159" t="s">
        <v>318</v>
      </c>
      <c r="BS18" s="98">
        <v>3960</v>
      </c>
      <c r="BT18" s="140"/>
      <c r="DC18" s="55"/>
      <c r="DF18" s="55"/>
      <c r="DG18" s="97"/>
      <c r="DO18" t="s">
        <v>92</v>
      </c>
      <c r="DP18">
        <v>3</v>
      </c>
      <c r="DQ18">
        <v>5</v>
      </c>
      <c r="DR18" s="55">
        <v>1</v>
      </c>
      <c r="DS18">
        <v>3</v>
      </c>
      <c r="DT18">
        <v>5</v>
      </c>
      <c r="DU18" s="55">
        <v>1</v>
      </c>
      <c r="DV18" s="42">
        <f t="shared" si="7"/>
        <v>3.3557046979865772E-2</v>
      </c>
      <c r="EA18" s="14" t="s">
        <v>639</v>
      </c>
      <c r="EB18">
        <v>13</v>
      </c>
      <c r="EC18">
        <v>18</v>
      </c>
      <c r="ED18" s="55">
        <v>0.96644295302013428</v>
      </c>
      <c r="EE18">
        <v>13</v>
      </c>
      <c r="EF18">
        <v>18</v>
      </c>
      <c r="EG18" s="55">
        <v>0.96644295302013428</v>
      </c>
      <c r="EH18" s="42">
        <f t="shared" si="8"/>
        <v>0.12080536912751678</v>
      </c>
      <c r="EJ18" t="s">
        <v>107</v>
      </c>
      <c r="EK18">
        <v>3</v>
      </c>
      <c r="EL18">
        <v>79</v>
      </c>
      <c r="EM18" s="55">
        <v>0.96644295302013428</v>
      </c>
      <c r="EN18">
        <v>0</v>
      </c>
      <c r="EO18">
        <v>7</v>
      </c>
      <c r="EP18" s="55">
        <v>0.96644295302013428</v>
      </c>
      <c r="EQ18" s="42">
        <f t="shared" si="9"/>
        <v>0.53020134228187921</v>
      </c>
      <c r="EV18" t="s">
        <v>118</v>
      </c>
      <c r="EW18">
        <v>3</v>
      </c>
      <c r="EX18">
        <v>0</v>
      </c>
      <c r="EY18" s="55">
        <v>0.98657718120805371</v>
      </c>
      <c r="EZ18">
        <v>4</v>
      </c>
      <c r="FA18">
        <v>2</v>
      </c>
      <c r="FB18" s="55">
        <v>1</v>
      </c>
      <c r="FC18" s="42">
        <f t="shared" si="10"/>
        <v>0</v>
      </c>
      <c r="FI18" t="s">
        <v>77</v>
      </c>
      <c r="FJ18">
        <v>3</v>
      </c>
      <c r="FK18">
        <v>15</v>
      </c>
      <c r="FL18" s="55">
        <v>0.98657718120805371</v>
      </c>
      <c r="FM18">
        <v>3</v>
      </c>
      <c r="FN18">
        <v>15</v>
      </c>
      <c r="FO18" s="55">
        <v>0.98657718120805371</v>
      </c>
      <c r="FP18" s="42">
        <f t="shared" si="11"/>
        <v>0.10067114093959731</v>
      </c>
    </row>
    <row r="19" spans="1:172" x14ac:dyDescent="0.25">
      <c r="A19" s="18" t="s">
        <v>6</v>
      </c>
      <c r="B19" s="18">
        <v>2024</v>
      </c>
      <c r="C19" s="18" t="s">
        <v>138</v>
      </c>
      <c r="D19" s="18" t="s">
        <v>10</v>
      </c>
      <c r="E19" s="18">
        <v>40</v>
      </c>
      <c r="F19" s="18">
        <v>40</v>
      </c>
      <c r="G19" s="18" t="s">
        <v>153</v>
      </c>
      <c r="H19" s="18" t="s">
        <v>153</v>
      </c>
      <c r="I19" s="18" t="s">
        <v>161</v>
      </c>
      <c r="J19" s="31">
        <v>15</v>
      </c>
      <c r="K19" s="31">
        <v>15.5</v>
      </c>
      <c r="L19" s="4">
        <v>0.5</v>
      </c>
      <c r="M19" s="5">
        <v>0.74</v>
      </c>
      <c r="N19" s="31">
        <v>0.37</v>
      </c>
      <c r="O19" s="31">
        <v>0.37</v>
      </c>
      <c r="P19" s="31">
        <v>18.5</v>
      </c>
      <c r="Q19" s="31">
        <v>20</v>
      </c>
      <c r="R19" s="31">
        <v>0.34</v>
      </c>
      <c r="S19" s="31">
        <v>0</v>
      </c>
      <c r="T19" s="86">
        <v>0</v>
      </c>
      <c r="U19" s="31">
        <v>7</v>
      </c>
      <c r="V19" s="31"/>
      <c r="W19" s="31">
        <v>7</v>
      </c>
      <c r="X19" s="4">
        <v>48.571428571428569</v>
      </c>
      <c r="Y19" s="18">
        <v>0</v>
      </c>
      <c r="Z19" s="18" t="s">
        <v>100</v>
      </c>
      <c r="AA19" s="18" t="s">
        <v>333</v>
      </c>
      <c r="AB19" s="18" t="s">
        <v>334</v>
      </c>
      <c r="AC19" s="18">
        <v>20</v>
      </c>
      <c r="AD19" s="18">
        <v>18.5</v>
      </c>
      <c r="AE19" s="18" t="s">
        <v>27</v>
      </c>
      <c r="AF19" s="18" t="s">
        <v>27</v>
      </c>
      <c r="AG19" s="18" t="s">
        <v>27</v>
      </c>
      <c r="AH19" s="18">
        <v>59</v>
      </c>
      <c r="AI19" s="18"/>
      <c r="AJ19" s="18" t="s">
        <v>62</v>
      </c>
      <c r="AK19" s="18" t="s">
        <v>77</v>
      </c>
      <c r="AL19" s="18" t="s">
        <v>96</v>
      </c>
      <c r="AM19" s="18" t="s">
        <v>109</v>
      </c>
      <c r="AN19" s="18" t="s">
        <v>120</v>
      </c>
      <c r="AO19" s="18" t="s">
        <v>198</v>
      </c>
      <c r="AP19" s="18" t="s">
        <v>213</v>
      </c>
      <c r="AQ19" s="18"/>
      <c r="AR19" s="18">
        <v>4</v>
      </c>
      <c r="AS19" s="18">
        <v>3</v>
      </c>
      <c r="AT19" s="18">
        <v>1</v>
      </c>
      <c r="AU19" s="18">
        <v>1</v>
      </c>
      <c r="AV19" s="18">
        <v>2</v>
      </c>
      <c r="AW19" s="18">
        <v>11</v>
      </c>
      <c r="AX19" s="49">
        <f t="shared" si="0"/>
        <v>0</v>
      </c>
      <c r="AY19" s="49">
        <v>4</v>
      </c>
      <c r="AZ19" s="50">
        <f t="shared" si="1"/>
        <v>6</v>
      </c>
      <c r="BA19" s="49">
        <v>11</v>
      </c>
      <c r="BB19" s="49">
        <v>15</v>
      </c>
      <c r="BC19" s="67">
        <v>16.5</v>
      </c>
      <c r="BD19" s="67">
        <v>4</v>
      </c>
      <c r="BE19" s="67">
        <f t="shared" si="2"/>
        <v>5</v>
      </c>
      <c r="BF19" s="67">
        <f t="shared" si="3"/>
        <v>0</v>
      </c>
      <c r="BG19" s="67">
        <v>1</v>
      </c>
      <c r="BH19" s="67">
        <v>1</v>
      </c>
      <c r="BI19" s="67">
        <v>2</v>
      </c>
      <c r="BJ19" s="67">
        <v>3</v>
      </c>
      <c r="BK19" s="67">
        <v>4</v>
      </c>
      <c r="BL19" s="67">
        <v>10</v>
      </c>
      <c r="BM19" s="67">
        <f t="shared" si="4"/>
        <v>30</v>
      </c>
      <c r="BN19" s="18">
        <f t="shared" si="5"/>
        <v>36</v>
      </c>
      <c r="BO19" s="18"/>
      <c r="BP19" s="18"/>
      <c r="BQ19" s="1"/>
      <c r="BR19" s="159" t="s">
        <v>319</v>
      </c>
      <c r="BS19" s="98">
        <v>149</v>
      </c>
      <c r="BT19" s="140"/>
      <c r="DC19" s="55"/>
      <c r="DF19" s="55"/>
      <c r="DG19" s="97"/>
      <c r="DO19" t="s">
        <v>96</v>
      </c>
      <c r="DP19">
        <v>4</v>
      </c>
      <c r="DQ19">
        <v>0</v>
      </c>
      <c r="DR19" s="55">
        <v>1</v>
      </c>
      <c r="DS19">
        <v>4</v>
      </c>
      <c r="DT19">
        <v>0</v>
      </c>
      <c r="DU19" s="55">
        <v>1</v>
      </c>
      <c r="DV19" s="42">
        <f t="shared" si="7"/>
        <v>0</v>
      </c>
      <c r="EA19" s="14" t="s">
        <v>640</v>
      </c>
      <c r="EB19">
        <v>17</v>
      </c>
      <c r="EC19">
        <v>4</v>
      </c>
      <c r="ED19" s="55">
        <v>0.99328859060402686</v>
      </c>
      <c r="EE19">
        <v>17</v>
      </c>
      <c r="EF19">
        <v>4</v>
      </c>
      <c r="EG19" s="55">
        <v>0.99328859060402686</v>
      </c>
      <c r="EH19" s="42">
        <f t="shared" si="8"/>
        <v>2.6845637583892617E-2</v>
      </c>
      <c r="EJ19" t="s">
        <v>105</v>
      </c>
      <c r="EK19">
        <v>4</v>
      </c>
      <c r="EL19">
        <v>5</v>
      </c>
      <c r="EM19" s="55">
        <v>1</v>
      </c>
      <c r="EN19">
        <v>4</v>
      </c>
      <c r="EO19">
        <v>5</v>
      </c>
      <c r="EP19" s="55">
        <v>1</v>
      </c>
      <c r="EQ19" s="42">
        <f t="shared" si="9"/>
        <v>3.3557046979865772E-2</v>
      </c>
      <c r="EV19" t="s">
        <v>116</v>
      </c>
      <c r="EW19">
        <v>4</v>
      </c>
      <c r="EX19">
        <v>2</v>
      </c>
      <c r="EY19" s="55">
        <v>1</v>
      </c>
      <c r="EZ19">
        <v>3</v>
      </c>
      <c r="FA19">
        <v>0</v>
      </c>
      <c r="FB19" s="55">
        <v>1</v>
      </c>
      <c r="FC19" s="42">
        <f t="shared" si="10"/>
        <v>1.3422818791946308E-2</v>
      </c>
      <c r="FI19" t="s">
        <v>75</v>
      </c>
      <c r="FJ19">
        <v>4</v>
      </c>
      <c r="FK19">
        <v>2</v>
      </c>
      <c r="FL19" s="55">
        <v>1</v>
      </c>
      <c r="FM19">
        <v>4</v>
      </c>
      <c r="FN19">
        <v>2</v>
      </c>
      <c r="FO19" s="55">
        <v>1</v>
      </c>
      <c r="FP19" s="42">
        <f t="shared" si="11"/>
        <v>1.3422818791946308E-2</v>
      </c>
    </row>
    <row r="20" spans="1:172" x14ac:dyDescent="0.25">
      <c r="A20" s="18" t="s">
        <v>6</v>
      </c>
      <c r="B20" s="18">
        <v>2024</v>
      </c>
      <c r="C20" s="18" t="s">
        <v>138</v>
      </c>
      <c r="D20" s="18" t="s">
        <v>10</v>
      </c>
      <c r="E20" s="18">
        <v>40</v>
      </c>
      <c r="F20" s="18">
        <v>40</v>
      </c>
      <c r="G20" s="18" t="s">
        <v>153</v>
      </c>
      <c r="H20" s="18" t="s">
        <v>153</v>
      </c>
      <c r="I20" s="18" t="s">
        <v>161</v>
      </c>
      <c r="J20" s="31">
        <v>15.5</v>
      </c>
      <c r="K20" s="31">
        <v>16</v>
      </c>
      <c r="L20" s="4">
        <v>0.5</v>
      </c>
      <c r="M20" s="5">
        <v>0.7</v>
      </c>
      <c r="N20" s="31">
        <v>0.35</v>
      </c>
      <c r="O20" s="31">
        <v>0.35</v>
      </c>
      <c r="P20" s="31">
        <v>70</v>
      </c>
      <c r="Q20" s="31">
        <v>5</v>
      </c>
      <c r="R20" s="31">
        <v>0.49</v>
      </c>
      <c r="S20" s="31">
        <v>0.27</v>
      </c>
      <c r="T20" s="86">
        <v>54</v>
      </c>
      <c r="U20" s="31">
        <v>6</v>
      </c>
      <c r="V20" s="31"/>
      <c r="W20" s="31">
        <v>6</v>
      </c>
      <c r="X20" s="4">
        <v>81.666666666666671</v>
      </c>
      <c r="Y20" s="18">
        <v>54</v>
      </c>
      <c r="Z20" s="18" t="s">
        <v>96</v>
      </c>
      <c r="AA20" s="18" t="s">
        <v>118</v>
      </c>
      <c r="AB20" s="18" t="s">
        <v>337</v>
      </c>
      <c r="AC20" s="18">
        <v>5</v>
      </c>
      <c r="AD20" s="18">
        <v>70</v>
      </c>
      <c r="AE20" s="18" t="s">
        <v>29</v>
      </c>
      <c r="AF20" s="18" t="s">
        <v>196</v>
      </c>
      <c r="AG20" s="18" t="s">
        <v>196</v>
      </c>
      <c r="AH20" s="18">
        <v>17</v>
      </c>
      <c r="AI20" s="18"/>
      <c r="AJ20" s="18" t="s">
        <v>62</v>
      </c>
      <c r="AK20" s="18" t="s">
        <v>79</v>
      </c>
      <c r="AL20" s="18" t="s">
        <v>96</v>
      </c>
      <c r="AM20" s="18" t="s">
        <v>107</v>
      </c>
      <c r="AN20" s="18" t="s">
        <v>120</v>
      </c>
      <c r="AO20" s="18" t="s">
        <v>198</v>
      </c>
      <c r="AP20" s="18" t="s">
        <v>213</v>
      </c>
      <c r="AQ20" s="18"/>
      <c r="AR20" s="18">
        <v>4</v>
      </c>
      <c r="AS20" s="18">
        <v>1</v>
      </c>
      <c r="AT20" s="18">
        <v>1</v>
      </c>
      <c r="AU20" s="18">
        <v>3</v>
      </c>
      <c r="AV20" s="18">
        <v>2</v>
      </c>
      <c r="AW20" s="18">
        <v>11</v>
      </c>
      <c r="AX20" s="49">
        <f t="shared" si="0"/>
        <v>11</v>
      </c>
      <c r="AY20" s="49">
        <v>2</v>
      </c>
      <c r="AZ20" s="50">
        <f t="shared" si="1"/>
        <v>7</v>
      </c>
      <c r="BA20" s="49">
        <v>11</v>
      </c>
      <c r="BB20" s="49">
        <v>15</v>
      </c>
      <c r="BC20" s="67">
        <v>43.5</v>
      </c>
      <c r="BD20" s="67">
        <v>2</v>
      </c>
      <c r="BE20" s="67">
        <f t="shared" si="2"/>
        <v>7</v>
      </c>
      <c r="BF20" s="67">
        <f t="shared" si="3"/>
        <v>11</v>
      </c>
      <c r="BG20" s="67">
        <v>1</v>
      </c>
      <c r="BH20" s="67">
        <v>3</v>
      </c>
      <c r="BI20" s="67">
        <v>2</v>
      </c>
      <c r="BJ20" s="67">
        <v>1</v>
      </c>
      <c r="BK20" s="67">
        <v>4</v>
      </c>
      <c r="BL20" s="67">
        <v>10</v>
      </c>
      <c r="BM20" s="67">
        <f t="shared" si="4"/>
        <v>41</v>
      </c>
      <c r="BN20" s="18">
        <f t="shared" si="5"/>
        <v>46</v>
      </c>
      <c r="BO20" s="18"/>
      <c r="BP20" s="18"/>
      <c r="BQ20" s="1"/>
      <c r="BR20" s="159" t="s">
        <v>320</v>
      </c>
      <c r="BS20" s="98">
        <v>53</v>
      </c>
      <c r="BT20" s="140"/>
      <c r="DC20" s="55"/>
      <c r="DF20" s="55"/>
      <c r="DG20" s="97"/>
      <c r="DO20" t="s">
        <v>100</v>
      </c>
      <c r="DP20">
        <v>5</v>
      </c>
      <c r="DQ20">
        <v>0</v>
      </c>
      <c r="DR20" s="55">
        <v>1</v>
      </c>
      <c r="DS20">
        <v>5</v>
      </c>
      <c r="DT20">
        <v>0</v>
      </c>
      <c r="DU20" s="55">
        <v>1</v>
      </c>
      <c r="DV20" s="42">
        <f t="shared" si="7"/>
        <v>0</v>
      </c>
      <c r="EA20" s="14" t="s">
        <v>641</v>
      </c>
      <c r="EB20">
        <v>20</v>
      </c>
      <c r="EC20">
        <v>1</v>
      </c>
      <c r="ED20" s="55">
        <v>1</v>
      </c>
      <c r="EE20">
        <v>20</v>
      </c>
      <c r="EF20">
        <v>1</v>
      </c>
      <c r="EG20" s="55">
        <v>1</v>
      </c>
      <c r="EH20" s="42">
        <f t="shared" si="8"/>
        <v>6.7114093959731542E-3</v>
      </c>
      <c r="EJ20" t="s">
        <v>103</v>
      </c>
      <c r="EK20">
        <v>5</v>
      </c>
      <c r="EL20">
        <v>0</v>
      </c>
      <c r="EM20" s="55">
        <v>1</v>
      </c>
      <c r="EN20">
        <v>5</v>
      </c>
      <c r="EO20">
        <v>0</v>
      </c>
      <c r="EP20" s="55">
        <v>1</v>
      </c>
      <c r="EQ20" s="42">
        <f t="shared" si="9"/>
        <v>0</v>
      </c>
      <c r="EV20" t="s">
        <v>114</v>
      </c>
      <c r="EW20">
        <v>5</v>
      </c>
      <c r="EX20">
        <v>0</v>
      </c>
      <c r="EY20" s="55">
        <v>1</v>
      </c>
      <c r="EZ20">
        <v>5</v>
      </c>
      <c r="FA20">
        <v>0</v>
      </c>
      <c r="FB20" s="55">
        <v>1</v>
      </c>
      <c r="FC20" s="42">
        <f t="shared" si="10"/>
        <v>0</v>
      </c>
      <c r="FI20" t="s">
        <v>73</v>
      </c>
      <c r="FJ20">
        <v>5</v>
      </c>
      <c r="FK20">
        <v>0</v>
      </c>
      <c r="FL20" s="55">
        <v>1</v>
      </c>
      <c r="FM20">
        <v>5</v>
      </c>
      <c r="FN20">
        <v>0</v>
      </c>
      <c r="FO20" s="55">
        <v>1</v>
      </c>
      <c r="FP20" s="42">
        <f t="shared" si="11"/>
        <v>0</v>
      </c>
    </row>
    <row r="21" spans="1:172" ht="15.75" thickBot="1" x14ac:dyDescent="0.3">
      <c r="A21" s="18" t="s">
        <v>6</v>
      </c>
      <c r="B21" s="18">
        <v>2024</v>
      </c>
      <c r="C21" s="18" t="s">
        <v>138</v>
      </c>
      <c r="D21" s="18" t="s">
        <v>10</v>
      </c>
      <c r="E21" s="18">
        <v>40</v>
      </c>
      <c r="F21" s="18">
        <v>40</v>
      </c>
      <c r="G21" s="18" t="s">
        <v>153</v>
      </c>
      <c r="H21" s="18" t="s">
        <v>153</v>
      </c>
      <c r="I21" s="18" t="s">
        <v>161</v>
      </c>
      <c r="J21" s="31">
        <v>16</v>
      </c>
      <c r="K21" s="31">
        <v>16.5</v>
      </c>
      <c r="L21" s="4">
        <v>0.5</v>
      </c>
      <c r="M21" s="5">
        <v>1</v>
      </c>
      <c r="N21" s="31">
        <v>0.5</v>
      </c>
      <c r="O21" s="31">
        <v>0.5</v>
      </c>
      <c r="P21" s="31">
        <v>25</v>
      </c>
      <c r="Q21" s="31">
        <v>20</v>
      </c>
      <c r="R21" s="31">
        <v>0.28000000000000003</v>
      </c>
      <c r="S21" s="31">
        <v>0.12</v>
      </c>
      <c r="T21" s="86">
        <v>24</v>
      </c>
      <c r="U21" s="31">
        <v>3</v>
      </c>
      <c r="V21" s="31"/>
      <c r="W21" s="31">
        <v>3</v>
      </c>
      <c r="X21" s="4">
        <v>93.333333333333329</v>
      </c>
      <c r="Y21" s="18">
        <v>0</v>
      </c>
      <c r="Z21" s="18" t="s">
        <v>96</v>
      </c>
      <c r="AA21" s="18" t="s">
        <v>333</v>
      </c>
      <c r="AB21" s="18" t="s">
        <v>337</v>
      </c>
      <c r="AC21" s="18">
        <v>20</v>
      </c>
      <c r="AD21" s="18">
        <v>25</v>
      </c>
      <c r="AE21" s="18" t="s">
        <v>29</v>
      </c>
      <c r="AF21" s="18" t="s">
        <v>24</v>
      </c>
      <c r="AG21" s="18" t="s">
        <v>24</v>
      </c>
      <c r="AH21" s="18">
        <v>59</v>
      </c>
      <c r="AI21" s="18"/>
      <c r="AJ21" s="18" t="s">
        <v>66</v>
      </c>
      <c r="AK21" s="18" t="s">
        <v>79</v>
      </c>
      <c r="AL21" s="18" t="s">
        <v>96</v>
      </c>
      <c r="AM21" s="18" t="s">
        <v>107</v>
      </c>
      <c r="AN21" s="18" t="s">
        <v>120</v>
      </c>
      <c r="AO21" s="18" t="s">
        <v>198</v>
      </c>
      <c r="AP21" s="18" t="s">
        <v>215</v>
      </c>
      <c r="AQ21" s="18"/>
      <c r="AR21" s="18">
        <v>1</v>
      </c>
      <c r="AS21" s="18">
        <v>1</v>
      </c>
      <c r="AT21" s="18">
        <v>1</v>
      </c>
      <c r="AU21" s="18">
        <v>3</v>
      </c>
      <c r="AV21" s="18">
        <v>2</v>
      </c>
      <c r="AW21" s="18">
        <v>8</v>
      </c>
      <c r="AX21" s="49">
        <f t="shared" si="0"/>
        <v>5</v>
      </c>
      <c r="AY21" s="49">
        <v>2</v>
      </c>
      <c r="AZ21" s="50">
        <f t="shared" si="1"/>
        <v>7</v>
      </c>
      <c r="BA21" s="49">
        <v>8</v>
      </c>
      <c r="BB21" s="49">
        <v>15</v>
      </c>
      <c r="BC21" s="67">
        <v>24</v>
      </c>
      <c r="BD21" s="67">
        <v>2</v>
      </c>
      <c r="BE21" s="67">
        <f t="shared" si="2"/>
        <v>8</v>
      </c>
      <c r="BF21" s="67">
        <f t="shared" si="3"/>
        <v>5</v>
      </c>
      <c r="BG21" s="67">
        <v>1</v>
      </c>
      <c r="BH21" s="67">
        <v>3</v>
      </c>
      <c r="BI21" s="67">
        <v>2</v>
      </c>
      <c r="BJ21" s="67">
        <v>1</v>
      </c>
      <c r="BK21" s="67">
        <v>1</v>
      </c>
      <c r="BL21" s="67">
        <v>10</v>
      </c>
      <c r="BM21" s="67">
        <f t="shared" si="4"/>
        <v>33</v>
      </c>
      <c r="BN21" s="18">
        <f t="shared" si="5"/>
        <v>37</v>
      </c>
      <c r="BO21" s="18"/>
      <c r="BP21" s="18"/>
      <c r="BQ21" s="1"/>
      <c r="BR21" s="159" t="s">
        <v>321</v>
      </c>
      <c r="BS21" s="98">
        <v>13</v>
      </c>
      <c r="BT21" s="140"/>
      <c r="DA21" s="57"/>
      <c r="DB21" s="57"/>
      <c r="DC21" s="95"/>
      <c r="DD21" s="57"/>
      <c r="DE21" s="57"/>
      <c r="DF21" s="95"/>
      <c r="DP21" s="57" t="s">
        <v>581</v>
      </c>
      <c r="DQ21" s="57">
        <v>0</v>
      </c>
      <c r="DR21" s="95">
        <v>1</v>
      </c>
      <c r="DS21" s="57" t="s">
        <v>581</v>
      </c>
      <c r="DT21" s="57">
        <v>0</v>
      </c>
      <c r="DU21" s="95">
        <v>1</v>
      </c>
      <c r="EB21" s="57" t="s">
        <v>581</v>
      </c>
      <c r="EC21" s="57">
        <v>0</v>
      </c>
      <c r="ED21" s="95">
        <v>1</v>
      </c>
      <c r="EE21" s="57" t="s">
        <v>581</v>
      </c>
      <c r="EF21" s="57">
        <v>0</v>
      </c>
      <c r="EG21" s="95">
        <v>1</v>
      </c>
      <c r="EK21" s="57" t="s">
        <v>581</v>
      </c>
      <c r="EL21" s="57">
        <v>0</v>
      </c>
      <c r="EM21" s="95">
        <v>1</v>
      </c>
      <c r="EN21" s="57" t="s">
        <v>581</v>
      </c>
      <c r="EO21" s="57">
        <v>0</v>
      </c>
      <c r="EP21" s="95">
        <v>1</v>
      </c>
      <c r="EW21" s="57" t="s">
        <v>581</v>
      </c>
      <c r="EX21" s="57">
        <v>0</v>
      </c>
      <c r="EY21" s="95">
        <v>1</v>
      </c>
      <c r="EZ21" s="57" t="s">
        <v>581</v>
      </c>
      <c r="FA21" s="57">
        <v>0</v>
      </c>
      <c r="FB21" s="95">
        <v>1</v>
      </c>
      <c r="FJ21" s="57" t="s">
        <v>581</v>
      </c>
      <c r="FK21" s="57">
        <v>0</v>
      </c>
      <c r="FL21" s="95">
        <v>1</v>
      </c>
      <c r="FM21" s="57" t="s">
        <v>581</v>
      </c>
      <c r="FN21" s="57">
        <v>0</v>
      </c>
      <c r="FO21" s="95">
        <v>1</v>
      </c>
    </row>
    <row r="22" spans="1:172" ht="15.75" thickBot="1" x14ac:dyDescent="0.3">
      <c r="A22" s="18" t="s">
        <v>6</v>
      </c>
      <c r="B22" s="18">
        <v>2024</v>
      </c>
      <c r="C22" s="18" t="s">
        <v>138</v>
      </c>
      <c r="D22" s="18" t="s">
        <v>10</v>
      </c>
      <c r="E22" s="18">
        <v>40</v>
      </c>
      <c r="F22" s="18">
        <v>40</v>
      </c>
      <c r="G22" s="18" t="s">
        <v>153</v>
      </c>
      <c r="H22" s="18" t="s">
        <v>153</v>
      </c>
      <c r="I22" s="18" t="s">
        <v>161</v>
      </c>
      <c r="J22" s="31">
        <v>16.5</v>
      </c>
      <c r="K22" s="31">
        <v>17</v>
      </c>
      <c r="L22" s="4">
        <v>0.5</v>
      </c>
      <c r="M22" s="5">
        <v>0.62</v>
      </c>
      <c r="N22" s="31">
        <v>0.31</v>
      </c>
      <c r="O22" s="31">
        <v>0.31</v>
      </c>
      <c r="P22" s="31">
        <v>15.5</v>
      </c>
      <c r="Q22" s="31">
        <v>20</v>
      </c>
      <c r="R22" s="31">
        <v>0.33</v>
      </c>
      <c r="S22" s="31">
        <v>0</v>
      </c>
      <c r="T22" s="86">
        <v>0</v>
      </c>
      <c r="U22" s="31">
        <v>6</v>
      </c>
      <c r="V22" s="31"/>
      <c r="W22" s="31">
        <v>6</v>
      </c>
      <c r="X22" s="4">
        <v>55</v>
      </c>
      <c r="Y22" s="18">
        <v>0</v>
      </c>
      <c r="Z22" s="18" t="s">
        <v>96</v>
      </c>
      <c r="AA22" s="18" t="s">
        <v>333</v>
      </c>
      <c r="AB22" s="18" t="s">
        <v>337</v>
      </c>
      <c r="AC22" s="18">
        <v>20</v>
      </c>
      <c r="AD22" s="18">
        <v>15.5</v>
      </c>
      <c r="AE22" s="18" t="s">
        <v>29</v>
      </c>
      <c r="AF22" s="18" t="s">
        <v>199</v>
      </c>
      <c r="AG22" s="18" t="s">
        <v>199</v>
      </c>
      <c r="AH22" s="18">
        <v>17</v>
      </c>
      <c r="AI22" s="18"/>
      <c r="AJ22" s="18" t="s">
        <v>66</v>
      </c>
      <c r="AK22" s="18" t="s">
        <v>79</v>
      </c>
      <c r="AL22" s="18" t="s">
        <v>100</v>
      </c>
      <c r="AM22" s="18" t="s">
        <v>107</v>
      </c>
      <c r="AN22" s="18" t="s">
        <v>120</v>
      </c>
      <c r="AO22" s="18" t="s">
        <v>198</v>
      </c>
      <c r="AP22" s="18"/>
      <c r="AQ22" s="18"/>
      <c r="AR22" s="18">
        <v>1</v>
      </c>
      <c r="AS22" s="18">
        <v>1</v>
      </c>
      <c r="AT22" s="18">
        <v>0</v>
      </c>
      <c r="AU22" s="18">
        <v>3</v>
      </c>
      <c r="AV22" s="18">
        <v>2</v>
      </c>
      <c r="AW22" s="18">
        <v>7</v>
      </c>
      <c r="AX22" s="49">
        <f t="shared" si="0"/>
        <v>0</v>
      </c>
      <c r="AY22" s="49">
        <v>2</v>
      </c>
      <c r="AZ22" s="50">
        <f t="shared" si="1"/>
        <v>6</v>
      </c>
      <c r="BA22" s="49">
        <v>7</v>
      </c>
      <c r="BB22" s="49">
        <v>15</v>
      </c>
      <c r="BC22" s="67">
        <v>10.5</v>
      </c>
      <c r="BD22" s="67">
        <v>2</v>
      </c>
      <c r="BE22" s="67">
        <f t="shared" si="2"/>
        <v>5</v>
      </c>
      <c r="BF22" s="67">
        <f t="shared" si="3"/>
        <v>0</v>
      </c>
      <c r="BG22" s="67">
        <v>0</v>
      </c>
      <c r="BH22" s="67">
        <v>3</v>
      </c>
      <c r="BI22" s="67">
        <v>2</v>
      </c>
      <c r="BJ22" s="67">
        <v>1</v>
      </c>
      <c r="BK22" s="67">
        <v>1</v>
      </c>
      <c r="BL22" s="67">
        <v>10</v>
      </c>
      <c r="BM22" s="67">
        <f t="shared" si="4"/>
        <v>24</v>
      </c>
      <c r="BN22" s="18">
        <f t="shared" si="5"/>
        <v>30</v>
      </c>
      <c r="BO22" s="18"/>
      <c r="BP22" s="18"/>
      <c r="BQ22" s="1"/>
      <c r="BR22" s="162" t="s">
        <v>322</v>
      </c>
      <c r="BS22" s="137">
        <v>1.5292605150657808</v>
      </c>
      <c r="BT22" s="140"/>
      <c r="DB22">
        <f>+SUM(DB16:DB20)</f>
        <v>0</v>
      </c>
      <c r="DQ22">
        <f>+SUM(DQ16:DQ20)</f>
        <v>149</v>
      </c>
      <c r="EC22">
        <f>+SUM(EC16:EC21)</f>
        <v>149</v>
      </c>
      <c r="EL22">
        <f>+SUM(EL16:EL20)</f>
        <v>149</v>
      </c>
      <c r="EX22">
        <f>+SUM(EX16:EX20)</f>
        <v>149</v>
      </c>
      <c r="FK22">
        <f>+SUM(FK16:FK20)</f>
        <v>149</v>
      </c>
    </row>
    <row r="23" spans="1:172" ht="15.75" thickBot="1" x14ac:dyDescent="0.3">
      <c r="A23" s="18" t="s">
        <v>6</v>
      </c>
      <c r="B23" s="18">
        <v>2024</v>
      </c>
      <c r="C23" s="18" t="s">
        <v>138</v>
      </c>
      <c r="D23" s="18" t="s">
        <v>10</v>
      </c>
      <c r="E23" s="18">
        <v>40</v>
      </c>
      <c r="F23" s="18">
        <v>40</v>
      </c>
      <c r="G23" s="18" t="s">
        <v>153</v>
      </c>
      <c r="H23" s="18" t="s">
        <v>153</v>
      </c>
      <c r="I23" s="18" t="s">
        <v>161</v>
      </c>
      <c r="J23" s="31">
        <v>17</v>
      </c>
      <c r="K23" s="31">
        <v>17.5</v>
      </c>
      <c r="L23" s="4">
        <v>0.5</v>
      </c>
      <c r="M23" s="5">
        <v>0.64</v>
      </c>
      <c r="N23" s="31">
        <v>0.32</v>
      </c>
      <c r="O23" s="31">
        <v>0.32</v>
      </c>
      <c r="P23" s="31">
        <v>32</v>
      </c>
      <c r="Q23" s="31">
        <v>10</v>
      </c>
      <c r="R23" s="31">
        <v>0.19</v>
      </c>
      <c r="S23" s="31">
        <v>0</v>
      </c>
      <c r="T23" s="86">
        <v>0</v>
      </c>
      <c r="U23" s="31">
        <v>10</v>
      </c>
      <c r="V23" s="31"/>
      <c r="W23" s="31">
        <v>10</v>
      </c>
      <c r="X23" s="4">
        <v>19</v>
      </c>
      <c r="Y23" s="18">
        <v>0</v>
      </c>
      <c r="Z23" s="18" t="s">
        <v>96</v>
      </c>
      <c r="AA23" s="18" t="s">
        <v>120</v>
      </c>
      <c r="AB23" s="18" t="s">
        <v>337</v>
      </c>
      <c r="AC23" s="18">
        <v>10</v>
      </c>
      <c r="AD23" s="18">
        <v>32</v>
      </c>
      <c r="AE23" s="18" t="s">
        <v>29</v>
      </c>
      <c r="AF23" s="18" t="s">
        <v>196</v>
      </c>
      <c r="AG23" s="18" t="s">
        <v>196</v>
      </c>
      <c r="AH23" s="18">
        <v>17</v>
      </c>
      <c r="AI23" s="18"/>
      <c r="AJ23" s="18" t="s">
        <v>69</v>
      </c>
      <c r="AK23" s="18" t="s">
        <v>79</v>
      </c>
      <c r="AL23" s="18" t="s">
        <v>100</v>
      </c>
      <c r="AM23" s="18" t="s">
        <v>107</v>
      </c>
      <c r="AN23" s="18" t="s">
        <v>120</v>
      </c>
      <c r="AO23" s="18" t="s">
        <v>198</v>
      </c>
      <c r="AP23" s="18" t="s">
        <v>214</v>
      </c>
      <c r="AQ23" s="18"/>
      <c r="AR23" s="18">
        <v>0</v>
      </c>
      <c r="AS23" s="18">
        <v>1</v>
      </c>
      <c r="AT23" s="18">
        <v>0</v>
      </c>
      <c r="AU23" s="18">
        <v>3</v>
      </c>
      <c r="AV23" s="18">
        <v>2</v>
      </c>
      <c r="AW23" s="18">
        <v>6</v>
      </c>
      <c r="AX23" s="49">
        <f t="shared" si="0"/>
        <v>0</v>
      </c>
      <c r="AY23" s="49">
        <v>2</v>
      </c>
      <c r="AZ23" s="50">
        <f t="shared" si="1"/>
        <v>4</v>
      </c>
      <c r="BA23" s="49">
        <v>6</v>
      </c>
      <c r="BB23" s="49">
        <v>15</v>
      </c>
      <c r="BC23" s="67">
        <v>9</v>
      </c>
      <c r="BD23" s="67">
        <v>2</v>
      </c>
      <c r="BE23" s="67">
        <f t="shared" si="2"/>
        <v>5</v>
      </c>
      <c r="BF23" s="67">
        <f t="shared" si="3"/>
        <v>0</v>
      </c>
      <c r="BG23" s="67">
        <v>0</v>
      </c>
      <c r="BH23" s="67">
        <v>3</v>
      </c>
      <c r="BI23" s="67">
        <v>2</v>
      </c>
      <c r="BJ23" s="67">
        <v>1</v>
      </c>
      <c r="BK23" s="67">
        <v>0</v>
      </c>
      <c r="BL23" s="67">
        <v>10</v>
      </c>
      <c r="BM23" s="67">
        <f t="shared" si="4"/>
        <v>23</v>
      </c>
      <c r="BN23" s="18">
        <f t="shared" si="5"/>
        <v>27</v>
      </c>
      <c r="BO23" s="18"/>
      <c r="BP23" s="18"/>
      <c r="BQ23" s="1"/>
      <c r="BR23" s="162"/>
      <c r="BS23" s="137"/>
      <c r="BT23" s="141"/>
    </row>
    <row r="24" spans="1:172" x14ac:dyDescent="0.25">
      <c r="A24" s="18" t="s">
        <v>6</v>
      </c>
      <c r="B24" s="18">
        <v>2024</v>
      </c>
      <c r="C24" s="18" t="s">
        <v>138</v>
      </c>
      <c r="D24" s="18" t="s">
        <v>245</v>
      </c>
      <c r="E24" s="18">
        <v>40</v>
      </c>
      <c r="F24" s="18">
        <v>40</v>
      </c>
      <c r="G24" s="18" t="s">
        <v>153</v>
      </c>
      <c r="H24" s="18" t="s">
        <v>153</v>
      </c>
      <c r="I24" s="18" t="s">
        <v>291</v>
      </c>
      <c r="J24" s="4">
        <v>1.5</v>
      </c>
      <c r="K24" s="4">
        <v>2</v>
      </c>
      <c r="L24" s="4">
        <v>0.5</v>
      </c>
      <c r="M24" s="5">
        <v>0.54</v>
      </c>
      <c r="N24" s="31">
        <v>0.27</v>
      </c>
      <c r="O24" s="31">
        <v>0.27</v>
      </c>
      <c r="P24" s="31">
        <v>13.5</v>
      </c>
      <c r="Q24" s="31">
        <v>20</v>
      </c>
      <c r="R24" s="31">
        <v>0.26</v>
      </c>
      <c r="S24" s="31">
        <v>0</v>
      </c>
      <c r="T24" s="65">
        <v>0</v>
      </c>
      <c r="U24" s="31">
        <v>10</v>
      </c>
      <c r="V24" s="31"/>
      <c r="W24" s="31">
        <v>10</v>
      </c>
      <c r="X24" s="4">
        <v>26</v>
      </c>
      <c r="Y24" s="18">
        <v>0</v>
      </c>
      <c r="Z24" s="18" t="s">
        <v>330</v>
      </c>
      <c r="AA24" s="18" t="s">
        <v>333</v>
      </c>
      <c r="AB24" s="18" t="s">
        <v>335</v>
      </c>
      <c r="AC24" s="18">
        <v>20</v>
      </c>
      <c r="AD24" s="18">
        <v>13.5</v>
      </c>
      <c r="AE24" s="18" t="s">
        <v>34</v>
      </c>
      <c r="AF24" s="18" t="s">
        <v>228</v>
      </c>
      <c r="AG24" s="18" t="s">
        <v>228</v>
      </c>
      <c r="AH24" s="18">
        <v>17</v>
      </c>
      <c r="AI24" s="18"/>
      <c r="AJ24" s="18" t="s">
        <v>69</v>
      </c>
      <c r="AK24" s="18" t="s">
        <v>81</v>
      </c>
      <c r="AL24" s="18" t="s">
        <v>100</v>
      </c>
      <c r="AM24" s="18" t="s">
        <v>111</v>
      </c>
      <c r="AN24" s="18" t="s">
        <v>122</v>
      </c>
      <c r="AO24" s="18" t="s">
        <v>198</v>
      </c>
      <c r="AP24" s="18"/>
      <c r="AQ24" s="18"/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49">
        <f t="shared" si="0"/>
        <v>0</v>
      </c>
      <c r="AY24" s="49">
        <v>0</v>
      </c>
      <c r="AZ24" s="50">
        <f t="shared" si="1"/>
        <v>5</v>
      </c>
      <c r="BA24" s="49">
        <v>0</v>
      </c>
      <c r="BB24" s="49">
        <v>15</v>
      </c>
      <c r="BC24" s="67">
        <v>0</v>
      </c>
      <c r="BD24" s="67">
        <v>0</v>
      </c>
      <c r="BE24" s="67">
        <f t="shared" si="2"/>
        <v>5</v>
      </c>
      <c r="BF24" s="67">
        <f t="shared" si="3"/>
        <v>0</v>
      </c>
      <c r="BG24" s="67">
        <v>0</v>
      </c>
      <c r="BH24" s="67">
        <v>0</v>
      </c>
      <c r="BI24" s="67">
        <v>0</v>
      </c>
      <c r="BJ24" s="67">
        <v>0</v>
      </c>
      <c r="BK24" s="67">
        <v>0</v>
      </c>
      <c r="BL24" s="67">
        <v>10</v>
      </c>
      <c r="BM24" s="67">
        <f t="shared" si="4"/>
        <v>15</v>
      </c>
      <c r="BN24" s="18">
        <f t="shared" si="5"/>
        <v>20</v>
      </c>
      <c r="BO24" s="18"/>
      <c r="BP24" s="18"/>
      <c r="BQ24" s="1"/>
    </row>
    <row r="25" spans="1:172" x14ac:dyDescent="0.25">
      <c r="A25" s="18" t="s">
        <v>6</v>
      </c>
      <c r="B25" s="18">
        <v>2024</v>
      </c>
      <c r="C25" s="18" t="s">
        <v>138</v>
      </c>
      <c r="D25" s="18" t="s">
        <v>245</v>
      </c>
      <c r="E25" s="18">
        <v>40</v>
      </c>
      <c r="F25" s="18">
        <v>40</v>
      </c>
      <c r="G25" s="18" t="s">
        <v>153</v>
      </c>
      <c r="H25" s="18" t="s">
        <v>153</v>
      </c>
      <c r="I25" s="18" t="s">
        <v>291</v>
      </c>
      <c r="J25" s="4">
        <v>2</v>
      </c>
      <c r="K25" s="4">
        <v>2.5</v>
      </c>
      <c r="L25" s="4">
        <v>0.5</v>
      </c>
      <c r="M25" s="5">
        <v>0.56000000000000005</v>
      </c>
      <c r="N25" s="31">
        <v>0.28000000000000003</v>
      </c>
      <c r="O25" s="31">
        <v>0.28000000000000003</v>
      </c>
      <c r="P25" s="31">
        <v>14</v>
      </c>
      <c r="Q25" s="31">
        <v>20</v>
      </c>
      <c r="R25" s="31">
        <v>0.26</v>
      </c>
      <c r="S25" s="31">
        <v>0</v>
      </c>
      <c r="T25" s="65">
        <v>0</v>
      </c>
      <c r="U25" s="31">
        <v>10</v>
      </c>
      <c r="V25" s="31"/>
      <c r="W25" s="31">
        <v>10</v>
      </c>
      <c r="X25" s="4">
        <v>26</v>
      </c>
      <c r="Y25" s="18">
        <v>0</v>
      </c>
      <c r="Z25" s="18" t="s">
        <v>330</v>
      </c>
      <c r="AA25" s="18" t="s">
        <v>333</v>
      </c>
      <c r="AB25" s="18" t="s">
        <v>335</v>
      </c>
      <c r="AC25" s="18">
        <v>20</v>
      </c>
      <c r="AD25" s="18">
        <v>14</v>
      </c>
      <c r="AE25" s="18" t="s">
        <v>34</v>
      </c>
      <c r="AF25" s="18" t="s">
        <v>228</v>
      </c>
      <c r="AG25" s="18" t="s">
        <v>228</v>
      </c>
      <c r="AH25" s="18">
        <v>17</v>
      </c>
      <c r="AI25" s="18"/>
      <c r="AJ25" s="18" t="s">
        <v>69</v>
      </c>
      <c r="AK25" s="18" t="s">
        <v>81</v>
      </c>
      <c r="AL25" s="18" t="s">
        <v>100</v>
      </c>
      <c r="AM25" s="18" t="s">
        <v>111</v>
      </c>
      <c r="AN25" s="18" t="s">
        <v>122</v>
      </c>
      <c r="AO25" s="18" t="s">
        <v>198</v>
      </c>
      <c r="AP25" s="18"/>
      <c r="AQ25" s="18"/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49">
        <f t="shared" si="0"/>
        <v>0</v>
      </c>
      <c r="AY25" s="49">
        <v>0</v>
      </c>
      <c r="AZ25" s="50">
        <f t="shared" si="1"/>
        <v>5</v>
      </c>
      <c r="BA25" s="49">
        <v>0</v>
      </c>
      <c r="BB25" s="49">
        <v>15</v>
      </c>
      <c r="BC25" s="67">
        <v>0</v>
      </c>
      <c r="BD25" s="67">
        <v>0</v>
      </c>
      <c r="BE25" s="67">
        <f t="shared" si="2"/>
        <v>5</v>
      </c>
      <c r="BF25" s="67">
        <f t="shared" si="3"/>
        <v>0</v>
      </c>
      <c r="BG25" s="67">
        <v>0</v>
      </c>
      <c r="BH25" s="67">
        <v>0</v>
      </c>
      <c r="BI25" s="67">
        <v>0</v>
      </c>
      <c r="BJ25" s="67">
        <v>0</v>
      </c>
      <c r="BK25" s="67">
        <v>0</v>
      </c>
      <c r="BL25" s="67">
        <v>10</v>
      </c>
      <c r="BM25" s="67">
        <f t="shared" si="4"/>
        <v>15</v>
      </c>
      <c r="BN25" s="18">
        <f t="shared" si="5"/>
        <v>20</v>
      </c>
      <c r="BO25" s="18"/>
      <c r="BP25" s="18"/>
      <c r="BQ25" s="1"/>
    </row>
    <row r="26" spans="1:172" x14ac:dyDescent="0.25">
      <c r="A26" s="18" t="s">
        <v>6</v>
      </c>
      <c r="B26" s="18">
        <v>2024</v>
      </c>
      <c r="C26" s="18" t="s">
        <v>138</v>
      </c>
      <c r="D26" s="18" t="s">
        <v>245</v>
      </c>
      <c r="E26" s="18">
        <v>40</v>
      </c>
      <c r="F26" s="18">
        <v>40</v>
      </c>
      <c r="G26" s="18" t="s">
        <v>153</v>
      </c>
      <c r="H26" s="18" t="s">
        <v>153</v>
      </c>
      <c r="I26" s="18" t="s">
        <v>291</v>
      </c>
      <c r="J26" s="4">
        <v>2.5</v>
      </c>
      <c r="K26" s="4">
        <v>3</v>
      </c>
      <c r="L26" s="4">
        <v>0.5</v>
      </c>
      <c r="M26" s="5">
        <v>0.5</v>
      </c>
      <c r="N26" s="31">
        <v>0.25</v>
      </c>
      <c r="O26" s="31">
        <v>0.25</v>
      </c>
      <c r="P26" s="31">
        <v>12.5</v>
      </c>
      <c r="Q26" s="31">
        <v>20</v>
      </c>
      <c r="R26" s="31">
        <v>0.24</v>
      </c>
      <c r="S26" s="31">
        <v>0</v>
      </c>
      <c r="T26" s="65">
        <v>0</v>
      </c>
      <c r="U26" s="31">
        <v>10</v>
      </c>
      <c r="V26" s="31"/>
      <c r="W26" s="31">
        <v>10</v>
      </c>
      <c r="X26" s="4">
        <v>24</v>
      </c>
      <c r="Y26" s="18">
        <v>0</v>
      </c>
      <c r="Z26" s="18" t="s">
        <v>330</v>
      </c>
      <c r="AA26" s="18" t="s">
        <v>333</v>
      </c>
      <c r="AB26" s="18" t="s">
        <v>335</v>
      </c>
      <c r="AC26" s="18">
        <v>20</v>
      </c>
      <c r="AD26" s="18">
        <v>12.5</v>
      </c>
      <c r="AE26" s="18" t="s">
        <v>34</v>
      </c>
      <c r="AF26" s="18" t="s">
        <v>228</v>
      </c>
      <c r="AG26" s="18" t="s">
        <v>228</v>
      </c>
      <c r="AH26" s="18">
        <v>17</v>
      </c>
      <c r="AI26" s="18"/>
      <c r="AJ26" s="18" t="s">
        <v>69</v>
      </c>
      <c r="AK26" s="18" t="s">
        <v>81</v>
      </c>
      <c r="AL26" s="18" t="s">
        <v>100</v>
      </c>
      <c r="AM26" s="18" t="s">
        <v>111</v>
      </c>
      <c r="AN26" s="18" t="s">
        <v>122</v>
      </c>
      <c r="AO26" s="18" t="s">
        <v>198</v>
      </c>
      <c r="AP26" s="18"/>
      <c r="AQ26" s="18"/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49">
        <f t="shared" si="0"/>
        <v>0</v>
      </c>
      <c r="AY26" s="49">
        <v>0</v>
      </c>
      <c r="AZ26" s="50">
        <f t="shared" si="1"/>
        <v>4</v>
      </c>
      <c r="BA26" s="49">
        <v>0</v>
      </c>
      <c r="BB26" s="49">
        <v>15</v>
      </c>
      <c r="BC26" s="67">
        <v>0</v>
      </c>
      <c r="BD26" s="67">
        <v>0</v>
      </c>
      <c r="BE26" s="67">
        <f t="shared" si="2"/>
        <v>5</v>
      </c>
      <c r="BF26" s="67">
        <f t="shared" si="3"/>
        <v>0</v>
      </c>
      <c r="BG26" s="67">
        <v>0</v>
      </c>
      <c r="BH26" s="67">
        <v>0</v>
      </c>
      <c r="BI26" s="67">
        <v>0</v>
      </c>
      <c r="BJ26" s="67">
        <v>0</v>
      </c>
      <c r="BK26" s="67">
        <v>0</v>
      </c>
      <c r="BL26" s="67">
        <v>10</v>
      </c>
      <c r="BM26" s="67">
        <f t="shared" si="4"/>
        <v>15</v>
      </c>
      <c r="BN26" s="18">
        <f t="shared" si="5"/>
        <v>19</v>
      </c>
      <c r="BO26" s="18"/>
      <c r="BP26" s="18"/>
      <c r="BQ26" s="1"/>
    </row>
    <row r="27" spans="1:172" x14ac:dyDescent="0.25">
      <c r="A27" s="18" t="s">
        <v>6</v>
      </c>
      <c r="B27" s="18">
        <v>2024</v>
      </c>
      <c r="C27" s="18" t="s">
        <v>138</v>
      </c>
      <c r="D27" s="18" t="s">
        <v>245</v>
      </c>
      <c r="E27" s="18">
        <v>40</v>
      </c>
      <c r="F27" s="18">
        <v>40</v>
      </c>
      <c r="G27" s="18" t="s">
        <v>153</v>
      </c>
      <c r="H27" s="18" t="s">
        <v>153</v>
      </c>
      <c r="I27" s="18" t="s">
        <v>291</v>
      </c>
      <c r="J27" s="4">
        <v>3</v>
      </c>
      <c r="K27" s="4">
        <v>3.5</v>
      </c>
      <c r="L27" s="4">
        <v>0.5</v>
      </c>
      <c r="M27" s="5">
        <v>0.46</v>
      </c>
      <c r="N27" s="31">
        <v>0.23</v>
      </c>
      <c r="O27" s="31">
        <v>0.23</v>
      </c>
      <c r="P27" s="31">
        <v>11.5</v>
      </c>
      <c r="Q27" s="31">
        <v>20</v>
      </c>
      <c r="R27" s="31">
        <v>0.23</v>
      </c>
      <c r="S27" s="31">
        <v>0</v>
      </c>
      <c r="T27" s="65">
        <v>0</v>
      </c>
      <c r="U27" s="31">
        <v>10</v>
      </c>
      <c r="V27" s="31"/>
      <c r="W27" s="31">
        <v>10</v>
      </c>
      <c r="X27" s="4">
        <v>23</v>
      </c>
      <c r="Y27" s="18">
        <v>0</v>
      </c>
      <c r="Z27" s="18" t="s">
        <v>330</v>
      </c>
      <c r="AA27" s="18" t="s">
        <v>333</v>
      </c>
      <c r="AB27" s="18" t="s">
        <v>335</v>
      </c>
      <c r="AC27" s="18">
        <v>20</v>
      </c>
      <c r="AD27" s="18">
        <v>11.5</v>
      </c>
      <c r="AE27" s="18" t="s">
        <v>34</v>
      </c>
      <c r="AF27" s="18" t="s">
        <v>228</v>
      </c>
      <c r="AG27" s="18" t="s">
        <v>228</v>
      </c>
      <c r="AH27" s="18">
        <v>17</v>
      </c>
      <c r="AI27" s="18"/>
      <c r="AJ27" s="18" t="s">
        <v>69</v>
      </c>
      <c r="AK27" s="18" t="s">
        <v>81</v>
      </c>
      <c r="AL27" s="18" t="s">
        <v>100</v>
      </c>
      <c r="AM27" s="18" t="s">
        <v>111</v>
      </c>
      <c r="AN27" s="18" t="s">
        <v>122</v>
      </c>
      <c r="AO27" s="18" t="s">
        <v>198</v>
      </c>
      <c r="AP27" s="18"/>
      <c r="AQ27" s="18"/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49">
        <f t="shared" si="0"/>
        <v>0</v>
      </c>
      <c r="AY27" s="49">
        <v>0</v>
      </c>
      <c r="AZ27" s="50">
        <f t="shared" si="1"/>
        <v>4</v>
      </c>
      <c r="BA27" s="49">
        <v>0</v>
      </c>
      <c r="BB27" s="49">
        <v>15</v>
      </c>
      <c r="BC27" s="67">
        <v>0</v>
      </c>
      <c r="BD27" s="67">
        <v>0</v>
      </c>
      <c r="BE27" s="67">
        <f t="shared" si="2"/>
        <v>5</v>
      </c>
      <c r="BF27" s="67">
        <f t="shared" si="3"/>
        <v>0</v>
      </c>
      <c r="BG27" s="67">
        <v>0</v>
      </c>
      <c r="BH27" s="67">
        <v>0</v>
      </c>
      <c r="BI27" s="67">
        <v>0</v>
      </c>
      <c r="BJ27" s="67">
        <v>0</v>
      </c>
      <c r="BK27" s="67">
        <v>0</v>
      </c>
      <c r="BL27" s="67">
        <v>10</v>
      </c>
      <c r="BM27" s="67">
        <f t="shared" si="4"/>
        <v>15</v>
      </c>
      <c r="BN27" s="18">
        <f t="shared" si="5"/>
        <v>19</v>
      </c>
      <c r="BO27" s="18"/>
      <c r="BP27" s="18"/>
      <c r="BQ27" s="1"/>
    </row>
    <row r="28" spans="1:172" x14ac:dyDescent="0.25">
      <c r="A28" s="18" t="s">
        <v>6</v>
      </c>
      <c r="B28" s="18">
        <v>2024</v>
      </c>
      <c r="C28" s="18" t="s">
        <v>138</v>
      </c>
      <c r="D28" s="18" t="s">
        <v>245</v>
      </c>
      <c r="E28" s="18">
        <v>40</v>
      </c>
      <c r="F28" s="18">
        <v>40</v>
      </c>
      <c r="G28" s="18" t="s">
        <v>153</v>
      </c>
      <c r="H28" s="18" t="s">
        <v>153</v>
      </c>
      <c r="I28" s="18" t="s">
        <v>291</v>
      </c>
      <c r="J28" s="4">
        <v>3.5</v>
      </c>
      <c r="K28" s="4">
        <v>4</v>
      </c>
      <c r="L28" s="4">
        <v>0.5</v>
      </c>
      <c r="M28" s="5">
        <v>0.44</v>
      </c>
      <c r="N28" s="31">
        <v>0.22</v>
      </c>
      <c r="O28" s="31">
        <v>0.22</v>
      </c>
      <c r="P28" s="31">
        <v>11</v>
      </c>
      <c r="Q28" s="31">
        <v>20</v>
      </c>
      <c r="R28" s="31">
        <v>0.22</v>
      </c>
      <c r="S28" s="31">
        <v>0</v>
      </c>
      <c r="T28" s="65">
        <v>0</v>
      </c>
      <c r="U28" s="31">
        <v>10</v>
      </c>
      <c r="V28" s="31"/>
      <c r="W28" s="31">
        <v>10</v>
      </c>
      <c r="X28" s="4">
        <v>22</v>
      </c>
      <c r="Y28" s="18">
        <v>0</v>
      </c>
      <c r="Z28" s="18" t="s">
        <v>330</v>
      </c>
      <c r="AA28" s="18" t="s">
        <v>333</v>
      </c>
      <c r="AB28" s="18" t="s">
        <v>335</v>
      </c>
      <c r="AC28" s="18">
        <v>20</v>
      </c>
      <c r="AD28" s="18">
        <v>11</v>
      </c>
      <c r="AE28" s="18" t="s">
        <v>34</v>
      </c>
      <c r="AF28" s="18" t="s">
        <v>228</v>
      </c>
      <c r="AG28" s="18" t="s">
        <v>228</v>
      </c>
      <c r="AH28" s="18">
        <v>17</v>
      </c>
      <c r="AI28" s="18"/>
      <c r="AJ28" s="18" t="s">
        <v>69</v>
      </c>
      <c r="AK28" s="18" t="s">
        <v>81</v>
      </c>
      <c r="AL28" s="18" t="s">
        <v>100</v>
      </c>
      <c r="AM28" s="18" t="s">
        <v>111</v>
      </c>
      <c r="AN28" s="18" t="s">
        <v>122</v>
      </c>
      <c r="AO28" s="18" t="s">
        <v>198</v>
      </c>
      <c r="AP28" s="18"/>
      <c r="AQ28" s="18"/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49">
        <f t="shared" si="0"/>
        <v>0</v>
      </c>
      <c r="AY28" s="49">
        <v>0</v>
      </c>
      <c r="AZ28" s="50">
        <f t="shared" si="1"/>
        <v>4</v>
      </c>
      <c r="BA28" s="49">
        <v>0</v>
      </c>
      <c r="BB28" s="49">
        <v>15</v>
      </c>
      <c r="BC28" s="67">
        <v>0</v>
      </c>
      <c r="BD28" s="67">
        <v>0</v>
      </c>
      <c r="BE28" s="67">
        <f t="shared" si="2"/>
        <v>5</v>
      </c>
      <c r="BF28" s="67">
        <f t="shared" si="3"/>
        <v>0</v>
      </c>
      <c r="BG28" s="67">
        <v>0</v>
      </c>
      <c r="BH28" s="67">
        <v>0</v>
      </c>
      <c r="BI28" s="67">
        <v>0</v>
      </c>
      <c r="BJ28" s="67">
        <v>0</v>
      </c>
      <c r="BK28" s="67">
        <v>0</v>
      </c>
      <c r="BL28" s="67">
        <v>10</v>
      </c>
      <c r="BM28" s="67">
        <f t="shared" si="4"/>
        <v>15</v>
      </c>
      <c r="BN28" s="18">
        <f t="shared" si="5"/>
        <v>19</v>
      </c>
      <c r="BO28" s="18"/>
      <c r="BP28" s="18"/>
      <c r="BQ28" s="1"/>
    </row>
    <row r="29" spans="1:172" x14ac:dyDescent="0.25">
      <c r="A29" s="18" t="s">
        <v>6</v>
      </c>
      <c r="B29" s="18">
        <v>2024</v>
      </c>
      <c r="C29" s="18" t="s">
        <v>138</v>
      </c>
      <c r="D29" s="18" t="s">
        <v>245</v>
      </c>
      <c r="E29" s="18">
        <v>40</v>
      </c>
      <c r="F29" s="18">
        <v>40</v>
      </c>
      <c r="G29" s="18" t="s">
        <v>153</v>
      </c>
      <c r="H29" s="18" t="s">
        <v>153</v>
      </c>
      <c r="I29" s="18" t="s">
        <v>292</v>
      </c>
      <c r="J29" s="4">
        <v>4</v>
      </c>
      <c r="K29" s="4">
        <v>4.5</v>
      </c>
      <c r="L29" s="4">
        <v>0.5</v>
      </c>
      <c r="M29" s="5">
        <v>0.4</v>
      </c>
      <c r="N29" s="31">
        <v>0.2</v>
      </c>
      <c r="O29" s="31">
        <v>0.2</v>
      </c>
      <c r="P29" s="31">
        <v>10</v>
      </c>
      <c r="Q29" s="31">
        <v>20</v>
      </c>
      <c r="R29" s="31">
        <v>0.2</v>
      </c>
      <c r="S29" s="31">
        <v>0</v>
      </c>
      <c r="T29" s="65">
        <v>0</v>
      </c>
      <c r="U29" s="31">
        <v>10</v>
      </c>
      <c r="V29" s="31"/>
      <c r="W29" s="31">
        <v>10</v>
      </c>
      <c r="X29" s="4">
        <v>20</v>
      </c>
      <c r="Y29" s="18">
        <v>0</v>
      </c>
      <c r="Z29" s="18" t="s">
        <v>330</v>
      </c>
      <c r="AA29" s="18" t="s">
        <v>333</v>
      </c>
      <c r="AB29" s="18" t="s">
        <v>336</v>
      </c>
      <c r="AC29" s="18">
        <v>20</v>
      </c>
      <c r="AD29" s="18">
        <v>10</v>
      </c>
      <c r="AE29" s="18" t="s">
        <v>32</v>
      </c>
      <c r="AF29" s="18" t="s">
        <v>228</v>
      </c>
      <c r="AG29" s="18" t="s">
        <v>228</v>
      </c>
      <c r="AH29" s="18">
        <v>17</v>
      </c>
      <c r="AI29" s="18"/>
      <c r="AJ29" s="18" t="s">
        <v>69</v>
      </c>
      <c r="AK29" s="18" t="s">
        <v>81</v>
      </c>
      <c r="AL29" s="18" t="s">
        <v>100</v>
      </c>
      <c r="AM29" s="18" t="s">
        <v>111</v>
      </c>
      <c r="AN29" s="18" t="s">
        <v>122</v>
      </c>
      <c r="AO29" s="18" t="s">
        <v>198</v>
      </c>
      <c r="AP29" s="18"/>
      <c r="AQ29" s="18"/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49">
        <f t="shared" si="0"/>
        <v>0</v>
      </c>
      <c r="AY29" s="49">
        <v>1</v>
      </c>
      <c r="AZ29" s="50">
        <f t="shared" si="1"/>
        <v>4</v>
      </c>
      <c r="BA29" s="49">
        <v>0</v>
      </c>
      <c r="BB29" s="49">
        <v>15</v>
      </c>
      <c r="BC29" s="67">
        <v>0</v>
      </c>
      <c r="BD29" s="67">
        <v>1</v>
      </c>
      <c r="BE29" s="67">
        <f t="shared" si="2"/>
        <v>5</v>
      </c>
      <c r="BF29" s="67">
        <f t="shared" si="3"/>
        <v>0</v>
      </c>
      <c r="BG29" s="67">
        <v>0</v>
      </c>
      <c r="BH29" s="67">
        <v>0</v>
      </c>
      <c r="BI29" s="67">
        <v>0</v>
      </c>
      <c r="BJ29" s="67">
        <v>0</v>
      </c>
      <c r="BK29" s="67">
        <v>0</v>
      </c>
      <c r="BL29" s="67">
        <v>10</v>
      </c>
      <c r="BM29" s="67">
        <f t="shared" si="4"/>
        <v>16</v>
      </c>
      <c r="BN29" s="18">
        <f t="shared" si="5"/>
        <v>20</v>
      </c>
      <c r="BO29" s="18"/>
      <c r="BP29" s="18"/>
      <c r="BQ29" s="1"/>
    </row>
    <row r="30" spans="1:172" x14ac:dyDescent="0.25">
      <c r="A30" s="18" t="s">
        <v>6</v>
      </c>
      <c r="B30" s="18">
        <v>2024</v>
      </c>
      <c r="C30" s="18" t="s">
        <v>138</v>
      </c>
      <c r="D30" s="18" t="s">
        <v>245</v>
      </c>
      <c r="E30" s="18">
        <v>40</v>
      </c>
      <c r="F30" s="18">
        <v>40</v>
      </c>
      <c r="G30" s="18" t="s">
        <v>153</v>
      </c>
      <c r="H30" s="18" t="s">
        <v>153</v>
      </c>
      <c r="I30" s="18" t="s">
        <v>293</v>
      </c>
      <c r="J30" s="4">
        <v>26</v>
      </c>
      <c r="K30" s="4">
        <v>26.5</v>
      </c>
      <c r="L30" s="4">
        <v>0.5</v>
      </c>
      <c r="M30" s="5">
        <v>0.57999999999999996</v>
      </c>
      <c r="N30" s="31">
        <v>0.28999999999999998</v>
      </c>
      <c r="O30" s="31">
        <v>0.28999999999999998</v>
      </c>
      <c r="P30" s="31">
        <v>290</v>
      </c>
      <c r="Q30" s="31">
        <v>1</v>
      </c>
      <c r="R30" s="31">
        <v>0.28000000000000003</v>
      </c>
      <c r="S30" s="31">
        <v>0</v>
      </c>
      <c r="T30" s="65">
        <v>0</v>
      </c>
      <c r="U30" s="31">
        <v>10</v>
      </c>
      <c r="V30" s="31"/>
      <c r="W30" s="31">
        <v>10</v>
      </c>
      <c r="X30" s="4">
        <v>28</v>
      </c>
      <c r="Y30" s="18">
        <v>0</v>
      </c>
      <c r="Z30" s="18" t="s">
        <v>96</v>
      </c>
      <c r="AA30" s="18" t="s">
        <v>116</v>
      </c>
      <c r="AB30" s="18" t="s">
        <v>334</v>
      </c>
      <c r="AC30" s="18">
        <v>1</v>
      </c>
      <c r="AD30" s="18">
        <v>290</v>
      </c>
      <c r="AE30" s="18" t="s">
        <v>27</v>
      </c>
      <c r="AF30" s="18" t="s">
        <v>239</v>
      </c>
      <c r="AG30" s="18" t="s">
        <v>239</v>
      </c>
      <c r="AH30" s="18">
        <v>17</v>
      </c>
      <c r="AI30" s="18"/>
      <c r="AJ30" s="18" t="s">
        <v>69</v>
      </c>
      <c r="AK30" s="18" t="s">
        <v>81</v>
      </c>
      <c r="AL30" s="18" t="s">
        <v>100</v>
      </c>
      <c r="AM30" s="18" t="s">
        <v>109</v>
      </c>
      <c r="AN30" s="18" t="s">
        <v>122</v>
      </c>
      <c r="AO30" s="18" t="s">
        <v>198</v>
      </c>
      <c r="AP30" s="18" t="s">
        <v>238</v>
      </c>
      <c r="AQ30" s="18"/>
      <c r="AR30" s="18">
        <v>0</v>
      </c>
      <c r="AS30" s="18">
        <v>0</v>
      </c>
      <c r="AT30" s="18">
        <v>0</v>
      </c>
      <c r="AU30" s="18">
        <v>1</v>
      </c>
      <c r="AV30" s="18">
        <v>0</v>
      </c>
      <c r="AW30" s="18">
        <v>1</v>
      </c>
      <c r="AX30" s="49">
        <f t="shared" si="0"/>
        <v>0</v>
      </c>
      <c r="AY30" s="49">
        <v>4</v>
      </c>
      <c r="AZ30" s="50">
        <f t="shared" si="1"/>
        <v>5</v>
      </c>
      <c r="BA30" s="49">
        <v>1</v>
      </c>
      <c r="BB30" s="49">
        <v>15</v>
      </c>
      <c r="BC30" s="67">
        <v>1.5</v>
      </c>
      <c r="BD30" s="67">
        <v>4</v>
      </c>
      <c r="BE30" s="67">
        <f t="shared" si="2"/>
        <v>5</v>
      </c>
      <c r="BF30" s="67">
        <f t="shared" si="3"/>
        <v>0</v>
      </c>
      <c r="BG30" s="67">
        <v>0</v>
      </c>
      <c r="BH30" s="67">
        <v>1</v>
      </c>
      <c r="BI30" s="67">
        <v>0</v>
      </c>
      <c r="BJ30" s="67">
        <v>0</v>
      </c>
      <c r="BK30" s="67">
        <v>0</v>
      </c>
      <c r="BL30" s="67">
        <v>10</v>
      </c>
      <c r="BM30" s="67">
        <f t="shared" si="4"/>
        <v>20</v>
      </c>
      <c r="BN30" s="18">
        <f t="shared" si="5"/>
        <v>25</v>
      </c>
      <c r="BO30" s="18"/>
      <c r="BP30" s="18"/>
      <c r="BQ30" s="1"/>
    </row>
    <row r="31" spans="1:172" x14ac:dyDescent="0.25">
      <c r="A31" s="18" t="s">
        <v>6</v>
      </c>
      <c r="B31" s="18">
        <v>2024</v>
      </c>
      <c r="C31" s="18" t="s">
        <v>138</v>
      </c>
      <c r="D31" s="18" t="s">
        <v>245</v>
      </c>
      <c r="E31" s="18">
        <v>40</v>
      </c>
      <c r="F31" s="18">
        <v>40</v>
      </c>
      <c r="G31" s="18" t="s">
        <v>153</v>
      </c>
      <c r="H31" s="18" t="s">
        <v>153</v>
      </c>
      <c r="I31" s="18" t="s">
        <v>293</v>
      </c>
      <c r="J31" s="4">
        <v>26.5</v>
      </c>
      <c r="K31" s="4">
        <v>27</v>
      </c>
      <c r="L31" s="4">
        <v>0.5</v>
      </c>
      <c r="M31" s="5">
        <v>0.52</v>
      </c>
      <c r="N31" s="31">
        <v>0.26</v>
      </c>
      <c r="O31" s="31">
        <v>0.26</v>
      </c>
      <c r="P31" s="31">
        <v>260</v>
      </c>
      <c r="Q31" s="31">
        <v>1</v>
      </c>
      <c r="R31" s="31">
        <v>0.24</v>
      </c>
      <c r="S31" s="31">
        <v>0</v>
      </c>
      <c r="T31" s="65">
        <v>0</v>
      </c>
      <c r="U31" s="31">
        <v>10</v>
      </c>
      <c r="V31" s="31"/>
      <c r="W31" s="31">
        <v>10</v>
      </c>
      <c r="X31" s="4">
        <v>24</v>
      </c>
      <c r="Y31" s="18">
        <v>0</v>
      </c>
      <c r="Z31" s="18" t="s">
        <v>96</v>
      </c>
      <c r="AA31" s="18" t="s">
        <v>116</v>
      </c>
      <c r="AB31" s="18" t="s">
        <v>334</v>
      </c>
      <c r="AC31" s="18">
        <v>1</v>
      </c>
      <c r="AD31" s="18">
        <v>260</v>
      </c>
      <c r="AE31" s="18" t="s">
        <v>27</v>
      </c>
      <c r="AF31" s="18" t="s">
        <v>239</v>
      </c>
      <c r="AG31" s="18" t="s">
        <v>239</v>
      </c>
      <c r="AH31" s="18">
        <v>17</v>
      </c>
      <c r="AI31" s="18"/>
      <c r="AJ31" s="18" t="s">
        <v>69</v>
      </c>
      <c r="AK31" s="18" t="s">
        <v>81</v>
      </c>
      <c r="AL31" s="18" t="s">
        <v>100</v>
      </c>
      <c r="AM31" s="18" t="s">
        <v>109</v>
      </c>
      <c r="AN31" s="18" t="s">
        <v>122</v>
      </c>
      <c r="AO31" s="18" t="s">
        <v>198</v>
      </c>
      <c r="AP31" s="18" t="s">
        <v>238</v>
      </c>
      <c r="AQ31" s="18"/>
      <c r="AR31" s="18">
        <v>0</v>
      </c>
      <c r="AS31" s="18">
        <v>0</v>
      </c>
      <c r="AT31" s="18">
        <v>0</v>
      </c>
      <c r="AU31" s="18">
        <v>1</v>
      </c>
      <c r="AV31" s="18">
        <v>0</v>
      </c>
      <c r="AW31" s="18">
        <v>1</v>
      </c>
      <c r="AX31" s="49">
        <f t="shared" si="0"/>
        <v>0</v>
      </c>
      <c r="AY31" s="49">
        <v>4</v>
      </c>
      <c r="AZ31" s="50">
        <f t="shared" si="1"/>
        <v>4</v>
      </c>
      <c r="BA31" s="49">
        <v>1</v>
      </c>
      <c r="BB31" s="49">
        <v>15</v>
      </c>
      <c r="BC31" s="67">
        <v>1.5</v>
      </c>
      <c r="BD31" s="67">
        <v>4</v>
      </c>
      <c r="BE31" s="67">
        <f t="shared" si="2"/>
        <v>5</v>
      </c>
      <c r="BF31" s="67">
        <f t="shared" si="3"/>
        <v>0</v>
      </c>
      <c r="BG31" s="67">
        <v>0</v>
      </c>
      <c r="BH31" s="67">
        <v>1</v>
      </c>
      <c r="BI31" s="67">
        <v>0</v>
      </c>
      <c r="BJ31" s="67">
        <v>0</v>
      </c>
      <c r="BK31" s="67">
        <v>0</v>
      </c>
      <c r="BL31" s="67">
        <v>10</v>
      </c>
      <c r="BM31" s="67">
        <f t="shared" si="4"/>
        <v>20</v>
      </c>
      <c r="BN31" s="18">
        <f t="shared" si="5"/>
        <v>24</v>
      </c>
      <c r="BO31" s="18"/>
      <c r="BP31" s="18"/>
      <c r="BQ31" s="1"/>
    </row>
    <row r="32" spans="1:172" x14ac:dyDescent="0.25">
      <c r="A32" s="18" t="s">
        <v>6</v>
      </c>
      <c r="B32" s="18">
        <v>2024</v>
      </c>
      <c r="C32" s="18" t="s">
        <v>138</v>
      </c>
      <c r="D32" s="18" t="s">
        <v>245</v>
      </c>
      <c r="E32" s="18">
        <v>40</v>
      </c>
      <c r="F32" s="18">
        <v>40</v>
      </c>
      <c r="G32" s="18" t="s">
        <v>153</v>
      </c>
      <c r="H32" s="18" t="s">
        <v>153</v>
      </c>
      <c r="I32" s="18" t="s">
        <v>293</v>
      </c>
      <c r="J32" s="4">
        <v>27</v>
      </c>
      <c r="K32" s="4">
        <v>27.5</v>
      </c>
      <c r="L32" s="4">
        <v>0.5</v>
      </c>
      <c r="M32" s="5">
        <v>0.42</v>
      </c>
      <c r="N32" s="31">
        <v>0.21</v>
      </c>
      <c r="O32" s="31">
        <v>0.21</v>
      </c>
      <c r="P32" s="31">
        <v>210</v>
      </c>
      <c r="Q32" s="31">
        <v>1</v>
      </c>
      <c r="R32" s="31">
        <v>0.21</v>
      </c>
      <c r="S32" s="31">
        <v>0</v>
      </c>
      <c r="T32" s="65">
        <v>0</v>
      </c>
      <c r="U32" s="31">
        <v>5</v>
      </c>
      <c r="V32" s="31"/>
      <c r="W32" s="31">
        <v>5</v>
      </c>
      <c r="X32" s="4">
        <v>42</v>
      </c>
      <c r="Y32" s="18">
        <v>0</v>
      </c>
      <c r="Z32" s="18" t="s">
        <v>96</v>
      </c>
      <c r="AA32" s="18" t="s">
        <v>116</v>
      </c>
      <c r="AB32" s="18" t="s">
        <v>334</v>
      </c>
      <c r="AC32" s="18">
        <v>1</v>
      </c>
      <c r="AD32" s="18">
        <v>210</v>
      </c>
      <c r="AE32" s="18" t="s">
        <v>27</v>
      </c>
      <c r="AF32" s="18" t="s">
        <v>239</v>
      </c>
      <c r="AG32" s="18" t="s">
        <v>239</v>
      </c>
      <c r="AH32" s="18">
        <v>17</v>
      </c>
      <c r="AI32" s="18"/>
      <c r="AJ32" s="18" t="s">
        <v>69</v>
      </c>
      <c r="AK32" s="18" t="s">
        <v>81</v>
      </c>
      <c r="AL32" s="18" t="s">
        <v>100</v>
      </c>
      <c r="AM32" s="18" t="s">
        <v>109</v>
      </c>
      <c r="AN32" s="18" t="s">
        <v>122</v>
      </c>
      <c r="AO32" s="18" t="s">
        <v>198</v>
      </c>
      <c r="AP32" s="18" t="s">
        <v>238</v>
      </c>
      <c r="AQ32" s="18"/>
      <c r="AR32" s="18">
        <v>0</v>
      </c>
      <c r="AS32" s="18">
        <v>0</v>
      </c>
      <c r="AT32" s="18">
        <v>0</v>
      </c>
      <c r="AU32" s="18">
        <v>1</v>
      </c>
      <c r="AV32" s="18">
        <v>0</v>
      </c>
      <c r="AW32" s="18">
        <v>1</v>
      </c>
      <c r="AX32" s="49">
        <f t="shared" si="0"/>
        <v>0</v>
      </c>
      <c r="AY32" s="49">
        <v>4</v>
      </c>
      <c r="AZ32" s="50">
        <f t="shared" si="1"/>
        <v>5</v>
      </c>
      <c r="BA32" s="49">
        <v>1</v>
      </c>
      <c r="BB32" s="49">
        <v>15</v>
      </c>
      <c r="BC32" s="67">
        <v>1.5</v>
      </c>
      <c r="BD32" s="67">
        <v>4</v>
      </c>
      <c r="BE32" s="67">
        <f t="shared" si="2"/>
        <v>5</v>
      </c>
      <c r="BF32" s="67">
        <f t="shared" si="3"/>
        <v>0</v>
      </c>
      <c r="BG32" s="67">
        <v>0</v>
      </c>
      <c r="BH32" s="67">
        <v>1</v>
      </c>
      <c r="BI32" s="67">
        <v>0</v>
      </c>
      <c r="BJ32" s="67">
        <v>0</v>
      </c>
      <c r="BK32" s="67">
        <v>0</v>
      </c>
      <c r="BL32" s="67">
        <v>10</v>
      </c>
      <c r="BM32" s="67">
        <f t="shared" si="4"/>
        <v>20</v>
      </c>
      <c r="BN32" s="18">
        <f t="shared" si="5"/>
        <v>25</v>
      </c>
      <c r="BO32" s="18"/>
      <c r="BP32" s="18"/>
      <c r="BQ32" s="1"/>
    </row>
    <row r="33" spans="1:95" ht="15.75" thickBot="1" x14ac:dyDescent="0.3">
      <c r="A33" s="18" t="s">
        <v>6</v>
      </c>
      <c r="B33" s="18">
        <v>2024</v>
      </c>
      <c r="C33" s="18" t="s">
        <v>138</v>
      </c>
      <c r="D33" s="18" t="s">
        <v>245</v>
      </c>
      <c r="E33" s="18">
        <v>40</v>
      </c>
      <c r="F33" s="18">
        <v>40</v>
      </c>
      <c r="G33" s="18" t="s">
        <v>153</v>
      </c>
      <c r="H33" s="18" t="s">
        <v>153</v>
      </c>
      <c r="I33" s="18" t="s">
        <v>293</v>
      </c>
      <c r="J33" s="4">
        <v>27.5</v>
      </c>
      <c r="K33" s="4">
        <v>28</v>
      </c>
      <c r="L33" s="4">
        <v>0.5</v>
      </c>
      <c r="M33" s="5">
        <v>0.4</v>
      </c>
      <c r="N33" s="31">
        <v>0.2</v>
      </c>
      <c r="O33" s="31">
        <v>0.2</v>
      </c>
      <c r="P33" s="31">
        <v>200</v>
      </c>
      <c r="Q33" s="31">
        <v>1</v>
      </c>
      <c r="R33" s="84">
        <v>0.2</v>
      </c>
      <c r="S33" s="31">
        <v>0</v>
      </c>
      <c r="T33" s="65">
        <v>0</v>
      </c>
      <c r="U33" s="31">
        <v>10</v>
      </c>
      <c r="V33" s="31"/>
      <c r="W33" s="31">
        <v>10</v>
      </c>
      <c r="X33" s="4">
        <v>20</v>
      </c>
      <c r="Y33" s="18">
        <v>0</v>
      </c>
      <c r="Z33" s="18" t="s">
        <v>96</v>
      </c>
      <c r="AA33" s="18" t="s">
        <v>116</v>
      </c>
      <c r="AB33" s="18" t="s">
        <v>334</v>
      </c>
      <c r="AC33" s="18">
        <v>1</v>
      </c>
      <c r="AD33" s="18">
        <v>200</v>
      </c>
      <c r="AE33" s="18" t="s">
        <v>27</v>
      </c>
      <c r="AF33" s="18" t="s">
        <v>239</v>
      </c>
      <c r="AG33" s="18" t="s">
        <v>239</v>
      </c>
      <c r="AH33" s="18">
        <v>17</v>
      </c>
      <c r="AI33" s="18"/>
      <c r="AJ33" s="18" t="s">
        <v>69</v>
      </c>
      <c r="AK33" s="18" t="s">
        <v>81</v>
      </c>
      <c r="AL33" s="18" t="s">
        <v>100</v>
      </c>
      <c r="AM33" s="18" t="s">
        <v>109</v>
      </c>
      <c r="AN33" s="18" t="s">
        <v>122</v>
      </c>
      <c r="AO33" s="18" t="s">
        <v>198</v>
      </c>
      <c r="AP33" s="18" t="s">
        <v>238</v>
      </c>
      <c r="AQ33" s="18"/>
      <c r="AR33" s="18">
        <v>0</v>
      </c>
      <c r="AS33" s="18">
        <v>0</v>
      </c>
      <c r="AT33" s="18">
        <v>0</v>
      </c>
      <c r="AU33" s="18">
        <v>1</v>
      </c>
      <c r="AV33" s="18">
        <v>0</v>
      </c>
      <c r="AW33" s="18">
        <v>1</v>
      </c>
      <c r="AX33" s="49">
        <f t="shared" si="0"/>
        <v>0</v>
      </c>
      <c r="AY33" s="49">
        <v>4</v>
      </c>
      <c r="AZ33" s="50">
        <f t="shared" si="1"/>
        <v>4</v>
      </c>
      <c r="BA33" s="49">
        <v>1</v>
      </c>
      <c r="BB33" s="49">
        <v>15</v>
      </c>
      <c r="BC33" s="67">
        <v>1.5</v>
      </c>
      <c r="BD33" s="67">
        <v>4</v>
      </c>
      <c r="BE33" s="67">
        <f t="shared" si="2"/>
        <v>5</v>
      </c>
      <c r="BF33" s="67">
        <f t="shared" si="3"/>
        <v>0</v>
      </c>
      <c r="BG33" s="67">
        <v>0</v>
      </c>
      <c r="BH33" s="67">
        <v>1</v>
      </c>
      <c r="BI33" s="67">
        <v>0</v>
      </c>
      <c r="BJ33" s="67">
        <v>0</v>
      </c>
      <c r="BK33" s="67">
        <v>0</v>
      </c>
      <c r="BL33" s="67">
        <v>10</v>
      </c>
      <c r="BM33" s="67">
        <f t="shared" si="4"/>
        <v>20</v>
      </c>
      <c r="BN33" s="18">
        <f t="shared" si="5"/>
        <v>24</v>
      </c>
      <c r="BO33" s="18"/>
      <c r="BP33" s="18"/>
      <c r="BQ33" s="1"/>
    </row>
    <row r="34" spans="1:95" ht="15.75" thickBot="1" x14ac:dyDescent="0.3">
      <c r="A34" s="18" t="s">
        <v>6</v>
      </c>
      <c r="B34" s="18">
        <v>2024</v>
      </c>
      <c r="C34" s="18" t="s">
        <v>138</v>
      </c>
      <c r="D34" s="18" t="s">
        <v>245</v>
      </c>
      <c r="E34" s="18">
        <v>40</v>
      </c>
      <c r="F34" s="18">
        <v>40</v>
      </c>
      <c r="G34" s="18" t="s">
        <v>153</v>
      </c>
      <c r="H34" s="18" t="s">
        <v>153</v>
      </c>
      <c r="I34" s="18" t="s">
        <v>293</v>
      </c>
      <c r="J34" s="4">
        <v>28</v>
      </c>
      <c r="K34" s="4">
        <v>28.5</v>
      </c>
      <c r="L34" s="4">
        <v>0.5</v>
      </c>
      <c r="M34" s="5">
        <v>0</v>
      </c>
      <c r="N34" s="31">
        <v>0</v>
      </c>
      <c r="O34" s="31">
        <v>0</v>
      </c>
      <c r="P34" s="31" t="s">
        <v>348</v>
      </c>
      <c r="Q34" s="31">
        <v>1</v>
      </c>
      <c r="R34" s="31">
        <v>0.5</v>
      </c>
      <c r="S34" s="31">
        <v>0</v>
      </c>
      <c r="T34" s="65">
        <v>0</v>
      </c>
      <c r="U34" s="31">
        <v>10</v>
      </c>
      <c r="V34" s="31"/>
      <c r="W34" s="31">
        <v>10</v>
      </c>
      <c r="X34" s="4"/>
      <c r="Y34" s="18">
        <v>0</v>
      </c>
      <c r="Z34" s="18" t="s">
        <v>96</v>
      </c>
      <c r="AA34" s="18" t="s">
        <v>116</v>
      </c>
      <c r="AB34" s="18" t="s">
        <v>334</v>
      </c>
      <c r="AC34" s="18">
        <v>1</v>
      </c>
      <c r="AD34" s="18" t="s">
        <v>348</v>
      </c>
      <c r="AE34" s="18" t="s">
        <v>27</v>
      </c>
      <c r="AF34" s="18" t="s">
        <v>239</v>
      </c>
      <c r="AG34" s="18" t="s">
        <v>239</v>
      </c>
      <c r="AH34" s="18">
        <v>17</v>
      </c>
      <c r="AI34" s="18"/>
      <c r="AJ34" s="18" t="s">
        <v>69</v>
      </c>
      <c r="AK34" s="18" t="s">
        <v>81</v>
      </c>
      <c r="AL34" s="18" t="s">
        <v>100</v>
      </c>
      <c r="AM34" s="18" t="s">
        <v>109</v>
      </c>
      <c r="AN34" s="18" t="s">
        <v>122</v>
      </c>
      <c r="AO34" s="18" t="s">
        <v>198</v>
      </c>
      <c r="AP34" s="18" t="s">
        <v>238</v>
      </c>
      <c r="AQ34" s="18"/>
      <c r="AR34" s="18">
        <v>0</v>
      </c>
      <c r="AS34" s="18">
        <v>0</v>
      </c>
      <c r="AT34" s="18">
        <v>0</v>
      </c>
      <c r="AU34" s="18">
        <v>1</v>
      </c>
      <c r="AV34" s="18">
        <v>0</v>
      </c>
      <c r="AW34" s="18">
        <v>1</v>
      </c>
      <c r="AX34" s="49">
        <f t="shared" si="0"/>
        <v>0</v>
      </c>
      <c r="AY34" s="49">
        <v>4</v>
      </c>
      <c r="AZ34" s="50">
        <f t="shared" si="1"/>
        <v>0</v>
      </c>
      <c r="BA34" s="49">
        <v>1</v>
      </c>
      <c r="BB34" s="49">
        <v>15</v>
      </c>
      <c r="BC34" s="67">
        <v>1.5</v>
      </c>
      <c r="BD34" s="67">
        <v>4</v>
      </c>
      <c r="BE34" s="67">
        <f t="shared" si="2"/>
        <v>5</v>
      </c>
      <c r="BF34" s="67">
        <f t="shared" si="3"/>
        <v>0</v>
      </c>
      <c r="BG34" s="67">
        <v>0</v>
      </c>
      <c r="BH34" s="67">
        <v>1</v>
      </c>
      <c r="BI34" s="67">
        <v>0</v>
      </c>
      <c r="BJ34" s="67">
        <v>0</v>
      </c>
      <c r="BK34" s="67">
        <v>0</v>
      </c>
      <c r="BL34" s="67">
        <v>10</v>
      </c>
      <c r="BM34" s="67">
        <f t="shared" si="4"/>
        <v>20</v>
      </c>
      <c r="BN34" s="18">
        <f t="shared" si="5"/>
        <v>20</v>
      </c>
      <c r="BO34" s="18"/>
      <c r="BP34" s="18"/>
      <c r="BQ34" s="1"/>
      <c r="BR34" s="157"/>
      <c r="BS34" s="138"/>
      <c r="BT34" s="139"/>
      <c r="CB34" s="96" t="s">
        <v>287</v>
      </c>
      <c r="CC34" s="96" t="s">
        <v>288</v>
      </c>
      <c r="CD34" s="96" t="s">
        <v>582</v>
      </c>
      <c r="CE34" s="96" t="s">
        <v>287</v>
      </c>
      <c r="CF34" s="96" t="s">
        <v>288</v>
      </c>
      <c r="CG34" s="96" t="s">
        <v>582</v>
      </c>
      <c r="CH34" s="39" t="s">
        <v>583</v>
      </c>
      <c r="CN34" s="80" t="s">
        <v>14</v>
      </c>
      <c r="CO34" s="80" t="s">
        <v>15</v>
      </c>
      <c r="CP34" s="81" t="s">
        <v>16</v>
      </c>
      <c r="CQ34" s="80" t="s">
        <v>17</v>
      </c>
    </row>
    <row r="35" spans="1:95" x14ac:dyDescent="0.25">
      <c r="A35" s="18" t="s">
        <v>6</v>
      </c>
      <c r="B35" s="18">
        <v>2024</v>
      </c>
      <c r="C35" s="18" t="s">
        <v>138</v>
      </c>
      <c r="D35" s="18" t="s">
        <v>245</v>
      </c>
      <c r="E35" s="18">
        <v>40</v>
      </c>
      <c r="F35" s="18">
        <v>40</v>
      </c>
      <c r="G35" s="18" t="s">
        <v>153</v>
      </c>
      <c r="H35" s="18" t="s">
        <v>153</v>
      </c>
      <c r="I35" s="18" t="s">
        <v>293</v>
      </c>
      <c r="J35" s="4">
        <v>28.5</v>
      </c>
      <c r="K35" s="4">
        <v>29</v>
      </c>
      <c r="L35" s="4">
        <v>0.5</v>
      </c>
      <c r="M35" s="5">
        <v>0.26</v>
      </c>
      <c r="N35" s="31">
        <v>0.13</v>
      </c>
      <c r="O35" s="31">
        <v>0.13</v>
      </c>
      <c r="P35" s="31">
        <v>26</v>
      </c>
      <c r="Q35" s="31">
        <v>5</v>
      </c>
      <c r="R35" s="31">
        <v>0.13</v>
      </c>
      <c r="S35" s="31">
        <v>0</v>
      </c>
      <c r="T35" s="65">
        <v>0</v>
      </c>
      <c r="U35" s="31">
        <v>10</v>
      </c>
      <c r="V35" s="31"/>
      <c r="W35" s="31">
        <v>10</v>
      </c>
      <c r="X35" s="4">
        <v>13</v>
      </c>
      <c r="Y35" s="18">
        <v>0</v>
      </c>
      <c r="Z35" s="18" t="s">
        <v>96</v>
      </c>
      <c r="AA35" s="18" t="s">
        <v>118</v>
      </c>
      <c r="AB35" s="18" t="s">
        <v>334</v>
      </c>
      <c r="AC35" s="18">
        <v>5</v>
      </c>
      <c r="AD35" s="18">
        <v>26</v>
      </c>
      <c r="AE35" s="18" t="s">
        <v>27</v>
      </c>
      <c r="AF35" s="18" t="s">
        <v>239</v>
      </c>
      <c r="AG35" s="18" t="s">
        <v>239</v>
      </c>
      <c r="AH35" s="18">
        <v>17</v>
      </c>
      <c r="AI35" s="18"/>
      <c r="AJ35" s="18" t="s">
        <v>69</v>
      </c>
      <c r="AK35" s="18" t="s">
        <v>81</v>
      </c>
      <c r="AL35" s="18" t="s">
        <v>100</v>
      </c>
      <c r="AM35" s="18" t="s">
        <v>109</v>
      </c>
      <c r="AN35" s="18" t="s">
        <v>122</v>
      </c>
      <c r="AO35" s="18" t="s">
        <v>198</v>
      </c>
      <c r="AP35" s="18" t="s">
        <v>238</v>
      </c>
      <c r="AQ35" s="18"/>
      <c r="AR35" s="18">
        <v>0</v>
      </c>
      <c r="AS35" s="18">
        <v>0</v>
      </c>
      <c r="AT35" s="18">
        <v>0</v>
      </c>
      <c r="AU35" s="18">
        <v>1</v>
      </c>
      <c r="AV35" s="18">
        <v>0</v>
      </c>
      <c r="AW35" s="18">
        <v>1</v>
      </c>
      <c r="AX35" s="49">
        <f t="shared" si="0"/>
        <v>0</v>
      </c>
      <c r="AY35" s="49">
        <v>4</v>
      </c>
      <c r="AZ35" s="50">
        <f t="shared" si="1"/>
        <v>4</v>
      </c>
      <c r="BA35" s="49">
        <v>1</v>
      </c>
      <c r="BB35" s="49">
        <v>15</v>
      </c>
      <c r="BC35" s="67">
        <v>1.5</v>
      </c>
      <c r="BD35" s="67">
        <v>4</v>
      </c>
      <c r="BE35" s="67">
        <f t="shared" si="2"/>
        <v>5</v>
      </c>
      <c r="BF35" s="67">
        <f t="shared" si="3"/>
        <v>0</v>
      </c>
      <c r="BG35" s="67">
        <v>0</v>
      </c>
      <c r="BH35" s="67">
        <v>1</v>
      </c>
      <c r="BI35" s="67">
        <v>0</v>
      </c>
      <c r="BJ35" s="67">
        <v>0</v>
      </c>
      <c r="BK35" s="67">
        <v>0</v>
      </c>
      <c r="BL35" s="67">
        <v>10</v>
      </c>
      <c r="BM35" s="67">
        <f t="shared" si="4"/>
        <v>20</v>
      </c>
      <c r="BN35" s="18">
        <f t="shared" si="5"/>
        <v>24</v>
      </c>
      <c r="BO35" s="18"/>
      <c r="BP35" s="18"/>
      <c r="BQ35" s="156"/>
      <c r="BR35" s="158" t="s">
        <v>634</v>
      </c>
      <c r="BS35" s="136"/>
      <c r="BT35" s="140"/>
      <c r="BV35" s="80" t="s">
        <v>14</v>
      </c>
      <c r="BW35" s="80" t="s">
        <v>15</v>
      </c>
      <c r="BX35" s="81" t="s">
        <v>16</v>
      </c>
      <c r="BY35" s="80" t="s">
        <v>17</v>
      </c>
      <c r="CA35" t="s">
        <v>34</v>
      </c>
      <c r="CB35">
        <v>0</v>
      </c>
      <c r="CC35">
        <v>33</v>
      </c>
      <c r="CD35" s="55">
        <v>0.22147651006711411</v>
      </c>
      <c r="CE35">
        <v>4</v>
      </c>
      <c r="CF35">
        <v>52</v>
      </c>
      <c r="CG35" s="55">
        <v>0.34899328859060402</v>
      </c>
      <c r="CH35" s="42">
        <f>+CC35/$CC$43</f>
        <v>0.22147651006711411</v>
      </c>
      <c r="CN35" s="61" t="s">
        <v>19</v>
      </c>
      <c r="CO35" s="62" t="s">
        <v>20</v>
      </c>
      <c r="CP35" s="61">
        <v>15</v>
      </c>
      <c r="CQ35" s="75">
        <v>15</v>
      </c>
    </row>
    <row r="36" spans="1:95" x14ac:dyDescent="0.25">
      <c r="A36" s="18" t="s">
        <v>6</v>
      </c>
      <c r="B36" s="18">
        <v>2024</v>
      </c>
      <c r="C36" s="18" t="s">
        <v>138</v>
      </c>
      <c r="D36" s="18" t="s">
        <v>245</v>
      </c>
      <c r="E36" s="18">
        <v>40</v>
      </c>
      <c r="F36" s="18">
        <v>40</v>
      </c>
      <c r="G36" s="18" t="s">
        <v>153</v>
      </c>
      <c r="H36" s="18" t="s">
        <v>153</v>
      </c>
      <c r="I36" s="18" t="s">
        <v>293</v>
      </c>
      <c r="J36" s="4">
        <v>29</v>
      </c>
      <c r="K36" s="4">
        <v>29.5</v>
      </c>
      <c r="L36" s="4">
        <v>0.5</v>
      </c>
      <c r="M36" s="5">
        <v>0.34</v>
      </c>
      <c r="N36" s="31">
        <v>0.17</v>
      </c>
      <c r="O36" s="31">
        <v>0.17</v>
      </c>
      <c r="P36" s="31">
        <v>170</v>
      </c>
      <c r="Q36" s="31">
        <v>1</v>
      </c>
      <c r="R36" s="31">
        <v>0.17</v>
      </c>
      <c r="S36" s="31">
        <v>0</v>
      </c>
      <c r="T36" s="65">
        <v>0</v>
      </c>
      <c r="U36" s="31">
        <v>10</v>
      </c>
      <c r="V36" s="31"/>
      <c r="W36" s="31">
        <v>10</v>
      </c>
      <c r="X36" s="4">
        <v>17</v>
      </c>
      <c r="Y36" s="18">
        <v>0</v>
      </c>
      <c r="Z36" s="18" t="s">
        <v>96</v>
      </c>
      <c r="AA36" s="18" t="s">
        <v>116</v>
      </c>
      <c r="AB36" s="18" t="s">
        <v>334</v>
      </c>
      <c r="AC36" s="18">
        <v>1</v>
      </c>
      <c r="AD36" s="18">
        <v>170</v>
      </c>
      <c r="AE36" s="18" t="s">
        <v>27</v>
      </c>
      <c r="AF36" s="18" t="s">
        <v>239</v>
      </c>
      <c r="AG36" s="18" t="s">
        <v>239</v>
      </c>
      <c r="AH36" s="18">
        <v>17</v>
      </c>
      <c r="AI36" s="18"/>
      <c r="AJ36" s="18" t="s">
        <v>69</v>
      </c>
      <c r="AK36" s="18" t="s">
        <v>81</v>
      </c>
      <c r="AL36" s="18" t="s">
        <v>100</v>
      </c>
      <c r="AM36" s="18" t="s">
        <v>109</v>
      </c>
      <c r="AN36" s="18" t="s">
        <v>122</v>
      </c>
      <c r="AO36" s="18" t="s">
        <v>198</v>
      </c>
      <c r="AP36" s="18"/>
      <c r="AQ36" s="18"/>
      <c r="AR36" s="18">
        <v>0</v>
      </c>
      <c r="AS36" s="18">
        <v>0</v>
      </c>
      <c r="AT36" s="18">
        <v>0</v>
      </c>
      <c r="AU36" s="18">
        <v>1</v>
      </c>
      <c r="AV36" s="18">
        <v>0</v>
      </c>
      <c r="AW36" s="18">
        <v>1</v>
      </c>
      <c r="AX36" s="49">
        <f t="shared" si="0"/>
        <v>0</v>
      </c>
      <c r="AY36" s="49">
        <v>4</v>
      </c>
      <c r="AZ36" s="50">
        <f t="shared" si="1"/>
        <v>4</v>
      </c>
      <c r="BA36" s="49">
        <v>1</v>
      </c>
      <c r="BB36" s="49">
        <v>15</v>
      </c>
      <c r="BC36" s="67">
        <v>1.5</v>
      </c>
      <c r="BD36" s="67">
        <v>4</v>
      </c>
      <c r="BE36" s="67">
        <f t="shared" si="2"/>
        <v>5</v>
      </c>
      <c r="BF36" s="67">
        <f t="shared" si="3"/>
        <v>0</v>
      </c>
      <c r="BG36" s="67">
        <v>0</v>
      </c>
      <c r="BH36" s="67">
        <v>1</v>
      </c>
      <c r="BI36" s="67">
        <v>0</v>
      </c>
      <c r="BJ36" s="67">
        <v>0</v>
      </c>
      <c r="BK36" s="67">
        <v>0</v>
      </c>
      <c r="BL36" s="67">
        <v>10</v>
      </c>
      <c r="BM36" s="67">
        <f t="shared" si="4"/>
        <v>20</v>
      </c>
      <c r="BN36" s="18">
        <f t="shared" si="5"/>
        <v>24</v>
      </c>
      <c r="BO36" s="18"/>
      <c r="BP36" s="18"/>
      <c r="BQ36" s="1"/>
      <c r="BR36" s="159"/>
      <c r="BS36" s="98"/>
      <c r="BT36" s="140"/>
      <c r="BV36" s="61" t="s">
        <v>19</v>
      </c>
      <c r="BW36" s="62" t="s">
        <v>20</v>
      </c>
      <c r="BX36" s="61">
        <v>15</v>
      </c>
      <c r="BY36" s="75">
        <v>15</v>
      </c>
      <c r="CA36" t="s">
        <v>32</v>
      </c>
      <c r="CB36">
        <v>1</v>
      </c>
      <c r="CC36">
        <v>32</v>
      </c>
      <c r="CD36" s="55">
        <v>0.43624161073825501</v>
      </c>
      <c r="CE36">
        <v>0</v>
      </c>
      <c r="CF36">
        <v>33</v>
      </c>
      <c r="CG36" s="55">
        <v>0.57046979865771807</v>
      </c>
      <c r="CH36" s="42">
        <f t="shared" ref="CH36:CH41" si="12">+CC36/$CC$43</f>
        <v>0.21476510067114093</v>
      </c>
      <c r="CN36" s="61" t="s">
        <v>22</v>
      </c>
      <c r="CO36" s="62" t="s">
        <v>23</v>
      </c>
      <c r="CP36" s="61">
        <v>12</v>
      </c>
      <c r="CQ36" s="75">
        <v>14</v>
      </c>
    </row>
    <row r="37" spans="1:95" x14ac:dyDescent="0.25">
      <c r="A37" s="18" t="s">
        <v>6</v>
      </c>
      <c r="B37" s="18">
        <v>2024</v>
      </c>
      <c r="C37" s="18" t="s">
        <v>138</v>
      </c>
      <c r="D37" s="18" t="s">
        <v>245</v>
      </c>
      <c r="E37" s="18">
        <v>40</v>
      </c>
      <c r="F37" s="18">
        <v>40</v>
      </c>
      <c r="G37" s="18" t="s">
        <v>153</v>
      </c>
      <c r="H37" s="18" t="s">
        <v>153</v>
      </c>
      <c r="I37" s="18" t="s">
        <v>293</v>
      </c>
      <c r="J37" s="4">
        <v>29.5</v>
      </c>
      <c r="K37" s="4">
        <v>30</v>
      </c>
      <c r="L37" s="4">
        <v>0.5</v>
      </c>
      <c r="M37" s="5">
        <v>0.36</v>
      </c>
      <c r="N37" s="31">
        <v>0.18</v>
      </c>
      <c r="O37" s="31">
        <v>0.18</v>
      </c>
      <c r="P37" s="31">
        <v>36</v>
      </c>
      <c r="Q37" s="31">
        <v>5</v>
      </c>
      <c r="R37" s="31">
        <v>0.16</v>
      </c>
      <c r="S37" s="31">
        <v>0</v>
      </c>
      <c r="T37" s="65">
        <v>0</v>
      </c>
      <c r="U37" s="31">
        <v>10</v>
      </c>
      <c r="V37" s="31"/>
      <c r="W37" s="31">
        <v>10</v>
      </c>
      <c r="X37" s="4">
        <v>16</v>
      </c>
      <c r="Y37" s="18">
        <v>0</v>
      </c>
      <c r="Z37" s="18" t="s">
        <v>96</v>
      </c>
      <c r="AA37" s="18" t="s">
        <v>118</v>
      </c>
      <c r="AB37" s="18" t="s">
        <v>334</v>
      </c>
      <c r="AC37" s="18">
        <v>5</v>
      </c>
      <c r="AD37" s="18">
        <v>36</v>
      </c>
      <c r="AE37" s="18" t="s">
        <v>27</v>
      </c>
      <c r="AF37" s="18" t="s">
        <v>239</v>
      </c>
      <c r="AG37" s="18" t="s">
        <v>239</v>
      </c>
      <c r="AH37" s="18">
        <v>17</v>
      </c>
      <c r="AI37" s="18"/>
      <c r="AJ37" s="18" t="s">
        <v>69</v>
      </c>
      <c r="AK37" s="18" t="s">
        <v>81</v>
      </c>
      <c r="AL37" s="18" t="s">
        <v>100</v>
      </c>
      <c r="AM37" s="18" t="s">
        <v>109</v>
      </c>
      <c r="AN37" s="18" t="s">
        <v>122</v>
      </c>
      <c r="AO37" s="18" t="s">
        <v>198</v>
      </c>
      <c r="AP37" s="18"/>
      <c r="AQ37" s="18"/>
      <c r="AR37" s="18">
        <v>0</v>
      </c>
      <c r="AS37" s="18">
        <v>0</v>
      </c>
      <c r="AT37" s="18">
        <v>0</v>
      </c>
      <c r="AU37" s="18">
        <v>1</v>
      </c>
      <c r="AV37" s="18">
        <v>0</v>
      </c>
      <c r="AW37" s="18">
        <v>1</v>
      </c>
      <c r="AX37" s="49">
        <f t="shared" si="0"/>
        <v>0</v>
      </c>
      <c r="AY37" s="49">
        <v>4</v>
      </c>
      <c r="AZ37" s="50">
        <f t="shared" si="1"/>
        <v>4</v>
      </c>
      <c r="BA37" s="49">
        <v>1</v>
      </c>
      <c r="BB37" s="49">
        <v>15</v>
      </c>
      <c r="BC37" s="67">
        <v>1.5</v>
      </c>
      <c r="BD37" s="67">
        <v>4</v>
      </c>
      <c r="BE37" s="67">
        <f t="shared" si="2"/>
        <v>5</v>
      </c>
      <c r="BF37" s="67">
        <f t="shared" si="3"/>
        <v>0</v>
      </c>
      <c r="BG37" s="67">
        <v>0</v>
      </c>
      <c r="BH37" s="67">
        <v>1</v>
      </c>
      <c r="BI37" s="67">
        <v>0</v>
      </c>
      <c r="BJ37" s="67">
        <v>0</v>
      </c>
      <c r="BK37" s="67">
        <v>0</v>
      </c>
      <c r="BL37" s="67">
        <v>10</v>
      </c>
      <c r="BM37" s="67">
        <f t="shared" si="4"/>
        <v>20</v>
      </c>
      <c r="BN37" s="18">
        <f t="shared" si="5"/>
        <v>24</v>
      </c>
      <c r="BO37" s="18"/>
      <c r="BP37" s="18"/>
      <c r="BQ37" s="1"/>
      <c r="BR37" s="159" t="s">
        <v>307</v>
      </c>
      <c r="BS37" s="98">
        <v>2.0402684563758391</v>
      </c>
      <c r="BT37" s="140"/>
      <c r="BV37" s="61" t="s">
        <v>22</v>
      </c>
      <c r="BW37" s="62" t="s">
        <v>23</v>
      </c>
      <c r="BX37" s="61">
        <v>12</v>
      </c>
      <c r="BY37" s="75">
        <v>14</v>
      </c>
      <c r="CA37" t="s">
        <v>29</v>
      </c>
      <c r="CB37">
        <v>2</v>
      </c>
      <c r="CC37">
        <v>32</v>
      </c>
      <c r="CD37" s="55">
        <v>0.65100671140939592</v>
      </c>
      <c r="CE37">
        <v>1</v>
      </c>
      <c r="CF37">
        <v>32</v>
      </c>
      <c r="CG37" s="55">
        <v>0.78523489932885904</v>
      </c>
      <c r="CH37" s="42">
        <f t="shared" si="12"/>
        <v>0.21476510067114093</v>
      </c>
      <c r="CN37" s="61" t="s">
        <v>24</v>
      </c>
      <c r="CO37" s="62" t="s">
        <v>25</v>
      </c>
      <c r="CP37" s="61">
        <v>7</v>
      </c>
      <c r="CQ37" s="75">
        <v>7</v>
      </c>
    </row>
    <row r="38" spans="1:95" x14ac:dyDescent="0.25">
      <c r="A38" s="18" t="s">
        <v>6</v>
      </c>
      <c r="B38" s="18">
        <v>2024</v>
      </c>
      <c r="C38" s="18" t="s">
        <v>138</v>
      </c>
      <c r="D38" s="18" t="s">
        <v>245</v>
      </c>
      <c r="E38" s="18">
        <v>40</v>
      </c>
      <c r="F38" s="18">
        <v>40</v>
      </c>
      <c r="G38" s="18" t="s">
        <v>153</v>
      </c>
      <c r="H38" s="18" t="s">
        <v>153</v>
      </c>
      <c r="I38" s="18" t="s">
        <v>293</v>
      </c>
      <c r="J38" s="4">
        <v>30</v>
      </c>
      <c r="K38" s="4">
        <v>30.5</v>
      </c>
      <c r="L38" s="4">
        <v>0.5</v>
      </c>
      <c r="M38" s="5">
        <v>0.3</v>
      </c>
      <c r="N38" s="31">
        <v>0.15</v>
      </c>
      <c r="O38" s="31">
        <v>0.15</v>
      </c>
      <c r="P38" s="31">
        <v>7.5</v>
      </c>
      <c r="Q38" s="31">
        <v>20</v>
      </c>
      <c r="R38" s="31">
        <v>0.14000000000000001</v>
      </c>
      <c r="S38" s="31">
        <v>0</v>
      </c>
      <c r="T38" s="65">
        <v>0</v>
      </c>
      <c r="U38" s="31">
        <v>10</v>
      </c>
      <c r="V38" s="31"/>
      <c r="W38" s="31">
        <v>10</v>
      </c>
      <c r="X38" s="4">
        <v>14</v>
      </c>
      <c r="Y38" s="18">
        <v>0</v>
      </c>
      <c r="Z38" s="18" t="s">
        <v>96</v>
      </c>
      <c r="AA38" s="18" t="s">
        <v>333</v>
      </c>
      <c r="AB38" s="18" t="s">
        <v>337</v>
      </c>
      <c r="AC38" s="18">
        <v>20</v>
      </c>
      <c r="AD38" s="18">
        <v>7.5</v>
      </c>
      <c r="AE38" s="18" t="s">
        <v>29</v>
      </c>
      <c r="AF38" s="18" t="s">
        <v>239</v>
      </c>
      <c r="AG38" s="18" t="s">
        <v>239</v>
      </c>
      <c r="AH38" s="18">
        <v>17</v>
      </c>
      <c r="AI38" s="18"/>
      <c r="AJ38" s="18" t="s">
        <v>69</v>
      </c>
      <c r="AK38" s="18" t="s">
        <v>81</v>
      </c>
      <c r="AL38" s="18" t="s">
        <v>100</v>
      </c>
      <c r="AM38" s="18" t="s">
        <v>109</v>
      </c>
      <c r="AN38" s="18" t="s">
        <v>122</v>
      </c>
      <c r="AO38" s="18" t="s">
        <v>198</v>
      </c>
      <c r="AP38" s="18"/>
      <c r="AQ38" s="18"/>
      <c r="AR38" s="18">
        <v>0</v>
      </c>
      <c r="AS38" s="18">
        <v>0</v>
      </c>
      <c r="AT38" s="18">
        <v>0</v>
      </c>
      <c r="AU38" s="18">
        <v>1</v>
      </c>
      <c r="AV38" s="18">
        <v>0</v>
      </c>
      <c r="AW38" s="18">
        <v>1</v>
      </c>
      <c r="AX38" s="49">
        <f t="shared" si="0"/>
        <v>0</v>
      </c>
      <c r="AY38" s="49">
        <v>2</v>
      </c>
      <c r="AZ38" s="50">
        <f t="shared" si="1"/>
        <v>4</v>
      </c>
      <c r="BA38" s="49">
        <v>1</v>
      </c>
      <c r="BB38" s="49">
        <v>15</v>
      </c>
      <c r="BC38" s="67">
        <v>1.5</v>
      </c>
      <c r="BD38" s="67">
        <v>2</v>
      </c>
      <c r="BE38" s="67">
        <f t="shared" si="2"/>
        <v>5</v>
      </c>
      <c r="BF38" s="67">
        <f t="shared" si="3"/>
        <v>0</v>
      </c>
      <c r="BG38" s="67">
        <v>0</v>
      </c>
      <c r="BH38" s="67">
        <v>1</v>
      </c>
      <c r="BI38" s="67">
        <v>0</v>
      </c>
      <c r="BJ38" s="67">
        <v>0</v>
      </c>
      <c r="BK38" s="67">
        <v>0</v>
      </c>
      <c r="BL38" s="67">
        <v>10</v>
      </c>
      <c r="BM38" s="67">
        <f t="shared" si="4"/>
        <v>18</v>
      </c>
      <c r="BN38" s="18">
        <f t="shared" si="5"/>
        <v>22</v>
      </c>
      <c r="BO38" s="18"/>
      <c r="BP38" s="18"/>
      <c r="BQ38" s="1"/>
      <c r="BR38" s="159" t="s">
        <v>308</v>
      </c>
      <c r="BS38" s="98">
        <v>0.12983936923053518</v>
      </c>
      <c r="BT38" s="140"/>
      <c r="BV38" s="61" t="s">
        <v>24</v>
      </c>
      <c r="BW38" s="62" t="s">
        <v>25</v>
      </c>
      <c r="BX38" s="61">
        <v>7</v>
      </c>
      <c r="BY38" s="75">
        <v>7</v>
      </c>
      <c r="CA38" t="s">
        <v>27</v>
      </c>
      <c r="CB38">
        <v>4</v>
      </c>
      <c r="CC38">
        <v>52</v>
      </c>
      <c r="CD38" s="55">
        <v>1</v>
      </c>
      <c r="CE38">
        <v>2</v>
      </c>
      <c r="CF38">
        <v>32</v>
      </c>
      <c r="CG38" s="55">
        <v>1</v>
      </c>
      <c r="CH38" s="42">
        <f t="shared" si="12"/>
        <v>0.34899328859060402</v>
      </c>
      <c r="CN38" s="61" t="s">
        <v>27</v>
      </c>
      <c r="CO38" s="62" t="s">
        <v>28</v>
      </c>
      <c r="CP38" s="61">
        <v>4</v>
      </c>
      <c r="CQ38" s="75">
        <v>4</v>
      </c>
    </row>
    <row r="39" spans="1:95" x14ac:dyDescent="0.25">
      <c r="A39" s="18" t="s">
        <v>6</v>
      </c>
      <c r="B39" s="18">
        <v>2024</v>
      </c>
      <c r="C39" s="18" t="s">
        <v>138</v>
      </c>
      <c r="D39" s="18" t="s">
        <v>245</v>
      </c>
      <c r="E39" s="18">
        <v>40</v>
      </c>
      <c r="F39" s="18">
        <v>40</v>
      </c>
      <c r="G39" s="18" t="s">
        <v>153</v>
      </c>
      <c r="H39" s="18" t="s">
        <v>153</v>
      </c>
      <c r="I39" s="18" t="s">
        <v>293</v>
      </c>
      <c r="J39" s="4">
        <v>30.5</v>
      </c>
      <c r="K39" s="4">
        <v>31</v>
      </c>
      <c r="L39" s="4">
        <v>0.5</v>
      </c>
      <c r="M39" s="5">
        <v>0.36</v>
      </c>
      <c r="N39" s="31">
        <v>0.18</v>
      </c>
      <c r="O39" s="31">
        <v>0.18</v>
      </c>
      <c r="P39" s="31">
        <v>9</v>
      </c>
      <c r="Q39" s="31">
        <v>20</v>
      </c>
      <c r="R39" s="31">
        <v>0.17</v>
      </c>
      <c r="S39" s="31">
        <v>0</v>
      </c>
      <c r="T39" s="65">
        <v>0</v>
      </c>
      <c r="U39" s="31">
        <v>10</v>
      </c>
      <c r="V39" s="31"/>
      <c r="W39" s="31">
        <v>10</v>
      </c>
      <c r="X39" s="4">
        <v>17</v>
      </c>
      <c r="Y39" s="18">
        <v>0</v>
      </c>
      <c r="Z39" s="18" t="s">
        <v>96</v>
      </c>
      <c r="AA39" s="18" t="s">
        <v>333</v>
      </c>
      <c r="AB39" s="18" t="s">
        <v>337</v>
      </c>
      <c r="AC39" s="18">
        <v>20</v>
      </c>
      <c r="AD39" s="18">
        <v>9</v>
      </c>
      <c r="AE39" s="18" t="s">
        <v>29</v>
      </c>
      <c r="AF39" s="18" t="s">
        <v>239</v>
      </c>
      <c r="AG39" s="18" t="s">
        <v>239</v>
      </c>
      <c r="AH39" s="18">
        <v>17</v>
      </c>
      <c r="AI39" s="18"/>
      <c r="AJ39" s="18" t="s">
        <v>69</v>
      </c>
      <c r="AK39" s="18" t="s">
        <v>81</v>
      </c>
      <c r="AL39" s="18" t="s">
        <v>100</v>
      </c>
      <c r="AM39" s="18" t="s">
        <v>109</v>
      </c>
      <c r="AN39" s="18" t="s">
        <v>122</v>
      </c>
      <c r="AO39" s="18" t="s">
        <v>198</v>
      </c>
      <c r="AP39" s="18"/>
      <c r="AQ39" s="18"/>
      <c r="AR39" s="18">
        <v>0</v>
      </c>
      <c r="AS39" s="18">
        <v>0</v>
      </c>
      <c r="AT39" s="18">
        <v>0</v>
      </c>
      <c r="AU39" s="18">
        <v>1</v>
      </c>
      <c r="AV39" s="18">
        <v>0</v>
      </c>
      <c r="AW39" s="18">
        <v>1</v>
      </c>
      <c r="AX39" s="49">
        <f t="shared" si="0"/>
        <v>0</v>
      </c>
      <c r="AY39" s="49">
        <v>2</v>
      </c>
      <c r="AZ39" s="50">
        <f t="shared" si="1"/>
        <v>4</v>
      </c>
      <c r="BA39" s="49">
        <v>1</v>
      </c>
      <c r="BB39" s="49">
        <v>15</v>
      </c>
      <c r="BC39" s="67">
        <v>1.5</v>
      </c>
      <c r="BD39" s="67">
        <v>2</v>
      </c>
      <c r="BE39" s="67">
        <f t="shared" si="2"/>
        <v>5</v>
      </c>
      <c r="BF39" s="67">
        <f t="shared" si="3"/>
        <v>0</v>
      </c>
      <c r="BG39" s="67">
        <v>0</v>
      </c>
      <c r="BH39" s="67">
        <v>1</v>
      </c>
      <c r="BI39" s="67">
        <v>0</v>
      </c>
      <c r="BJ39" s="67">
        <v>0</v>
      </c>
      <c r="BK39" s="67">
        <v>0</v>
      </c>
      <c r="BL39" s="67">
        <v>10</v>
      </c>
      <c r="BM39" s="67">
        <f t="shared" si="4"/>
        <v>18</v>
      </c>
      <c r="BN39" s="18">
        <f t="shared" si="5"/>
        <v>22</v>
      </c>
      <c r="BO39" s="18"/>
      <c r="BP39" s="18"/>
      <c r="BQ39" s="1"/>
      <c r="BR39" s="159" t="s">
        <v>309</v>
      </c>
      <c r="BS39" s="98">
        <v>2</v>
      </c>
      <c r="BT39" s="140"/>
      <c r="BV39" s="61" t="s">
        <v>27</v>
      </c>
      <c r="BW39" s="62" t="s">
        <v>28</v>
      </c>
      <c r="BX39" s="61">
        <v>4</v>
      </c>
      <c r="BY39" s="75">
        <v>4</v>
      </c>
      <c r="CA39" t="s">
        <v>24</v>
      </c>
      <c r="CB39">
        <v>7</v>
      </c>
      <c r="CC39">
        <v>0</v>
      </c>
      <c r="CD39" s="55">
        <v>1</v>
      </c>
      <c r="CE39">
        <v>7</v>
      </c>
      <c r="CF39">
        <v>0</v>
      </c>
      <c r="CG39" s="55">
        <v>1</v>
      </c>
      <c r="CH39" s="42">
        <f t="shared" si="12"/>
        <v>0</v>
      </c>
      <c r="CN39" s="152" t="s">
        <v>29</v>
      </c>
      <c r="CO39" s="153" t="s">
        <v>30</v>
      </c>
      <c r="CP39" s="152">
        <v>2</v>
      </c>
      <c r="CQ39" s="154">
        <v>2</v>
      </c>
    </row>
    <row r="40" spans="1:95" x14ac:dyDescent="0.25">
      <c r="A40" s="18" t="s">
        <v>6</v>
      </c>
      <c r="B40" s="18">
        <v>2024</v>
      </c>
      <c r="C40" s="18" t="s">
        <v>138</v>
      </c>
      <c r="D40" s="18" t="s">
        <v>245</v>
      </c>
      <c r="E40" s="18">
        <v>40</v>
      </c>
      <c r="F40" s="18">
        <v>40</v>
      </c>
      <c r="G40" s="18" t="s">
        <v>153</v>
      </c>
      <c r="H40" s="18" t="s">
        <v>153</v>
      </c>
      <c r="I40" s="18" t="s">
        <v>293</v>
      </c>
      <c r="J40" s="4">
        <v>31</v>
      </c>
      <c r="K40" s="4">
        <v>31.5</v>
      </c>
      <c r="L40" s="4">
        <v>0.5</v>
      </c>
      <c r="M40" s="5">
        <v>0.5</v>
      </c>
      <c r="N40" s="31">
        <v>0.25</v>
      </c>
      <c r="O40" s="31">
        <v>0.25</v>
      </c>
      <c r="P40" s="31">
        <v>12.5</v>
      </c>
      <c r="Q40" s="31">
        <v>20</v>
      </c>
      <c r="R40" s="31">
        <v>0.23</v>
      </c>
      <c r="S40" s="31">
        <v>0</v>
      </c>
      <c r="T40" s="65">
        <v>0</v>
      </c>
      <c r="U40" s="31">
        <v>10</v>
      </c>
      <c r="V40" s="31"/>
      <c r="W40" s="31">
        <v>10</v>
      </c>
      <c r="X40" s="4">
        <v>23</v>
      </c>
      <c r="Y40" s="18">
        <v>0</v>
      </c>
      <c r="Z40" s="18" t="s">
        <v>96</v>
      </c>
      <c r="AA40" s="18" t="s">
        <v>333</v>
      </c>
      <c r="AB40" s="18" t="s">
        <v>337</v>
      </c>
      <c r="AC40" s="18">
        <v>20</v>
      </c>
      <c r="AD40" s="18">
        <v>12.5</v>
      </c>
      <c r="AE40" s="18" t="s">
        <v>29</v>
      </c>
      <c r="AF40" s="18" t="s">
        <v>239</v>
      </c>
      <c r="AG40" s="18" t="s">
        <v>239</v>
      </c>
      <c r="AH40" s="18">
        <v>17</v>
      </c>
      <c r="AI40" s="18"/>
      <c r="AJ40" s="18" t="s">
        <v>69</v>
      </c>
      <c r="AK40" s="18" t="s">
        <v>81</v>
      </c>
      <c r="AL40" s="18" t="s">
        <v>100</v>
      </c>
      <c r="AM40" s="18" t="s">
        <v>109</v>
      </c>
      <c r="AN40" s="18" t="s">
        <v>122</v>
      </c>
      <c r="AO40" s="18" t="s">
        <v>198</v>
      </c>
      <c r="AP40" s="18"/>
      <c r="AQ40" s="18"/>
      <c r="AR40" s="18">
        <v>0</v>
      </c>
      <c r="AS40" s="18">
        <v>0</v>
      </c>
      <c r="AT40" s="18">
        <v>0</v>
      </c>
      <c r="AU40" s="18">
        <v>1</v>
      </c>
      <c r="AV40" s="18">
        <v>0</v>
      </c>
      <c r="AW40" s="18">
        <v>1</v>
      </c>
      <c r="AX40" s="49">
        <f t="shared" si="0"/>
        <v>0</v>
      </c>
      <c r="AY40" s="49">
        <v>2</v>
      </c>
      <c r="AZ40" s="50">
        <f t="shared" si="1"/>
        <v>4</v>
      </c>
      <c r="BA40" s="49">
        <v>1</v>
      </c>
      <c r="BB40" s="49">
        <v>15</v>
      </c>
      <c r="BC40" s="67">
        <v>1.5</v>
      </c>
      <c r="BD40" s="67">
        <v>2</v>
      </c>
      <c r="BE40" s="67">
        <f t="shared" si="2"/>
        <v>5</v>
      </c>
      <c r="BF40" s="67">
        <f t="shared" si="3"/>
        <v>0</v>
      </c>
      <c r="BG40" s="67">
        <v>0</v>
      </c>
      <c r="BH40" s="67">
        <v>1</v>
      </c>
      <c r="BI40" s="67">
        <v>0</v>
      </c>
      <c r="BJ40" s="67">
        <v>0</v>
      </c>
      <c r="BK40" s="67">
        <v>0</v>
      </c>
      <c r="BL40" s="67">
        <v>10</v>
      </c>
      <c r="BM40" s="67">
        <f t="shared" si="4"/>
        <v>18</v>
      </c>
      <c r="BN40" s="18">
        <f t="shared" si="5"/>
        <v>22</v>
      </c>
      <c r="BO40" s="18"/>
      <c r="BP40" s="18"/>
      <c r="BQ40" s="1"/>
      <c r="BR40" s="159" t="s">
        <v>310</v>
      </c>
      <c r="BS40" s="98">
        <v>4</v>
      </c>
      <c r="BT40" s="140"/>
      <c r="BV40" s="61" t="s">
        <v>29</v>
      </c>
      <c r="BW40" s="62" t="s">
        <v>30</v>
      </c>
      <c r="BX40" s="61">
        <v>2</v>
      </c>
      <c r="BY40" s="75">
        <v>2</v>
      </c>
      <c r="CA40" t="s">
        <v>22</v>
      </c>
      <c r="CB40">
        <v>14</v>
      </c>
      <c r="CC40">
        <v>0</v>
      </c>
      <c r="CD40" s="55">
        <v>1</v>
      </c>
      <c r="CE40">
        <v>14</v>
      </c>
      <c r="CF40">
        <v>0</v>
      </c>
      <c r="CG40" s="55">
        <v>1</v>
      </c>
      <c r="CH40" s="42">
        <f t="shared" si="12"/>
        <v>0</v>
      </c>
      <c r="CN40" s="61" t="s">
        <v>32</v>
      </c>
      <c r="CO40" s="62" t="s">
        <v>33</v>
      </c>
      <c r="CP40" s="61">
        <v>1</v>
      </c>
      <c r="CQ40" s="75">
        <v>1</v>
      </c>
    </row>
    <row r="41" spans="1:95" x14ac:dyDescent="0.25">
      <c r="A41" s="18" t="s">
        <v>6</v>
      </c>
      <c r="B41" s="18">
        <v>2024</v>
      </c>
      <c r="C41" s="18" t="s">
        <v>138</v>
      </c>
      <c r="D41" s="18" t="s">
        <v>245</v>
      </c>
      <c r="E41" s="18">
        <v>40</v>
      </c>
      <c r="F41" s="18">
        <v>40</v>
      </c>
      <c r="G41" s="18" t="s">
        <v>153</v>
      </c>
      <c r="H41" s="18" t="s">
        <v>153</v>
      </c>
      <c r="I41" s="18" t="s">
        <v>294</v>
      </c>
      <c r="J41" s="4">
        <v>31.5</v>
      </c>
      <c r="K41" s="4">
        <v>32</v>
      </c>
      <c r="L41" s="4">
        <v>0.5</v>
      </c>
      <c r="M41" s="5">
        <v>0.42</v>
      </c>
      <c r="N41" s="31">
        <v>0.21</v>
      </c>
      <c r="O41" s="31">
        <v>0.21</v>
      </c>
      <c r="P41" s="31">
        <v>10.5</v>
      </c>
      <c r="Q41" s="31">
        <v>20</v>
      </c>
      <c r="R41" s="31">
        <v>0.2</v>
      </c>
      <c r="S41" s="31">
        <v>0</v>
      </c>
      <c r="T41" s="65">
        <v>0</v>
      </c>
      <c r="U41" s="31">
        <v>10</v>
      </c>
      <c r="V41" s="31"/>
      <c r="W41" s="31">
        <v>10</v>
      </c>
      <c r="X41" s="4">
        <v>20</v>
      </c>
      <c r="Y41" s="18">
        <v>0</v>
      </c>
      <c r="Z41" s="18" t="s">
        <v>96</v>
      </c>
      <c r="AA41" s="18" t="s">
        <v>333</v>
      </c>
      <c r="AB41" s="18" t="s">
        <v>337</v>
      </c>
      <c r="AC41" s="18">
        <v>20</v>
      </c>
      <c r="AD41" s="18">
        <v>10.5</v>
      </c>
      <c r="AE41" s="18" t="s">
        <v>29</v>
      </c>
      <c r="AF41" s="18" t="s">
        <v>239</v>
      </c>
      <c r="AG41" s="18" t="s">
        <v>239</v>
      </c>
      <c r="AH41" s="18">
        <v>17</v>
      </c>
      <c r="AI41" s="18"/>
      <c r="AJ41" s="18" t="s">
        <v>69</v>
      </c>
      <c r="AK41" s="18" t="s">
        <v>81</v>
      </c>
      <c r="AL41" s="18" t="s">
        <v>100</v>
      </c>
      <c r="AM41" s="18" t="s">
        <v>109</v>
      </c>
      <c r="AN41" s="18" t="s">
        <v>122</v>
      </c>
      <c r="AO41" s="18" t="s">
        <v>198</v>
      </c>
      <c r="AP41" s="18"/>
      <c r="AQ41" s="18"/>
      <c r="AR41" s="18">
        <v>0</v>
      </c>
      <c r="AS41" s="18">
        <v>0</v>
      </c>
      <c r="AT41" s="18">
        <v>0</v>
      </c>
      <c r="AU41" s="18">
        <v>1</v>
      </c>
      <c r="AV41" s="18">
        <v>0</v>
      </c>
      <c r="AW41" s="18">
        <v>1</v>
      </c>
      <c r="AX41" s="49">
        <f t="shared" si="0"/>
        <v>0</v>
      </c>
      <c r="AY41" s="49">
        <v>2</v>
      </c>
      <c r="AZ41" s="50">
        <f t="shared" si="1"/>
        <v>4</v>
      </c>
      <c r="BA41" s="49">
        <v>1</v>
      </c>
      <c r="BB41" s="49">
        <v>15</v>
      </c>
      <c r="BC41" s="67">
        <v>1.5</v>
      </c>
      <c r="BD41" s="67">
        <v>2</v>
      </c>
      <c r="BE41" s="67">
        <f t="shared" si="2"/>
        <v>5</v>
      </c>
      <c r="BF41" s="67">
        <f t="shared" si="3"/>
        <v>0</v>
      </c>
      <c r="BG41" s="67">
        <v>0</v>
      </c>
      <c r="BH41" s="67">
        <v>1</v>
      </c>
      <c r="BI41" s="67">
        <v>0</v>
      </c>
      <c r="BJ41" s="67">
        <v>0</v>
      </c>
      <c r="BK41" s="67">
        <v>0</v>
      </c>
      <c r="BL41" s="67">
        <v>10</v>
      </c>
      <c r="BM41" s="67">
        <f t="shared" si="4"/>
        <v>18</v>
      </c>
      <c r="BN41" s="18">
        <f t="shared" si="5"/>
        <v>22</v>
      </c>
      <c r="BO41" s="18"/>
      <c r="BP41" s="18"/>
      <c r="BQ41" s="1"/>
      <c r="BR41" s="159" t="s">
        <v>311</v>
      </c>
      <c r="BS41" s="98">
        <v>1.5848914816243109</v>
      </c>
      <c r="BT41" s="140"/>
      <c r="BV41" s="61" t="s">
        <v>32</v>
      </c>
      <c r="BW41" s="62" t="s">
        <v>33</v>
      </c>
      <c r="BX41" s="61">
        <v>1</v>
      </c>
      <c r="BY41" s="75">
        <v>1</v>
      </c>
      <c r="CA41" t="s">
        <v>19</v>
      </c>
      <c r="CB41">
        <v>15</v>
      </c>
      <c r="CC41">
        <v>0</v>
      </c>
      <c r="CD41" s="55">
        <v>1</v>
      </c>
      <c r="CE41">
        <v>15</v>
      </c>
      <c r="CF41">
        <v>0</v>
      </c>
      <c r="CG41" s="55">
        <v>1</v>
      </c>
      <c r="CH41" s="42">
        <f t="shared" si="12"/>
        <v>0</v>
      </c>
      <c r="CN41" s="61" t="s">
        <v>34</v>
      </c>
      <c r="CO41" s="62" t="s">
        <v>35</v>
      </c>
      <c r="CP41" s="61">
        <v>0</v>
      </c>
      <c r="CQ41" s="75">
        <v>0</v>
      </c>
    </row>
    <row r="42" spans="1:95" ht="15.75" thickBot="1" x14ac:dyDescent="0.3">
      <c r="A42" s="18" t="s">
        <v>6</v>
      </c>
      <c r="B42" s="18">
        <v>2024</v>
      </c>
      <c r="C42" s="18" t="s">
        <v>138</v>
      </c>
      <c r="D42" s="18" t="s">
        <v>245</v>
      </c>
      <c r="E42" s="18">
        <v>40</v>
      </c>
      <c r="F42" s="18">
        <v>40</v>
      </c>
      <c r="G42" s="18" t="s">
        <v>153</v>
      </c>
      <c r="H42" s="18" t="s">
        <v>153</v>
      </c>
      <c r="I42" s="18" t="s">
        <v>294</v>
      </c>
      <c r="J42" s="4">
        <v>32</v>
      </c>
      <c r="K42" s="4">
        <v>32.5</v>
      </c>
      <c r="L42" s="4">
        <v>0.5</v>
      </c>
      <c r="M42" s="5">
        <v>0.36</v>
      </c>
      <c r="N42" s="31">
        <v>0.18</v>
      </c>
      <c r="O42" s="31">
        <v>0.18</v>
      </c>
      <c r="P42" s="31">
        <v>9</v>
      </c>
      <c r="Q42" s="31">
        <v>20</v>
      </c>
      <c r="R42" s="31">
        <v>0.17</v>
      </c>
      <c r="S42" s="31">
        <v>0</v>
      </c>
      <c r="T42" s="65">
        <v>0</v>
      </c>
      <c r="U42" s="31">
        <v>10</v>
      </c>
      <c r="V42" s="31"/>
      <c r="W42" s="31">
        <v>10</v>
      </c>
      <c r="X42" s="4">
        <v>17</v>
      </c>
      <c r="Y42" s="18">
        <v>0</v>
      </c>
      <c r="Z42" s="18" t="s">
        <v>96</v>
      </c>
      <c r="AA42" s="18" t="s">
        <v>333</v>
      </c>
      <c r="AB42" s="18" t="s">
        <v>337</v>
      </c>
      <c r="AC42" s="18">
        <v>20</v>
      </c>
      <c r="AD42" s="18">
        <v>9</v>
      </c>
      <c r="AE42" s="18" t="s">
        <v>29</v>
      </c>
      <c r="AF42" s="18" t="s">
        <v>27</v>
      </c>
      <c r="AG42" s="18" t="s">
        <v>27</v>
      </c>
      <c r="AH42" s="18">
        <v>59</v>
      </c>
      <c r="AI42" s="18"/>
      <c r="AJ42" s="18" t="s">
        <v>66</v>
      </c>
      <c r="AK42" s="18" t="s">
        <v>79</v>
      </c>
      <c r="AL42" s="18" t="s">
        <v>96</v>
      </c>
      <c r="AM42" s="18" t="s">
        <v>107</v>
      </c>
      <c r="AN42" s="18" t="s">
        <v>120</v>
      </c>
      <c r="AO42" s="18" t="s">
        <v>198</v>
      </c>
      <c r="AP42" s="18" t="s">
        <v>240</v>
      </c>
      <c r="AQ42" s="18"/>
      <c r="AR42" s="18">
        <v>1</v>
      </c>
      <c r="AS42" s="18">
        <v>1</v>
      </c>
      <c r="AT42" s="18">
        <v>1</v>
      </c>
      <c r="AU42" s="18">
        <v>3</v>
      </c>
      <c r="AV42" s="18">
        <v>2</v>
      </c>
      <c r="AW42" s="18">
        <v>8</v>
      </c>
      <c r="AX42" s="49">
        <f t="shared" si="0"/>
        <v>0</v>
      </c>
      <c r="AY42" s="49">
        <v>2</v>
      </c>
      <c r="AZ42" s="50">
        <f t="shared" si="1"/>
        <v>4</v>
      </c>
      <c r="BA42" s="49">
        <v>8</v>
      </c>
      <c r="BB42" s="49">
        <v>15</v>
      </c>
      <c r="BC42" s="67">
        <v>12</v>
      </c>
      <c r="BD42" s="67">
        <v>2</v>
      </c>
      <c r="BE42" s="67">
        <f t="shared" si="2"/>
        <v>5</v>
      </c>
      <c r="BF42" s="67">
        <f t="shared" si="3"/>
        <v>0</v>
      </c>
      <c r="BG42" s="67">
        <v>1</v>
      </c>
      <c r="BH42" s="67">
        <v>3</v>
      </c>
      <c r="BI42" s="67">
        <v>2</v>
      </c>
      <c r="BJ42" s="67">
        <v>1</v>
      </c>
      <c r="BK42" s="67">
        <v>1</v>
      </c>
      <c r="BL42" s="67">
        <v>10</v>
      </c>
      <c r="BM42" s="67">
        <f t="shared" si="4"/>
        <v>25</v>
      </c>
      <c r="BN42" s="18">
        <f t="shared" si="5"/>
        <v>29</v>
      </c>
      <c r="BO42" s="18"/>
      <c r="BP42" s="18"/>
      <c r="BQ42" s="1"/>
      <c r="BR42" s="159" t="s">
        <v>312</v>
      </c>
      <c r="BS42" s="98">
        <v>2.5118810085253034</v>
      </c>
      <c r="BT42" s="140"/>
      <c r="BV42" s="61" t="s">
        <v>34</v>
      </c>
      <c r="BW42" s="62" t="s">
        <v>35</v>
      </c>
      <c r="BX42" s="61">
        <v>0</v>
      </c>
      <c r="BY42" s="75">
        <v>0</v>
      </c>
      <c r="CB42" s="57" t="s">
        <v>581</v>
      </c>
      <c r="CC42" s="57">
        <v>0</v>
      </c>
      <c r="CD42" s="95">
        <v>1</v>
      </c>
      <c r="CE42" s="57" t="s">
        <v>581</v>
      </c>
      <c r="CF42" s="57">
        <v>0</v>
      </c>
      <c r="CG42" s="95">
        <v>1</v>
      </c>
    </row>
    <row r="43" spans="1:95" x14ac:dyDescent="0.25">
      <c r="A43" s="18" t="s">
        <v>6</v>
      </c>
      <c r="B43" s="18">
        <v>2024</v>
      </c>
      <c r="C43" s="18" t="s">
        <v>138</v>
      </c>
      <c r="D43" s="18" t="s">
        <v>245</v>
      </c>
      <c r="E43" s="18">
        <v>40</v>
      </c>
      <c r="F43" s="18">
        <v>40</v>
      </c>
      <c r="G43" s="18" t="s">
        <v>153</v>
      </c>
      <c r="H43" s="18" t="s">
        <v>153</v>
      </c>
      <c r="I43" s="18" t="s">
        <v>294</v>
      </c>
      <c r="J43" s="4">
        <v>32.5</v>
      </c>
      <c r="K43" s="4">
        <v>33</v>
      </c>
      <c r="L43" s="4">
        <v>0.5</v>
      </c>
      <c r="M43" s="5">
        <v>0.36</v>
      </c>
      <c r="N43" s="31">
        <v>0.18</v>
      </c>
      <c r="O43" s="31">
        <v>0.18</v>
      </c>
      <c r="P43" s="31">
        <v>180</v>
      </c>
      <c r="Q43" s="31">
        <v>1</v>
      </c>
      <c r="R43" s="31">
        <v>0.18</v>
      </c>
      <c r="S43" s="31">
        <v>0</v>
      </c>
      <c r="T43" s="65">
        <v>0</v>
      </c>
      <c r="U43" s="31">
        <v>10</v>
      </c>
      <c r="V43" s="31"/>
      <c r="W43" s="31">
        <v>10</v>
      </c>
      <c r="X43" s="4">
        <v>18</v>
      </c>
      <c r="Y43" s="18">
        <v>0</v>
      </c>
      <c r="Z43" s="18" t="s">
        <v>96</v>
      </c>
      <c r="AA43" s="18" t="s">
        <v>116</v>
      </c>
      <c r="AB43" s="18" t="s">
        <v>337</v>
      </c>
      <c r="AC43" s="18">
        <v>1</v>
      </c>
      <c r="AD43" s="18">
        <v>180</v>
      </c>
      <c r="AE43" s="18" t="s">
        <v>29</v>
      </c>
      <c r="AF43" s="18" t="s">
        <v>27</v>
      </c>
      <c r="AG43" s="18" t="s">
        <v>27</v>
      </c>
      <c r="AH43" s="18">
        <v>59</v>
      </c>
      <c r="AI43" s="18"/>
      <c r="AJ43" s="18" t="s">
        <v>66</v>
      </c>
      <c r="AK43" s="18" t="s">
        <v>79</v>
      </c>
      <c r="AL43" s="18" t="s">
        <v>96</v>
      </c>
      <c r="AM43" s="18" t="s">
        <v>107</v>
      </c>
      <c r="AN43" s="18" t="s">
        <v>120</v>
      </c>
      <c r="AO43" s="18" t="s">
        <v>198</v>
      </c>
      <c r="AP43" s="18" t="s">
        <v>240</v>
      </c>
      <c r="AQ43" s="18"/>
      <c r="AR43" s="18">
        <v>1</v>
      </c>
      <c r="AS43" s="18">
        <v>1</v>
      </c>
      <c r="AT43" s="18">
        <v>1</v>
      </c>
      <c r="AU43" s="18">
        <v>3</v>
      </c>
      <c r="AV43" s="18">
        <v>2</v>
      </c>
      <c r="AW43" s="18">
        <v>8</v>
      </c>
      <c r="AX43" s="49">
        <f t="shared" si="0"/>
        <v>0</v>
      </c>
      <c r="AY43" s="49">
        <v>2</v>
      </c>
      <c r="AZ43" s="50">
        <f t="shared" si="1"/>
        <v>4</v>
      </c>
      <c r="BA43" s="49">
        <v>8</v>
      </c>
      <c r="BB43" s="49">
        <v>15</v>
      </c>
      <c r="BC43" s="67">
        <v>12</v>
      </c>
      <c r="BD43" s="67">
        <v>2</v>
      </c>
      <c r="BE43" s="67">
        <f t="shared" si="2"/>
        <v>5</v>
      </c>
      <c r="BF43" s="67">
        <f t="shared" si="3"/>
        <v>0</v>
      </c>
      <c r="BG43" s="67">
        <v>1</v>
      </c>
      <c r="BH43" s="67">
        <v>3</v>
      </c>
      <c r="BI43" s="67">
        <v>2</v>
      </c>
      <c r="BJ43" s="67">
        <v>1</v>
      </c>
      <c r="BK43" s="67">
        <v>1</v>
      </c>
      <c r="BL43" s="67">
        <v>10</v>
      </c>
      <c r="BM43" s="67">
        <f t="shared" si="4"/>
        <v>25</v>
      </c>
      <c r="BN43" s="18">
        <f t="shared" si="5"/>
        <v>29</v>
      </c>
      <c r="BO43" s="18"/>
      <c r="BP43" s="18"/>
      <c r="BQ43" s="1"/>
      <c r="BR43" s="159" t="s">
        <v>313</v>
      </c>
      <c r="BS43" s="98">
        <v>-1.5269644358800147</v>
      </c>
      <c r="BT43" s="140"/>
      <c r="CC43">
        <f>+SUM(CC35:CC41)</f>
        <v>149</v>
      </c>
    </row>
    <row r="44" spans="1:95" x14ac:dyDescent="0.25">
      <c r="A44" s="18" t="s">
        <v>6</v>
      </c>
      <c r="B44" s="18">
        <v>2024</v>
      </c>
      <c r="C44" s="18" t="s">
        <v>138</v>
      </c>
      <c r="D44" s="18" t="s">
        <v>245</v>
      </c>
      <c r="E44" s="18">
        <v>40</v>
      </c>
      <c r="F44" s="18">
        <v>40</v>
      </c>
      <c r="G44" s="18" t="s">
        <v>153</v>
      </c>
      <c r="H44" s="18" t="s">
        <v>153</v>
      </c>
      <c r="I44" s="18" t="s">
        <v>294</v>
      </c>
      <c r="J44" s="4">
        <v>33</v>
      </c>
      <c r="K44" s="4">
        <v>33.5</v>
      </c>
      <c r="L44" s="4">
        <v>0.5</v>
      </c>
      <c r="M44" s="5">
        <v>0.38</v>
      </c>
      <c r="N44" s="31">
        <v>0.19</v>
      </c>
      <c r="O44" s="31">
        <v>0.19</v>
      </c>
      <c r="P44" s="31">
        <v>190</v>
      </c>
      <c r="Q44" s="31">
        <v>1</v>
      </c>
      <c r="R44" s="31">
        <v>0.19</v>
      </c>
      <c r="S44" s="31">
        <v>0</v>
      </c>
      <c r="T44" s="65">
        <v>0</v>
      </c>
      <c r="U44" s="31">
        <v>10</v>
      </c>
      <c r="V44" s="31"/>
      <c r="W44" s="31">
        <v>10</v>
      </c>
      <c r="X44" s="4">
        <v>19</v>
      </c>
      <c r="Y44" s="18">
        <v>0</v>
      </c>
      <c r="Z44" s="18" t="s">
        <v>100</v>
      </c>
      <c r="AA44" s="18" t="s">
        <v>116</v>
      </c>
      <c r="AB44" s="18" t="s">
        <v>337</v>
      </c>
      <c r="AC44" s="18">
        <v>1</v>
      </c>
      <c r="AD44" s="18">
        <v>190</v>
      </c>
      <c r="AE44" s="18" t="s">
        <v>29</v>
      </c>
      <c r="AF44" s="18" t="s">
        <v>27</v>
      </c>
      <c r="AG44" s="18" t="s">
        <v>27</v>
      </c>
      <c r="AH44" s="18">
        <v>59</v>
      </c>
      <c r="AI44" s="18"/>
      <c r="AJ44" s="18" t="s">
        <v>66</v>
      </c>
      <c r="AK44" s="18" t="s">
        <v>79</v>
      </c>
      <c r="AL44" s="18" t="s">
        <v>96</v>
      </c>
      <c r="AM44" s="18" t="s">
        <v>107</v>
      </c>
      <c r="AN44" s="18" t="s">
        <v>120</v>
      </c>
      <c r="AO44" s="18" t="s">
        <v>198</v>
      </c>
      <c r="AP44" s="18" t="s">
        <v>240</v>
      </c>
      <c r="AQ44" s="18"/>
      <c r="AR44" s="18">
        <v>1</v>
      </c>
      <c r="AS44" s="18">
        <v>1</v>
      </c>
      <c r="AT44" s="18">
        <v>1</v>
      </c>
      <c r="AU44" s="18">
        <v>3</v>
      </c>
      <c r="AV44" s="18">
        <v>2</v>
      </c>
      <c r="AW44" s="18">
        <v>8</v>
      </c>
      <c r="AX44" s="49">
        <f t="shared" si="0"/>
        <v>0</v>
      </c>
      <c r="AY44" s="49">
        <v>2</v>
      </c>
      <c r="AZ44" s="50">
        <f t="shared" si="1"/>
        <v>4</v>
      </c>
      <c r="BA44" s="49">
        <v>8</v>
      </c>
      <c r="BB44" s="49">
        <v>15</v>
      </c>
      <c r="BC44" s="67">
        <v>12</v>
      </c>
      <c r="BD44" s="67">
        <v>2</v>
      </c>
      <c r="BE44" s="67">
        <f t="shared" si="2"/>
        <v>5</v>
      </c>
      <c r="BF44" s="67">
        <f t="shared" si="3"/>
        <v>0</v>
      </c>
      <c r="BG44" s="67">
        <v>1</v>
      </c>
      <c r="BH44" s="67">
        <v>3</v>
      </c>
      <c r="BI44" s="67">
        <v>2</v>
      </c>
      <c r="BJ44" s="67">
        <v>1</v>
      </c>
      <c r="BK44" s="67">
        <v>1</v>
      </c>
      <c r="BL44" s="67">
        <v>10</v>
      </c>
      <c r="BM44" s="67">
        <f t="shared" si="4"/>
        <v>25</v>
      </c>
      <c r="BN44" s="18">
        <f t="shared" si="5"/>
        <v>29</v>
      </c>
      <c r="BO44" s="18"/>
      <c r="BP44" s="18"/>
      <c r="BQ44" s="1"/>
      <c r="BR44" s="159" t="s">
        <v>314</v>
      </c>
      <c r="BS44" s="98">
        <v>0.12916120442470572</v>
      </c>
      <c r="BT44" s="140"/>
    </row>
    <row r="45" spans="1:95" x14ac:dyDescent="0.25">
      <c r="A45" s="18" t="s">
        <v>6</v>
      </c>
      <c r="B45" s="18">
        <v>2024</v>
      </c>
      <c r="C45" s="18" t="s">
        <v>138</v>
      </c>
      <c r="D45" s="18" t="s">
        <v>245</v>
      </c>
      <c r="E45" s="18">
        <v>40</v>
      </c>
      <c r="F45" s="18">
        <v>40</v>
      </c>
      <c r="G45" s="18" t="s">
        <v>153</v>
      </c>
      <c r="H45" s="18" t="s">
        <v>153</v>
      </c>
      <c r="I45" s="18" t="s">
        <v>294</v>
      </c>
      <c r="J45" s="4">
        <v>33.5</v>
      </c>
      <c r="K45" s="4">
        <v>34</v>
      </c>
      <c r="L45" s="4">
        <v>0.5</v>
      </c>
      <c r="M45" s="5">
        <v>0.42</v>
      </c>
      <c r="N45" s="31">
        <v>0.21</v>
      </c>
      <c r="O45" s="31">
        <v>0.21</v>
      </c>
      <c r="P45" s="31">
        <v>42</v>
      </c>
      <c r="Q45" s="31">
        <v>5</v>
      </c>
      <c r="R45" s="31">
        <v>0.18</v>
      </c>
      <c r="S45" s="31">
        <v>0</v>
      </c>
      <c r="T45" s="65">
        <v>0</v>
      </c>
      <c r="U45" s="31">
        <v>11</v>
      </c>
      <c r="V45" s="31"/>
      <c r="W45" s="31">
        <v>11</v>
      </c>
      <c r="X45" s="4">
        <v>16.363636363636363</v>
      </c>
      <c r="Y45" s="18">
        <v>0</v>
      </c>
      <c r="Z45" s="18" t="s">
        <v>100</v>
      </c>
      <c r="AA45" s="18" t="s">
        <v>118</v>
      </c>
      <c r="AB45" s="18" t="s">
        <v>337</v>
      </c>
      <c r="AC45" s="18">
        <v>5</v>
      </c>
      <c r="AD45" s="18">
        <v>42</v>
      </c>
      <c r="AE45" s="18" t="s">
        <v>29</v>
      </c>
      <c r="AF45" s="18" t="s">
        <v>27</v>
      </c>
      <c r="AG45" s="18" t="s">
        <v>27</v>
      </c>
      <c r="AH45" s="18">
        <v>59</v>
      </c>
      <c r="AI45" s="18"/>
      <c r="AJ45" s="18" t="s">
        <v>66</v>
      </c>
      <c r="AK45" s="18" t="s">
        <v>79</v>
      </c>
      <c r="AL45" s="18" t="s">
        <v>96</v>
      </c>
      <c r="AM45" s="18" t="s">
        <v>107</v>
      </c>
      <c r="AN45" s="18" t="s">
        <v>120</v>
      </c>
      <c r="AO45" s="18" t="s">
        <v>198</v>
      </c>
      <c r="AP45" s="18" t="s">
        <v>240</v>
      </c>
      <c r="AQ45" s="18"/>
      <c r="AR45" s="18">
        <v>1</v>
      </c>
      <c r="AS45" s="18">
        <v>1</v>
      </c>
      <c r="AT45" s="18">
        <v>1</v>
      </c>
      <c r="AU45" s="18">
        <v>3</v>
      </c>
      <c r="AV45" s="18">
        <v>2</v>
      </c>
      <c r="AW45" s="18">
        <v>8</v>
      </c>
      <c r="AX45" s="49">
        <f t="shared" si="0"/>
        <v>0</v>
      </c>
      <c r="AY45" s="49">
        <v>2</v>
      </c>
      <c r="AZ45" s="50">
        <f t="shared" si="1"/>
        <v>4</v>
      </c>
      <c r="BA45" s="49">
        <v>8</v>
      </c>
      <c r="BB45" s="49">
        <v>15</v>
      </c>
      <c r="BC45" s="67">
        <v>12</v>
      </c>
      <c r="BD45" s="67">
        <v>2</v>
      </c>
      <c r="BE45" s="67">
        <f t="shared" si="2"/>
        <v>5</v>
      </c>
      <c r="BF45" s="67">
        <f t="shared" si="3"/>
        <v>0</v>
      </c>
      <c r="BG45" s="67">
        <v>1</v>
      </c>
      <c r="BH45" s="67">
        <v>3</v>
      </c>
      <c r="BI45" s="67">
        <v>2</v>
      </c>
      <c r="BJ45" s="67">
        <v>1</v>
      </c>
      <c r="BK45" s="67">
        <v>1</v>
      </c>
      <c r="BL45" s="67">
        <v>10</v>
      </c>
      <c r="BM45" s="67">
        <f t="shared" si="4"/>
        <v>25</v>
      </c>
      <c r="BN45" s="18">
        <f t="shared" si="5"/>
        <v>29</v>
      </c>
      <c r="BO45" s="18"/>
      <c r="BP45" s="18"/>
      <c r="BQ45" s="1"/>
      <c r="BR45" s="159" t="s">
        <v>315</v>
      </c>
      <c r="BS45" s="98">
        <v>4</v>
      </c>
      <c r="BT45" s="140"/>
    </row>
    <row r="46" spans="1:95" x14ac:dyDescent="0.25">
      <c r="A46" s="18" t="s">
        <v>6</v>
      </c>
      <c r="B46" s="18">
        <v>2024</v>
      </c>
      <c r="C46" s="18" t="s">
        <v>138</v>
      </c>
      <c r="D46" s="18" t="s">
        <v>245</v>
      </c>
      <c r="E46" s="18">
        <v>40</v>
      </c>
      <c r="F46" s="18">
        <v>40</v>
      </c>
      <c r="G46" s="18" t="s">
        <v>153</v>
      </c>
      <c r="H46" s="18" t="s">
        <v>153</v>
      </c>
      <c r="I46" s="18" t="s">
        <v>294</v>
      </c>
      <c r="J46" s="4">
        <v>34</v>
      </c>
      <c r="K46" s="4">
        <v>34.5</v>
      </c>
      <c r="L46" s="4">
        <v>0.5</v>
      </c>
      <c r="M46" s="5">
        <v>0.24</v>
      </c>
      <c r="N46" s="31">
        <v>0.12</v>
      </c>
      <c r="O46" s="31">
        <v>0.12</v>
      </c>
      <c r="P46" s="31">
        <v>6</v>
      </c>
      <c r="Q46" s="31">
        <v>20</v>
      </c>
      <c r="R46" s="31">
        <v>0.12</v>
      </c>
      <c r="S46" s="31">
        <v>0</v>
      </c>
      <c r="T46" s="65">
        <v>0</v>
      </c>
      <c r="U46" s="31">
        <v>11</v>
      </c>
      <c r="V46" s="31"/>
      <c r="W46" s="31">
        <v>11</v>
      </c>
      <c r="X46" s="4">
        <v>10.909090909090908</v>
      </c>
      <c r="Y46" s="18">
        <v>0</v>
      </c>
      <c r="Z46" s="18" t="s">
        <v>100</v>
      </c>
      <c r="AA46" s="18" t="s">
        <v>333</v>
      </c>
      <c r="AB46" s="18" t="s">
        <v>337</v>
      </c>
      <c r="AC46" s="18">
        <v>20</v>
      </c>
      <c r="AD46" s="18">
        <v>6</v>
      </c>
      <c r="AE46" s="18" t="s">
        <v>29</v>
      </c>
      <c r="AF46" s="18" t="s">
        <v>27</v>
      </c>
      <c r="AG46" s="18" t="s">
        <v>27</v>
      </c>
      <c r="AH46" s="18">
        <v>59</v>
      </c>
      <c r="AI46" s="18"/>
      <c r="AJ46" s="18" t="s">
        <v>66</v>
      </c>
      <c r="AK46" s="18" t="s">
        <v>79</v>
      </c>
      <c r="AL46" s="18" t="s">
        <v>96</v>
      </c>
      <c r="AM46" s="18" t="s">
        <v>107</v>
      </c>
      <c r="AN46" s="18" t="s">
        <v>120</v>
      </c>
      <c r="AO46" s="18" t="s">
        <v>198</v>
      </c>
      <c r="AP46" s="18" t="s">
        <v>240</v>
      </c>
      <c r="AQ46" s="18"/>
      <c r="AR46" s="18">
        <v>1</v>
      </c>
      <c r="AS46" s="18">
        <v>1</v>
      </c>
      <c r="AT46" s="18">
        <v>1</v>
      </c>
      <c r="AU46" s="18">
        <v>3</v>
      </c>
      <c r="AV46" s="18">
        <v>2</v>
      </c>
      <c r="AW46" s="18">
        <v>8</v>
      </c>
      <c r="AX46" s="49">
        <f t="shared" si="0"/>
        <v>0</v>
      </c>
      <c r="AY46" s="49">
        <v>2</v>
      </c>
      <c r="AZ46" s="50">
        <f t="shared" si="1"/>
        <v>3</v>
      </c>
      <c r="BA46" s="49">
        <v>8</v>
      </c>
      <c r="BB46" s="49">
        <v>15</v>
      </c>
      <c r="BC46" s="67">
        <v>12</v>
      </c>
      <c r="BD46" s="67">
        <v>2</v>
      </c>
      <c r="BE46" s="67">
        <f t="shared" si="2"/>
        <v>5</v>
      </c>
      <c r="BF46" s="67">
        <f t="shared" si="3"/>
        <v>0</v>
      </c>
      <c r="BG46" s="67">
        <v>1</v>
      </c>
      <c r="BH46" s="67">
        <v>3</v>
      </c>
      <c r="BI46" s="67">
        <v>2</v>
      </c>
      <c r="BJ46" s="67">
        <v>1</v>
      </c>
      <c r="BK46" s="67">
        <v>1</v>
      </c>
      <c r="BL46" s="67">
        <v>10</v>
      </c>
      <c r="BM46" s="67">
        <f t="shared" si="4"/>
        <v>25</v>
      </c>
      <c r="BN46" s="18">
        <f t="shared" si="5"/>
        <v>28</v>
      </c>
      <c r="BO46" s="18"/>
      <c r="BP46" s="18"/>
      <c r="BQ46" s="1"/>
      <c r="BR46" s="159" t="s">
        <v>316</v>
      </c>
      <c r="BS46" s="98">
        <v>0</v>
      </c>
      <c r="BT46" s="140"/>
    </row>
    <row r="47" spans="1:95" x14ac:dyDescent="0.25">
      <c r="A47" s="18" t="s">
        <v>6</v>
      </c>
      <c r="B47" s="18">
        <v>2024</v>
      </c>
      <c r="C47" s="18" t="s">
        <v>138</v>
      </c>
      <c r="D47" s="18" t="s">
        <v>245</v>
      </c>
      <c r="E47" s="18">
        <v>40</v>
      </c>
      <c r="F47" s="18">
        <v>40</v>
      </c>
      <c r="G47" s="18" t="s">
        <v>153</v>
      </c>
      <c r="H47" s="18" t="s">
        <v>153</v>
      </c>
      <c r="I47" s="18" t="s">
        <v>294</v>
      </c>
      <c r="J47" s="4">
        <v>34.5</v>
      </c>
      <c r="K47" s="4">
        <v>35</v>
      </c>
      <c r="L47" s="4">
        <v>0.5</v>
      </c>
      <c r="M47" s="5">
        <v>0</v>
      </c>
      <c r="N47" s="31">
        <v>0</v>
      </c>
      <c r="O47" s="31">
        <v>0</v>
      </c>
      <c r="P47" s="31" t="s">
        <v>348</v>
      </c>
      <c r="Q47" s="31">
        <v>1</v>
      </c>
      <c r="R47" s="31">
        <v>0</v>
      </c>
      <c r="S47" s="31">
        <v>0</v>
      </c>
      <c r="T47" s="65">
        <v>0</v>
      </c>
      <c r="U47" s="31"/>
      <c r="V47" s="31"/>
      <c r="W47" s="31"/>
      <c r="X47" s="4"/>
      <c r="Y47" s="18">
        <v>0</v>
      </c>
      <c r="Z47" s="18" t="s">
        <v>100</v>
      </c>
      <c r="AA47" s="18" t="s">
        <v>116</v>
      </c>
      <c r="AB47" s="18" t="s">
        <v>337</v>
      </c>
      <c r="AC47" s="18">
        <v>1</v>
      </c>
      <c r="AD47" s="18" t="s">
        <v>348</v>
      </c>
      <c r="AE47" s="18" t="s">
        <v>29</v>
      </c>
      <c r="AF47" s="18" t="s">
        <v>27</v>
      </c>
      <c r="AG47" s="18" t="s">
        <v>27</v>
      </c>
      <c r="AH47" s="18">
        <v>59</v>
      </c>
      <c r="AI47" s="18"/>
      <c r="AJ47" s="18" t="s">
        <v>66</v>
      </c>
      <c r="AK47" s="18" t="s">
        <v>79</v>
      </c>
      <c r="AL47" s="18" t="s">
        <v>96</v>
      </c>
      <c r="AM47" s="18" t="s">
        <v>107</v>
      </c>
      <c r="AN47" s="18" t="s">
        <v>120</v>
      </c>
      <c r="AO47" s="18" t="s">
        <v>198</v>
      </c>
      <c r="AP47" s="18" t="s">
        <v>240</v>
      </c>
      <c r="AQ47" s="18"/>
      <c r="AR47" s="18">
        <v>1</v>
      </c>
      <c r="AS47" s="18">
        <v>1</v>
      </c>
      <c r="AT47" s="18">
        <v>1</v>
      </c>
      <c r="AU47" s="18">
        <v>3</v>
      </c>
      <c r="AV47" s="18">
        <v>2</v>
      </c>
      <c r="AW47" s="18">
        <v>8</v>
      </c>
      <c r="AX47" s="49">
        <f t="shared" si="0"/>
        <v>0</v>
      </c>
      <c r="AY47" s="49">
        <v>2</v>
      </c>
      <c r="AZ47" s="50">
        <f t="shared" si="1"/>
        <v>0</v>
      </c>
      <c r="BA47" s="49">
        <v>8</v>
      </c>
      <c r="BB47" s="49">
        <v>15</v>
      </c>
      <c r="BC47" s="67">
        <v>12</v>
      </c>
      <c r="BD47" s="67">
        <v>2</v>
      </c>
      <c r="BE47" s="67">
        <f t="shared" si="2"/>
        <v>5</v>
      </c>
      <c r="BF47" s="67">
        <f t="shared" si="3"/>
        <v>0</v>
      </c>
      <c r="BG47" s="67">
        <v>1</v>
      </c>
      <c r="BH47" s="67">
        <v>3</v>
      </c>
      <c r="BI47" s="67">
        <v>2</v>
      </c>
      <c r="BJ47" s="67">
        <v>1</v>
      </c>
      <c r="BK47" s="67">
        <v>1</v>
      </c>
      <c r="BL47" s="67">
        <v>10</v>
      </c>
      <c r="BM47" s="67">
        <f t="shared" si="4"/>
        <v>25</v>
      </c>
      <c r="BN47" s="18">
        <f t="shared" si="5"/>
        <v>25</v>
      </c>
      <c r="BO47" s="18"/>
      <c r="BP47" s="18"/>
      <c r="BQ47" s="1"/>
      <c r="BR47" s="159" t="s">
        <v>317</v>
      </c>
      <c r="BS47" s="98">
        <v>4</v>
      </c>
      <c r="BT47" s="140"/>
    </row>
    <row r="48" spans="1:95" x14ac:dyDescent="0.25">
      <c r="A48" s="18" t="s">
        <v>6</v>
      </c>
      <c r="B48" s="18">
        <v>2024</v>
      </c>
      <c r="C48" s="18" t="s">
        <v>138</v>
      </c>
      <c r="D48" s="18" t="s">
        <v>245</v>
      </c>
      <c r="E48" s="18">
        <v>40</v>
      </c>
      <c r="F48" s="18">
        <v>40</v>
      </c>
      <c r="G48" s="18" t="s">
        <v>153</v>
      </c>
      <c r="H48" s="18" t="s">
        <v>153</v>
      </c>
      <c r="I48" s="18" t="s">
        <v>294</v>
      </c>
      <c r="J48" s="4">
        <v>35</v>
      </c>
      <c r="K48" s="4">
        <v>35.5</v>
      </c>
      <c r="L48" s="4">
        <v>0.5</v>
      </c>
      <c r="M48" s="5">
        <v>0.26</v>
      </c>
      <c r="N48" s="31">
        <v>0.13</v>
      </c>
      <c r="O48" s="31">
        <v>0.13</v>
      </c>
      <c r="P48" s="31">
        <v>6.5</v>
      </c>
      <c r="Q48" s="31">
        <v>20</v>
      </c>
      <c r="R48" s="31">
        <v>0.12</v>
      </c>
      <c r="S48" s="31">
        <v>0</v>
      </c>
      <c r="T48" s="65">
        <v>0</v>
      </c>
      <c r="U48" s="31">
        <v>5</v>
      </c>
      <c r="V48" s="31"/>
      <c r="W48" s="31">
        <v>5</v>
      </c>
      <c r="X48" s="4">
        <v>24</v>
      </c>
      <c r="Y48" s="18">
        <v>0</v>
      </c>
      <c r="Z48" s="18" t="s">
        <v>100</v>
      </c>
      <c r="AA48" s="18" t="s">
        <v>333</v>
      </c>
      <c r="AB48" s="18" t="s">
        <v>337</v>
      </c>
      <c r="AC48" s="18">
        <v>20</v>
      </c>
      <c r="AD48" s="18">
        <v>6.5</v>
      </c>
      <c r="AE48" s="18" t="s">
        <v>29</v>
      </c>
      <c r="AF48" s="18" t="s">
        <v>27</v>
      </c>
      <c r="AG48" s="18" t="s">
        <v>27</v>
      </c>
      <c r="AH48" s="18">
        <v>59</v>
      </c>
      <c r="AI48" s="18"/>
      <c r="AJ48" s="18" t="s">
        <v>66</v>
      </c>
      <c r="AK48" s="18" t="s">
        <v>79</v>
      </c>
      <c r="AL48" s="18" t="s">
        <v>96</v>
      </c>
      <c r="AM48" s="18" t="s">
        <v>107</v>
      </c>
      <c r="AN48" s="18" t="s">
        <v>120</v>
      </c>
      <c r="AO48" s="18" t="s">
        <v>198</v>
      </c>
      <c r="AP48" s="18" t="s">
        <v>240</v>
      </c>
      <c r="AQ48" s="18"/>
      <c r="AR48" s="18">
        <v>1</v>
      </c>
      <c r="AS48" s="18">
        <v>1</v>
      </c>
      <c r="AT48" s="18">
        <v>1</v>
      </c>
      <c r="AU48" s="18">
        <v>3</v>
      </c>
      <c r="AV48" s="18">
        <v>2</v>
      </c>
      <c r="AW48" s="18">
        <v>8</v>
      </c>
      <c r="AX48" s="49">
        <f t="shared" si="0"/>
        <v>0</v>
      </c>
      <c r="AY48" s="49">
        <v>2</v>
      </c>
      <c r="AZ48" s="50">
        <f t="shared" si="1"/>
        <v>4</v>
      </c>
      <c r="BA48" s="49">
        <v>8</v>
      </c>
      <c r="BB48" s="49">
        <v>15</v>
      </c>
      <c r="BC48" s="67">
        <v>12</v>
      </c>
      <c r="BD48" s="67">
        <v>2</v>
      </c>
      <c r="BE48" s="67">
        <f t="shared" si="2"/>
        <v>5</v>
      </c>
      <c r="BF48" s="67">
        <f t="shared" si="3"/>
        <v>0</v>
      </c>
      <c r="BG48" s="67">
        <v>1</v>
      </c>
      <c r="BH48" s="67">
        <v>3</v>
      </c>
      <c r="BI48" s="67">
        <v>2</v>
      </c>
      <c r="BJ48" s="67">
        <v>1</v>
      </c>
      <c r="BK48" s="67">
        <v>1</v>
      </c>
      <c r="BL48" s="67">
        <v>10</v>
      </c>
      <c r="BM48" s="67">
        <f t="shared" si="4"/>
        <v>25</v>
      </c>
      <c r="BN48" s="18">
        <f t="shared" si="5"/>
        <v>29</v>
      </c>
      <c r="BO48" s="18"/>
      <c r="BP48" s="18"/>
      <c r="BQ48" s="1"/>
      <c r="BR48" s="159" t="s">
        <v>318</v>
      </c>
      <c r="BS48" s="98">
        <v>304</v>
      </c>
      <c r="BT48" s="140"/>
    </row>
    <row r="49" spans="1:141" x14ac:dyDescent="0.25">
      <c r="A49" s="18" t="s">
        <v>6</v>
      </c>
      <c r="B49" s="18">
        <v>2024</v>
      </c>
      <c r="C49" s="18" t="s">
        <v>138</v>
      </c>
      <c r="D49" s="18" t="s">
        <v>245</v>
      </c>
      <c r="E49" s="18">
        <v>40</v>
      </c>
      <c r="F49" s="18">
        <v>40</v>
      </c>
      <c r="G49" s="18" t="s">
        <v>153</v>
      </c>
      <c r="H49" s="18" t="s">
        <v>153</v>
      </c>
      <c r="I49" s="18" t="s">
        <v>294</v>
      </c>
      <c r="J49" s="4">
        <v>35.5</v>
      </c>
      <c r="K49" s="4">
        <v>36</v>
      </c>
      <c r="L49" s="4">
        <v>0.5</v>
      </c>
      <c r="M49" s="5">
        <v>0</v>
      </c>
      <c r="N49" s="31">
        <v>0</v>
      </c>
      <c r="O49" s="31">
        <v>0</v>
      </c>
      <c r="P49" s="31" t="s">
        <v>348</v>
      </c>
      <c r="Q49" s="31">
        <v>20</v>
      </c>
      <c r="R49" s="31"/>
      <c r="S49" s="31"/>
      <c r="T49" s="65">
        <v>0</v>
      </c>
      <c r="U49" s="31"/>
      <c r="V49" s="31"/>
      <c r="W49" s="31"/>
      <c r="X49" s="4"/>
      <c r="Y49" s="18">
        <v>0</v>
      </c>
      <c r="Z49" s="18" t="s">
        <v>100</v>
      </c>
      <c r="AA49" s="18" t="s">
        <v>333</v>
      </c>
      <c r="AB49" s="18" t="s">
        <v>337</v>
      </c>
      <c r="AC49" s="18">
        <v>20</v>
      </c>
      <c r="AD49" s="18" t="s">
        <v>348</v>
      </c>
      <c r="AE49" s="18" t="s">
        <v>29</v>
      </c>
      <c r="AF49" s="18" t="s">
        <v>27</v>
      </c>
      <c r="AG49" s="18" t="s">
        <v>27</v>
      </c>
      <c r="AH49" s="18">
        <v>59</v>
      </c>
      <c r="AI49" s="18"/>
      <c r="AJ49" s="18" t="s">
        <v>66</v>
      </c>
      <c r="AK49" s="18" t="s">
        <v>79</v>
      </c>
      <c r="AL49" s="18" t="s">
        <v>96</v>
      </c>
      <c r="AM49" s="18" t="s">
        <v>107</v>
      </c>
      <c r="AN49" s="18" t="s">
        <v>120</v>
      </c>
      <c r="AO49" s="18" t="s">
        <v>198</v>
      </c>
      <c r="AP49" s="18" t="s">
        <v>240</v>
      </c>
      <c r="AQ49" s="18"/>
      <c r="AR49" s="18">
        <v>1</v>
      </c>
      <c r="AS49" s="18">
        <v>1</v>
      </c>
      <c r="AT49" s="18">
        <v>1</v>
      </c>
      <c r="AU49" s="18">
        <v>3</v>
      </c>
      <c r="AV49" s="18">
        <v>2</v>
      </c>
      <c r="AW49" s="18">
        <v>8</v>
      </c>
      <c r="AX49" s="49">
        <f t="shared" si="0"/>
        <v>0</v>
      </c>
      <c r="AY49" s="49">
        <v>2</v>
      </c>
      <c r="AZ49" s="50">
        <f t="shared" si="1"/>
        <v>0</v>
      </c>
      <c r="BA49" s="49">
        <v>8</v>
      </c>
      <c r="BB49" s="49">
        <v>15</v>
      </c>
      <c r="BC49" s="67">
        <v>12</v>
      </c>
      <c r="BD49" s="67">
        <v>2</v>
      </c>
      <c r="BE49" s="67">
        <f t="shared" si="2"/>
        <v>5</v>
      </c>
      <c r="BF49" s="67">
        <f t="shared" si="3"/>
        <v>0</v>
      </c>
      <c r="BG49" s="67">
        <v>1</v>
      </c>
      <c r="BH49" s="67">
        <v>3</v>
      </c>
      <c r="BI49" s="67">
        <v>2</v>
      </c>
      <c r="BJ49" s="67">
        <v>1</v>
      </c>
      <c r="BK49" s="67">
        <v>1</v>
      </c>
      <c r="BL49" s="67">
        <v>10</v>
      </c>
      <c r="BM49" s="67">
        <f t="shared" si="4"/>
        <v>25</v>
      </c>
      <c r="BN49" s="18">
        <f t="shared" si="5"/>
        <v>25</v>
      </c>
      <c r="BO49" s="18"/>
      <c r="BP49" s="18"/>
      <c r="BQ49" s="1"/>
      <c r="BR49" s="159" t="s">
        <v>319</v>
      </c>
      <c r="BS49" s="98">
        <v>149</v>
      </c>
      <c r="BT49" s="140"/>
    </row>
    <row r="50" spans="1:141" x14ac:dyDescent="0.25">
      <c r="A50" s="18" t="s">
        <v>6</v>
      </c>
      <c r="B50" s="18">
        <v>2024</v>
      </c>
      <c r="C50" s="18" t="s">
        <v>138</v>
      </c>
      <c r="D50" s="18" t="s">
        <v>245</v>
      </c>
      <c r="E50" s="18">
        <v>40</v>
      </c>
      <c r="F50" s="18">
        <v>40</v>
      </c>
      <c r="G50" s="18" t="s">
        <v>153</v>
      </c>
      <c r="H50" s="18" t="s">
        <v>153</v>
      </c>
      <c r="I50" s="18" t="s">
        <v>294</v>
      </c>
      <c r="J50" s="4">
        <v>36</v>
      </c>
      <c r="K50" s="4">
        <v>36.5</v>
      </c>
      <c r="L50" s="4">
        <v>0.5</v>
      </c>
      <c r="M50" s="5">
        <v>0.32</v>
      </c>
      <c r="N50" s="31">
        <v>0.16</v>
      </c>
      <c r="O50" s="31">
        <v>0.16</v>
      </c>
      <c r="P50" s="31">
        <v>8</v>
      </c>
      <c r="Q50" s="31">
        <v>20</v>
      </c>
      <c r="R50" s="31">
        <v>0.24</v>
      </c>
      <c r="S50" s="31">
        <v>0</v>
      </c>
      <c r="T50" s="65">
        <v>0</v>
      </c>
      <c r="U50" s="31">
        <v>10</v>
      </c>
      <c r="V50" s="31"/>
      <c r="W50" s="31">
        <v>10</v>
      </c>
      <c r="X50" s="4">
        <v>24</v>
      </c>
      <c r="Y50" s="18">
        <v>0</v>
      </c>
      <c r="Z50" s="18" t="s">
        <v>100</v>
      </c>
      <c r="AA50" s="18" t="s">
        <v>333</v>
      </c>
      <c r="AB50" s="18" t="s">
        <v>337</v>
      </c>
      <c r="AC50" s="18">
        <v>20</v>
      </c>
      <c r="AD50" s="18">
        <v>8</v>
      </c>
      <c r="AE50" s="18" t="s">
        <v>29</v>
      </c>
      <c r="AF50" s="18" t="s">
        <v>27</v>
      </c>
      <c r="AG50" s="18" t="s">
        <v>27</v>
      </c>
      <c r="AH50" s="18">
        <v>59</v>
      </c>
      <c r="AI50" s="18"/>
      <c r="AJ50" s="18" t="s">
        <v>66</v>
      </c>
      <c r="AK50" s="18" t="s">
        <v>79</v>
      </c>
      <c r="AL50" s="18" t="s">
        <v>96</v>
      </c>
      <c r="AM50" s="18" t="s">
        <v>107</v>
      </c>
      <c r="AN50" s="18" t="s">
        <v>120</v>
      </c>
      <c r="AO50" s="18" t="s">
        <v>198</v>
      </c>
      <c r="AP50" s="18" t="s">
        <v>240</v>
      </c>
      <c r="AQ50" s="18"/>
      <c r="AR50" s="18">
        <v>1</v>
      </c>
      <c r="AS50" s="18">
        <v>1</v>
      </c>
      <c r="AT50" s="18">
        <v>1</v>
      </c>
      <c r="AU50" s="18">
        <v>3</v>
      </c>
      <c r="AV50" s="18">
        <v>2</v>
      </c>
      <c r="AW50" s="18">
        <v>8</v>
      </c>
      <c r="AX50" s="49">
        <f t="shared" si="0"/>
        <v>0</v>
      </c>
      <c r="AY50" s="49">
        <v>2</v>
      </c>
      <c r="AZ50" s="50">
        <f t="shared" si="1"/>
        <v>4</v>
      </c>
      <c r="BA50" s="49">
        <v>8</v>
      </c>
      <c r="BB50" s="49">
        <v>15</v>
      </c>
      <c r="BC50" s="67">
        <v>12</v>
      </c>
      <c r="BD50" s="67">
        <v>2</v>
      </c>
      <c r="BE50" s="67">
        <f t="shared" si="2"/>
        <v>5</v>
      </c>
      <c r="BF50" s="67">
        <f t="shared" si="3"/>
        <v>0</v>
      </c>
      <c r="BG50" s="67">
        <v>1</v>
      </c>
      <c r="BH50" s="67">
        <v>3</v>
      </c>
      <c r="BI50" s="67">
        <v>2</v>
      </c>
      <c r="BJ50" s="67">
        <v>1</v>
      </c>
      <c r="BK50" s="67">
        <v>1</v>
      </c>
      <c r="BL50" s="67">
        <v>10</v>
      </c>
      <c r="BM50" s="67">
        <f t="shared" si="4"/>
        <v>25</v>
      </c>
      <c r="BN50" s="18">
        <f t="shared" si="5"/>
        <v>29</v>
      </c>
      <c r="BO50" s="18"/>
      <c r="BP50" s="18"/>
      <c r="BQ50" s="1"/>
      <c r="BR50" s="159" t="s">
        <v>320</v>
      </c>
      <c r="BS50" s="98">
        <v>4</v>
      </c>
      <c r="BT50" s="140"/>
    </row>
    <row r="51" spans="1:141" x14ac:dyDescent="0.25">
      <c r="A51" s="18" t="s">
        <v>6</v>
      </c>
      <c r="B51" s="18">
        <v>2024</v>
      </c>
      <c r="C51" s="18" t="s">
        <v>138</v>
      </c>
      <c r="D51" s="18" t="s">
        <v>245</v>
      </c>
      <c r="E51" s="18">
        <v>40</v>
      </c>
      <c r="F51" s="18">
        <v>40</v>
      </c>
      <c r="G51" s="18" t="s">
        <v>153</v>
      </c>
      <c r="H51" s="18" t="s">
        <v>153</v>
      </c>
      <c r="I51" s="18" t="s">
        <v>294</v>
      </c>
      <c r="J51" s="4">
        <v>36.5</v>
      </c>
      <c r="K51" s="4">
        <v>37</v>
      </c>
      <c r="L51" s="4">
        <v>0.5</v>
      </c>
      <c r="M51" s="5">
        <v>0.3</v>
      </c>
      <c r="N51" s="31">
        <v>0.15</v>
      </c>
      <c r="O51" s="31">
        <v>0.15</v>
      </c>
      <c r="P51" s="31">
        <v>7.5</v>
      </c>
      <c r="Q51" s="31">
        <v>20</v>
      </c>
      <c r="R51" s="31">
        <v>0.11</v>
      </c>
      <c r="S51" s="31">
        <v>0</v>
      </c>
      <c r="T51" s="65">
        <v>0</v>
      </c>
      <c r="U51" s="31">
        <v>10</v>
      </c>
      <c r="V51" s="31"/>
      <c r="W51" s="31">
        <v>10</v>
      </c>
      <c r="X51" s="4">
        <v>11</v>
      </c>
      <c r="Y51" s="18">
        <v>0</v>
      </c>
      <c r="Z51" s="18" t="s">
        <v>100</v>
      </c>
      <c r="AA51" s="18" t="s">
        <v>333</v>
      </c>
      <c r="AB51" s="18" t="s">
        <v>337</v>
      </c>
      <c r="AC51" s="18">
        <v>20</v>
      </c>
      <c r="AD51" s="18">
        <v>7.5</v>
      </c>
      <c r="AE51" s="18" t="s">
        <v>29</v>
      </c>
      <c r="AF51" s="18" t="s">
        <v>27</v>
      </c>
      <c r="AG51" s="18" t="s">
        <v>27</v>
      </c>
      <c r="AH51" s="18">
        <v>59</v>
      </c>
      <c r="AI51" s="18"/>
      <c r="AJ51" s="18" t="s">
        <v>66</v>
      </c>
      <c r="AK51" s="18" t="s">
        <v>79</v>
      </c>
      <c r="AL51" s="18" t="s">
        <v>96</v>
      </c>
      <c r="AM51" s="18" t="s">
        <v>107</v>
      </c>
      <c r="AN51" s="18" t="s">
        <v>120</v>
      </c>
      <c r="AO51" s="18" t="s">
        <v>198</v>
      </c>
      <c r="AP51" s="18" t="s">
        <v>240</v>
      </c>
      <c r="AQ51" s="18"/>
      <c r="AR51" s="18">
        <v>1</v>
      </c>
      <c r="AS51" s="18">
        <v>1</v>
      </c>
      <c r="AT51" s="18">
        <v>1</v>
      </c>
      <c r="AU51" s="18">
        <v>3</v>
      </c>
      <c r="AV51" s="18">
        <v>2</v>
      </c>
      <c r="AW51" s="18">
        <v>8</v>
      </c>
      <c r="AX51" s="49">
        <f t="shared" si="0"/>
        <v>0</v>
      </c>
      <c r="AY51" s="49">
        <v>2</v>
      </c>
      <c r="AZ51" s="50">
        <f t="shared" si="1"/>
        <v>3</v>
      </c>
      <c r="BA51" s="49">
        <v>8</v>
      </c>
      <c r="BB51" s="49">
        <v>15</v>
      </c>
      <c r="BC51" s="67">
        <v>12</v>
      </c>
      <c r="BD51" s="67">
        <v>2</v>
      </c>
      <c r="BE51" s="67">
        <f t="shared" si="2"/>
        <v>5</v>
      </c>
      <c r="BF51" s="67">
        <f t="shared" si="3"/>
        <v>0</v>
      </c>
      <c r="BG51" s="67">
        <v>1</v>
      </c>
      <c r="BH51" s="67">
        <v>3</v>
      </c>
      <c r="BI51" s="67">
        <v>2</v>
      </c>
      <c r="BJ51" s="67">
        <v>1</v>
      </c>
      <c r="BK51" s="67">
        <v>1</v>
      </c>
      <c r="BL51" s="67">
        <v>10</v>
      </c>
      <c r="BM51" s="67">
        <f t="shared" si="4"/>
        <v>25</v>
      </c>
      <c r="BN51" s="18">
        <f t="shared" si="5"/>
        <v>28</v>
      </c>
      <c r="BO51" s="18"/>
      <c r="BP51" s="18"/>
      <c r="BQ51" s="1"/>
      <c r="BR51" s="159" t="s">
        <v>321</v>
      </c>
      <c r="BS51" s="98">
        <v>0</v>
      </c>
      <c r="BT51" s="140"/>
    </row>
    <row r="52" spans="1:141" ht="15.75" thickBot="1" x14ac:dyDescent="0.3">
      <c r="A52" s="18" t="s">
        <v>6</v>
      </c>
      <c r="B52" s="18">
        <v>2024</v>
      </c>
      <c r="C52" s="18" t="s">
        <v>138</v>
      </c>
      <c r="D52" s="18" t="s">
        <v>245</v>
      </c>
      <c r="E52" s="18">
        <v>40</v>
      </c>
      <c r="F52" s="18">
        <v>40</v>
      </c>
      <c r="G52" s="18" t="s">
        <v>153</v>
      </c>
      <c r="H52" s="18" t="s">
        <v>153</v>
      </c>
      <c r="I52" s="18" t="s">
        <v>294</v>
      </c>
      <c r="J52" s="4">
        <v>37</v>
      </c>
      <c r="K52" s="4">
        <v>37.5</v>
      </c>
      <c r="L52" s="4">
        <v>0.5</v>
      </c>
      <c r="M52" s="5">
        <v>0.28000000000000003</v>
      </c>
      <c r="N52" s="31">
        <v>0.14000000000000001</v>
      </c>
      <c r="O52" s="31">
        <v>0.14000000000000001</v>
      </c>
      <c r="P52" s="31">
        <v>28</v>
      </c>
      <c r="Q52" s="31">
        <v>5</v>
      </c>
      <c r="R52" s="31">
        <v>0.12</v>
      </c>
      <c r="S52" s="31">
        <v>0</v>
      </c>
      <c r="T52" s="65">
        <v>0</v>
      </c>
      <c r="U52" s="31">
        <v>10</v>
      </c>
      <c r="V52" s="31"/>
      <c r="W52" s="31">
        <v>10</v>
      </c>
      <c r="X52" s="4">
        <v>12</v>
      </c>
      <c r="Y52" s="18">
        <v>0</v>
      </c>
      <c r="Z52" s="18" t="s">
        <v>100</v>
      </c>
      <c r="AA52" s="18" t="s">
        <v>118</v>
      </c>
      <c r="AB52" s="18" t="s">
        <v>337</v>
      </c>
      <c r="AC52" s="18">
        <v>5</v>
      </c>
      <c r="AD52" s="18">
        <v>28</v>
      </c>
      <c r="AE52" s="18" t="s">
        <v>29</v>
      </c>
      <c r="AF52" s="18" t="s">
        <v>27</v>
      </c>
      <c r="AG52" s="18" t="s">
        <v>27</v>
      </c>
      <c r="AH52" s="18">
        <v>59</v>
      </c>
      <c r="AI52" s="18"/>
      <c r="AJ52" s="18" t="s">
        <v>66</v>
      </c>
      <c r="AK52" s="18" t="s">
        <v>79</v>
      </c>
      <c r="AL52" s="18" t="s">
        <v>96</v>
      </c>
      <c r="AM52" s="18" t="s">
        <v>107</v>
      </c>
      <c r="AN52" s="18" t="s">
        <v>120</v>
      </c>
      <c r="AO52" s="18" t="s">
        <v>198</v>
      </c>
      <c r="AP52" s="18" t="s">
        <v>240</v>
      </c>
      <c r="AQ52" s="18"/>
      <c r="AR52" s="18">
        <v>1</v>
      </c>
      <c r="AS52" s="18">
        <v>1</v>
      </c>
      <c r="AT52" s="18">
        <v>1</v>
      </c>
      <c r="AU52" s="18">
        <v>3</v>
      </c>
      <c r="AV52" s="18">
        <v>2</v>
      </c>
      <c r="AW52" s="18">
        <v>8</v>
      </c>
      <c r="AX52" s="49">
        <f t="shared" si="0"/>
        <v>0</v>
      </c>
      <c r="AY52" s="49">
        <v>2</v>
      </c>
      <c r="AZ52" s="50">
        <f t="shared" si="1"/>
        <v>4</v>
      </c>
      <c r="BA52" s="49">
        <v>8</v>
      </c>
      <c r="BB52" s="49">
        <v>15</v>
      </c>
      <c r="BC52" s="67">
        <v>12</v>
      </c>
      <c r="BD52" s="67">
        <v>2</v>
      </c>
      <c r="BE52" s="67">
        <f t="shared" si="2"/>
        <v>5</v>
      </c>
      <c r="BF52" s="67">
        <f t="shared" si="3"/>
        <v>0</v>
      </c>
      <c r="BG52" s="67">
        <v>1</v>
      </c>
      <c r="BH52" s="67">
        <v>3</v>
      </c>
      <c r="BI52" s="67">
        <v>2</v>
      </c>
      <c r="BJ52" s="67">
        <v>1</v>
      </c>
      <c r="BK52" s="67">
        <v>1</v>
      </c>
      <c r="BL52" s="67">
        <v>10</v>
      </c>
      <c r="BM52" s="67">
        <f t="shared" si="4"/>
        <v>25</v>
      </c>
      <c r="BN52" s="18">
        <f t="shared" si="5"/>
        <v>29</v>
      </c>
      <c r="BO52" s="18"/>
      <c r="BP52" s="18"/>
      <c r="BQ52" s="1"/>
      <c r="BR52" s="162" t="s">
        <v>322</v>
      </c>
      <c r="BS52" s="137">
        <v>0.25657849809308075</v>
      </c>
      <c r="BT52" s="140"/>
    </row>
    <row r="53" spans="1:141" ht="15.75" thickBot="1" x14ac:dyDescent="0.3">
      <c r="A53" s="18" t="s">
        <v>6</v>
      </c>
      <c r="B53" s="18">
        <v>2024</v>
      </c>
      <c r="C53" s="18" t="s">
        <v>138</v>
      </c>
      <c r="D53" s="18" t="s">
        <v>245</v>
      </c>
      <c r="E53" s="18">
        <v>40</v>
      </c>
      <c r="F53" s="18">
        <v>40</v>
      </c>
      <c r="G53" s="18" t="s">
        <v>153</v>
      </c>
      <c r="H53" s="18" t="s">
        <v>153</v>
      </c>
      <c r="I53" s="18" t="s">
        <v>294</v>
      </c>
      <c r="J53" s="4">
        <v>37.5</v>
      </c>
      <c r="K53" s="4">
        <v>38</v>
      </c>
      <c r="L53" s="4">
        <v>0.5</v>
      </c>
      <c r="M53" s="5">
        <v>0.54</v>
      </c>
      <c r="N53" s="31">
        <v>0.27</v>
      </c>
      <c r="O53" s="31">
        <v>0.27</v>
      </c>
      <c r="P53" s="31">
        <v>54</v>
      </c>
      <c r="Q53" s="31">
        <v>5</v>
      </c>
      <c r="R53" s="31">
        <v>0.26</v>
      </c>
      <c r="S53" s="31">
        <v>0</v>
      </c>
      <c r="T53" s="65">
        <v>0</v>
      </c>
      <c r="U53" s="31">
        <v>3</v>
      </c>
      <c r="V53" s="31"/>
      <c r="W53" s="31">
        <v>3</v>
      </c>
      <c r="X53" s="4">
        <v>86.666666666666671</v>
      </c>
      <c r="Y53" s="18">
        <v>0</v>
      </c>
      <c r="Z53" s="18" t="s">
        <v>100</v>
      </c>
      <c r="AA53" s="18" t="s">
        <v>118</v>
      </c>
      <c r="AB53" s="18" t="s">
        <v>337</v>
      </c>
      <c r="AC53" s="18">
        <v>5</v>
      </c>
      <c r="AD53" s="18">
        <v>54</v>
      </c>
      <c r="AE53" s="18" t="s">
        <v>29</v>
      </c>
      <c r="AF53" s="18" t="s">
        <v>27</v>
      </c>
      <c r="AG53" s="18" t="s">
        <v>27</v>
      </c>
      <c r="AH53" s="18">
        <v>59</v>
      </c>
      <c r="AI53" s="18"/>
      <c r="AJ53" s="18" t="s">
        <v>64</v>
      </c>
      <c r="AK53" s="18" t="s">
        <v>79</v>
      </c>
      <c r="AL53" s="18" t="s">
        <v>96</v>
      </c>
      <c r="AM53" s="18" t="s">
        <v>109</v>
      </c>
      <c r="AN53" s="18" t="s">
        <v>120</v>
      </c>
      <c r="AO53" s="18" t="s">
        <v>198</v>
      </c>
      <c r="AP53" s="18" t="s">
        <v>241</v>
      </c>
      <c r="AQ53" s="18"/>
      <c r="AR53" s="18">
        <v>2</v>
      </c>
      <c r="AS53" s="18">
        <v>1</v>
      </c>
      <c r="AT53" s="18">
        <v>1</v>
      </c>
      <c r="AU53" s="18">
        <v>1</v>
      </c>
      <c r="AV53" s="18">
        <v>2</v>
      </c>
      <c r="AW53" s="18">
        <v>7</v>
      </c>
      <c r="AX53" s="49">
        <f t="shared" si="0"/>
        <v>0</v>
      </c>
      <c r="AY53" s="49">
        <v>2</v>
      </c>
      <c r="AZ53" s="50">
        <f t="shared" si="1"/>
        <v>7</v>
      </c>
      <c r="BA53" s="49">
        <v>7</v>
      </c>
      <c r="BB53" s="49">
        <v>15</v>
      </c>
      <c r="BC53" s="67">
        <v>10.5</v>
      </c>
      <c r="BD53" s="67">
        <v>2</v>
      </c>
      <c r="BE53" s="67">
        <f t="shared" si="2"/>
        <v>7</v>
      </c>
      <c r="BF53" s="67">
        <f t="shared" si="3"/>
        <v>0</v>
      </c>
      <c r="BG53" s="67">
        <v>1</v>
      </c>
      <c r="BH53" s="67">
        <v>1</v>
      </c>
      <c r="BI53" s="67">
        <v>2</v>
      </c>
      <c r="BJ53" s="67">
        <v>1</v>
      </c>
      <c r="BK53" s="67">
        <v>3</v>
      </c>
      <c r="BL53" s="67">
        <v>10</v>
      </c>
      <c r="BM53" s="67">
        <f t="shared" si="4"/>
        <v>27</v>
      </c>
      <c r="BN53" s="18">
        <f t="shared" si="5"/>
        <v>31</v>
      </c>
      <c r="BO53" s="18"/>
      <c r="BP53" s="18"/>
      <c r="BQ53" s="1"/>
      <c r="BR53" s="162"/>
      <c r="BS53" s="137"/>
      <c r="BT53" s="141"/>
    </row>
    <row r="54" spans="1:141" x14ac:dyDescent="0.25">
      <c r="A54" s="18" t="s">
        <v>6</v>
      </c>
      <c r="B54" s="18">
        <v>2024</v>
      </c>
      <c r="C54" s="18" t="s">
        <v>138</v>
      </c>
      <c r="D54" s="18" t="s">
        <v>245</v>
      </c>
      <c r="E54" s="18">
        <v>40</v>
      </c>
      <c r="F54" s="18">
        <v>40</v>
      </c>
      <c r="G54" s="18" t="s">
        <v>153</v>
      </c>
      <c r="H54" s="18" t="s">
        <v>153</v>
      </c>
      <c r="I54" s="18" t="s">
        <v>295</v>
      </c>
      <c r="J54" s="4">
        <v>38</v>
      </c>
      <c r="K54" s="4">
        <v>38.5</v>
      </c>
      <c r="L54" s="4">
        <v>0.5</v>
      </c>
      <c r="M54" s="5">
        <v>0.54</v>
      </c>
      <c r="N54" s="31">
        <v>0.27</v>
      </c>
      <c r="O54" s="31">
        <v>0.27</v>
      </c>
      <c r="P54" s="31">
        <v>270</v>
      </c>
      <c r="Q54" s="31">
        <v>1</v>
      </c>
      <c r="R54" s="31">
        <v>0.26</v>
      </c>
      <c r="S54" s="31">
        <v>0</v>
      </c>
      <c r="T54" s="65">
        <v>0</v>
      </c>
      <c r="U54" s="31">
        <v>10</v>
      </c>
      <c r="V54" s="31"/>
      <c r="W54" s="31">
        <v>10</v>
      </c>
      <c r="X54" s="4">
        <v>26</v>
      </c>
      <c r="Y54" s="18">
        <v>0</v>
      </c>
      <c r="Z54" s="18" t="s">
        <v>100</v>
      </c>
      <c r="AA54" s="18" t="s">
        <v>116</v>
      </c>
      <c r="AB54" s="18" t="s">
        <v>337</v>
      </c>
      <c r="AC54" s="18">
        <v>1</v>
      </c>
      <c r="AD54" s="18">
        <v>270</v>
      </c>
      <c r="AE54" s="18" t="s">
        <v>29</v>
      </c>
      <c r="AF54" s="18" t="s">
        <v>228</v>
      </c>
      <c r="AG54" s="18" t="s">
        <v>228</v>
      </c>
      <c r="AH54" s="18">
        <v>17</v>
      </c>
      <c r="AI54" s="18"/>
      <c r="AJ54" s="18" t="s">
        <v>66</v>
      </c>
      <c r="AK54" s="18" t="s">
        <v>81</v>
      </c>
      <c r="AL54" s="18" t="s">
        <v>100</v>
      </c>
      <c r="AM54" s="18" t="s">
        <v>109</v>
      </c>
      <c r="AN54" s="18" t="s">
        <v>122</v>
      </c>
      <c r="AO54" s="18" t="s">
        <v>198</v>
      </c>
      <c r="AP54" s="18" t="s">
        <v>241</v>
      </c>
      <c r="AQ54" s="18"/>
      <c r="AR54" s="18">
        <v>1</v>
      </c>
      <c r="AS54" s="18">
        <v>0</v>
      </c>
      <c r="AT54" s="18">
        <v>0</v>
      </c>
      <c r="AU54" s="18">
        <v>1</v>
      </c>
      <c r="AV54" s="18">
        <v>0</v>
      </c>
      <c r="AW54" s="18">
        <v>2</v>
      </c>
      <c r="AX54" s="49">
        <f t="shared" si="0"/>
        <v>0</v>
      </c>
      <c r="AY54" s="49">
        <v>2</v>
      </c>
      <c r="AZ54" s="50">
        <f t="shared" si="1"/>
        <v>5</v>
      </c>
      <c r="BA54" s="49">
        <v>2</v>
      </c>
      <c r="BB54" s="49">
        <v>15</v>
      </c>
      <c r="BC54" s="67">
        <v>3</v>
      </c>
      <c r="BD54" s="67">
        <v>2</v>
      </c>
      <c r="BE54" s="67">
        <f t="shared" si="2"/>
        <v>5</v>
      </c>
      <c r="BF54" s="67">
        <f t="shared" si="3"/>
        <v>0</v>
      </c>
      <c r="BG54" s="67">
        <v>0</v>
      </c>
      <c r="BH54" s="67">
        <v>1</v>
      </c>
      <c r="BI54" s="67">
        <v>0</v>
      </c>
      <c r="BJ54" s="67">
        <v>0</v>
      </c>
      <c r="BK54" s="67">
        <v>1</v>
      </c>
      <c r="BL54" s="67">
        <v>10</v>
      </c>
      <c r="BM54" s="67">
        <f t="shared" si="4"/>
        <v>19</v>
      </c>
      <c r="BN54" s="18">
        <f t="shared" si="5"/>
        <v>24</v>
      </c>
      <c r="BO54" s="18"/>
      <c r="BP54" s="18"/>
      <c r="BQ54" s="1"/>
    </row>
    <row r="55" spans="1:141" x14ac:dyDescent="0.25">
      <c r="A55" s="18" t="s">
        <v>6</v>
      </c>
      <c r="B55" s="18">
        <v>2024</v>
      </c>
      <c r="C55" s="18" t="s">
        <v>138</v>
      </c>
      <c r="D55" s="18" t="s">
        <v>245</v>
      </c>
      <c r="E55" s="18">
        <v>40</v>
      </c>
      <c r="F55" s="18">
        <v>40</v>
      </c>
      <c r="G55" s="18" t="s">
        <v>153</v>
      </c>
      <c r="H55" s="18" t="s">
        <v>153</v>
      </c>
      <c r="I55" s="18" t="s">
        <v>295</v>
      </c>
      <c r="J55" s="4">
        <v>38.5</v>
      </c>
      <c r="K55" s="4">
        <v>39</v>
      </c>
      <c r="L55" s="4">
        <v>0.5</v>
      </c>
      <c r="M55" s="5">
        <v>0.38</v>
      </c>
      <c r="N55" s="31">
        <v>0.19</v>
      </c>
      <c r="O55" s="31">
        <v>0.19</v>
      </c>
      <c r="P55" s="31">
        <v>38</v>
      </c>
      <c r="Q55" s="31">
        <v>5</v>
      </c>
      <c r="R55" s="31">
        <v>0.16</v>
      </c>
      <c r="S55" s="31">
        <v>0</v>
      </c>
      <c r="T55" s="65">
        <v>0</v>
      </c>
      <c r="U55" s="31">
        <v>15</v>
      </c>
      <c r="V55" s="31"/>
      <c r="W55" s="31">
        <v>15</v>
      </c>
      <c r="X55" s="4">
        <v>10.666666666666666</v>
      </c>
      <c r="Y55" s="18">
        <v>0</v>
      </c>
      <c r="Z55" s="18" t="s">
        <v>330</v>
      </c>
      <c r="AA55" s="18" t="s">
        <v>118</v>
      </c>
      <c r="AB55" s="18" t="s">
        <v>334</v>
      </c>
      <c r="AC55" s="18">
        <v>5</v>
      </c>
      <c r="AD55" s="18">
        <v>38</v>
      </c>
      <c r="AE55" s="18" t="s">
        <v>27</v>
      </c>
      <c r="AF55" s="18" t="s">
        <v>228</v>
      </c>
      <c r="AG55" s="18" t="s">
        <v>228</v>
      </c>
      <c r="AH55" s="18">
        <v>17</v>
      </c>
      <c r="AI55" s="18"/>
      <c r="AJ55" s="18" t="s">
        <v>66</v>
      </c>
      <c r="AK55" s="18" t="s">
        <v>81</v>
      </c>
      <c r="AL55" s="18" t="s">
        <v>100</v>
      </c>
      <c r="AM55" s="18" t="s">
        <v>109</v>
      </c>
      <c r="AN55" s="18" t="s">
        <v>122</v>
      </c>
      <c r="AO55" s="18" t="s">
        <v>198</v>
      </c>
      <c r="AP55" s="18" t="s">
        <v>241</v>
      </c>
      <c r="AQ55" s="18"/>
      <c r="AR55" s="18">
        <v>1</v>
      </c>
      <c r="AS55" s="18">
        <v>0</v>
      </c>
      <c r="AT55" s="18">
        <v>0</v>
      </c>
      <c r="AU55" s="18">
        <v>1</v>
      </c>
      <c r="AV55" s="18">
        <v>0</v>
      </c>
      <c r="AW55" s="18">
        <v>2</v>
      </c>
      <c r="AX55" s="49">
        <f t="shared" si="0"/>
        <v>0</v>
      </c>
      <c r="AY55" s="49">
        <v>4</v>
      </c>
      <c r="AZ55" s="50">
        <f t="shared" si="1"/>
        <v>3</v>
      </c>
      <c r="BA55" s="49">
        <v>2</v>
      </c>
      <c r="BB55" s="49">
        <v>15</v>
      </c>
      <c r="BC55" s="67">
        <v>3</v>
      </c>
      <c r="BD55" s="67">
        <v>4</v>
      </c>
      <c r="BE55" s="67">
        <f t="shared" si="2"/>
        <v>5</v>
      </c>
      <c r="BF55" s="67">
        <f t="shared" si="3"/>
        <v>0</v>
      </c>
      <c r="BG55" s="67">
        <v>0</v>
      </c>
      <c r="BH55" s="67">
        <v>1</v>
      </c>
      <c r="BI55" s="67">
        <v>0</v>
      </c>
      <c r="BJ55" s="67">
        <v>0</v>
      </c>
      <c r="BK55" s="67">
        <v>1</v>
      </c>
      <c r="BL55" s="67">
        <v>10</v>
      </c>
      <c r="BM55" s="67">
        <f t="shared" si="4"/>
        <v>21</v>
      </c>
      <c r="BN55" s="18">
        <f t="shared" si="5"/>
        <v>24</v>
      </c>
      <c r="BO55" s="18"/>
      <c r="BP55" s="18"/>
      <c r="BQ55" s="1"/>
    </row>
    <row r="56" spans="1:141" ht="15.75" thickBot="1" x14ac:dyDescent="0.3">
      <c r="A56" s="18" t="s">
        <v>6</v>
      </c>
      <c r="B56" s="18">
        <v>2024</v>
      </c>
      <c r="C56" s="18" t="s">
        <v>138</v>
      </c>
      <c r="D56" s="18" t="s">
        <v>245</v>
      </c>
      <c r="E56" s="18">
        <v>40</v>
      </c>
      <c r="F56" s="18">
        <v>40</v>
      </c>
      <c r="G56" s="18" t="s">
        <v>153</v>
      </c>
      <c r="H56" s="18" t="s">
        <v>153</v>
      </c>
      <c r="I56" s="18" t="s">
        <v>295</v>
      </c>
      <c r="J56" s="4">
        <v>39</v>
      </c>
      <c r="K56" s="4">
        <v>39.5</v>
      </c>
      <c r="L56" s="4">
        <v>0.5</v>
      </c>
      <c r="M56" s="5">
        <v>0.4</v>
      </c>
      <c r="N56" s="31">
        <v>0.2</v>
      </c>
      <c r="O56" s="31">
        <v>0.2</v>
      </c>
      <c r="P56" s="31">
        <v>200</v>
      </c>
      <c r="Q56" s="31">
        <v>1</v>
      </c>
      <c r="R56" s="31">
        <v>0.18</v>
      </c>
      <c r="S56" s="31">
        <v>0</v>
      </c>
      <c r="T56" s="65">
        <v>0</v>
      </c>
      <c r="U56" s="31">
        <v>15</v>
      </c>
      <c r="V56" s="31"/>
      <c r="W56" s="31">
        <v>15</v>
      </c>
      <c r="X56" s="4">
        <v>12</v>
      </c>
      <c r="Y56" s="18">
        <v>0</v>
      </c>
      <c r="Z56" s="18" t="s">
        <v>330</v>
      </c>
      <c r="AA56" s="18" t="s">
        <v>116</v>
      </c>
      <c r="AB56" s="18" t="s">
        <v>334</v>
      </c>
      <c r="AC56" s="18">
        <v>1</v>
      </c>
      <c r="AD56" s="18">
        <v>200</v>
      </c>
      <c r="AE56" s="18" t="s">
        <v>27</v>
      </c>
      <c r="AF56" s="18" t="s">
        <v>228</v>
      </c>
      <c r="AG56" s="18" t="s">
        <v>228</v>
      </c>
      <c r="AH56" s="18">
        <v>17</v>
      </c>
      <c r="AI56" s="18"/>
      <c r="AJ56" s="18" t="s">
        <v>66</v>
      </c>
      <c r="AK56" s="18" t="s">
        <v>81</v>
      </c>
      <c r="AL56" s="18" t="s">
        <v>100</v>
      </c>
      <c r="AM56" s="18" t="s">
        <v>109</v>
      </c>
      <c r="AN56" s="18" t="s">
        <v>122</v>
      </c>
      <c r="AO56" s="18" t="s">
        <v>198</v>
      </c>
      <c r="AP56" s="18" t="s">
        <v>241</v>
      </c>
      <c r="AQ56" s="18"/>
      <c r="AR56" s="18">
        <v>1</v>
      </c>
      <c r="AS56" s="18">
        <v>0</v>
      </c>
      <c r="AT56" s="18">
        <v>0</v>
      </c>
      <c r="AU56" s="18">
        <v>1</v>
      </c>
      <c r="AV56" s="18">
        <v>0</v>
      </c>
      <c r="AW56" s="18">
        <v>2</v>
      </c>
      <c r="AX56" s="49">
        <f t="shared" si="0"/>
        <v>0</v>
      </c>
      <c r="AY56" s="49">
        <v>4</v>
      </c>
      <c r="AZ56" s="50">
        <f t="shared" si="1"/>
        <v>4</v>
      </c>
      <c r="BA56" s="49">
        <v>2</v>
      </c>
      <c r="BB56" s="49">
        <v>15</v>
      </c>
      <c r="BC56" s="67">
        <v>3</v>
      </c>
      <c r="BD56" s="67">
        <v>4</v>
      </c>
      <c r="BE56" s="67">
        <f t="shared" si="2"/>
        <v>5</v>
      </c>
      <c r="BF56" s="67">
        <f t="shared" si="3"/>
        <v>0</v>
      </c>
      <c r="BG56" s="67">
        <v>0</v>
      </c>
      <c r="BH56" s="67">
        <v>1</v>
      </c>
      <c r="BI56" s="67">
        <v>0</v>
      </c>
      <c r="BJ56" s="67">
        <v>0</v>
      </c>
      <c r="BK56" s="67">
        <v>1</v>
      </c>
      <c r="BL56" s="67">
        <v>10</v>
      </c>
      <c r="BM56" s="67">
        <f t="shared" si="4"/>
        <v>21</v>
      </c>
      <c r="BN56" s="18">
        <f t="shared" si="5"/>
        <v>25</v>
      </c>
      <c r="BO56" s="18"/>
      <c r="BP56" s="18"/>
      <c r="BQ56" s="1"/>
    </row>
    <row r="57" spans="1:141" ht="15.75" thickBot="1" x14ac:dyDescent="0.3">
      <c r="A57" s="18" t="s">
        <v>6</v>
      </c>
      <c r="B57" s="18">
        <v>2024</v>
      </c>
      <c r="C57" s="18" t="s">
        <v>138</v>
      </c>
      <c r="D57" s="18" t="s">
        <v>245</v>
      </c>
      <c r="E57" s="18">
        <v>40</v>
      </c>
      <c r="F57" s="18">
        <v>40</v>
      </c>
      <c r="G57" s="18" t="s">
        <v>153</v>
      </c>
      <c r="H57" s="18" t="s">
        <v>153</v>
      </c>
      <c r="I57" s="18" t="s">
        <v>296</v>
      </c>
      <c r="J57" s="4">
        <v>39.5</v>
      </c>
      <c r="K57" s="4">
        <v>40</v>
      </c>
      <c r="L57" s="4">
        <v>0.5</v>
      </c>
      <c r="M57" s="5">
        <v>0.66</v>
      </c>
      <c r="N57" s="31">
        <v>0.33</v>
      </c>
      <c r="O57" s="31">
        <v>0.33</v>
      </c>
      <c r="P57" s="31">
        <v>66</v>
      </c>
      <c r="Q57" s="31">
        <v>5</v>
      </c>
      <c r="R57" s="31">
        <v>0.32</v>
      </c>
      <c r="S57" s="31">
        <v>0</v>
      </c>
      <c r="T57" s="65">
        <v>0</v>
      </c>
      <c r="U57" s="31">
        <v>7</v>
      </c>
      <c r="V57" s="31"/>
      <c r="W57" s="31">
        <v>7</v>
      </c>
      <c r="X57" s="4">
        <v>45.714285714285715</v>
      </c>
      <c r="Y57" s="18">
        <v>0</v>
      </c>
      <c r="Z57" s="18" t="s">
        <v>330</v>
      </c>
      <c r="AA57" s="18" t="s">
        <v>118</v>
      </c>
      <c r="AB57" s="18" t="s">
        <v>334</v>
      </c>
      <c r="AC57" s="18">
        <v>5</v>
      </c>
      <c r="AD57" s="18">
        <v>66</v>
      </c>
      <c r="AE57" s="18" t="s">
        <v>27</v>
      </c>
      <c r="AF57" s="18" t="s">
        <v>199</v>
      </c>
      <c r="AG57" s="18" t="s">
        <v>199</v>
      </c>
      <c r="AH57" s="18">
        <v>17</v>
      </c>
      <c r="AI57" s="18"/>
      <c r="AJ57" s="18" t="s">
        <v>66</v>
      </c>
      <c r="AK57" s="18" t="s">
        <v>79</v>
      </c>
      <c r="AL57" s="18" t="s">
        <v>96</v>
      </c>
      <c r="AM57" s="18" t="s">
        <v>107</v>
      </c>
      <c r="AN57" s="18" t="s">
        <v>120</v>
      </c>
      <c r="AO57" s="18" t="s">
        <v>198</v>
      </c>
      <c r="AP57" s="18" t="s">
        <v>240</v>
      </c>
      <c r="AQ57" s="18"/>
      <c r="AR57" s="18">
        <v>1</v>
      </c>
      <c r="AS57" s="18">
        <v>1</v>
      </c>
      <c r="AT57" s="18">
        <v>1</v>
      </c>
      <c r="AU57" s="18">
        <v>3</v>
      </c>
      <c r="AV57" s="18">
        <v>2</v>
      </c>
      <c r="AW57" s="18">
        <v>8</v>
      </c>
      <c r="AX57" s="49">
        <f t="shared" si="0"/>
        <v>0</v>
      </c>
      <c r="AY57" s="49">
        <v>4</v>
      </c>
      <c r="AZ57" s="50">
        <f t="shared" si="1"/>
        <v>6</v>
      </c>
      <c r="BA57" s="49">
        <v>8</v>
      </c>
      <c r="BB57" s="49">
        <v>15</v>
      </c>
      <c r="BC57" s="67">
        <v>12</v>
      </c>
      <c r="BD57" s="67">
        <v>4</v>
      </c>
      <c r="BE57" s="67">
        <f t="shared" si="2"/>
        <v>5</v>
      </c>
      <c r="BF57" s="67">
        <f t="shared" si="3"/>
        <v>0</v>
      </c>
      <c r="BG57" s="67">
        <v>1</v>
      </c>
      <c r="BH57" s="67">
        <v>3</v>
      </c>
      <c r="BI57" s="67">
        <v>2</v>
      </c>
      <c r="BJ57" s="67">
        <v>1</v>
      </c>
      <c r="BK57" s="67">
        <v>1</v>
      </c>
      <c r="BL57" s="67">
        <v>10</v>
      </c>
      <c r="BM57" s="67">
        <f t="shared" si="4"/>
        <v>27</v>
      </c>
      <c r="BN57" s="18">
        <f t="shared" si="5"/>
        <v>33</v>
      </c>
      <c r="BO57" s="18"/>
      <c r="BP57" s="18"/>
      <c r="BQ57" s="1"/>
      <c r="BR57" s="157" t="s">
        <v>12</v>
      </c>
      <c r="BS57" s="138"/>
      <c r="BT57" s="139"/>
    </row>
    <row r="58" spans="1:141" x14ac:dyDescent="0.25">
      <c r="A58" s="18" t="s">
        <v>6</v>
      </c>
      <c r="B58" s="18">
        <v>2024</v>
      </c>
      <c r="C58" s="18" t="s">
        <v>138</v>
      </c>
      <c r="D58" s="18" t="s">
        <v>245</v>
      </c>
      <c r="E58" s="18">
        <v>40</v>
      </c>
      <c r="F58" s="18">
        <v>40</v>
      </c>
      <c r="G58" s="18" t="s">
        <v>153</v>
      </c>
      <c r="H58" s="18" t="s">
        <v>153</v>
      </c>
      <c r="I58" s="18" t="s">
        <v>296</v>
      </c>
      <c r="J58" s="4">
        <v>40</v>
      </c>
      <c r="K58" s="4">
        <v>40.5</v>
      </c>
      <c r="L58" s="4">
        <v>0.5</v>
      </c>
      <c r="M58" s="5">
        <v>0.4</v>
      </c>
      <c r="N58" s="31">
        <v>0.2</v>
      </c>
      <c r="O58" s="31">
        <v>0.2</v>
      </c>
      <c r="P58" s="31">
        <v>200</v>
      </c>
      <c r="Q58" s="31">
        <v>1</v>
      </c>
      <c r="R58" s="31">
        <v>0.16</v>
      </c>
      <c r="S58" s="31">
        <v>0</v>
      </c>
      <c r="T58" s="65">
        <v>0</v>
      </c>
      <c r="U58" s="31">
        <v>8</v>
      </c>
      <c r="V58" s="31"/>
      <c r="W58" s="31">
        <v>8</v>
      </c>
      <c r="X58" s="4">
        <v>20</v>
      </c>
      <c r="Y58" s="18">
        <v>0</v>
      </c>
      <c r="Z58" s="18" t="s">
        <v>330</v>
      </c>
      <c r="AA58" s="18" t="s">
        <v>116</v>
      </c>
      <c r="AB58" s="18" t="s">
        <v>334</v>
      </c>
      <c r="AC58" s="18">
        <v>1</v>
      </c>
      <c r="AD58" s="18">
        <v>200</v>
      </c>
      <c r="AE58" s="18" t="s">
        <v>27</v>
      </c>
      <c r="AF58" s="18" t="s">
        <v>199</v>
      </c>
      <c r="AG58" s="18" t="s">
        <v>199</v>
      </c>
      <c r="AH58" s="18">
        <v>17</v>
      </c>
      <c r="AI58" s="18"/>
      <c r="AJ58" s="18" t="s">
        <v>66</v>
      </c>
      <c r="AK58" s="18" t="s">
        <v>79</v>
      </c>
      <c r="AL58" s="18" t="s">
        <v>96</v>
      </c>
      <c r="AM58" s="18" t="s">
        <v>107</v>
      </c>
      <c r="AN58" s="18" t="s">
        <v>120</v>
      </c>
      <c r="AO58" s="18" t="s">
        <v>198</v>
      </c>
      <c r="AP58" s="18" t="s">
        <v>240</v>
      </c>
      <c r="AQ58" s="18"/>
      <c r="AR58" s="18">
        <v>1</v>
      </c>
      <c r="AS58" s="18">
        <v>1</v>
      </c>
      <c r="AT58" s="18">
        <v>1</v>
      </c>
      <c r="AU58" s="18">
        <v>3</v>
      </c>
      <c r="AV58" s="18">
        <v>2</v>
      </c>
      <c r="AW58" s="18">
        <v>8</v>
      </c>
      <c r="AX58" s="49">
        <f t="shared" si="0"/>
        <v>0</v>
      </c>
      <c r="AY58" s="49">
        <v>4</v>
      </c>
      <c r="AZ58" s="50">
        <f t="shared" si="1"/>
        <v>4</v>
      </c>
      <c r="BA58" s="49">
        <v>8</v>
      </c>
      <c r="BB58" s="49">
        <v>15</v>
      </c>
      <c r="BC58" s="67">
        <v>12</v>
      </c>
      <c r="BD58" s="67">
        <v>4</v>
      </c>
      <c r="BE58" s="67">
        <f t="shared" si="2"/>
        <v>5</v>
      </c>
      <c r="BF58" s="67">
        <f t="shared" si="3"/>
        <v>0</v>
      </c>
      <c r="BG58" s="67">
        <v>1</v>
      </c>
      <c r="BH58" s="67">
        <v>3</v>
      </c>
      <c r="BI58" s="67">
        <v>2</v>
      </c>
      <c r="BJ58" s="67">
        <v>1</v>
      </c>
      <c r="BK58" s="67">
        <v>1</v>
      </c>
      <c r="BL58" s="67">
        <v>10</v>
      </c>
      <c r="BM58" s="67">
        <f t="shared" si="4"/>
        <v>27</v>
      </c>
      <c r="BN58" s="18">
        <f t="shared" si="5"/>
        <v>31</v>
      </c>
      <c r="BO58" s="18"/>
      <c r="BP58" s="18"/>
      <c r="BQ58" s="1"/>
      <c r="BR58" s="158"/>
      <c r="BS58" s="136"/>
      <c r="BT58" s="140"/>
    </row>
    <row r="59" spans="1:141" x14ac:dyDescent="0.25">
      <c r="A59" s="18" t="s">
        <v>6</v>
      </c>
      <c r="B59" s="18">
        <v>2024</v>
      </c>
      <c r="C59" s="18" t="s">
        <v>138</v>
      </c>
      <c r="D59" s="18" t="s">
        <v>245</v>
      </c>
      <c r="E59" s="18">
        <v>40</v>
      </c>
      <c r="F59" s="18">
        <v>40</v>
      </c>
      <c r="G59" s="18" t="s">
        <v>153</v>
      </c>
      <c r="H59" s="18" t="s">
        <v>153</v>
      </c>
      <c r="I59" s="18" t="s">
        <v>296</v>
      </c>
      <c r="J59" s="4">
        <v>40.5</v>
      </c>
      <c r="K59" s="4">
        <v>41</v>
      </c>
      <c r="L59" s="4">
        <v>0.5</v>
      </c>
      <c r="M59" s="5">
        <v>0.34</v>
      </c>
      <c r="N59" s="31">
        <v>0.17</v>
      </c>
      <c r="O59" s="31">
        <v>0.17</v>
      </c>
      <c r="P59" s="31">
        <v>8.5</v>
      </c>
      <c r="Q59" s="31">
        <v>20</v>
      </c>
      <c r="R59" s="31">
        <v>0.16</v>
      </c>
      <c r="S59" s="31">
        <v>0</v>
      </c>
      <c r="T59" s="65">
        <v>0</v>
      </c>
      <c r="U59" s="31">
        <v>5</v>
      </c>
      <c r="V59" s="31"/>
      <c r="W59" s="31">
        <v>5</v>
      </c>
      <c r="X59" s="4">
        <v>32</v>
      </c>
      <c r="Y59" s="18">
        <v>0</v>
      </c>
      <c r="Z59" s="18" t="s">
        <v>330</v>
      </c>
      <c r="AA59" s="18" t="s">
        <v>333</v>
      </c>
      <c r="AB59" s="18" t="s">
        <v>334</v>
      </c>
      <c r="AC59" s="18">
        <v>20</v>
      </c>
      <c r="AD59" s="18">
        <v>8.5</v>
      </c>
      <c r="AE59" s="18" t="s">
        <v>27</v>
      </c>
      <c r="AF59" s="18" t="s">
        <v>199</v>
      </c>
      <c r="AG59" s="18" t="s">
        <v>199</v>
      </c>
      <c r="AH59" s="18">
        <v>17</v>
      </c>
      <c r="AI59" s="18"/>
      <c r="AJ59" s="18" t="s">
        <v>66</v>
      </c>
      <c r="AK59" s="18" t="s">
        <v>79</v>
      </c>
      <c r="AL59" s="18" t="s">
        <v>96</v>
      </c>
      <c r="AM59" s="18" t="s">
        <v>107</v>
      </c>
      <c r="AN59" s="18" t="s">
        <v>120</v>
      </c>
      <c r="AO59" s="18" t="s">
        <v>198</v>
      </c>
      <c r="AP59" s="18" t="s">
        <v>240</v>
      </c>
      <c r="AQ59" s="18"/>
      <c r="AR59" s="18">
        <v>1</v>
      </c>
      <c r="AS59" s="18">
        <v>1</v>
      </c>
      <c r="AT59" s="18">
        <v>1</v>
      </c>
      <c r="AU59" s="18">
        <v>3</v>
      </c>
      <c r="AV59" s="18">
        <v>2</v>
      </c>
      <c r="AW59" s="18">
        <v>8</v>
      </c>
      <c r="AX59" s="49">
        <f t="shared" si="0"/>
        <v>0</v>
      </c>
      <c r="AY59" s="49">
        <v>4</v>
      </c>
      <c r="AZ59" s="50">
        <f t="shared" si="1"/>
        <v>5</v>
      </c>
      <c r="BA59" s="49">
        <v>8</v>
      </c>
      <c r="BB59" s="49">
        <v>15</v>
      </c>
      <c r="BC59" s="67">
        <v>12</v>
      </c>
      <c r="BD59" s="67">
        <v>4</v>
      </c>
      <c r="BE59" s="67">
        <f t="shared" si="2"/>
        <v>5</v>
      </c>
      <c r="BF59" s="67">
        <f t="shared" si="3"/>
        <v>0</v>
      </c>
      <c r="BG59" s="67">
        <v>1</v>
      </c>
      <c r="BH59" s="67">
        <v>3</v>
      </c>
      <c r="BI59" s="67">
        <v>2</v>
      </c>
      <c r="BJ59" s="67">
        <v>1</v>
      </c>
      <c r="BK59" s="67">
        <v>1</v>
      </c>
      <c r="BL59" s="67">
        <v>10</v>
      </c>
      <c r="BM59" s="67">
        <f t="shared" si="4"/>
        <v>27</v>
      </c>
      <c r="BN59" s="18">
        <f t="shared" si="5"/>
        <v>32</v>
      </c>
      <c r="BO59" s="18"/>
      <c r="BP59" s="18"/>
      <c r="BQ59" s="1"/>
      <c r="BR59" s="159" t="s">
        <v>307</v>
      </c>
      <c r="BS59" s="98">
        <v>29.63758389261745</v>
      </c>
      <c r="BT59" s="140"/>
    </row>
    <row r="60" spans="1:141" x14ac:dyDescent="0.25">
      <c r="A60" s="18" t="s">
        <v>6</v>
      </c>
      <c r="B60" s="18">
        <v>2024</v>
      </c>
      <c r="C60" s="18" t="s">
        <v>138</v>
      </c>
      <c r="D60" s="18" t="s">
        <v>245</v>
      </c>
      <c r="E60" s="18">
        <v>40</v>
      </c>
      <c r="F60" s="18">
        <v>40</v>
      </c>
      <c r="G60" s="18" t="s">
        <v>153</v>
      </c>
      <c r="H60" s="18" t="s">
        <v>153</v>
      </c>
      <c r="I60" s="18" t="s">
        <v>296</v>
      </c>
      <c r="J60" s="4">
        <v>41</v>
      </c>
      <c r="K60" s="4">
        <v>41.5</v>
      </c>
      <c r="L60" s="4">
        <v>0.5</v>
      </c>
      <c r="M60" s="5">
        <v>0.46</v>
      </c>
      <c r="N60" s="31">
        <v>0.23</v>
      </c>
      <c r="O60" s="31">
        <v>0.23</v>
      </c>
      <c r="P60" s="31">
        <v>46</v>
      </c>
      <c r="Q60" s="31">
        <v>5</v>
      </c>
      <c r="R60" s="31">
        <v>0.22</v>
      </c>
      <c r="S60" s="31">
        <v>0.11</v>
      </c>
      <c r="T60" s="65">
        <v>22</v>
      </c>
      <c r="U60" s="31">
        <v>5</v>
      </c>
      <c r="V60" s="31"/>
      <c r="W60" s="31">
        <v>5</v>
      </c>
      <c r="X60" s="4">
        <v>44</v>
      </c>
      <c r="Y60" s="18">
        <v>0</v>
      </c>
      <c r="Z60" s="18" t="s">
        <v>330</v>
      </c>
      <c r="AA60" s="18" t="s">
        <v>118</v>
      </c>
      <c r="AB60" s="18" t="s">
        <v>334</v>
      </c>
      <c r="AC60" s="18">
        <v>5</v>
      </c>
      <c r="AD60" s="18">
        <v>46</v>
      </c>
      <c r="AE60" s="18" t="s">
        <v>27</v>
      </c>
      <c r="AF60" s="18" t="s">
        <v>199</v>
      </c>
      <c r="AG60" s="18" t="s">
        <v>199</v>
      </c>
      <c r="AH60" s="18">
        <v>17</v>
      </c>
      <c r="AI60" s="18"/>
      <c r="AJ60" s="18" t="s">
        <v>66</v>
      </c>
      <c r="AK60" s="18" t="s">
        <v>79</v>
      </c>
      <c r="AL60" s="18" t="s">
        <v>96</v>
      </c>
      <c r="AM60" s="18" t="s">
        <v>107</v>
      </c>
      <c r="AN60" s="18" t="s">
        <v>120</v>
      </c>
      <c r="AO60" s="18" t="s">
        <v>198</v>
      </c>
      <c r="AP60" s="18" t="s">
        <v>240</v>
      </c>
      <c r="AQ60" s="18"/>
      <c r="AR60" s="18">
        <v>1</v>
      </c>
      <c r="AS60" s="18">
        <v>1</v>
      </c>
      <c r="AT60" s="18">
        <v>1</v>
      </c>
      <c r="AU60" s="18">
        <v>3</v>
      </c>
      <c r="AV60" s="18">
        <v>2</v>
      </c>
      <c r="AW60" s="18">
        <v>8</v>
      </c>
      <c r="AX60" s="49">
        <f t="shared" si="0"/>
        <v>5</v>
      </c>
      <c r="AY60" s="49">
        <v>4</v>
      </c>
      <c r="AZ60" s="50">
        <f t="shared" si="1"/>
        <v>6</v>
      </c>
      <c r="BA60" s="49">
        <v>8</v>
      </c>
      <c r="BB60" s="49">
        <v>15</v>
      </c>
      <c r="BC60" s="67">
        <v>23</v>
      </c>
      <c r="BD60" s="67">
        <v>4</v>
      </c>
      <c r="BE60" s="67">
        <f t="shared" si="2"/>
        <v>5</v>
      </c>
      <c r="BF60" s="67">
        <f t="shared" si="3"/>
        <v>5</v>
      </c>
      <c r="BG60" s="67">
        <v>1</v>
      </c>
      <c r="BH60" s="67">
        <v>3</v>
      </c>
      <c r="BI60" s="67">
        <v>2</v>
      </c>
      <c r="BJ60" s="67">
        <v>1</v>
      </c>
      <c r="BK60" s="67">
        <v>1</v>
      </c>
      <c r="BL60" s="67">
        <v>10</v>
      </c>
      <c r="BM60" s="67">
        <f t="shared" si="4"/>
        <v>32</v>
      </c>
      <c r="BN60" s="18">
        <f t="shared" si="5"/>
        <v>38</v>
      </c>
      <c r="BO60" s="18"/>
      <c r="BP60" s="18"/>
      <c r="BQ60" s="1"/>
      <c r="BR60" s="159" t="s">
        <v>308</v>
      </c>
      <c r="BS60" s="98">
        <v>0.74210365004969192</v>
      </c>
      <c r="BT60" s="140"/>
    </row>
    <row r="61" spans="1:141" x14ac:dyDescent="0.25">
      <c r="A61" s="18" t="s">
        <v>6</v>
      </c>
      <c r="B61" s="18">
        <v>2024</v>
      </c>
      <c r="C61" s="18" t="s">
        <v>138</v>
      </c>
      <c r="D61" s="18" t="s">
        <v>245</v>
      </c>
      <c r="E61" s="18">
        <v>40</v>
      </c>
      <c r="F61" s="18">
        <v>40</v>
      </c>
      <c r="G61" s="18" t="s">
        <v>153</v>
      </c>
      <c r="H61" s="18" t="s">
        <v>153</v>
      </c>
      <c r="I61" s="18" t="s">
        <v>296</v>
      </c>
      <c r="J61" s="4">
        <v>41.5</v>
      </c>
      <c r="K61" s="4">
        <v>42</v>
      </c>
      <c r="L61" s="4">
        <v>0.5</v>
      </c>
      <c r="M61" s="5">
        <v>0.26</v>
      </c>
      <c r="N61" s="31">
        <v>0.13</v>
      </c>
      <c r="O61" s="31">
        <v>0.13</v>
      </c>
      <c r="P61" s="31">
        <v>130</v>
      </c>
      <c r="Q61" s="31">
        <v>1</v>
      </c>
      <c r="R61" s="31">
        <v>0.12</v>
      </c>
      <c r="S61" s="31">
        <v>0</v>
      </c>
      <c r="T61" s="65">
        <v>0</v>
      </c>
      <c r="U61" s="31">
        <v>10</v>
      </c>
      <c r="V61" s="31"/>
      <c r="W61" s="31">
        <v>10</v>
      </c>
      <c r="X61" s="4">
        <v>12</v>
      </c>
      <c r="Y61" s="18">
        <v>0</v>
      </c>
      <c r="Z61" s="18" t="s">
        <v>330</v>
      </c>
      <c r="AA61" s="18" t="s">
        <v>116</v>
      </c>
      <c r="AB61" s="18" t="s">
        <v>334</v>
      </c>
      <c r="AC61" s="18">
        <v>1</v>
      </c>
      <c r="AD61" s="18">
        <v>130</v>
      </c>
      <c r="AE61" s="18" t="s">
        <v>27</v>
      </c>
      <c r="AF61" s="18" t="s">
        <v>199</v>
      </c>
      <c r="AG61" s="18" t="s">
        <v>199</v>
      </c>
      <c r="AH61" s="18">
        <v>17</v>
      </c>
      <c r="AI61" s="18"/>
      <c r="AJ61" s="18" t="s">
        <v>66</v>
      </c>
      <c r="AK61" s="18" t="s">
        <v>79</v>
      </c>
      <c r="AL61" s="18" t="s">
        <v>96</v>
      </c>
      <c r="AM61" s="18" t="s">
        <v>107</v>
      </c>
      <c r="AN61" s="18" t="s">
        <v>120</v>
      </c>
      <c r="AO61" s="18" t="s">
        <v>198</v>
      </c>
      <c r="AP61" s="18" t="s">
        <v>240</v>
      </c>
      <c r="AQ61" s="18"/>
      <c r="AR61" s="18">
        <v>1</v>
      </c>
      <c r="AS61" s="18">
        <v>1</v>
      </c>
      <c r="AT61" s="18">
        <v>1</v>
      </c>
      <c r="AU61" s="18">
        <v>3</v>
      </c>
      <c r="AV61" s="18">
        <v>2</v>
      </c>
      <c r="AW61" s="18">
        <v>8</v>
      </c>
      <c r="AX61" s="49">
        <f t="shared" si="0"/>
        <v>0</v>
      </c>
      <c r="AY61" s="49">
        <v>4</v>
      </c>
      <c r="AZ61" s="50">
        <f t="shared" si="1"/>
        <v>4</v>
      </c>
      <c r="BA61" s="49">
        <v>8</v>
      </c>
      <c r="BB61" s="49">
        <v>15</v>
      </c>
      <c r="BC61" s="67">
        <v>12</v>
      </c>
      <c r="BD61" s="67">
        <v>4</v>
      </c>
      <c r="BE61" s="67">
        <f t="shared" si="2"/>
        <v>5</v>
      </c>
      <c r="BF61" s="67">
        <f t="shared" si="3"/>
        <v>0</v>
      </c>
      <c r="BG61" s="67">
        <v>1</v>
      </c>
      <c r="BH61" s="67">
        <v>3</v>
      </c>
      <c r="BI61" s="67">
        <v>2</v>
      </c>
      <c r="BJ61" s="67">
        <v>1</v>
      </c>
      <c r="BK61" s="67">
        <v>1</v>
      </c>
      <c r="BL61" s="67">
        <v>10</v>
      </c>
      <c r="BM61" s="67">
        <f t="shared" si="4"/>
        <v>27</v>
      </c>
      <c r="BN61" s="18">
        <f t="shared" si="5"/>
        <v>31</v>
      </c>
      <c r="BO61" s="18"/>
      <c r="BP61" s="18"/>
      <c r="BQ61" s="1"/>
      <c r="BR61" s="159" t="s">
        <v>309</v>
      </c>
      <c r="BS61" s="98">
        <v>28</v>
      </c>
      <c r="BT61" s="140"/>
    </row>
    <row r="62" spans="1:141" x14ac:dyDescent="0.25">
      <c r="A62" s="18" t="s">
        <v>6</v>
      </c>
      <c r="B62" s="18">
        <v>2024</v>
      </c>
      <c r="C62" s="18" t="s">
        <v>138</v>
      </c>
      <c r="D62" s="18" t="s">
        <v>245</v>
      </c>
      <c r="E62" s="18">
        <v>40</v>
      </c>
      <c r="F62" s="18">
        <v>40</v>
      </c>
      <c r="G62" s="18" t="s">
        <v>153</v>
      </c>
      <c r="H62" s="18" t="s">
        <v>153</v>
      </c>
      <c r="I62" s="18" t="s">
        <v>296</v>
      </c>
      <c r="J62" s="4">
        <v>42</v>
      </c>
      <c r="K62" s="4">
        <v>42.5</v>
      </c>
      <c r="L62" s="4">
        <v>0.5</v>
      </c>
      <c r="M62" s="5">
        <v>0.3</v>
      </c>
      <c r="N62" s="31">
        <v>0.15</v>
      </c>
      <c r="O62" s="31">
        <v>0.15</v>
      </c>
      <c r="P62" s="31">
        <v>150</v>
      </c>
      <c r="Q62" s="31">
        <v>1</v>
      </c>
      <c r="R62" s="31">
        <v>0.15</v>
      </c>
      <c r="S62" s="31">
        <v>0</v>
      </c>
      <c r="T62" s="65">
        <v>0</v>
      </c>
      <c r="U62" s="31">
        <v>10</v>
      </c>
      <c r="V62" s="31"/>
      <c r="W62" s="31">
        <v>10</v>
      </c>
      <c r="X62" s="4">
        <v>15</v>
      </c>
      <c r="Y62" s="18">
        <v>0</v>
      </c>
      <c r="Z62" s="18" t="s">
        <v>330</v>
      </c>
      <c r="AA62" s="18" t="s">
        <v>116</v>
      </c>
      <c r="AB62" s="18" t="s">
        <v>334</v>
      </c>
      <c r="AC62" s="18">
        <v>1</v>
      </c>
      <c r="AD62" s="18">
        <v>150</v>
      </c>
      <c r="AE62" s="18" t="s">
        <v>27</v>
      </c>
      <c r="AF62" s="18" t="s">
        <v>199</v>
      </c>
      <c r="AG62" s="18" t="s">
        <v>199</v>
      </c>
      <c r="AH62" s="18">
        <v>17</v>
      </c>
      <c r="AI62" s="18"/>
      <c r="AJ62" s="18" t="s">
        <v>66</v>
      </c>
      <c r="AK62" s="18" t="s">
        <v>79</v>
      </c>
      <c r="AL62" s="18" t="s">
        <v>96</v>
      </c>
      <c r="AM62" s="18" t="s">
        <v>107</v>
      </c>
      <c r="AN62" s="18" t="s">
        <v>120</v>
      </c>
      <c r="AO62" s="18" t="s">
        <v>198</v>
      </c>
      <c r="AP62" s="18" t="s">
        <v>240</v>
      </c>
      <c r="AQ62" s="18"/>
      <c r="AR62" s="18">
        <v>1</v>
      </c>
      <c r="AS62" s="18">
        <v>1</v>
      </c>
      <c r="AT62" s="18">
        <v>1</v>
      </c>
      <c r="AU62" s="18">
        <v>3</v>
      </c>
      <c r="AV62" s="18">
        <v>2</v>
      </c>
      <c r="AW62" s="18">
        <v>8</v>
      </c>
      <c r="AX62" s="49">
        <f t="shared" si="0"/>
        <v>0</v>
      </c>
      <c r="AY62" s="49">
        <v>4</v>
      </c>
      <c r="AZ62" s="50">
        <f t="shared" si="1"/>
        <v>4</v>
      </c>
      <c r="BA62" s="49">
        <v>8</v>
      </c>
      <c r="BB62" s="49">
        <v>15</v>
      </c>
      <c r="BC62" s="67">
        <v>12</v>
      </c>
      <c r="BD62" s="67">
        <v>4</v>
      </c>
      <c r="BE62" s="67">
        <f t="shared" si="2"/>
        <v>5</v>
      </c>
      <c r="BF62" s="67">
        <f t="shared" si="3"/>
        <v>0</v>
      </c>
      <c r="BG62" s="67">
        <v>1</v>
      </c>
      <c r="BH62" s="67">
        <v>3</v>
      </c>
      <c r="BI62" s="67">
        <v>2</v>
      </c>
      <c r="BJ62" s="67">
        <v>1</v>
      </c>
      <c r="BK62" s="67">
        <v>1</v>
      </c>
      <c r="BL62" s="67">
        <v>10</v>
      </c>
      <c r="BM62" s="67">
        <f t="shared" si="4"/>
        <v>27</v>
      </c>
      <c r="BN62" s="18">
        <f t="shared" si="5"/>
        <v>31</v>
      </c>
      <c r="BO62" s="18"/>
      <c r="BP62" s="18"/>
      <c r="BQ62" s="1"/>
      <c r="BR62" s="159" t="s">
        <v>310</v>
      </c>
      <c r="BS62" s="98">
        <v>22</v>
      </c>
      <c r="BT62" s="140"/>
    </row>
    <row r="63" spans="1:141" x14ac:dyDescent="0.25">
      <c r="A63" s="18" t="s">
        <v>6</v>
      </c>
      <c r="B63" s="18">
        <v>2024</v>
      </c>
      <c r="C63" s="18" t="s">
        <v>138</v>
      </c>
      <c r="D63" s="18" t="s">
        <v>245</v>
      </c>
      <c r="E63" s="18">
        <v>40</v>
      </c>
      <c r="F63" s="18">
        <v>40</v>
      </c>
      <c r="G63" s="18" t="s">
        <v>153</v>
      </c>
      <c r="H63" s="18" t="s">
        <v>153</v>
      </c>
      <c r="I63" s="18" t="s">
        <v>296</v>
      </c>
      <c r="J63" s="4">
        <v>42.5</v>
      </c>
      <c r="K63" s="4">
        <v>43</v>
      </c>
      <c r="L63" s="4">
        <v>0.5</v>
      </c>
      <c r="M63" s="5">
        <v>0.34</v>
      </c>
      <c r="N63" s="31">
        <v>0.17</v>
      </c>
      <c r="O63" s="31">
        <v>0.17</v>
      </c>
      <c r="P63" s="31">
        <v>8.5</v>
      </c>
      <c r="Q63" s="31">
        <v>20</v>
      </c>
      <c r="R63" s="31">
        <v>0.13</v>
      </c>
      <c r="S63" s="31">
        <v>0</v>
      </c>
      <c r="T63" s="65">
        <v>0</v>
      </c>
      <c r="U63" s="31">
        <v>7</v>
      </c>
      <c r="V63" s="31"/>
      <c r="W63" s="31">
        <v>7</v>
      </c>
      <c r="X63" s="4">
        <v>18.571428571428573</v>
      </c>
      <c r="Y63" s="18">
        <v>0</v>
      </c>
      <c r="Z63" s="18" t="s">
        <v>330</v>
      </c>
      <c r="AA63" s="18" t="s">
        <v>333</v>
      </c>
      <c r="AB63" s="18" t="s">
        <v>335</v>
      </c>
      <c r="AC63" s="18">
        <v>20</v>
      </c>
      <c r="AD63" s="18">
        <v>8.5</v>
      </c>
      <c r="AE63" s="18" t="s">
        <v>34</v>
      </c>
      <c r="AF63" s="18" t="s">
        <v>29</v>
      </c>
      <c r="AG63" s="18" t="s">
        <v>29</v>
      </c>
      <c r="AH63" s="18">
        <v>30</v>
      </c>
      <c r="AI63" s="18" t="s">
        <v>29</v>
      </c>
      <c r="AJ63" s="18" t="s">
        <v>66</v>
      </c>
      <c r="AK63" s="18" t="s">
        <v>79</v>
      </c>
      <c r="AL63" s="18" t="s">
        <v>96</v>
      </c>
      <c r="AM63" s="18" t="s">
        <v>107</v>
      </c>
      <c r="AN63" s="18" t="s">
        <v>120</v>
      </c>
      <c r="AO63" s="18" t="s">
        <v>198</v>
      </c>
      <c r="AP63" s="18" t="s">
        <v>240</v>
      </c>
      <c r="AQ63" s="18"/>
      <c r="AR63" s="18">
        <v>1</v>
      </c>
      <c r="AS63" s="18">
        <v>1</v>
      </c>
      <c r="AT63" s="18">
        <v>1</v>
      </c>
      <c r="AU63" s="18">
        <v>3</v>
      </c>
      <c r="AV63" s="18">
        <v>2</v>
      </c>
      <c r="AW63" s="18">
        <v>8</v>
      </c>
      <c r="AX63" s="49">
        <f t="shared" si="0"/>
        <v>0</v>
      </c>
      <c r="AY63" s="49">
        <v>0</v>
      </c>
      <c r="AZ63" s="50">
        <f t="shared" si="1"/>
        <v>4</v>
      </c>
      <c r="BA63" s="49">
        <v>8</v>
      </c>
      <c r="BB63" s="49">
        <v>15</v>
      </c>
      <c r="BC63" s="67">
        <v>12</v>
      </c>
      <c r="BD63" s="67">
        <v>0</v>
      </c>
      <c r="BE63" s="67">
        <f t="shared" si="2"/>
        <v>5</v>
      </c>
      <c r="BF63" s="67">
        <f t="shared" si="3"/>
        <v>0</v>
      </c>
      <c r="BG63" s="67">
        <v>1</v>
      </c>
      <c r="BH63" s="67">
        <v>3</v>
      </c>
      <c r="BI63" s="67">
        <v>2</v>
      </c>
      <c r="BJ63" s="67">
        <v>1</v>
      </c>
      <c r="BK63" s="67">
        <v>1</v>
      </c>
      <c r="BL63" s="67">
        <v>10</v>
      </c>
      <c r="BM63" s="67">
        <f t="shared" si="4"/>
        <v>23</v>
      </c>
      <c r="BN63" s="18">
        <f t="shared" si="5"/>
        <v>27</v>
      </c>
      <c r="BO63" s="18"/>
      <c r="BP63" s="18"/>
      <c r="BQ63" s="1"/>
      <c r="BR63" s="159" t="s">
        <v>311</v>
      </c>
      <c r="BS63" s="98">
        <v>9.0585294769705449</v>
      </c>
      <c r="BT63" s="140"/>
    </row>
    <row r="64" spans="1:141" x14ac:dyDescent="0.25">
      <c r="A64" s="18" t="s">
        <v>6</v>
      </c>
      <c r="B64" s="18">
        <v>2024</v>
      </c>
      <c r="C64" s="18" t="s">
        <v>138</v>
      </c>
      <c r="D64" s="18" t="s">
        <v>130</v>
      </c>
      <c r="E64" s="18">
        <v>40</v>
      </c>
      <c r="F64" s="18">
        <v>40</v>
      </c>
      <c r="G64" s="18" t="s">
        <v>153</v>
      </c>
      <c r="H64" s="18" t="s">
        <v>153</v>
      </c>
      <c r="I64" s="18" t="s">
        <v>180</v>
      </c>
      <c r="J64" s="4">
        <v>4</v>
      </c>
      <c r="K64" s="4">
        <v>4.5</v>
      </c>
      <c r="L64" s="4">
        <v>0.5</v>
      </c>
      <c r="M64" s="5">
        <v>0.6</v>
      </c>
      <c r="N64" s="31">
        <v>0.3</v>
      </c>
      <c r="O64" s="31">
        <v>0.3</v>
      </c>
      <c r="P64" s="31">
        <v>15</v>
      </c>
      <c r="Q64" s="31">
        <v>20</v>
      </c>
      <c r="R64" s="31">
        <v>0.26</v>
      </c>
      <c r="S64" s="31">
        <v>0.11</v>
      </c>
      <c r="T64" s="65">
        <v>22</v>
      </c>
      <c r="U64" s="31">
        <v>5</v>
      </c>
      <c r="V64" s="31"/>
      <c r="W64" s="31">
        <v>5</v>
      </c>
      <c r="X64" s="4">
        <v>52</v>
      </c>
      <c r="Y64" s="18">
        <v>0</v>
      </c>
      <c r="Z64" s="18" t="s">
        <v>330</v>
      </c>
      <c r="AA64" s="18" t="s">
        <v>333</v>
      </c>
      <c r="AB64" s="18" t="s">
        <v>336</v>
      </c>
      <c r="AC64" s="18">
        <v>20</v>
      </c>
      <c r="AD64" s="18">
        <v>15</v>
      </c>
      <c r="AE64" s="18" t="s">
        <v>32</v>
      </c>
      <c r="AF64" s="18" t="s">
        <v>200</v>
      </c>
      <c r="AG64" s="18" t="s">
        <v>200</v>
      </c>
      <c r="AH64" s="18">
        <v>17</v>
      </c>
      <c r="AI64" s="18"/>
      <c r="AJ64" s="18" t="s">
        <v>69</v>
      </c>
      <c r="AK64" s="18" t="s">
        <v>79</v>
      </c>
      <c r="AL64" s="18" t="s">
        <v>100</v>
      </c>
      <c r="AM64" s="18" t="s">
        <v>107</v>
      </c>
      <c r="AN64" s="18" t="s">
        <v>120</v>
      </c>
      <c r="AO64" s="18" t="s">
        <v>247</v>
      </c>
      <c r="AP64" s="18" t="s">
        <v>248</v>
      </c>
      <c r="AQ64" s="18"/>
      <c r="AR64" s="18">
        <v>0</v>
      </c>
      <c r="AS64" s="18">
        <v>1</v>
      </c>
      <c r="AT64" s="18">
        <v>0</v>
      </c>
      <c r="AU64" s="18">
        <v>3</v>
      </c>
      <c r="AV64" s="18">
        <v>2</v>
      </c>
      <c r="AW64" s="18">
        <v>6</v>
      </c>
      <c r="AX64" s="49">
        <f t="shared" si="0"/>
        <v>5</v>
      </c>
      <c r="AY64" s="49">
        <v>1</v>
      </c>
      <c r="AZ64" s="50">
        <f t="shared" si="1"/>
        <v>6</v>
      </c>
      <c r="BA64" s="49">
        <v>6</v>
      </c>
      <c r="BB64" s="49">
        <v>10</v>
      </c>
      <c r="BC64" s="67">
        <v>20</v>
      </c>
      <c r="BD64" s="67">
        <v>1</v>
      </c>
      <c r="BE64" s="67">
        <f t="shared" si="2"/>
        <v>4</v>
      </c>
      <c r="BF64" s="67">
        <f t="shared" si="3"/>
        <v>5</v>
      </c>
      <c r="BG64" s="67">
        <v>0</v>
      </c>
      <c r="BH64" s="67">
        <v>3</v>
      </c>
      <c r="BI64" s="67">
        <v>2</v>
      </c>
      <c r="BJ64" s="67">
        <v>1</v>
      </c>
      <c r="BK64" s="67">
        <v>0</v>
      </c>
      <c r="BL64" s="67">
        <v>7</v>
      </c>
      <c r="BM64" s="67">
        <f t="shared" si="4"/>
        <v>23</v>
      </c>
      <c r="BN64" s="18">
        <f t="shared" si="5"/>
        <v>28</v>
      </c>
      <c r="BO64" s="18"/>
      <c r="BP64" s="18"/>
      <c r="BQ64" s="1"/>
      <c r="BR64" s="159" t="s">
        <v>312</v>
      </c>
      <c r="BS64" s="98">
        <v>82.056956285144253</v>
      </c>
      <c r="BT64" s="140"/>
      <c r="EJ64" t="s">
        <v>587</v>
      </c>
      <c r="EK64">
        <v>20</v>
      </c>
    </row>
    <row r="65" spans="1:146" x14ac:dyDescent="0.25">
      <c r="A65" s="18" t="s">
        <v>6</v>
      </c>
      <c r="B65" s="18">
        <v>2024</v>
      </c>
      <c r="C65" s="18" t="s">
        <v>138</v>
      </c>
      <c r="D65" s="18" t="s">
        <v>130</v>
      </c>
      <c r="E65" s="18">
        <v>40</v>
      </c>
      <c r="F65" s="18">
        <v>40</v>
      </c>
      <c r="G65" s="18" t="s">
        <v>153</v>
      </c>
      <c r="H65" s="18" t="s">
        <v>153</v>
      </c>
      <c r="I65" s="18" t="s">
        <v>180</v>
      </c>
      <c r="J65" s="4">
        <v>4.5</v>
      </c>
      <c r="K65" s="4">
        <v>5</v>
      </c>
      <c r="L65" s="4">
        <v>0.5</v>
      </c>
      <c r="M65" s="5">
        <v>0.66</v>
      </c>
      <c r="N65" s="31">
        <v>0.33</v>
      </c>
      <c r="O65" s="31">
        <v>0.33</v>
      </c>
      <c r="P65" s="31">
        <v>16.5</v>
      </c>
      <c r="Q65" s="31">
        <v>20</v>
      </c>
      <c r="R65" s="31">
        <v>0.35</v>
      </c>
      <c r="S65" s="31">
        <v>0.14000000000000001</v>
      </c>
      <c r="T65" s="65">
        <v>28.000000000000004</v>
      </c>
      <c r="U65" s="31">
        <v>7</v>
      </c>
      <c r="V65" s="31"/>
      <c r="W65" s="31">
        <v>7</v>
      </c>
      <c r="X65" s="4">
        <v>50</v>
      </c>
      <c r="Y65" s="18">
        <v>0</v>
      </c>
      <c r="Z65" s="18" t="s">
        <v>330</v>
      </c>
      <c r="AA65" s="18" t="s">
        <v>333</v>
      </c>
      <c r="AB65" s="18" t="s">
        <v>336</v>
      </c>
      <c r="AC65" s="18">
        <v>20</v>
      </c>
      <c r="AD65" s="18">
        <v>16.5</v>
      </c>
      <c r="AE65" s="18" t="s">
        <v>32</v>
      </c>
      <c r="AF65" s="18" t="s">
        <v>200</v>
      </c>
      <c r="AG65" s="18" t="s">
        <v>200</v>
      </c>
      <c r="AH65" s="18">
        <v>17</v>
      </c>
      <c r="AI65" s="18"/>
      <c r="AJ65" s="18" t="s">
        <v>69</v>
      </c>
      <c r="AK65" s="18" t="s">
        <v>81</v>
      </c>
      <c r="AL65" s="18" t="s">
        <v>100</v>
      </c>
      <c r="AM65" s="18" t="s">
        <v>107</v>
      </c>
      <c r="AN65" s="18" t="s">
        <v>120</v>
      </c>
      <c r="AO65" s="18" t="s">
        <v>247</v>
      </c>
      <c r="AP65" s="18" t="s">
        <v>248</v>
      </c>
      <c r="AQ65" s="18"/>
      <c r="AR65" s="18">
        <v>0</v>
      </c>
      <c r="AS65" s="18">
        <v>0</v>
      </c>
      <c r="AT65" s="18">
        <v>0</v>
      </c>
      <c r="AU65" s="18">
        <v>3</v>
      </c>
      <c r="AV65" s="18">
        <v>2</v>
      </c>
      <c r="AW65" s="18">
        <v>5</v>
      </c>
      <c r="AX65" s="49">
        <f t="shared" si="0"/>
        <v>6</v>
      </c>
      <c r="AY65" s="49">
        <v>1</v>
      </c>
      <c r="AZ65" s="50">
        <f t="shared" si="1"/>
        <v>6</v>
      </c>
      <c r="BA65" s="49">
        <v>5</v>
      </c>
      <c r="BB65" s="49">
        <v>10</v>
      </c>
      <c r="BC65" s="67">
        <v>21.5</v>
      </c>
      <c r="BD65" s="67">
        <v>1</v>
      </c>
      <c r="BE65" s="67">
        <f t="shared" si="2"/>
        <v>5</v>
      </c>
      <c r="BF65" s="67">
        <f t="shared" si="3"/>
        <v>6</v>
      </c>
      <c r="BG65" s="67">
        <v>0</v>
      </c>
      <c r="BH65" s="67">
        <v>3</v>
      </c>
      <c r="BI65" s="67">
        <v>2</v>
      </c>
      <c r="BJ65" s="67">
        <v>0</v>
      </c>
      <c r="BK65" s="67">
        <v>0</v>
      </c>
      <c r="BL65" s="67">
        <v>7</v>
      </c>
      <c r="BM65" s="67">
        <f t="shared" si="4"/>
        <v>24</v>
      </c>
      <c r="BN65" s="18">
        <f t="shared" si="5"/>
        <v>28</v>
      </c>
      <c r="BO65" s="18"/>
      <c r="BP65" s="18"/>
      <c r="BQ65" s="1"/>
      <c r="BR65" s="159" t="s">
        <v>313</v>
      </c>
      <c r="BS65" s="98">
        <v>-2.4824973447898913E-3</v>
      </c>
      <c r="BT65" s="140"/>
      <c r="EJ65" t="s">
        <v>588</v>
      </c>
      <c r="EK65">
        <v>40</v>
      </c>
    </row>
    <row r="66" spans="1:146" x14ac:dyDescent="0.25">
      <c r="A66" s="18" t="s">
        <v>6</v>
      </c>
      <c r="B66" s="18">
        <v>2024</v>
      </c>
      <c r="C66" s="18" t="s">
        <v>138</v>
      </c>
      <c r="D66" s="18" t="s">
        <v>130</v>
      </c>
      <c r="E66" s="18">
        <v>40</v>
      </c>
      <c r="F66" s="18">
        <v>40</v>
      </c>
      <c r="G66" s="18" t="s">
        <v>153</v>
      </c>
      <c r="H66" s="18" t="s">
        <v>153</v>
      </c>
      <c r="I66" s="18" t="s">
        <v>180</v>
      </c>
      <c r="J66" s="4">
        <v>5</v>
      </c>
      <c r="K66" s="4">
        <v>5.5</v>
      </c>
      <c r="L66" s="4">
        <v>0.5</v>
      </c>
      <c r="M66" s="5">
        <v>0.7</v>
      </c>
      <c r="N66" s="31">
        <v>0.35</v>
      </c>
      <c r="O66" s="31">
        <v>0.35</v>
      </c>
      <c r="P66" s="31">
        <v>17.5</v>
      </c>
      <c r="Q66" s="31">
        <v>20</v>
      </c>
      <c r="R66" s="31">
        <v>0.33</v>
      </c>
      <c r="S66" s="31">
        <v>0.15</v>
      </c>
      <c r="T66" s="65">
        <v>30</v>
      </c>
      <c r="U66" s="31">
        <v>3</v>
      </c>
      <c r="V66" s="31"/>
      <c r="W66" s="31">
        <v>3</v>
      </c>
      <c r="X66" s="4">
        <v>110</v>
      </c>
      <c r="Y66" s="18">
        <v>0</v>
      </c>
      <c r="Z66" s="18" t="s">
        <v>330</v>
      </c>
      <c r="AA66" s="18" t="s">
        <v>333</v>
      </c>
      <c r="AB66" s="18" t="s">
        <v>336</v>
      </c>
      <c r="AC66" s="18">
        <v>20</v>
      </c>
      <c r="AD66" s="18">
        <v>17.5</v>
      </c>
      <c r="AE66" s="18" t="s">
        <v>32</v>
      </c>
      <c r="AF66" s="18" t="s">
        <v>239</v>
      </c>
      <c r="AG66" s="18" t="s">
        <v>239</v>
      </c>
      <c r="AH66" s="18">
        <v>17</v>
      </c>
      <c r="AI66" s="18"/>
      <c r="AJ66" s="18" t="s">
        <v>69</v>
      </c>
      <c r="AK66" s="18" t="s">
        <v>79</v>
      </c>
      <c r="AL66" s="18" t="s">
        <v>100</v>
      </c>
      <c r="AM66" s="18" t="s">
        <v>107</v>
      </c>
      <c r="AN66" s="18" t="s">
        <v>120</v>
      </c>
      <c r="AO66" s="18" t="s">
        <v>247</v>
      </c>
      <c r="AP66" s="18" t="s">
        <v>248</v>
      </c>
      <c r="AQ66" s="18"/>
      <c r="AR66" s="18">
        <v>0</v>
      </c>
      <c r="AS66" s="18">
        <v>1</v>
      </c>
      <c r="AT66" s="18">
        <v>0</v>
      </c>
      <c r="AU66" s="18">
        <v>3</v>
      </c>
      <c r="AV66" s="18">
        <v>2</v>
      </c>
      <c r="AW66" s="18">
        <v>6</v>
      </c>
      <c r="AX66" s="49">
        <f t="shared" si="0"/>
        <v>6</v>
      </c>
      <c r="AY66" s="49">
        <v>1</v>
      </c>
      <c r="AZ66" s="50">
        <f t="shared" si="1"/>
        <v>7</v>
      </c>
      <c r="BA66" s="49">
        <v>6</v>
      </c>
      <c r="BB66" s="49">
        <v>10</v>
      </c>
      <c r="BC66" s="67">
        <v>24</v>
      </c>
      <c r="BD66" s="67">
        <v>1</v>
      </c>
      <c r="BE66" s="67">
        <f t="shared" si="2"/>
        <v>9</v>
      </c>
      <c r="BF66" s="67">
        <f t="shared" si="3"/>
        <v>6</v>
      </c>
      <c r="BG66" s="67">
        <v>0</v>
      </c>
      <c r="BH66" s="67">
        <v>3</v>
      </c>
      <c r="BI66" s="67">
        <v>2</v>
      </c>
      <c r="BJ66" s="67">
        <v>1</v>
      </c>
      <c r="BK66" s="67">
        <v>0</v>
      </c>
      <c r="BL66" s="67">
        <v>7</v>
      </c>
      <c r="BM66" s="67">
        <f t="shared" si="4"/>
        <v>29</v>
      </c>
      <c r="BN66" s="18">
        <f t="shared" si="5"/>
        <v>30</v>
      </c>
      <c r="BO66" s="18"/>
      <c r="BP66" s="18"/>
      <c r="BQ66" s="1"/>
      <c r="BR66" s="159" t="s">
        <v>314</v>
      </c>
      <c r="BS66" s="98">
        <v>0.8897035572926647</v>
      </c>
      <c r="BT66" s="140"/>
      <c r="EJ66" t="s">
        <v>589</v>
      </c>
      <c r="EK66">
        <v>60</v>
      </c>
    </row>
    <row r="67" spans="1:146" x14ac:dyDescent="0.25">
      <c r="A67" s="18" t="s">
        <v>6</v>
      </c>
      <c r="B67" s="18">
        <v>2024</v>
      </c>
      <c r="C67" s="18" t="s">
        <v>138</v>
      </c>
      <c r="D67" s="18" t="s">
        <v>130</v>
      </c>
      <c r="E67" s="18">
        <v>40</v>
      </c>
      <c r="F67" s="18">
        <v>40</v>
      </c>
      <c r="G67" s="18" t="s">
        <v>153</v>
      </c>
      <c r="H67" s="18" t="s">
        <v>153</v>
      </c>
      <c r="I67" s="18" t="s">
        <v>180</v>
      </c>
      <c r="J67" s="4">
        <v>5.5</v>
      </c>
      <c r="K67" s="4">
        <v>6</v>
      </c>
      <c r="L67" s="4">
        <v>0.5</v>
      </c>
      <c r="M67" s="5">
        <v>0.72</v>
      </c>
      <c r="N67" s="31">
        <v>0.36</v>
      </c>
      <c r="O67" s="31">
        <v>0.36</v>
      </c>
      <c r="P67" s="31">
        <v>18</v>
      </c>
      <c r="Q67" s="31">
        <v>20</v>
      </c>
      <c r="R67" s="31">
        <v>0.33</v>
      </c>
      <c r="S67" s="31">
        <v>0</v>
      </c>
      <c r="T67" s="65">
        <v>0</v>
      </c>
      <c r="U67" s="31">
        <v>7</v>
      </c>
      <c r="V67" s="31"/>
      <c r="W67" s="31">
        <v>7</v>
      </c>
      <c r="X67" s="4">
        <v>47.142857142857146</v>
      </c>
      <c r="Y67" s="18">
        <v>0</v>
      </c>
      <c r="Z67" s="18" t="s">
        <v>330</v>
      </c>
      <c r="AA67" s="18" t="s">
        <v>333</v>
      </c>
      <c r="AB67" s="18" t="s">
        <v>336</v>
      </c>
      <c r="AC67" s="18">
        <v>20</v>
      </c>
      <c r="AD67" s="18">
        <v>18</v>
      </c>
      <c r="AE67" s="18" t="s">
        <v>32</v>
      </c>
      <c r="AF67" s="18" t="s">
        <v>239</v>
      </c>
      <c r="AG67" s="18" t="s">
        <v>239</v>
      </c>
      <c r="AH67" s="18">
        <v>17</v>
      </c>
      <c r="AI67" s="18"/>
      <c r="AJ67" s="18" t="s">
        <v>69</v>
      </c>
      <c r="AK67" s="18" t="s">
        <v>79</v>
      </c>
      <c r="AL67" s="18" t="s">
        <v>100</v>
      </c>
      <c r="AM67" s="18" t="s">
        <v>107</v>
      </c>
      <c r="AN67" s="18" t="s">
        <v>120</v>
      </c>
      <c r="AO67" s="18" t="s">
        <v>247</v>
      </c>
      <c r="AP67" s="18" t="s">
        <v>248</v>
      </c>
      <c r="AQ67" s="18"/>
      <c r="AR67" s="18">
        <v>0</v>
      </c>
      <c r="AS67" s="18">
        <v>1</v>
      </c>
      <c r="AT67" s="18">
        <v>0</v>
      </c>
      <c r="AU67" s="18">
        <v>3</v>
      </c>
      <c r="AV67" s="18">
        <v>2</v>
      </c>
      <c r="AW67" s="18">
        <v>6</v>
      </c>
      <c r="AX67" s="49">
        <f t="shared" si="0"/>
        <v>0</v>
      </c>
      <c r="AY67" s="49">
        <v>1</v>
      </c>
      <c r="AZ67" s="50">
        <f t="shared" si="1"/>
        <v>6</v>
      </c>
      <c r="BA67" s="49">
        <v>6</v>
      </c>
      <c r="BB67" s="49">
        <v>10</v>
      </c>
      <c r="BC67" s="67">
        <v>9</v>
      </c>
      <c r="BD67" s="67">
        <v>1</v>
      </c>
      <c r="BE67" s="67">
        <f t="shared" si="2"/>
        <v>5</v>
      </c>
      <c r="BF67" s="67">
        <f t="shared" si="3"/>
        <v>0</v>
      </c>
      <c r="BG67" s="67">
        <v>0</v>
      </c>
      <c r="BH67" s="67">
        <v>3</v>
      </c>
      <c r="BI67" s="67">
        <v>2</v>
      </c>
      <c r="BJ67" s="67">
        <v>1</v>
      </c>
      <c r="BK67" s="67">
        <v>0</v>
      </c>
      <c r="BL67" s="67">
        <v>7</v>
      </c>
      <c r="BM67" s="67">
        <f t="shared" si="4"/>
        <v>19</v>
      </c>
      <c r="BN67" s="18">
        <f t="shared" si="5"/>
        <v>23</v>
      </c>
      <c r="BO67" s="18"/>
      <c r="BP67" s="18"/>
      <c r="BQ67" s="1"/>
      <c r="BR67" s="159" t="s">
        <v>315</v>
      </c>
      <c r="BS67" s="98">
        <v>38</v>
      </c>
      <c r="BT67" s="140"/>
      <c r="EJ67" t="s">
        <v>590</v>
      </c>
      <c r="EK67">
        <v>80</v>
      </c>
    </row>
    <row r="68" spans="1:146" x14ac:dyDescent="0.25">
      <c r="A68" s="18" t="s">
        <v>6</v>
      </c>
      <c r="B68" s="18">
        <v>2024</v>
      </c>
      <c r="C68" s="18" t="s">
        <v>138</v>
      </c>
      <c r="D68" s="18" t="s">
        <v>130</v>
      </c>
      <c r="E68" s="18">
        <v>40</v>
      </c>
      <c r="F68" s="18">
        <v>40</v>
      </c>
      <c r="G68" s="18" t="s">
        <v>153</v>
      </c>
      <c r="H68" s="18" t="s">
        <v>153</v>
      </c>
      <c r="I68" s="18" t="s">
        <v>180</v>
      </c>
      <c r="J68" s="4">
        <v>6</v>
      </c>
      <c r="K68" s="4">
        <v>6.5</v>
      </c>
      <c r="L68" s="4">
        <v>0.5</v>
      </c>
      <c r="M68" s="5">
        <v>0.57999999999999996</v>
      </c>
      <c r="N68" s="31">
        <v>0.28999999999999998</v>
      </c>
      <c r="O68" s="31">
        <v>0.28999999999999998</v>
      </c>
      <c r="P68" s="31">
        <v>14.5</v>
      </c>
      <c r="Q68" s="31">
        <v>20</v>
      </c>
      <c r="R68" s="31">
        <v>0.28999999999999998</v>
      </c>
      <c r="S68" s="31">
        <v>0</v>
      </c>
      <c r="T68" s="65">
        <v>0</v>
      </c>
      <c r="U68" s="31">
        <v>7</v>
      </c>
      <c r="V68" s="31"/>
      <c r="W68" s="31">
        <v>7</v>
      </c>
      <c r="X68" s="4">
        <v>41.428571428571431</v>
      </c>
      <c r="Y68" s="18">
        <v>0</v>
      </c>
      <c r="Z68" s="18" t="s">
        <v>330</v>
      </c>
      <c r="AA68" s="18" t="s">
        <v>333</v>
      </c>
      <c r="AB68" s="18" t="s">
        <v>336</v>
      </c>
      <c r="AC68" s="18">
        <v>20</v>
      </c>
      <c r="AD68" s="18">
        <v>14.5</v>
      </c>
      <c r="AE68" s="18" t="s">
        <v>32</v>
      </c>
      <c r="AF68" s="18" t="s">
        <v>200</v>
      </c>
      <c r="AG68" s="18" t="s">
        <v>200</v>
      </c>
      <c r="AH68" s="18">
        <v>17</v>
      </c>
      <c r="AI68" s="18"/>
      <c r="AJ68" s="18" t="s">
        <v>69</v>
      </c>
      <c r="AK68" s="18" t="s">
        <v>79</v>
      </c>
      <c r="AL68" s="18" t="s">
        <v>100</v>
      </c>
      <c r="AM68" s="18" t="s">
        <v>107</v>
      </c>
      <c r="AN68" s="18" t="s">
        <v>120</v>
      </c>
      <c r="AO68" s="18" t="s">
        <v>247</v>
      </c>
      <c r="AP68" s="18" t="s">
        <v>248</v>
      </c>
      <c r="AQ68" s="18"/>
      <c r="AR68" s="18">
        <v>0</v>
      </c>
      <c r="AS68" s="18">
        <v>1</v>
      </c>
      <c r="AT68" s="18">
        <v>0</v>
      </c>
      <c r="AU68" s="18">
        <v>3</v>
      </c>
      <c r="AV68" s="18">
        <v>2</v>
      </c>
      <c r="AW68" s="18">
        <v>6</v>
      </c>
      <c r="AX68" s="49">
        <f t="shared" ref="AX68:AX86" si="13">ROUND(-0.0002*POWER(T68,2)+0.2197*T68,0)</f>
        <v>0</v>
      </c>
      <c r="AY68" s="49">
        <v>1</v>
      </c>
      <c r="AZ68" s="50">
        <f t="shared" ref="AZ68:AZ86" si="14">IF(X68="",ROUND((IF(X68&lt;=400,1.5478*POWER(X68,0.3351),-2*POWER(10,-6)*POWER(X68,2)+0.0091*X68+8.1704)),0),ROUND((IF(X68&lt;=400,1.5478*POWER(X68,0.3351),-2*POWER(10,-6)*POWER(X68,2)+0.0091*X68+8.1704)),0))</f>
        <v>5</v>
      </c>
      <c r="BA68" s="49">
        <v>6</v>
      </c>
      <c r="BB68" s="49">
        <v>10</v>
      </c>
      <c r="BC68" s="67">
        <v>9</v>
      </c>
      <c r="BD68" s="67">
        <v>1</v>
      </c>
      <c r="BE68" s="67">
        <f t="shared" ref="BE68:BE86" si="15">IF(X68="",ROUND(IF(X68&lt;=50,5,IF(X68&gt;=3000,30,6.038*LN(X68)-19.63)),0),ROUND(IF(X68&lt;=50,5,IF(X68&gt;=3000,30,6.038*LN(X68)-19.63)),0))</f>
        <v>5</v>
      </c>
      <c r="BF68" s="67">
        <f t="shared" ref="BF68:BF86" si="16">ROUND(-0.0002*POWER(T68,2)+0.2197*T68,0)</f>
        <v>0</v>
      </c>
      <c r="BG68" s="67">
        <v>0</v>
      </c>
      <c r="BH68" s="67">
        <v>3</v>
      </c>
      <c r="BI68" s="67">
        <v>2</v>
      </c>
      <c r="BJ68" s="67">
        <v>1</v>
      </c>
      <c r="BK68" s="67">
        <v>0</v>
      </c>
      <c r="BL68" s="67">
        <v>7</v>
      </c>
      <c r="BM68" s="67">
        <f t="shared" ref="BM68:BM86" si="17">+BD68+BE68+BF68+BG68+BH68+BI68+BJ68+BK68+BL68</f>
        <v>19</v>
      </c>
      <c r="BN68" s="18">
        <f t="shared" ref="BN68:BN86" si="18">AX68+AY68+AZ68+BA68+BB68</f>
        <v>22</v>
      </c>
      <c r="BO68" s="18"/>
      <c r="BP68" s="18"/>
      <c r="BQ68" s="1"/>
      <c r="BR68" s="159" t="s">
        <v>316</v>
      </c>
      <c r="BS68" s="98">
        <v>16</v>
      </c>
      <c r="BT68" s="140"/>
      <c r="EJ68" t="s">
        <v>591</v>
      </c>
    </row>
    <row r="69" spans="1:146" x14ac:dyDescent="0.25">
      <c r="A69" s="18" t="s">
        <v>6</v>
      </c>
      <c r="B69" s="18">
        <v>2024</v>
      </c>
      <c r="C69" s="18" t="s">
        <v>138</v>
      </c>
      <c r="D69" s="18" t="s">
        <v>130</v>
      </c>
      <c r="E69" s="18">
        <v>40</v>
      </c>
      <c r="F69" s="18">
        <v>40</v>
      </c>
      <c r="G69" s="18" t="s">
        <v>153</v>
      </c>
      <c r="H69" s="18" t="s">
        <v>153</v>
      </c>
      <c r="I69" s="18" t="s">
        <v>180</v>
      </c>
      <c r="J69" s="4">
        <v>6.5</v>
      </c>
      <c r="K69" s="4">
        <v>7</v>
      </c>
      <c r="L69" s="4">
        <v>0.5</v>
      </c>
      <c r="M69" s="5">
        <v>0.56000000000000005</v>
      </c>
      <c r="N69" s="31">
        <v>0.28000000000000003</v>
      </c>
      <c r="O69" s="31">
        <v>0.28000000000000003</v>
      </c>
      <c r="P69" s="31">
        <v>14</v>
      </c>
      <c r="Q69" s="31">
        <v>20</v>
      </c>
      <c r="R69" s="31">
        <v>0.25</v>
      </c>
      <c r="S69" s="31">
        <v>0.1</v>
      </c>
      <c r="T69" s="65">
        <v>20</v>
      </c>
      <c r="U69" s="31">
        <v>5</v>
      </c>
      <c r="V69" s="31"/>
      <c r="W69" s="31">
        <v>5</v>
      </c>
      <c r="X69" s="4">
        <v>50</v>
      </c>
      <c r="Y69" s="18">
        <v>0</v>
      </c>
      <c r="Z69" s="18" t="s">
        <v>330</v>
      </c>
      <c r="AA69" s="18" t="s">
        <v>333</v>
      </c>
      <c r="AB69" s="18" t="s">
        <v>336</v>
      </c>
      <c r="AC69" s="18">
        <v>20</v>
      </c>
      <c r="AD69" s="18">
        <v>14</v>
      </c>
      <c r="AE69" s="18" t="s">
        <v>32</v>
      </c>
      <c r="AF69" s="18" t="s">
        <v>200</v>
      </c>
      <c r="AG69" s="18" t="s">
        <v>200</v>
      </c>
      <c r="AH69" s="18">
        <v>17</v>
      </c>
      <c r="AI69" s="18"/>
      <c r="AJ69" s="18" t="s">
        <v>69</v>
      </c>
      <c r="AK69" s="18" t="s">
        <v>81</v>
      </c>
      <c r="AL69" s="18" t="s">
        <v>100</v>
      </c>
      <c r="AM69" s="18" t="s">
        <v>107</v>
      </c>
      <c r="AN69" s="18" t="s">
        <v>120</v>
      </c>
      <c r="AO69" s="18" t="s">
        <v>247</v>
      </c>
      <c r="AP69" s="18" t="s">
        <v>248</v>
      </c>
      <c r="AQ69" s="18"/>
      <c r="AR69" s="18">
        <v>0</v>
      </c>
      <c r="AS69" s="18">
        <v>0</v>
      </c>
      <c r="AT69" s="18">
        <v>0</v>
      </c>
      <c r="AU69" s="18">
        <v>3</v>
      </c>
      <c r="AV69" s="18">
        <v>2</v>
      </c>
      <c r="AW69" s="18">
        <v>5</v>
      </c>
      <c r="AX69" s="49">
        <f t="shared" si="13"/>
        <v>4</v>
      </c>
      <c r="AY69" s="49">
        <v>1</v>
      </c>
      <c r="AZ69" s="50">
        <f t="shared" si="14"/>
        <v>6</v>
      </c>
      <c r="BA69" s="49">
        <v>5</v>
      </c>
      <c r="BB69" s="49">
        <v>10</v>
      </c>
      <c r="BC69" s="67">
        <v>17.5</v>
      </c>
      <c r="BD69" s="67">
        <v>1</v>
      </c>
      <c r="BE69" s="67">
        <f t="shared" si="15"/>
        <v>5</v>
      </c>
      <c r="BF69" s="67">
        <f t="shared" si="16"/>
        <v>4</v>
      </c>
      <c r="BG69" s="67">
        <v>0</v>
      </c>
      <c r="BH69" s="67">
        <v>3</v>
      </c>
      <c r="BI69" s="67">
        <v>2</v>
      </c>
      <c r="BJ69" s="67">
        <v>0</v>
      </c>
      <c r="BK69" s="67">
        <v>0</v>
      </c>
      <c r="BL69" s="67">
        <v>7</v>
      </c>
      <c r="BM69" s="67">
        <f t="shared" si="17"/>
        <v>22</v>
      </c>
      <c r="BN69" s="18">
        <f t="shared" si="18"/>
        <v>26</v>
      </c>
      <c r="BO69" s="18"/>
      <c r="BP69" s="18"/>
      <c r="BQ69" s="1"/>
      <c r="BR69" s="159" t="s">
        <v>317</v>
      </c>
      <c r="BS69" s="98">
        <v>54</v>
      </c>
      <c r="BT69" s="140"/>
    </row>
    <row r="70" spans="1:146" ht="15.75" thickBot="1" x14ac:dyDescent="0.3">
      <c r="A70" s="18" t="s">
        <v>6</v>
      </c>
      <c r="B70" s="18">
        <v>2024</v>
      </c>
      <c r="C70" s="18" t="s">
        <v>138</v>
      </c>
      <c r="D70" s="18" t="s">
        <v>130</v>
      </c>
      <c r="E70" s="18">
        <v>40</v>
      </c>
      <c r="F70" s="18">
        <v>40</v>
      </c>
      <c r="G70" s="18" t="s">
        <v>153</v>
      </c>
      <c r="H70" s="18" t="s">
        <v>153</v>
      </c>
      <c r="I70" s="18" t="s">
        <v>180</v>
      </c>
      <c r="J70" s="4">
        <v>7</v>
      </c>
      <c r="K70" s="4">
        <v>7.5</v>
      </c>
      <c r="L70" s="4">
        <v>0.5</v>
      </c>
      <c r="M70" s="5">
        <v>0.92</v>
      </c>
      <c r="N70" s="31">
        <v>0.46</v>
      </c>
      <c r="O70" s="31">
        <v>0.46</v>
      </c>
      <c r="P70" s="31">
        <v>23</v>
      </c>
      <c r="Q70" s="31">
        <v>20</v>
      </c>
      <c r="R70" s="31">
        <v>0.41</v>
      </c>
      <c r="S70" s="31">
        <v>0.13</v>
      </c>
      <c r="T70" s="65">
        <v>26</v>
      </c>
      <c r="U70" s="31">
        <v>8</v>
      </c>
      <c r="V70" s="31"/>
      <c r="W70" s="31">
        <v>8</v>
      </c>
      <c r="X70" s="4">
        <v>51.25</v>
      </c>
      <c r="Y70" s="18">
        <v>0</v>
      </c>
      <c r="Z70" s="18" t="s">
        <v>330</v>
      </c>
      <c r="AA70" s="18" t="s">
        <v>333</v>
      </c>
      <c r="AB70" s="18" t="s">
        <v>336</v>
      </c>
      <c r="AC70" s="18">
        <v>20</v>
      </c>
      <c r="AD70" s="18">
        <v>23</v>
      </c>
      <c r="AE70" s="18" t="s">
        <v>32</v>
      </c>
      <c r="AF70" s="18" t="s">
        <v>239</v>
      </c>
      <c r="AG70" s="18" t="s">
        <v>239</v>
      </c>
      <c r="AH70" s="18">
        <v>17</v>
      </c>
      <c r="AI70" s="18"/>
      <c r="AJ70" s="18" t="s">
        <v>69</v>
      </c>
      <c r="AK70" s="18" t="s">
        <v>79</v>
      </c>
      <c r="AL70" s="18" t="s">
        <v>100</v>
      </c>
      <c r="AM70" s="18" t="s">
        <v>107</v>
      </c>
      <c r="AN70" s="18" t="s">
        <v>120</v>
      </c>
      <c r="AO70" s="18" t="s">
        <v>247</v>
      </c>
      <c r="AP70" s="18" t="s">
        <v>248</v>
      </c>
      <c r="AQ70" s="18"/>
      <c r="AR70" s="18">
        <v>0</v>
      </c>
      <c r="AS70" s="18">
        <v>1</v>
      </c>
      <c r="AT70" s="18">
        <v>0</v>
      </c>
      <c r="AU70" s="18">
        <v>3</v>
      </c>
      <c r="AV70" s="18">
        <v>2</v>
      </c>
      <c r="AW70" s="18">
        <v>6</v>
      </c>
      <c r="AX70" s="49">
        <f t="shared" si="13"/>
        <v>6</v>
      </c>
      <c r="AY70" s="49">
        <v>1</v>
      </c>
      <c r="AZ70" s="50">
        <f t="shared" si="14"/>
        <v>6</v>
      </c>
      <c r="BA70" s="49">
        <v>6</v>
      </c>
      <c r="BB70" s="49">
        <v>10</v>
      </c>
      <c r="BC70" s="67">
        <v>22</v>
      </c>
      <c r="BD70" s="67">
        <v>1</v>
      </c>
      <c r="BE70" s="67">
        <f t="shared" si="15"/>
        <v>4</v>
      </c>
      <c r="BF70" s="67">
        <f t="shared" si="16"/>
        <v>6</v>
      </c>
      <c r="BG70" s="67">
        <v>0</v>
      </c>
      <c r="BH70" s="67">
        <v>3</v>
      </c>
      <c r="BI70" s="67">
        <v>2</v>
      </c>
      <c r="BJ70" s="67">
        <v>1</v>
      </c>
      <c r="BK70" s="67">
        <v>0</v>
      </c>
      <c r="BL70" s="67">
        <v>7</v>
      </c>
      <c r="BM70" s="67">
        <f t="shared" si="17"/>
        <v>24</v>
      </c>
      <c r="BN70" s="18">
        <f t="shared" si="18"/>
        <v>29</v>
      </c>
      <c r="BO70" s="18"/>
      <c r="BP70" s="18"/>
      <c r="BQ70" s="1"/>
      <c r="BR70" s="159" t="s">
        <v>318</v>
      </c>
      <c r="BS70" s="98">
        <v>4416</v>
      </c>
      <c r="BT70" s="140"/>
    </row>
    <row r="71" spans="1:146" x14ac:dyDescent="0.25">
      <c r="A71" s="18" t="s">
        <v>6</v>
      </c>
      <c r="B71" s="18">
        <v>2024</v>
      </c>
      <c r="C71" s="18" t="s">
        <v>138</v>
      </c>
      <c r="D71" s="18" t="s">
        <v>130</v>
      </c>
      <c r="E71" s="18">
        <v>40</v>
      </c>
      <c r="F71" s="18">
        <v>40</v>
      </c>
      <c r="G71" s="18" t="s">
        <v>153</v>
      </c>
      <c r="H71" s="18" t="s">
        <v>153</v>
      </c>
      <c r="I71" s="18" t="s">
        <v>180</v>
      </c>
      <c r="J71" s="4">
        <v>7.5</v>
      </c>
      <c r="K71" s="4">
        <v>8</v>
      </c>
      <c r="L71" s="4">
        <v>0.5</v>
      </c>
      <c r="M71" s="5">
        <v>0.94</v>
      </c>
      <c r="N71" s="31">
        <v>0.47</v>
      </c>
      <c r="O71" s="31">
        <v>0.47</v>
      </c>
      <c r="P71" s="31">
        <v>23.5</v>
      </c>
      <c r="Q71" s="31">
        <v>20</v>
      </c>
      <c r="R71" s="31">
        <v>0.43</v>
      </c>
      <c r="S71" s="31">
        <v>0.15</v>
      </c>
      <c r="T71" s="65">
        <v>30</v>
      </c>
      <c r="U71" s="31">
        <v>5</v>
      </c>
      <c r="V71" s="31"/>
      <c r="W71" s="31">
        <v>5</v>
      </c>
      <c r="X71" s="4">
        <v>86</v>
      </c>
      <c r="Y71" s="18">
        <v>0</v>
      </c>
      <c r="Z71" s="18" t="s">
        <v>330</v>
      </c>
      <c r="AA71" s="18" t="s">
        <v>333</v>
      </c>
      <c r="AB71" s="18" t="s">
        <v>336</v>
      </c>
      <c r="AC71" s="18">
        <v>20</v>
      </c>
      <c r="AD71" s="18">
        <v>23.5</v>
      </c>
      <c r="AE71" s="18" t="s">
        <v>32</v>
      </c>
      <c r="AF71" s="18" t="s">
        <v>239</v>
      </c>
      <c r="AG71" s="18" t="s">
        <v>239</v>
      </c>
      <c r="AH71" s="18">
        <v>17</v>
      </c>
      <c r="AI71" s="18"/>
      <c r="AJ71" s="18" t="s">
        <v>69</v>
      </c>
      <c r="AK71" s="18" t="s">
        <v>79</v>
      </c>
      <c r="AL71" s="18" t="s">
        <v>100</v>
      </c>
      <c r="AM71" s="18" t="s">
        <v>107</v>
      </c>
      <c r="AN71" s="18" t="s">
        <v>120</v>
      </c>
      <c r="AO71" s="18" t="s">
        <v>247</v>
      </c>
      <c r="AP71" s="18" t="s">
        <v>248</v>
      </c>
      <c r="AQ71" s="18"/>
      <c r="AR71" s="18">
        <v>0</v>
      </c>
      <c r="AS71" s="18">
        <v>1</v>
      </c>
      <c r="AT71" s="18">
        <v>0</v>
      </c>
      <c r="AU71" s="18">
        <v>3</v>
      </c>
      <c r="AV71" s="18">
        <v>2</v>
      </c>
      <c r="AW71" s="18">
        <v>6</v>
      </c>
      <c r="AX71" s="49">
        <f t="shared" si="13"/>
        <v>6</v>
      </c>
      <c r="AY71" s="49">
        <v>1</v>
      </c>
      <c r="AZ71" s="50">
        <f t="shared" si="14"/>
        <v>7</v>
      </c>
      <c r="BA71" s="49">
        <v>6</v>
      </c>
      <c r="BB71" s="49">
        <v>10</v>
      </c>
      <c r="BC71" s="67">
        <v>24</v>
      </c>
      <c r="BD71" s="67">
        <v>1</v>
      </c>
      <c r="BE71" s="67">
        <f t="shared" si="15"/>
        <v>7</v>
      </c>
      <c r="BF71" s="67">
        <f t="shared" si="16"/>
        <v>6</v>
      </c>
      <c r="BG71" s="67">
        <v>0</v>
      </c>
      <c r="BH71" s="67">
        <v>3</v>
      </c>
      <c r="BI71" s="67">
        <v>2</v>
      </c>
      <c r="BJ71" s="67">
        <v>1</v>
      </c>
      <c r="BK71" s="67">
        <v>0</v>
      </c>
      <c r="BL71" s="67">
        <v>7</v>
      </c>
      <c r="BM71" s="67">
        <f t="shared" si="17"/>
        <v>27</v>
      </c>
      <c r="BN71" s="18">
        <f t="shared" si="18"/>
        <v>30</v>
      </c>
      <c r="BO71" s="18"/>
      <c r="BP71" s="18"/>
      <c r="BQ71" s="1"/>
      <c r="BR71" s="159" t="s">
        <v>319</v>
      </c>
      <c r="BS71" s="98">
        <v>149</v>
      </c>
      <c r="BT71" s="140"/>
      <c r="EJ71" s="96" t="s">
        <v>287</v>
      </c>
      <c r="EK71" s="96" t="s">
        <v>288</v>
      </c>
      <c r="EL71" s="96" t="s">
        <v>582</v>
      </c>
      <c r="EM71" s="96" t="s">
        <v>287</v>
      </c>
      <c r="EN71" s="96" t="s">
        <v>288</v>
      </c>
      <c r="EO71" s="96" t="s">
        <v>582</v>
      </c>
      <c r="EP71" s="39" t="s">
        <v>583</v>
      </c>
    </row>
    <row r="72" spans="1:146" x14ac:dyDescent="0.25">
      <c r="A72" s="18" t="s">
        <v>6</v>
      </c>
      <c r="B72" s="18">
        <v>2024</v>
      </c>
      <c r="C72" s="18" t="s">
        <v>138</v>
      </c>
      <c r="D72" s="18" t="s">
        <v>130</v>
      </c>
      <c r="E72" s="18">
        <v>40</v>
      </c>
      <c r="F72" s="18">
        <v>40</v>
      </c>
      <c r="G72" s="18" t="s">
        <v>153</v>
      </c>
      <c r="H72" s="18" t="s">
        <v>153</v>
      </c>
      <c r="I72" s="18" t="s">
        <v>180</v>
      </c>
      <c r="J72" s="4">
        <v>8</v>
      </c>
      <c r="K72" s="4">
        <v>8.5</v>
      </c>
      <c r="L72" s="4">
        <v>0.5</v>
      </c>
      <c r="M72" s="5">
        <v>0.86</v>
      </c>
      <c r="N72" s="31">
        <v>0.43</v>
      </c>
      <c r="O72" s="31">
        <v>0.43</v>
      </c>
      <c r="P72" s="31">
        <v>21.5</v>
      </c>
      <c r="Q72" s="31">
        <v>20</v>
      </c>
      <c r="R72" s="31">
        <v>0.37</v>
      </c>
      <c r="S72" s="84">
        <v>0.16</v>
      </c>
      <c r="T72" s="65">
        <v>32</v>
      </c>
      <c r="U72" s="31">
        <v>5</v>
      </c>
      <c r="V72" s="31"/>
      <c r="W72" s="31">
        <v>5</v>
      </c>
      <c r="X72" s="4">
        <v>74</v>
      </c>
      <c r="Y72" s="18">
        <v>0</v>
      </c>
      <c r="Z72" s="18" t="s">
        <v>330</v>
      </c>
      <c r="AA72" s="18" t="s">
        <v>333</v>
      </c>
      <c r="AB72" s="18" t="s">
        <v>336</v>
      </c>
      <c r="AC72" s="18">
        <v>20</v>
      </c>
      <c r="AD72" s="18">
        <v>21.5</v>
      </c>
      <c r="AE72" s="18" t="s">
        <v>32</v>
      </c>
      <c r="AF72" s="18" t="s">
        <v>239</v>
      </c>
      <c r="AG72" s="18" t="s">
        <v>239</v>
      </c>
      <c r="AH72" s="18">
        <v>17</v>
      </c>
      <c r="AI72" s="18"/>
      <c r="AJ72" s="18" t="s">
        <v>69</v>
      </c>
      <c r="AK72" s="18" t="s">
        <v>81</v>
      </c>
      <c r="AL72" s="18" t="s">
        <v>100</v>
      </c>
      <c r="AM72" s="18" t="s">
        <v>107</v>
      </c>
      <c r="AN72" s="18" t="s">
        <v>120</v>
      </c>
      <c r="AO72" s="18" t="s">
        <v>247</v>
      </c>
      <c r="AP72" s="18" t="s">
        <v>248</v>
      </c>
      <c r="AQ72" s="18"/>
      <c r="AR72" s="18">
        <v>0</v>
      </c>
      <c r="AS72" s="18">
        <v>0</v>
      </c>
      <c r="AT72" s="18">
        <v>0</v>
      </c>
      <c r="AU72" s="18">
        <v>3</v>
      </c>
      <c r="AV72" s="18">
        <v>2</v>
      </c>
      <c r="AW72" s="18">
        <v>5</v>
      </c>
      <c r="AX72" s="49">
        <f t="shared" si="13"/>
        <v>7</v>
      </c>
      <c r="AY72" s="49">
        <v>1</v>
      </c>
      <c r="AZ72" s="50">
        <f t="shared" si="14"/>
        <v>7</v>
      </c>
      <c r="BA72" s="49">
        <v>5</v>
      </c>
      <c r="BB72" s="49">
        <v>10</v>
      </c>
      <c r="BC72" s="67">
        <v>23.5</v>
      </c>
      <c r="BD72" s="67">
        <v>1</v>
      </c>
      <c r="BE72" s="67">
        <f t="shared" si="15"/>
        <v>6</v>
      </c>
      <c r="BF72" s="67">
        <f t="shared" si="16"/>
        <v>7</v>
      </c>
      <c r="BG72" s="67">
        <v>0</v>
      </c>
      <c r="BH72" s="67">
        <v>3</v>
      </c>
      <c r="BI72" s="67">
        <v>2</v>
      </c>
      <c r="BJ72" s="67">
        <v>0</v>
      </c>
      <c r="BK72" s="67">
        <v>0</v>
      </c>
      <c r="BL72" s="67">
        <v>7</v>
      </c>
      <c r="BM72" s="67">
        <f t="shared" si="17"/>
        <v>26</v>
      </c>
      <c r="BN72" s="18">
        <f t="shared" si="18"/>
        <v>30</v>
      </c>
      <c r="BO72" s="18"/>
      <c r="BP72" s="18"/>
      <c r="BQ72" s="1"/>
      <c r="BR72" s="159" t="s">
        <v>320</v>
      </c>
      <c r="BS72" s="98">
        <v>54</v>
      </c>
      <c r="BT72" s="140"/>
      <c r="EI72" t="s">
        <v>587</v>
      </c>
      <c r="EJ72">
        <v>20</v>
      </c>
      <c r="EK72">
        <v>51</v>
      </c>
      <c r="EL72" s="55">
        <v>0.34228187919463088</v>
      </c>
      <c r="EM72">
        <v>40</v>
      </c>
      <c r="EN72">
        <v>82</v>
      </c>
      <c r="EO72" s="55">
        <v>0.55033557046979864</v>
      </c>
      <c r="EP72" s="42">
        <f>+EK72/$EK$77</f>
        <v>0.34228187919463088</v>
      </c>
    </row>
    <row r="73" spans="1:146" x14ac:dyDescent="0.25">
      <c r="A73" s="18" t="s">
        <v>6</v>
      </c>
      <c r="B73" s="18">
        <v>2024</v>
      </c>
      <c r="C73" s="18" t="s">
        <v>138</v>
      </c>
      <c r="D73" s="18" t="s">
        <v>130</v>
      </c>
      <c r="E73" s="18">
        <v>40</v>
      </c>
      <c r="F73" s="18">
        <v>40</v>
      </c>
      <c r="G73" s="18" t="s">
        <v>153</v>
      </c>
      <c r="H73" s="18" t="s">
        <v>153</v>
      </c>
      <c r="I73" s="18" t="s">
        <v>180</v>
      </c>
      <c r="J73" s="4">
        <v>8.5</v>
      </c>
      <c r="K73" s="4">
        <v>9</v>
      </c>
      <c r="L73" s="4">
        <v>0.5</v>
      </c>
      <c r="M73" s="5">
        <v>1</v>
      </c>
      <c r="N73" s="31">
        <v>0.5</v>
      </c>
      <c r="O73" s="31">
        <v>0.5</v>
      </c>
      <c r="P73" s="31">
        <v>25</v>
      </c>
      <c r="Q73" s="31">
        <v>20</v>
      </c>
      <c r="R73" s="31">
        <v>0.43</v>
      </c>
      <c r="S73" s="31">
        <v>0.28000000000000003</v>
      </c>
      <c r="T73" s="65">
        <v>56.000000000000007</v>
      </c>
      <c r="U73" s="31">
        <v>4</v>
      </c>
      <c r="V73" s="31"/>
      <c r="W73" s="31">
        <v>4</v>
      </c>
      <c r="X73" s="4">
        <v>107.5</v>
      </c>
      <c r="Y73" s="18">
        <v>0</v>
      </c>
      <c r="Z73" s="18" t="s">
        <v>330</v>
      </c>
      <c r="AA73" s="18" t="s">
        <v>333</v>
      </c>
      <c r="AB73" s="18" t="s">
        <v>336</v>
      </c>
      <c r="AC73" s="18">
        <v>20</v>
      </c>
      <c r="AD73" s="18">
        <v>25</v>
      </c>
      <c r="AE73" s="18" t="s">
        <v>32</v>
      </c>
      <c r="AF73" s="18" t="s">
        <v>239</v>
      </c>
      <c r="AG73" s="18" t="s">
        <v>239</v>
      </c>
      <c r="AH73" s="18">
        <v>17</v>
      </c>
      <c r="AI73" s="18"/>
      <c r="AJ73" s="18" t="s">
        <v>69</v>
      </c>
      <c r="AK73" s="18" t="s">
        <v>79</v>
      </c>
      <c r="AL73" s="18" t="s">
        <v>100</v>
      </c>
      <c r="AM73" s="18" t="s">
        <v>107</v>
      </c>
      <c r="AN73" s="18" t="s">
        <v>120</v>
      </c>
      <c r="AO73" s="18" t="s">
        <v>247</v>
      </c>
      <c r="AP73" s="18" t="s">
        <v>248</v>
      </c>
      <c r="AQ73" s="18"/>
      <c r="AR73" s="18">
        <v>0</v>
      </c>
      <c r="AS73" s="18">
        <v>1</v>
      </c>
      <c r="AT73" s="18">
        <v>0</v>
      </c>
      <c r="AU73" s="18">
        <v>3</v>
      </c>
      <c r="AV73" s="18">
        <v>2</v>
      </c>
      <c r="AW73" s="18">
        <v>6</v>
      </c>
      <c r="AX73" s="49">
        <f t="shared" si="13"/>
        <v>12</v>
      </c>
      <c r="AY73" s="49">
        <v>1</v>
      </c>
      <c r="AZ73" s="50">
        <f t="shared" si="14"/>
        <v>7</v>
      </c>
      <c r="BA73" s="49">
        <v>6</v>
      </c>
      <c r="BB73" s="49">
        <v>10</v>
      </c>
      <c r="BC73" s="67">
        <v>37</v>
      </c>
      <c r="BD73" s="67">
        <v>1</v>
      </c>
      <c r="BE73" s="67">
        <f t="shared" si="15"/>
        <v>9</v>
      </c>
      <c r="BF73" s="67">
        <f t="shared" si="16"/>
        <v>12</v>
      </c>
      <c r="BG73" s="67">
        <v>0</v>
      </c>
      <c r="BH73" s="67">
        <v>3</v>
      </c>
      <c r="BI73" s="67">
        <v>2</v>
      </c>
      <c r="BJ73" s="67">
        <v>1</v>
      </c>
      <c r="BK73" s="67">
        <v>0</v>
      </c>
      <c r="BL73" s="67">
        <v>7</v>
      </c>
      <c r="BM73" s="67">
        <f t="shared" si="17"/>
        <v>35</v>
      </c>
      <c r="BN73" s="18">
        <f t="shared" si="18"/>
        <v>36</v>
      </c>
      <c r="BO73" s="18"/>
      <c r="BP73" s="18"/>
      <c r="BQ73" s="1"/>
      <c r="BR73" s="159" t="s">
        <v>321</v>
      </c>
      <c r="BS73" s="98">
        <v>16</v>
      </c>
      <c r="BT73" s="140"/>
      <c r="EI73" t="s">
        <v>588</v>
      </c>
      <c r="EJ73">
        <v>40</v>
      </c>
      <c r="EK73">
        <v>82</v>
      </c>
      <c r="EL73" s="55">
        <v>0.89261744966442957</v>
      </c>
      <c r="EM73">
        <v>20</v>
      </c>
      <c r="EN73">
        <v>51</v>
      </c>
      <c r="EO73" s="55">
        <v>0.89261744966442957</v>
      </c>
      <c r="EP73" s="42">
        <f t="shared" ref="EP73:EP75" si="19">+EK73/$EK$77</f>
        <v>0.55033557046979864</v>
      </c>
    </row>
    <row r="74" spans="1:146" x14ac:dyDescent="0.25">
      <c r="A74" s="18" t="s">
        <v>6</v>
      </c>
      <c r="B74" s="18">
        <v>2024</v>
      </c>
      <c r="C74" s="18" t="s">
        <v>138</v>
      </c>
      <c r="D74" s="18" t="s">
        <v>130</v>
      </c>
      <c r="E74" s="18">
        <v>40</v>
      </c>
      <c r="F74" s="18">
        <v>40</v>
      </c>
      <c r="G74" s="18" t="s">
        <v>153</v>
      </c>
      <c r="H74" s="18" t="s">
        <v>153</v>
      </c>
      <c r="I74" s="18" t="s">
        <v>180</v>
      </c>
      <c r="J74" s="4">
        <v>9</v>
      </c>
      <c r="K74" s="4">
        <v>9.5</v>
      </c>
      <c r="L74" s="4">
        <v>0.5</v>
      </c>
      <c r="M74" s="5">
        <v>0.68</v>
      </c>
      <c r="N74" s="31">
        <v>0.34</v>
      </c>
      <c r="O74" s="31">
        <v>0.34</v>
      </c>
      <c r="P74" s="31">
        <v>17</v>
      </c>
      <c r="Q74" s="31">
        <v>20</v>
      </c>
      <c r="R74" s="31">
        <v>0.3</v>
      </c>
      <c r="S74" s="31">
        <v>0</v>
      </c>
      <c r="T74" s="65">
        <v>0</v>
      </c>
      <c r="U74" s="31">
        <v>5</v>
      </c>
      <c r="V74" s="31"/>
      <c r="W74" s="31">
        <v>5</v>
      </c>
      <c r="X74" s="4">
        <v>60</v>
      </c>
      <c r="Y74" s="18">
        <v>0</v>
      </c>
      <c r="Z74" s="18" t="s">
        <v>330</v>
      </c>
      <c r="AA74" s="18" t="s">
        <v>333</v>
      </c>
      <c r="AB74" s="18" t="s">
        <v>336</v>
      </c>
      <c r="AC74" s="18">
        <v>20</v>
      </c>
      <c r="AD74" s="18">
        <v>17</v>
      </c>
      <c r="AE74" s="18" t="s">
        <v>32</v>
      </c>
      <c r="AF74" s="18" t="s">
        <v>228</v>
      </c>
      <c r="AG74" s="18" t="s">
        <v>228</v>
      </c>
      <c r="AH74" s="18">
        <v>17</v>
      </c>
      <c r="AI74" s="18"/>
      <c r="AJ74" s="18" t="s">
        <v>69</v>
      </c>
      <c r="AK74" s="18" t="s">
        <v>79</v>
      </c>
      <c r="AL74" s="18" t="s">
        <v>100</v>
      </c>
      <c r="AM74" s="18" t="s">
        <v>107</v>
      </c>
      <c r="AN74" s="18" t="s">
        <v>120</v>
      </c>
      <c r="AO74" s="18" t="s">
        <v>247</v>
      </c>
      <c r="AP74" s="18" t="s">
        <v>249</v>
      </c>
      <c r="AQ74" s="18"/>
      <c r="AR74" s="18">
        <v>0</v>
      </c>
      <c r="AS74" s="18">
        <v>1</v>
      </c>
      <c r="AT74" s="18">
        <v>0</v>
      </c>
      <c r="AU74" s="18">
        <v>3</v>
      </c>
      <c r="AV74" s="18">
        <v>2</v>
      </c>
      <c r="AW74" s="18">
        <v>6</v>
      </c>
      <c r="AX74" s="49">
        <f t="shared" si="13"/>
        <v>0</v>
      </c>
      <c r="AY74" s="49">
        <v>1</v>
      </c>
      <c r="AZ74" s="50">
        <f t="shared" si="14"/>
        <v>6</v>
      </c>
      <c r="BA74" s="49">
        <v>6</v>
      </c>
      <c r="BB74" s="49">
        <v>10</v>
      </c>
      <c r="BC74" s="67">
        <v>9</v>
      </c>
      <c r="BD74" s="67">
        <v>1</v>
      </c>
      <c r="BE74" s="67">
        <f t="shared" si="15"/>
        <v>5</v>
      </c>
      <c r="BF74" s="67">
        <f t="shared" si="16"/>
        <v>0</v>
      </c>
      <c r="BG74" s="67">
        <v>0</v>
      </c>
      <c r="BH74" s="67">
        <v>3</v>
      </c>
      <c r="BI74" s="67">
        <v>2</v>
      </c>
      <c r="BJ74" s="67">
        <v>1</v>
      </c>
      <c r="BK74" s="67">
        <v>0</v>
      </c>
      <c r="BL74" s="67">
        <v>7</v>
      </c>
      <c r="BM74" s="67">
        <f t="shared" si="17"/>
        <v>19</v>
      </c>
      <c r="BN74" s="18">
        <f t="shared" si="18"/>
        <v>23</v>
      </c>
      <c r="BO74" s="18"/>
      <c r="BP74" s="18"/>
      <c r="BQ74" s="1"/>
      <c r="BR74" s="159" t="s">
        <v>322</v>
      </c>
      <c r="BS74" s="98">
        <v>1.466487715456058</v>
      </c>
      <c r="BT74" s="140"/>
      <c r="EI74" t="s">
        <v>589</v>
      </c>
      <c r="EJ74">
        <v>60</v>
      </c>
      <c r="EK74">
        <v>16</v>
      </c>
      <c r="EL74" s="55">
        <v>1</v>
      </c>
      <c r="EM74">
        <v>60</v>
      </c>
      <c r="EN74">
        <v>16</v>
      </c>
      <c r="EO74" s="55">
        <v>1</v>
      </c>
      <c r="EP74" s="42">
        <f t="shared" si="19"/>
        <v>0.10738255033557047</v>
      </c>
    </row>
    <row r="75" spans="1:146" ht="15.75" thickBot="1" x14ac:dyDescent="0.3">
      <c r="A75" s="18" t="s">
        <v>6</v>
      </c>
      <c r="B75" s="18">
        <v>2024</v>
      </c>
      <c r="C75" s="18" t="s">
        <v>138</v>
      </c>
      <c r="D75" s="18" t="s">
        <v>130</v>
      </c>
      <c r="E75" s="18">
        <v>40</v>
      </c>
      <c r="F75" s="18">
        <v>40</v>
      </c>
      <c r="G75" s="18" t="s">
        <v>153</v>
      </c>
      <c r="H75" s="18" t="s">
        <v>153</v>
      </c>
      <c r="I75" s="18" t="s">
        <v>180</v>
      </c>
      <c r="J75" s="4">
        <v>9.5</v>
      </c>
      <c r="K75" s="4">
        <v>10</v>
      </c>
      <c r="L75" s="4">
        <v>0.5</v>
      </c>
      <c r="M75" s="5">
        <v>0.7</v>
      </c>
      <c r="N75" s="31">
        <v>0.35</v>
      </c>
      <c r="O75" s="31">
        <v>0.35</v>
      </c>
      <c r="P75" s="31">
        <v>17.5</v>
      </c>
      <c r="Q75" s="31">
        <v>20</v>
      </c>
      <c r="R75" s="31">
        <v>0.34</v>
      </c>
      <c r="S75" s="31">
        <v>0</v>
      </c>
      <c r="T75" s="65">
        <v>0</v>
      </c>
      <c r="U75" s="31">
        <v>10</v>
      </c>
      <c r="V75" s="31"/>
      <c r="W75" s="31">
        <v>10</v>
      </c>
      <c r="X75" s="4">
        <v>34</v>
      </c>
      <c r="Y75" s="18">
        <v>0</v>
      </c>
      <c r="Z75" s="18" t="s">
        <v>330</v>
      </c>
      <c r="AA75" s="18" t="s">
        <v>333</v>
      </c>
      <c r="AB75" s="18" t="s">
        <v>336</v>
      </c>
      <c r="AC75" s="18">
        <v>20</v>
      </c>
      <c r="AD75" s="18">
        <v>17.5</v>
      </c>
      <c r="AE75" s="18" t="s">
        <v>32</v>
      </c>
      <c r="AF75" s="18" t="s">
        <v>228</v>
      </c>
      <c r="AG75" s="18" t="s">
        <v>228</v>
      </c>
      <c r="AH75" s="18">
        <v>17</v>
      </c>
      <c r="AI75" s="18"/>
      <c r="AJ75" s="18" t="s">
        <v>69</v>
      </c>
      <c r="AK75" s="18" t="s">
        <v>81</v>
      </c>
      <c r="AL75" s="18" t="s">
        <v>100</v>
      </c>
      <c r="AM75" s="18" t="s">
        <v>107</v>
      </c>
      <c r="AN75" s="18" t="s">
        <v>120</v>
      </c>
      <c r="AO75" s="18" t="s">
        <v>247</v>
      </c>
      <c r="AP75" s="18" t="s">
        <v>248</v>
      </c>
      <c r="AQ75" s="18"/>
      <c r="AR75" s="18">
        <v>0</v>
      </c>
      <c r="AS75" s="18">
        <v>0</v>
      </c>
      <c r="AT75" s="18">
        <v>0</v>
      </c>
      <c r="AU75" s="18">
        <v>3</v>
      </c>
      <c r="AV75" s="18">
        <v>2</v>
      </c>
      <c r="AW75" s="18">
        <v>5</v>
      </c>
      <c r="AX75" s="49">
        <f t="shared" si="13"/>
        <v>0</v>
      </c>
      <c r="AY75" s="49">
        <v>1</v>
      </c>
      <c r="AZ75" s="50">
        <f t="shared" si="14"/>
        <v>5</v>
      </c>
      <c r="BA75" s="49">
        <v>5</v>
      </c>
      <c r="BB75" s="49">
        <v>10</v>
      </c>
      <c r="BC75" s="67">
        <v>7.5</v>
      </c>
      <c r="BD75" s="67">
        <v>1</v>
      </c>
      <c r="BE75" s="67">
        <f t="shared" si="15"/>
        <v>5</v>
      </c>
      <c r="BF75" s="67">
        <f t="shared" si="16"/>
        <v>0</v>
      </c>
      <c r="BG75" s="67">
        <v>0</v>
      </c>
      <c r="BH75" s="67">
        <v>3</v>
      </c>
      <c r="BI75" s="67">
        <v>2</v>
      </c>
      <c r="BJ75" s="67">
        <v>0</v>
      </c>
      <c r="BK75" s="67">
        <v>0</v>
      </c>
      <c r="BL75" s="67">
        <v>7</v>
      </c>
      <c r="BM75" s="67">
        <f t="shared" si="17"/>
        <v>18</v>
      </c>
      <c r="BN75" s="18">
        <f t="shared" si="18"/>
        <v>21</v>
      </c>
      <c r="BO75" s="18"/>
      <c r="BP75" s="18"/>
      <c r="BQ75" s="1"/>
      <c r="BR75" s="162"/>
      <c r="BS75" s="137"/>
      <c r="BT75" s="140"/>
      <c r="EI75" t="s">
        <v>590</v>
      </c>
      <c r="EJ75">
        <v>80</v>
      </c>
      <c r="EK75">
        <v>0</v>
      </c>
      <c r="EL75" s="55">
        <v>1</v>
      </c>
      <c r="EM75">
        <v>80</v>
      </c>
      <c r="EN75">
        <v>0</v>
      </c>
      <c r="EO75" s="55">
        <v>1</v>
      </c>
      <c r="EP75" s="42">
        <f t="shared" si="19"/>
        <v>0</v>
      </c>
    </row>
    <row r="76" spans="1:146" ht="15.75" thickBot="1" x14ac:dyDescent="0.3">
      <c r="A76" s="18" t="s">
        <v>6</v>
      </c>
      <c r="B76" s="18">
        <v>2024</v>
      </c>
      <c r="C76" s="18" t="s">
        <v>138</v>
      </c>
      <c r="D76" s="18" t="s">
        <v>130</v>
      </c>
      <c r="E76" s="18">
        <v>40</v>
      </c>
      <c r="F76" s="18">
        <v>40</v>
      </c>
      <c r="G76" s="18" t="s">
        <v>153</v>
      </c>
      <c r="H76" s="18" t="s">
        <v>153</v>
      </c>
      <c r="I76" s="18" t="s">
        <v>180</v>
      </c>
      <c r="J76" s="4">
        <v>10</v>
      </c>
      <c r="K76" s="4">
        <v>10.5</v>
      </c>
      <c r="L76" s="4">
        <v>0.5</v>
      </c>
      <c r="M76" s="5">
        <v>1</v>
      </c>
      <c r="N76" s="31">
        <v>0.5</v>
      </c>
      <c r="O76" s="31">
        <v>0.5</v>
      </c>
      <c r="P76" s="31">
        <v>25</v>
      </c>
      <c r="Q76" s="31">
        <v>20</v>
      </c>
      <c r="R76" s="31">
        <v>0.48</v>
      </c>
      <c r="S76" s="31">
        <v>0</v>
      </c>
      <c r="T76" s="65">
        <v>0</v>
      </c>
      <c r="U76" s="31">
        <v>15</v>
      </c>
      <c r="V76" s="31"/>
      <c r="W76" s="31">
        <v>15</v>
      </c>
      <c r="X76" s="4">
        <v>32</v>
      </c>
      <c r="Y76" s="18">
        <v>0</v>
      </c>
      <c r="Z76" s="18" t="s">
        <v>330</v>
      </c>
      <c r="AA76" s="18" t="s">
        <v>333</v>
      </c>
      <c r="AB76" s="18" t="s">
        <v>336</v>
      </c>
      <c r="AC76" s="18">
        <v>20</v>
      </c>
      <c r="AD76" s="18">
        <v>25</v>
      </c>
      <c r="AE76" s="18" t="s">
        <v>32</v>
      </c>
      <c r="AF76" s="18" t="s">
        <v>228</v>
      </c>
      <c r="AG76" s="18" t="s">
        <v>228</v>
      </c>
      <c r="AH76" s="18">
        <v>17</v>
      </c>
      <c r="AI76" s="18"/>
      <c r="AJ76" s="18" t="s">
        <v>69</v>
      </c>
      <c r="AK76" s="18" t="s">
        <v>81</v>
      </c>
      <c r="AL76" s="18" t="s">
        <v>100</v>
      </c>
      <c r="AM76" s="18" t="s">
        <v>107</v>
      </c>
      <c r="AN76" s="18" t="s">
        <v>120</v>
      </c>
      <c r="AO76" s="18" t="s">
        <v>247</v>
      </c>
      <c r="AP76" s="18" t="s">
        <v>248</v>
      </c>
      <c r="AQ76" s="18"/>
      <c r="AR76" s="18">
        <v>0</v>
      </c>
      <c r="AS76" s="18">
        <v>0</v>
      </c>
      <c r="AT76" s="18">
        <v>0</v>
      </c>
      <c r="AU76" s="18">
        <v>3</v>
      </c>
      <c r="AV76" s="18">
        <v>2</v>
      </c>
      <c r="AW76" s="18">
        <v>5</v>
      </c>
      <c r="AX76" s="49">
        <f t="shared" si="13"/>
        <v>0</v>
      </c>
      <c r="AY76" s="49">
        <v>1</v>
      </c>
      <c r="AZ76" s="50">
        <f t="shared" si="14"/>
        <v>5</v>
      </c>
      <c r="BA76" s="49">
        <v>5</v>
      </c>
      <c r="BB76" s="49">
        <v>10</v>
      </c>
      <c r="BC76" s="67">
        <v>7.5</v>
      </c>
      <c r="BD76" s="67">
        <v>1</v>
      </c>
      <c r="BE76" s="67">
        <f t="shared" si="15"/>
        <v>5</v>
      </c>
      <c r="BF76" s="67">
        <f t="shared" si="16"/>
        <v>0</v>
      </c>
      <c r="BG76" s="67">
        <v>0</v>
      </c>
      <c r="BH76" s="67">
        <v>3</v>
      </c>
      <c r="BI76" s="67">
        <v>2</v>
      </c>
      <c r="BJ76" s="67">
        <v>0</v>
      </c>
      <c r="BK76" s="67">
        <v>0</v>
      </c>
      <c r="BL76" s="67">
        <v>7</v>
      </c>
      <c r="BM76" s="67">
        <f t="shared" si="17"/>
        <v>18</v>
      </c>
      <c r="BN76" s="18">
        <f t="shared" si="18"/>
        <v>21</v>
      </c>
      <c r="BO76" s="18"/>
      <c r="BP76" s="18"/>
      <c r="BQ76" s="1"/>
      <c r="EI76" t="s">
        <v>591</v>
      </c>
      <c r="EJ76" s="57" t="s">
        <v>581</v>
      </c>
      <c r="EK76" s="57">
        <v>0</v>
      </c>
      <c r="EL76" s="95">
        <v>1</v>
      </c>
      <c r="EM76" s="57" t="s">
        <v>581</v>
      </c>
      <c r="EN76" s="57">
        <v>0</v>
      </c>
      <c r="EO76" s="95">
        <v>1</v>
      </c>
    </row>
    <row r="77" spans="1:146" x14ac:dyDescent="0.25">
      <c r="A77" s="18" t="s">
        <v>6</v>
      </c>
      <c r="B77" s="18">
        <v>2024</v>
      </c>
      <c r="C77" s="18" t="s">
        <v>138</v>
      </c>
      <c r="D77" s="18" t="s">
        <v>130</v>
      </c>
      <c r="E77" s="18">
        <v>40</v>
      </c>
      <c r="F77" s="18">
        <v>40</v>
      </c>
      <c r="G77" s="18" t="s">
        <v>153</v>
      </c>
      <c r="H77" s="18" t="s">
        <v>153</v>
      </c>
      <c r="I77" s="18" t="s">
        <v>180</v>
      </c>
      <c r="J77" s="4">
        <v>10.5</v>
      </c>
      <c r="K77" s="4">
        <v>11</v>
      </c>
      <c r="L77" s="4">
        <v>0.5</v>
      </c>
      <c r="M77" s="5">
        <v>0.74</v>
      </c>
      <c r="N77" s="31">
        <v>0.37</v>
      </c>
      <c r="O77" s="31">
        <v>0.37</v>
      </c>
      <c r="P77" s="31">
        <v>18.5</v>
      </c>
      <c r="Q77" s="31">
        <v>20</v>
      </c>
      <c r="R77" s="31">
        <v>0.35</v>
      </c>
      <c r="S77" s="31">
        <v>0.1</v>
      </c>
      <c r="T77" s="65">
        <v>20</v>
      </c>
      <c r="U77" s="31">
        <v>5</v>
      </c>
      <c r="V77" s="31"/>
      <c r="W77" s="31">
        <v>5</v>
      </c>
      <c r="X77" s="4">
        <v>70</v>
      </c>
      <c r="Y77" s="18">
        <v>0</v>
      </c>
      <c r="Z77" s="18" t="s">
        <v>330</v>
      </c>
      <c r="AA77" s="18" t="s">
        <v>333</v>
      </c>
      <c r="AB77" s="18" t="s">
        <v>336</v>
      </c>
      <c r="AC77" s="18">
        <v>20</v>
      </c>
      <c r="AD77" s="18">
        <v>18.5</v>
      </c>
      <c r="AE77" s="18" t="s">
        <v>32</v>
      </c>
      <c r="AF77" s="18" t="s">
        <v>228</v>
      </c>
      <c r="AG77" s="18" t="s">
        <v>228</v>
      </c>
      <c r="AH77" s="18">
        <v>17</v>
      </c>
      <c r="AI77" s="18"/>
      <c r="AJ77" s="18" t="s">
        <v>69</v>
      </c>
      <c r="AK77" s="18" t="s">
        <v>81</v>
      </c>
      <c r="AL77" s="18" t="s">
        <v>100</v>
      </c>
      <c r="AM77" s="18" t="s">
        <v>107</v>
      </c>
      <c r="AN77" s="18" t="s">
        <v>120</v>
      </c>
      <c r="AO77" s="18" t="s">
        <v>247</v>
      </c>
      <c r="AP77" s="18" t="s">
        <v>248</v>
      </c>
      <c r="AQ77" s="18"/>
      <c r="AR77" s="18">
        <v>0</v>
      </c>
      <c r="AS77" s="18">
        <v>0</v>
      </c>
      <c r="AT77" s="18">
        <v>0</v>
      </c>
      <c r="AU77" s="18">
        <v>3</v>
      </c>
      <c r="AV77" s="18">
        <v>2</v>
      </c>
      <c r="AW77" s="18">
        <v>5</v>
      </c>
      <c r="AX77" s="49">
        <f t="shared" si="13"/>
        <v>4</v>
      </c>
      <c r="AY77" s="49">
        <v>1</v>
      </c>
      <c r="AZ77" s="50">
        <f t="shared" si="14"/>
        <v>6</v>
      </c>
      <c r="BA77" s="49">
        <v>5</v>
      </c>
      <c r="BB77" s="49">
        <v>10</v>
      </c>
      <c r="BC77" s="67">
        <v>17.5</v>
      </c>
      <c r="BD77" s="67">
        <v>1</v>
      </c>
      <c r="BE77" s="67">
        <f t="shared" si="15"/>
        <v>6</v>
      </c>
      <c r="BF77" s="67">
        <f t="shared" si="16"/>
        <v>4</v>
      </c>
      <c r="BG77" s="67">
        <v>0</v>
      </c>
      <c r="BH77" s="67">
        <v>3</v>
      </c>
      <c r="BI77" s="67">
        <v>2</v>
      </c>
      <c r="BJ77" s="67">
        <v>0</v>
      </c>
      <c r="BK77" s="67">
        <v>0</v>
      </c>
      <c r="BL77" s="67">
        <v>7</v>
      </c>
      <c r="BM77" s="67">
        <f t="shared" si="17"/>
        <v>23</v>
      </c>
      <c r="BN77" s="18">
        <f t="shared" si="18"/>
        <v>26</v>
      </c>
      <c r="BO77" s="18"/>
      <c r="BP77" s="18"/>
      <c r="BQ77" s="1"/>
      <c r="EK77">
        <f>+SUM(EK72:EK75)</f>
        <v>149</v>
      </c>
    </row>
    <row r="78" spans="1:146" x14ac:dyDescent="0.25">
      <c r="A78" s="18" t="s">
        <v>6</v>
      </c>
      <c r="B78" s="18">
        <v>2024</v>
      </c>
      <c r="C78" s="18" t="s">
        <v>138</v>
      </c>
      <c r="D78" s="18" t="s">
        <v>130</v>
      </c>
      <c r="E78" s="18">
        <v>30</v>
      </c>
      <c r="F78" s="18">
        <v>40</v>
      </c>
      <c r="G78" s="18" t="s">
        <v>152</v>
      </c>
      <c r="H78" s="18" t="s">
        <v>153</v>
      </c>
      <c r="I78" s="18" t="s">
        <v>180</v>
      </c>
      <c r="J78" s="4">
        <v>11</v>
      </c>
      <c r="K78" s="4">
        <v>11.5</v>
      </c>
      <c r="L78" s="4">
        <v>0.5</v>
      </c>
      <c r="M78" s="5">
        <v>0.82</v>
      </c>
      <c r="N78" s="31">
        <v>0.41</v>
      </c>
      <c r="O78" s="31">
        <v>0.41</v>
      </c>
      <c r="P78" s="31">
        <v>20.5</v>
      </c>
      <c r="Q78" s="31">
        <v>20</v>
      </c>
      <c r="R78" s="31">
        <v>0.41</v>
      </c>
      <c r="S78" s="31">
        <v>0</v>
      </c>
      <c r="T78" s="65">
        <v>0</v>
      </c>
      <c r="U78" s="31">
        <v>10</v>
      </c>
      <c r="V78" s="31"/>
      <c r="W78" s="31">
        <v>10</v>
      </c>
      <c r="X78" s="4">
        <v>41</v>
      </c>
      <c r="Y78" s="18">
        <v>0</v>
      </c>
      <c r="Z78" s="18" t="s">
        <v>330</v>
      </c>
      <c r="AA78" s="18" t="s">
        <v>333</v>
      </c>
      <c r="AB78" s="18" t="s">
        <v>336</v>
      </c>
      <c r="AC78" s="18">
        <v>20</v>
      </c>
      <c r="AD78" s="18">
        <v>20.5</v>
      </c>
      <c r="AE78" s="18" t="s">
        <v>32</v>
      </c>
      <c r="AF78" s="18" t="s">
        <v>228</v>
      </c>
      <c r="AG78" s="18" t="s">
        <v>228</v>
      </c>
      <c r="AH78" s="18">
        <v>17</v>
      </c>
      <c r="AI78" s="18"/>
      <c r="AJ78" s="18" t="s">
        <v>69</v>
      </c>
      <c r="AK78" s="18" t="s">
        <v>81</v>
      </c>
      <c r="AL78" s="18" t="s">
        <v>100</v>
      </c>
      <c r="AM78" s="18" t="s">
        <v>107</v>
      </c>
      <c r="AN78" s="18" t="s">
        <v>120</v>
      </c>
      <c r="AO78" s="18" t="s">
        <v>247</v>
      </c>
      <c r="AP78" s="18" t="s">
        <v>248</v>
      </c>
      <c r="AQ78" s="18"/>
      <c r="AR78" s="18">
        <v>0</v>
      </c>
      <c r="AS78" s="18">
        <v>0</v>
      </c>
      <c r="AT78" s="18">
        <v>0</v>
      </c>
      <c r="AU78" s="18">
        <v>3</v>
      </c>
      <c r="AV78" s="18">
        <v>2</v>
      </c>
      <c r="AW78" s="18">
        <v>5</v>
      </c>
      <c r="AX78" s="49">
        <f t="shared" si="13"/>
        <v>0</v>
      </c>
      <c r="AY78" s="49">
        <v>1</v>
      </c>
      <c r="AZ78" s="50">
        <f t="shared" si="14"/>
        <v>5</v>
      </c>
      <c r="BA78" s="49">
        <v>5</v>
      </c>
      <c r="BB78" s="49">
        <v>10</v>
      </c>
      <c r="BC78" s="67">
        <v>7.5</v>
      </c>
      <c r="BD78" s="67">
        <v>1</v>
      </c>
      <c r="BE78" s="67">
        <f t="shared" si="15"/>
        <v>5</v>
      </c>
      <c r="BF78" s="67">
        <f t="shared" si="16"/>
        <v>0</v>
      </c>
      <c r="BG78" s="67">
        <v>0</v>
      </c>
      <c r="BH78" s="67">
        <v>3</v>
      </c>
      <c r="BI78" s="67">
        <v>2</v>
      </c>
      <c r="BJ78" s="67">
        <v>0</v>
      </c>
      <c r="BK78" s="67">
        <v>0</v>
      </c>
      <c r="BL78" s="67">
        <v>7</v>
      </c>
      <c r="BM78" s="67">
        <f t="shared" si="17"/>
        <v>18</v>
      </c>
      <c r="BN78" s="18">
        <f t="shared" si="18"/>
        <v>21</v>
      </c>
      <c r="BO78" s="18"/>
      <c r="BP78" s="18"/>
      <c r="BQ78" s="1"/>
    </row>
    <row r="79" spans="1:146" x14ac:dyDescent="0.25">
      <c r="A79" s="18" t="s">
        <v>6</v>
      </c>
      <c r="B79" s="18">
        <v>2024</v>
      </c>
      <c r="C79" s="18" t="s">
        <v>138</v>
      </c>
      <c r="D79" s="18" t="s">
        <v>130</v>
      </c>
      <c r="E79" s="18">
        <v>30</v>
      </c>
      <c r="F79" s="18">
        <v>40</v>
      </c>
      <c r="G79" s="18" t="s">
        <v>152</v>
      </c>
      <c r="H79" s="18" t="s">
        <v>153</v>
      </c>
      <c r="I79" s="18" t="s">
        <v>180</v>
      </c>
      <c r="J79" s="4">
        <v>11.5</v>
      </c>
      <c r="K79" s="4">
        <v>12</v>
      </c>
      <c r="L79" s="4">
        <v>0.5</v>
      </c>
      <c r="M79" s="5">
        <v>0.96</v>
      </c>
      <c r="N79" s="31">
        <v>0.48</v>
      </c>
      <c r="O79" s="31">
        <v>0.48</v>
      </c>
      <c r="P79" s="31">
        <v>24</v>
      </c>
      <c r="Q79" s="31">
        <v>20</v>
      </c>
      <c r="R79" s="31">
        <v>0.45</v>
      </c>
      <c r="S79" s="31">
        <v>0</v>
      </c>
      <c r="T79" s="65">
        <v>0</v>
      </c>
      <c r="U79" s="31">
        <v>10</v>
      </c>
      <c r="V79" s="31"/>
      <c r="W79" s="31">
        <v>10</v>
      </c>
      <c r="X79" s="4">
        <v>45</v>
      </c>
      <c r="Y79" s="18">
        <v>0</v>
      </c>
      <c r="Z79" s="18" t="s">
        <v>330</v>
      </c>
      <c r="AA79" s="18" t="s">
        <v>333</v>
      </c>
      <c r="AB79" s="18" t="s">
        <v>336</v>
      </c>
      <c r="AC79" s="18">
        <v>20</v>
      </c>
      <c r="AD79" s="18">
        <v>24</v>
      </c>
      <c r="AE79" s="18" t="s">
        <v>32</v>
      </c>
      <c r="AF79" s="18" t="s">
        <v>228</v>
      </c>
      <c r="AG79" s="18" t="s">
        <v>228</v>
      </c>
      <c r="AH79" s="18">
        <v>17</v>
      </c>
      <c r="AI79" s="18"/>
      <c r="AJ79" s="18" t="s">
        <v>69</v>
      </c>
      <c r="AK79" s="18" t="s">
        <v>81</v>
      </c>
      <c r="AL79" s="18" t="s">
        <v>100</v>
      </c>
      <c r="AM79" s="18" t="s">
        <v>107</v>
      </c>
      <c r="AN79" s="18" t="s">
        <v>122</v>
      </c>
      <c r="AO79" s="18" t="s">
        <v>247</v>
      </c>
      <c r="AP79" s="18" t="s">
        <v>248</v>
      </c>
      <c r="AQ79" s="18"/>
      <c r="AR79" s="18">
        <v>0</v>
      </c>
      <c r="AS79" s="18">
        <v>0</v>
      </c>
      <c r="AT79" s="18">
        <v>0</v>
      </c>
      <c r="AU79" s="18">
        <v>3</v>
      </c>
      <c r="AV79" s="18">
        <v>0</v>
      </c>
      <c r="AW79" s="18">
        <v>3</v>
      </c>
      <c r="AX79" s="49">
        <f t="shared" si="13"/>
        <v>0</v>
      </c>
      <c r="AY79" s="49">
        <v>1</v>
      </c>
      <c r="AZ79" s="50">
        <f t="shared" si="14"/>
        <v>6</v>
      </c>
      <c r="BA79" s="49">
        <v>3</v>
      </c>
      <c r="BB79" s="49">
        <v>10</v>
      </c>
      <c r="BC79" s="67">
        <v>4.5</v>
      </c>
      <c r="BD79" s="67">
        <v>1</v>
      </c>
      <c r="BE79" s="67">
        <f t="shared" si="15"/>
        <v>5</v>
      </c>
      <c r="BF79" s="67">
        <f t="shared" si="16"/>
        <v>0</v>
      </c>
      <c r="BG79" s="67">
        <v>0</v>
      </c>
      <c r="BH79" s="67">
        <v>3</v>
      </c>
      <c r="BI79" s="67">
        <v>0</v>
      </c>
      <c r="BJ79" s="67">
        <v>0</v>
      </c>
      <c r="BK79" s="67">
        <v>0</v>
      </c>
      <c r="BL79" s="67">
        <v>7</v>
      </c>
      <c r="BM79" s="67">
        <f t="shared" si="17"/>
        <v>16</v>
      </c>
      <c r="BN79" s="18">
        <f t="shared" si="18"/>
        <v>20</v>
      </c>
      <c r="BO79" s="18"/>
      <c r="BP79" s="18"/>
      <c r="BQ79" s="1"/>
    </row>
    <row r="80" spans="1:146" x14ac:dyDescent="0.25">
      <c r="A80" s="18" t="s">
        <v>6</v>
      </c>
      <c r="B80" s="18">
        <v>2024</v>
      </c>
      <c r="C80" s="18" t="s">
        <v>138</v>
      </c>
      <c r="D80" s="18" t="s">
        <v>130</v>
      </c>
      <c r="E80" s="18">
        <v>30</v>
      </c>
      <c r="F80" s="18">
        <v>40</v>
      </c>
      <c r="G80" s="18" t="s">
        <v>152</v>
      </c>
      <c r="H80" s="18" t="s">
        <v>153</v>
      </c>
      <c r="I80" s="18" t="s">
        <v>180</v>
      </c>
      <c r="J80" s="4">
        <v>12</v>
      </c>
      <c r="K80" s="4">
        <v>12.5</v>
      </c>
      <c r="L80" s="4">
        <v>0.5</v>
      </c>
      <c r="M80" s="5">
        <v>1</v>
      </c>
      <c r="N80" s="31">
        <v>0.5</v>
      </c>
      <c r="O80" s="31">
        <v>0.5</v>
      </c>
      <c r="P80" s="31">
        <v>25</v>
      </c>
      <c r="Q80" s="31">
        <v>20</v>
      </c>
      <c r="R80" s="31">
        <v>0.49</v>
      </c>
      <c r="S80" s="31">
        <v>0</v>
      </c>
      <c r="T80" s="65">
        <v>0</v>
      </c>
      <c r="U80" s="31">
        <v>7</v>
      </c>
      <c r="V80" s="31"/>
      <c r="W80" s="31">
        <v>7</v>
      </c>
      <c r="X80" s="4">
        <v>70</v>
      </c>
      <c r="Y80" s="18">
        <v>0</v>
      </c>
      <c r="Z80" s="18" t="s">
        <v>330</v>
      </c>
      <c r="AA80" s="18" t="s">
        <v>333</v>
      </c>
      <c r="AB80" s="18" t="s">
        <v>336</v>
      </c>
      <c r="AC80" s="18">
        <v>20</v>
      </c>
      <c r="AD80" s="18">
        <v>25</v>
      </c>
      <c r="AE80" s="18" t="s">
        <v>32</v>
      </c>
      <c r="AF80" s="18" t="s">
        <v>228</v>
      </c>
      <c r="AG80" s="18" t="s">
        <v>228</v>
      </c>
      <c r="AH80" s="18">
        <v>17</v>
      </c>
      <c r="AI80" s="18"/>
      <c r="AJ80" s="18" t="s">
        <v>69</v>
      </c>
      <c r="AK80" s="18" t="s">
        <v>81</v>
      </c>
      <c r="AL80" s="18" t="s">
        <v>100</v>
      </c>
      <c r="AM80" s="18" t="s">
        <v>107</v>
      </c>
      <c r="AN80" s="18" t="s">
        <v>122</v>
      </c>
      <c r="AO80" s="18" t="s">
        <v>247</v>
      </c>
      <c r="AP80" s="18" t="s">
        <v>248</v>
      </c>
      <c r="AQ80" s="18"/>
      <c r="AR80" s="18">
        <v>0</v>
      </c>
      <c r="AS80" s="18">
        <v>0</v>
      </c>
      <c r="AT80" s="18">
        <v>0</v>
      </c>
      <c r="AU80" s="18">
        <v>3</v>
      </c>
      <c r="AV80" s="18">
        <v>0</v>
      </c>
      <c r="AW80" s="18">
        <v>3</v>
      </c>
      <c r="AX80" s="49">
        <f t="shared" si="13"/>
        <v>0</v>
      </c>
      <c r="AY80" s="49">
        <v>1</v>
      </c>
      <c r="AZ80" s="50">
        <f t="shared" si="14"/>
        <v>6</v>
      </c>
      <c r="BA80" s="49">
        <v>3</v>
      </c>
      <c r="BB80" s="49">
        <v>10</v>
      </c>
      <c r="BC80" s="67">
        <v>4.5</v>
      </c>
      <c r="BD80" s="67">
        <v>1</v>
      </c>
      <c r="BE80" s="67">
        <f t="shared" si="15"/>
        <v>6</v>
      </c>
      <c r="BF80" s="67">
        <f t="shared" si="16"/>
        <v>0</v>
      </c>
      <c r="BG80" s="67">
        <v>0</v>
      </c>
      <c r="BH80" s="67">
        <v>3</v>
      </c>
      <c r="BI80" s="67">
        <v>0</v>
      </c>
      <c r="BJ80" s="67">
        <v>0</v>
      </c>
      <c r="BK80" s="67">
        <v>0</v>
      </c>
      <c r="BL80" s="67">
        <v>7</v>
      </c>
      <c r="BM80" s="67">
        <f t="shared" si="17"/>
        <v>17</v>
      </c>
      <c r="BN80" s="18">
        <f t="shared" si="18"/>
        <v>20</v>
      </c>
      <c r="BO80" s="18"/>
      <c r="BP80" s="18"/>
      <c r="BQ80" s="1"/>
    </row>
    <row r="81" spans="1:141" x14ac:dyDescent="0.25">
      <c r="A81" s="18" t="s">
        <v>6</v>
      </c>
      <c r="B81" s="18">
        <v>2024</v>
      </c>
      <c r="C81" s="18" t="s">
        <v>138</v>
      </c>
      <c r="D81" s="18" t="s">
        <v>130</v>
      </c>
      <c r="E81" s="18">
        <v>30</v>
      </c>
      <c r="F81" s="18">
        <v>40</v>
      </c>
      <c r="G81" s="18" t="s">
        <v>152</v>
      </c>
      <c r="H81" s="18" t="s">
        <v>153</v>
      </c>
      <c r="I81" s="18" t="s">
        <v>180</v>
      </c>
      <c r="J81" s="4">
        <v>12.5</v>
      </c>
      <c r="K81" s="4">
        <v>13</v>
      </c>
      <c r="L81" s="4">
        <v>0.5</v>
      </c>
      <c r="M81" s="5">
        <v>1</v>
      </c>
      <c r="N81" s="31">
        <v>0.5</v>
      </c>
      <c r="O81" s="31">
        <v>0.5</v>
      </c>
      <c r="P81" s="31">
        <v>25</v>
      </c>
      <c r="Q81" s="31">
        <v>20</v>
      </c>
      <c r="R81" s="31">
        <v>0.47</v>
      </c>
      <c r="S81" s="31">
        <v>0</v>
      </c>
      <c r="T81" s="65">
        <v>0</v>
      </c>
      <c r="U81" s="31">
        <v>8</v>
      </c>
      <c r="V81" s="31"/>
      <c r="W81" s="31">
        <v>8</v>
      </c>
      <c r="X81" s="4">
        <v>58.75</v>
      </c>
      <c r="Y81" s="18">
        <v>0</v>
      </c>
      <c r="Z81" s="18" t="s">
        <v>330</v>
      </c>
      <c r="AA81" s="18" t="s">
        <v>333</v>
      </c>
      <c r="AB81" s="18" t="s">
        <v>336</v>
      </c>
      <c r="AC81" s="18">
        <v>20</v>
      </c>
      <c r="AD81" s="18">
        <v>25</v>
      </c>
      <c r="AE81" s="18" t="s">
        <v>32</v>
      </c>
      <c r="AF81" s="18" t="s">
        <v>200</v>
      </c>
      <c r="AG81" s="18" t="s">
        <v>200</v>
      </c>
      <c r="AH81" s="18">
        <v>17</v>
      </c>
      <c r="AI81" s="18"/>
      <c r="AJ81" s="18" t="s">
        <v>69</v>
      </c>
      <c r="AK81" s="18" t="s">
        <v>79</v>
      </c>
      <c r="AL81" s="18" t="s">
        <v>100</v>
      </c>
      <c r="AM81" s="18" t="s">
        <v>109</v>
      </c>
      <c r="AN81" s="18" t="s">
        <v>122</v>
      </c>
      <c r="AO81" s="18" t="s">
        <v>247</v>
      </c>
      <c r="AP81" s="18" t="s">
        <v>248</v>
      </c>
      <c r="AQ81" s="18"/>
      <c r="AR81" s="18">
        <v>0</v>
      </c>
      <c r="AS81" s="18">
        <v>1</v>
      </c>
      <c r="AT81" s="18">
        <v>0</v>
      </c>
      <c r="AU81" s="18">
        <v>1</v>
      </c>
      <c r="AV81" s="18">
        <v>0</v>
      </c>
      <c r="AW81" s="18">
        <v>2</v>
      </c>
      <c r="AX81" s="49">
        <f t="shared" si="13"/>
        <v>0</v>
      </c>
      <c r="AY81" s="49">
        <v>1</v>
      </c>
      <c r="AZ81" s="50">
        <f t="shared" si="14"/>
        <v>6</v>
      </c>
      <c r="BA81" s="49">
        <v>2</v>
      </c>
      <c r="BB81" s="49">
        <v>10</v>
      </c>
      <c r="BC81" s="67">
        <v>3</v>
      </c>
      <c r="BD81" s="67">
        <v>1</v>
      </c>
      <c r="BE81" s="67">
        <f t="shared" si="15"/>
        <v>5</v>
      </c>
      <c r="BF81" s="67">
        <f t="shared" si="16"/>
        <v>0</v>
      </c>
      <c r="BG81" s="67">
        <v>0</v>
      </c>
      <c r="BH81" s="67">
        <v>1</v>
      </c>
      <c r="BI81" s="67">
        <v>0</v>
      </c>
      <c r="BJ81" s="67">
        <v>1</v>
      </c>
      <c r="BK81" s="67">
        <v>0</v>
      </c>
      <c r="BL81" s="67">
        <v>7</v>
      </c>
      <c r="BM81" s="67">
        <f t="shared" si="17"/>
        <v>15</v>
      </c>
      <c r="BN81" s="18">
        <f t="shared" si="18"/>
        <v>19</v>
      </c>
      <c r="BO81" s="18"/>
      <c r="BP81" s="18"/>
      <c r="BQ81" s="1"/>
    </row>
    <row r="82" spans="1:141" x14ac:dyDescent="0.25">
      <c r="A82" s="18" t="s">
        <v>6</v>
      </c>
      <c r="B82" s="18">
        <v>2024</v>
      </c>
      <c r="C82" s="18" t="s">
        <v>138</v>
      </c>
      <c r="D82" s="18" t="s">
        <v>130</v>
      </c>
      <c r="E82" s="18">
        <v>20</v>
      </c>
      <c r="F82" s="135">
        <v>40</v>
      </c>
      <c r="G82" s="18" t="s">
        <v>156</v>
      </c>
      <c r="H82" s="18"/>
      <c r="I82" s="18" t="s">
        <v>182</v>
      </c>
      <c r="J82" s="4">
        <v>38.5</v>
      </c>
      <c r="K82" s="4">
        <v>39</v>
      </c>
      <c r="L82" s="4">
        <v>0.5</v>
      </c>
      <c r="M82" s="5">
        <v>1</v>
      </c>
      <c r="N82" s="31">
        <v>0.5</v>
      </c>
      <c r="O82" s="31">
        <v>0.5</v>
      </c>
      <c r="P82" s="31">
        <v>100</v>
      </c>
      <c r="Q82" s="31">
        <v>5</v>
      </c>
      <c r="R82" s="31">
        <v>0.43</v>
      </c>
      <c r="S82" s="31">
        <v>0.35</v>
      </c>
      <c r="T82" s="65">
        <v>70</v>
      </c>
      <c r="U82" s="31">
        <v>4</v>
      </c>
      <c r="V82" s="31"/>
      <c r="W82" s="31">
        <v>4</v>
      </c>
      <c r="X82" s="4">
        <v>107.5</v>
      </c>
      <c r="Y82" s="18">
        <v>78</v>
      </c>
      <c r="Z82" s="18" t="s">
        <v>330</v>
      </c>
      <c r="AA82" s="18" t="s">
        <v>118</v>
      </c>
      <c r="AB82" s="18" t="s">
        <v>334</v>
      </c>
      <c r="AC82" s="18">
        <v>5</v>
      </c>
      <c r="AD82" s="18">
        <v>100</v>
      </c>
      <c r="AE82" s="18" t="s">
        <v>27</v>
      </c>
      <c r="AF82" s="18" t="s">
        <v>196</v>
      </c>
      <c r="AG82" s="18" t="s">
        <v>196</v>
      </c>
      <c r="AH82" s="18">
        <v>17</v>
      </c>
      <c r="AI82" s="18"/>
      <c r="AJ82" s="18" t="s">
        <v>64</v>
      </c>
      <c r="AK82" s="18" t="s">
        <v>79</v>
      </c>
      <c r="AL82" s="18" t="s">
        <v>96</v>
      </c>
      <c r="AM82" s="18" t="s">
        <v>107</v>
      </c>
      <c r="AN82" s="18" t="s">
        <v>118</v>
      </c>
      <c r="AO82" s="18" t="s">
        <v>198</v>
      </c>
      <c r="AP82" s="18" t="s">
        <v>262</v>
      </c>
      <c r="AQ82" s="18"/>
      <c r="AR82" s="18">
        <v>2</v>
      </c>
      <c r="AS82" s="18">
        <v>1</v>
      </c>
      <c r="AT82" s="18">
        <v>1</v>
      </c>
      <c r="AU82" s="18">
        <v>3</v>
      </c>
      <c r="AV82" s="18">
        <v>2</v>
      </c>
      <c r="AW82" s="18">
        <v>9</v>
      </c>
      <c r="AX82" s="49">
        <f t="shared" si="13"/>
        <v>14</v>
      </c>
      <c r="AY82" s="49">
        <v>4</v>
      </c>
      <c r="AZ82" s="50">
        <f t="shared" si="14"/>
        <v>7</v>
      </c>
      <c r="BA82" s="49">
        <v>9</v>
      </c>
      <c r="BB82" s="49">
        <v>15</v>
      </c>
      <c r="BC82" s="67">
        <v>48.5</v>
      </c>
      <c r="BD82" s="67">
        <v>4</v>
      </c>
      <c r="BE82" s="67">
        <f t="shared" si="15"/>
        <v>9</v>
      </c>
      <c r="BF82" s="67">
        <f t="shared" si="16"/>
        <v>14</v>
      </c>
      <c r="BG82" s="67">
        <v>1</v>
      </c>
      <c r="BH82" s="67">
        <v>3</v>
      </c>
      <c r="BI82" s="67">
        <v>2</v>
      </c>
      <c r="BJ82" s="67">
        <v>1</v>
      </c>
      <c r="BK82" s="67">
        <v>3</v>
      </c>
      <c r="BL82" s="67">
        <v>10</v>
      </c>
      <c r="BM82" s="67">
        <f t="shared" si="17"/>
        <v>47</v>
      </c>
      <c r="BN82" s="18">
        <f t="shared" si="18"/>
        <v>49</v>
      </c>
      <c r="BO82" s="18"/>
      <c r="BP82" s="18"/>
      <c r="BQ82" s="1"/>
      <c r="EJ82" t="s">
        <v>587</v>
      </c>
      <c r="EK82">
        <v>20</v>
      </c>
    </row>
    <row r="83" spans="1:141" x14ac:dyDescent="0.25">
      <c r="A83" s="18" t="s">
        <v>6</v>
      </c>
      <c r="B83" s="18">
        <v>2024</v>
      </c>
      <c r="C83" s="18" t="s">
        <v>138</v>
      </c>
      <c r="D83" s="18" t="s">
        <v>130</v>
      </c>
      <c r="E83" s="18">
        <v>20</v>
      </c>
      <c r="F83" s="135">
        <v>40</v>
      </c>
      <c r="G83" s="18" t="s">
        <v>156</v>
      </c>
      <c r="H83" s="18"/>
      <c r="I83" s="18" t="s">
        <v>182</v>
      </c>
      <c r="J83" s="4">
        <v>39.5</v>
      </c>
      <c r="K83" s="4">
        <v>40</v>
      </c>
      <c r="L83" s="4">
        <v>0.5</v>
      </c>
      <c r="M83" s="5">
        <v>1</v>
      </c>
      <c r="N83" s="31">
        <v>0.5</v>
      </c>
      <c r="O83" s="31">
        <v>0.5</v>
      </c>
      <c r="P83" s="31">
        <v>100</v>
      </c>
      <c r="Q83" s="31">
        <v>5</v>
      </c>
      <c r="R83" s="31">
        <v>0.47</v>
      </c>
      <c r="S83" s="31">
        <v>0.33</v>
      </c>
      <c r="T83" s="65">
        <v>66</v>
      </c>
      <c r="U83" s="31">
        <v>2</v>
      </c>
      <c r="V83" s="31"/>
      <c r="W83" s="31">
        <v>2</v>
      </c>
      <c r="X83" s="4">
        <v>235</v>
      </c>
      <c r="Y83" s="18">
        <v>88</v>
      </c>
      <c r="Z83" s="18" t="s">
        <v>330</v>
      </c>
      <c r="AA83" s="18" t="s">
        <v>118</v>
      </c>
      <c r="AB83" s="18" t="s">
        <v>334</v>
      </c>
      <c r="AC83" s="18">
        <v>5</v>
      </c>
      <c r="AD83" s="18">
        <v>100</v>
      </c>
      <c r="AE83" s="18" t="s">
        <v>27</v>
      </c>
      <c r="AF83" s="18" t="s">
        <v>29</v>
      </c>
      <c r="AG83" s="18" t="s">
        <v>29</v>
      </c>
      <c r="AH83" s="18">
        <v>30</v>
      </c>
      <c r="AI83" s="18" t="s">
        <v>29</v>
      </c>
      <c r="AJ83" s="18" t="s">
        <v>64</v>
      </c>
      <c r="AK83" s="18" t="s">
        <v>77</v>
      </c>
      <c r="AL83" s="18" t="s">
        <v>96</v>
      </c>
      <c r="AM83" s="18" t="s">
        <v>107</v>
      </c>
      <c r="AN83" s="18" t="s">
        <v>118</v>
      </c>
      <c r="AO83" s="18" t="s">
        <v>198</v>
      </c>
      <c r="AP83" s="18"/>
      <c r="AQ83" s="18"/>
      <c r="AR83" s="18">
        <v>2</v>
      </c>
      <c r="AS83" s="18">
        <v>3</v>
      </c>
      <c r="AT83" s="18">
        <v>1</v>
      </c>
      <c r="AU83" s="18">
        <v>3</v>
      </c>
      <c r="AV83" s="18">
        <v>2</v>
      </c>
      <c r="AW83" s="18">
        <v>11</v>
      </c>
      <c r="AX83" s="49">
        <f t="shared" si="13"/>
        <v>14</v>
      </c>
      <c r="AY83" s="49">
        <v>4</v>
      </c>
      <c r="AZ83" s="50">
        <f t="shared" si="14"/>
        <v>10</v>
      </c>
      <c r="BA83" s="49">
        <v>11</v>
      </c>
      <c r="BB83" s="49">
        <v>15</v>
      </c>
      <c r="BC83" s="67">
        <v>49.5</v>
      </c>
      <c r="BD83" s="67">
        <v>4</v>
      </c>
      <c r="BE83" s="67">
        <f t="shared" si="15"/>
        <v>13</v>
      </c>
      <c r="BF83" s="67">
        <f t="shared" si="16"/>
        <v>14</v>
      </c>
      <c r="BG83" s="67">
        <v>1</v>
      </c>
      <c r="BH83" s="67">
        <v>3</v>
      </c>
      <c r="BI83" s="67">
        <v>2</v>
      </c>
      <c r="BJ83" s="67">
        <v>3</v>
      </c>
      <c r="BK83" s="67">
        <v>3</v>
      </c>
      <c r="BL83" s="67">
        <v>10</v>
      </c>
      <c r="BM83" s="67">
        <f t="shared" si="17"/>
        <v>53</v>
      </c>
      <c r="BN83" s="18">
        <f t="shared" si="18"/>
        <v>54</v>
      </c>
      <c r="BO83" s="18"/>
      <c r="BP83" s="18"/>
      <c r="BQ83" s="1"/>
      <c r="EJ83" t="s">
        <v>588</v>
      </c>
      <c r="EK83">
        <v>40</v>
      </c>
    </row>
    <row r="84" spans="1:141" x14ac:dyDescent="0.25">
      <c r="A84" s="18" t="s">
        <v>6</v>
      </c>
      <c r="B84" s="18">
        <v>2024</v>
      </c>
      <c r="C84" s="18" t="s">
        <v>138</v>
      </c>
      <c r="D84" s="18" t="s">
        <v>130</v>
      </c>
      <c r="E84" s="18">
        <v>20</v>
      </c>
      <c r="F84" s="135">
        <v>40</v>
      </c>
      <c r="G84" s="18" t="s">
        <v>156</v>
      </c>
      <c r="H84" s="18"/>
      <c r="I84" s="18" t="s">
        <v>182</v>
      </c>
      <c r="J84" s="4">
        <v>41</v>
      </c>
      <c r="K84" s="4">
        <v>41.5</v>
      </c>
      <c r="L84" s="4">
        <v>0.5</v>
      </c>
      <c r="M84" s="5">
        <v>1</v>
      </c>
      <c r="N84" s="31">
        <v>0.5</v>
      </c>
      <c r="O84" s="31">
        <v>0.5</v>
      </c>
      <c r="P84" s="31">
        <v>100</v>
      </c>
      <c r="Q84" s="31">
        <v>5</v>
      </c>
      <c r="R84" s="31">
        <v>0.45</v>
      </c>
      <c r="S84" s="31">
        <v>0.37</v>
      </c>
      <c r="T84" s="65">
        <v>74</v>
      </c>
      <c r="U84" s="31">
        <v>3</v>
      </c>
      <c r="V84" s="31"/>
      <c r="W84" s="31">
        <v>3</v>
      </c>
      <c r="X84" s="4">
        <v>150</v>
      </c>
      <c r="Y84" s="18">
        <v>86</v>
      </c>
      <c r="Z84" s="18" t="s">
        <v>330</v>
      </c>
      <c r="AA84" s="18" t="s">
        <v>118</v>
      </c>
      <c r="AB84" s="18" t="s">
        <v>334</v>
      </c>
      <c r="AC84" s="18">
        <v>5</v>
      </c>
      <c r="AD84" s="18">
        <v>100</v>
      </c>
      <c r="AE84" s="18" t="s">
        <v>27</v>
      </c>
      <c r="AF84" s="18" t="s">
        <v>29</v>
      </c>
      <c r="AG84" s="18" t="s">
        <v>29</v>
      </c>
      <c r="AH84" s="18">
        <v>30</v>
      </c>
      <c r="AI84" s="18" t="s">
        <v>29</v>
      </c>
      <c r="AJ84" s="18" t="s">
        <v>64</v>
      </c>
      <c r="AK84" s="18" t="s">
        <v>77</v>
      </c>
      <c r="AL84" s="18" t="s">
        <v>96</v>
      </c>
      <c r="AM84" s="18" t="s">
        <v>107</v>
      </c>
      <c r="AN84" s="18" t="s">
        <v>118</v>
      </c>
      <c r="AO84" s="18" t="s">
        <v>198</v>
      </c>
      <c r="AP84" s="18" t="s">
        <v>262</v>
      </c>
      <c r="AQ84" s="18"/>
      <c r="AR84" s="18">
        <v>2</v>
      </c>
      <c r="AS84" s="18">
        <v>3</v>
      </c>
      <c r="AT84" s="18">
        <v>1</v>
      </c>
      <c r="AU84" s="18">
        <v>3</v>
      </c>
      <c r="AV84" s="18">
        <v>2</v>
      </c>
      <c r="AW84" s="18">
        <v>11</v>
      </c>
      <c r="AX84" s="49">
        <f t="shared" si="13"/>
        <v>15</v>
      </c>
      <c r="AY84" s="49">
        <v>4</v>
      </c>
      <c r="AZ84" s="50">
        <f t="shared" si="14"/>
        <v>8</v>
      </c>
      <c r="BA84" s="49">
        <v>11</v>
      </c>
      <c r="BB84" s="49">
        <v>15</v>
      </c>
      <c r="BC84" s="67">
        <v>53.5</v>
      </c>
      <c r="BD84" s="67">
        <v>4</v>
      </c>
      <c r="BE84" s="67">
        <f t="shared" si="15"/>
        <v>11</v>
      </c>
      <c r="BF84" s="67">
        <f t="shared" si="16"/>
        <v>15</v>
      </c>
      <c r="BG84" s="67">
        <v>1</v>
      </c>
      <c r="BH84" s="67">
        <v>3</v>
      </c>
      <c r="BI84" s="67">
        <v>2</v>
      </c>
      <c r="BJ84" s="67">
        <v>3</v>
      </c>
      <c r="BK84" s="67">
        <v>3</v>
      </c>
      <c r="BL84" s="67">
        <v>10</v>
      </c>
      <c r="BM84" s="67">
        <f t="shared" si="17"/>
        <v>52</v>
      </c>
      <c r="BN84" s="18">
        <f t="shared" si="18"/>
        <v>53</v>
      </c>
      <c r="BO84" s="18"/>
      <c r="BP84" s="18"/>
      <c r="BQ84" s="1"/>
      <c r="EJ84" t="s">
        <v>589</v>
      </c>
      <c r="EK84">
        <v>60</v>
      </c>
    </row>
    <row r="85" spans="1:141" x14ac:dyDescent="0.25">
      <c r="A85" s="18" t="s">
        <v>6</v>
      </c>
      <c r="B85" s="18">
        <v>2024</v>
      </c>
      <c r="C85" s="18" t="s">
        <v>138</v>
      </c>
      <c r="D85" s="18" t="s">
        <v>130</v>
      </c>
      <c r="E85" s="18">
        <v>20</v>
      </c>
      <c r="F85" s="135">
        <v>40</v>
      </c>
      <c r="G85" s="18" t="s">
        <v>156</v>
      </c>
      <c r="H85" s="18"/>
      <c r="I85" s="18" t="s">
        <v>182</v>
      </c>
      <c r="J85" s="4">
        <v>41.5</v>
      </c>
      <c r="K85" s="4">
        <v>42</v>
      </c>
      <c r="L85" s="4">
        <v>0.5</v>
      </c>
      <c r="M85" s="5">
        <v>1</v>
      </c>
      <c r="N85" s="31">
        <v>0.5</v>
      </c>
      <c r="O85" s="31">
        <v>0.5</v>
      </c>
      <c r="P85" s="31">
        <v>500</v>
      </c>
      <c r="Q85" s="31">
        <v>1</v>
      </c>
      <c r="R85" s="31">
        <v>0.47</v>
      </c>
      <c r="S85" s="31">
        <v>0.27</v>
      </c>
      <c r="T85" s="65">
        <v>54</v>
      </c>
      <c r="U85" s="31">
        <v>3</v>
      </c>
      <c r="V85" s="31"/>
      <c r="W85" s="31">
        <v>3</v>
      </c>
      <c r="X85" s="4">
        <v>156.66666666666666</v>
      </c>
      <c r="Y85" s="18">
        <v>76</v>
      </c>
      <c r="Z85" s="18" t="s">
        <v>330</v>
      </c>
      <c r="AA85" s="18" t="s">
        <v>116</v>
      </c>
      <c r="AB85" s="18" t="s">
        <v>334</v>
      </c>
      <c r="AC85" s="18">
        <v>1</v>
      </c>
      <c r="AD85" s="18">
        <v>500</v>
      </c>
      <c r="AE85" s="18" t="s">
        <v>27</v>
      </c>
      <c r="AF85" s="18" t="s">
        <v>29</v>
      </c>
      <c r="AG85" s="18" t="s">
        <v>29</v>
      </c>
      <c r="AH85" s="18">
        <v>30</v>
      </c>
      <c r="AI85" s="18" t="s">
        <v>29</v>
      </c>
      <c r="AJ85" s="18" t="s">
        <v>64</v>
      </c>
      <c r="AK85" s="18" t="s">
        <v>77</v>
      </c>
      <c r="AL85" s="18" t="s">
        <v>96</v>
      </c>
      <c r="AM85" s="18" t="s">
        <v>107</v>
      </c>
      <c r="AN85" s="18" t="s">
        <v>118</v>
      </c>
      <c r="AO85" s="18" t="s">
        <v>198</v>
      </c>
      <c r="AP85" s="18"/>
      <c r="AQ85" s="18"/>
      <c r="AR85" s="18">
        <v>2</v>
      </c>
      <c r="AS85" s="18">
        <v>3</v>
      </c>
      <c r="AT85" s="18">
        <v>1</v>
      </c>
      <c r="AU85" s="18">
        <v>3</v>
      </c>
      <c r="AV85" s="18">
        <v>2</v>
      </c>
      <c r="AW85" s="18">
        <v>11</v>
      </c>
      <c r="AX85" s="49">
        <f t="shared" si="13"/>
        <v>11</v>
      </c>
      <c r="AY85" s="49">
        <v>4</v>
      </c>
      <c r="AZ85" s="50">
        <f t="shared" si="14"/>
        <v>8</v>
      </c>
      <c r="BA85" s="49">
        <v>11</v>
      </c>
      <c r="BB85" s="49">
        <v>15</v>
      </c>
      <c r="BC85" s="67">
        <v>43.5</v>
      </c>
      <c r="BD85" s="67">
        <v>4</v>
      </c>
      <c r="BE85" s="67">
        <f t="shared" si="15"/>
        <v>11</v>
      </c>
      <c r="BF85" s="67">
        <f t="shared" si="16"/>
        <v>11</v>
      </c>
      <c r="BG85" s="67">
        <v>1</v>
      </c>
      <c r="BH85" s="67">
        <v>3</v>
      </c>
      <c r="BI85" s="67">
        <v>2</v>
      </c>
      <c r="BJ85" s="67">
        <v>3</v>
      </c>
      <c r="BK85" s="67">
        <v>3</v>
      </c>
      <c r="BL85" s="67">
        <v>10</v>
      </c>
      <c r="BM85" s="67">
        <f t="shared" si="17"/>
        <v>48</v>
      </c>
      <c r="BN85" s="18">
        <f t="shared" si="18"/>
        <v>49</v>
      </c>
      <c r="BO85" s="18"/>
      <c r="BP85" s="18"/>
      <c r="BQ85" s="1"/>
      <c r="EJ85" t="s">
        <v>590</v>
      </c>
      <c r="EK85">
        <v>80</v>
      </c>
    </row>
    <row r="86" spans="1:141" x14ac:dyDescent="0.25">
      <c r="A86" s="18" t="s">
        <v>6</v>
      </c>
      <c r="B86" s="18">
        <v>2024</v>
      </c>
      <c r="C86" s="18" t="s">
        <v>138</v>
      </c>
      <c r="D86" s="18" t="s">
        <v>132</v>
      </c>
      <c r="E86" s="18">
        <v>60</v>
      </c>
      <c r="F86" s="18">
        <v>40</v>
      </c>
      <c r="G86" s="18" t="s">
        <v>136</v>
      </c>
      <c r="H86" s="18"/>
      <c r="I86" s="18" t="s">
        <v>165</v>
      </c>
      <c r="J86" s="4">
        <v>2.12</v>
      </c>
      <c r="K86" s="4">
        <v>2.4</v>
      </c>
      <c r="L86" s="4">
        <v>0.2799999999999998</v>
      </c>
      <c r="M86" s="5">
        <v>1</v>
      </c>
      <c r="N86" s="31">
        <v>0.2799999999999998</v>
      </c>
      <c r="O86" s="31">
        <v>0.2799999999999998</v>
      </c>
      <c r="P86" s="31">
        <v>699.99999999999977</v>
      </c>
      <c r="Q86" s="31">
        <v>1</v>
      </c>
      <c r="R86" s="31">
        <v>0.24</v>
      </c>
      <c r="S86" s="31">
        <v>0.24</v>
      </c>
      <c r="T86" s="65">
        <v>85.714285714285779</v>
      </c>
      <c r="U86" s="31">
        <v>2</v>
      </c>
      <c r="V86" s="31"/>
      <c r="W86" s="31">
        <v>2</v>
      </c>
      <c r="X86" s="4">
        <v>120</v>
      </c>
      <c r="Y86" s="18">
        <v>30</v>
      </c>
      <c r="Z86" s="18" t="s">
        <v>96</v>
      </c>
      <c r="AA86" s="18" t="s">
        <v>333</v>
      </c>
      <c r="AB86" s="18" t="s">
        <v>334</v>
      </c>
      <c r="AC86" s="18">
        <v>20</v>
      </c>
      <c r="AD86" s="18">
        <v>34.999999999999986</v>
      </c>
      <c r="AE86" s="18" t="s">
        <v>27</v>
      </c>
      <c r="AF86" s="18" t="s">
        <v>239</v>
      </c>
      <c r="AG86" s="18" t="s">
        <v>239</v>
      </c>
      <c r="AH86" s="18">
        <v>17</v>
      </c>
      <c r="AI86" s="18"/>
      <c r="AJ86" s="18" t="s">
        <v>69</v>
      </c>
      <c r="AK86" s="18" t="s">
        <v>81</v>
      </c>
      <c r="AL86" s="18" t="s">
        <v>100</v>
      </c>
      <c r="AM86" s="18" t="s">
        <v>109</v>
      </c>
      <c r="AN86" s="18" t="s">
        <v>122</v>
      </c>
      <c r="AO86" s="18" t="s">
        <v>247</v>
      </c>
      <c r="AP86" s="18"/>
      <c r="AQ86" s="18"/>
      <c r="AR86" s="18">
        <v>0</v>
      </c>
      <c r="AS86" s="18">
        <v>0</v>
      </c>
      <c r="AT86" s="18">
        <v>0</v>
      </c>
      <c r="AU86" s="18">
        <v>1</v>
      </c>
      <c r="AV86" s="18">
        <v>0</v>
      </c>
      <c r="AW86" s="18">
        <v>1</v>
      </c>
      <c r="AX86" s="49">
        <f t="shared" si="13"/>
        <v>17</v>
      </c>
      <c r="AY86" s="49">
        <v>4</v>
      </c>
      <c r="AZ86" s="50">
        <f t="shared" si="14"/>
        <v>8</v>
      </c>
      <c r="BA86" s="49">
        <v>1</v>
      </c>
      <c r="BB86" s="49">
        <v>10</v>
      </c>
      <c r="BC86" s="67">
        <v>44.35714285714289</v>
      </c>
      <c r="BD86" s="67">
        <v>4</v>
      </c>
      <c r="BE86" s="67">
        <f t="shared" si="15"/>
        <v>9</v>
      </c>
      <c r="BF86" s="67">
        <f t="shared" si="16"/>
        <v>17</v>
      </c>
      <c r="BG86" s="67">
        <v>0</v>
      </c>
      <c r="BH86" s="67">
        <v>1</v>
      </c>
      <c r="BI86" s="67">
        <v>0</v>
      </c>
      <c r="BJ86" s="67">
        <v>0</v>
      </c>
      <c r="BK86" s="67">
        <v>0</v>
      </c>
      <c r="BL86" s="67">
        <v>7</v>
      </c>
      <c r="BM86" s="67">
        <f t="shared" si="17"/>
        <v>38</v>
      </c>
      <c r="BN86" s="18">
        <f t="shared" si="18"/>
        <v>40</v>
      </c>
      <c r="BO86" s="18"/>
      <c r="BP86" s="18"/>
      <c r="BQ86" s="1"/>
      <c r="EJ86" t="s">
        <v>591</v>
      </c>
    </row>
    <row r="87" spans="1:141" x14ac:dyDescent="0.25">
      <c r="A87" s="18"/>
      <c r="B87" s="18"/>
      <c r="C87" s="18"/>
      <c r="D87" s="18" t="s">
        <v>132</v>
      </c>
      <c r="E87" s="18">
        <v>60</v>
      </c>
      <c r="F87" s="18">
        <v>40</v>
      </c>
      <c r="G87" s="18" t="s">
        <v>136</v>
      </c>
      <c r="H87" s="18"/>
      <c r="I87" s="18" t="s">
        <v>165</v>
      </c>
      <c r="J87" s="4">
        <v>2.4</v>
      </c>
      <c r="K87" s="4">
        <v>2.8</v>
      </c>
      <c r="L87" s="4">
        <v>0.39999999999999991</v>
      </c>
      <c r="M87" s="5"/>
      <c r="N87" s="31"/>
      <c r="O87" s="31"/>
      <c r="P87" s="31"/>
      <c r="Q87" s="31"/>
      <c r="R87" s="31">
        <v>0.41</v>
      </c>
      <c r="S87" s="31">
        <v>0.11</v>
      </c>
      <c r="T87" s="65">
        <v>27.500000000000007</v>
      </c>
      <c r="U87" s="31">
        <v>5</v>
      </c>
      <c r="V87" s="31"/>
      <c r="W87" s="31">
        <v>5</v>
      </c>
      <c r="X87" s="4">
        <v>82</v>
      </c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49"/>
      <c r="AY87" s="49"/>
      <c r="AZ87" s="50"/>
      <c r="BA87" s="49"/>
      <c r="BB87" s="49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18"/>
      <c r="BO87" s="18"/>
      <c r="BP87" s="18"/>
      <c r="BQ87" s="1"/>
    </row>
    <row r="88" spans="1:141" x14ac:dyDescent="0.25">
      <c r="A88" s="18" t="s">
        <v>6</v>
      </c>
      <c r="B88" s="18">
        <v>2024</v>
      </c>
      <c r="C88" s="18" t="s">
        <v>138</v>
      </c>
      <c r="D88" s="18" t="s">
        <v>132</v>
      </c>
      <c r="E88" s="18">
        <v>60</v>
      </c>
      <c r="F88" s="18">
        <v>40</v>
      </c>
      <c r="G88" s="18" t="s">
        <v>136</v>
      </c>
      <c r="H88" s="18"/>
      <c r="I88" s="18" t="s">
        <v>165</v>
      </c>
      <c r="J88" s="4">
        <v>2.8</v>
      </c>
      <c r="K88" s="4">
        <v>3.32</v>
      </c>
      <c r="L88" s="4">
        <v>0.52</v>
      </c>
      <c r="M88" s="5">
        <v>1</v>
      </c>
      <c r="N88" s="31">
        <v>0.52</v>
      </c>
      <c r="O88" s="31">
        <v>0.52</v>
      </c>
      <c r="P88" s="31">
        <v>500</v>
      </c>
      <c r="Q88" s="31">
        <v>1</v>
      </c>
      <c r="R88" s="31">
        <v>0.21</v>
      </c>
      <c r="S88" s="31">
        <v>0.21</v>
      </c>
      <c r="T88" s="65">
        <v>40.38461538461538</v>
      </c>
      <c r="U88" s="31">
        <v>3</v>
      </c>
      <c r="V88" s="31"/>
      <c r="W88" s="31">
        <v>3</v>
      </c>
      <c r="X88" s="4">
        <v>70</v>
      </c>
      <c r="Y88" s="18">
        <v>26</v>
      </c>
      <c r="Z88" s="18" t="s">
        <v>96</v>
      </c>
      <c r="AA88" s="18" t="s">
        <v>333</v>
      </c>
      <c r="AB88" s="18" t="s">
        <v>334</v>
      </c>
      <c r="AC88" s="18">
        <v>20</v>
      </c>
      <c r="AD88" s="18">
        <v>25</v>
      </c>
      <c r="AE88" s="18" t="s">
        <v>27</v>
      </c>
      <c r="AF88" s="18" t="s">
        <v>239</v>
      </c>
      <c r="AG88" s="18" t="s">
        <v>239</v>
      </c>
      <c r="AH88" s="18">
        <v>17</v>
      </c>
      <c r="AI88" s="18"/>
      <c r="AJ88" s="18" t="s">
        <v>69</v>
      </c>
      <c r="AK88" s="18" t="s">
        <v>81</v>
      </c>
      <c r="AL88" s="18" t="s">
        <v>100</v>
      </c>
      <c r="AM88" s="18" t="s">
        <v>109</v>
      </c>
      <c r="AN88" s="18" t="s">
        <v>122</v>
      </c>
      <c r="AO88" s="18" t="s">
        <v>247</v>
      </c>
      <c r="AP88" s="18"/>
      <c r="AQ88" s="18"/>
      <c r="AR88" s="18">
        <v>0</v>
      </c>
      <c r="AS88" s="18">
        <v>0</v>
      </c>
      <c r="AT88" s="18">
        <v>0</v>
      </c>
      <c r="AU88" s="18">
        <v>1</v>
      </c>
      <c r="AV88" s="18">
        <v>0</v>
      </c>
      <c r="AW88" s="18">
        <v>1</v>
      </c>
      <c r="AX88" s="49">
        <f t="shared" ref="AX88:AX151" si="20">ROUND(-0.0002*POWER(T88,2)+0.2197*T88,0)</f>
        <v>9</v>
      </c>
      <c r="AY88" s="49">
        <v>4</v>
      </c>
      <c r="AZ88" s="50">
        <v>12</v>
      </c>
      <c r="BA88" s="49">
        <v>1</v>
      </c>
      <c r="BB88" s="49">
        <v>10</v>
      </c>
      <c r="BC88" s="67">
        <v>21.69230769230769</v>
      </c>
      <c r="BD88" s="67">
        <v>4</v>
      </c>
      <c r="BE88" s="67">
        <v>6</v>
      </c>
      <c r="BF88" s="67">
        <v>9</v>
      </c>
      <c r="BG88" s="67">
        <v>0</v>
      </c>
      <c r="BH88" s="67">
        <v>1</v>
      </c>
      <c r="BI88" s="67">
        <v>0</v>
      </c>
      <c r="BJ88" s="67">
        <v>0</v>
      </c>
      <c r="BK88" s="67">
        <v>0</v>
      </c>
      <c r="BL88" s="67">
        <v>7</v>
      </c>
      <c r="BM88" s="67">
        <f t="shared" ref="BM88" si="21">+BD88+BE88+BF88+BG88+BH88+BI88+BJ88+BK88+BL88</f>
        <v>27</v>
      </c>
      <c r="BN88" s="18">
        <f t="shared" ref="BN88" si="22">AX88+AY88+AZ88+BA88+BB88</f>
        <v>36</v>
      </c>
      <c r="BO88" s="18"/>
      <c r="BP88" s="18"/>
      <c r="BQ88" s="1"/>
    </row>
    <row r="89" spans="1:141" x14ac:dyDescent="0.25">
      <c r="A89" s="18" t="s">
        <v>6</v>
      </c>
      <c r="B89" s="18">
        <v>2024</v>
      </c>
      <c r="C89" s="18" t="s">
        <v>138</v>
      </c>
      <c r="D89" s="18" t="s">
        <v>132</v>
      </c>
      <c r="E89" s="18">
        <v>60</v>
      </c>
      <c r="F89" s="18">
        <v>40</v>
      </c>
      <c r="G89" s="18" t="s">
        <v>136</v>
      </c>
      <c r="H89" s="18"/>
      <c r="I89" s="18" t="s">
        <v>166</v>
      </c>
      <c r="J89" s="4">
        <v>3.32</v>
      </c>
      <c r="K89" s="4">
        <v>3.82</v>
      </c>
      <c r="L89" s="4">
        <v>0.5</v>
      </c>
      <c r="M89" s="5">
        <v>1</v>
      </c>
      <c r="N89" s="31">
        <v>0.5</v>
      </c>
      <c r="O89" s="31">
        <v>0.5</v>
      </c>
      <c r="P89" s="31">
        <v>25</v>
      </c>
      <c r="Q89" s="31">
        <v>20</v>
      </c>
      <c r="R89" s="31">
        <v>0.19</v>
      </c>
      <c r="S89" s="31">
        <v>0</v>
      </c>
      <c r="T89" s="65">
        <v>0</v>
      </c>
      <c r="U89" s="31">
        <v>5</v>
      </c>
      <c r="V89" s="31"/>
      <c r="W89" s="31">
        <v>5</v>
      </c>
      <c r="X89" s="4">
        <v>38</v>
      </c>
      <c r="Y89" s="18">
        <v>0</v>
      </c>
      <c r="Z89" s="18" t="s">
        <v>330</v>
      </c>
      <c r="AA89" s="18" t="s">
        <v>333</v>
      </c>
      <c r="AB89" s="18" t="s">
        <v>335</v>
      </c>
      <c r="AC89" s="18">
        <v>20</v>
      </c>
      <c r="AD89" s="18">
        <v>25</v>
      </c>
      <c r="AE89" s="18" t="s">
        <v>34</v>
      </c>
      <c r="AF89" s="18" t="s">
        <v>239</v>
      </c>
      <c r="AG89" s="18" t="s">
        <v>239</v>
      </c>
      <c r="AH89" s="18">
        <v>17</v>
      </c>
      <c r="AI89" s="18"/>
      <c r="AJ89" s="18" t="s">
        <v>69</v>
      </c>
      <c r="AK89" s="18" t="s">
        <v>81</v>
      </c>
      <c r="AL89" s="18" t="s">
        <v>100</v>
      </c>
      <c r="AM89" s="18" t="s">
        <v>109</v>
      </c>
      <c r="AN89" s="18" t="s">
        <v>122</v>
      </c>
      <c r="AO89" s="18" t="s">
        <v>247</v>
      </c>
      <c r="AP89" s="18"/>
      <c r="AQ89" s="18"/>
      <c r="AR89" s="18">
        <v>0</v>
      </c>
      <c r="AS89" s="18">
        <v>0</v>
      </c>
      <c r="AT89" s="18">
        <v>0</v>
      </c>
      <c r="AU89" s="18">
        <v>1</v>
      </c>
      <c r="AV89" s="18">
        <v>0</v>
      </c>
      <c r="AW89" s="18">
        <v>1</v>
      </c>
      <c r="AX89" s="49">
        <f t="shared" si="20"/>
        <v>0</v>
      </c>
      <c r="AY89" s="49">
        <v>0</v>
      </c>
      <c r="AZ89" s="50">
        <v>5</v>
      </c>
      <c r="BA89" s="49">
        <v>1</v>
      </c>
      <c r="BB89" s="49">
        <v>10</v>
      </c>
      <c r="BC89" s="67">
        <v>1.5</v>
      </c>
      <c r="BD89" s="67">
        <v>0</v>
      </c>
      <c r="BE89" s="67">
        <v>5</v>
      </c>
      <c r="BF89" s="67">
        <v>0</v>
      </c>
      <c r="BG89" s="67">
        <v>0</v>
      </c>
      <c r="BH89" s="67">
        <v>1</v>
      </c>
      <c r="BI89" s="67">
        <v>0</v>
      </c>
      <c r="BJ89" s="67">
        <v>0</v>
      </c>
      <c r="BK89" s="67">
        <v>0</v>
      </c>
      <c r="BL89" s="67">
        <v>7</v>
      </c>
      <c r="BM89" s="67">
        <f t="shared" ref="BM89:BM152" si="23">+BD89+BE89+BF89+BG89+BH89+BI89+BJ89+BK89+BL89</f>
        <v>13</v>
      </c>
      <c r="BN89" s="18">
        <f t="shared" ref="BN89:BN152" si="24">AX89+AY89+AZ89+BA89+BB89</f>
        <v>16</v>
      </c>
      <c r="BO89" s="18"/>
      <c r="BP89" s="18"/>
      <c r="BQ89" s="1"/>
    </row>
    <row r="90" spans="1:141" x14ac:dyDescent="0.25">
      <c r="A90" s="18" t="s">
        <v>6</v>
      </c>
      <c r="B90" s="18">
        <v>2024</v>
      </c>
      <c r="C90" s="18" t="s">
        <v>138</v>
      </c>
      <c r="D90" s="18" t="s">
        <v>132</v>
      </c>
      <c r="E90" s="18">
        <v>40</v>
      </c>
      <c r="F90" s="18">
        <v>40</v>
      </c>
      <c r="G90" s="18" t="s">
        <v>153</v>
      </c>
      <c r="H90" s="18"/>
      <c r="I90" s="18" t="s">
        <v>166</v>
      </c>
      <c r="J90" s="4">
        <v>3.82</v>
      </c>
      <c r="K90" s="18">
        <v>4.32</v>
      </c>
      <c r="L90" s="4">
        <v>0.50000000000000044</v>
      </c>
      <c r="M90" s="5">
        <v>0.48</v>
      </c>
      <c r="N90" s="31">
        <v>0.24000000000000021</v>
      </c>
      <c r="O90" s="31">
        <v>0.24000000000000021</v>
      </c>
      <c r="P90" s="31">
        <v>12.000000000000011</v>
      </c>
      <c r="Q90" s="31">
        <v>20</v>
      </c>
      <c r="R90" s="31">
        <v>0.21</v>
      </c>
      <c r="S90" s="31">
        <v>0</v>
      </c>
      <c r="T90" s="65">
        <v>0</v>
      </c>
      <c r="U90" s="31">
        <v>5</v>
      </c>
      <c r="V90" s="31"/>
      <c r="W90" s="31">
        <v>5</v>
      </c>
      <c r="X90" s="4">
        <v>42</v>
      </c>
      <c r="Y90" s="18">
        <v>0</v>
      </c>
      <c r="Z90" s="18" t="s">
        <v>330</v>
      </c>
      <c r="AA90" s="18" t="s">
        <v>333</v>
      </c>
      <c r="AB90" s="18" t="s">
        <v>335</v>
      </c>
      <c r="AC90" s="18">
        <v>20</v>
      </c>
      <c r="AD90" s="18">
        <v>12.000000000000011</v>
      </c>
      <c r="AE90" s="18" t="s">
        <v>34</v>
      </c>
      <c r="AF90" s="18"/>
      <c r="AG90" s="18" t="s">
        <v>34</v>
      </c>
      <c r="AH90" s="18">
        <v>17</v>
      </c>
      <c r="AI90" s="18"/>
      <c r="AJ90" s="18" t="s">
        <v>69</v>
      </c>
      <c r="AK90" s="18" t="s">
        <v>81</v>
      </c>
      <c r="AL90" s="18" t="s">
        <v>100</v>
      </c>
      <c r="AM90" s="18" t="s">
        <v>107</v>
      </c>
      <c r="AN90" s="18" t="s">
        <v>120</v>
      </c>
      <c r="AO90" s="18" t="s">
        <v>247</v>
      </c>
      <c r="AP90" s="18"/>
      <c r="AQ90" s="18"/>
      <c r="AR90" s="18">
        <v>0</v>
      </c>
      <c r="AS90" s="18">
        <v>0</v>
      </c>
      <c r="AT90" s="18">
        <v>0</v>
      </c>
      <c r="AU90" s="18">
        <v>3</v>
      </c>
      <c r="AV90" s="18">
        <v>2</v>
      </c>
      <c r="AW90" s="18">
        <v>5</v>
      </c>
      <c r="AX90" s="49">
        <f t="shared" si="20"/>
        <v>0</v>
      </c>
      <c r="AY90" s="49">
        <v>0</v>
      </c>
      <c r="AZ90" s="50">
        <v>4</v>
      </c>
      <c r="BA90" s="49">
        <v>5</v>
      </c>
      <c r="BB90" s="49">
        <v>10</v>
      </c>
      <c r="BC90" s="67">
        <v>7.5</v>
      </c>
      <c r="BD90" s="67">
        <v>0</v>
      </c>
      <c r="BE90" s="67">
        <v>5</v>
      </c>
      <c r="BF90" s="67">
        <v>0</v>
      </c>
      <c r="BG90" s="67">
        <v>0</v>
      </c>
      <c r="BH90" s="67">
        <v>3</v>
      </c>
      <c r="BI90" s="67">
        <v>2</v>
      </c>
      <c r="BJ90" s="67">
        <v>0</v>
      </c>
      <c r="BK90" s="67">
        <v>0</v>
      </c>
      <c r="BL90" s="67">
        <v>7</v>
      </c>
      <c r="BM90" s="67">
        <f t="shared" si="23"/>
        <v>17</v>
      </c>
      <c r="BN90" s="18">
        <f t="shared" si="24"/>
        <v>19</v>
      </c>
      <c r="BO90" s="18"/>
      <c r="BP90" s="18"/>
      <c r="BQ90" s="1"/>
    </row>
    <row r="91" spans="1:141" x14ac:dyDescent="0.25">
      <c r="A91" s="18" t="s">
        <v>6</v>
      </c>
      <c r="B91" s="18">
        <v>2024</v>
      </c>
      <c r="C91" s="18" t="s">
        <v>138</v>
      </c>
      <c r="D91" s="18" t="s">
        <v>132</v>
      </c>
      <c r="E91" s="18">
        <v>40</v>
      </c>
      <c r="F91" s="18">
        <v>40</v>
      </c>
      <c r="G91" s="18" t="s">
        <v>153</v>
      </c>
      <c r="H91" s="18"/>
      <c r="I91" s="18" t="s">
        <v>166</v>
      </c>
      <c r="J91" s="4">
        <v>4.32</v>
      </c>
      <c r="K91" s="18">
        <v>4.5</v>
      </c>
      <c r="L91" s="4">
        <v>0.17999999999999972</v>
      </c>
      <c r="M91" s="5">
        <v>0.83</v>
      </c>
      <c r="N91" s="31">
        <v>0.14939999999999976</v>
      </c>
      <c r="O91" s="31">
        <v>0.14939999999999976</v>
      </c>
      <c r="P91" s="31">
        <v>149.39999999999975</v>
      </c>
      <c r="Q91" s="31">
        <v>1</v>
      </c>
      <c r="R91" s="31">
        <v>0.14000000000000001</v>
      </c>
      <c r="S91" s="31">
        <v>0</v>
      </c>
      <c r="T91" s="65">
        <v>0</v>
      </c>
      <c r="U91" s="31">
        <v>5</v>
      </c>
      <c r="V91" s="31"/>
      <c r="W91" s="31">
        <v>5</v>
      </c>
      <c r="X91" s="4">
        <v>28</v>
      </c>
      <c r="Y91" s="18">
        <v>56</v>
      </c>
      <c r="Z91" s="18" t="s">
        <v>100</v>
      </c>
      <c r="AA91" s="18" t="s">
        <v>116</v>
      </c>
      <c r="AB91" s="18" t="s">
        <v>336</v>
      </c>
      <c r="AC91" s="18">
        <v>1</v>
      </c>
      <c r="AD91" s="18">
        <v>149.39999999999975</v>
      </c>
      <c r="AE91" s="18" t="s">
        <v>32</v>
      </c>
      <c r="AF91" s="18"/>
      <c r="AG91" s="18" t="s">
        <v>32</v>
      </c>
      <c r="AH91" s="18">
        <v>30</v>
      </c>
      <c r="AI91" s="18" t="s">
        <v>29</v>
      </c>
      <c r="AJ91" s="18" t="s">
        <v>69</v>
      </c>
      <c r="AK91" s="18" t="s">
        <v>81</v>
      </c>
      <c r="AL91" s="18" t="s">
        <v>100</v>
      </c>
      <c r="AM91" s="18" t="s">
        <v>107</v>
      </c>
      <c r="AN91" s="18" t="s">
        <v>120</v>
      </c>
      <c r="AO91" s="18" t="s">
        <v>247</v>
      </c>
      <c r="AP91" s="18"/>
      <c r="AQ91" s="18"/>
      <c r="AR91" s="18">
        <v>0</v>
      </c>
      <c r="AS91" s="18">
        <v>0</v>
      </c>
      <c r="AT91" s="18">
        <v>0</v>
      </c>
      <c r="AU91" s="18">
        <v>3</v>
      </c>
      <c r="AV91" s="18">
        <v>2</v>
      </c>
      <c r="AW91" s="18">
        <v>5</v>
      </c>
      <c r="AX91" s="49">
        <f t="shared" si="20"/>
        <v>0</v>
      </c>
      <c r="AY91" s="49">
        <v>1</v>
      </c>
      <c r="AZ91" s="50">
        <v>8</v>
      </c>
      <c r="BA91" s="49">
        <v>5</v>
      </c>
      <c r="BB91" s="49">
        <v>10</v>
      </c>
      <c r="BC91" s="67">
        <v>7.5</v>
      </c>
      <c r="BD91" s="67">
        <v>1</v>
      </c>
      <c r="BE91" s="67">
        <v>5</v>
      </c>
      <c r="BF91" s="67">
        <v>0</v>
      </c>
      <c r="BG91" s="67">
        <v>0</v>
      </c>
      <c r="BH91" s="67">
        <v>3</v>
      </c>
      <c r="BI91" s="67">
        <v>2</v>
      </c>
      <c r="BJ91" s="67">
        <v>0</v>
      </c>
      <c r="BK91" s="67">
        <v>0</v>
      </c>
      <c r="BL91" s="67">
        <v>7</v>
      </c>
      <c r="BM91" s="67">
        <f t="shared" si="23"/>
        <v>18</v>
      </c>
      <c r="BN91" s="18">
        <f t="shared" si="24"/>
        <v>24</v>
      </c>
      <c r="BO91" s="18"/>
      <c r="BP91" s="18"/>
      <c r="BQ91" s="1"/>
    </row>
    <row r="92" spans="1:141" x14ac:dyDescent="0.25">
      <c r="A92" s="18" t="s">
        <v>6</v>
      </c>
      <c r="B92" s="18">
        <v>2024</v>
      </c>
      <c r="C92" s="18" t="s">
        <v>138</v>
      </c>
      <c r="D92" s="18" t="s">
        <v>132</v>
      </c>
      <c r="E92" s="18">
        <v>40</v>
      </c>
      <c r="F92" s="18">
        <v>40</v>
      </c>
      <c r="G92" s="18" t="s">
        <v>153</v>
      </c>
      <c r="H92" s="18"/>
      <c r="I92" s="18" t="s">
        <v>166</v>
      </c>
      <c r="J92" s="4">
        <v>4.5</v>
      </c>
      <c r="K92" s="18">
        <v>5</v>
      </c>
      <c r="L92" s="4">
        <v>0.5</v>
      </c>
      <c r="M92" s="5">
        <v>0.56000000000000005</v>
      </c>
      <c r="N92" s="31">
        <v>0.28000000000000003</v>
      </c>
      <c r="O92" s="31">
        <v>0.28000000000000003</v>
      </c>
      <c r="P92" s="31">
        <v>14</v>
      </c>
      <c r="Q92" s="31">
        <v>20</v>
      </c>
      <c r="R92" s="31">
        <v>0.25</v>
      </c>
      <c r="S92" s="31">
        <v>0</v>
      </c>
      <c r="T92" s="65">
        <v>0</v>
      </c>
      <c r="U92" s="31">
        <v>4</v>
      </c>
      <c r="V92" s="31"/>
      <c r="W92" s="31">
        <v>4</v>
      </c>
      <c r="X92" s="4">
        <v>62.5</v>
      </c>
      <c r="Y92" s="18">
        <v>0</v>
      </c>
      <c r="Z92" s="18" t="s">
        <v>100</v>
      </c>
      <c r="AA92" s="18" t="s">
        <v>333</v>
      </c>
      <c r="AB92" s="18" t="s">
        <v>335</v>
      </c>
      <c r="AC92" s="18">
        <v>20</v>
      </c>
      <c r="AD92" s="18">
        <v>14</v>
      </c>
      <c r="AE92" s="18" t="s">
        <v>34</v>
      </c>
      <c r="AF92" s="18"/>
      <c r="AG92" s="18" t="s">
        <v>34</v>
      </c>
      <c r="AH92" s="18">
        <v>17</v>
      </c>
      <c r="AI92" s="18"/>
      <c r="AJ92" s="18" t="s">
        <v>69</v>
      </c>
      <c r="AK92" s="18" t="s">
        <v>81</v>
      </c>
      <c r="AL92" s="18" t="s">
        <v>100</v>
      </c>
      <c r="AM92" s="18" t="s">
        <v>107</v>
      </c>
      <c r="AN92" s="18" t="s">
        <v>120</v>
      </c>
      <c r="AO92" s="18" t="s">
        <v>247</v>
      </c>
      <c r="AP92" s="18"/>
      <c r="AQ92" s="18"/>
      <c r="AR92" s="18">
        <v>0</v>
      </c>
      <c r="AS92" s="18">
        <v>0</v>
      </c>
      <c r="AT92" s="18">
        <v>0</v>
      </c>
      <c r="AU92" s="18">
        <v>3</v>
      </c>
      <c r="AV92" s="18">
        <v>2</v>
      </c>
      <c r="AW92" s="18">
        <v>5</v>
      </c>
      <c r="AX92" s="49">
        <f t="shared" si="20"/>
        <v>0</v>
      </c>
      <c r="AY92" s="49">
        <v>0</v>
      </c>
      <c r="AZ92" s="50">
        <v>4</v>
      </c>
      <c r="BA92" s="49">
        <v>5</v>
      </c>
      <c r="BB92" s="49">
        <v>10</v>
      </c>
      <c r="BC92" s="67">
        <v>7.5</v>
      </c>
      <c r="BD92" s="67">
        <v>0</v>
      </c>
      <c r="BE92" s="67">
        <v>5</v>
      </c>
      <c r="BF92" s="67">
        <v>0</v>
      </c>
      <c r="BG92" s="67">
        <v>0</v>
      </c>
      <c r="BH92" s="67">
        <v>3</v>
      </c>
      <c r="BI92" s="67">
        <v>2</v>
      </c>
      <c r="BJ92" s="67">
        <v>0</v>
      </c>
      <c r="BK92" s="67">
        <v>0</v>
      </c>
      <c r="BL92" s="67">
        <v>7</v>
      </c>
      <c r="BM92" s="67">
        <f t="shared" si="23"/>
        <v>17</v>
      </c>
      <c r="BN92" s="18">
        <f t="shared" si="24"/>
        <v>19</v>
      </c>
      <c r="BO92" s="18"/>
      <c r="BP92" s="18"/>
      <c r="BQ92" s="1"/>
    </row>
    <row r="93" spans="1:141" x14ac:dyDescent="0.25">
      <c r="A93" s="18" t="s">
        <v>6</v>
      </c>
      <c r="B93" s="18">
        <v>2024</v>
      </c>
      <c r="C93" s="18" t="s">
        <v>138</v>
      </c>
      <c r="D93" s="18" t="s">
        <v>134</v>
      </c>
      <c r="E93" s="18">
        <v>40</v>
      </c>
      <c r="F93" s="18">
        <v>40</v>
      </c>
      <c r="G93" s="18" t="s">
        <v>153</v>
      </c>
      <c r="H93" s="18"/>
      <c r="I93" s="18" t="s">
        <v>170</v>
      </c>
      <c r="J93" s="31">
        <v>2.5</v>
      </c>
      <c r="K93" s="31">
        <v>3</v>
      </c>
      <c r="L93" s="4">
        <v>0.5</v>
      </c>
      <c r="M93" s="5">
        <v>0.72</v>
      </c>
      <c r="N93" s="31">
        <v>0.36</v>
      </c>
      <c r="O93" s="18">
        <v>0.36</v>
      </c>
      <c r="P93" s="18">
        <v>18</v>
      </c>
      <c r="Q93" s="18">
        <v>20</v>
      </c>
      <c r="R93" s="18">
        <v>0.33</v>
      </c>
      <c r="S93" s="18">
        <v>0</v>
      </c>
      <c r="T93" s="65">
        <v>0</v>
      </c>
      <c r="U93" s="18">
        <v>5</v>
      </c>
      <c r="V93" s="18"/>
      <c r="W93" s="18">
        <v>5</v>
      </c>
      <c r="X93" s="4">
        <v>66</v>
      </c>
      <c r="Y93" s="18">
        <v>0</v>
      </c>
      <c r="Z93" s="18" t="s">
        <v>330</v>
      </c>
      <c r="AA93" s="18" t="s">
        <v>333</v>
      </c>
      <c r="AB93" s="18" t="s">
        <v>335</v>
      </c>
      <c r="AC93" s="18">
        <v>20</v>
      </c>
      <c r="AD93" s="18">
        <v>18</v>
      </c>
      <c r="AE93" s="18" t="s">
        <v>34</v>
      </c>
      <c r="AF93" s="18"/>
      <c r="AG93" s="18" t="s">
        <v>34</v>
      </c>
      <c r="AH93" s="18">
        <v>17</v>
      </c>
      <c r="AI93" s="18"/>
      <c r="AJ93" s="18" t="s">
        <v>69</v>
      </c>
      <c r="AK93" s="18" t="s">
        <v>81</v>
      </c>
      <c r="AL93" s="18" t="s">
        <v>100</v>
      </c>
      <c r="AM93" s="18" t="s">
        <v>107</v>
      </c>
      <c r="AN93" s="18" t="s">
        <v>120</v>
      </c>
      <c r="AO93" s="18" t="s">
        <v>247</v>
      </c>
      <c r="AP93" s="18"/>
      <c r="AQ93" s="18"/>
      <c r="AR93" s="18">
        <v>0</v>
      </c>
      <c r="AS93" s="18">
        <v>0</v>
      </c>
      <c r="AT93" s="18">
        <v>0</v>
      </c>
      <c r="AU93" s="18">
        <v>3</v>
      </c>
      <c r="AV93" s="18">
        <v>2</v>
      </c>
      <c r="AW93" s="18">
        <v>5</v>
      </c>
      <c r="AX93" s="49">
        <f t="shared" si="20"/>
        <v>0</v>
      </c>
      <c r="AY93" s="49">
        <v>0</v>
      </c>
      <c r="AZ93" s="50">
        <v>4</v>
      </c>
      <c r="BA93" s="49">
        <v>5</v>
      </c>
      <c r="BB93" s="49">
        <v>10</v>
      </c>
      <c r="BC93" s="67">
        <v>7.5</v>
      </c>
      <c r="BD93" s="67">
        <v>0</v>
      </c>
      <c r="BE93" s="67">
        <v>6</v>
      </c>
      <c r="BF93" s="67">
        <v>0</v>
      </c>
      <c r="BG93" s="67">
        <v>0</v>
      </c>
      <c r="BH93" s="67">
        <v>3</v>
      </c>
      <c r="BI93" s="67">
        <v>2</v>
      </c>
      <c r="BJ93" s="67">
        <v>0</v>
      </c>
      <c r="BK93" s="67">
        <v>0</v>
      </c>
      <c r="BL93" s="67">
        <v>7</v>
      </c>
      <c r="BM93" s="67">
        <f t="shared" si="23"/>
        <v>18</v>
      </c>
      <c r="BN93" s="18">
        <f t="shared" si="24"/>
        <v>19</v>
      </c>
      <c r="BO93" s="18"/>
      <c r="BP93" s="18"/>
      <c r="BQ93" s="1"/>
    </row>
    <row r="94" spans="1:141" x14ac:dyDescent="0.25">
      <c r="A94" s="18" t="s">
        <v>6</v>
      </c>
      <c r="B94" s="18">
        <v>2024</v>
      </c>
      <c r="C94" s="18" t="s">
        <v>138</v>
      </c>
      <c r="D94" s="18" t="s">
        <v>134</v>
      </c>
      <c r="E94" s="18">
        <v>40</v>
      </c>
      <c r="F94" s="18">
        <v>40</v>
      </c>
      <c r="G94" s="18" t="s">
        <v>153</v>
      </c>
      <c r="H94" s="18"/>
      <c r="I94" s="18" t="s">
        <v>170</v>
      </c>
      <c r="J94" s="31">
        <v>3</v>
      </c>
      <c r="K94" s="31">
        <v>3.5</v>
      </c>
      <c r="L94" s="4">
        <v>0.5</v>
      </c>
      <c r="M94" s="5">
        <v>0.34</v>
      </c>
      <c r="N94" s="31">
        <v>0.17</v>
      </c>
      <c r="O94" s="18">
        <v>0.17</v>
      </c>
      <c r="P94" s="18">
        <v>8.5</v>
      </c>
      <c r="Q94" s="18">
        <v>20</v>
      </c>
      <c r="R94" s="18">
        <v>0.15</v>
      </c>
      <c r="S94" s="18">
        <v>0</v>
      </c>
      <c r="T94" s="65">
        <v>0</v>
      </c>
      <c r="U94" s="18">
        <v>5</v>
      </c>
      <c r="V94" s="18"/>
      <c r="W94" s="18">
        <v>5</v>
      </c>
      <c r="X94" s="4">
        <v>30</v>
      </c>
      <c r="Y94" s="18">
        <v>0</v>
      </c>
      <c r="Z94" s="18" t="s">
        <v>100</v>
      </c>
      <c r="AA94" s="18" t="s">
        <v>333</v>
      </c>
      <c r="AB94" s="18" t="s">
        <v>337</v>
      </c>
      <c r="AC94" s="18">
        <v>20</v>
      </c>
      <c r="AD94" s="18">
        <v>8.5</v>
      </c>
      <c r="AE94" s="18" t="s">
        <v>29</v>
      </c>
      <c r="AF94" s="18"/>
      <c r="AG94" s="18" t="s">
        <v>29</v>
      </c>
      <c r="AH94" s="18">
        <v>30</v>
      </c>
      <c r="AI94" s="18" t="s">
        <v>29</v>
      </c>
      <c r="AJ94" s="18" t="s">
        <v>69</v>
      </c>
      <c r="AK94" s="18" t="s">
        <v>81</v>
      </c>
      <c r="AL94" s="18" t="s">
        <v>100</v>
      </c>
      <c r="AM94" s="18" t="s">
        <v>107</v>
      </c>
      <c r="AN94" s="18" t="s">
        <v>120</v>
      </c>
      <c r="AO94" s="18" t="s">
        <v>247</v>
      </c>
      <c r="AP94" s="18"/>
      <c r="AQ94" s="18"/>
      <c r="AR94" s="18">
        <v>0</v>
      </c>
      <c r="AS94" s="18">
        <v>0</v>
      </c>
      <c r="AT94" s="18">
        <v>0</v>
      </c>
      <c r="AU94" s="18">
        <v>3</v>
      </c>
      <c r="AV94" s="18">
        <v>2</v>
      </c>
      <c r="AW94" s="18">
        <v>5</v>
      </c>
      <c r="AX94" s="49">
        <f t="shared" si="20"/>
        <v>0</v>
      </c>
      <c r="AY94" s="49">
        <v>2</v>
      </c>
      <c r="AZ94" s="50">
        <v>3</v>
      </c>
      <c r="BA94" s="49">
        <v>5</v>
      </c>
      <c r="BB94" s="49">
        <v>10</v>
      </c>
      <c r="BC94" s="67">
        <v>7.5</v>
      </c>
      <c r="BD94" s="67">
        <v>2</v>
      </c>
      <c r="BE94" s="67">
        <v>5</v>
      </c>
      <c r="BF94" s="67">
        <v>0</v>
      </c>
      <c r="BG94" s="67">
        <v>0</v>
      </c>
      <c r="BH94" s="67">
        <v>3</v>
      </c>
      <c r="BI94" s="67">
        <v>2</v>
      </c>
      <c r="BJ94" s="67">
        <v>0</v>
      </c>
      <c r="BK94" s="67">
        <v>0</v>
      </c>
      <c r="BL94" s="67">
        <v>7</v>
      </c>
      <c r="BM94" s="67">
        <f t="shared" si="23"/>
        <v>19</v>
      </c>
      <c r="BN94" s="18">
        <f t="shared" si="24"/>
        <v>20</v>
      </c>
      <c r="BO94" s="18"/>
      <c r="BP94" s="18"/>
      <c r="BQ94" s="1"/>
    </row>
    <row r="95" spans="1:141" x14ac:dyDescent="0.25">
      <c r="A95" s="18" t="s">
        <v>6</v>
      </c>
      <c r="B95" s="18">
        <v>2024</v>
      </c>
      <c r="C95" s="18" t="s">
        <v>138</v>
      </c>
      <c r="D95" s="18" t="s">
        <v>134</v>
      </c>
      <c r="E95" s="18">
        <v>40</v>
      </c>
      <c r="F95" s="18">
        <v>40</v>
      </c>
      <c r="G95" s="18" t="s">
        <v>153</v>
      </c>
      <c r="H95" s="18"/>
      <c r="I95" s="18" t="s">
        <v>170</v>
      </c>
      <c r="J95" s="31">
        <v>3.5</v>
      </c>
      <c r="K95" s="31">
        <v>4</v>
      </c>
      <c r="L95" s="4">
        <v>0.5</v>
      </c>
      <c r="M95" s="5">
        <v>0.34</v>
      </c>
      <c r="N95" s="31">
        <v>0.17</v>
      </c>
      <c r="O95" s="18">
        <v>0.17</v>
      </c>
      <c r="P95" s="18">
        <v>8.5</v>
      </c>
      <c r="Q95" s="18">
        <v>20</v>
      </c>
      <c r="R95" s="18">
        <v>0.16</v>
      </c>
      <c r="S95" s="18">
        <v>0</v>
      </c>
      <c r="T95" s="65">
        <v>0</v>
      </c>
      <c r="U95" s="18">
        <v>10</v>
      </c>
      <c r="V95" s="18"/>
      <c r="W95" s="18">
        <v>10</v>
      </c>
      <c r="X95" s="4">
        <v>16</v>
      </c>
      <c r="Y95" s="18">
        <v>0</v>
      </c>
      <c r="Z95" s="18" t="s">
        <v>96</v>
      </c>
      <c r="AA95" s="18" t="s">
        <v>333</v>
      </c>
      <c r="AB95" s="18" t="s">
        <v>337</v>
      </c>
      <c r="AC95" s="18">
        <v>20</v>
      </c>
      <c r="AD95" s="18">
        <v>8.5</v>
      </c>
      <c r="AE95" s="18" t="s">
        <v>29</v>
      </c>
      <c r="AF95" s="18"/>
      <c r="AG95" s="18" t="s">
        <v>29</v>
      </c>
      <c r="AH95" s="18">
        <v>30</v>
      </c>
      <c r="AI95" s="18" t="s">
        <v>29</v>
      </c>
      <c r="AJ95" s="18" t="s">
        <v>69</v>
      </c>
      <c r="AK95" s="18" t="s">
        <v>81</v>
      </c>
      <c r="AL95" s="18" t="s">
        <v>100</v>
      </c>
      <c r="AM95" s="18" t="s">
        <v>107</v>
      </c>
      <c r="AN95" s="18" t="s">
        <v>120</v>
      </c>
      <c r="AO95" s="18" t="s">
        <v>247</v>
      </c>
      <c r="AP95" s="18"/>
      <c r="AQ95" s="18"/>
      <c r="AR95" s="18">
        <v>0</v>
      </c>
      <c r="AS95" s="18">
        <v>0</v>
      </c>
      <c r="AT95" s="18">
        <v>0</v>
      </c>
      <c r="AU95" s="18">
        <v>3</v>
      </c>
      <c r="AV95" s="18">
        <v>2</v>
      </c>
      <c r="AW95" s="18">
        <v>5</v>
      </c>
      <c r="AX95" s="49">
        <f t="shared" si="20"/>
        <v>0</v>
      </c>
      <c r="AY95" s="49">
        <v>2</v>
      </c>
      <c r="AZ95" s="50">
        <v>3</v>
      </c>
      <c r="BA95" s="49">
        <v>5</v>
      </c>
      <c r="BB95" s="49">
        <v>10</v>
      </c>
      <c r="BC95" s="67">
        <v>7.5</v>
      </c>
      <c r="BD95" s="67">
        <v>2</v>
      </c>
      <c r="BE95" s="67">
        <v>5</v>
      </c>
      <c r="BF95" s="67">
        <v>0</v>
      </c>
      <c r="BG95" s="67">
        <v>0</v>
      </c>
      <c r="BH95" s="67">
        <v>3</v>
      </c>
      <c r="BI95" s="67">
        <v>2</v>
      </c>
      <c r="BJ95" s="67">
        <v>0</v>
      </c>
      <c r="BK95" s="67">
        <v>0</v>
      </c>
      <c r="BL95" s="67">
        <v>7</v>
      </c>
      <c r="BM95" s="67">
        <f t="shared" si="23"/>
        <v>19</v>
      </c>
      <c r="BN95" s="18">
        <f t="shared" si="24"/>
        <v>20</v>
      </c>
      <c r="BO95" s="18"/>
      <c r="BP95" s="18"/>
      <c r="BQ95" s="1"/>
    </row>
    <row r="96" spans="1:141" x14ac:dyDescent="0.25">
      <c r="A96" s="18" t="s">
        <v>6</v>
      </c>
      <c r="B96" s="18">
        <v>2024</v>
      </c>
      <c r="C96" s="18" t="s">
        <v>138</v>
      </c>
      <c r="D96" s="18" t="s">
        <v>134</v>
      </c>
      <c r="E96" s="18">
        <v>40</v>
      </c>
      <c r="F96" s="18">
        <v>40</v>
      </c>
      <c r="G96" s="18" t="s">
        <v>153</v>
      </c>
      <c r="H96" s="18"/>
      <c r="I96" s="18" t="s">
        <v>170</v>
      </c>
      <c r="J96" s="31">
        <v>4</v>
      </c>
      <c r="K96" s="31">
        <v>4.5</v>
      </c>
      <c r="L96" s="4">
        <v>0.5</v>
      </c>
      <c r="M96" s="5">
        <v>0.48</v>
      </c>
      <c r="N96" s="31">
        <v>0.24</v>
      </c>
      <c r="O96" s="18">
        <v>0.24</v>
      </c>
      <c r="P96" s="18">
        <v>24</v>
      </c>
      <c r="Q96" s="18">
        <v>10</v>
      </c>
      <c r="R96" s="18">
        <v>0.18</v>
      </c>
      <c r="S96" s="18">
        <v>0</v>
      </c>
      <c r="T96" s="65">
        <v>0</v>
      </c>
      <c r="U96" s="18">
        <v>3</v>
      </c>
      <c r="V96" s="18"/>
      <c r="W96" s="18">
        <v>3</v>
      </c>
      <c r="X96" s="4">
        <v>60</v>
      </c>
      <c r="Y96" s="18">
        <v>0</v>
      </c>
      <c r="Z96" s="18" t="s">
        <v>96</v>
      </c>
      <c r="AA96" s="18" t="s">
        <v>120</v>
      </c>
      <c r="AB96" s="18" t="s">
        <v>334</v>
      </c>
      <c r="AC96" s="18">
        <v>10</v>
      </c>
      <c r="AD96" s="18">
        <v>24</v>
      </c>
      <c r="AE96" s="18" t="s">
        <v>27</v>
      </c>
      <c r="AF96" s="18"/>
      <c r="AG96" s="18" t="s">
        <v>27</v>
      </c>
      <c r="AH96" s="18">
        <v>59</v>
      </c>
      <c r="AI96" s="18"/>
      <c r="AJ96" s="18" t="s">
        <v>69</v>
      </c>
      <c r="AK96" s="18" t="s">
        <v>81</v>
      </c>
      <c r="AL96" s="18" t="s">
        <v>100</v>
      </c>
      <c r="AM96" s="18" t="s">
        <v>107</v>
      </c>
      <c r="AN96" s="18" t="s">
        <v>120</v>
      </c>
      <c r="AO96" s="18" t="s">
        <v>247</v>
      </c>
      <c r="AP96" s="18"/>
      <c r="AQ96" s="18"/>
      <c r="AR96" s="18">
        <v>0</v>
      </c>
      <c r="AS96" s="18">
        <v>0</v>
      </c>
      <c r="AT96" s="18">
        <v>0</v>
      </c>
      <c r="AU96" s="18">
        <v>3</v>
      </c>
      <c r="AV96" s="18">
        <v>2</v>
      </c>
      <c r="AW96" s="18">
        <v>5</v>
      </c>
      <c r="AX96" s="49">
        <f t="shared" si="20"/>
        <v>0</v>
      </c>
      <c r="AY96" s="49">
        <v>4</v>
      </c>
      <c r="AZ96" s="50">
        <v>4</v>
      </c>
      <c r="BA96" s="49">
        <v>5</v>
      </c>
      <c r="BB96" s="49">
        <v>10</v>
      </c>
      <c r="BC96" s="67">
        <v>7.5</v>
      </c>
      <c r="BD96" s="67">
        <v>4</v>
      </c>
      <c r="BE96" s="67">
        <v>5</v>
      </c>
      <c r="BF96" s="67">
        <v>0</v>
      </c>
      <c r="BG96" s="67">
        <v>0</v>
      </c>
      <c r="BH96" s="67">
        <v>3</v>
      </c>
      <c r="BI96" s="67">
        <v>2</v>
      </c>
      <c r="BJ96" s="67">
        <v>0</v>
      </c>
      <c r="BK96" s="67">
        <v>0</v>
      </c>
      <c r="BL96" s="67">
        <v>7</v>
      </c>
      <c r="BM96" s="67">
        <f t="shared" si="23"/>
        <v>21</v>
      </c>
      <c r="BN96" s="18">
        <f t="shared" si="24"/>
        <v>23</v>
      </c>
      <c r="BO96" s="18"/>
      <c r="BP96" s="18"/>
      <c r="BQ96" s="1"/>
    </row>
    <row r="97" spans="1:146" x14ac:dyDescent="0.25">
      <c r="A97" s="18" t="s">
        <v>6</v>
      </c>
      <c r="B97" s="18">
        <v>2024</v>
      </c>
      <c r="C97" s="18" t="s">
        <v>138</v>
      </c>
      <c r="D97" s="18" t="s">
        <v>134</v>
      </c>
      <c r="E97" s="18">
        <v>50</v>
      </c>
      <c r="F97" s="18">
        <v>40</v>
      </c>
      <c r="G97" s="18" t="s">
        <v>154</v>
      </c>
      <c r="H97" s="18"/>
      <c r="I97" s="18" t="s">
        <v>170</v>
      </c>
      <c r="J97" s="31">
        <v>4.5</v>
      </c>
      <c r="K97" s="31">
        <v>5</v>
      </c>
      <c r="L97" s="4">
        <v>0.5</v>
      </c>
      <c r="M97" s="5">
        <v>0.78</v>
      </c>
      <c r="N97" s="31">
        <v>0.39</v>
      </c>
      <c r="O97" s="18">
        <v>0.39</v>
      </c>
      <c r="P97" s="18">
        <v>390</v>
      </c>
      <c r="Q97" s="18">
        <v>1</v>
      </c>
      <c r="R97" s="18">
        <v>0.32</v>
      </c>
      <c r="S97" s="18">
        <v>0.32</v>
      </c>
      <c r="T97" s="65">
        <v>64</v>
      </c>
      <c r="U97" s="18">
        <v>4</v>
      </c>
      <c r="V97" s="18"/>
      <c r="W97" s="18">
        <v>4</v>
      </c>
      <c r="X97" s="4">
        <v>80</v>
      </c>
      <c r="Y97" s="18">
        <v>0</v>
      </c>
      <c r="Z97" s="18" t="s">
        <v>96</v>
      </c>
      <c r="AA97" s="18" t="s">
        <v>116</v>
      </c>
      <c r="AB97" s="18" t="s">
        <v>337</v>
      </c>
      <c r="AC97" s="18">
        <v>1</v>
      </c>
      <c r="AD97" s="18">
        <v>390</v>
      </c>
      <c r="AE97" s="18" t="s">
        <v>29</v>
      </c>
      <c r="AF97" s="18"/>
      <c r="AG97" s="18" t="s">
        <v>29</v>
      </c>
      <c r="AH97" s="18">
        <v>30</v>
      </c>
      <c r="AI97" s="18" t="s">
        <v>29</v>
      </c>
      <c r="AJ97" s="18" t="s">
        <v>69</v>
      </c>
      <c r="AK97" s="18" t="s">
        <v>81</v>
      </c>
      <c r="AL97" s="18" t="s">
        <v>100</v>
      </c>
      <c r="AM97" s="18" t="s">
        <v>109</v>
      </c>
      <c r="AN97" s="18" t="s">
        <v>122</v>
      </c>
      <c r="AO97" s="18" t="s">
        <v>198</v>
      </c>
      <c r="AP97" s="18"/>
      <c r="AQ97" s="18"/>
      <c r="AR97" s="18">
        <v>0</v>
      </c>
      <c r="AS97" s="18">
        <v>0</v>
      </c>
      <c r="AT97" s="18">
        <v>0</v>
      </c>
      <c r="AU97" s="18">
        <v>1</v>
      </c>
      <c r="AV97" s="18">
        <v>0</v>
      </c>
      <c r="AW97" s="18">
        <v>1</v>
      </c>
      <c r="AX97" s="49">
        <f t="shared" si="20"/>
        <v>13</v>
      </c>
      <c r="AY97" s="49">
        <v>2</v>
      </c>
      <c r="AZ97" s="50">
        <v>11</v>
      </c>
      <c r="BA97" s="49">
        <v>1</v>
      </c>
      <c r="BB97" s="49">
        <v>15</v>
      </c>
      <c r="BC97" s="67">
        <v>33.5</v>
      </c>
      <c r="BD97" s="67">
        <v>2</v>
      </c>
      <c r="BE97" s="67">
        <v>7</v>
      </c>
      <c r="BF97" s="67">
        <v>13</v>
      </c>
      <c r="BG97" s="67">
        <v>0</v>
      </c>
      <c r="BH97" s="67">
        <v>1</v>
      </c>
      <c r="BI97" s="67">
        <v>0</v>
      </c>
      <c r="BJ97" s="67">
        <v>0</v>
      </c>
      <c r="BK97" s="67">
        <v>0</v>
      </c>
      <c r="BL97" s="67">
        <v>10</v>
      </c>
      <c r="BM97" s="67">
        <f t="shared" si="23"/>
        <v>33</v>
      </c>
      <c r="BN97" s="18">
        <f t="shared" si="24"/>
        <v>42</v>
      </c>
      <c r="BO97" s="18"/>
      <c r="BP97" s="18"/>
      <c r="BQ97" s="1"/>
    </row>
    <row r="98" spans="1:146" x14ac:dyDescent="0.25">
      <c r="A98" s="18" t="s">
        <v>6</v>
      </c>
      <c r="B98" s="18">
        <v>2024</v>
      </c>
      <c r="C98" s="18" t="s">
        <v>138</v>
      </c>
      <c r="D98" s="18" t="s">
        <v>134</v>
      </c>
      <c r="E98" s="18">
        <v>50</v>
      </c>
      <c r="F98" s="18">
        <v>40</v>
      </c>
      <c r="G98" s="18" t="s">
        <v>154</v>
      </c>
      <c r="H98" s="18"/>
      <c r="I98" s="18" t="s">
        <v>170</v>
      </c>
      <c r="J98" s="31">
        <v>5</v>
      </c>
      <c r="K98" s="31">
        <v>5.5</v>
      </c>
      <c r="L98" s="4">
        <v>0.5</v>
      </c>
      <c r="M98" s="5">
        <v>0.5</v>
      </c>
      <c r="N98" s="31">
        <v>0.25</v>
      </c>
      <c r="O98" s="18">
        <v>0.25</v>
      </c>
      <c r="P98" s="18">
        <v>250</v>
      </c>
      <c r="Q98" s="18">
        <v>1</v>
      </c>
      <c r="R98" s="18">
        <v>0.17</v>
      </c>
      <c r="S98" s="18">
        <v>0.17</v>
      </c>
      <c r="T98" s="65">
        <v>34</v>
      </c>
      <c r="U98" s="18">
        <v>2</v>
      </c>
      <c r="V98" s="18"/>
      <c r="W98" s="18">
        <v>2</v>
      </c>
      <c r="X98" s="4">
        <v>85</v>
      </c>
      <c r="Y98" s="18">
        <v>0</v>
      </c>
      <c r="Z98" s="18" t="s">
        <v>96</v>
      </c>
      <c r="AA98" s="18" t="s">
        <v>116</v>
      </c>
      <c r="AB98" s="18" t="s">
        <v>334</v>
      </c>
      <c r="AC98" s="18">
        <v>1</v>
      </c>
      <c r="AD98" s="18">
        <v>250</v>
      </c>
      <c r="AE98" s="18" t="s">
        <v>27</v>
      </c>
      <c r="AF98" s="18"/>
      <c r="AG98" s="18" t="s">
        <v>27</v>
      </c>
      <c r="AH98" s="18">
        <v>59</v>
      </c>
      <c r="AI98" s="18"/>
      <c r="AJ98" s="18" t="s">
        <v>69</v>
      </c>
      <c r="AK98" s="18" t="s">
        <v>81</v>
      </c>
      <c r="AL98" s="18" t="s">
        <v>100</v>
      </c>
      <c r="AM98" s="18" t="s">
        <v>109</v>
      </c>
      <c r="AN98" s="18" t="s">
        <v>122</v>
      </c>
      <c r="AO98" s="18" t="s">
        <v>198</v>
      </c>
      <c r="AP98" s="18"/>
      <c r="AQ98" s="18"/>
      <c r="AR98" s="18">
        <v>0</v>
      </c>
      <c r="AS98" s="18">
        <v>0</v>
      </c>
      <c r="AT98" s="18">
        <v>0</v>
      </c>
      <c r="AU98" s="18">
        <v>1</v>
      </c>
      <c r="AV98" s="18">
        <v>0</v>
      </c>
      <c r="AW98" s="18">
        <v>1</v>
      </c>
      <c r="AX98" s="49">
        <f t="shared" si="20"/>
        <v>7</v>
      </c>
      <c r="AY98" s="49">
        <v>4</v>
      </c>
      <c r="AZ98" s="50">
        <v>10</v>
      </c>
      <c r="BA98" s="49">
        <v>1</v>
      </c>
      <c r="BB98" s="49">
        <v>15</v>
      </c>
      <c r="BC98" s="67">
        <v>18.5</v>
      </c>
      <c r="BD98" s="67">
        <v>4</v>
      </c>
      <c r="BE98" s="67">
        <v>7</v>
      </c>
      <c r="BF98" s="67">
        <v>7</v>
      </c>
      <c r="BG98" s="67">
        <v>0</v>
      </c>
      <c r="BH98" s="67">
        <v>1</v>
      </c>
      <c r="BI98" s="67">
        <v>0</v>
      </c>
      <c r="BJ98" s="67">
        <v>0</v>
      </c>
      <c r="BK98" s="67">
        <v>0</v>
      </c>
      <c r="BL98" s="67">
        <v>10</v>
      </c>
      <c r="BM98" s="67">
        <f t="shared" si="23"/>
        <v>29</v>
      </c>
      <c r="BN98" s="18">
        <f t="shared" si="24"/>
        <v>37</v>
      </c>
      <c r="BO98" s="18"/>
      <c r="BP98" s="18"/>
      <c r="BQ98" s="1"/>
    </row>
    <row r="99" spans="1:146" x14ac:dyDescent="0.25">
      <c r="A99" s="18" t="s">
        <v>6</v>
      </c>
      <c r="B99" s="18">
        <v>2024</v>
      </c>
      <c r="C99" s="18" t="s">
        <v>138</v>
      </c>
      <c r="D99" s="18" t="s">
        <v>134</v>
      </c>
      <c r="E99" s="18">
        <v>50</v>
      </c>
      <c r="F99" s="18">
        <v>40</v>
      </c>
      <c r="G99" s="18" t="s">
        <v>154</v>
      </c>
      <c r="H99" s="18"/>
      <c r="I99" s="18" t="s">
        <v>170</v>
      </c>
      <c r="J99" s="31">
        <v>5.5</v>
      </c>
      <c r="K99" s="31">
        <v>6</v>
      </c>
      <c r="L99" s="4">
        <v>0.5</v>
      </c>
      <c r="M99" s="5">
        <v>0.56000000000000005</v>
      </c>
      <c r="N99" s="31">
        <v>0.28000000000000003</v>
      </c>
      <c r="O99" s="18">
        <v>0.28000000000000003</v>
      </c>
      <c r="P99" s="18">
        <v>14</v>
      </c>
      <c r="Q99" s="18">
        <v>20</v>
      </c>
      <c r="R99" s="18">
        <v>0.21</v>
      </c>
      <c r="S99" s="18">
        <v>0</v>
      </c>
      <c r="T99" s="65">
        <v>0</v>
      </c>
      <c r="U99" s="18">
        <v>5</v>
      </c>
      <c r="V99" s="18"/>
      <c r="W99" s="18">
        <v>5</v>
      </c>
      <c r="X99" s="4">
        <v>42</v>
      </c>
      <c r="Y99" s="18">
        <v>0</v>
      </c>
      <c r="Z99" s="18" t="s">
        <v>96</v>
      </c>
      <c r="AA99" s="18" t="s">
        <v>333</v>
      </c>
      <c r="AB99" s="18" t="s">
        <v>337</v>
      </c>
      <c r="AC99" s="18">
        <v>20</v>
      </c>
      <c r="AD99" s="18">
        <v>14</v>
      </c>
      <c r="AE99" s="18" t="s">
        <v>29</v>
      </c>
      <c r="AF99" s="18"/>
      <c r="AG99" s="18" t="s">
        <v>29</v>
      </c>
      <c r="AH99" s="18">
        <v>30</v>
      </c>
      <c r="AI99" s="18" t="s">
        <v>29</v>
      </c>
      <c r="AJ99" s="18" t="s">
        <v>69</v>
      </c>
      <c r="AK99" s="18" t="s">
        <v>81</v>
      </c>
      <c r="AL99" s="18" t="s">
        <v>100</v>
      </c>
      <c r="AM99" s="18" t="s">
        <v>109</v>
      </c>
      <c r="AN99" s="18" t="s">
        <v>122</v>
      </c>
      <c r="AO99" s="18" t="s">
        <v>198</v>
      </c>
      <c r="AP99" s="18"/>
      <c r="AQ99" s="18"/>
      <c r="AR99" s="18">
        <v>0</v>
      </c>
      <c r="AS99" s="18">
        <v>0</v>
      </c>
      <c r="AT99" s="18">
        <v>0</v>
      </c>
      <c r="AU99" s="18">
        <v>1</v>
      </c>
      <c r="AV99" s="18">
        <v>0</v>
      </c>
      <c r="AW99" s="18">
        <v>1</v>
      </c>
      <c r="AX99" s="49">
        <f t="shared" si="20"/>
        <v>0</v>
      </c>
      <c r="AY99" s="49">
        <v>2</v>
      </c>
      <c r="AZ99" s="50">
        <v>4</v>
      </c>
      <c r="BA99" s="49">
        <v>1</v>
      </c>
      <c r="BB99" s="49">
        <v>15</v>
      </c>
      <c r="BC99" s="67">
        <v>1.5</v>
      </c>
      <c r="BD99" s="67">
        <v>2</v>
      </c>
      <c r="BE99" s="67">
        <v>5</v>
      </c>
      <c r="BF99" s="67">
        <v>0</v>
      </c>
      <c r="BG99" s="67">
        <v>0</v>
      </c>
      <c r="BH99" s="67">
        <v>1</v>
      </c>
      <c r="BI99" s="67">
        <v>0</v>
      </c>
      <c r="BJ99" s="67">
        <v>0</v>
      </c>
      <c r="BK99" s="67">
        <v>0</v>
      </c>
      <c r="BL99" s="67">
        <v>10</v>
      </c>
      <c r="BM99" s="67">
        <f t="shared" si="23"/>
        <v>18</v>
      </c>
      <c r="BN99" s="18">
        <f t="shared" si="24"/>
        <v>22</v>
      </c>
      <c r="BO99" s="18"/>
      <c r="BP99" s="18"/>
      <c r="BQ99" s="1"/>
    </row>
    <row r="100" spans="1:146" ht="15.75" thickBot="1" x14ac:dyDescent="0.3">
      <c r="A100" s="18" t="s">
        <v>6</v>
      </c>
      <c r="B100" s="18">
        <v>2024</v>
      </c>
      <c r="C100" s="18" t="s">
        <v>138</v>
      </c>
      <c r="D100" s="18" t="s">
        <v>134</v>
      </c>
      <c r="E100" s="18">
        <v>50</v>
      </c>
      <c r="F100" s="18">
        <v>40</v>
      </c>
      <c r="G100" s="18" t="s">
        <v>154</v>
      </c>
      <c r="H100" s="18"/>
      <c r="I100" s="18" t="s">
        <v>170</v>
      </c>
      <c r="J100" s="31">
        <v>6</v>
      </c>
      <c r="K100" s="31">
        <v>6.5</v>
      </c>
      <c r="L100" s="4">
        <v>0.5</v>
      </c>
      <c r="M100" s="5">
        <v>0.66</v>
      </c>
      <c r="N100" s="31">
        <v>0.33</v>
      </c>
      <c r="O100" s="18">
        <v>0.33</v>
      </c>
      <c r="P100" s="18">
        <v>16.5</v>
      </c>
      <c r="Q100" s="18">
        <v>20</v>
      </c>
      <c r="R100" s="18">
        <v>0.31</v>
      </c>
      <c r="S100" s="18">
        <v>0</v>
      </c>
      <c r="T100" s="65">
        <v>0</v>
      </c>
      <c r="U100" s="18">
        <v>4</v>
      </c>
      <c r="V100" s="18"/>
      <c r="W100" s="18">
        <v>4</v>
      </c>
      <c r="X100" s="4">
        <v>77.5</v>
      </c>
      <c r="Y100" s="18">
        <v>0</v>
      </c>
      <c r="Z100" s="18" t="s">
        <v>96</v>
      </c>
      <c r="AA100" s="18" t="s">
        <v>333</v>
      </c>
      <c r="AB100" s="18" t="s">
        <v>337</v>
      </c>
      <c r="AC100" s="18">
        <v>20</v>
      </c>
      <c r="AD100" s="18">
        <v>16.5</v>
      </c>
      <c r="AE100" s="18" t="s">
        <v>29</v>
      </c>
      <c r="AF100" s="18"/>
      <c r="AG100" s="18" t="s">
        <v>29</v>
      </c>
      <c r="AH100" s="18">
        <v>30</v>
      </c>
      <c r="AI100" s="18" t="s">
        <v>29</v>
      </c>
      <c r="AJ100" s="18" t="s">
        <v>69</v>
      </c>
      <c r="AK100" s="18" t="s">
        <v>81</v>
      </c>
      <c r="AL100" s="18" t="s">
        <v>100</v>
      </c>
      <c r="AM100" s="18" t="s">
        <v>109</v>
      </c>
      <c r="AN100" s="18" t="s">
        <v>122</v>
      </c>
      <c r="AO100" s="18" t="s">
        <v>198</v>
      </c>
      <c r="AP100" s="18"/>
      <c r="AQ100" s="18"/>
      <c r="AR100" s="18">
        <v>0</v>
      </c>
      <c r="AS100" s="18">
        <v>0</v>
      </c>
      <c r="AT100" s="18">
        <v>0</v>
      </c>
      <c r="AU100" s="18">
        <v>1</v>
      </c>
      <c r="AV100" s="18">
        <v>0</v>
      </c>
      <c r="AW100" s="18">
        <v>1</v>
      </c>
      <c r="AX100" s="49">
        <f t="shared" si="20"/>
        <v>0</v>
      </c>
      <c r="AY100" s="49">
        <v>2</v>
      </c>
      <c r="AZ100" s="50">
        <v>4</v>
      </c>
      <c r="BA100" s="49">
        <v>1</v>
      </c>
      <c r="BB100" s="49">
        <v>15</v>
      </c>
      <c r="BC100" s="67">
        <v>1.5</v>
      </c>
      <c r="BD100" s="67">
        <v>2</v>
      </c>
      <c r="BE100" s="67">
        <v>7</v>
      </c>
      <c r="BF100" s="67">
        <v>0</v>
      </c>
      <c r="BG100" s="67">
        <v>0</v>
      </c>
      <c r="BH100" s="67">
        <v>1</v>
      </c>
      <c r="BI100" s="67">
        <v>0</v>
      </c>
      <c r="BJ100" s="67">
        <v>0</v>
      </c>
      <c r="BK100" s="67">
        <v>0</v>
      </c>
      <c r="BL100" s="67">
        <v>10</v>
      </c>
      <c r="BM100" s="67">
        <f t="shared" si="23"/>
        <v>20</v>
      </c>
      <c r="BN100" s="18">
        <f t="shared" si="24"/>
        <v>22</v>
      </c>
      <c r="BO100" s="18"/>
      <c r="BP100" s="18"/>
      <c r="BQ100" s="1"/>
    </row>
    <row r="101" spans="1:146" x14ac:dyDescent="0.25">
      <c r="A101" s="18" t="s">
        <v>6</v>
      </c>
      <c r="B101" s="18">
        <v>2024</v>
      </c>
      <c r="C101" s="18" t="s">
        <v>138</v>
      </c>
      <c r="D101" s="18" t="s">
        <v>134</v>
      </c>
      <c r="E101" s="18">
        <v>50</v>
      </c>
      <c r="F101" s="18">
        <v>40</v>
      </c>
      <c r="G101" s="18" t="s">
        <v>154</v>
      </c>
      <c r="H101" s="18"/>
      <c r="I101" s="18" t="s">
        <v>170</v>
      </c>
      <c r="J101" s="31">
        <v>6.5</v>
      </c>
      <c r="K101" s="31">
        <v>7</v>
      </c>
      <c r="L101" s="4">
        <v>0.5</v>
      </c>
      <c r="M101" s="5">
        <v>0.6</v>
      </c>
      <c r="N101" s="31">
        <v>0.3</v>
      </c>
      <c r="O101" s="18">
        <v>0.3</v>
      </c>
      <c r="P101" s="18">
        <v>300</v>
      </c>
      <c r="Q101" s="18">
        <v>1</v>
      </c>
      <c r="R101" s="18">
        <v>0.24</v>
      </c>
      <c r="S101" s="18">
        <v>0.12</v>
      </c>
      <c r="T101" s="65">
        <v>24</v>
      </c>
      <c r="U101" s="18">
        <v>2</v>
      </c>
      <c r="V101" s="18"/>
      <c r="W101" s="18">
        <v>2</v>
      </c>
      <c r="X101" s="4">
        <v>120</v>
      </c>
      <c r="Y101" s="18">
        <v>0</v>
      </c>
      <c r="Z101" s="18" t="s">
        <v>96</v>
      </c>
      <c r="AA101" s="18" t="s">
        <v>116</v>
      </c>
      <c r="AB101" s="18" t="s">
        <v>337</v>
      </c>
      <c r="AC101" s="18">
        <v>1</v>
      </c>
      <c r="AD101" s="18">
        <v>300</v>
      </c>
      <c r="AE101" s="18" t="s">
        <v>29</v>
      </c>
      <c r="AF101" s="18"/>
      <c r="AG101" s="18" t="s">
        <v>29</v>
      </c>
      <c r="AH101" s="18">
        <v>30</v>
      </c>
      <c r="AI101" s="18" t="s">
        <v>29</v>
      </c>
      <c r="AJ101" s="18" t="s">
        <v>69</v>
      </c>
      <c r="AK101" s="18" t="s">
        <v>81</v>
      </c>
      <c r="AL101" s="18" t="s">
        <v>100</v>
      </c>
      <c r="AM101" s="18" t="s">
        <v>109</v>
      </c>
      <c r="AN101" s="18" t="s">
        <v>122</v>
      </c>
      <c r="AO101" s="18" t="s">
        <v>198</v>
      </c>
      <c r="AP101" s="18"/>
      <c r="AQ101" s="18"/>
      <c r="AR101" s="18">
        <v>0</v>
      </c>
      <c r="AS101" s="18">
        <v>0</v>
      </c>
      <c r="AT101" s="18">
        <v>0</v>
      </c>
      <c r="AU101" s="18">
        <v>1</v>
      </c>
      <c r="AV101" s="18">
        <v>0</v>
      </c>
      <c r="AW101" s="18">
        <v>1</v>
      </c>
      <c r="AX101" s="49">
        <f t="shared" si="20"/>
        <v>5</v>
      </c>
      <c r="AY101" s="49">
        <v>2</v>
      </c>
      <c r="AZ101" s="50">
        <v>10</v>
      </c>
      <c r="BA101" s="49">
        <v>1</v>
      </c>
      <c r="BB101" s="49">
        <v>15</v>
      </c>
      <c r="BC101" s="67">
        <v>13.5</v>
      </c>
      <c r="BD101" s="67">
        <v>2</v>
      </c>
      <c r="BE101" s="67">
        <v>9</v>
      </c>
      <c r="BF101" s="67">
        <v>5</v>
      </c>
      <c r="BG101" s="67">
        <v>0</v>
      </c>
      <c r="BH101" s="67">
        <v>1</v>
      </c>
      <c r="BI101" s="67">
        <v>0</v>
      </c>
      <c r="BJ101" s="67">
        <v>0</v>
      </c>
      <c r="BK101" s="67">
        <v>0</v>
      </c>
      <c r="BL101" s="67">
        <v>10</v>
      </c>
      <c r="BM101" s="67">
        <f t="shared" si="23"/>
        <v>27</v>
      </c>
      <c r="BN101" s="18">
        <f t="shared" si="24"/>
        <v>33</v>
      </c>
      <c r="BO101" s="18"/>
      <c r="BP101" s="18"/>
      <c r="BQ101" s="1"/>
      <c r="EJ101" s="96" t="s">
        <v>287</v>
      </c>
      <c r="EK101" s="96" t="s">
        <v>288</v>
      </c>
      <c r="EL101" s="96" t="s">
        <v>582</v>
      </c>
      <c r="EM101" s="96" t="s">
        <v>287</v>
      </c>
      <c r="EN101" s="96" t="s">
        <v>288</v>
      </c>
      <c r="EO101" s="96" t="s">
        <v>582</v>
      </c>
      <c r="EP101" s="39" t="s">
        <v>583</v>
      </c>
    </row>
    <row r="102" spans="1:146" x14ac:dyDescent="0.25">
      <c r="A102" s="18" t="s">
        <v>6</v>
      </c>
      <c r="B102" s="18">
        <v>2024</v>
      </c>
      <c r="C102" s="18" t="s">
        <v>138</v>
      </c>
      <c r="D102" s="18" t="s">
        <v>134</v>
      </c>
      <c r="E102" s="18">
        <v>50</v>
      </c>
      <c r="F102" s="18">
        <v>40</v>
      </c>
      <c r="G102" s="18" t="s">
        <v>154</v>
      </c>
      <c r="H102" s="18"/>
      <c r="I102" s="18" t="s">
        <v>170</v>
      </c>
      <c r="J102" s="31">
        <v>7</v>
      </c>
      <c r="K102" s="31">
        <v>7.5</v>
      </c>
      <c r="L102" s="4">
        <v>0.5</v>
      </c>
      <c r="M102" s="5">
        <v>0.64</v>
      </c>
      <c r="N102" s="31">
        <v>0.32</v>
      </c>
      <c r="O102" s="18">
        <v>0.32</v>
      </c>
      <c r="P102" s="18">
        <v>64</v>
      </c>
      <c r="Q102" s="18">
        <v>5</v>
      </c>
      <c r="R102" s="18">
        <v>0.2</v>
      </c>
      <c r="S102" s="18">
        <v>0.11</v>
      </c>
      <c r="T102" s="65">
        <v>22</v>
      </c>
      <c r="U102" s="18">
        <v>3</v>
      </c>
      <c r="V102" s="18"/>
      <c r="W102" s="18">
        <v>3</v>
      </c>
      <c r="X102" s="4">
        <v>66.666666666666671</v>
      </c>
      <c r="Y102" s="18">
        <v>0</v>
      </c>
      <c r="Z102" s="18" t="s">
        <v>96</v>
      </c>
      <c r="AA102" s="18" t="s">
        <v>118</v>
      </c>
      <c r="AB102" s="18" t="s">
        <v>334</v>
      </c>
      <c r="AC102" s="18">
        <v>5</v>
      </c>
      <c r="AD102" s="18">
        <v>64</v>
      </c>
      <c r="AE102" s="18" t="s">
        <v>27</v>
      </c>
      <c r="AF102" s="18"/>
      <c r="AG102" s="18" t="s">
        <v>27</v>
      </c>
      <c r="AH102" s="18">
        <v>59</v>
      </c>
      <c r="AI102" s="18"/>
      <c r="AJ102" s="18" t="s">
        <v>69</v>
      </c>
      <c r="AK102" s="18" t="s">
        <v>81</v>
      </c>
      <c r="AL102" s="18" t="s">
        <v>100</v>
      </c>
      <c r="AM102" s="18" t="s">
        <v>109</v>
      </c>
      <c r="AN102" s="18" t="s">
        <v>122</v>
      </c>
      <c r="AO102" s="18" t="s">
        <v>198</v>
      </c>
      <c r="AP102" s="18"/>
      <c r="AQ102" s="18"/>
      <c r="AR102" s="18">
        <v>0</v>
      </c>
      <c r="AS102" s="18">
        <v>0</v>
      </c>
      <c r="AT102" s="18">
        <v>0</v>
      </c>
      <c r="AU102" s="18">
        <v>1</v>
      </c>
      <c r="AV102" s="18">
        <v>0</v>
      </c>
      <c r="AW102" s="18">
        <v>1</v>
      </c>
      <c r="AX102" s="49">
        <f t="shared" si="20"/>
        <v>5</v>
      </c>
      <c r="AY102" s="49">
        <v>4</v>
      </c>
      <c r="AZ102" s="50">
        <v>6</v>
      </c>
      <c r="BA102" s="49">
        <v>1</v>
      </c>
      <c r="BB102" s="49">
        <v>15</v>
      </c>
      <c r="BC102" s="67">
        <v>12.5</v>
      </c>
      <c r="BD102" s="67">
        <v>4</v>
      </c>
      <c r="BE102" s="67">
        <v>6</v>
      </c>
      <c r="BF102" s="67">
        <v>5</v>
      </c>
      <c r="BG102" s="67">
        <v>0</v>
      </c>
      <c r="BH102" s="67">
        <v>1</v>
      </c>
      <c r="BI102" s="67">
        <v>0</v>
      </c>
      <c r="BJ102" s="67">
        <v>0</v>
      </c>
      <c r="BK102" s="67">
        <v>0</v>
      </c>
      <c r="BL102" s="67">
        <v>10</v>
      </c>
      <c r="BM102" s="67">
        <f t="shared" si="23"/>
        <v>26</v>
      </c>
      <c r="BN102" s="18">
        <f t="shared" si="24"/>
        <v>31</v>
      </c>
      <c r="BO102" s="18"/>
      <c r="BP102" s="18"/>
      <c r="BQ102" s="1"/>
      <c r="EI102" t="s">
        <v>587</v>
      </c>
      <c r="EJ102">
        <v>20</v>
      </c>
      <c r="EK102">
        <v>23</v>
      </c>
      <c r="EL102" s="55">
        <v>0.15436241610738255</v>
      </c>
      <c r="EM102">
        <v>40</v>
      </c>
      <c r="EN102">
        <v>106</v>
      </c>
      <c r="EO102" s="55">
        <v>0.71140939597315433</v>
      </c>
      <c r="EP102" s="42">
        <f>+EK102/$EK$107</f>
        <v>0.15436241610738255</v>
      </c>
    </row>
    <row r="103" spans="1:146" x14ac:dyDescent="0.25">
      <c r="A103" s="18" t="s">
        <v>6</v>
      </c>
      <c r="B103" s="18">
        <v>2024</v>
      </c>
      <c r="C103" s="18" t="s">
        <v>138</v>
      </c>
      <c r="D103" s="18" t="s">
        <v>134</v>
      </c>
      <c r="E103" s="18">
        <v>50</v>
      </c>
      <c r="F103" s="18">
        <v>40</v>
      </c>
      <c r="G103" s="18" t="s">
        <v>154</v>
      </c>
      <c r="H103" s="18"/>
      <c r="I103" s="18" t="s">
        <v>170</v>
      </c>
      <c r="J103" s="31">
        <v>7.5</v>
      </c>
      <c r="K103" s="31">
        <v>8</v>
      </c>
      <c r="L103" s="4">
        <v>0.5</v>
      </c>
      <c r="M103" s="5">
        <v>0.44</v>
      </c>
      <c r="N103" s="31">
        <v>0.22</v>
      </c>
      <c r="O103" s="18">
        <v>0.22</v>
      </c>
      <c r="P103" s="18">
        <v>11</v>
      </c>
      <c r="Q103" s="18">
        <v>20</v>
      </c>
      <c r="R103" s="18">
        <v>0.13</v>
      </c>
      <c r="S103" s="18">
        <v>0</v>
      </c>
      <c r="T103" s="65">
        <v>0</v>
      </c>
      <c r="U103" s="18">
        <v>3</v>
      </c>
      <c r="V103" s="18"/>
      <c r="W103" s="18">
        <v>3</v>
      </c>
      <c r="X103" s="4">
        <v>43.333333333333336</v>
      </c>
      <c r="Y103" s="18">
        <v>0</v>
      </c>
      <c r="Z103" s="18" t="s">
        <v>96</v>
      </c>
      <c r="AA103" s="18" t="s">
        <v>333</v>
      </c>
      <c r="AB103" s="18" t="s">
        <v>334</v>
      </c>
      <c r="AC103" s="18">
        <v>20</v>
      </c>
      <c r="AD103" s="18">
        <v>11</v>
      </c>
      <c r="AE103" s="18" t="s">
        <v>27</v>
      </c>
      <c r="AF103" s="18"/>
      <c r="AG103" s="18" t="s">
        <v>27</v>
      </c>
      <c r="AH103" s="18">
        <v>59</v>
      </c>
      <c r="AI103" s="18"/>
      <c r="AJ103" s="18" t="s">
        <v>69</v>
      </c>
      <c r="AK103" s="18" t="s">
        <v>81</v>
      </c>
      <c r="AL103" s="18" t="s">
        <v>100</v>
      </c>
      <c r="AM103" s="18" t="s">
        <v>109</v>
      </c>
      <c r="AN103" s="18" t="s">
        <v>122</v>
      </c>
      <c r="AO103" s="18" t="s">
        <v>198</v>
      </c>
      <c r="AP103" s="18"/>
      <c r="AQ103" s="18"/>
      <c r="AR103" s="18">
        <v>0</v>
      </c>
      <c r="AS103" s="18">
        <v>0</v>
      </c>
      <c r="AT103" s="18">
        <v>0</v>
      </c>
      <c r="AU103" s="18">
        <v>1</v>
      </c>
      <c r="AV103" s="18">
        <v>0</v>
      </c>
      <c r="AW103" s="18">
        <v>1</v>
      </c>
      <c r="AX103" s="49">
        <f t="shared" si="20"/>
        <v>0</v>
      </c>
      <c r="AY103" s="49">
        <v>4</v>
      </c>
      <c r="AZ103" s="50">
        <v>3</v>
      </c>
      <c r="BA103" s="49">
        <v>1</v>
      </c>
      <c r="BB103" s="49">
        <v>15</v>
      </c>
      <c r="BC103" s="67">
        <v>1.5</v>
      </c>
      <c r="BD103" s="67">
        <v>4</v>
      </c>
      <c r="BE103" s="67">
        <v>5</v>
      </c>
      <c r="BF103" s="67">
        <v>0</v>
      </c>
      <c r="BG103" s="67">
        <v>0</v>
      </c>
      <c r="BH103" s="67">
        <v>1</v>
      </c>
      <c r="BI103" s="67">
        <v>0</v>
      </c>
      <c r="BJ103" s="67">
        <v>0</v>
      </c>
      <c r="BK103" s="67">
        <v>0</v>
      </c>
      <c r="BL103" s="67">
        <v>10</v>
      </c>
      <c r="BM103" s="67">
        <f t="shared" si="23"/>
        <v>20</v>
      </c>
      <c r="BN103" s="18">
        <f t="shared" si="24"/>
        <v>23</v>
      </c>
      <c r="BO103" s="18"/>
      <c r="BP103" s="18"/>
      <c r="BQ103" s="1"/>
      <c r="EI103" t="s">
        <v>588</v>
      </c>
      <c r="EJ103">
        <v>40</v>
      </c>
      <c r="EK103">
        <v>106</v>
      </c>
      <c r="EL103" s="55">
        <v>0.86577181208053688</v>
      </c>
      <c r="EM103">
        <v>20</v>
      </c>
      <c r="EN103">
        <v>23</v>
      </c>
      <c r="EO103" s="55">
        <v>0.86577181208053688</v>
      </c>
      <c r="EP103" s="42">
        <f t="shared" ref="EP103:EP106" si="25">+EK103/$EK$107</f>
        <v>0.71140939597315433</v>
      </c>
    </row>
    <row r="104" spans="1:146" x14ac:dyDescent="0.25">
      <c r="A104" s="18" t="s">
        <v>6</v>
      </c>
      <c r="B104" s="18">
        <v>2024</v>
      </c>
      <c r="C104" s="18" t="s">
        <v>138</v>
      </c>
      <c r="D104" s="18" t="s">
        <v>134</v>
      </c>
      <c r="E104" s="18">
        <v>50</v>
      </c>
      <c r="F104" s="18">
        <v>40</v>
      </c>
      <c r="G104" s="18" t="s">
        <v>154</v>
      </c>
      <c r="H104" s="18"/>
      <c r="I104" s="18" t="s">
        <v>170</v>
      </c>
      <c r="J104" s="31">
        <v>8</v>
      </c>
      <c r="K104" s="31">
        <v>8.5</v>
      </c>
      <c r="L104" s="4">
        <v>0.5</v>
      </c>
      <c r="M104" s="5">
        <v>0.82</v>
      </c>
      <c r="N104" s="31">
        <v>0.41</v>
      </c>
      <c r="O104" s="18">
        <v>0.41</v>
      </c>
      <c r="P104" s="18">
        <v>410</v>
      </c>
      <c r="Q104" s="18">
        <v>1</v>
      </c>
      <c r="R104" s="18">
        <v>0.28000000000000003</v>
      </c>
      <c r="S104" s="18">
        <v>0.2</v>
      </c>
      <c r="T104" s="65">
        <v>40</v>
      </c>
      <c r="U104" s="18">
        <v>3</v>
      </c>
      <c r="V104" s="18"/>
      <c r="W104" s="18">
        <v>3</v>
      </c>
      <c r="X104" s="4">
        <v>93.333333333333329</v>
      </c>
      <c r="Y104" s="18">
        <v>0</v>
      </c>
      <c r="Z104" s="18" t="s">
        <v>92</v>
      </c>
      <c r="AA104" s="18" t="s">
        <v>116</v>
      </c>
      <c r="AB104" s="18" t="s">
        <v>334</v>
      </c>
      <c r="AC104" s="18">
        <v>1</v>
      </c>
      <c r="AD104" s="18">
        <v>410</v>
      </c>
      <c r="AE104" s="18" t="s">
        <v>27</v>
      </c>
      <c r="AF104" s="18"/>
      <c r="AG104" s="18" t="s">
        <v>27</v>
      </c>
      <c r="AH104" s="18">
        <v>59</v>
      </c>
      <c r="AI104" s="18"/>
      <c r="AJ104" s="18" t="s">
        <v>69</v>
      </c>
      <c r="AK104" s="18" t="s">
        <v>81</v>
      </c>
      <c r="AL104" s="18" t="s">
        <v>100</v>
      </c>
      <c r="AM104" s="18" t="s">
        <v>109</v>
      </c>
      <c r="AN104" s="18" t="s">
        <v>122</v>
      </c>
      <c r="AO104" s="18" t="s">
        <v>198</v>
      </c>
      <c r="AP104" s="18"/>
      <c r="AQ104" s="18"/>
      <c r="AR104" s="18">
        <v>0</v>
      </c>
      <c r="AS104" s="18">
        <v>0</v>
      </c>
      <c r="AT104" s="18">
        <v>0</v>
      </c>
      <c r="AU104" s="18">
        <v>1</v>
      </c>
      <c r="AV104" s="18">
        <v>0</v>
      </c>
      <c r="AW104" s="18">
        <v>1</v>
      </c>
      <c r="AX104" s="49">
        <f t="shared" si="20"/>
        <v>8</v>
      </c>
      <c r="AY104" s="49">
        <v>4</v>
      </c>
      <c r="AZ104" s="50">
        <v>12</v>
      </c>
      <c r="BA104" s="49">
        <v>1</v>
      </c>
      <c r="BB104" s="49">
        <v>15</v>
      </c>
      <c r="BC104" s="67">
        <v>21.5</v>
      </c>
      <c r="BD104" s="67">
        <v>4</v>
      </c>
      <c r="BE104" s="67">
        <v>8</v>
      </c>
      <c r="BF104" s="67">
        <v>8</v>
      </c>
      <c r="BG104" s="67">
        <v>0</v>
      </c>
      <c r="BH104" s="67">
        <v>1</v>
      </c>
      <c r="BI104" s="67">
        <v>0</v>
      </c>
      <c r="BJ104" s="67">
        <v>0</v>
      </c>
      <c r="BK104" s="67">
        <v>0</v>
      </c>
      <c r="BL104" s="67">
        <v>10</v>
      </c>
      <c r="BM104" s="67">
        <f t="shared" si="23"/>
        <v>31</v>
      </c>
      <c r="BN104" s="18">
        <f t="shared" si="24"/>
        <v>40</v>
      </c>
      <c r="BO104" s="18"/>
      <c r="BP104" s="18"/>
      <c r="BQ104" s="1"/>
      <c r="EI104" t="s">
        <v>589</v>
      </c>
      <c r="EJ104">
        <v>60</v>
      </c>
      <c r="EK104">
        <v>20</v>
      </c>
      <c r="EL104" s="55">
        <v>1</v>
      </c>
      <c r="EM104">
        <v>60</v>
      </c>
      <c r="EN104">
        <v>20</v>
      </c>
      <c r="EO104" s="55">
        <v>1</v>
      </c>
      <c r="EP104" s="42">
        <f t="shared" si="25"/>
        <v>0.13422818791946309</v>
      </c>
    </row>
    <row r="105" spans="1:146" x14ac:dyDescent="0.25">
      <c r="A105" s="18" t="s">
        <v>6</v>
      </c>
      <c r="B105" s="18">
        <v>2024</v>
      </c>
      <c r="C105" s="18" t="s">
        <v>138</v>
      </c>
      <c r="D105" s="18" t="s">
        <v>266</v>
      </c>
      <c r="E105" s="18">
        <v>40</v>
      </c>
      <c r="F105" s="18">
        <v>40</v>
      </c>
      <c r="G105" s="18" t="s">
        <v>153</v>
      </c>
      <c r="H105" s="18"/>
      <c r="I105" s="18" t="s">
        <v>297</v>
      </c>
      <c r="J105" s="31">
        <v>2</v>
      </c>
      <c r="K105" s="31">
        <v>2.5</v>
      </c>
      <c r="L105" s="4">
        <v>0.5</v>
      </c>
      <c r="M105" s="32">
        <v>0.38</v>
      </c>
      <c r="N105" s="31">
        <v>0.19</v>
      </c>
      <c r="O105" s="18">
        <v>0.19</v>
      </c>
      <c r="P105" s="18">
        <v>9.5</v>
      </c>
      <c r="Q105" s="18">
        <v>20</v>
      </c>
      <c r="R105" s="18">
        <v>0.18</v>
      </c>
      <c r="S105" s="18">
        <v>0</v>
      </c>
      <c r="T105" s="94">
        <v>0</v>
      </c>
      <c r="U105" s="18">
        <v>3</v>
      </c>
      <c r="V105" s="18"/>
      <c r="W105" s="18">
        <v>3</v>
      </c>
      <c r="X105" s="4">
        <v>60</v>
      </c>
      <c r="Y105" s="18">
        <v>0</v>
      </c>
      <c r="Z105" s="18" t="s">
        <v>330</v>
      </c>
      <c r="AA105" s="18" t="s">
        <v>333</v>
      </c>
      <c r="AB105" s="18" t="s">
        <v>335</v>
      </c>
      <c r="AC105" s="18">
        <v>20</v>
      </c>
      <c r="AD105" s="18">
        <v>9.5</v>
      </c>
      <c r="AE105" s="18" t="s">
        <v>34</v>
      </c>
      <c r="AF105" s="18" t="s">
        <v>27</v>
      </c>
      <c r="AG105" s="18" t="s">
        <v>27</v>
      </c>
      <c r="AH105" s="18">
        <v>59</v>
      </c>
      <c r="AI105" s="18"/>
      <c r="AJ105" s="18" t="s">
        <v>66</v>
      </c>
      <c r="AK105" s="18" t="s">
        <v>81</v>
      </c>
      <c r="AL105" s="18" t="s">
        <v>100</v>
      </c>
      <c r="AM105" s="18" t="s">
        <v>109</v>
      </c>
      <c r="AN105" s="18" t="s">
        <v>120</v>
      </c>
      <c r="AO105" s="18" t="s">
        <v>267</v>
      </c>
      <c r="AP105" s="18"/>
      <c r="AQ105" s="18"/>
      <c r="AR105" s="18">
        <v>1</v>
      </c>
      <c r="AS105" s="36">
        <v>0</v>
      </c>
      <c r="AT105" s="36">
        <v>0</v>
      </c>
      <c r="AU105" s="36">
        <v>1</v>
      </c>
      <c r="AV105" s="36">
        <v>2</v>
      </c>
      <c r="AW105" s="36">
        <v>4</v>
      </c>
      <c r="AX105" s="49">
        <f t="shared" si="20"/>
        <v>0</v>
      </c>
      <c r="AY105" s="18">
        <v>0</v>
      </c>
      <c r="AZ105" s="36">
        <v>3</v>
      </c>
      <c r="BA105" s="18">
        <v>4</v>
      </c>
      <c r="BB105" s="18">
        <v>15</v>
      </c>
      <c r="BC105" s="4">
        <v>6</v>
      </c>
      <c r="BD105" s="67">
        <v>0</v>
      </c>
      <c r="BE105" s="67">
        <v>5</v>
      </c>
      <c r="BF105" s="67">
        <v>0</v>
      </c>
      <c r="BG105" s="67">
        <v>0</v>
      </c>
      <c r="BH105" s="67">
        <v>1</v>
      </c>
      <c r="BI105" s="67">
        <v>2</v>
      </c>
      <c r="BJ105" s="67">
        <v>0</v>
      </c>
      <c r="BK105" s="67">
        <v>1</v>
      </c>
      <c r="BL105" s="67">
        <v>10</v>
      </c>
      <c r="BM105" s="67">
        <f t="shared" si="23"/>
        <v>19</v>
      </c>
      <c r="BN105" s="18">
        <f t="shared" si="24"/>
        <v>22</v>
      </c>
      <c r="BO105" s="18"/>
      <c r="BP105" s="18"/>
      <c r="BQ105" s="1"/>
      <c r="EI105" t="s">
        <v>590</v>
      </c>
      <c r="EJ105">
        <v>80</v>
      </c>
      <c r="EK105">
        <v>0</v>
      </c>
      <c r="EL105" s="55">
        <v>1</v>
      </c>
      <c r="EM105">
        <v>80</v>
      </c>
      <c r="EN105">
        <v>0</v>
      </c>
      <c r="EO105" s="55">
        <v>1</v>
      </c>
      <c r="EP105" s="42">
        <f t="shared" si="25"/>
        <v>0</v>
      </c>
    </row>
    <row r="106" spans="1:146" ht="15.75" thickBot="1" x14ac:dyDescent="0.3">
      <c r="A106" s="18" t="s">
        <v>6</v>
      </c>
      <c r="B106" s="18">
        <v>2024</v>
      </c>
      <c r="C106" s="18" t="s">
        <v>138</v>
      </c>
      <c r="D106" s="18" t="s">
        <v>266</v>
      </c>
      <c r="E106" s="18">
        <v>40</v>
      </c>
      <c r="F106" s="18">
        <v>40</v>
      </c>
      <c r="G106" s="18" t="s">
        <v>153</v>
      </c>
      <c r="H106" s="18"/>
      <c r="I106" s="18" t="s">
        <v>297</v>
      </c>
      <c r="J106" s="31">
        <v>2.5</v>
      </c>
      <c r="K106" s="31">
        <v>3</v>
      </c>
      <c r="L106" s="4">
        <v>0.5</v>
      </c>
      <c r="M106" s="32">
        <v>0.24</v>
      </c>
      <c r="N106" s="31">
        <v>0.12</v>
      </c>
      <c r="O106" s="18">
        <v>0.12</v>
      </c>
      <c r="P106" s="18">
        <v>6</v>
      </c>
      <c r="Q106" s="18">
        <v>20</v>
      </c>
      <c r="R106" s="18">
        <v>0.13</v>
      </c>
      <c r="S106" s="18">
        <v>0</v>
      </c>
      <c r="T106" s="94">
        <v>0</v>
      </c>
      <c r="U106" s="18">
        <v>4</v>
      </c>
      <c r="V106" s="18"/>
      <c r="W106" s="18">
        <v>4</v>
      </c>
      <c r="X106" s="4">
        <v>32.5</v>
      </c>
      <c r="Y106" s="18">
        <v>0</v>
      </c>
      <c r="Z106" s="18" t="s">
        <v>330</v>
      </c>
      <c r="AA106" s="18" t="s">
        <v>333</v>
      </c>
      <c r="AB106" s="18" t="s">
        <v>335</v>
      </c>
      <c r="AC106" s="18">
        <v>20</v>
      </c>
      <c r="AD106" s="18">
        <v>6</v>
      </c>
      <c r="AE106" s="18" t="s">
        <v>34</v>
      </c>
      <c r="AF106" s="18" t="s">
        <v>27</v>
      </c>
      <c r="AG106" s="18" t="s">
        <v>27</v>
      </c>
      <c r="AH106" s="18">
        <v>59</v>
      </c>
      <c r="AI106" s="18"/>
      <c r="AJ106" s="18" t="s">
        <v>66</v>
      </c>
      <c r="AK106" s="18" t="s">
        <v>81</v>
      </c>
      <c r="AL106" s="18" t="s">
        <v>96</v>
      </c>
      <c r="AM106" s="18" t="s">
        <v>107</v>
      </c>
      <c r="AN106" s="18" t="s">
        <v>120</v>
      </c>
      <c r="AO106" s="18" t="s">
        <v>267</v>
      </c>
      <c r="AP106" s="18"/>
      <c r="AQ106" s="18"/>
      <c r="AR106" s="18">
        <v>1</v>
      </c>
      <c r="AS106" s="36">
        <v>0</v>
      </c>
      <c r="AT106" s="36">
        <v>1</v>
      </c>
      <c r="AU106" s="36">
        <v>3</v>
      </c>
      <c r="AV106" s="36">
        <v>2</v>
      </c>
      <c r="AW106" s="36">
        <v>7</v>
      </c>
      <c r="AX106" s="49">
        <f t="shared" si="20"/>
        <v>0</v>
      </c>
      <c r="AY106" s="18">
        <v>0</v>
      </c>
      <c r="AZ106" s="36">
        <v>3</v>
      </c>
      <c r="BA106" s="18">
        <v>7</v>
      </c>
      <c r="BB106" s="18">
        <v>15</v>
      </c>
      <c r="BC106" s="4">
        <v>10.5</v>
      </c>
      <c r="BD106" s="67">
        <v>0</v>
      </c>
      <c r="BE106" s="67">
        <v>5</v>
      </c>
      <c r="BF106" s="67">
        <v>0</v>
      </c>
      <c r="BG106" s="67">
        <v>1</v>
      </c>
      <c r="BH106" s="67">
        <v>3</v>
      </c>
      <c r="BI106" s="67">
        <v>2</v>
      </c>
      <c r="BJ106" s="67">
        <v>0</v>
      </c>
      <c r="BK106" s="67">
        <v>1</v>
      </c>
      <c r="BL106" s="67">
        <v>10</v>
      </c>
      <c r="BM106" s="67">
        <f t="shared" si="23"/>
        <v>22</v>
      </c>
      <c r="BN106" s="18">
        <f t="shared" si="24"/>
        <v>25</v>
      </c>
      <c r="BO106" s="18"/>
      <c r="BP106" s="18"/>
      <c r="BQ106" s="1"/>
      <c r="EI106" t="s">
        <v>591</v>
      </c>
      <c r="EJ106" s="57" t="s">
        <v>581</v>
      </c>
      <c r="EK106" s="57">
        <v>0</v>
      </c>
      <c r="EL106" s="95">
        <v>1</v>
      </c>
      <c r="EM106" s="57" t="s">
        <v>581</v>
      </c>
      <c r="EN106" s="57">
        <v>0</v>
      </c>
      <c r="EO106" s="95">
        <v>1</v>
      </c>
      <c r="EP106" s="42">
        <f t="shared" si="25"/>
        <v>0</v>
      </c>
    </row>
    <row r="107" spans="1:146" x14ac:dyDescent="0.25">
      <c r="A107" s="18" t="s">
        <v>6</v>
      </c>
      <c r="B107" s="18">
        <v>2024</v>
      </c>
      <c r="C107" s="18" t="s">
        <v>138</v>
      </c>
      <c r="D107" s="18" t="s">
        <v>266</v>
      </c>
      <c r="E107" s="18">
        <v>40</v>
      </c>
      <c r="F107" s="18">
        <v>40</v>
      </c>
      <c r="G107" s="18" t="s">
        <v>153</v>
      </c>
      <c r="H107" s="18"/>
      <c r="I107" s="18" t="s">
        <v>297</v>
      </c>
      <c r="J107" s="31">
        <v>3</v>
      </c>
      <c r="K107" s="31">
        <v>3.5</v>
      </c>
      <c r="L107" s="4">
        <v>0.5</v>
      </c>
      <c r="M107" s="32">
        <v>0.2</v>
      </c>
      <c r="N107" s="31">
        <v>0.1</v>
      </c>
      <c r="O107" s="18">
        <v>0.1</v>
      </c>
      <c r="P107" s="18">
        <v>5</v>
      </c>
      <c r="Q107" s="18">
        <v>20</v>
      </c>
      <c r="R107" s="18">
        <v>0.11</v>
      </c>
      <c r="S107" s="18">
        <v>0</v>
      </c>
      <c r="T107" s="94">
        <v>0</v>
      </c>
      <c r="U107" s="18">
        <v>3</v>
      </c>
      <c r="V107" s="18"/>
      <c r="W107" s="18">
        <v>3</v>
      </c>
      <c r="X107" s="4">
        <v>36.666666666666664</v>
      </c>
      <c r="Y107" s="18">
        <v>0</v>
      </c>
      <c r="Z107" s="18" t="s">
        <v>330</v>
      </c>
      <c r="AA107" s="18" t="s">
        <v>333</v>
      </c>
      <c r="AB107" s="18" t="s">
        <v>335</v>
      </c>
      <c r="AC107" s="18">
        <v>20</v>
      </c>
      <c r="AD107" s="18">
        <v>5</v>
      </c>
      <c r="AE107" s="18" t="s">
        <v>34</v>
      </c>
      <c r="AF107" s="18" t="s">
        <v>27</v>
      </c>
      <c r="AG107" s="18" t="s">
        <v>27</v>
      </c>
      <c r="AH107" s="18">
        <v>59</v>
      </c>
      <c r="AI107" s="18"/>
      <c r="AJ107" s="18" t="s">
        <v>66</v>
      </c>
      <c r="AK107" s="18" t="s">
        <v>81</v>
      </c>
      <c r="AL107" s="18" t="s">
        <v>96</v>
      </c>
      <c r="AM107" s="18" t="s">
        <v>107</v>
      </c>
      <c r="AN107" s="18" t="s">
        <v>120</v>
      </c>
      <c r="AO107" s="18" t="s">
        <v>267</v>
      </c>
      <c r="AP107" s="18"/>
      <c r="AQ107" s="18"/>
      <c r="AR107" s="18">
        <v>1</v>
      </c>
      <c r="AS107" s="36">
        <v>0</v>
      </c>
      <c r="AT107" s="36">
        <v>1</v>
      </c>
      <c r="AU107" s="36">
        <v>3</v>
      </c>
      <c r="AV107" s="36">
        <v>2</v>
      </c>
      <c r="AW107" s="36">
        <v>7</v>
      </c>
      <c r="AX107" s="49">
        <f t="shared" si="20"/>
        <v>0</v>
      </c>
      <c r="AY107" s="18">
        <v>0</v>
      </c>
      <c r="AZ107" s="36">
        <v>3</v>
      </c>
      <c r="BA107" s="18">
        <v>7</v>
      </c>
      <c r="BB107" s="18">
        <v>15</v>
      </c>
      <c r="BC107" s="4">
        <v>10.5</v>
      </c>
      <c r="BD107" s="67">
        <v>0</v>
      </c>
      <c r="BE107" s="67">
        <v>5</v>
      </c>
      <c r="BF107" s="67">
        <v>0</v>
      </c>
      <c r="BG107" s="67">
        <v>1</v>
      </c>
      <c r="BH107" s="67">
        <v>3</v>
      </c>
      <c r="BI107" s="67">
        <v>2</v>
      </c>
      <c r="BJ107" s="67">
        <v>0</v>
      </c>
      <c r="BK107" s="67">
        <v>1</v>
      </c>
      <c r="BL107" s="67">
        <v>10</v>
      </c>
      <c r="BM107" s="67">
        <f t="shared" si="23"/>
        <v>22</v>
      </c>
      <c r="BN107" s="18">
        <f t="shared" si="24"/>
        <v>25</v>
      </c>
      <c r="BO107" s="18"/>
      <c r="BP107" s="18"/>
      <c r="BQ107" s="1"/>
      <c r="EK107">
        <f>+SUM(EK102:EK106)</f>
        <v>149</v>
      </c>
    </row>
    <row r="108" spans="1:146" x14ac:dyDescent="0.25">
      <c r="A108" s="18" t="s">
        <v>6</v>
      </c>
      <c r="B108" s="18">
        <v>2024</v>
      </c>
      <c r="C108" s="18" t="s">
        <v>138</v>
      </c>
      <c r="D108" s="18" t="s">
        <v>266</v>
      </c>
      <c r="E108" s="18">
        <v>40</v>
      </c>
      <c r="F108" s="18">
        <v>40</v>
      </c>
      <c r="G108" s="18" t="s">
        <v>153</v>
      </c>
      <c r="H108" s="18"/>
      <c r="I108" s="18" t="s">
        <v>297</v>
      </c>
      <c r="J108" s="31">
        <v>3.5</v>
      </c>
      <c r="K108" s="31">
        <v>4</v>
      </c>
      <c r="L108" s="4">
        <v>0.5</v>
      </c>
      <c r="M108" s="32">
        <v>0.2</v>
      </c>
      <c r="N108" s="31">
        <v>0.1</v>
      </c>
      <c r="O108" s="18">
        <v>0.1</v>
      </c>
      <c r="P108" s="18">
        <v>5</v>
      </c>
      <c r="Q108" s="18">
        <v>20</v>
      </c>
      <c r="R108" s="18">
        <v>0.11</v>
      </c>
      <c r="S108" s="18">
        <v>0</v>
      </c>
      <c r="T108" s="94">
        <v>0</v>
      </c>
      <c r="U108" s="18">
        <v>3</v>
      </c>
      <c r="V108" s="18"/>
      <c r="W108" s="18">
        <v>3</v>
      </c>
      <c r="X108" s="4">
        <v>36.666666666666664</v>
      </c>
      <c r="Y108" s="18">
        <v>0</v>
      </c>
      <c r="Z108" s="18" t="s">
        <v>330</v>
      </c>
      <c r="AA108" s="18" t="s">
        <v>333</v>
      </c>
      <c r="AB108" s="18" t="s">
        <v>335</v>
      </c>
      <c r="AC108" s="18">
        <v>20</v>
      </c>
      <c r="AD108" s="18">
        <v>5</v>
      </c>
      <c r="AE108" s="18" t="s">
        <v>34</v>
      </c>
      <c r="AF108" s="18" t="s">
        <v>24</v>
      </c>
      <c r="AG108" s="18" t="s">
        <v>24</v>
      </c>
      <c r="AH108" s="18">
        <v>59</v>
      </c>
      <c r="AI108" s="18"/>
      <c r="AJ108" s="18" t="s">
        <v>64</v>
      </c>
      <c r="AK108" s="18" t="s">
        <v>79</v>
      </c>
      <c r="AL108" s="18" t="s">
        <v>96</v>
      </c>
      <c r="AM108" s="18" t="s">
        <v>107</v>
      </c>
      <c r="AN108" s="18" t="s">
        <v>118</v>
      </c>
      <c r="AO108" s="18" t="s">
        <v>267</v>
      </c>
      <c r="AP108" s="18"/>
      <c r="AQ108" s="18"/>
      <c r="AR108" s="18">
        <v>2</v>
      </c>
      <c r="AS108" s="36">
        <v>1</v>
      </c>
      <c r="AT108" s="36">
        <v>1</v>
      </c>
      <c r="AU108" s="36">
        <v>3</v>
      </c>
      <c r="AV108" s="36">
        <v>2</v>
      </c>
      <c r="AW108" s="36">
        <v>9</v>
      </c>
      <c r="AX108" s="49">
        <f t="shared" si="20"/>
        <v>0</v>
      </c>
      <c r="AY108" s="18">
        <v>0</v>
      </c>
      <c r="AZ108" s="36">
        <v>3</v>
      </c>
      <c r="BA108" s="18">
        <v>9</v>
      </c>
      <c r="BB108" s="18">
        <v>15</v>
      </c>
      <c r="BC108" s="4">
        <v>13.5</v>
      </c>
      <c r="BD108" s="67">
        <v>0</v>
      </c>
      <c r="BE108" s="67">
        <v>5</v>
      </c>
      <c r="BF108" s="67">
        <v>0</v>
      </c>
      <c r="BG108" s="67">
        <v>1</v>
      </c>
      <c r="BH108" s="67">
        <v>3</v>
      </c>
      <c r="BI108" s="67">
        <v>2</v>
      </c>
      <c r="BJ108" s="67">
        <v>1</v>
      </c>
      <c r="BK108" s="67">
        <v>3</v>
      </c>
      <c r="BL108" s="67">
        <v>10</v>
      </c>
      <c r="BM108" s="67">
        <f t="shared" si="23"/>
        <v>25</v>
      </c>
      <c r="BN108" s="18">
        <f t="shared" si="24"/>
        <v>27</v>
      </c>
      <c r="BO108" s="18"/>
      <c r="BP108" s="18"/>
      <c r="BQ108" s="1"/>
    </row>
    <row r="109" spans="1:146" x14ac:dyDescent="0.25">
      <c r="A109" s="18" t="s">
        <v>6</v>
      </c>
      <c r="B109" s="18">
        <v>2024</v>
      </c>
      <c r="C109" s="18" t="s">
        <v>138</v>
      </c>
      <c r="D109" s="18" t="s">
        <v>266</v>
      </c>
      <c r="E109" s="18">
        <v>40</v>
      </c>
      <c r="F109" s="18">
        <v>40</v>
      </c>
      <c r="G109" s="18" t="s">
        <v>153</v>
      </c>
      <c r="H109" s="18"/>
      <c r="I109" s="18" t="s">
        <v>297</v>
      </c>
      <c r="J109" s="31">
        <v>4</v>
      </c>
      <c r="K109" s="31">
        <v>4.5</v>
      </c>
      <c r="L109" s="4">
        <v>0.5</v>
      </c>
      <c r="M109" s="32">
        <v>0.46</v>
      </c>
      <c r="N109" s="31">
        <v>0.23</v>
      </c>
      <c r="O109" s="18">
        <v>0.23</v>
      </c>
      <c r="P109" s="18">
        <v>11.5</v>
      </c>
      <c r="Q109" s="18">
        <v>20</v>
      </c>
      <c r="R109" s="18">
        <v>0.33</v>
      </c>
      <c r="S109" s="18">
        <v>0.31</v>
      </c>
      <c r="T109" s="94">
        <v>62</v>
      </c>
      <c r="U109" s="18">
        <v>2</v>
      </c>
      <c r="V109" s="18"/>
      <c r="W109" s="18">
        <v>2</v>
      </c>
      <c r="X109" s="4">
        <v>165</v>
      </c>
      <c r="Y109" s="18">
        <v>0</v>
      </c>
      <c r="Z109" s="18" t="s">
        <v>330</v>
      </c>
      <c r="AA109" s="18" t="s">
        <v>333</v>
      </c>
      <c r="AB109" s="18" t="s">
        <v>335</v>
      </c>
      <c r="AC109" s="18">
        <v>20</v>
      </c>
      <c r="AD109" s="18">
        <v>11.5</v>
      </c>
      <c r="AE109" s="18" t="s">
        <v>34</v>
      </c>
      <c r="AF109" s="18" t="s">
        <v>29</v>
      </c>
      <c r="AG109" s="18" t="s">
        <v>29</v>
      </c>
      <c r="AH109" s="18">
        <v>30</v>
      </c>
      <c r="AI109" s="18" t="s">
        <v>29</v>
      </c>
      <c r="AJ109" s="18" t="s">
        <v>66</v>
      </c>
      <c r="AK109" s="18" t="s">
        <v>81</v>
      </c>
      <c r="AL109" s="18" t="s">
        <v>100</v>
      </c>
      <c r="AM109" s="18" t="s">
        <v>109</v>
      </c>
      <c r="AN109" s="18" t="s">
        <v>120</v>
      </c>
      <c r="AO109" s="18" t="s">
        <v>267</v>
      </c>
      <c r="AP109" s="18"/>
      <c r="AQ109" s="18"/>
      <c r="AR109" s="18">
        <v>1</v>
      </c>
      <c r="AS109" s="36">
        <v>0</v>
      </c>
      <c r="AT109" s="36">
        <v>0</v>
      </c>
      <c r="AU109" s="36">
        <v>1</v>
      </c>
      <c r="AV109" s="36">
        <v>2</v>
      </c>
      <c r="AW109" s="36">
        <v>4</v>
      </c>
      <c r="AX109" s="49">
        <f t="shared" si="20"/>
        <v>13</v>
      </c>
      <c r="AY109" s="18">
        <v>0</v>
      </c>
      <c r="AZ109" s="36">
        <v>4</v>
      </c>
      <c r="BA109" s="18">
        <v>4</v>
      </c>
      <c r="BB109" s="18">
        <v>15</v>
      </c>
      <c r="BC109" s="4">
        <v>37</v>
      </c>
      <c r="BD109" s="67">
        <v>0</v>
      </c>
      <c r="BE109" s="67">
        <v>11</v>
      </c>
      <c r="BF109" s="67">
        <v>13</v>
      </c>
      <c r="BG109" s="67">
        <v>0</v>
      </c>
      <c r="BH109" s="67">
        <v>1</v>
      </c>
      <c r="BI109" s="67">
        <v>2</v>
      </c>
      <c r="BJ109" s="67">
        <v>0</v>
      </c>
      <c r="BK109" s="67">
        <v>1</v>
      </c>
      <c r="BL109" s="67">
        <v>10</v>
      </c>
      <c r="BM109" s="67">
        <f t="shared" si="23"/>
        <v>38</v>
      </c>
      <c r="BN109" s="18">
        <f t="shared" si="24"/>
        <v>36</v>
      </c>
      <c r="BO109" s="18"/>
      <c r="BP109" s="18"/>
      <c r="BQ109" s="1"/>
    </row>
    <row r="110" spans="1:146" x14ac:dyDescent="0.25">
      <c r="A110" s="18" t="s">
        <v>6</v>
      </c>
      <c r="B110" s="18">
        <v>2024</v>
      </c>
      <c r="C110" s="18" t="s">
        <v>138</v>
      </c>
      <c r="D110" s="18" t="s">
        <v>266</v>
      </c>
      <c r="E110" s="18">
        <v>40</v>
      </c>
      <c r="F110" s="18">
        <v>40</v>
      </c>
      <c r="G110" s="18" t="s">
        <v>153</v>
      </c>
      <c r="H110" s="18"/>
      <c r="I110" s="18" t="s">
        <v>297</v>
      </c>
      <c r="J110" s="31">
        <v>4.5</v>
      </c>
      <c r="K110" s="31">
        <v>5</v>
      </c>
      <c r="L110" s="4">
        <v>0.5</v>
      </c>
      <c r="M110" s="32">
        <v>0.2</v>
      </c>
      <c r="N110" s="31">
        <v>0.1</v>
      </c>
      <c r="O110" s="18">
        <v>0.1</v>
      </c>
      <c r="P110" s="18">
        <v>5</v>
      </c>
      <c r="Q110" s="18">
        <v>20</v>
      </c>
      <c r="R110" s="18">
        <v>0.1</v>
      </c>
      <c r="S110" s="18">
        <v>0</v>
      </c>
      <c r="T110" s="94">
        <v>0</v>
      </c>
      <c r="U110" s="18">
        <v>5</v>
      </c>
      <c r="V110" s="18"/>
      <c r="W110" s="18">
        <v>5</v>
      </c>
      <c r="X110" s="4">
        <v>20</v>
      </c>
      <c r="Y110" s="18">
        <v>0</v>
      </c>
      <c r="Z110" s="18" t="s">
        <v>330</v>
      </c>
      <c r="AA110" s="18" t="s">
        <v>333</v>
      </c>
      <c r="AB110" s="18" t="s">
        <v>335</v>
      </c>
      <c r="AC110" s="18">
        <v>20</v>
      </c>
      <c r="AD110" s="18">
        <v>5</v>
      </c>
      <c r="AE110" s="18" t="s">
        <v>34</v>
      </c>
      <c r="AF110" s="18" t="s">
        <v>29</v>
      </c>
      <c r="AG110" s="18" t="s">
        <v>29</v>
      </c>
      <c r="AH110" s="18">
        <v>30</v>
      </c>
      <c r="AI110" s="18" t="s">
        <v>29</v>
      </c>
      <c r="AJ110" s="18" t="s">
        <v>66</v>
      </c>
      <c r="AK110" s="18" t="s">
        <v>81</v>
      </c>
      <c r="AL110" s="18" t="s">
        <v>100</v>
      </c>
      <c r="AM110" s="18" t="s">
        <v>109</v>
      </c>
      <c r="AN110" s="18" t="s">
        <v>120</v>
      </c>
      <c r="AO110" s="18" t="s">
        <v>267</v>
      </c>
      <c r="AP110" s="18"/>
      <c r="AQ110" s="18"/>
      <c r="AR110" s="18">
        <v>1</v>
      </c>
      <c r="AS110" s="36">
        <v>0</v>
      </c>
      <c r="AT110" s="36">
        <v>0</v>
      </c>
      <c r="AU110" s="36">
        <v>1</v>
      </c>
      <c r="AV110" s="36">
        <v>2</v>
      </c>
      <c r="AW110" s="36">
        <v>4</v>
      </c>
      <c r="AX110" s="49">
        <f t="shared" si="20"/>
        <v>0</v>
      </c>
      <c r="AY110" s="18">
        <v>0</v>
      </c>
      <c r="AZ110" s="36">
        <v>3</v>
      </c>
      <c r="BA110" s="18">
        <v>4</v>
      </c>
      <c r="BB110" s="18">
        <v>15</v>
      </c>
      <c r="BC110" s="4">
        <v>6</v>
      </c>
      <c r="BD110" s="67">
        <v>0</v>
      </c>
      <c r="BE110" s="67">
        <v>5</v>
      </c>
      <c r="BF110" s="67">
        <v>0</v>
      </c>
      <c r="BG110" s="67">
        <v>0</v>
      </c>
      <c r="BH110" s="67">
        <v>1</v>
      </c>
      <c r="BI110" s="67">
        <v>2</v>
      </c>
      <c r="BJ110" s="67">
        <v>0</v>
      </c>
      <c r="BK110" s="67">
        <v>1</v>
      </c>
      <c r="BL110" s="67">
        <v>10</v>
      </c>
      <c r="BM110" s="67">
        <f t="shared" si="23"/>
        <v>19</v>
      </c>
      <c r="BN110" s="18">
        <f t="shared" si="24"/>
        <v>22</v>
      </c>
      <c r="BO110" s="18"/>
      <c r="BP110" s="18"/>
      <c r="BQ110" s="1"/>
    </row>
    <row r="111" spans="1:146" x14ac:dyDescent="0.25">
      <c r="A111" s="18" t="s">
        <v>6</v>
      </c>
      <c r="B111" s="18">
        <v>2024</v>
      </c>
      <c r="C111" s="18" t="s">
        <v>138</v>
      </c>
      <c r="D111" s="18" t="s">
        <v>266</v>
      </c>
      <c r="E111" s="18">
        <v>40</v>
      </c>
      <c r="F111" s="18">
        <v>40</v>
      </c>
      <c r="G111" s="18" t="s">
        <v>153</v>
      </c>
      <c r="H111" s="18"/>
      <c r="I111" s="18" t="s">
        <v>297</v>
      </c>
      <c r="J111" s="31">
        <v>5</v>
      </c>
      <c r="K111" s="31">
        <v>5.5</v>
      </c>
      <c r="L111" s="4">
        <v>0.5</v>
      </c>
      <c r="M111" s="32">
        <v>0.3</v>
      </c>
      <c r="N111" s="31">
        <v>0.15</v>
      </c>
      <c r="O111" s="18">
        <v>0.15</v>
      </c>
      <c r="P111" s="18">
        <v>7.5</v>
      </c>
      <c r="Q111" s="18">
        <v>20</v>
      </c>
      <c r="R111" s="18">
        <v>0.15</v>
      </c>
      <c r="S111" s="18">
        <v>0</v>
      </c>
      <c r="T111" s="94">
        <v>0</v>
      </c>
      <c r="U111" s="18">
        <v>3</v>
      </c>
      <c r="V111" s="18"/>
      <c r="W111" s="18">
        <v>3</v>
      </c>
      <c r="X111" s="4">
        <v>50</v>
      </c>
      <c r="Y111" s="18">
        <v>0</v>
      </c>
      <c r="Z111" s="18" t="s">
        <v>330</v>
      </c>
      <c r="AA111" s="18" t="s">
        <v>333</v>
      </c>
      <c r="AB111" s="18" t="s">
        <v>335</v>
      </c>
      <c r="AC111" s="18">
        <v>20</v>
      </c>
      <c r="AD111" s="18">
        <v>7.5</v>
      </c>
      <c r="AE111" s="18" t="s">
        <v>34</v>
      </c>
      <c r="AF111" s="18" t="s">
        <v>32</v>
      </c>
      <c r="AG111" s="18" t="s">
        <v>32</v>
      </c>
      <c r="AH111" s="18">
        <v>30</v>
      </c>
      <c r="AI111" s="18" t="s">
        <v>29</v>
      </c>
      <c r="AJ111" s="18" t="s">
        <v>66</v>
      </c>
      <c r="AK111" s="18" t="s">
        <v>81</v>
      </c>
      <c r="AL111" s="18" t="s">
        <v>100</v>
      </c>
      <c r="AM111" s="18" t="s">
        <v>109</v>
      </c>
      <c r="AN111" s="18" t="s">
        <v>120</v>
      </c>
      <c r="AO111" s="18" t="s">
        <v>267</v>
      </c>
      <c r="AP111" s="18"/>
      <c r="AQ111" s="18"/>
      <c r="AR111" s="18">
        <v>1</v>
      </c>
      <c r="AS111" s="36">
        <v>0</v>
      </c>
      <c r="AT111" s="36">
        <v>0</v>
      </c>
      <c r="AU111" s="36">
        <v>1</v>
      </c>
      <c r="AV111" s="36">
        <v>2</v>
      </c>
      <c r="AW111" s="36">
        <v>4</v>
      </c>
      <c r="AX111" s="49">
        <f t="shared" si="20"/>
        <v>0</v>
      </c>
      <c r="AY111" s="18">
        <v>0</v>
      </c>
      <c r="AZ111" s="36">
        <v>3</v>
      </c>
      <c r="BA111" s="18">
        <v>4</v>
      </c>
      <c r="BB111" s="18">
        <v>15</v>
      </c>
      <c r="BC111" s="4">
        <v>6</v>
      </c>
      <c r="BD111" s="67">
        <v>0</v>
      </c>
      <c r="BE111" s="67">
        <v>5</v>
      </c>
      <c r="BF111" s="67">
        <v>0</v>
      </c>
      <c r="BG111" s="67">
        <v>0</v>
      </c>
      <c r="BH111" s="67">
        <v>1</v>
      </c>
      <c r="BI111" s="67">
        <v>2</v>
      </c>
      <c r="BJ111" s="67">
        <v>0</v>
      </c>
      <c r="BK111" s="67">
        <v>1</v>
      </c>
      <c r="BL111" s="67">
        <v>10</v>
      </c>
      <c r="BM111" s="67">
        <f t="shared" si="23"/>
        <v>19</v>
      </c>
      <c r="BN111" s="18">
        <f t="shared" si="24"/>
        <v>22</v>
      </c>
      <c r="BO111" s="18"/>
      <c r="BP111" s="18"/>
      <c r="BQ111" s="1"/>
    </row>
    <row r="112" spans="1:146" x14ac:dyDescent="0.25">
      <c r="A112" s="18" t="s">
        <v>6</v>
      </c>
      <c r="B112" s="18">
        <v>2024</v>
      </c>
      <c r="C112" s="18" t="s">
        <v>138</v>
      </c>
      <c r="D112" s="18" t="s">
        <v>266</v>
      </c>
      <c r="E112" s="18">
        <v>40</v>
      </c>
      <c r="F112" s="18">
        <v>40</v>
      </c>
      <c r="G112" s="18" t="s">
        <v>153</v>
      </c>
      <c r="H112" s="18"/>
      <c r="I112" s="18" t="s">
        <v>297</v>
      </c>
      <c r="J112" s="31">
        <v>5.5</v>
      </c>
      <c r="K112" s="31">
        <v>6</v>
      </c>
      <c r="L112" s="4">
        <v>0.5</v>
      </c>
      <c r="M112" s="32">
        <v>0.2</v>
      </c>
      <c r="N112" s="31">
        <v>0.1</v>
      </c>
      <c r="O112" s="18">
        <v>0.1</v>
      </c>
      <c r="P112" s="18">
        <v>5</v>
      </c>
      <c r="Q112" s="18">
        <v>20</v>
      </c>
      <c r="R112" s="18">
        <v>0.1</v>
      </c>
      <c r="S112" s="18">
        <v>0</v>
      </c>
      <c r="T112" s="65">
        <v>0</v>
      </c>
      <c r="U112" s="18">
        <v>3</v>
      </c>
      <c r="V112" s="18"/>
      <c r="W112" s="18">
        <v>3</v>
      </c>
      <c r="X112" s="4">
        <v>33.333333333333336</v>
      </c>
      <c r="Y112" s="18">
        <v>0</v>
      </c>
      <c r="Z112" s="18" t="s">
        <v>330</v>
      </c>
      <c r="AA112" s="18" t="s">
        <v>333</v>
      </c>
      <c r="AB112" s="18" t="s">
        <v>335</v>
      </c>
      <c r="AC112" s="18">
        <v>20</v>
      </c>
      <c r="AD112" s="18">
        <v>5</v>
      </c>
      <c r="AE112" s="18" t="s">
        <v>34</v>
      </c>
      <c r="AF112" s="18" t="s">
        <v>34</v>
      </c>
      <c r="AG112" s="18" t="s">
        <v>34</v>
      </c>
      <c r="AH112" s="18">
        <v>17</v>
      </c>
      <c r="AI112" s="18"/>
      <c r="AJ112" s="18" t="s">
        <v>66</v>
      </c>
      <c r="AK112" s="18" t="s">
        <v>81</v>
      </c>
      <c r="AL112" s="18" t="s">
        <v>100</v>
      </c>
      <c r="AM112" s="18" t="s">
        <v>109</v>
      </c>
      <c r="AN112" s="18" t="s">
        <v>120</v>
      </c>
      <c r="AO112" s="18" t="s">
        <v>267</v>
      </c>
      <c r="AP112" s="18"/>
      <c r="AQ112" s="18"/>
      <c r="AR112" s="18">
        <v>1</v>
      </c>
      <c r="AS112" s="36">
        <v>0</v>
      </c>
      <c r="AT112" s="36">
        <v>0</v>
      </c>
      <c r="AU112" s="36">
        <v>1</v>
      </c>
      <c r="AV112" s="36">
        <v>2</v>
      </c>
      <c r="AW112" s="36">
        <v>4</v>
      </c>
      <c r="AX112" s="49">
        <f t="shared" si="20"/>
        <v>0</v>
      </c>
      <c r="AY112" s="49">
        <v>0</v>
      </c>
      <c r="AZ112" s="50">
        <v>3</v>
      </c>
      <c r="BA112" s="49">
        <v>4</v>
      </c>
      <c r="BB112" s="49">
        <v>15</v>
      </c>
      <c r="BC112" s="67">
        <v>6</v>
      </c>
      <c r="BD112" s="67">
        <v>0</v>
      </c>
      <c r="BE112" s="67">
        <v>5</v>
      </c>
      <c r="BF112" s="67">
        <v>0</v>
      </c>
      <c r="BG112" s="67">
        <v>0</v>
      </c>
      <c r="BH112" s="67">
        <v>1</v>
      </c>
      <c r="BI112" s="67">
        <v>2</v>
      </c>
      <c r="BJ112" s="67">
        <v>0</v>
      </c>
      <c r="BK112" s="67">
        <v>1</v>
      </c>
      <c r="BL112" s="67">
        <v>10</v>
      </c>
      <c r="BM112" s="67">
        <f t="shared" si="23"/>
        <v>19</v>
      </c>
      <c r="BN112" s="18">
        <f t="shared" si="24"/>
        <v>22</v>
      </c>
      <c r="BO112" s="18"/>
      <c r="BP112" s="18"/>
      <c r="BQ112" s="1"/>
    </row>
    <row r="113" spans="1:69" x14ac:dyDescent="0.25">
      <c r="A113" s="18" t="s">
        <v>6</v>
      </c>
      <c r="B113" s="18">
        <v>2024</v>
      </c>
      <c r="C113" s="18" t="s">
        <v>138</v>
      </c>
      <c r="D113" s="18" t="s">
        <v>266</v>
      </c>
      <c r="E113" s="18">
        <v>40</v>
      </c>
      <c r="F113" s="18">
        <v>40</v>
      </c>
      <c r="G113" s="18" t="s">
        <v>153</v>
      </c>
      <c r="H113" s="18"/>
      <c r="I113" s="18" t="s">
        <v>297</v>
      </c>
      <c r="J113" s="31">
        <v>6</v>
      </c>
      <c r="K113" s="31">
        <v>6.5</v>
      </c>
      <c r="L113" s="4">
        <v>0.5</v>
      </c>
      <c r="M113" s="32">
        <v>0.2</v>
      </c>
      <c r="N113" s="31">
        <v>0.1</v>
      </c>
      <c r="O113" s="18">
        <v>0.1</v>
      </c>
      <c r="P113" s="18">
        <v>5</v>
      </c>
      <c r="Q113" s="18">
        <v>20</v>
      </c>
      <c r="R113" s="18">
        <v>0.1</v>
      </c>
      <c r="S113" s="18">
        <v>0</v>
      </c>
      <c r="T113" s="65">
        <v>0</v>
      </c>
      <c r="U113" s="18">
        <v>4</v>
      </c>
      <c r="V113" s="18"/>
      <c r="W113" s="18">
        <v>4</v>
      </c>
      <c r="X113" s="4">
        <v>25</v>
      </c>
      <c r="Y113" s="18">
        <v>0</v>
      </c>
      <c r="Z113" s="18" t="s">
        <v>330</v>
      </c>
      <c r="AA113" s="18" t="s">
        <v>333</v>
      </c>
      <c r="AB113" s="18" t="s">
        <v>335</v>
      </c>
      <c r="AC113" s="18">
        <v>20</v>
      </c>
      <c r="AD113" s="18">
        <v>5</v>
      </c>
      <c r="AE113" s="18" t="s">
        <v>34</v>
      </c>
      <c r="AF113" s="18" t="s">
        <v>29</v>
      </c>
      <c r="AG113" s="18" t="s">
        <v>29</v>
      </c>
      <c r="AH113" s="18">
        <v>30</v>
      </c>
      <c r="AI113" s="18" t="s">
        <v>29</v>
      </c>
      <c r="AJ113" s="18" t="s">
        <v>66</v>
      </c>
      <c r="AK113" s="18" t="s">
        <v>79</v>
      </c>
      <c r="AL113" s="18" t="s">
        <v>96</v>
      </c>
      <c r="AM113" s="18" t="s">
        <v>107</v>
      </c>
      <c r="AN113" s="18" t="s">
        <v>120</v>
      </c>
      <c r="AO113" s="18" t="s">
        <v>267</v>
      </c>
      <c r="AP113" s="18"/>
      <c r="AQ113" s="18"/>
      <c r="AR113" s="18">
        <v>1</v>
      </c>
      <c r="AS113" s="36">
        <v>1</v>
      </c>
      <c r="AT113" s="36">
        <v>1</v>
      </c>
      <c r="AU113" s="36">
        <v>3</v>
      </c>
      <c r="AV113" s="36">
        <v>2</v>
      </c>
      <c r="AW113" s="36">
        <v>8</v>
      </c>
      <c r="AX113" s="49">
        <f t="shared" si="20"/>
        <v>0</v>
      </c>
      <c r="AY113" s="49">
        <v>0</v>
      </c>
      <c r="AZ113" s="50">
        <v>3</v>
      </c>
      <c r="BA113" s="49">
        <v>8</v>
      </c>
      <c r="BB113" s="49">
        <v>15</v>
      </c>
      <c r="BC113" s="67">
        <v>12</v>
      </c>
      <c r="BD113" s="67">
        <v>0</v>
      </c>
      <c r="BE113" s="67">
        <v>5</v>
      </c>
      <c r="BF113" s="67">
        <v>0</v>
      </c>
      <c r="BG113" s="67">
        <v>1</v>
      </c>
      <c r="BH113" s="67">
        <v>3</v>
      </c>
      <c r="BI113" s="67">
        <v>2</v>
      </c>
      <c r="BJ113" s="67">
        <v>1</v>
      </c>
      <c r="BK113" s="67">
        <v>1</v>
      </c>
      <c r="BL113" s="67">
        <v>10</v>
      </c>
      <c r="BM113" s="67">
        <f t="shared" si="23"/>
        <v>23</v>
      </c>
      <c r="BN113" s="18">
        <f t="shared" si="24"/>
        <v>26</v>
      </c>
      <c r="BO113" s="18"/>
      <c r="BP113" s="18"/>
      <c r="BQ113" s="1"/>
    </row>
    <row r="114" spans="1:69" x14ac:dyDescent="0.25">
      <c r="A114" s="18" t="s">
        <v>6</v>
      </c>
      <c r="B114" s="18">
        <v>2024</v>
      </c>
      <c r="C114" s="18" t="s">
        <v>138</v>
      </c>
      <c r="D114" s="18" t="s">
        <v>266</v>
      </c>
      <c r="E114" s="18">
        <v>40</v>
      </c>
      <c r="F114" s="18">
        <v>40</v>
      </c>
      <c r="G114" s="18" t="s">
        <v>153</v>
      </c>
      <c r="H114" s="18"/>
      <c r="I114" s="18" t="s">
        <v>297</v>
      </c>
      <c r="J114" s="31">
        <v>6.5</v>
      </c>
      <c r="K114" s="31">
        <v>7</v>
      </c>
      <c r="L114" s="4">
        <v>0.5</v>
      </c>
      <c r="M114" s="32">
        <v>0.74</v>
      </c>
      <c r="N114" s="31">
        <v>0.37</v>
      </c>
      <c r="O114" s="18">
        <v>0.37</v>
      </c>
      <c r="P114" s="18">
        <v>18.5</v>
      </c>
      <c r="Q114" s="18">
        <v>20</v>
      </c>
      <c r="R114" s="18">
        <v>0.36</v>
      </c>
      <c r="S114" s="18">
        <v>0.2</v>
      </c>
      <c r="T114" s="65">
        <v>40</v>
      </c>
      <c r="U114" s="18">
        <v>3</v>
      </c>
      <c r="V114" s="18"/>
      <c r="W114" s="18">
        <v>3</v>
      </c>
      <c r="X114" s="4">
        <v>120</v>
      </c>
      <c r="Y114" s="18">
        <v>0</v>
      </c>
      <c r="Z114" s="18" t="s">
        <v>330</v>
      </c>
      <c r="AA114" s="18" t="s">
        <v>333</v>
      </c>
      <c r="AB114" s="18" t="s">
        <v>335</v>
      </c>
      <c r="AC114" s="18">
        <v>20</v>
      </c>
      <c r="AD114" s="18">
        <v>18.5</v>
      </c>
      <c r="AE114" s="18" t="s">
        <v>34</v>
      </c>
      <c r="AF114" s="18" t="s">
        <v>27</v>
      </c>
      <c r="AG114" s="18" t="s">
        <v>27</v>
      </c>
      <c r="AH114" s="18">
        <v>59</v>
      </c>
      <c r="AI114" s="18"/>
      <c r="AJ114" s="18" t="s">
        <v>64</v>
      </c>
      <c r="AK114" s="18" t="s">
        <v>77</v>
      </c>
      <c r="AL114" s="18" t="s">
        <v>96</v>
      </c>
      <c r="AM114" s="18" t="s">
        <v>105</v>
      </c>
      <c r="AN114" s="18" t="s">
        <v>118</v>
      </c>
      <c r="AO114" s="18" t="s">
        <v>267</v>
      </c>
      <c r="AP114" s="18" t="s">
        <v>269</v>
      </c>
      <c r="AQ114" s="18"/>
      <c r="AR114" s="18">
        <v>2</v>
      </c>
      <c r="AS114" s="36">
        <v>3</v>
      </c>
      <c r="AT114" s="36">
        <v>1</v>
      </c>
      <c r="AU114" s="36">
        <v>4</v>
      </c>
      <c r="AV114" s="36">
        <v>2</v>
      </c>
      <c r="AW114" s="36">
        <v>12</v>
      </c>
      <c r="AX114" s="49">
        <f t="shared" si="20"/>
        <v>8</v>
      </c>
      <c r="AY114" s="49">
        <v>0</v>
      </c>
      <c r="AZ114" s="50">
        <v>4</v>
      </c>
      <c r="BA114" s="49">
        <v>12</v>
      </c>
      <c r="BB114" s="49">
        <v>15</v>
      </c>
      <c r="BC114" s="67">
        <v>38</v>
      </c>
      <c r="BD114" s="67">
        <v>0</v>
      </c>
      <c r="BE114" s="67">
        <v>9</v>
      </c>
      <c r="BF114" s="67">
        <v>8</v>
      </c>
      <c r="BG114" s="67">
        <v>1</v>
      </c>
      <c r="BH114" s="67">
        <v>4</v>
      </c>
      <c r="BI114" s="67">
        <v>2</v>
      </c>
      <c r="BJ114" s="67">
        <v>3</v>
      </c>
      <c r="BK114" s="67">
        <v>3</v>
      </c>
      <c r="BL114" s="67">
        <v>10</v>
      </c>
      <c r="BM114" s="67">
        <f t="shared" si="23"/>
        <v>40</v>
      </c>
      <c r="BN114" s="18">
        <f t="shared" si="24"/>
        <v>39</v>
      </c>
      <c r="BO114" s="18"/>
      <c r="BP114" s="18"/>
      <c r="BQ114" s="1"/>
    </row>
    <row r="115" spans="1:69" x14ac:dyDescent="0.25">
      <c r="A115" s="18" t="s">
        <v>6</v>
      </c>
      <c r="B115" s="18">
        <v>2024</v>
      </c>
      <c r="C115" s="18" t="s">
        <v>138</v>
      </c>
      <c r="D115" s="18" t="s">
        <v>266</v>
      </c>
      <c r="E115" s="18">
        <v>40</v>
      </c>
      <c r="F115" s="18">
        <v>40</v>
      </c>
      <c r="G115" s="18" t="s">
        <v>153</v>
      </c>
      <c r="H115" s="18"/>
      <c r="I115" s="18" t="s">
        <v>297</v>
      </c>
      <c r="J115" s="31">
        <v>7</v>
      </c>
      <c r="K115" s="31">
        <v>7.5</v>
      </c>
      <c r="L115" s="4">
        <v>0.5</v>
      </c>
      <c r="M115" s="32">
        <v>0.78</v>
      </c>
      <c r="N115" s="31">
        <v>0.39</v>
      </c>
      <c r="O115" s="18">
        <v>0.39</v>
      </c>
      <c r="P115" s="18">
        <v>19.5</v>
      </c>
      <c r="Q115" s="18">
        <v>20</v>
      </c>
      <c r="R115" s="18">
        <v>0.39</v>
      </c>
      <c r="S115" s="18">
        <v>0.18</v>
      </c>
      <c r="T115" s="65">
        <v>36</v>
      </c>
      <c r="U115" s="18">
        <v>3</v>
      </c>
      <c r="V115" s="18"/>
      <c r="W115" s="18">
        <v>3</v>
      </c>
      <c r="X115" s="4">
        <v>130</v>
      </c>
      <c r="Y115" s="18">
        <v>0</v>
      </c>
      <c r="Z115" s="18" t="s">
        <v>330</v>
      </c>
      <c r="AA115" s="18" t="s">
        <v>333</v>
      </c>
      <c r="AB115" s="18" t="s">
        <v>335</v>
      </c>
      <c r="AC115" s="18">
        <v>20</v>
      </c>
      <c r="AD115" s="18">
        <v>19.5</v>
      </c>
      <c r="AE115" s="18" t="s">
        <v>34</v>
      </c>
      <c r="AF115" s="18" t="s">
        <v>27</v>
      </c>
      <c r="AG115" s="18" t="s">
        <v>27</v>
      </c>
      <c r="AH115" s="18">
        <v>59</v>
      </c>
      <c r="AI115" s="18"/>
      <c r="AJ115" s="18" t="s">
        <v>64</v>
      </c>
      <c r="AK115" s="18" t="s">
        <v>81</v>
      </c>
      <c r="AL115" s="18" t="s">
        <v>96</v>
      </c>
      <c r="AM115" s="18" t="s">
        <v>105</v>
      </c>
      <c r="AN115" s="18" t="s">
        <v>118</v>
      </c>
      <c r="AO115" s="18" t="s">
        <v>267</v>
      </c>
      <c r="AP115" s="18"/>
      <c r="AQ115" s="18"/>
      <c r="AR115" s="18">
        <v>2</v>
      </c>
      <c r="AS115" s="36">
        <v>0</v>
      </c>
      <c r="AT115" s="36">
        <v>1</v>
      </c>
      <c r="AU115" s="36">
        <v>4</v>
      </c>
      <c r="AV115" s="36">
        <v>2</v>
      </c>
      <c r="AW115" s="36">
        <v>9</v>
      </c>
      <c r="AX115" s="49">
        <f t="shared" si="20"/>
        <v>8</v>
      </c>
      <c r="AY115" s="49">
        <v>0</v>
      </c>
      <c r="AZ115" s="50">
        <v>4</v>
      </c>
      <c r="BA115" s="49">
        <v>9</v>
      </c>
      <c r="BB115" s="49">
        <v>15</v>
      </c>
      <c r="BC115" s="67">
        <v>31.5</v>
      </c>
      <c r="BD115" s="67">
        <v>0</v>
      </c>
      <c r="BE115" s="67">
        <v>10</v>
      </c>
      <c r="BF115" s="67">
        <v>8</v>
      </c>
      <c r="BG115" s="67">
        <v>1</v>
      </c>
      <c r="BH115" s="67">
        <v>4</v>
      </c>
      <c r="BI115" s="67">
        <v>2</v>
      </c>
      <c r="BJ115" s="67">
        <v>0</v>
      </c>
      <c r="BK115" s="67">
        <v>3</v>
      </c>
      <c r="BL115" s="67">
        <v>10</v>
      </c>
      <c r="BM115" s="67">
        <f t="shared" si="23"/>
        <v>38</v>
      </c>
      <c r="BN115" s="18">
        <f t="shared" si="24"/>
        <v>36</v>
      </c>
      <c r="BO115" s="18"/>
      <c r="BP115" s="18"/>
      <c r="BQ115" s="1"/>
    </row>
    <row r="116" spans="1:69" x14ac:dyDescent="0.25">
      <c r="A116" s="18" t="s">
        <v>6</v>
      </c>
      <c r="B116" s="18">
        <v>2024</v>
      </c>
      <c r="C116" s="18" t="s">
        <v>138</v>
      </c>
      <c r="D116" s="18" t="s">
        <v>266</v>
      </c>
      <c r="E116" s="18">
        <v>40</v>
      </c>
      <c r="F116" s="18">
        <v>40</v>
      </c>
      <c r="G116" s="18" t="s">
        <v>153</v>
      </c>
      <c r="H116" s="18"/>
      <c r="I116" s="18" t="s">
        <v>297</v>
      </c>
      <c r="J116" s="31">
        <v>7.5</v>
      </c>
      <c r="K116" s="31">
        <v>8</v>
      </c>
      <c r="L116" s="4">
        <v>0.5</v>
      </c>
      <c r="M116" s="32">
        <v>0.84</v>
      </c>
      <c r="N116" s="31">
        <v>0.42</v>
      </c>
      <c r="O116" s="18">
        <v>0.42</v>
      </c>
      <c r="P116" s="18">
        <v>21</v>
      </c>
      <c r="Q116" s="18">
        <v>20</v>
      </c>
      <c r="R116" s="18">
        <v>0.39</v>
      </c>
      <c r="S116" s="18">
        <v>0.23</v>
      </c>
      <c r="T116" s="65">
        <v>46</v>
      </c>
      <c r="U116" s="18">
        <v>3</v>
      </c>
      <c r="V116" s="18"/>
      <c r="W116" s="18">
        <v>3</v>
      </c>
      <c r="X116" s="4">
        <v>130</v>
      </c>
      <c r="Y116" s="18">
        <v>0</v>
      </c>
      <c r="Z116" s="18" t="s">
        <v>330</v>
      </c>
      <c r="AA116" s="18" t="s">
        <v>333</v>
      </c>
      <c r="AB116" s="18" t="s">
        <v>335</v>
      </c>
      <c r="AC116" s="18">
        <v>20</v>
      </c>
      <c r="AD116" s="18">
        <v>21</v>
      </c>
      <c r="AE116" s="18" t="s">
        <v>34</v>
      </c>
      <c r="AF116" s="18" t="s">
        <v>27</v>
      </c>
      <c r="AG116" s="18" t="s">
        <v>27</v>
      </c>
      <c r="AH116" s="18">
        <v>59</v>
      </c>
      <c r="AI116" s="18"/>
      <c r="AJ116" s="18" t="s">
        <v>64</v>
      </c>
      <c r="AK116" s="18" t="s">
        <v>77</v>
      </c>
      <c r="AL116" s="18" t="s">
        <v>96</v>
      </c>
      <c r="AM116" s="18" t="s">
        <v>105</v>
      </c>
      <c r="AN116" s="18" t="s">
        <v>118</v>
      </c>
      <c r="AO116" s="18" t="s">
        <v>267</v>
      </c>
      <c r="AP116" s="18"/>
      <c r="AQ116" s="18"/>
      <c r="AR116" s="18">
        <v>2</v>
      </c>
      <c r="AS116" s="36">
        <v>3</v>
      </c>
      <c r="AT116" s="36">
        <v>1</v>
      </c>
      <c r="AU116" s="36">
        <v>4</v>
      </c>
      <c r="AV116" s="36">
        <v>2</v>
      </c>
      <c r="AW116" s="36">
        <v>12</v>
      </c>
      <c r="AX116" s="49">
        <f t="shared" si="20"/>
        <v>10</v>
      </c>
      <c r="AY116" s="49">
        <v>0</v>
      </c>
      <c r="AZ116" s="50">
        <v>4</v>
      </c>
      <c r="BA116" s="49">
        <v>12</v>
      </c>
      <c r="BB116" s="49">
        <v>15</v>
      </c>
      <c r="BC116" s="67">
        <v>41</v>
      </c>
      <c r="BD116" s="67">
        <v>0</v>
      </c>
      <c r="BE116" s="67">
        <v>10</v>
      </c>
      <c r="BF116" s="67">
        <v>10</v>
      </c>
      <c r="BG116" s="67">
        <v>1</v>
      </c>
      <c r="BH116" s="67">
        <v>4</v>
      </c>
      <c r="BI116" s="67">
        <v>2</v>
      </c>
      <c r="BJ116" s="67">
        <v>3</v>
      </c>
      <c r="BK116" s="67">
        <v>3</v>
      </c>
      <c r="BL116" s="67">
        <v>10</v>
      </c>
      <c r="BM116" s="67">
        <f t="shared" si="23"/>
        <v>43</v>
      </c>
      <c r="BN116" s="18">
        <f t="shared" si="24"/>
        <v>41</v>
      </c>
      <c r="BO116" s="18"/>
      <c r="BP116" s="18"/>
      <c r="BQ116" s="1"/>
    </row>
    <row r="117" spans="1:69" x14ac:dyDescent="0.25">
      <c r="A117" s="18" t="s">
        <v>6</v>
      </c>
      <c r="B117" s="18">
        <v>2024</v>
      </c>
      <c r="C117" s="18" t="s">
        <v>138</v>
      </c>
      <c r="D117" s="18" t="s">
        <v>266</v>
      </c>
      <c r="E117" s="18">
        <v>40</v>
      </c>
      <c r="F117" s="18">
        <v>40</v>
      </c>
      <c r="G117" s="18" t="s">
        <v>153</v>
      </c>
      <c r="H117" s="18"/>
      <c r="I117" s="18" t="s">
        <v>297</v>
      </c>
      <c r="J117" s="31">
        <v>8</v>
      </c>
      <c r="K117" s="31">
        <v>8.5</v>
      </c>
      <c r="L117" s="4">
        <v>0.5</v>
      </c>
      <c r="M117" s="32">
        <v>0.6</v>
      </c>
      <c r="N117" s="31">
        <v>0.3</v>
      </c>
      <c r="O117" s="18">
        <v>0.3</v>
      </c>
      <c r="P117" s="18">
        <v>15</v>
      </c>
      <c r="Q117" s="18">
        <v>20</v>
      </c>
      <c r="R117" s="18">
        <v>0.31</v>
      </c>
      <c r="S117" s="18">
        <v>0.13</v>
      </c>
      <c r="T117" s="65">
        <v>26</v>
      </c>
      <c r="U117" s="18">
        <v>3</v>
      </c>
      <c r="V117" s="18"/>
      <c r="W117" s="18">
        <v>3</v>
      </c>
      <c r="X117" s="4">
        <v>103.33333333333333</v>
      </c>
      <c r="Y117" s="18">
        <v>0</v>
      </c>
      <c r="Z117" s="18" t="s">
        <v>330</v>
      </c>
      <c r="AA117" s="18" t="s">
        <v>333</v>
      </c>
      <c r="AB117" s="18" t="s">
        <v>335</v>
      </c>
      <c r="AC117" s="18">
        <v>20</v>
      </c>
      <c r="AD117" s="18">
        <v>15</v>
      </c>
      <c r="AE117" s="18" t="s">
        <v>34</v>
      </c>
      <c r="AF117" s="18" t="s">
        <v>27</v>
      </c>
      <c r="AG117" s="18" t="s">
        <v>27</v>
      </c>
      <c r="AH117" s="18">
        <v>59</v>
      </c>
      <c r="AI117" s="18"/>
      <c r="AJ117" s="18" t="s">
        <v>64</v>
      </c>
      <c r="AK117" s="18" t="s">
        <v>79</v>
      </c>
      <c r="AL117" s="18" t="s">
        <v>96</v>
      </c>
      <c r="AM117" s="18" t="s">
        <v>105</v>
      </c>
      <c r="AN117" s="18" t="s">
        <v>118</v>
      </c>
      <c r="AO117" s="18" t="s">
        <v>267</v>
      </c>
      <c r="AP117" s="18"/>
      <c r="AQ117" s="18"/>
      <c r="AR117" s="18">
        <v>2</v>
      </c>
      <c r="AS117" s="36">
        <v>1</v>
      </c>
      <c r="AT117" s="36">
        <v>1</v>
      </c>
      <c r="AU117" s="36">
        <v>4</v>
      </c>
      <c r="AV117" s="36">
        <v>2</v>
      </c>
      <c r="AW117" s="36">
        <v>10</v>
      </c>
      <c r="AX117" s="49">
        <f t="shared" si="20"/>
        <v>6</v>
      </c>
      <c r="AY117" s="49">
        <v>0</v>
      </c>
      <c r="AZ117" s="50">
        <v>4</v>
      </c>
      <c r="BA117" s="49">
        <v>10</v>
      </c>
      <c r="BB117" s="49">
        <v>15</v>
      </c>
      <c r="BC117" s="67">
        <v>28</v>
      </c>
      <c r="BD117" s="67">
        <v>0</v>
      </c>
      <c r="BE117" s="67">
        <v>8</v>
      </c>
      <c r="BF117" s="67">
        <v>6</v>
      </c>
      <c r="BG117" s="67">
        <v>1</v>
      </c>
      <c r="BH117" s="67">
        <v>4</v>
      </c>
      <c r="BI117" s="67">
        <v>2</v>
      </c>
      <c r="BJ117" s="67">
        <v>1</v>
      </c>
      <c r="BK117" s="67">
        <v>3</v>
      </c>
      <c r="BL117" s="67">
        <v>10</v>
      </c>
      <c r="BM117" s="67">
        <f t="shared" si="23"/>
        <v>35</v>
      </c>
      <c r="BN117" s="18">
        <f t="shared" si="24"/>
        <v>35</v>
      </c>
      <c r="BO117" s="18"/>
      <c r="BP117" s="18"/>
      <c r="BQ117" s="1"/>
    </row>
    <row r="118" spans="1:69" x14ac:dyDescent="0.25">
      <c r="A118" s="18" t="s">
        <v>6</v>
      </c>
      <c r="B118" s="18">
        <v>2024</v>
      </c>
      <c r="C118" s="18" t="s">
        <v>138</v>
      </c>
      <c r="D118" s="18" t="s">
        <v>266</v>
      </c>
      <c r="E118" s="18">
        <v>40</v>
      </c>
      <c r="F118" s="18">
        <v>40</v>
      </c>
      <c r="G118" s="18" t="s">
        <v>153</v>
      </c>
      <c r="H118" s="18"/>
      <c r="I118" s="18" t="s">
        <v>297</v>
      </c>
      <c r="J118" s="31">
        <v>8.5</v>
      </c>
      <c r="K118" s="31">
        <v>9</v>
      </c>
      <c r="L118" s="4">
        <v>0.5</v>
      </c>
      <c r="M118" s="32">
        <v>0.57999999999999996</v>
      </c>
      <c r="N118" s="31">
        <v>0.28999999999999998</v>
      </c>
      <c r="O118" s="18">
        <v>0.28999999999999998</v>
      </c>
      <c r="P118" s="18">
        <v>14.5</v>
      </c>
      <c r="Q118" s="18">
        <v>20</v>
      </c>
      <c r="R118" s="18">
        <v>0.22</v>
      </c>
      <c r="S118" s="18">
        <v>0</v>
      </c>
      <c r="T118" s="65">
        <v>0</v>
      </c>
      <c r="U118" s="18">
        <v>5</v>
      </c>
      <c r="V118" s="18"/>
      <c r="W118" s="18">
        <v>5</v>
      </c>
      <c r="X118" s="4">
        <v>44</v>
      </c>
      <c r="Y118" s="18">
        <v>0</v>
      </c>
      <c r="Z118" s="18" t="s">
        <v>330</v>
      </c>
      <c r="AA118" s="18" t="s">
        <v>333</v>
      </c>
      <c r="AB118" s="18" t="s">
        <v>335</v>
      </c>
      <c r="AC118" s="18">
        <v>20</v>
      </c>
      <c r="AD118" s="18">
        <v>14.5</v>
      </c>
      <c r="AE118" s="18" t="s">
        <v>34</v>
      </c>
      <c r="AF118" s="18" t="s">
        <v>29</v>
      </c>
      <c r="AG118" s="18" t="s">
        <v>29</v>
      </c>
      <c r="AH118" s="18">
        <v>30</v>
      </c>
      <c r="AI118" s="18" t="s">
        <v>29</v>
      </c>
      <c r="AJ118" s="18" t="s">
        <v>66</v>
      </c>
      <c r="AK118" s="18" t="s">
        <v>79</v>
      </c>
      <c r="AL118" s="18" t="s">
        <v>96</v>
      </c>
      <c r="AM118" s="18" t="s">
        <v>109</v>
      </c>
      <c r="AN118" s="18" t="s">
        <v>120</v>
      </c>
      <c r="AO118" s="18" t="s">
        <v>267</v>
      </c>
      <c r="AP118" s="18"/>
      <c r="AQ118" s="18"/>
      <c r="AR118" s="18">
        <v>1</v>
      </c>
      <c r="AS118" s="36">
        <v>1</v>
      </c>
      <c r="AT118" s="36">
        <v>1</v>
      </c>
      <c r="AU118" s="36">
        <v>1</v>
      </c>
      <c r="AV118" s="36">
        <v>2</v>
      </c>
      <c r="AW118" s="36">
        <v>6</v>
      </c>
      <c r="AX118" s="49">
        <f t="shared" si="20"/>
        <v>0</v>
      </c>
      <c r="AY118" s="49">
        <v>0</v>
      </c>
      <c r="AZ118" s="50">
        <v>4</v>
      </c>
      <c r="BA118" s="49">
        <v>6</v>
      </c>
      <c r="BB118" s="49">
        <v>15</v>
      </c>
      <c r="BC118" s="67">
        <v>9</v>
      </c>
      <c r="BD118" s="67">
        <v>0</v>
      </c>
      <c r="BE118" s="67">
        <v>5</v>
      </c>
      <c r="BF118" s="67">
        <v>0</v>
      </c>
      <c r="BG118" s="67">
        <v>1</v>
      </c>
      <c r="BH118" s="67">
        <v>1</v>
      </c>
      <c r="BI118" s="67">
        <v>2</v>
      </c>
      <c r="BJ118" s="67">
        <v>1</v>
      </c>
      <c r="BK118" s="67">
        <v>1</v>
      </c>
      <c r="BL118" s="67">
        <v>10</v>
      </c>
      <c r="BM118" s="67">
        <f t="shared" si="23"/>
        <v>21</v>
      </c>
      <c r="BN118" s="18">
        <f t="shared" si="24"/>
        <v>25</v>
      </c>
      <c r="BO118" s="18"/>
      <c r="BP118" s="18"/>
      <c r="BQ118" s="1"/>
    </row>
    <row r="119" spans="1:69" x14ac:dyDescent="0.25">
      <c r="A119" s="18" t="s">
        <v>6</v>
      </c>
      <c r="B119" s="18">
        <v>2024</v>
      </c>
      <c r="C119" s="18" t="s">
        <v>138</v>
      </c>
      <c r="D119" s="18" t="s">
        <v>266</v>
      </c>
      <c r="E119" s="18">
        <v>40</v>
      </c>
      <c r="F119" s="18">
        <v>40</v>
      </c>
      <c r="G119" s="18" t="s">
        <v>153</v>
      </c>
      <c r="H119" s="18"/>
      <c r="I119" s="18" t="s">
        <v>297</v>
      </c>
      <c r="J119" s="31">
        <v>9</v>
      </c>
      <c r="K119" s="31">
        <v>9.5</v>
      </c>
      <c r="L119" s="4">
        <v>0.5</v>
      </c>
      <c r="M119" s="32">
        <v>0.3</v>
      </c>
      <c r="N119" s="31">
        <v>0.15</v>
      </c>
      <c r="O119" s="18">
        <v>0.15</v>
      </c>
      <c r="P119" s="18">
        <v>7.5</v>
      </c>
      <c r="Q119" s="18">
        <v>20</v>
      </c>
      <c r="R119" s="18">
        <v>0.12</v>
      </c>
      <c r="S119" s="18">
        <v>0</v>
      </c>
      <c r="T119" s="65">
        <v>0</v>
      </c>
      <c r="U119" s="18">
        <v>5</v>
      </c>
      <c r="V119" s="18"/>
      <c r="W119" s="18">
        <v>5</v>
      </c>
      <c r="X119" s="4">
        <v>24</v>
      </c>
      <c r="Y119" s="18">
        <v>0</v>
      </c>
      <c r="Z119" s="18" t="s">
        <v>330</v>
      </c>
      <c r="AA119" s="18" t="s">
        <v>333</v>
      </c>
      <c r="AB119" s="18" t="s">
        <v>335</v>
      </c>
      <c r="AC119" s="18">
        <v>20</v>
      </c>
      <c r="AD119" s="18">
        <v>7.5</v>
      </c>
      <c r="AE119" s="18" t="s">
        <v>34</v>
      </c>
      <c r="AF119" s="18" t="s">
        <v>29</v>
      </c>
      <c r="AG119" s="18" t="s">
        <v>29</v>
      </c>
      <c r="AH119" s="18">
        <v>30</v>
      </c>
      <c r="AI119" s="18" t="s">
        <v>29</v>
      </c>
      <c r="AJ119" s="18" t="s">
        <v>66</v>
      </c>
      <c r="AK119" s="18" t="s">
        <v>79</v>
      </c>
      <c r="AL119" s="18" t="s">
        <v>96</v>
      </c>
      <c r="AM119" s="18" t="s">
        <v>109</v>
      </c>
      <c r="AN119" s="18" t="s">
        <v>120</v>
      </c>
      <c r="AO119" s="18" t="s">
        <v>267</v>
      </c>
      <c r="AP119" s="18"/>
      <c r="AQ119" s="18"/>
      <c r="AR119" s="18">
        <v>1</v>
      </c>
      <c r="AS119" s="36">
        <v>1</v>
      </c>
      <c r="AT119" s="36">
        <v>1</v>
      </c>
      <c r="AU119" s="36">
        <v>1</v>
      </c>
      <c r="AV119" s="36">
        <v>2</v>
      </c>
      <c r="AW119" s="36">
        <v>6</v>
      </c>
      <c r="AX119" s="49">
        <f t="shared" si="20"/>
        <v>0</v>
      </c>
      <c r="AY119" s="49">
        <v>0</v>
      </c>
      <c r="AZ119" s="50">
        <v>3</v>
      </c>
      <c r="BA119" s="49">
        <v>6</v>
      </c>
      <c r="BB119" s="49">
        <v>15</v>
      </c>
      <c r="BC119" s="67">
        <v>9</v>
      </c>
      <c r="BD119" s="67">
        <v>0</v>
      </c>
      <c r="BE119" s="67">
        <v>5</v>
      </c>
      <c r="BF119" s="67">
        <v>0</v>
      </c>
      <c r="BG119" s="67">
        <v>1</v>
      </c>
      <c r="BH119" s="67">
        <v>1</v>
      </c>
      <c r="BI119" s="67">
        <v>2</v>
      </c>
      <c r="BJ119" s="67">
        <v>1</v>
      </c>
      <c r="BK119" s="67">
        <v>1</v>
      </c>
      <c r="BL119" s="67">
        <v>10</v>
      </c>
      <c r="BM119" s="67">
        <f t="shared" si="23"/>
        <v>21</v>
      </c>
      <c r="BN119" s="18">
        <f t="shared" si="24"/>
        <v>24</v>
      </c>
      <c r="BO119" s="18"/>
      <c r="BP119" s="18"/>
      <c r="BQ119" s="1"/>
    </row>
    <row r="120" spans="1:69" x14ac:dyDescent="0.25">
      <c r="A120" s="18" t="s">
        <v>6</v>
      </c>
      <c r="B120" s="18">
        <v>2024</v>
      </c>
      <c r="C120" s="18" t="s">
        <v>138</v>
      </c>
      <c r="D120" s="18" t="s">
        <v>266</v>
      </c>
      <c r="E120" s="18">
        <v>40</v>
      </c>
      <c r="F120" s="18">
        <v>40</v>
      </c>
      <c r="G120" s="18" t="s">
        <v>153</v>
      </c>
      <c r="H120" s="18"/>
      <c r="I120" s="18" t="s">
        <v>297</v>
      </c>
      <c r="J120" s="31">
        <v>9.5</v>
      </c>
      <c r="K120" s="31">
        <v>10</v>
      </c>
      <c r="L120" s="4">
        <v>0.5</v>
      </c>
      <c r="M120" s="32">
        <v>0.34</v>
      </c>
      <c r="N120" s="31">
        <v>0.17</v>
      </c>
      <c r="O120" s="18">
        <v>0.17</v>
      </c>
      <c r="P120" s="18">
        <v>8.5</v>
      </c>
      <c r="Q120" s="18">
        <v>20</v>
      </c>
      <c r="R120" s="18">
        <v>0.16</v>
      </c>
      <c r="S120" s="18">
        <v>0</v>
      </c>
      <c r="T120" s="65">
        <v>0</v>
      </c>
      <c r="U120" s="18">
        <v>5</v>
      </c>
      <c r="V120" s="18"/>
      <c r="W120" s="18">
        <v>5</v>
      </c>
      <c r="X120" s="4">
        <v>32</v>
      </c>
      <c r="Y120" s="18">
        <v>0</v>
      </c>
      <c r="Z120" s="18" t="s">
        <v>330</v>
      </c>
      <c r="AA120" s="18" t="s">
        <v>333</v>
      </c>
      <c r="AB120" s="18" t="s">
        <v>335</v>
      </c>
      <c r="AC120" s="18">
        <v>20</v>
      </c>
      <c r="AD120" s="18">
        <v>8.5</v>
      </c>
      <c r="AE120" s="18" t="s">
        <v>34</v>
      </c>
      <c r="AF120" s="18" t="s">
        <v>29</v>
      </c>
      <c r="AG120" s="18" t="s">
        <v>29</v>
      </c>
      <c r="AH120" s="18">
        <v>30</v>
      </c>
      <c r="AI120" s="18" t="s">
        <v>29</v>
      </c>
      <c r="AJ120" s="18" t="s">
        <v>66</v>
      </c>
      <c r="AK120" s="18" t="s">
        <v>81</v>
      </c>
      <c r="AL120" s="18" t="s">
        <v>96</v>
      </c>
      <c r="AM120" s="18" t="s">
        <v>107</v>
      </c>
      <c r="AN120" s="18" t="s">
        <v>118</v>
      </c>
      <c r="AO120" s="18" t="s">
        <v>267</v>
      </c>
      <c r="AP120" s="18"/>
      <c r="AQ120" s="18"/>
      <c r="AR120" s="18">
        <v>1</v>
      </c>
      <c r="AS120" s="36">
        <v>0</v>
      </c>
      <c r="AT120" s="36">
        <v>1</v>
      </c>
      <c r="AU120" s="36">
        <v>3</v>
      </c>
      <c r="AV120" s="36">
        <v>2</v>
      </c>
      <c r="AW120" s="36">
        <v>7</v>
      </c>
      <c r="AX120" s="49">
        <f t="shared" si="20"/>
        <v>0</v>
      </c>
      <c r="AY120" s="49">
        <v>0</v>
      </c>
      <c r="AZ120" s="50">
        <v>3</v>
      </c>
      <c r="BA120" s="49">
        <v>7</v>
      </c>
      <c r="BB120" s="49">
        <v>15</v>
      </c>
      <c r="BC120" s="67">
        <v>10.5</v>
      </c>
      <c r="BD120" s="67">
        <v>0</v>
      </c>
      <c r="BE120" s="67">
        <v>5</v>
      </c>
      <c r="BF120" s="67">
        <v>0</v>
      </c>
      <c r="BG120" s="67">
        <v>1</v>
      </c>
      <c r="BH120" s="67">
        <v>3</v>
      </c>
      <c r="BI120" s="67">
        <v>2</v>
      </c>
      <c r="BJ120" s="67">
        <v>0</v>
      </c>
      <c r="BK120" s="67">
        <v>1</v>
      </c>
      <c r="BL120" s="67">
        <v>10</v>
      </c>
      <c r="BM120" s="67">
        <f t="shared" si="23"/>
        <v>22</v>
      </c>
      <c r="BN120" s="18">
        <f t="shared" si="24"/>
        <v>25</v>
      </c>
      <c r="BO120" s="18"/>
      <c r="BP120" s="18"/>
      <c r="BQ120" s="1"/>
    </row>
    <row r="121" spans="1:69" x14ac:dyDescent="0.25">
      <c r="A121" s="18" t="s">
        <v>6</v>
      </c>
      <c r="B121" s="18">
        <v>2024</v>
      </c>
      <c r="C121" s="18" t="s">
        <v>138</v>
      </c>
      <c r="D121" s="18" t="s">
        <v>266</v>
      </c>
      <c r="E121" s="18">
        <v>40</v>
      </c>
      <c r="F121" s="18">
        <v>40</v>
      </c>
      <c r="G121" s="18" t="s">
        <v>153</v>
      </c>
      <c r="H121" s="18"/>
      <c r="I121" s="18" t="s">
        <v>297</v>
      </c>
      <c r="J121" s="31">
        <v>10</v>
      </c>
      <c r="K121" s="31">
        <v>10.5</v>
      </c>
      <c r="L121" s="4">
        <v>0.5</v>
      </c>
      <c r="M121" s="32">
        <v>0.5</v>
      </c>
      <c r="N121" s="31">
        <v>0.25</v>
      </c>
      <c r="O121" s="18">
        <v>0.25</v>
      </c>
      <c r="P121" s="18">
        <v>12.5</v>
      </c>
      <c r="Q121" s="18">
        <v>20</v>
      </c>
      <c r="R121" s="18">
        <v>0.23</v>
      </c>
      <c r="S121" s="18">
        <v>0</v>
      </c>
      <c r="T121" s="65">
        <v>0</v>
      </c>
      <c r="U121" s="18">
        <v>5</v>
      </c>
      <c r="V121" s="18"/>
      <c r="W121" s="18">
        <v>5</v>
      </c>
      <c r="X121" s="4">
        <v>46</v>
      </c>
      <c r="Y121" s="18">
        <v>0</v>
      </c>
      <c r="Z121" s="18" t="s">
        <v>330</v>
      </c>
      <c r="AA121" s="18" t="s">
        <v>333</v>
      </c>
      <c r="AB121" s="18" t="s">
        <v>335</v>
      </c>
      <c r="AC121" s="18">
        <v>20</v>
      </c>
      <c r="AD121" s="18">
        <v>12.5</v>
      </c>
      <c r="AE121" s="18" t="s">
        <v>34</v>
      </c>
      <c r="AF121" s="18" t="s">
        <v>29</v>
      </c>
      <c r="AG121" s="18" t="s">
        <v>29</v>
      </c>
      <c r="AH121" s="18">
        <v>30</v>
      </c>
      <c r="AI121" s="18" t="s">
        <v>29</v>
      </c>
      <c r="AJ121" s="18" t="s">
        <v>66</v>
      </c>
      <c r="AK121" s="18" t="s">
        <v>81</v>
      </c>
      <c r="AL121" s="18" t="s">
        <v>96</v>
      </c>
      <c r="AM121" s="18" t="s">
        <v>107</v>
      </c>
      <c r="AN121" s="18" t="s">
        <v>118</v>
      </c>
      <c r="AO121" s="18" t="s">
        <v>267</v>
      </c>
      <c r="AP121" s="18"/>
      <c r="AQ121" s="18"/>
      <c r="AR121" s="18">
        <v>1</v>
      </c>
      <c r="AS121" s="36">
        <v>0</v>
      </c>
      <c r="AT121" s="36">
        <v>1</v>
      </c>
      <c r="AU121" s="36">
        <v>3</v>
      </c>
      <c r="AV121" s="36">
        <v>2</v>
      </c>
      <c r="AW121" s="36">
        <v>7</v>
      </c>
      <c r="AX121" s="49">
        <f t="shared" si="20"/>
        <v>0</v>
      </c>
      <c r="AY121" s="49">
        <v>0</v>
      </c>
      <c r="AZ121" s="50">
        <v>4</v>
      </c>
      <c r="BA121" s="49">
        <v>7</v>
      </c>
      <c r="BB121" s="49">
        <v>15</v>
      </c>
      <c r="BC121" s="67">
        <v>10.5</v>
      </c>
      <c r="BD121" s="67">
        <v>0</v>
      </c>
      <c r="BE121" s="67">
        <v>5</v>
      </c>
      <c r="BF121" s="67">
        <v>0</v>
      </c>
      <c r="BG121" s="67">
        <v>1</v>
      </c>
      <c r="BH121" s="67">
        <v>3</v>
      </c>
      <c r="BI121" s="67">
        <v>2</v>
      </c>
      <c r="BJ121" s="67">
        <v>0</v>
      </c>
      <c r="BK121" s="67">
        <v>1</v>
      </c>
      <c r="BL121" s="67">
        <v>10</v>
      </c>
      <c r="BM121" s="67">
        <f t="shared" si="23"/>
        <v>22</v>
      </c>
      <c r="BN121" s="18">
        <f t="shared" si="24"/>
        <v>26</v>
      </c>
      <c r="BO121" s="18"/>
      <c r="BP121" s="18"/>
      <c r="BQ121" s="1"/>
    </row>
    <row r="122" spans="1:69" x14ac:dyDescent="0.25">
      <c r="A122" s="18" t="s">
        <v>6</v>
      </c>
      <c r="B122" s="18">
        <v>2024</v>
      </c>
      <c r="C122" s="18" t="s">
        <v>138</v>
      </c>
      <c r="D122" s="18" t="s">
        <v>266</v>
      </c>
      <c r="E122" s="18">
        <v>40</v>
      </c>
      <c r="F122" s="18">
        <v>40</v>
      </c>
      <c r="G122" s="18" t="s">
        <v>153</v>
      </c>
      <c r="H122" s="18"/>
      <c r="I122" s="18" t="s">
        <v>297</v>
      </c>
      <c r="J122" s="31">
        <v>10.5</v>
      </c>
      <c r="K122" s="31">
        <v>11</v>
      </c>
      <c r="L122" s="4">
        <v>0.5</v>
      </c>
      <c r="M122" s="32">
        <v>0.46</v>
      </c>
      <c r="N122" s="31">
        <v>0.23</v>
      </c>
      <c r="O122" s="18">
        <v>0.23</v>
      </c>
      <c r="P122" s="18">
        <v>11.5</v>
      </c>
      <c r="Q122" s="18">
        <v>20</v>
      </c>
      <c r="R122" s="18">
        <v>0.16</v>
      </c>
      <c r="S122" s="18">
        <v>0</v>
      </c>
      <c r="T122" s="65">
        <v>0</v>
      </c>
      <c r="U122" s="18">
        <v>5</v>
      </c>
      <c r="V122" s="18"/>
      <c r="W122" s="18">
        <v>5</v>
      </c>
      <c r="X122" s="4">
        <v>32</v>
      </c>
      <c r="Y122" s="18">
        <v>0</v>
      </c>
      <c r="Z122" s="18" t="s">
        <v>330</v>
      </c>
      <c r="AA122" s="18" t="s">
        <v>333</v>
      </c>
      <c r="AB122" s="18" t="s">
        <v>335</v>
      </c>
      <c r="AC122" s="18">
        <v>20</v>
      </c>
      <c r="AD122" s="18">
        <v>11.5</v>
      </c>
      <c r="AE122" s="18" t="s">
        <v>34</v>
      </c>
      <c r="AF122" s="18" t="s">
        <v>34</v>
      </c>
      <c r="AG122" s="18" t="s">
        <v>34</v>
      </c>
      <c r="AH122" s="18">
        <v>17</v>
      </c>
      <c r="AI122" s="18"/>
      <c r="AJ122" s="18" t="s">
        <v>69</v>
      </c>
      <c r="AK122" s="18" t="s">
        <v>81</v>
      </c>
      <c r="AL122" s="18" t="s">
        <v>100</v>
      </c>
      <c r="AM122" s="18" t="s">
        <v>109</v>
      </c>
      <c r="AN122" s="18" t="s">
        <v>120</v>
      </c>
      <c r="AO122" s="18" t="s">
        <v>267</v>
      </c>
      <c r="AP122" s="18"/>
      <c r="AQ122" s="18"/>
      <c r="AR122" s="18">
        <v>0</v>
      </c>
      <c r="AS122" s="36">
        <v>0</v>
      </c>
      <c r="AT122" s="36">
        <v>0</v>
      </c>
      <c r="AU122" s="36">
        <v>1</v>
      </c>
      <c r="AV122" s="36">
        <v>2</v>
      </c>
      <c r="AW122" s="36">
        <v>3</v>
      </c>
      <c r="AX122" s="49">
        <f t="shared" si="20"/>
        <v>0</v>
      </c>
      <c r="AY122" s="49">
        <v>0</v>
      </c>
      <c r="AZ122" s="50">
        <v>4</v>
      </c>
      <c r="BA122" s="49">
        <v>3</v>
      </c>
      <c r="BB122" s="49">
        <v>15</v>
      </c>
      <c r="BC122" s="67">
        <v>4.5</v>
      </c>
      <c r="BD122" s="67">
        <v>0</v>
      </c>
      <c r="BE122" s="67">
        <v>5</v>
      </c>
      <c r="BF122" s="67">
        <v>0</v>
      </c>
      <c r="BG122" s="67">
        <v>0</v>
      </c>
      <c r="BH122" s="67">
        <v>1</v>
      </c>
      <c r="BI122" s="67">
        <v>2</v>
      </c>
      <c r="BJ122" s="67">
        <v>0</v>
      </c>
      <c r="BK122" s="67">
        <v>0</v>
      </c>
      <c r="BL122" s="67">
        <v>10</v>
      </c>
      <c r="BM122" s="67">
        <f t="shared" si="23"/>
        <v>18</v>
      </c>
      <c r="BN122" s="18">
        <f t="shared" si="24"/>
        <v>22</v>
      </c>
      <c r="BO122" s="18"/>
      <c r="BP122" s="18"/>
      <c r="BQ122" s="1"/>
    </row>
    <row r="123" spans="1:69" x14ac:dyDescent="0.25">
      <c r="A123" s="18" t="s">
        <v>6</v>
      </c>
      <c r="B123" s="18">
        <v>2024</v>
      </c>
      <c r="C123" s="18" t="s">
        <v>138</v>
      </c>
      <c r="D123" s="18" t="s">
        <v>266</v>
      </c>
      <c r="E123" s="18">
        <v>40</v>
      </c>
      <c r="F123" s="18">
        <v>40</v>
      </c>
      <c r="G123" s="18" t="s">
        <v>153</v>
      </c>
      <c r="H123" s="18"/>
      <c r="I123" s="18" t="s">
        <v>297</v>
      </c>
      <c r="J123" s="31">
        <v>11</v>
      </c>
      <c r="K123" s="31">
        <v>11.5</v>
      </c>
      <c r="L123" s="4">
        <v>0.5</v>
      </c>
      <c r="M123" s="32">
        <v>0.84</v>
      </c>
      <c r="N123" s="31">
        <v>0.42</v>
      </c>
      <c r="O123" s="18">
        <v>0.42</v>
      </c>
      <c r="P123" s="18">
        <v>21</v>
      </c>
      <c r="Q123" s="18">
        <v>20</v>
      </c>
      <c r="R123" s="18">
        <v>0.2</v>
      </c>
      <c r="S123" s="18">
        <v>0.11</v>
      </c>
      <c r="T123" s="65">
        <v>22</v>
      </c>
      <c r="U123" s="18">
        <v>5</v>
      </c>
      <c r="V123" s="18"/>
      <c r="W123" s="18">
        <v>5</v>
      </c>
      <c r="X123" s="4">
        <v>40</v>
      </c>
      <c r="Y123" s="18">
        <v>0</v>
      </c>
      <c r="Z123" s="18" t="s">
        <v>330</v>
      </c>
      <c r="AA123" s="18" t="s">
        <v>333</v>
      </c>
      <c r="AB123" s="18" t="s">
        <v>335</v>
      </c>
      <c r="AC123" s="18">
        <v>20</v>
      </c>
      <c r="AD123" s="18">
        <v>21</v>
      </c>
      <c r="AE123" s="18" t="s">
        <v>34</v>
      </c>
      <c r="AF123" s="18" t="s">
        <v>32</v>
      </c>
      <c r="AG123" s="18" t="s">
        <v>32</v>
      </c>
      <c r="AH123" s="18">
        <v>30</v>
      </c>
      <c r="AI123" s="18" t="s">
        <v>29</v>
      </c>
      <c r="AJ123" s="18" t="s">
        <v>66</v>
      </c>
      <c r="AK123" s="18" t="s">
        <v>79</v>
      </c>
      <c r="AL123" s="18" t="s">
        <v>96</v>
      </c>
      <c r="AM123" s="18" t="s">
        <v>109</v>
      </c>
      <c r="AN123" s="18" t="s">
        <v>118</v>
      </c>
      <c r="AO123" s="18" t="s">
        <v>267</v>
      </c>
      <c r="AP123" s="18"/>
      <c r="AQ123" s="18"/>
      <c r="AR123" s="18">
        <v>1</v>
      </c>
      <c r="AS123" s="36">
        <v>1</v>
      </c>
      <c r="AT123" s="36">
        <v>1</v>
      </c>
      <c r="AU123" s="36">
        <v>1</v>
      </c>
      <c r="AV123" s="36">
        <v>2</v>
      </c>
      <c r="AW123" s="36">
        <v>6</v>
      </c>
      <c r="AX123" s="49">
        <f t="shared" si="20"/>
        <v>5</v>
      </c>
      <c r="AY123" s="49">
        <v>0</v>
      </c>
      <c r="AZ123" s="50">
        <v>4</v>
      </c>
      <c r="BA123" s="49">
        <v>6</v>
      </c>
      <c r="BB123" s="49">
        <v>15</v>
      </c>
      <c r="BC123" s="67">
        <v>20</v>
      </c>
      <c r="BD123" s="67">
        <v>0</v>
      </c>
      <c r="BE123" s="67">
        <v>5</v>
      </c>
      <c r="BF123" s="67">
        <v>5</v>
      </c>
      <c r="BG123" s="67">
        <v>1</v>
      </c>
      <c r="BH123" s="67">
        <v>1</v>
      </c>
      <c r="BI123" s="67">
        <v>2</v>
      </c>
      <c r="BJ123" s="67">
        <v>1</v>
      </c>
      <c r="BK123" s="67">
        <v>1</v>
      </c>
      <c r="BL123" s="67">
        <v>10</v>
      </c>
      <c r="BM123" s="67">
        <f t="shared" si="23"/>
        <v>26</v>
      </c>
      <c r="BN123" s="18">
        <f t="shared" si="24"/>
        <v>30</v>
      </c>
      <c r="BO123" s="18"/>
      <c r="BP123" s="18"/>
      <c r="BQ123" s="1"/>
    </row>
    <row r="124" spans="1:69" x14ac:dyDescent="0.25">
      <c r="A124" s="18" t="s">
        <v>6</v>
      </c>
      <c r="B124" s="18">
        <v>2024</v>
      </c>
      <c r="C124" s="18" t="s">
        <v>138</v>
      </c>
      <c r="D124" s="18" t="s">
        <v>266</v>
      </c>
      <c r="E124" s="18">
        <v>40</v>
      </c>
      <c r="F124" s="18">
        <v>40</v>
      </c>
      <c r="G124" s="18" t="s">
        <v>153</v>
      </c>
      <c r="H124" s="18"/>
      <c r="I124" s="18" t="s">
        <v>297</v>
      </c>
      <c r="J124" s="31">
        <v>11.5</v>
      </c>
      <c r="K124" s="31">
        <v>12</v>
      </c>
      <c r="L124" s="4">
        <v>0.5</v>
      </c>
      <c r="M124" s="32">
        <v>0.9</v>
      </c>
      <c r="N124" s="31">
        <v>0.45</v>
      </c>
      <c r="O124" s="18">
        <v>0.45</v>
      </c>
      <c r="P124" s="18">
        <v>22.5</v>
      </c>
      <c r="Q124" s="18">
        <v>20</v>
      </c>
      <c r="R124" s="18">
        <v>0.42</v>
      </c>
      <c r="S124" s="18">
        <v>0</v>
      </c>
      <c r="T124" s="65">
        <v>0</v>
      </c>
      <c r="U124" s="18">
        <v>4</v>
      </c>
      <c r="V124" s="18"/>
      <c r="W124" s="18">
        <v>4</v>
      </c>
      <c r="X124" s="4">
        <v>105</v>
      </c>
      <c r="Y124" s="18">
        <v>0</v>
      </c>
      <c r="Z124" s="18" t="s">
        <v>330</v>
      </c>
      <c r="AA124" s="18" t="s">
        <v>333</v>
      </c>
      <c r="AB124" s="18" t="s">
        <v>335</v>
      </c>
      <c r="AC124" s="18">
        <v>20</v>
      </c>
      <c r="AD124" s="18">
        <v>22.5</v>
      </c>
      <c r="AE124" s="18" t="s">
        <v>34</v>
      </c>
      <c r="AF124" s="18" t="s">
        <v>32</v>
      </c>
      <c r="AG124" s="18" t="s">
        <v>32</v>
      </c>
      <c r="AH124" s="18">
        <v>30</v>
      </c>
      <c r="AI124" s="18" t="s">
        <v>29</v>
      </c>
      <c r="AJ124" s="18" t="s">
        <v>66</v>
      </c>
      <c r="AK124" s="18" t="s">
        <v>79</v>
      </c>
      <c r="AL124" s="18" t="s">
        <v>96</v>
      </c>
      <c r="AM124" s="18" t="s">
        <v>109</v>
      </c>
      <c r="AN124" s="18" t="s">
        <v>118</v>
      </c>
      <c r="AO124" s="18" t="s">
        <v>267</v>
      </c>
      <c r="AP124" s="18"/>
      <c r="AQ124" s="18"/>
      <c r="AR124" s="18">
        <v>1</v>
      </c>
      <c r="AS124" s="36">
        <v>1</v>
      </c>
      <c r="AT124" s="36">
        <v>1</v>
      </c>
      <c r="AU124" s="36">
        <v>1</v>
      </c>
      <c r="AV124" s="36">
        <v>2</v>
      </c>
      <c r="AW124" s="36">
        <v>6</v>
      </c>
      <c r="AX124" s="49">
        <f t="shared" si="20"/>
        <v>0</v>
      </c>
      <c r="AY124" s="49">
        <v>0</v>
      </c>
      <c r="AZ124" s="50">
        <v>4</v>
      </c>
      <c r="BA124" s="49">
        <v>6</v>
      </c>
      <c r="BB124" s="49">
        <v>15</v>
      </c>
      <c r="BC124" s="67">
        <v>9</v>
      </c>
      <c r="BD124" s="67">
        <v>0</v>
      </c>
      <c r="BE124" s="67">
        <v>8</v>
      </c>
      <c r="BF124" s="67">
        <v>0</v>
      </c>
      <c r="BG124" s="67">
        <v>1</v>
      </c>
      <c r="BH124" s="67">
        <v>1</v>
      </c>
      <c r="BI124" s="67">
        <v>2</v>
      </c>
      <c r="BJ124" s="67">
        <v>1</v>
      </c>
      <c r="BK124" s="67">
        <v>1</v>
      </c>
      <c r="BL124" s="67">
        <v>10</v>
      </c>
      <c r="BM124" s="67">
        <f t="shared" si="23"/>
        <v>24</v>
      </c>
      <c r="BN124" s="18">
        <f t="shared" si="24"/>
        <v>25</v>
      </c>
      <c r="BO124" s="18"/>
      <c r="BP124" s="18"/>
      <c r="BQ124" s="1"/>
    </row>
    <row r="125" spans="1:69" x14ac:dyDescent="0.25">
      <c r="A125" s="18" t="s">
        <v>6</v>
      </c>
      <c r="B125" s="18">
        <v>2024</v>
      </c>
      <c r="C125" s="18" t="s">
        <v>138</v>
      </c>
      <c r="D125" s="18" t="s">
        <v>266</v>
      </c>
      <c r="E125" s="18">
        <v>40</v>
      </c>
      <c r="F125" s="18">
        <v>40</v>
      </c>
      <c r="G125" s="18" t="s">
        <v>153</v>
      </c>
      <c r="H125" s="18"/>
      <c r="I125" s="18" t="s">
        <v>298</v>
      </c>
      <c r="J125" s="31">
        <v>26</v>
      </c>
      <c r="K125" s="31">
        <v>26.5</v>
      </c>
      <c r="L125" s="4">
        <v>0.5</v>
      </c>
      <c r="M125" s="32">
        <v>0.4</v>
      </c>
      <c r="N125" s="31">
        <v>0.2</v>
      </c>
      <c r="O125" s="18">
        <v>0.2</v>
      </c>
      <c r="P125" s="18">
        <v>10</v>
      </c>
      <c r="Q125" s="18">
        <v>20</v>
      </c>
      <c r="R125" s="18">
        <v>0.19</v>
      </c>
      <c r="S125" s="18">
        <v>0</v>
      </c>
      <c r="T125" s="65">
        <v>0</v>
      </c>
      <c r="U125" s="18">
        <v>5</v>
      </c>
      <c r="V125" s="18"/>
      <c r="W125" s="18">
        <v>5</v>
      </c>
      <c r="X125" s="4">
        <v>38</v>
      </c>
      <c r="Y125" s="18">
        <v>0</v>
      </c>
      <c r="Z125" s="18" t="s">
        <v>330</v>
      </c>
      <c r="AA125" s="18" t="s">
        <v>333</v>
      </c>
      <c r="AB125" s="18" t="s">
        <v>336</v>
      </c>
      <c r="AC125" s="18">
        <v>20</v>
      </c>
      <c r="AD125" s="18">
        <v>10</v>
      </c>
      <c r="AE125" s="18" t="s">
        <v>32</v>
      </c>
      <c r="AF125" s="18" t="s">
        <v>34</v>
      </c>
      <c r="AG125" s="18" t="s">
        <v>34</v>
      </c>
      <c r="AH125" s="18">
        <v>17</v>
      </c>
      <c r="AI125" s="18"/>
      <c r="AJ125" s="18" t="s">
        <v>66</v>
      </c>
      <c r="AK125" s="18" t="s">
        <v>79</v>
      </c>
      <c r="AL125" s="18" t="s">
        <v>96</v>
      </c>
      <c r="AM125" s="18" t="s">
        <v>109</v>
      </c>
      <c r="AN125" s="18" t="s">
        <v>120</v>
      </c>
      <c r="AO125" s="18" t="s">
        <v>247</v>
      </c>
      <c r="AP125" s="18"/>
      <c r="AQ125" s="18"/>
      <c r="AR125" s="18">
        <v>1</v>
      </c>
      <c r="AS125" s="36">
        <v>1</v>
      </c>
      <c r="AT125" s="36">
        <v>1</v>
      </c>
      <c r="AU125" s="36">
        <v>1</v>
      </c>
      <c r="AV125" s="36">
        <v>2</v>
      </c>
      <c r="AW125" s="36">
        <v>6</v>
      </c>
      <c r="AX125" s="49">
        <f t="shared" si="20"/>
        <v>0</v>
      </c>
      <c r="AY125" s="49">
        <v>1</v>
      </c>
      <c r="AZ125" s="50">
        <v>3</v>
      </c>
      <c r="BA125" s="49">
        <v>6</v>
      </c>
      <c r="BB125" s="49">
        <v>10</v>
      </c>
      <c r="BC125" s="67">
        <v>9</v>
      </c>
      <c r="BD125" s="67">
        <v>1</v>
      </c>
      <c r="BE125" s="67">
        <v>5</v>
      </c>
      <c r="BF125" s="67">
        <v>0</v>
      </c>
      <c r="BG125" s="67">
        <v>1</v>
      </c>
      <c r="BH125" s="67">
        <v>1</v>
      </c>
      <c r="BI125" s="67">
        <v>2</v>
      </c>
      <c r="BJ125" s="67">
        <v>1</v>
      </c>
      <c r="BK125" s="67">
        <v>1</v>
      </c>
      <c r="BL125" s="67">
        <v>7</v>
      </c>
      <c r="BM125" s="67">
        <f t="shared" si="23"/>
        <v>19</v>
      </c>
      <c r="BN125" s="18">
        <f t="shared" si="24"/>
        <v>20</v>
      </c>
      <c r="BO125" s="18"/>
      <c r="BP125" s="18"/>
      <c r="BQ125" s="1"/>
    </row>
    <row r="126" spans="1:69" x14ac:dyDescent="0.25">
      <c r="A126" s="18" t="s">
        <v>6</v>
      </c>
      <c r="B126" s="18">
        <v>2024</v>
      </c>
      <c r="C126" s="18" t="s">
        <v>138</v>
      </c>
      <c r="D126" s="18" t="s">
        <v>266</v>
      </c>
      <c r="E126" s="18">
        <v>40</v>
      </c>
      <c r="F126" s="18">
        <v>40</v>
      </c>
      <c r="G126" s="18" t="s">
        <v>153</v>
      </c>
      <c r="H126" s="18"/>
      <c r="I126" s="18" t="s">
        <v>298</v>
      </c>
      <c r="J126" s="31">
        <v>26.5</v>
      </c>
      <c r="K126" s="31">
        <v>27</v>
      </c>
      <c r="L126" s="4">
        <v>0.5</v>
      </c>
      <c r="M126" s="32">
        <v>0.36</v>
      </c>
      <c r="N126" s="31">
        <v>0.18</v>
      </c>
      <c r="O126" s="18">
        <v>0.18</v>
      </c>
      <c r="P126" s="18">
        <v>9</v>
      </c>
      <c r="Q126" s="18">
        <v>20</v>
      </c>
      <c r="R126" s="18">
        <v>0.16</v>
      </c>
      <c r="S126" s="18">
        <v>0.1</v>
      </c>
      <c r="T126" s="65">
        <v>20</v>
      </c>
      <c r="U126" s="18">
        <v>3</v>
      </c>
      <c r="V126" s="18"/>
      <c r="W126" s="18">
        <v>3</v>
      </c>
      <c r="X126" s="4">
        <v>53.333333333333336</v>
      </c>
      <c r="Y126" s="18">
        <v>0</v>
      </c>
      <c r="Z126" s="18" t="s">
        <v>330</v>
      </c>
      <c r="AA126" s="18" t="s">
        <v>333</v>
      </c>
      <c r="AB126" s="18" t="s">
        <v>337</v>
      </c>
      <c r="AC126" s="18">
        <v>20</v>
      </c>
      <c r="AD126" s="18">
        <v>9</v>
      </c>
      <c r="AE126" s="18" t="s">
        <v>29</v>
      </c>
      <c r="AF126" s="18" t="s">
        <v>34</v>
      </c>
      <c r="AG126" s="18" t="s">
        <v>34</v>
      </c>
      <c r="AH126" s="18">
        <v>17</v>
      </c>
      <c r="AI126" s="18"/>
      <c r="AJ126" s="18" t="s">
        <v>66</v>
      </c>
      <c r="AK126" s="18" t="s">
        <v>79</v>
      </c>
      <c r="AL126" s="18" t="s">
        <v>96</v>
      </c>
      <c r="AM126" s="18" t="s">
        <v>109</v>
      </c>
      <c r="AN126" s="18" t="s">
        <v>120</v>
      </c>
      <c r="AO126" s="18" t="s">
        <v>247</v>
      </c>
      <c r="AP126" s="18"/>
      <c r="AQ126" s="18"/>
      <c r="AR126" s="18">
        <v>1</v>
      </c>
      <c r="AS126" s="36">
        <v>1</v>
      </c>
      <c r="AT126" s="36">
        <v>1</v>
      </c>
      <c r="AU126" s="36">
        <v>1</v>
      </c>
      <c r="AV126" s="36">
        <v>2</v>
      </c>
      <c r="AW126" s="36">
        <v>6</v>
      </c>
      <c r="AX126" s="49">
        <f t="shared" si="20"/>
        <v>4</v>
      </c>
      <c r="AY126" s="49">
        <v>2</v>
      </c>
      <c r="AZ126" s="50">
        <v>3</v>
      </c>
      <c r="BA126" s="49">
        <v>6</v>
      </c>
      <c r="BB126" s="49">
        <v>10</v>
      </c>
      <c r="BC126" s="67">
        <v>19</v>
      </c>
      <c r="BD126" s="67">
        <v>2</v>
      </c>
      <c r="BE126" s="67">
        <v>4</v>
      </c>
      <c r="BF126" s="67">
        <v>4</v>
      </c>
      <c r="BG126" s="67">
        <v>1</v>
      </c>
      <c r="BH126" s="67">
        <v>1</v>
      </c>
      <c r="BI126" s="67">
        <v>2</v>
      </c>
      <c r="BJ126" s="67">
        <v>1</v>
      </c>
      <c r="BK126" s="67">
        <v>1</v>
      </c>
      <c r="BL126" s="67">
        <v>7</v>
      </c>
      <c r="BM126" s="67">
        <f t="shared" si="23"/>
        <v>23</v>
      </c>
      <c r="BN126" s="18">
        <f t="shared" si="24"/>
        <v>25</v>
      </c>
      <c r="BO126" s="18"/>
      <c r="BP126" s="18"/>
      <c r="BQ126" s="1"/>
    </row>
    <row r="127" spans="1:69" x14ac:dyDescent="0.25">
      <c r="A127" s="18" t="s">
        <v>6</v>
      </c>
      <c r="B127" s="18">
        <v>2024</v>
      </c>
      <c r="C127" s="18" t="s">
        <v>138</v>
      </c>
      <c r="D127" s="18" t="s">
        <v>266</v>
      </c>
      <c r="E127" s="18">
        <v>40</v>
      </c>
      <c r="F127" s="18">
        <v>40</v>
      </c>
      <c r="G127" s="18" t="s">
        <v>153</v>
      </c>
      <c r="H127" s="18"/>
      <c r="I127" s="18" t="s">
        <v>298</v>
      </c>
      <c r="J127" s="31">
        <v>27</v>
      </c>
      <c r="K127" s="31">
        <v>27.5</v>
      </c>
      <c r="L127" s="4">
        <v>0.5</v>
      </c>
      <c r="M127" s="32">
        <v>0.36</v>
      </c>
      <c r="N127" s="31">
        <v>0.18</v>
      </c>
      <c r="O127" s="18">
        <v>0.18</v>
      </c>
      <c r="P127" s="18">
        <v>9</v>
      </c>
      <c r="Q127" s="18">
        <v>20</v>
      </c>
      <c r="R127" s="18">
        <v>0.15</v>
      </c>
      <c r="S127" s="18">
        <v>0.15</v>
      </c>
      <c r="T127" s="65">
        <v>30</v>
      </c>
      <c r="U127" s="18">
        <v>2</v>
      </c>
      <c r="V127" s="18"/>
      <c r="W127" s="18">
        <v>2</v>
      </c>
      <c r="X127" s="4">
        <v>75</v>
      </c>
      <c r="Y127" s="18">
        <v>0</v>
      </c>
      <c r="Z127" s="18" t="s">
        <v>330</v>
      </c>
      <c r="AA127" s="18" t="s">
        <v>333</v>
      </c>
      <c r="AB127" s="18" t="s">
        <v>337</v>
      </c>
      <c r="AC127" s="18">
        <v>20</v>
      </c>
      <c r="AD127" s="18">
        <v>9</v>
      </c>
      <c r="AE127" s="18" t="s">
        <v>29</v>
      </c>
      <c r="AF127" s="18" t="s">
        <v>34</v>
      </c>
      <c r="AG127" s="18" t="s">
        <v>34</v>
      </c>
      <c r="AH127" s="18">
        <v>17</v>
      </c>
      <c r="AI127" s="18"/>
      <c r="AJ127" s="18" t="s">
        <v>66</v>
      </c>
      <c r="AK127" s="18" t="s">
        <v>79</v>
      </c>
      <c r="AL127" s="18" t="s">
        <v>96</v>
      </c>
      <c r="AM127" s="18" t="s">
        <v>109</v>
      </c>
      <c r="AN127" s="18" t="s">
        <v>120</v>
      </c>
      <c r="AO127" s="18" t="s">
        <v>247</v>
      </c>
      <c r="AP127" s="18"/>
      <c r="AQ127" s="18"/>
      <c r="AR127" s="18">
        <v>1</v>
      </c>
      <c r="AS127" s="36">
        <v>1</v>
      </c>
      <c r="AT127" s="36">
        <v>1</v>
      </c>
      <c r="AU127" s="36">
        <v>1</v>
      </c>
      <c r="AV127" s="36">
        <v>2</v>
      </c>
      <c r="AW127" s="36">
        <v>6</v>
      </c>
      <c r="AX127" s="49">
        <f t="shared" si="20"/>
        <v>6</v>
      </c>
      <c r="AY127" s="49">
        <v>2</v>
      </c>
      <c r="AZ127" s="50">
        <v>3</v>
      </c>
      <c r="BA127" s="49">
        <v>6</v>
      </c>
      <c r="BB127" s="49">
        <v>10</v>
      </c>
      <c r="BC127" s="67">
        <v>24</v>
      </c>
      <c r="BD127" s="67">
        <v>2</v>
      </c>
      <c r="BE127" s="67">
        <v>6</v>
      </c>
      <c r="BF127" s="67">
        <v>6</v>
      </c>
      <c r="BG127" s="67">
        <v>1</v>
      </c>
      <c r="BH127" s="67">
        <v>1</v>
      </c>
      <c r="BI127" s="67">
        <v>2</v>
      </c>
      <c r="BJ127" s="67">
        <v>1</v>
      </c>
      <c r="BK127" s="67">
        <v>1</v>
      </c>
      <c r="BL127" s="67">
        <v>7</v>
      </c>
      <c r="BM127" s="67">
        <f t="shared" si="23"/>
        <v>27</v>
      </c>
      <c r="BN127" s="18">
        <f t="shared" si="24"/>
        <v>27</v>
      </c>
      <c r="BO127" s="18"/>
      <c r="BP127" s="18"/>
      <c r="BQ127" s="1"/>
    </row>
    <row r="128" spans="1:69" x14ac:dyDescent="0.25">
      <c r="A128" s="18" t="s">
        <v>6</v>
      </c>
      <c r="B128" s="18">
        <v>2024</v>
      </c>
      <c r="C128" s="18" t="s">
        <v>138</v>
      </c>
      <c r="D128" s="18" t="s">
        <v>266</v>
      </c>
      <c r="E128" s="18">
        <v>40</v>
      </c>
      <c r="F128" s="18">
        <v>40</v>
      </c>
      <c r="G128" s="18" t="s">
        <v>153</v>
      </c>
      <c r="H128" s="18"/>
      <c r="I128" s="18" t="s">
        <v>298</v>
      </c>
      <c r="J128" s="31">
        <v>27.5</v>
      </c>
      <c r="K128" s="31">
        <v>28</v>
      </c>
      <c r="L128" s="4">
        <v>0.5</v>
      </c>
      <c r="M128" s="32">
        <v>0.44</v>
      </c>
      <c r="N128" s="31">
        <v>0.22</v>
      </c>
      <c r="O128" s="18">
        <v>0.22</v>
      </c>
      <c r="P128" s="18">
        <v>11</v>
      </c>
      <c r="Q128" s="18">
        <v>20</v>
      </c>
      <c r="R128" s="18">
        <v>0.16</v>
      </c>
      <c r="S128" s="18">
        <v>0</v>
      </c>
      <c r="T128" s="65">
        <v>0</v>
      </c>
      <c r="U128" s="18">
        <v>3</v>
      </c>
      <c r="V128" s="18"/>
      <c r="W128" s="18">
        <v>3</v>
      </c>
      <c r="X128" s="4">
        <v>53.333333333333336</v>
      </c>
      <c r="Y128" s="18">
        <v>0</v>
      </c>
      <c r="Z128" s="18" t="s">
        <v>330</v>
      </c>
      <c r="AA128" s="18" t="s">
        <v>333</v>
      </c>
      <c r="AB128" s="18" t="s">
        <v>336</v>
      </c>
      <c r="AC128" s="18">
        <v>20</v>
      </c>
      <c r="AD128" s="18">
        <v>11</v>
      </c>
      <c r="AE128" s="18" t="s">
        <v>32</v>
      </c>
      <c r="AF128" s="18" t="s">
        <v>34</v>
      </c>
      <c r="AG128" s="18" t="s">
        <v>34</v>
      </c>
      <c r="AH128" s="18">
        <v>17</v>
      </c>
      <c r="AI128" s="18"/>
      <c r="AJ128" s="18" t="s">
        <v>69</v>
      </c>
      <c r="AK128" s="18" t="s">
        <v>81</v>
      </c>
      <c r="AL128" s="18" t="s">
        <v>100</v>
      </c>
      <c r="AM128" s="18" t="s">
        <v>109</v>
      </c>
      <c r="AN128" s="18" t="s">
        <v>122</v>
      </c>
      <c r="AO128" s="18" t="s">
        <v>267</v>
      </c>
      <c r="AP128" s="18" t="s">
        <v>280</v>
      </c>
      <c r="AQ128" s="18"/>
      <c r="AR128" s="18">
        <v>0</v>
      </c>
      <c r="AS128" s="36">
        <v>0</v>
      </c>
      <c r="AT128" s="36">
        <v>0</v>
      </c>
      <c r="AU128" s="36">
        <v>1</v>
      </c>
      <c r="AV128" s="36">
        <v>0</v>
      </c>
      <c r="AW128" s="36">
        <v>1</v>
      </c>
      <c r="AX128" s="49">
        <f t="shared" si="20"/>
        <v>0</v>
      </c>
      <c r="AY128" s="49">
        <v>1</v>
      </c>
      <c r="AZ128" s="50">
        <v>3</v>
      </c>
      <c r="BA128" s="49">
        <v>1</v>
      </c>
      <c r="BB128" s="49">
        <v>15</v>
      </c>
      <c r="BC128" s="67">
        <v>1.5</v>
      </c>
      <c r="BD128" s="67">
        <v>1</v>
      </c>
      <c r="BE128" s="67">
        <v>4</v>
      </c>
      <c r="BF128" s="67">
        <v>0</v>
      </c>
      <c r="BG128" s="67">
        <v>0</v>
      </c>
      <c r="BH128" s="67">
        <v>1</v>
      </c>
      <c r="BI128" s="67">
        <v>0</v>
      </c>
      <c r="BJ128" s="67">
        <v>0</v>
      </c>
      <c r="BK128" s="67">
        <v>0</v>
      </c>
      <c r="BL128" s="67">
        <v>10</v>
      </c>
      <c r="BM128" s="67">
        <f t="shared" si="23"/>
        <v>16</v>
      </c>
      <c r="BN128" s="18">
        <f t="shared" si="24"/>
        <v>20</v>
      </c>
      <c r="BO128" s="18"/>
      <c r="BP128" s="18"/>
      <c r="BQ128" s="1"/>
    </row>
    <row r="129" spans="1:69" x14ac:dyDescent="0.25">
      <c r="A129" s="18" t="s">
        <v>6</v>
      </c>
      <c r="B129" s="18">
        <v>2024</v>
      </c>
      <c r="C129" s="18" t="s">
        <v>138</v>
      </c>
      <c r="D129" s="18" t="s">
        <v>266</v>
      </c>
      <c r="E129" s="18">
        <v>40</v>
      </c>
      <c r="F129" s="18">
        <v>40</v>
      </c>
      <c r="G129" s="18" t="s">
        <v>153</v>
      </c>
      <c r="H129" s="18"/>
      <c r="I129" s="18" t="s">
        <v>298</v>
      </c>
      <c r="J129" s="31">
        <v>28</v>
      </c>
      <c r="K129" s="31">
        <v>28.5</v>
      </c>
      <c r="L129" s="4">
        <v>0.5</v>
      </c>
      <c r="M129" s="32">
        <v>0.4</v>
      </c>
      <c r="N129" s="31">
        <v>0.2</v>
      </c>
      <c r="O129" s="18">
        <v>0.2</v>
      </c>
      <c r="P129" s="18">
        <v>10</v>
      </c>
      <c r="Q129" s="18">
        <v>20</v>
      </c>
      <c r="R129" s="18">
        <v>0.18</v>
      </c>
      <c r="S129" s="18">
        <v>0</v>
      </c>
      <c r="T129" s="65">
        <v>0</v>
      </c>
      <c r="U129" s="18">
        <v>5</v>
      </c>
      <c r="V129" s="18"/>
      <c r="W129" s="18">
        <v>5</v>
      </c>
      <c r="X129" s="4">
        <v>36</v>
      </c>
      <c r="Y129" s="18">
        <v>0</v>
      </c>
      <c r="Z129" s="18" t="s">
        <v>330</v>
      </c>
      <c r="AA129" s="18" t="s">
        <v>333</v>
      </c>
      <c r="AB129" s="18" t="s">
        <v>336</v>
      </c>
      <c r="AC129" s="18">
        <v>20</v>
      </c>
      <c r="AD129" s="18">
        <v>10</v>
      </c>
      <c r="AE129" s="18" t="s">
        <v>32</v>
      </c>
      <c r="AF129" s="18" t="s">
        <v>34</v>
      </c>
      <c r="AG129" s="18" t="s">
        <v>34</v>
      </c>
      <c r="AH129" s="18">
        <v>17</v>
      </c>
      <c r="AI129" s="18"/>
      <c r="AJ129" s="18" t="s">
        <v>69</v>
      </c>
      <c r="AK129" s="18" t="s">
        <v>81</v>
      </c>
      <c r="AL129" s="18" t="s">
        <v>100</v>
      </c>
      <c r="AM129" s="18" t="s">
        <v>109</v>
      </c>
      <c r="AN129" s="18" t="s">
        <v>122</v>
      </c>
      <c r="AO129" s="18" t="s">
        <v>267</v>
      </c>
      <c r="AP129" s="18" t="s">
        <v>280</v>
      </c>
      <c r="AQ129" s="18"/>
      <c r="AR129" s="18">
        <v>0</v>
      </c>
      <c r="AS129" s="36">
        <v>0</v>
      </c>
      <c r="AT129" s="36">
        <v>0</v>
      </c>
      <c r="AU129" s="36">
        <v>1</v>
      </c>
      <c r="AV129" s="36">
        <v>0</v>
      </c>
      <c r="AW129" s="36">
        <v>1</v>
      </c>
      <c r="AX129" s="49">
        <f t="shared" si="20"/>
        <v>0</v>
      </c>
      <c r="AY129" s="49">
        <v>1</v>
      </c>
      <c r="AZ129" s="50">
        <v>3</v>
      </c>
      <c r="BA129" s="49">
        <v>1</v>
      </c>
      <c r="BB129" s="49">
        <v>15</v>
      </c>
      <c r="BC129" s="67">
        <v>1.5</v>
      </c>
      <c r="BD129" s="67">
        <v>1</v>
      </c>
      <c r="BE129" s="67">
        <v>5</v>
      </c>
      <c r="BF129" s="67">
        <v>0</v>
      </c>
      <c r="BG129" s="67">
        <v>0</v>
      </c>
      <c r="BH129" s="67">
        <v>1</v>
      </c>
      <c r="BI129" s="67">
        <v>0</v>
      </c>
      <c r="BJ129" s="67">
        <v>0</v>
      </c>
      <c r="BK129" s="67">
        <v>0</v>
      </c>
      <c r="BL129" s="67">
        <v>10</v>
      </c>
      <c r="BM129" s="67">
        <f t="shared" si="23"/>
        <v>17</v>
      </c>
      <c r="BN129" s="18">
        <f t="shared" si="24"/>
        <v>20</v>
      </c>
      <c r="BO129" s="18"/>
      <c r="BP129" s="18"/>
      <c r="BQ129" s="1"/>
    </row>
    <row r="130" spans="1:69" x14ac:dyDescent="0.25">
      <c r="A130" s="18" t="s">
        <v>6</v>
      </c>
      <c r="B130" s="18">
        <v>2024</v>
      </c>
      <c r="C130" s="18" t="s">
        <v>138</v>
      </c>
      <c r="D130" s="18" t="s">
        <v>266</v>
      </c>
      <c r="E130" s="18">
        <v>40</v>
      </c>
      <c r="F130" s="18">
        <v>40</v>
      </c>
      <c r="G130" s="18" t="s">
        <v>153</v>
      </c>
      <c r="H130" s="18"/>
      <c r="I130" s="18" t="s">
        <v>298</v>
      </c>
      <c r="J130" s="31">
        <v>28.5</v>
      </c>
      <c r="K130" s="31">
        <v>29</v>
      </c>
      <c r="L130" s="4">
        <v>0.5</v>
      </c>
      <c r="M130" s="32">
        <v>0.44</v>
      </c>
      <c r="N130" s="31">
        <v>0.22</v>
      </c>
      <c r="O130" s="18">
        <v>0.22</v>
      </c>
      <c r="P130" s="18">
        <v>11</v>
      </c>
      <c r="Q130" s="18">
        <v>20</v>
      </c>
      <c r="R130" s="18">
        <v>0.19</v>
      </c>
      <c r="S130" s="18">
        <v>0</v>
      </c>
      <c r="T130" s="65">
        <v>0</v>
      </c>
      <c r="U130" s="18">
        <v>5</v>
      </c>
      <c r="V130" s="18"/>
      <c r="W130" s="18">
        <v>5</v>
      </c>
      <c r="X130" s="4">
        <v>38</v>
      </c>
      <c r="Y130" s="18">
        <v>0</v>
      </c>
      <c r="Z130" s="18" t="s">
        <v>330</v>
      </c>
      <c r="AA130" s="18" t="s">
        <v>333</v>
      </c>
      <c r="AB130" s="18" t="s">
        <v>334</v>
      </c>
      <c r="AC130" s="18">
        <v>20</v>
      </c>
      <c r="AD130" s="18">
        <v>11</v>
      </c>
      <c r="AE130" s="18" t="s">
        <v>27</v>
      </c>
      <c r="AF130" s="18" t="s">
        <v>34</v>
      </c>
      <c r="AG130" s="18" t="s">
        <v>34</v>
      </c>
      <c r="AH130" s="18">
        <v>17</v>
      </c>
      <c r="AI130" s="18"/>
      <c r="AJ130" s="18" t="s">
        <v>69</v>
      </c>
      <c r="AK130" s="18" t="s">
        <v>81</v>
      </c>
      <c r="AL130" s="18" t="s">
        <v>100</v>
      </c>
      <c r="AM130" s="18" t="s">
        <v>109</v>
      </c>
      <c r="AN130" s="18" t="s">
        <v>122</v>
      </c>
      <c r="AO130" s="18" t="s">
        <v>267</v>
      </c>
      <c r="AP130" s="18" t="s">
        <v>280</v>
      </c>
      <c r="AQ130" s="18"/>
      <c r="AR130" s="18">
        <v>0</v>
      </c>
      <c r="AS130" s="36">
        <v>0</v>
      </c>
      <c r="AT130" s="36">
        <v>0</v>
      </c>
      <c r="AU130" s="36">
        <v>1</v>
      </c>
      <c r="AV130" s="36">
        <v>0</v>
      </c>
      <c r="AW130" s="36">
        <v>1</v>
      </c>
      <c r="AX130" s="49">
        <f t="shared" si="20"/>
        <v>0</v>
      </c>
      <c r="AY130" s="49">
        <v>4</v>
      </c>
      <c r="AZ130" s="50">
        <v>3</v>
      </c>
      <c r="BA130" s="49">
        <v>1</v>
      </c>
      <c r="BB130" s="49">
        <v>15</v>
      </c>
      <c r="BC130" s="67">
        <v>1.5</v>
      </c>
      <c r="BD130" s="67">
        <v>4</v>
      </c>
      <c r="BE130" s="67">
        <v>5</v>
      </c>
      <c r="BF130" s="67">
        <v>0</v>
      </c>
      <c r="BG130" s="67">
        <v>0</v>
      </c>
      <c r="BH130" s="67">
        <v>1</v>
      </c>
      <c r="BI130" s="67">
        <v>0</v>
      </c>
      <c r="BJ130" s="67">
        <v>0</v>
      </c>
      <c r="BK130" s="67">
        <v>0</v>
      </c>
      <c r="BL130" s="67">
        <v>10</v>
      </c>
      <c r="BM130" s="67">
        <f t="shared" si="23"/>
        <v>20</v>
      </c>
      <c r="BN130" s="18">
        <f t="shared" si="24"/>
        <v>23</v>
      </c>
      <c r="BO130" s="18"/>
      <c r="BP130" s="18"/>
      <c r="BQ130" s="1"/>
    </row>
    <row r="131" spans="1:69" x14ac:dyDescent="0.25">
      <c r="A131" s="18" t="s">
        <v>6</v>
      </c>
      <c r="B131" s="18">
        <v>2024</v>
      </c>
      <c r="C131" s="18" t="s">
        <v>138</v>
      </c>
      <c r="D131" s="18" t="s">
        <v>266</v>
      </c>
      <c r="E131" s="18">
        <v>40</v>
      </c>
      <c r="F131" s="18">
        <v>40</v>
      </c>
      <c r="G131" s="18" t="s">
        <v>153</v>
      </c>
      <c r="H131" s="18"/>
      <c r="I131" s="18" t="s">
        <v>299</v>
      </c>
      <c r="J131" s="31">
        <v>29</v>
      </c>
      <c r="K131" s="31">
        <v>29.5</v>
      </c>
      <c r="L131" s="4">
        <v>0.5</v>
      </c>
      <c r="M131" s="32">
        <v>0.4</v>
      </c>
      <c r="N131" s="31">
        <v>0.2</v>
      </c>
      <c r="O131" s="18">
        <v>0.2</v>
      </c>
      <c r="P131" s="18">
        <v>10</v>
      </c>
      <c r="Q131" s="18">
        <v>20</v>
      </c>
      <c r="R131" s="18">
        <v>0.18</v>
      </c>
      <c r="S131" s="18">
        <v>0</v>
      </c>
      <c r="T131" s="65">
        <v>0</v>
      </c>
      <c r="U131" s="18">
        <v>5</v>
      </c>
      <c r="V131" s="18"/>
      <c r="W131" s="18">
        <v>5</v>
      </c>
      <c r="X131" s="4">
        <v>36</v>
      </c>
      <c r="Y131" s="18">
        <v>0</v>
      </c>
      <c r="Z131" s="18" t="s">
        <v>330</v>
      </c>
      <c r="AA131" s="18" t="s">
        <v>333</v>
      </c>
      <c r="AB131" s="18" t="s">
        <v>334</v>
      </c>
      <c r="AC131" s="18">
        <v>20</v>
      </c>
      <c r="AD131" s="18">
        <v>10</v>
      </c>
      <c r="AE131" s="18" t="s">
        <v>27</v>
      </c>
      <c r="AF131" s="18" t="s">
        <v>32</v>
      </c>
      <c r="AG131" s="18" t="s">
        <v>32</v>
      </c>
      <c r="AH131" s="18">
        <v>30</v>
      </c>
      <c r="AI131" s="18" t="s">
        <v>29</v>
      </c>
      <c r="AJ131" s="18" t="s">
        <v>66</v>
      </c>
      <c r="AK131" s="18" t="s">
        <v>79</v>
      </c>
      <c r="AL131" s="18" t="s">
        <v>96</v>
      </c>
      <c r="AM131" s="18" t="s">
        <v>107</v>
      </c>
      <c r="AN131" s="18" t="s">
        <v>120</v>
      </c>
      <c r="AO131" s="18" t="s">
        <v>267</v>
      </c>
      <c r="AP131" s="18" t="s">
        <v>281</v>
      </c>
      <c r="AQ131" s="18"/>
      <c r="AR131" s="18">
        <v>1</v>
      </c>
      <c r="AS131" s="36">
        <v>1</v>
      </c>
      <c r="AT131" s="36">
        <v>1</v>
      </c>
      <c r="AU131" s="36">
        <v>3</v>
      </c>
      <c r="AV131" s="36">
        <v>2</v>
      </c>
      <c r="AW131" s="36">
        <v>8</v>
      </c>
      <c r="AX131" s="49">
        <f t="shared" si="20"/>
        <v>0</v>
      </c>
      <c r="AY131" s="49">
        <v>4</v>
      </c>
      <c r="AZ131" s="50">
        <v>3</v>
      </c>
      <c r="BA131" s="49">
        <v>8</v>
      </c>
      <c r="BB131" s="49">
        <v>15</v>
      </c>
      <c r="BC131" s="67">
        <v>12</v>
      </c>
      <c r="BD131" s="67">
        <v>4</v>
      </c>
      <c r="BE131" s="67">
        <v>5</v>
      </c>
      <c r="BF131" s="67">
        <v>0</v>
      </c>
      <c r="BG131" s="67">
        <v>1</v>
      </c>
      <c r="BH131" s="67">
        <v>3</v>
      </c>
      <c r="BI131" s="67">
        <v>2</v>
      </c>
      <c r="BJ131" s="67">
        <v>1</v>
      </c>
      <c r="BK131" s="67">
        <v>1</v>
      </c>
      <c r="BL131" s="67">
        <v>10</v>
      </c>
      <c r="BM131" s="67">
        <f t="shared" si="23"/>
        <v>27</v>
      </c>
      <c r="BN131" s="18">
        <f t="shared" si="24"/>
        <v>30</v>
      </c>
      <c r="BO131" s="18"/>
      <c r="BP131" s="18"/>
      <c r="BQ131" s="1"/>
    </row>
    <row r="132" spans="1:69" x14ac:dyDescent="0.25">
      <c r="A132" s="18" t="s">
        <v>6</v>
      </c>
      <c r="B132" s="18">
        <v>2024</v>
      </c>
      <c r="C132" s="18" t="s">
        <v>138</v>
      </c>
      <c r="D132" s="18" t="s">
        <v>266</v>
      </c>
      <c r="E132" s="18">
        <v>40</v>
      </c>
      <c r="F132" s="18">
        <v>40</v>
      </c>
      <c r="G132" s="18" t="s">
        <v>153</v>
      </c>
      <c r="H132" s="18"/>
      <c r="I132" s="18" t="s">
        <v>299</v>
      </c>
      <c r="J132" s="31">
        <v>29.5</v>
      </c>
      <c r="K132" s="31">
        <v>30</v>
      </c>
      <c r="L132" s="4">
        <v>0.5</v>
      </c>
      <c r="M132" s="32">
        <v>0.6</v>
      </c>
      <c r="N132" s="31">
        <v>0.3</v>
      </c>
      <c r="O132" s="18">
        <v>0.3</v>
      </c>
      <c r="P132" s="18">
        <v>15</v>
      </c>
      <c r="Q132" s="18">
        <v>20</v>
      </c>
      <c r="R132" s="18">
        <v>0.25</v>
      </c>
      <c r="S132" s="18">
        <v>0</v>
      </c>
      <c r="T132" s="65">
        <v>0</v>
      </c>
      <c r="U132" s="18">
        <v>4</v>
      </c>
      <c r="V132" s="18"/>
      <c r="W132" s="18">
        <v>4</v>
      </c>
      <c r="X132" s="4">
        <v>62.5</v>
      </c>
      <c r="Y132" s="18">
        <v>0</v>
      </c>
      <c r="Z132" s="18" t="s">
        <v>330</v>
      </c>
      <c r="AA132" s="18" t="s">
        <v>333</v>
      </c>
      <c r="AB132" s="18" t="s">
        <v>334</v>
      </c>
      <c r="AC132" s="18">
        <v>20</v>
      </c>
      <c r="AD132" s="18">
        <v>15</v>
      </c>
      <c r="AE132" s="18" t="s">
        <v>27</v>
      </c>
      <c r="AF132" s="18" t="s">
        <v>32</v>
      </c>
      <c r="AG132" s="18" t="s">
        <v>32</v>
      </c>
      <c r="AH132" s="18">
        <v>30</v>
      </c>
      <c r="AI132" s="18" t="s">
        <v>29</v>
      </c>
      <c r="AJ132" s="18" t="s">
        <v>66</v>
      </c>
      <c r="AK132" s="18" t="s">
        <v>79</v>
      </c>
      <c r="AL132" s="18" t="s">
        <v>100</v>
      </c>
      <c r="AM132" s="18" t="s">
        <v>107</v>
      </c>
      <c r="AN132" s="18" t="s">
        <v>118</v>
      </c>
      <c r="AO132" s="18" t="s">
        <v>267</v>
      </c>
      <c r="AP132" s="18"/>
      <c r="AQ132" s="18"/>
      <c r="AR132" s="18">
        <v>1</v>
      </c>
      <c r="AS132" s="36">
        <v>1</v>
      </c>
      <c r="AT132" s="36">
        <v>0</v>
      </c>
      <c r="AU132" s="36">
        <v>3</v>
      </c>
      <c r="AV132" s="36">
        <v>2</v>
      </c>
      <c r="AW132" s="36">
        <v>7</v>
      </c>
      <c r="AX132" s="49">
        <f t="shared" si="20"/>
        <v>0</v>
      </c>
      <c r="AY132" s="49">
        <v>4</v>
      </c>
      <c r="AZ132" s="50">
        <v>4</v>
      </c>
      <c r="BA132" s="49">
        <v>7</v>
      </c>
      <c r="BB132" s="49">
        <v>15</v>
      </c>
      <c r="BC132" s="67">
        <v>10.5</v>
      </c>
      <c r="BD132" s="67">
        <v>4</v>
      </c>
      <c r="BE132" s="67">
        <v>5</v>
      </c>
      <c r="BF132" s="67">
        <v>0</v>
      </c>
      <c r="BG132" s="67">
        <v>0</v>
      </c>
      <c r="BH132" s="67">
        <v>3</v>
      </c>
      <c r="BI132" s="67">
        <v>2</v>
      </c>
      <c r="BJ132" s="67">
        <v>1</v>
      </c>
      <c r="BK132" s="67">
        <v>1</v>
      </c>
      <c r="BL132" s="67">
        <v>10</v>
      </c>
      <c r="BM132" s="67">
        <f t="shared" si="23"/>
        <v>26</v>
      </c>
      <c r="BN132" s="18">
        <f t="shared" si="24"/>
        <v>30</v>
      </c>
      <c r="BO132" s="18"/>
      <c r="BP132" s="18"/>
      <c r="BQ132" s="1"/>
    </row>
    <row r="133" spans="1:69" x14ac:dyDescent="0.25">
      <c r="A133" s="18" t="s">
        <v>6</v>
      </c>
      <c r="B133" s="18">
        <v>2024</v>
      </c>
      <c r="C133" s="18" t="s">
        <v>138</v>
      </c>
      <c r="D133" s="18" t="s">
        <v>266</v>
      </c>
      <c r="E133" s="18">
        <v>40</v>
      </c>
      <c r="F133" s="18">
        <v>40</v>
      </c>
      <c r="G133" s="18" t="s">
        <v>153</v>
      </c>
      <c r="H133" s="18"/>
      <c r="I133" s="18" t="s">
        <v>299</v>
      </c>
      <c r="J133" s="31">
        <v>30</v>
      </c>
      <c r="K133" s="31">
        <v>30.5</v>
      </c>
      <c r="L133" s="4">
        <v>0.5</v>
      </c>
      <c r="M133" s="32">
        <v>0.57999999999999996</v>
      </c>
      <c r="N133" s="31">
        <v>0.28999999999999998</v>
      </c>
      <c r="O133" s="18">
        <v>0.28999999999999998</v>
      </c>
      <c r="P133" s="18">
        <v>14.5</v>
      </c>
      <c r="Q133" s="18">
        <v>20</v>
      </c>
      <c r="R133" s="18">
        <v>0.27</v>
      </c>
      <c r="S133" s="18">
        <v>0.1</v>
      </c>
      <c r="T133" s="65">
        <v>20</v>
      </c>
      <c r="U133" s="18">
        <v>3</v>
      </c>
      <c r="V133" s="18"/>
      <c r="W133" s="18">
        <v>3</v>
      </c>
      <c r="X133" s="4">
        <v>90</v>
      </c>
      <c r="Y133" s="18">
        <v>0</v>
      </c>
      <c r="Z133" s="18" t="s">
        <v>330</v>
      </c>
      <c r="AA133" s="18" t="s">
        <v>333</v>
      </c>
      <c r="AB133" s="18" t="s">
        <v>334</v>
      </c>
      <c r="AC133" s="18">
        <v>20</v>
      </c>
      <c r="AD133" s="18">
        <v>14.5</v>
      </c>
      <c r="AE133" s="18" t="s">
        <v>27</v>
      </c>
      <c r="AF133" s="18" t="s">
        <v>32</v>
      </c>
      <c r="AG133" s="18" t="s">
        <v>32</v>
      </c>
      <c r="AH133" s="18">
        <v>30</v>
      </c>
      <c r="AI133" s="18" t="s">
        <v>29</v>
      </c>
      <c r="AJ133" s="18" t="s">
        <v>64</v>
      </c>
      <c r="AK133" s="18" t="s">
        <v>81</v>
      </c>
      <c r="AL133" s="18" t="s">
        <v>96</v>
      </c>
      <c r="AM133" s="18" t="s">
        <v>109</v>
      </c>
      <c r="AN133" s="18" t="s">
        <v>120</v>
      </c>
      <c r="AO133" s="18" t="s">
        <v>267</v>
      </c>
      <c r="AP133" s="18" t="s">
        <v>282</v>
      </c>
      <c r="AQ133" s="18"/>
      <c r="AR133" s="18">
        <v>2</v>
      </c>
      <c r="AS133" s="36">
        <v>0</v>
      </c>
      <c r="AT133" s="36">
        <v>1</v>
      </c>
      <c r="AU133" s="36">
        <v>1</v>
      </c>
      <c r="AV133" s="36">
        <v>2</v>
      </c>
      <c r="AW133" s="36">
        <v>6</v>
      </c>
      <c r="AX133" s="49">
        <f t="shared" si="20"/>
        <v>4</v>
      </c>
      <c r="AY133" s="49">
        <v>4</v>
      </c>
      <c r="AZ133" s="50">
        <v>4</v>
      </c>
      <c r="BA133" s="49">
        <v>6</v>
      </c>
      <c r="BB133" s="49">
        <v>15</v>
      </c>
      <c r="BC133" s="67">
        <v>19</v>
      </c>
      <c r="BD133" s="67">
        <v>4</v>
      </c>
      <c r="BE133" s="67">
        <v>8</v>
      </c>
      <c r="BF133" s="67">
        <v>4</v>
      </c>
      <c r="BG133" s="67">
        <v>1</v>
      </c>
      <c r="BH133" s="67">
        <v>1</v>
      </c>
      <c r="BI133" s="67">
        <v>2</v>
      </c>
      <c r="BJ133" s="67">
        <v>0</v>
      </c>
      <c r="BK133" s="67">
        <v>3</v>
      </c>
      <c r="BL133" s="67">
        <v>10</v>
      </c>
      <c r="BM133" s="67">
        <f t="shared" si="23"/>
        <v>33</v>
      </c>
      <c r="BN133" s="18">
        <f t="shared" si="24"/>
        <v>33</v>
      </c>
      <c r="BO133" s="18"/>
      <c r="BP133" s="18"/>
      <c r="BQ133" s="1"/>
    </row>
    <row r="134" spans="1:69" x14ac:dyDescent="0.25">
      <c r="A134" s="18" t="s">
        <v>6</v>
      </c>
      <c r="B134" s="18">
        <v>2024</v>
      </c>
      <c r="C134" s="18" t="s">
        <v>138</v>
      </c>
      <c r="D134" s="18" t="s">
        <v>266</v>
      </c>
      <c r="E134" s="18">
        <v>40</v>
      </c>
      <c r="F134" s="18">
        <v>40</v>
      </c>
      <c r="G134" s="18" t="s">
        <v>153</v>
      </c>
      <c r="H134" s="18"/>
      <c r="I134" s="18" t="s">
        <v>299</v>
      </c>
      <c r="J134" s="31">
        <v>30.5</v>
      </c>
      <c r="K134" s="31">
        <v>31</v>
      </c>
      <c r="L134" s="4">
        <v>0.5</v>
      </c>
      <c r="M134" s="32">
        <v>0.57999999999999996</v>
      </c>
      <c r="N134" s="31">
        <v>0.28999999999999998</v>
      </c>
      <c r="O134" s="18">
        <v>0.28999999999999998</v>
      </c>
      <c r="P134" s="18">
        <v>14.5</v>
      </c>
      <c r="Q134" s="18">
        <v>20</v>
      </c>
      <c r="R134" s="18">
        <v>0.27</v>
      </c>
      <c r="S134" s="18">
        <v>0.12</v>
      </c>
      <c r="T134" s="65">
        <v>24</v>
      </c>
      <c r="U134" s="18">
        <v>3</v>
      </c>
      <c r="V134" s="18"/>
      <c r="W134" s="18">
        <v>3</v>
      </c>
      <c r="X134" s="4">
        <v>90</v>
      </c>
      <c r="Y134" s="18">
        <v>0</v>
      </c>
      <c r="Z134" s="18" t="s">
        <v>330</v>
      </c>
      <c r="AA134" s="18" t="s">
        <v>333</v>
      </c>
      <c r="AB134" s="18" t="s">
        <v>334</v>
      </c>
      <c r="AC134" s="18">
        <v>20</v>
      </c>
      <c r="AD134" s="18">
        <v>14.5</v>
      </c>
      <c r="AE134" s="18" t="s">
        <v>27</v>
      </c>
      <c r="AF134" s="18" t="s">
        <v>32</v>
      </c>
      <c r="AG134" s="18" t="s">
        <v>32</v>
      </c>
      <c r="AH134" s="18">
        <v>30</v>
      </c>
      <c r="AI134" s="18" t="s">
        <v>29</v>
      </c>
      <c r="AJ134" s="18" t="s">
        <v>64</v>
      </c>
      <c r="AK134" s="18" t="s">
        <v>81</v>
      </c>
      <c r="AL134" s="18" t="s">
        <v>96</v>
      </c>
      <c r="AM134" s="18" t="s">
        <v>109</v>
      </c>
      <c r="AN134" s="18" t="s">
        <v>120</v>
      </c>
      <c r="AO134" s="18" t="s">
        <v>267</v>
      </c>
      <c r="AP134" s="18"/>
      <c r="AQ134" s="18"/>
      <c r="AR134" s="18">
        <v>2</v>
      </c>
      <c r="AS134" s="36">
        <v>0</v>
      </c>
      <c r="AT134" s="36">
        <v>1</v>
      </c>
      <c r="AU134" s="36">
        <v>1</v>
      </c>
      <c r="AV134" s="36">
        <v>2</v>
      </c>
      <c r="AW134" s="36">
        <v>6</v>
      </c>
      <c r="AX134" s="49">
        <f t="shared" si="20"/>
        <v>5</v>
      </c>
      <c r="AY134" s="49">
        <v>4</v>
      </c>
      <c r="AZ134" s="50">
        <v>4</v>
      </c>
      <c r="BA134" s="49">
        <v>6</v>
      </c>
      <c r="BB134" s="49">
        <v>15</v>
      </c>
      <c r="BC134" s="67">
        <v>21</v>
      </c>
      <c r="BD134" s="67">
        <v>4</v>
      </c>
      <c r="BE134" s="67">
        <v>8</v>
      </c>
      <c r="BF134" s="67">
        <v>5</v>
      </c>
      <c r="BG134" s="67">
        <v>1</v>
      </c>
      <c r="BH134" s="67">
        <v>1</v>
      </c>
      <c r="BI134" s="67">
        <v>2</v>
      </c>
      <c r="BJ134" s="67">
        <v>0</v>
      </c>
      <c r="BK134" s="67">
        <v>3</v>
      </c>
      <c r="BL134" s="67">
        <v>10</v>
      </c>
      <c r="BM134" s="67">
        <f t="shared" si="23"/>
        <v>34</v>
      </c>
      <c r="BN134" s="18">
        <f t="shared" si="24"/>
        <v>34</v>
      </c>
      <c r="BO134" s="18"/>
      <c r="BP134" s="18"/>
      <c r="BQ134" s="1"/>
    </row>
    <row r="135" spans="1:69" x14ac:dyDescent="0.25">
      <c r="A135" s="18" t="s">
        <v>6</v>
      </c>
      <c r="B135" s="18">
        <v>2024</v>
      </c>
      <c r="C135" s="18" t="s">
        <v>138</v>
      </c>
      <c r="D135" s="18" t="s">
        <v>266</v>
      </c>
      <c r="E135" s="18">
        <v>40</v>
      </c>
      <c r="F135" s="18">
        <v>40</v>
      </c>
      <c r="G135" s="18" t="s">
        <v>153</v>
      </c>
      <c r="H135" s="18"/>
      <c r="I135" s="18" t="s">
        <v>299</v>
      </c>
      <c r="J135" s="31">
        <v>31</v>
      </c>
      <c r="K135" s="31">
        <v>31.5</v>
      </c>
      <c r="L135" s="4">
        <v>0.5</v>
      </c>
      <c r="M135" s="32">
        <v>0.8</v>
      </c>
      <c r="N135" s="31">
        <v>0.4</v>
      </c>
      <c r="O135" s="18">
        <v>0.4</v>
      </c>
      <c r="P135" s="18">
        <v>20</v>
      </c>
      <c r="Q135" s="18">
        <v>20</v>
      </c>
      <c r="R135" s="18">
        <v>0.35</v>
      </c>
      <c r="S135" s="18">
        <v>0.27</v>
      </c>
      <c r="T135" s="65">
        <v>54</v>
      </c>
      <c r="U135" s="18">
        <v>2</v>
      </c>
      <c r="V135" s="18"/>
      <c r="W135" s="18">
        <v>2</v>
      </c>
      <c r="X135" s="4">
        <v>175</v>
      </c>
      <c r="Y135" s="18">
        <v>0</v>
      </c>
      <c r="Z135" s="18" t="s">
        <v>330</v>
      </c>
      <c r="AA135" s="18" t="s">
        <v>333</v>
      </c>
      <c r="AB135" s="18" t="s">
        <v>334</v>
      </c>
      <c r="AC135" s="18">
        <v>20</v>
      </c>
      <c r="AD135" s="18">
        <v>20</v>
      </c>
      <c r="AE135" s="18" t="s">
        <v>27</v>
      </c>
      <c r="AF135" s="18" t="s">
        <v>29</v>
      </c>
      <c r="AG135" s="18" t="s">
        <v>29</v>
      </c>
      <c r="AH135" s="18">
        <v>30</v>
      </c>
      <c r="AI135" s="18" t="s">
        <v>29</v>
      </c>
      <c r="AJ135" s="18" t="s">
        <v>64</v>
      </c>
      <c r="AK135" s="18" t="s">
        <v>79</v>
      </c>
      <c r="AL135" s="18" t="s">
        <v>96</v>
      </c>
      <c r="AM135" s="18" t="s">
        <v>107</v>
      </c>
      <c r="AN135" s="18" t="s">
        <v>120</v>
      </c>
      <c r="AO135" s="18" t="s">
        <v>267</v>
      </c>
      <c r="AP135" s="18" t="s">
        <v>283</v>
      </c>
      <c r="AQ135" s="18"/>
      <c r="AR135" s="18">
        <v>2</v>
      </c>
      <c r="AS135" s="36">
        <v>1</v>
      </c>
      <c r="AT135" s="36">
        <v>1</v>
      </c>
      <c r="AU135" s="36">
        <v>3</v>
      </c>
      <c r="AV135" s="36">
        <v>2</v>
      </c>
      <c r="AW135" s="36">
        <v>9</v>
      </c>
      <c r="AX135" s="49">
        <f t="shared" si="20"/>
        <v>11</v>
      </c>
      <c r="AY135" s="49">
        <v>4</v>
      </c>
      <c r="AZ135" s="50">
        <v>4</v>
      </c>
      <c r="BA135" s="49">
        <v>9</v>
      </c>
      <c r="BB135" s="49">
        <v>15</v>
      </c>
      <c r="BC135" s="67">
        <v>40.5</v>
      </c>
      <c r="BD135" s="67">
        <v>4</v>
      </c>
      <c r="BE135" s="67">
        <v>12</v>
      </c>
      <c r="BF135" s="67">
        <v>11</v>
      </c>
      <c r="BG135" s="67">
        <v>1</v>
      </c>
      <c r="BH135" s="67">
        <v>3</v>
      </c>
      <c r="BI135" s="67">
        <v>2</v>
      </c>
      <c r="BJ135" s="67">
        <v>1</v>
      </c>
      <c r="BK135" s="67">
        <v>3</v>
      </c>
      <c r="BL135" s="67">
        <v>10</v>
      </c>
      <c r="BM135" s="67">
        <f t="shared" si="23"/>
        <v>47</v>
      </c>
      <c r="BN135" s="18">
        <f t="shared" si="24"/>
        <v>43</v>
      </c>
      <c r="BO135" s="18"/>
      <c r="BP135" s="18"/>
      <c r="BQ135" s="1"/>
    </row>
    <row r="136" spans="1:69" x14ac:dyDescent="0.25">
      <c r="A136" s="18" t="s">
        <v>6</v>
      </c>
      <c r="B136" s="18">
        <v>2024</v>
      </c>
      <c r="C136" s="18" t="s">
        <v>138</v>
      </c>
      <c r="D136" s="18" t="s">
        <v>266</v>
      </c>
      <c r="E136" s="18">
        <v>40</v>
      </c>
      <c r="F136" s="18">
        <v>40</v>
      </c>
      <c r="G136" s="18" t="s">
        <v>153</v>
      </c>
      <c r="H136" s="18"/>
      <c r="I136" s="18" t="s">
        <v>299</v>
      </c>
      <c r="J136" s="31">
        <v>31.5</v>
      </c>
      <c r="K136" s="31">
        <v>32</v>
      </c>
      <c r="L136" s="4">
        <v>0.5</v>
      </c>
      <c r="M136" s="32">
        <v>0.7</v>
      </c>
      <c r="N136" s="31">
        <v>0.35</v>
      </c>
      <c r="O136" s="18">
        <v>0.35</v>
      </c>
      <c r="P136" s="18">
        <v>17.5</v>
      </c>
      <c r="Q136" s="18">
        <v>20</v>
      </c>
      <c r="R136" s="18">
        <v>0.28000000000000003</v>
      </c>
      <c r="S136" s="18">
        <v>0.26</v>
      </c>
      <c r="T136" s="65">
        <v>52</v>
      </c>
      <c r="U136" s="18">
        <v>2</v>
      </c>
      <c r="V136" s="18"/>
      <c r="W136" s="18">
        <v>2</v>
      </c>
      <c r="X136" s="4">
        <v>140</v>
      </c>
      <c r="Y136" s="18">
        <v>0</v>
      </c>
      <c r="Z136" s="18" t="s">
        <v>330</v>
      </c>
      <c r="AA136" s="18" t="s">
        <v>333</v>
      </c>
      <c r="AB136" s="18" t="s">
        <v>334</v>
      </c>
      <c r="AC136" s="18">
        <v>20</v>
      </c>
      <c r="AD136" s="18">
        <v>17.5</v>
      </c>
      <c r="AE136" s="18" t="s">
        <v>27</v>
      </c>
      <c r="AF136" s="18" t="s">
        <v>32</v>
      </c>
      <c r="AG136" s="18" t="s">
        <v>32</v>
      </c>
      <c r="AH136" s="18">
        <v>30</v>
      </c>
      <c r="AI136" s="18" t="s">
        <v>29</v>
      </c>
      <c r="AJ136" s="18" t="s">
        <v>64</v>
      </c>
      <c r="AK136" s="18" t="s">
        <v>79</v>
      </c>
      <c r="AL136" s="18" t="s">
        <v>96</v>
      </c>
      <c r="AM136" s="18" t="s">
        <v>107</v>
      </c>
      <c r="AN136" s="18" t="s">
        <v>120</v>
      </c>
      <c r="AO136" s="18" t="s">
        <v>267</v>
      </c>
      <c r="AP136" s="18" t="s">
        <v>284</v>
      </c>
      <c r="AQ136" s="18"/>
      <c r="AR136" s="18">
        <v>2</v>
      </c>
      <c r="AS136" s="36">
        <v>1</v>
      </c>
      <c r="AT136" s="36">
        <v>1</v>
      </c>
      <c r="AU136" s="36">
        <v>3</v>
      </c>
      <c r="AV136" s="36">
        <v>2</v>
      </c>
      <c r="AW136" s="36">
        <v>9</v>
      </c>
      <c r="AX136" s="49">
        <f t="shared" si="20"/>
        <v>11</v>
      </c>
      <c r="AY136" s="49">
        <v>4</v>
      </c>
      <c r="AZ136" s="50">
        <v>4</v>
      </c>
      <c r="BA136" s="49">
        <v>9</v>
      </c>
      <c r="BB136" s="49">
        <v>15</v>
      </c>
      <c r="BC136" s="67">
        <v>39.5</v>
      </c>
      <c r="BD136" s="67">
        <v>4</v>
      </c>
      <c r="BE136" s="67">
        <v>10</v>
      </c>
      <c r="BF136" s="67">
        <v>11</v>
      </c>
      <c r="BG136" s="67">
        <v>1</v>
      </c>
      <c r="BH136" s="67">
        <v>3</v>
      </c>
      <c r="BI136" s="67">
        <v>2</v>
      </c>
      <c r="BJ136" s="67">
        <v>1</v>
      </c>
      <c r="BK136" s="67">
        <v>3</v>
      </c>
      <c r="BL136" s="67">
        <v>10</v>
      </c>
      <c r="BM136" s="67">
        <f t="shared" si="23"/>
        <v>45</v>
      </c>
      <c r="BN136" s="18">
        <f t="shared" si="24"/>
        <v>43</v>
      </c>
      <c r="BO136" s="18"/>
      <c r="BP136" s="18"/>
      <c r="BQ136" s="1"/>
    </row>
    <row r="137" spans="1:69" x14ac:dyDescent="0.25">
      <c r="A137" s="18" t="s">
        <v>6</v>
      </c>
      <c r="B137" s="18">
        <v>2024</v>
      </c>
      <c r="C137" s="18" t="s">
        <v>138</v>
      </c>
      <c r="D137" s="18" t="s">
        <v>266</v>
      </c>
      <c r="E137" s="18">
        <v>40</v>
      </c>
      <c r="F137" s="18">
        <v>40</v>
      </c>
      <c r="G137" s="18" t="s">
        <v>153</v>
      </c>
      <c r="H137" s="18"/>
      <c r="I137" s="18" t="s">
        <v>299</v>
      </c>
      <c r="J137" s="31">
        <v>32</v>
      </c>
      <c r="K137" s="31">
        <v>32.5</v>
      </c>
      <c r="L137" s="4">
        <v>0.5</v>
      </c>
      <c r="M137" s="32">
        <v>0.8</v>
      </c>
      <c r="N137" s="31">
        <v>0.4</v>
      </c>
      <c r="O137" s="18">
        <v>0.4</v>
      </c>
      <c r="P137" s="18">
        <v>20</v>
      </c>
      <c r="Q137" s="18">
        <v>20</v>
      </c>
      <c r="R137" s="18">
        <v>0.32</v>
      </c>
      <c r="S137" s="18">
        <v>0.12</v>
      </c>
      <c r="T137" s="65">
        <v>24</v>
      </c>
      <c r="U137" s="18">
        <v>3</v>
      </c>
      <c r="V137" s="18"/>
      <c r="W137" s="18">
        <v>3</v>
      </c>
      <c r="X137" s="4">
        <v>106.66666666666667</v>
      </c>
      <c r="Y137" s="18">
        <v>0</v>
      </c>
      <c r="Z137" s="18" t="s">
        <v>330</v>
      </c>
      <c r="AA137" s="18" t="s">
        <v>333</v>
      </c>
      <c r="AB137" s="18" t="s">
        <v>334</v>
      </c>
      <c r="AC137" s="18">
        <v>20</v>
      </c>
      <c r="AD137" s="18">
        <v>20</v>
      </c>
      <c r="AE137" s="18" t="s">
        <v>27</v>
      </c>
      <c r="AF137" s="18" t="s">
        <v>27</v>
      </c>
      <c r="AG137" s="18" t="s">
        <v>27</v>
      </c>
      <c r="AH137" s="18">
        <v>59</v>
      </c>
      <c r="AI137" s="18"/>
      <c r="AJ137" s="18" t="s">
        <v>64</v>
      </c>
      <c r="AK137" s="18" t="s">
        <v>77</v>
      </c>
      <c r="AL137" s="18" t="s">
        <v>96</v>
      </c>
      <c r="AM137" s="18" t="s">
        <v>107</v>
      </c>
      <c r="AN137" s="18" t="s">
        <v>118</v>
      </c>
      <c r="AO137" s="18" t="s">
        <v>267</v>
      </c>
      <c r="AP137" s="18" t="s">
        <v>205</v>
      </c>
      <c r="AQ137" s="18"/>
      <c r="AR137" s="18">
        <v>2</v>
      </c>
      <c r="AS137" s="36">
        <v>3</v>
      </c>
      <c r="AT137" s="36">
        <v>1</v>
      </c>
      <c r="AU137" s="36">
        <v>3</v>
      </c>
      <c r="AV137" s="36">
        <v>2</v>
      </c>
      <c r="AW137" s="36">
        <v>11</v>
      </c>
      <c r="AX137" s="49">
        <f t="shared" si="20"/>
        <v>5</v>
      </c>
      <c r="AY137" s="49">
        <v>4</v>
      </c>
      <c r="AZ137" s="50">
        <v>4</v>
      </c>
      <c r="BA137" s="49">
        <v>11</v>
      </c>
      <c r="BB137" s="49">
        <v>15</v>
      </c>
      <c r="BC137" s="67">
        <v>28.5</v>
      </c>
      <c r="BD137" s="67">
        <v>4</v>
      </c>
      <c r="BE137" s="67">
        <v>9</v>
      </c>
      <c r="BF137" s="67">
        <v>5</v>
      </c>
      <c r="BG137" s="67">
        <v>1</v>
      </c>
      <c r="BH137" s="67">
        <v>3</v>
      </c>
      <c r="BI137" s="67">
        <v>2</v>
      </c>
      <c r="BJ137" s="67">
        <v>3</v>
      </c>
      <c r="BK137" s="67">
        <v>3</v>
      </c>
      <c r="BL137" s="67">
        <v>10</v>
      </c>
      <c r="BM137" s="67">
        <f t="shared" si="23"/>
        <v>40</v>
      </c>
      <c r="BN137" s="18">
        <f t="shared" si="24"/>
        <v>39</v>
      </c>
      <c r="BO137" s="18"/>
      <c r="BP137" s="18"/>
      <c r="BQ137" s="1"/>
    </row>
    <row r="138" spans="1:69" x14ac:dyDescent="0.25">
      <c r="A138" s="18" t="s">
        <v>6</v>
      </c>
      <c r="B138" s="18">
        <v>2024</v>
      </c>
      <c r="C138" s="18" t="s">
        <v>138</v>
      </c>
      <c r="D138" s="18" t="s">
        <v>266</v>
      </c>
      <c r="E138" s="18">
        <v>40</v>
      </c>
      <c r="F138" s="18">
        <v>40</v>
      </c>
      <c r="G138" s="18" t="s">
        <v>153</v>
      </c>
      <c r="H138" s="18"/>
      <c r="I138" s="18" t="s">
        <v>299</v>
      </c>
      <c r="J138" s="31">
        <v>32.5</v>
      </c>
      <c r="K138" s="31">
        <v>33</v>
      </c>
      <c r="L138" s="4">
        <v>0.5</v>
      </c>
      <c r="M138" s="32">
        <v>0.74</v>
      </c>
      <c r="N138" s="31">
        <v>0.37</v>
      </c>
      <c r="O138" s="18">
        <v>0.37</v>
      </c>
      <c r="P138" s="18">
        <v>18.5</v>
      </c>
      <c r="Q138" s="18">
        <v>20</v>
      </c>
      <c r="R138" s="18">
        <v>0.32</v>
      </c>
      <c r="S138" s="18">
        <v>0.32</v>
      </c>
      <c r="T138" s="65">
        <v>64</v>
      </c>
      <c r="U138" s="18">
        <v>3</v>
      </c>
      <c r="V138" s="18"/>
      <c r="W138" s="18">
        <v>3</v>
      </c>
      <c r="X138" s="4">
        <v>106.66666666666667</v>
      </c>
      <c r="Y138" s="18">
        <v>0</v>
      </c>
      <c r="Z138" s="18" t="s">
        <v>330</v>
      </c>
      <c r="AA138" s="18" t="s">
        <v>333</v>
      </c>
      <c r="AB138" s="18" t="s">
        <v>334</v>
      </c>
      <c r="AC138" s="18">
        <v>20</v>
      </c>
      <c r="AD138" s="18">
        <v>18.5</v>
      </c>
      <c r="AE138" s="18" t="s">
        <v>27</v>
      </c>
      <c r="AF138" s="18" t="s">
        <v>27</v>
      </c>
      <c r="AG138" s="18" t="s">
        <v>27</v>
      </c>
      <c r="AH138" s="18">
        <v>59</v>
      </c>
      <c r="AI138" s="18"/>
      <c r="AJ138" s="18" t="s">
        <v>64</v>
      </c>
      <c r="AK138" s="18" t="s">
        <v>77</v>
      </c>
      <c r="AL138" s="18" t="s">
        <v>96</v>
      </c>
      <c r="AM138" s="18" t="s">
        <v>107</v>
      </c>
      <c r="AN138" s="18" t="s">
        <v>118</v>
      </c>
      <c r="AO138" s="18" t="s">
        <v>267</v>
      </c>
      <c r="AP138" s="18" t="s">
        <v>205</v>
      </c>
      <c r="AQ138" s="18"/>
      <c r="AR138" s="18">
        <v>2</v>
      </c>
      <c r="AS138" s="36">
        <v>3</v>
      </c>
      <c r="AT138" s="36">
        <v>1</v>
      </c>
      <c r="AU138" s="36">
        <v>3</v>
      </c>
      <c r="AV138" s="36">
        <v>2</v>
      </c>
      <c r="AW138" s="36">
        <v>11</v>
      </c>
      <c r="AX138" s="49">
        <f t="shared" si="20"/>
        <v>13</v>
      </c>
      <c r="AY138" s="49">
        <v>4</v>
      </c>
      <c r="AZ138" s="50">
        <v>4</v>
      </c>
      <c r="BA138" s="49">
        <v>11</v>
      </c>
      <c r="BB138" s="49">
        <v>15</v>
      </c>
      <c r="BC138" s="67">
        <v>48.5</v>
      </c>
      <c r="BD138" s="67">
        <v>4</v>
      </c>
      <c r="BE138" s="67">
        <v>9</v>
      </c>
      <c r="BF138" s="67">
        <v>13</v>
      </c>
      <c r="BG138" s="67">
        <v>1</v>
      </c>
      <c r="BH138" s="67">
        <v>3</v>
      </c>
      <c r="BI138" s="67">
        <v>2</v>
      </c>
      <c r="BJ138" s="67">
        <v>3</v>
      </c>
      <c r="BK138" s="67">
        <v>3</v>
      </c>
      <c r="BL138" s="67">
        <v>10</v>
      </c>
      <c r="BM138" s="67">
        <f t="shared" si="23"/>
        <v>48</v>
      </c>
      <c r="BN138" s="18">
        <f t="shared" si="24"/>
        <v>47</v>
      </c>
      <c r="BO138" s="18"/>
      <c r="BP138" s="18"/>
      <c r="BQ138" s="1"/>
    </row>
    <row r="139" spans="1:69" x14ac:dyDescent="0.25">
      <c r="A139" s="18" t="s">
        <v>6</v>
      </c>
      <c r="B139" s="18">
        <v>2024</v>
      </c>
      <c r="C139" s="18" t="s">
        <v>138</v>
      </c>
      <c r="D139" s="18" t="s">
        <v>266</v>
      </c>
      <c r="E139" s="18">
        <v>40</v>
      </c>
      <c r="F139" s="18">
        <v>40</v>
      </c>
      <c r="G139" s="18" t="s">
        <v>153</v>
      </c>
      <c r="H139" s="18"/>
      <c r="I139" s="18" t="s">
        <v>299</v>
      </c>
      <c r="J139" s="31">
        <v>33</v>
      </c>
      <c r="K139" s="31">
        <v>33.5</v>
      </c>
      <c r="L139" s="4">
        <v>0.5</v>
      </c>
      <c r="M139" s="32">
        <v>0.46</v>
      </c>
      <c r="N139" s="31">
        <v>0.23</v>
      </c>
      <c r="O139" s="18">
        <v>0.23</v>
      </c>
      <c r="P139" s="18">
        <v>11.5</v>
      </c>
      <c r="Q139" s="18">
        <v>20</v>
      </c>
      <c r="R139" s="18">
        <v>0.15</v>
      </c>
      <c r="S139" s="18">
        <v>0.1</v>
      </c>
      <c r="T139" s="65">
        <v>20</v>
      </c>
      <c r="U139" s="18">
        <v>2</v>
      </c>
      <c r="V139" s="18"/>
      <c r="W139" s="18">
        <v>2</v>
      </c>
      <c r="X139" s="4">
        <v>75</v>
      </c>
      <c r="Y139" s="18">
        <v>0</v>
      </c>
      <c r="Z139" s="18" t="s">
        <v>330</v>
      </c>
      <c r="AA139" s="18" t="s">
        <v>333</v>
      </c>
      <c r="AB139" s="18" t="s">
        <v>334</v>
      </c>
      <c r="AC139" s="18">
        <v>20</v>
      </c>
      <c r="AD139" s="18">
        <v>11.5</v>
      </c>
      <c r="AE139" s="18" t="s">
        <v>27</v>
      </c>
      <c r="AF139" s="18" t="s">
        <v>29</v>
      </c>
      <c r="AG139" s="18" t="s">
        <v>29</v>
      </c>
      <c r="AH139" s="18">
        <v>30</v>
      </c>
      <c r="AI139" s="18" t="s">
        <v>29</v>
      </c>
      <c r="AJ139" s="18" t="s">
        <v>64</v>
      </c>
      <c r="AK139" s="18" t="s">
        <v>79</v>
      </c>
      <c r="AL139" s="18" t="s">
        <v>96</v>
      </c>
      <c r="AM139" s="18" t="s">
        <v>107</v>
      </c>
      <c r="AN139" s="18" t="s">
        <v>120</v>
      </c>
      <c r="AO139" s="18" t="s">
        <v>267</v>
      </c>
      <c r="AP139" s="18"/>
      <c r="AQ139" s="18"/>
      <c r="AR139" s="18">
        <v>2</v>
      </c>
      <c r="AS139" s="36">
        <v>1</v>
      </c>
      <c r="AT139" s="36">
        <v>1</v>
      </c>
      <c r="AU139" s="36">
        <v>3</v>
      </c>
      <c r="AV139" s="36">
        <v>2</v>
      </c>
      <c r="AW139" s="36">
        <v>9</v>
      </c>
      <c r="AX139" s="49">
        <f t="shared" si="20"/>
        <v>4</v>
      </c>
      <c r="AY139" s="49">
        <v>4</v>
      </c>
      <c r="AZ139" s="50">
        <v>4</v>
      </c>
      <c r="BA139" s="49">
        <v>9</v>
      </c>
      <c r="BB139" s="49">
        <v>15</v>
      </c>
      <c r="BC139" s="67">
        <v>23.5</v>
      </c>
      <c r="BD139" s="67">
        <v>4</v>
      </c>
      <c r="BE139" s="67">
        <v>6</v>
      </c>
      <c r="BF139" s="67">
        <v>4</v>
      </c>
      <c r="BG139" s="67">
        <v>1</v>
      </c>
      <c r="BH139" s="67">
        <v>3</v>
      </c>
      <c r="BI139" s="67">
        <v>2</v>
      </c>
      <c r="BJ139" s="67">
        <v>1</v>
      </c>
      <c r="BK139" s="67">
        <v>3</v>
      </c>
      <c r="BL139" s="67">
        <v>10</v>
      </c>
      <c r="BM139" s="67">
        <f t="shared" si="23"/>
        <v>34</v>
      </c>
      <c r="BN139" s="18">
        <f t="shared" si="24"/>
        <v>36</v>
      </c>
      <c r="BO139" s="18"/>
      <c r="BP139" s="18"/>
      <c r="BQ139" s="1"/>
    </row>
    <row r="140" spans="1:69" x14ac:dyDescent="0.25">
      <c r="A140" s="18" t="s">
        <v>6</v>
      </c>
      <c r="B140" s="18">
        <v>2024</v>
      </c>
      <c r="C140" s="18" t="s">
        <v>138</v>
      </c>
      <c r="D140" s="18" t="s">
        <v>266</v>
      </c>
      <c r="E140" s="18">
        <v>40</v>
      </c>
      <c r="F140" s="18">
        <v>40</v>
      </c>
      <c r="G140" s="18" t="s">
        <v>153</v>
      </c>
      <c r="H140" s="18"/>
      <c r="I140" s="18" t="s">
        <v>299</v>
      </c>
      <c r="J140" s="31">
        <v>33.5</v>
      </c>
      <c r="K140" s="31">
        <v>34</v>
      </c>
      <c r="L140" s="4">
        <v>0.5</v>
      </c>
      <c r="M140" s="32">
        <v>0.52</v>
      </c>
      <c r="N140" s="31">
        <v>0.26</v>
      </c>
      <c r="O140" s="18">
        <v>0.26</v>
      </c>
      <c r="P140" s="18">
        <v>13</v>
      </c>
      <c r="Q140" s="18">
        <v>20</v>
      </c>
      <c r="R140" s="18">
        <v>0.19</v>
      </c>
      <c r="S140" s="18">
        <v>0</v>
      </c>
      <c r="T140" s="65">
        <v>0</v>
      </c>
      <c r="U140" s="18">
        <v>3</v>
      </c>
      <c r="V140" s="18"/>
      <c r="W140" s="18">
        <v>3</v>
      </c>
      <c r="X140" s="4">
        <v>63.333333333333336</v>
      </c>
      <c r="Y140" s="18">
        <v>0</v>
      </c>
      <c r="Z140" s="18" t="s">
        <v>330</v>
      </c>
      <c r="AA140" s="18" t="s">
        <v>333</v>
      </c>
      <c r="AB140" s="18" t="s">
        <v>334</v>
      </c>
      <c r="AC140" s="18">
        <v>20</v>
      </c>
      <c r="AD140" s="18">
        <v>13</v>
      </c>
      <c r="AE140" s="18" t="s">
        <v>27</v>
      </c>
      <c r="AF140" s="18" t="s">
        <v>34</v>
      </c>
      <c r="AG140" s="18" t="s">
        <v>34</v>
      </c>
      <c r="AH140" s="18">
        <v>17</v>
      </c>
      <c r="AI140" s="18"/>
      <c r="AJ140" s="18" t="s">
        <v>66</v>
      </c>
      <c r="AK140" s="18" t="s">
        <v>81</v>
      </c>
      <c r="AL140" s="18" t="s">
        <v>96</v>
      </c>
      <c r="AM140" s="18" t="s">
        <v>107</v>
      </c>
      <c r="AN140" s="18" t="s">
        <v>122</v>
      </c>
      <c r="AO140" s="18" t="s">
        <v>267</v>
      </c>
      <c r="AP140" s="18"/>
      <c r="AQ140" s="18"/>
      <c r="AR140" s="18">
        <v>1</v>
      </c>
      <c r="AS140" s="36">
        <v>0</v>
      </c>
      <c r="AT140" s="36">
        <v>1</v>
      </c>
      <c r="AU140" s="36">
        <v>3</v>
      </c>
      <c r="AV140" s="36">
        <v>0</v>
      </c>
      <c r="AW140" s="36">
        <v>5</v>
      </c>
      <c r="AX140" s="49">
        <f t="shared" si="20"/>
        <v>0</v>
      </c>
      <c r="AY140" s="49">
        <v>4</v>
      </c>
      <c r="AZ140" s="50">
        <v>4</v>
      </c>
      <c r="BA140" s="49">
        <v>5</v>
      </c>
      <c r="BB140" s="49">
        <v>15</v>
      </c>
      <c r="BC140" s="67">
        <v>7.5</v>
      </c>
      <c r="BD140" s="67">
        <v>4</v>
      </c>
      <c r="BE140" s="67">
        <v>5</v>
      </c>
      <c r="BF140" s="67">
        <v>0</v>
      </c>
      <c r="BG140" s="67">
        <v>1</v>
      </c>
      <c r="BH140" s="67">
        <v>3</v>
      </c>
      <c r="BI140" s="67">
        <v>0</v>
      </c>
      <c r="BJ140" s="67">
        <v>0</v>
      </c>
      <c r="BK140" s="67">
        <v>1</v>
      </c>
      <c r="BL140" s="67">
        <v>10</v>
      </c>
      <c r="BM140" s="67">
        <f t="shared" si="23"/>
        <v>24</v>
      </c>
      <c r="BN140" s="18">
        <f t="shared" si="24"/>
        <v>28</v>
      </c>
      <c r="BO140" s="18"/>
      <c r="BP140" s="18"/>
      <c r="BQ140" s="1"/>
    </row>
    <row r="141" spans="1:69" x14ac:dyDescent="0.25">
      <c r="A141" s="18" t="s">
        <v>6</v>
      </c>
      <c r="B141" s="18">
        <v>2024</v>
      </c>
      <c r="C141" s="18" t="s">
        <v>138</v>
      </c>
      <c r="D141" s="18" t="s">
        <v>266</v>
      </c>
      <c r="E141" s="18">
        <v>40</v>
      </c>
      <c r="F141" s="18">
        <v>40</v>
      </c>
      <c r="G141" s="18" t="s">
        <v>153</v>
      </c>
      <c r="H141" s="18"/>
      <c r="I141" s="18" t="s">
        <v>299</v>
      </c>
      <c r="J141" s="31">
        <v>34</v>
      </c>
      <c r="K141" s="31">
        <v>34.5</v>
      </c>
      <c r="L141" s="4">
        <v>0.5</v>
      </c>
      <c r="M141" s="32">
        <v>0.48</v>
      </c>
      <c r="N141" s="31">
        <v>0.24</v>
      </c>
      <c r="O141" s="18">
        <v>0.24</v>
      </c>
      <c r="P141" s="18">
        <v>12</v>
      </c>
      <c r="Q141" s="18">
        <v>20</v>
      </c>
      <c r="R141" s="18">
        <v>0.21</v>
      </c>
      <c r="S141" s="18">
        <v>0.11</v>
      </c>
      <c r="T141" s="65">
        <v>22</v>
      </c>
      <c r="U141" s="18">
        <v>3</v>
      </c>
      <c r="V141" s="18"/>
      <c r="W141" s="18">
        <v>3</v>
      </c>
      <c r="X141" s="4">
        <v>70</v>
      </c>
      <c r="Y141" s="18">
        <v>0</v>
      </c>
      <c r="Z141" s="18" t="s">
        <v>330</v>
      </c>
      <c r="AA141" s="18" t="s">
        <v>333</v>
      </c>
      <c r="AB141" s="18" t="s">
        <v>334</v>
      </c>
      <c r="AC141" s="18">
        <v>20</v>
      </c>
      <c r="AD141" s="18">
        <v>12</v>
      </c>
      <c r="AE141" s="18" t="s">
        <v>27</v>
      </c>
      <c r="AF141" s="18" t="s">
        <v>34</v>
      </c>
      <c r="AG141" s="18" t="s">
        <v>34</v>
      </c>
      <c r="AH141" s="18">
        <v>17</v>
      </c>
      <c r="AI141" s="18"/>
      <c r="AJ141" s="18" t="s">
        <v>69</v>
      </c>
      <c r="AK141" s="18" t="s">
        <v>81</v>
      </c>
      <c r="AL141" s="18" t="s">
        <v>100</v>
      </c>
      <c r="AM141" s="18" t="s">
        <v>109</v>
      </c>
      <c r="AN141" s="18" t="s">
        <v>122</v>
      </c>
      <c r="AO141" s="18" t="s">
        <v>126</v>
      </c>
      <c r="AP141" s="18" t="s">
        <v>280</v>
      </c>
      <c r="AQ141" s="18"/>
      <c r="AR141" s="18">
        <v>0</v>
      </c>
      <c r="AS141" s="36">
        <v>0</v>
      </c>
      <c r="AT141" s="36">
        <v>0</v>
      </c>
      <c r="AU141" s="36">
        <v>1</v>
      </c>
      <c r="AV141" s="36">
        <v>0</v>
      </c>
      <c r="AW141" s="36">
        <v>1</v>
      </c>
      <c r="AX141" s="49">
        <f t="shared" si="20"/>
        <v>5</v>
      </c>
      <c r="AY141" s="49">
        <v>4</v>
      </c>
      <c r="AZ141" s="50">
        <v>4</v>
      </c>
      <c r="BA141" s="49">
        <v>1</v>
      </c>
      <c r="BB141" s="49">
        <v>10</v>
      </c>
      <c r="BC141" s="67">
        <v>12.5</v>
      </c>
      <c r="BD141" s="67">
        <v>4</v>
      </c>
      <c r="BE141" s="67">
        <v>6</v>
      </c>
      <c r="BF141" s="67">
        <v>5</v>
      </c>
      <c r="BG141" s="67">
        <v>0</v>
      </c>
      <c r="BH141" s="67">
        <v>1</v>
      </c>
      <c r="BI141" s="67">
        <v>0</v>
      </c>
      <c r="BJ141" s="67">
        <v>0</v>
      </c>
      <c r="BK141" s="67">
        <v>0</v>
      </c>
      <c r="BL141" s="67">
        <v>7</v>
      </c>
      <c r="BM141" s="67">
        <f t="shared" si="23"/>
        <v>23</v>
      </c>
      <c r="BN141" s="18">
        <f t="shared" si="24"/>
        <v>24</v>
      </c>
      <c r="BO141" s="18"/>
      <c r="BP141" s="18"/>
      <c r="BQ141" s="1"/>
    </row>
    <row r="142" spans="1:69" x14ac:dyDescent="0.25">
      <c r="A142" s="18" t="s">
        <v>6</v>
      </c>
      <c r="B142" s="18">
        <v>2024</v>
      </c>
      <c r="C142" s="18" t="s">
        <v>138</v>
      </c>
      <c r="D142" s="18" t="s">
        <v>266</v>
      </c>
      <c r="E142" s="18">
        <v>40</v>
      </c>
      <c r="F142" s="18">
        <v>40</v>
      </c>
      <c r="G142" s="18" t="s">
        <v>153</v>
      </c>
      <c r="H142" s="18"/>
      <c r="I142" s="18" t="s">
        <v>299</v>
      </c>
      <c r="J142" s="31">
        <v>34.5</v>
      </c>
      <c r="K142" s="31">
        <v>35</v>
      </c>
      <c r="L142" s="4">
        <v>0.5</v>
      </c>
      <c r="M142" s="32">
        <v>0.6</v>
      </c>
      <c r="N142" s="31">
        <v>0.3</v>
      </c>
      <c r="O142" s="18">
        <v>0.3</v>
      </c>
      <c r="P142" s="18">
        <v>15</v>
      </c>
      <c r="Q142" s="18">
        <v>20</v>
      </c>
      <c r="R142" s="18">
        <v>0.27</v>
      </c>
      <c r="S142" s="18">
        <v>0</v>
      </c>
      <c r="T142" s="65">
        <v>0</v>
      </c>
      <c r="U142" s="18">
        <v>4</v>
      </c>
      <c r="V142" s="18"/>
      <c r="W142" s="18">
        <v>4</v>
      </c>
      <c r="X142" s="4">
        <v>67.5</v>
      </c>
      <c r="Y142" s="18">
        <v>0</v>
      </c>
      <c r="Z142" s="18" t="s">
        <v>330</v>
      </c>
      <c r="AA142" s="18" t="s">
        <v>333</v>
      </c>
      <c r="AB142" s="18" t="s">
        <v>334</v>
      </c>
      <c r="AC142" s="18">
        <v>20</v>
      </c>
      <c r="AD142" s="18">
        <v>15</v>
      </c>
      <c r="AE142" s="18" t="s">
        <v>27</v>
      </c>
      <c r="AF142" s="18" t="s">
        <v>34</v>
      </c>
      <c r="AG142" s="18" t="s">
        <v>34</v>
      </c>
      <c r="AH142" s="18">
        <v>17</v>
      </c>
      <c r="AI142" s="18"/>
      <c r="AJ142" s="18" t="s">
        <v>69</v>
      </c>
      <c r="AK142" s="18" t="s">
        <v>81</v>
      </c>
      <c r="AL142" s="18" t="s">
        <v>100</v>
      </c>
      <c r="AM142" s="18" t="s">
        <v>109</v>
      </c>
      <c r="AN142" s="18" t="s">
        <v>122</v>
      </c>
      <c r="AO142" s="18" t="s">
        <v>126</v>
      </c>
      <c r="AP142" s="18"/>
      <c r="AQ142" s="18"/>
      <c r="AR142" s="18">
        <v>0</v>
      </c>
      <c r="AS142" s="36">
        <v>0</v>
      </c>
      <c r="AT142" s="36">
        <v>0</v>
      </c>
      <c r="AU142" s="36">
        <v>1</v>
      </c>
      <c r="AV142" s="36">
        <v>0</v>
      </c>
      <c r="AW142" s="36">
        <v>1</v>
      </c>
      <c r="AX142" s="49">
        <f t="shared" si="20"/>
        <v>0</v>
      </c>
      <c r="AY142" s="49">
        <v>4</v>
      </c>
      <c r="AZ142" s="50">
        <v>4</v>
      </c>
      <c r="BA142" s="49">
        <v>1</v>
      </c>
      <c r="BB142" s="49">
        <v>10</v>
      </c>
      <c r="BC142" s="67">
        <v>1.5</v>
      </c>
      <c r="BD142" s="67">
        <v>4</v>
      </c>
      <c r="BE142" s="67">
        <v>6</v>
      </c>
      <c r="BF142" s="67">
        <v>0</v>
      </c>
      <c r="BG142" s="67">
        <v>0</v>
      </c>
      <c r="BH142" s="67">
        <v>1</v>
      </c>
      <c r="BI142" s="67">
        <v>0</v>
      </c>
      <c r="BJ142" s="67">
        <v>0</v>
      </c>
      <c r="BK142" s="67">
        <v>0</v>
      </c>
      <c r="BL142" s="67">
        <v>7</v>
      </c>
      <c r="BM142" s="67">
        <f t="shared" si="23"/>
        <v>18</v>
      </c>
      <c r="BN142" s="18">
        <f t="shared" si="24"/>
        <v>19</v>
      </c>
      <c r="BO142" s="18"/>
      <c r="BP142" s="18"/>
      <c r="BQ142" s="1"/>
    </row>
    <row r="143" spans="1:69" x14ac:dyDescent="0.25">
      <c r="A143" s="18" t="s">
        <v>6</v>
      </c>
      <c r="B143" s="18">
        <v>2024</v>
      </c>
      <c r="C143" s="18" t="s">
        <v>138</v>
      </c>
      <c r="D143" s="18" t="s">
        <v>266</v>
      </c>
      <c r="E143" s="18">
        <v>40</v>
      </c>
      <c r="F143" s="18">
        <v>40</v>
      </c>
      <c r="G143" s="18" t="s">
        <v>153</v>
      </c>
      <c r="H143" s="18"/>
      <c r="I143" s="18" t="s">
        <v>299</v>
      </c>
      <c r="J143" s="31">
        <v>35</v>
      </c>
      <c r="K143" s="31">
        <v>35.5</v>
      </c>
      <c r="L143" s="4">
        <v>0.5</v>
      </c>
      <c r="M143" s="32">
        <v>0.7</v>
      </c>
      <c r="N143" s="31">
        <v>0.35</v>
      </c>
      <c r="O143" s="18">
        <v>0.35</v>
      </c>
      <c r="P143" s="18">
        <v>17.5</v>
      </c>
      <c r="Q143" s="18">
        <v>20</v>
      </c>
      <c r="R143" s="18">
        <v>0.32</v>
      </c>
      <c r="S143" s="18">
        <v>0</v>
      </c>
      <c r="T143" s="65">
        <v>0</v>
      </c>
      <c r="U143" s="18">
        <v>8</v>
      </c>
      <c r="V143" s="18"/>
      <c r="W143" s="18">
        <v>8</v>
      </c>
      <c r="X143" s="4">
        <v>40</v>
      </c>
      <c r="Y143" s="18">
        <v>0</v>
      </c>
      <c r="Z143" s="18" t="s">
        <v>330</v>
      </c>
      <c r="AA143" s="18" t="s">
        <v>333</v>
      </c>
      <c r="AB143" s="18" t="s">
        <v>334</v>
      </c>
      <c r="AC143" s="18">
        <v>20</v>
      </c>
      <c r="AD143" s="18">
        <v>17.5</v>
      </c>
      <c r="AE143" s="18" t="s">
        <v>27</v>
      </c>
      <c r="AF143" s="18" t="s">
        <v>32</v>
      </c>
      <c r="AG143" s="18" t="s">
        <v>32</v>
      </c>
      <c r="AH143" s="18">
        <v>30</v>
      </c>
      <c r="AI143" s="18" t="s">
        <v>29</v>
      </c>
      <c r="AJ143" s="18" t="s">
        <v>66</v>
      </c>
      <c r="AK143" s="18" t="s">
        <v>79</v>
      </c>
      <c r="AL143" s="18" t="s">
        <v>100</v>
      </c>
      <c r="AM143" s="18" t="s">
        <v>107</v>
      </c>
      <c r="AN143" s="18" t="s">
        <v>120</v>
      </c>
      <c r="AO143" s="18" t="s">
        <v>267</v>
      </c>
      <c r="AP143" s="18"/>
      <c r="AQ143" s="18"/>
      <c r="AR143" s="18">
        <v>1</v>
      </c>
      <c r="AS143" s="36">
        <v>1</v>
      </c>
      <c r="AT143" s="36">
        <v>0</v>
      </c>
      <c r="AU143" s="36">
        <v>3</v>
      </c>
      <c r="AV143" s="36">
        <v>2</v>
      </c>
      <c r="AW143" s="36">
        <v>7</v>
      </c>
      <c r="AX143" s="49">
        <f t="shared" si="20"/>
        <v>0</v>
      </c>
      <c r="AY143" s="49">
        <v>4</v>
      </c>
      <c r="AZ143" s="50">
        <v>4</v>
      </c>
      <c r="BA143" s="49">
        <v>7</v>
      </c>
      <c r="BB143" s="49">
        <v>15</v>
      </c>
      <c r="BC143" s="67">
        <v>10.5</v>
      </c>
      <c r="BD143" s="67">
        <v>4</v>
      </c>
      <c r="BE143" s="67">
        <v>5</v>
      </c>
      <c r="BF143" s="67">
        <v>0</v>
      </c>
      <c r="BG143" s="67">
        <v>0</v>
      </c>
      <c r="BH143" s="67">
        <v>3</v>
      </c>
      <c r="BI143" s="67">
        <v>2</v>
      </c>
      <c r="BJ143" s="67">
        <v>1</v>
      </c>
      <c r="BK143" s="67">
        <v>1</v>
      </c>
      <c r="BL143" s="67">
        <v>10</v>
      </c>
      <c r="BM143" s="67">
        <f t="shared" si="23"/>
        <v>26</v>
      </c>
      <c r="BN143" s="18">
        <f t="shared" si="24"/>
        <v>30</v>
      </c>
      <c r="BO143" s="18"/>
      <c r="BP143" s="18"/>
      <c r="BQ143" s="1"/>
    </row>
    <row r="144" spans="1:69" x14ac:dyDescent="0.25">
      <c r="A144" s="18" t="s">
        <v>6</v>
      </c>
      <c r="B144" s="18">
        <v>2024</v>
      </c>
      <c r="C144" s="18" t="s">
        <v>138</v>
      </c>
      <c r="D144" s="18" t="s">
        <v>266</v>
      </c>
      <c r="E144" s="18">
        <v>40</v>
      </c>
      <c r="F144" s="18">
        <v>40</v>
      </c>
      <c r="G144" s="18" t="s">
        <v>153</v>
      </c>
      <c r="H144" s="18"/>
      <c r="I144" s="18" t="s">
        <v>299</v>
      </c>
      <c r="J144" s="31">
        <v>35.5</v>
      </c>
      <c r="K144" s="31">
        <v>36</v>
      </c>
      <c r="L144" s="4">
        <v>0.5</v>
      </c>
      <c r="M144" s="32">
        <v>0.34</v>
      </c>
      <c r="N144" s="31">
        <v>0.17</v>
      </c>
      <c r="O144" s="18">
        <v>0.17</v>
      </c>
      <c r="P144" s="18">
        <v>8.5</v>
      </c>
      <c r="Q144" s="18">
        <v>20</v>
      </c>
      <c r="R144" s="18">
        <v>0.17</v>
      </c>
      <c r="S144" s="18">
        <v>0</v>
      </c>
      <c r="T144" s="65">
        <v>0</v>
      </c>
      <c r="U144" s="18">
        <v>5</v>
      </c>
      <c r="V144" s="18"/>
      <c r="W144" s="18">
        <v>5</v>
      </c>
      <c r="X144" s="4">
        <v>34</v>
      </c>
      <c r="Y144" s="18">
        <v>0</v>
      </c>
      <c r="Z144" s="18" t="s">
        <v>330</v>
      </c>
      <c r="AA144" s="18" t="s">
        <v>333</v>
      </c>
      <c r="AB144" s="18" t="s">
        <v>334</v>
      </c>
      <c r="AC144" s="18">
        <v>20</v>
      </c>
      <c r="AD144" s="18">
        <v>8.5</v>
      </c>
      <c r="AE144" s="18" t="s">
        <v>27</v>
      </c>
      <c r="AF144" s="18" t="s">
        <v>32</v>
      </c>
      <c r="AG144" s="18" t="s">
        <v>32</v>
      </c>
      <c r="AH144" s="18">
        <v>30</v>
      </c>
      <c r="AI144" s="18" t="s">
        <v>29</v>
      </c>
      <c r="AJ144" s="18" t="s">
        <v>66</v>
      </c>
      <c r="AK144" s="18" t="s">
        <v>79</v>
      </c>
      <c r="AL144" s="18" t="s">
        <v>100</v>
      </c>
      <c r="AM144" s="18" t="s">
        <v>107</v>
      </c>
      <c r="AN144" s="18" t="s">
        <v>120</v>
      </c>
      <c r="AO144" s="18" t="s">
        <v>267</v>
      </c>
      <c r="AP144" s="18"/>
      <c r="AQ144" s="18"/>
      <c r="AR144" s="18">
        <v>1</v>
      </c>
      <c r="AS144" s="36">
        <v>1</v>
      </c>
      <c r="AT144" s="36">
        <v>0</v>
      </c>
      <c r="AU144" s="36">
        <v>3</v>
      </c>
      <c r="AV144" s="36">
        <v>2</v>
      </c>
      <c r="AW144" s="36">
        <v>7</v>
      </c>
      <c r="AX144" s="49">
        <f t="shared" si="20"/>
        <v>0</v>
      </c>
      <c r="AY144" s="49">
        <v>4</v>
      </c>
      <c r="AZ144" s="50">
        <v>3</v>
      </c>
      <c r="BA144" s="49">
        <v>7</v>
      </c>
      <c r="BB144" s="49">
        <v>15</v>
      </c>
      <c r="BC144" s="67">
        <v>10.5</v>
      </c>
      <c r="BD144" s="67">
        <v>4</v>
      </c>
      <c r="BE144" s="67">
        <v>5</v>
      </c>
      <c r="BF144" s="67">
        <v>0</v>
      </c>
      <c r="BG144" s="67">
        <v>0</v>
      </c>
      <c r="BH144" s="67">
        <v>3</v>
      </c>
      <c r="BI144" s="67">
        <v>2</v>
      </c>
      <c r="BJ144" s="67">
        <v>1</v>
      </c>
      <c r="BK144" s="67">
        <v>1</v>
      </c>
      <c r="BL144" s="67">
        <v>10</v>
      </c>
      <c r="BM144" s="67">
        <f t="shared" si="23"/>
        <v>26</v>
      </c>
      <c r="BN144" s="18">
        <f t="shared" si="24"/>
        <v>29</v>
      </c>
      <c r="BO144" s="18"/>
      <c r="BP144" s="18"/>
      <c r="BQ144" s="1"/>
    </row>
    <row r="145" spans="1:140" x14ac:dyDescent="0.25">
      <c r="A145" s="18" t="s">
        <v>6</v>
      </c>
      <c r="B145" s="18">
        <v>2024</v>
      </c>
      <c r="C145" s="18" t="s">
        <v>138</v>
      </c>
      <c r="D145" s="18" t="s">
        <v>266</v>
      </c>
      <c r="E145" s="18">
        <v>40</v>
      </c>
      <c r="F145" s="18">
        <v>40</v>
      </c>
      <c r="G145" s="18" t="s">
        <v>153</v>
      </c>
      <c r="H145" s="18"/>
      <c r="I145" s="18" t="s">
        <v>299</v>
      </c>
      <c r="J145" s="31">
        <v>36</v>
      </c>
      <c r="K145" s="31">
        <v>36.5</v>
      </c>
      <c r="L145" s="4">
        <v>0.5</v>
      </c>
      <c r="M145" s="32">
        <v>0.24</v>
      </c>
      <c r="N145" s="31">
        <v>0.12</v>
      </c>
      <c r="O145" s="18">
        <v>0.12</v>
      </c>
      <c r="P145" s="18">
        <v>6</v>
      </c>
      <c r="Q145" s="18">
        <v>20</v>
      </c>
      <c r="R145" s="18">
        <v>0.1</v>
      </c>
      <c r="S145" s="18">
        <v>0</v>
      </c>
      <c r="T145" s="65">
        <v>0</v>
      </c>
      <c r="U145" s="18">
        <v>3</v>
      </c>
      <c r="V145" s="18"/>
      <c r="W145" s="18">
        <v>3</v>
      </c>
      <c r="X145" s="4">
        <v>33.333333333333336</v>
      </c>
      <c r="Y145" s="18">
        <v>0</v>
      </c>
      <c r="Z145" s="18" t="s">
        <v>330</v>
      </c>
      <c r="AA145" s="18" t="s">
        <v>333</v>
      </c>
      <c r="AB145" s="18" t="s">
        <v>334</v>
      </c>
      <c r="AC145" s="18">
        <v>20</v>
      </c>
      <c r="AD145" s="18">
        <v>6</v>
      </c>
      <c r="AE145" s="18" t="s">
        <v>27</v>
      </c>
      <c r="AF145" s="18" t="s">
        <v>34</v>
      </c>
      <c r="AG145" s="18" t="s">
        <v>34</v>
      </c>
      <c r="AH145" s="18">
        <v>17</v>
      </c>
      <c r="AI145" s="18" t="s">
        <v>29</v>
      </c>
      <c r="AJ145" s="18" t="s">
        <v>69</v>
      </c>
      <c r="AK145" s="18" t="s">
        <v>81</v>
      </c>
      <c r="AL145" s="18" t="s">
        <v>100</v>
      </c>
      <c r="AM145" s="18" t="s">
        <v>109</v>
      </c>
      <c r="AN145" s="18" t="s">
        <v>122</v>
      </c>
      <c r="AO145" s="18" t="s">
        <v>126</v>
      </c>
      <c r="AP145" s="18"/>
      <c r="AQ145" s="18"/>
      <c r="AR145" s="18">
        <v>0</v>
      </c>
      <c r="AS145" s="36">
        <v>0</v>
      </c>
      <c r="AT145" s="36">
        <v>0</v>
      </c>
      <c r="AU145" s="36">
        <v>1</v>
      </c>
      <c r="AV145" s="36">
        <v>0</v>
      </c>
      <c r="AW145" s="36">
        <v>1</v>
      </c>
      <c r="AX145" s="49">
        <f t="shared" si="20"/>
        <v>0</v>
      </c>
      <c r="AY145" s="49">
        <v>4</v>
      </c>
      <c r="AZ145" s="50">
        <v>3</v>
      </c>
      <c r="BA145" s="49">
        <v>1</v>
      </c>
      <c r="BB145" s="49">
        <v>10</v>
      </c>
      <c r="BC145" s="67">
        <v>1.5</v>
      </c>
      <c r="BD145" s="67">
        <v>4</v>
      </c>
      <c r="BE145" s="67">
        <v>5</v>
      </c>
      <c r="BF145" s="67">
        <v>0</v>
      </c>
      <c r="BG145" s="67">
        <v>0</v>
      </c>
      <c r="BH145" s="67">
        <v>1</v>
      </c>
      <c r="BI145" s="67">
        <v>0</v>
      </c>
      <c r="BJ145" s="67">
        <v>0</v>
      </c>
      <c r="BK145" s="67">
        <v>0</v>
      </c>
      <c r="BL145" s="67">
        <v>7</v>
      </c>
      <c r="BM145" s="67">
        <f t="shared" si="23"/>
        <v>17</v>
      </c>
      <c r="BN145" s="18">
        <f t="shared" si="24"/>
        <v>18</v>
      </c>
      <c r="BO145" s="18"/>
      <c r="BP145" s="18"/>
      <c r="BQ145" s="1"/>
    </row>
    <row r="146" spans="1:140" x14ac:dyDescent="0.25">
      <c r="A146" s="18" t="s">
        <v>6</v>
      </c>
      <c r="B146" s="18">
        <v>2024</v>
      </c>
      <c r="C146" s="18" t="s">
        <v>138</v>
      </c>
      <c r="D146" s="18" t="s">
        <v>266</v>
      </c>
      <c r="E146" s="18">
        <v>40</v>
      </c>
      <c r="F146" s="18">
        <v>40</v>
      </c>
      <c r="G146" s="18" t="s">
        <v>153</v>
      </c>
      <c r="H146" s="18"/>
      <c r="I146" s="18" t="s">
        <v>299</v>
      </c>
      <c r="J146" s="31">
        <v>36.5</v>
      </c>
      <c r="K146" s="31">
        <v>37</v>
      </c>
      <c r="L146" s="4">
        <v>0.5</v>
      </c>
      <c r="M146" s="32">
        <v>0.3</v>
      </c>
      <c r="N146" s="31">
        <v>0.15</v>
      </c>
      <c r="O146" s="18">
        <v>0.15</v>
      </c>
      <c r="P146" s="18">
        <v>7.5</v>
      </c>
      <c r="Q146" s="18">
        <v>20</v>
      </c>
      <c r="R146" s="18">
        <v>0.12</v>
      </c>
      <c r="S146" s="18">
        <v>0</v>
      </c>
      <c r="T146" s="65">
        <v>0</v>
      </c>
      <c r="U146" s="18">
        <v>3</v>
      </c>
      <c r="V146" s="18"/>
      <c r="W146" s="18">
        <v>3</v>
      </c>
      <c r="X146" s="4">
        <v>40</v>
      </c>
      <c r="Y146" s="18">
        <v>0</v>
      </c>
      <c r="Z146" s="18" t="s">
        <v>330</v>
      </c>
      <c r="AA146" s="18" t="s">
        <v>333</v>
      </c>
      <c r="AB146" s="18" t="s">
        <v>334</v>
      </c>
      <c r="AC146" s="18">
        <v>20</v>
      </c>
      <c r="AD146" s="18">
        <v>7.5</v>
      </c>
      <c r="AE146" s="18" t="s">
        <v>27</v>
      </c>
      <c r="AF146" s="18" t="s">
        <v>34</v>
      </c>
      <c r="AG146" s="18" t="s">
        <v>34</v>
      </c>
      <c r="AH146" s="18">
        <v>17</v>
      </c>
      <c r="AI146" s="18" t="s">
        <v>29</v>
      </c>
      <c r="AJ146" s="18" t="s">
        <v>69</v>
      </c>
      <c r="AK146" s="18" t="s">
        <v>81</v>
      </c>
      <c r="AL146" s="18" t="s">
        <v>100</v>
      </c>
      <c r="AM146" s="18" t="s">
        <v>109</v>
      </c>
      <c r="AN146" s="18" t="s">
        <v>122</v>
      </c>
      <c r="AO146" s="18" t="s">
        <v>126</v>
      </c>
      <c r="AP146" s="18"/>
      <c r="AQ146" s="18"/>
      <c r="AR146" s="18">
        <v>0</v>
      </c>
      <c r="AS146" s="36">
        <v>0</v>
      </c>
      <c r="AT146" s="36">
        <v>0</v>
      </c>
      <c r="AU146" s="36">
        <v>1</v>
      </c>
      <c r="AV146" s="36">
        <v>0</v>
      </c>
      <c r="AW146" s="36">
        <v>1</v>
      </c>
      <c r="AX146" s="49">
        <f t="shared" si="20"/>
        <v>0</v>
      </c>
      <c r="AY146" s="49">
        <v>4</v>
      </c>
      <c r="AZ146" s="50">
        <v>3</v>
      </c>
      <c r="BA146" s="49">
        <v>1</v>
      </c>
      <c r="BB146" s="49">
        <v>10</v>
      </c>
      <c r="BC146" s="67">
        <v>1.5</v>
      </c>
      <c r="BD146" s="67">
        <v>4</v>
      </c>
      <c r="BE146" s="67">
        <v>5</v>
      </c>
      <c r="BF146" s="67">
        <v>0</v>
      </c>
      <c r="BG146" s="67">
        <v>0</v>
      </c>
      <c r="BH146" s="67">
        <v>1</v>
      </c>
      <c r="BI146" s="67">
        <v>0</v>
      </c>
      <c r="BJ146" s="67">
        <v>0</v>
      </c>
      <c r="BK146" s="67">
        <v>0</v>
      </c>
      <c r="BL146" s="67">
        <v>7</v>
      </c>
      <c r="BM146" s="67">
        <f t="shared" si="23"/>
        <v>17</v>
      </c>
      <c r="BN146" s="18">
        <f t="shared" si="24"/>
        <v>18</v>
      </c>
      <c r="BO146" s="18"/>
      <c r="BP146" s="18"/>
      <c r="BQ146" s="1"/>
    </row>
    <row r="147" spans="1:140" x14ac:dyDescent="0.25">
      <c r="A147" s="18" t="s">
        <v>6</v>
      </c>
      <c r="B147" s="18">
        <v>2024</v>
      </c>
      <c r="C147" s="18" t="s">
        <v>138</v>
      </c>
      <c r="D147" s="18" t="s">
        <v>266</v>
      </c>
      <c r="E147" s="18">
        <v>40</v>
      </c>
      <c r="F147" s="18">
        <v>40</v>
      </c>
      <c r="G147" s="18" t="s">
        <v>153</v>
      </c>
      <c r="H147" s="18"/>
      <c r="I147" s="18" t="s">
        <v>299</v>
      </c>
      <c r="J147" s="31">
        <v>37</v>
      </c>
      <c r="K147" s="31">
        <v>37.5</v>
      </c>
      <c r="L147" s="4">
        <v>0.5</v>
      </c>
      <c r="M147" s="32">
        <v>0.78</v>
      </c>
      <c r="N147" s="31">
        <v>0.39</v>
      </c>
      <c r="O147" s="18">
        <v>0.39</v>
      </c>
      <c r="P147" s="18">
        <v>19.5</v>
      </c>
      <c r="Q147" s="18">
        <v>20</v>
      </c>
      <c r="R147" s="18">
        <v>0.36</v>
      </c>
      <c r="S147" s="18">
        <v>0</v>
      </c>
      <c r="T147" s="65">
        <v>0</v>
      </c>
      <c r="U147" s="18">
        <v>5</v>
      </c>
      <c r="V147" s="18"/>
      <c r="W147" s="18">
        <v>5</v>
      </c>
      <c r="X147" s="4">
        <v>72</v>
      </c>
      <c r="Y147" s="18">
        <v>0</v>
      </c>
      <c r="Z147" s="18" t="s">
        <v>330</v>
      </c>
      <c r="AA147" s="18" t="s">
        <v>333</v>
      </c>
      <c r="AB147" s="18" t="s">
        <v>334</v>
      </c>
      <c r="AC147" s="18">
        <v>20</v>
      </c>
      <c r="AD147" s="18">
        <v>19.5</v>
      </c>
      <c r="AE147" s="18" t="s">
        <v>27</v>
      </c>
      <c r="AF147" s="18" t="s">
        <v>27</v>
      </c>
      <c r="AG147" s="18" t="s">
        <v>27</v>
      </c>
      <c r="AH147" s="18">
        <v>59</v>
      </c>
      <c r="AI147" s="18"/>
      <c r="AJ147" s="18" t="s">
        <v>64</v>
      </c>
      <c r="AK147" s="18" t="s">
        <v>79</v>
      </c>
      <c r="AL147" s="18" t="s">
        <v>96</v>
      </c>
      <c r="AM147" s="18" t="s">
        <v>107</v>
      </c>
      <c r="AN147" s="18" t="s">
        <v>120</v>
      </c>
      <c r="AO147" s="18" t="s">
        <v>267</v>
      </c>
      <c r="AP147" s="18"/>
      <c r="AQ147" s="18"/>
      <c r="AR147" s="18">
        <v>2</v>
      </c>
      <c r="AS147" s="36">
        <v>1</v>
      </c>
      <c r="AT147" s="36">
        <v>1</v>
      </c>
      <c r="AU147" s="36">
        <v>3</v>
      </c>
      <c r="AV147" s="36">
        <v>2</v>
      </c>
      <c r="AW147" s="36">
        <v>9</v>
      </c>
      <c r="AX147" s="49">
        <f t="shared" si="20"/>
        <v>0</v>
      </c>
      <c r="AY147" s="49">
        <v>4</v>
      </c>
      <c r="AZ147" s="50">
        <v>4</v>
      </c>
      <c r="BA147" s="49">
        <v>9</v>
      </c>
      <c r="BB147" s="49">
        <v>15</v>
      </c>
      <c r="BC147" s="67">
        <v>13.5</v>
      </c>
      <c r="BD147" s="67">
        <v>4</v>
      </c>
      <c r="BE147" s="67">
        <v>6</v>
      </c>
      <c r="BF147" s="67">
        <v>0</v>
      </c>
      <c r="BG147" s="67">
        <v>1</v>
      </c>
      <c r="BH147" s="67">
        <v>3</v>
      </c>
      <c r="BI147" s="67">
        <v>2</v>
      </c>
      <c r="BJ147" s="67">
        <v>1</v>
      </c>
      <c r="BK147" s="67">
        <v>3</v>
      </c>
      <c r="BL147" s="67">
        <v>10</v>
      </c>
      <c r="BM147" s="67">
        <f t="shared" si="23"/>
        <v>30</v>
      </c>
      <c r="BN147" s="18">
        <f t="shared" si="24"/>
        <v>32</v>
      </c>
      <c r="BO147" s="18"/>
      <c r="BP147" s="18"/>
      <c r="BQ147" s="1"/>
    </row>
    <row r="148" spans="1:140" x14ac:dyDescent="0.25">
      <c r="A148" s="18" t="s">
        <v>6</v>
      </c>
      <c r="B148" s="18">
        <v>2024</v>
      </c>
      <c r="C148" s="18" t="s">
        <v>138</v>
      </c>
      <c r="D148" s="18" t="s">
        <v>266</v>
      </c>
      <c r="E148" s="18">
        <v>40</v>
      </c>
      <c r="F148" s="18">
        <v>40</v>
      </c>
      <c r="G148" s="18" t="s">
        <v>153</v>
      </c>
      <c r="H148" s="18"/>
      <c r="I148" s="18" t="s">
        <v>299</v>
      </c>
      <c r="J148" s="31">
        <v>37.5</v>
      </c>
      <c r="K148" s="31">
        <v>38</v>
      </c>
      <c r="L148" s="4">
        <v>0.5</v>
      </c>
      <c r="M148" s="32">
        <v>1</v>
      </c>
      <c r="N148" s="31">
        <v>0.5</v>
      </c>
      <c r="O148" s="18">
        <v>0.5</v>
      </c>
      <c r="P148" s="18">
        <v>25</v>
      </c>
      <c r="Q148" s="18">
        <v>20</v>
      </c>
      <c r="R148" s="18">
        <v>0.4</v>
      </c>
      <c r="S148" s="18">
        <v>0.24</v>
      </c>
      <c r="T148" s="65">
        <v>48</v>
      </c>
      <c r="U148" s="18">
        <v>3</v>
      </c>
      <c r="V148" s="18"/>
      <c r="W148" s="18">
        <v>3</v>
      </c>
      <c r="X148" s="4">
        <v>133.33333333333334</v>
      </c>
      <c r="Y148" s="18">
        <v>0</v>
      </c>
      <c r="Z148" s="18" t="s">
        <v>330</v>
      </c>
      <c r="AA148" s="18" t="s">
        <v>333</v>
      </c>
      <c r="AB148" s="18" t="s">
        <v>334</v>
      </c>
      <c r="AC148" s="18">
        <v>20</v>
      </c>
      <c r="AD148" s="18">
        <v>25</v>
      </c>
      <c r="AE148" s="18" t="s">
        <v>27</v>
      </c>
      <c r="AF148" s="18" t="s">
        <v>32</v>
      </c>
      <c r="AG148" s="18" t="s">
        <v>32</v>
      </c>
      <c r="AH148" s="18">
        <v>30</v>
      </c>
      <c r="AI148" s="18" t="s">
        <v>29</v>
      </c>
      <c r="AJ148" s="18" t="s">
        <v>66</v>
      </c>
      <c r="AK148" s="18" t="s">
        <v>81</v>
      </c>
      <c r="AL148" s="18" t="s">
        <v>100</v>
      </c>
      <c r="AM148" s="18" t="s">
        <v>107</v>
      </c>
      <c r="AN148" s="18" t="s">
        <v>122</v>
      </c>
      <c r="AO148" s="18" t="s">
        <v>267</v>
      </c>
      <c r="AP148" s="18"/>
      <c r="AQ148" s="18"/>
      <c r="AR148" s="18">
        <v>1</v>
      </c>
      <c r="AS148" s="36">
        <v>0</v>
      </c>
      <c r="AT148" s="36">
        <v>0</v>
      </c>
      <c r="AU148" s="36">
        <v>3</v>
      </c>
      <c r="AV148" s="36">
        <v>0</v>
      </c>
      <c r="AW148" s="36">
        <v>4</v>
      </c>
      <c r="AX148" s="49">
        <f t="shared" si="20"/>
        <v>10</v>
      </c>
      <c r="AY148" s="49">
        <v>4</v>
      </c>
      <c r="AZ148" s="50">
        <v>5</v>
      </c>
      <c r="BA148" s="49">
        <v>4</v>
      </c>
      <c r="BB148" s="49">
        <v>15</v>
      </c>
      <c r="BC148" s="67">
        <v>30</v>
      </c>
      <c r="BD148" s="67">
        <v>4</v>
      </c>
      <c r="BE148" s="67">
        <v>10</v>
      </c>
      <c r="BF148" s="67">
        <v>10</v>
      </c>
      <c r="BG148" s="67">
        <v>0</v>
      </c>
      <c r="BH148" s="67">
        <v>3</v>
      </c>
      <c r="BI148" s="67">
        <v>0</v>
      </c>
      <c r="BJ148" s="67">
        <v>0</v>
      </c>
      <c r="BK148" s="67">
        <v>1</v>
      </c>
      <c r="BL148" s="67">
        <v>10</v>
      </c>
      <c r="BM148" s="67">
        <f t="shared" si="23"/>
        <v>38</v>
      </c>
      <c r="BN148" s="18">
        <f t="shared" si="24"/>
        <v>38</v>
      </c>
      <c r="BO148" s="18"/>
      <c r="BP148" s="18"/>
      <c r="BQ148" s="1"/>
    </row>
    <row r="149" spans="1:140" x14ac:dyDescent="0.25">
      <c r="A149" s="18" t="s">
        <v>6</v>
      </c>
      <c r="B149" s="18">
        <v>2024</v>
      </c>
      <c r="C149" s="18" t="s">
        <v>138</v>
      </c>
      <c r="D149" s="18" t="s">
        <v>266</v>
      </c>
      <c r="E149" s="18">
        <v>40</v>
      </c>
      <c r="F149" s="18">
        <v>40</v>
      </c>
      <c r="G149" s="18" t="s">
        <v>153</v>
      </c>
      <c r="H149" s="18"/>
      <c r="I149" s="18" t="s">
        <v>299</v>
      </c>
      <c r="J149" s="31">
        <v>38</v>
      </c>
      <c r="K149" s="31">
        <v>38.5</v>
      </c>
      <c r="L149" s="4">
        <v>0.5</v>
      </c>
      <c r="M149" s="32">
        <v>1</v>
      </c>
      <c r="N149" s="31">
        <v>0.5</v>
      </c>
      <c r="O149" s="18">
        <v>0.5</v>
      </c>
      <c r="P149" s="18">
        <v>25</v>
      </c>
      <c r="Q149" s="18">
        <v>20</v>
      </c>
      <c r="R149" s="18">
        <v>0.46</v>
      </c>
      <c r="S149" s="18">
        <v>0</v>
      </c>
      <c r="T149" s="65">
        <v>0</v>
      </c>
      <c r="U149" s="18">
        <v>4</v>
      </c>
      <c r="V149" s="18"/>
      <c r="W149" s="18">
        <v>4</v>
      </c>
      <c r="X149" s="4">
        <v>115</v>
      </c>
      <c r="Y149" s="18">
        <v>0</v>
      </c>
      <c r="Z149" s="18" t="s">
        <v>330</v>
      </c>
      <c r="AA149" s="18" t="s">
        <v>333</v>
      </c>
      <c r="AB149" s="18" t="s">
        <v>334</v>
      </c>
      <c r="AC149" s="18">
        <v>20</v>
      </c>
      <c r="AD149" s="18">
        <v>25</v>
      </c>
      <c r="AE149" s="18" t="s">
        <v>27</v>
      </c>
      <c r="AF149" s="18" t="s">
        <v>34</v>
      </c>
      <c r="AG149" s="18" t="s">
        <v>34</v>
      </c>
      <c r="AH149" s="18">
        <v>17</v>
      </c>
      <c r="AI149" s="18" t="s">
        <v>29</v>
      </c>
      <c r="AJ149" s="18" t="s">
        <v>69</v>
      </c>
      <c r="AK149" s="18" t="s">
        <v>81</v>
      </c>
      <c r="AL149" s="18" t="s">
        <v>100</v>
      </c>
      <c r="AM149" s="18" t="s">
        <v>109</v>
      </c>
      <c r="AN149" s="18" t="s">
        <v>122</v>
      </c>
      <c r="AO149" s="18" t="s">
        <v>126</v>
      </c>
      <c r="AP149" s="18"/>
      <c r="AQ149" s="18"/>
      <c r="AR149" s="18">
        <v>0</v>
      </c>
      <c r="AS149" s="36">
        <v>0</v>
      </c>
      <c r="AT149" s="36">
        <v>0</v>
      </c>
      <c r="AU149" s="36">
        <v>1</v>
      </c>
      <c r="AV149" s="36">
        <v>0</v>
      </c>
      <c r="AW149" s="36">
        <v>1</v>
      </c>
      <c r="AX149" s="49">
        <f t="shared" si="20"/>
        <v>0</v>
      </c>
      <c r="AY149" s="49">
        <v>4</v>
      </c>
      <c r="AZ149" s="50">
        <v>5</v>
      </c>
      <c r="BA149" s="49">
        <v>1</v>
      </c>
      <c r="BB149" s="49">
        <v>10</v>
      </c>
      <c r="BC149" s="67">
        <v>1.5</v>
      </c>
      <c r="BD149" s="67">
        <v>4</v>
      </c>
      <c r="BE149" s="67">
        <v>9</v>
      </c>
      <c r="BF149" s="67">
        <v>0</v>
      </c>
      <c r="BG149" s="67">
        <v>0</v>
      </c>
      <c r="BH149" s="67">
        <v>1</v>
      </c>
      <c r="BI149" s="67">
        <v>0</v>
      </c>
      <c r="BJ149" s="67">
        <v>0</v>
      </c>
      <c r="BK149" s="67">
        <v>0</v>
      </c>
      <c r="BL149" s="67">
        <v>7</v>
      </c>
      <c r="BM149" s="67">
        <f t="shared" si="23"/>
        <v>21</v>
      </c>
      <c r="BN149" s="18">
        <f t="shared" si="24"/>
        <v>20</v>
      </c>
      <c r="BO149" s="18"/>
      <c r="BP149" s="18"/>
      <c r="BQ149" s="1"/>
    </row>
    <row r="150" spans="1:140" x14ac:dyDescent="0.25">
      <c r="A150" s="18" t="s">
        <v>6</v>
      </c>
      <c r="B150" s="18">
        <v>2024</v>
      </c>
      <c r="C150" s="18" t="s">
        <v>138</v>
      </c>
      <c r="D150" s="18" t="s">
        <v>266</v>
      </c>
      <c r="E150" s="18">
        <v>40</v>
      </c>
      <c r="F150" s="18">
        <v>40</v>
      </c>
      <c r="G150" s="18" t="s">
        <v>153</v>
      </c>
      <c r="H150" s="18"/>
      <c r="I150" s="18" t="s">
        <v>299</v>
      </c>
      <c r="J150" s="31">
        <v>38.5</v>
      </c>
      <c r="K150" s="31">
        <v>39</v>
      </c>
      <c r="L150" s="4">
        <v>0.5</v>
      </c>
      <c r="M150" s="32">
        <v>1</v>
      </c>
      <c r="N150" s="31">
        <v>0.5</v>
      </c>
      <c r="O150" s="18">
        <v>0.5</v>
      </c>
      <c r="P150" s="18">
        <v>25</v>
      </c>
      <c r="Q150" s="18">
        <v>20</v>
      </c>
      <c r="R150" s="18">
        <v>0.43</v>
      </c>
      <c r="S150" s="18">
        <v>0.18</v>
      </c>
      <c r="T150" s="65">
        <v>36</v>
      </c>
      <c r="U150" s="18">
        <v>4</v>
      </c>
      <c r="V150" s="18"/>
      <c r="W150" s="18">
        <v>4</v>
      </c>
      <c r="X150" s="4">
        <v>107.5</v>
      </c>
      <c r="Y150" s="18">
        <v>0</v>
      </c>
      <c r="Z150" s="18" t="s">
        <v>330</v>
      </c>
      <c r="AA150" s="18" t="s">
        <v>333</v>
      </c>
      <c r="AB150" s="18" t="s">
        <v>334</v>
      </c>
      <c r="AC150" s="18">
        <v>20</v>
      </c>
      <c r="AD150" s="18">
        <v>25</v>
      </c>
      <c r="AE150" s="18" t="s">
        <v>27</v>
      </c>
      <c r="AF150" s="18" t="s">
        <v>32</v>
      </c>
      <c r="AG150" s="18" t="s">
        <v>32</v>
      </c>
      <c r="AH150" s="18">
        <v>30</v>
      </c>
      <c r="AI150" s="18" t="s">
        <v>29</v>
      </c>
      <c r="AJ150" s="18" t="s">
        <v>66</v>
      </c>
      <c r="AK150" s="18" t="s">
        <v>79</v>
      </c>
      <c r="AL150" s="18" t="s">
        <v>96</v>
      </c>
      <c r="AM150" s="18" t="s">
        <v>109</v>
      </c>
      <c r="AN150" s="18" t="s">
        <v>120</v>
      </c>
      <c r="AO150" s="18" t="s">
        <v>267</v>
      </c>
      <c r="AP150" s="18"/>
      <c r="AQ150" s="18"/>
      <c r="AR150" s="18">
        <v>1</v>
      </c>
      <c r="AS150" s="36">
        <v>1</v>
      </c>
      <c r="AT150" s="36">
        <v>1</v>
      </c>
      <c r="AU150" s="36">
        <v>1</v>
      </c>
      <c r="AV150" s="36">
        <v>2</v>
      </c>
      <c r="AW150" s="36">
        <v>6</v>
      </c>
      <c r="AX150" s="49">
        <f t="shared" si="20"/>
        <v>8</v>
      </c>
      <c r="AY150" s="49">
        <v>4</v>
      </c>
      <c r="AZ150" s="50">
        <v>5</v>
      </c>
      <c r="BA150" s="49">
        <v>6</v>
      </c>
      <c r="BB150" s="49">
        <v>15</v>
      </c>
      <c r="BC150" s="67">
        <v>27</v>
      </c>
      <c r="BD150" s="67">
        <v>4</v>
      </c>
      <c r="BE150" s="67">
        <v>9</v>
      </c>
      <c r="BF150" s="67">
        <v>8</v>
      </c>
      <c r="BG150" s="67">
        <v>1</v>
      </c>
      <c r="BH150" s="67">
        <v>1</v>
      </c>
      <c r="BI150" s="67">
        <v>2</v>
      </c>
      <c r="BJ150" s="67">
        <v>1</v>
      </c>
      <c r="BK150" s="67">
        <v>1</v>
      </c>
      <c r="BL150" s="67">
        <v>10</v>
      </c>
      <c r="BM150" s="67">
        <f t="shared" si="23"/>
        <v>37</v>
      </c>
      <c r="BN150" s="18">
        <f t="shared" si="24"/>
        <v>38</v>
      </c>
      <c r="BO150" s="18"/>
      <c r="BP150" s="18"/>
      <c r="BQ150" s="1"/>
    </row>
    <row r="151" spans="1:140" x14ac:dyDescent="0.25">
      <c r="A151" s="36" t="s">
        <v>6</v>
      </c>
      <c r="B151" s="36">
        <v>2024</v>
      </c>
      <c r="C151" s="36" t="s">
        <v>138</v>
      </c>
      <c r="D151" s="36" t="s">
        <v>266</v>
      </c>
      <c r="E151" s="18">
        <v>40</v>
      </c>
      <c r="F151" s="18">
        <v>40</v>
      </c>
      <c r="G151" s="18" t="s">
        <v>153</v>
      </c>
      <c r="H151" s="18"/>
      <c r="I151" s="18" t="s">
        <v>299</v>
      </c>
      <c r="J151" s="31">
        <v>39</v>
      </c>
      <c r="K151" s="31">
        <v>39.5</v>
      </c>
      <c r="L151" s="4">
        <v>0.5</v>
      </c>
      <c r="M151" s="32">
        <v>0.96</v>
      </c>
      <c r="N151" s="31">
        <v>0.48</v>
      </c>
      <c r="O151" s="18">
        <v>0.48</v>
      </c>
      <c r="P151" s="18">
        <v>24</v>
      </c>
      <c r="Q151" s="18">
        <v>20</v>
      </c>
      <c r="R151" s="18">
        <v>0.36</v>
      </c>
      <c r="S151" s="18">
        <v>0.1</v>
      </c>
      <c r="T151" s="65">
        <v>20</v>
      </c>
      <c r="U151" s="18">
        <v>4</v>
      </c>
      <c r="V151" s="18"/>
      <c r="W151" s="18">
        <v>4</v>
      </c>
      <c r="X151" s="4">
        <v>90</v>
      </c>
      <c r="Y151" s="18">
        <v>0</v>
      </c>
      <c r="Z151" s="18" t="s">
        <v>330</v>
      </c>
      <c r="AA151" s="18" t="s">
        <v>333</v>
      </c>
      <c r="AB151" s="18" t="s">
        <v>334</v>
      </c>
      <c r="AC151" s="18">
        <v>20</v>
      </c>
      <c r="AD151" s="18">
        <v>24</v>
      </c>
      <c r="AE151" s="18" t="s">
        <v>27</v>
      </c>
      <c r="AF151" s="18" t="s">
        <v>32</v>
      </c>
      <c r="AG151" s="18" t="s">
        <v>32</v>
      </c>
      <c r="AH151" s="18">
        <v>30</v>
      </c>
      <c r="AI151" s="18" t="s">
        <v>29</v>
      </c>
      <c r="AJ151" s="18" t="s">
        <v>66</v>
      </c>
      <c r="AK151" s="18" t="s">
        <v>79</v>
      </c>
      <c r="AL151" s="18" t="s">
        <v>96</v>
      </c>
      <c r="AM151" s="18" t="s">
        <v>109</v>
      </c>
      <c r="AN151" s="18" t="s">
        <v>120</v>
      </c>
      <c r="AO151" s="18" t="s">
        <v>267</v>
      </c>
      <c r="AP151" s="36"/>
      <c r="AQ151" s="36"/>
      <c r="AR151" s="18">
        <v>1</v>
      </c>
      <c r="AS151" s="36">
        <v>1</v>
      </c>
      <c r="AT151" s="36">
        <v>1</v>
      </c>
      <c r="AU151" s="36">
        <v>1</v>
      </c>
      <c r="AV151" s="36">
        <v>2</v>
      </c>
      <c r="AW151" s="36">
        <v>6</v>
      </c>
      <c r="AX151" s="49">
        <f t="shared" si="20"/>
        <v>4</v>
      </c>
      <c r="AY151" s="49">
        <v>4</v>
      </c>
      <c r="AZ151" s="50">
        <v>4</v>
      </c>
      <c r="BA151" s="49">
        <v>6</v>
      </c>
      <c r="BB151" s="49">
        <v>15</v>
      </c>
      <c r="BC151" s="67">
        <v>19</v>
      </c>
      <c r="BD151" s="67">
        <v>4</v>
      </c>
      <c r="BE151" s="67">
        <v>8</v>
      </c>
      <c r="BF151" s="67">
        <v>4</v>
      </c>
      <c r="BG151" s="67">
        <v>1</v>
      </c>
      <c r="BH151" s="67">
        <v>1</v>
      </c>
      <c r="BI151" s="67">
        <v>2</v>
      </c>
      <c r="BJ151" s="67">
        <v>1</v>
      </c>
      <c r="BK151" s="67">
        <v>1</v>
      </c>
      <c r="BL151" s="67">
        <v>10</v>
      </c>
      <c r="BM151" s="67">
        <f t="shared" si="23"/>
        <v>32</v>
      </c>
      <c r="BN151" s="18">
        <f t="shared" si="24"/>
        <v>33</v>
      </c>
      <c r="BO151" s="18"/>
      <c r="BP151" s="18"/>
      <c r="BQ151" s="1"/>
    </row>
    <row r="152" spans="1:140" x14ac:dyDescent="0.25">
      <c r="A152" s="36" t="s">
        <v>6</v>
      </c>
      <c r="B152" s="36">
        <v>2024</v>
      </c>
      <c r="C152" s="36" t="s">
        <v>138</v>
      </c>
      <c r="D152" s="36" t="s">
        <v>266</v>
      </c>
      <c r="E152" s="18">
        <v>40</v>
      </c>
      <c r="F152" s="18">
        <v>40</v>
      </c>
      <c r="G152" s="18" t="s">
        <v>153</v>
      </c>
      <c r="H152" s="18"/>
      <c r="I152" s="18" t="s">
        <v>299</v>
      </c>
      <c r="J152" s="31">
        <v>39.5</v>
      </c>
      <c r="K152" s="31">
        <v>40</v>
      </c>
      <c r="L152" s="4">
        <v>0.5</v>
      </c>
      <c r="M152" s="32">
        <v>1</v>
      </c>
      <c r="N152" s="31">
        <v>0.5</v>
      </c>
      <c r="O152" s="18">
        <v>0.5</v>
      </c>
      <c r="P152" s="18">
        <v>25</v>
      </c>
      <c r="Q152" s="18">
        <v>20</v>
      </c>
      <c r="R152" s="18">
        <v>0.4</v>
      </c>
      <c r="S152" s="18">
        <v>0.18</v>
      </c>
      <c r="T152" s="65">
        <v>36</v>
      </c>
      <c r="U152" s="18">
        <v>4</v>
      </c>
      <c r="V152" s="18"/>
      <c r="W152" s="18">
        <v>4</v>
      </c>
      <c r="X152" s="4">
        <v>100</v>
      </c>
      <c r="Y152" s="18">
        <v>0</v>
      </c>
      <c r="Z152" s="18" t="s">
        <v>330</v>
      </c>
      <c r="AA152" s="18" t="s">
        <v>333</v>
      </c>
      <c r="AB152" s="18" t="s">
        <v>334</v>
      </c>
      <c r="AC152" s="18">
        <v>20</v>
      </c>
      <c r="AD152" s="18">
        <v>25</v>
      </c>
      <c r="AE152" s="18" t="s">
        <v>27</v>
      </c>
      <c r="AF152" s="18" t="s">
        <v>32</v>
      </c>
      <c r="AG152" s="18" t="s">
        <v>32</v>
      </c>
      <c r="AH152" s="18">
        <v>30</v>
      </c>
      <c r="AI152" s="18" t="s">
        <v>29</v>
      </c>
      <c r="AJ152" s="18" t="s">
        <v>66</v>
      </c>
      <c r="AK152" s="18" t="s">
        <v>79</v>
      </c>
      <c r="AL152" s="18" t="s">
        <v>96</v>
      </c>
      <c r="AM152" s="18" t="s">
        <v>109</v>
      </c>
      <c r="AN152" s="18" t="s">
        <v>120</v>
      </c>
      <c r="AO152" s="18" t="s">
        <v>267</v>
      </c>
      <c r="AP152" s="36"/>
      <c r="AQ152" s="36"/>
      <c r="AR152" s="18">
        <v>1</v>
      </c>
      <c r="AS152" s="36">
        <v>1</v>
      </c>
      <c r="AT152" s="36">
        <v>1</v>
      </c>
      <c r="AU152" s="36">
        <v>1</v>
      </c>
      <c r="AV152" s="36">
        <v>2</v>
      </c>
      <c r="AW152" s="36">
        <v>6</v>
      </c>
      <c r="AX152" s="49">
        <f t="shared" ref="AX152" si="26">ROUND(-0.0002*POWER(T152,2)+0.2197*T152,0)</f>
        <v>8</v>
      </c>
      <c r="AY152" s="49">
        <v>4</v>
      </c>
      <c r="AZ152" s="50">
        <v>5</v>
      </c>
      <c r="BA152" s="49">
        <v>6</v>
      </c>
      <c r="BB152" s="49">
        <v>15</v>
      </c>
      <c r="BC152" s="67">
        <v>27</v>
      </c>
      <c r="BD152" s="67">
        <v>4</v>
      </c>
      <c r="BE152" s="67">
        <v>8</v>
      </c>
      <c r="BF152" s="67">
        <v>8</v>
      </c>
      <c r="BG152" s="67">
        <v>1</v>
      </c>
      <c r="BH152" s="67">
        <v>1</v>
      </c>
      <c r="BI152" s="67">
        <v>2</v>
      </c>
      <c r="BJ152" s="67">
        <v>1</v>
      </c>
      <c r="BK152" s="67">
        <v>1</v>
      </c>
      <c r="BL152" s="67">
        <v>10</v>
      </c>
      <c r="BM152" s="67">
        <f t="shared" si="23"/>
        <v>36</v>
      </c>
      <c r="BN152" s="18">
        <f t="shared" si="24"/>
        <v>38</v>
      </c>
      <c r="BO152" s="18"/>
      <c r="BP152" s="18"/>
      <c r="BQ152" s="1"/>
    </row>
    <row r="153" spans="1:140" x14ac:dyDescent="0.25">
      <c r="AH153" s="93"/>
    </row>
    <row r="154" spans="1:140" x14ac:dyDescent="0.25">
      <c r="EJ154">
        <v>0</v>
      </c>
    </row>
  </sheetData>
  <autoFilter ref="A2:BP152" xr:uid="{C88DB7C7-2CE2-40EA-A176-96F37A89261A}"/>
  <sortState xmlns:xlrd2="http://schemas.microsoft.com/office/spreadsheetml/2017/richdata2" ref="EM102:EN106">
    <sortCondition descending="1" ref="EN102"/>
  </sortState>
  <pageMargins left="0.511811024" right="0.511811024" top="0.78740157499999996" bottom="0.78740157499999996" header="0.31496062000000002" footer="0.31496062000000002"/>
  <pageSetup paperSize="9" scale="94" orientation="portrait" r:id="rId1"/>
  <colBreaks count="2" manualBreakCount="2">
    <brk id="95" max="151" man="1"/>
    <brk id="104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C019-6E7C-4A3F-AFE6-F6756F59EE4F}">
  <sheetPr>
    <tabColor rgb="FFFF0000"/>
  </sheetPr>
  <dimension ref="A2:EX157"/>
  <sheetViews>
    <sheetView topLeftCell="A2" zoomScale="55" zoomScaleNormal="55" zoomScaleSheetLayoutView="50" workbookViewId="0">
      <selection activeCell="AG58" sqref="AG58"/>
    </sheetView>
  </sheetViews>
  <sheetFormatPr defaultColWidth="8.85546875" defaultRowHeight="15" x14ac:dyDescent="0.25"/>
  <cols>
    <col min="4" max="4" width="15.140625" bestFit="1" customWidth="1"/>
    <col min="7" max="8" width="21.28515625" bestFit="1" customWidth="1"/>
    <col min="9" max="9" width="68.7109375" bestFit="1" customWidth="1"/>
    <col min="33" max="33" width="12.28515625" customWidth="1"/>
    <col min="34" max="34" width="16.7109375" customWidth="1"/>
    <col min="35" max="35" width="17" customWidth="1"/>
  </cols>
  <sheetData>
    <row r="2" spans="1:154" ht="90" x14ac:dyDescent="0.25">
      <c r="A2" s="2" t="s">
        <v>0</v>
      </c>
      <c r="B2" s="46" t="s">
        <v>1</v>
      </c>
      <c r="C2" s="46" t="s">
        <v>137</v>
      </c>
      <c r="D2" s="46" t="s">
        <v>2</v>
      </c>
      <c r="E2" s="46" t="s">
        <v>131</v>
      </c>
      <c r="F2" s="134" t="s">
        <v>635</v>
      </c>
      <c r="G2" s="30" t="s">
        <v>633</v>
      </c>
      <c r="H2" s="134" t="s">
        <v>632</v>
      </c>
      <c r="I2" s="33" t="s">
        <v>129</v>
      </c>
      <c r="J2" s="48" t="s">
        <v>3</v>
      </c>
      <c r="K2" s="48" t="s">
        <v>4</v>
      </c>
      <c r="L2" s="46" t="s">
        <v>5</v>
      </c>
      <c r="M2" s="46" t="s">
        <v>133</v>
      </c>
      <c r="N2" s="46" t="s">
        <v>345</v>
      </c>
      <c r="O2" s="45" t="s">
        <v>339</v>
      </c>
      <c r="P2" s="45" t="s">
        <v>285</v>
      </c>
      <c r="Q2" s="45" t="s">
        <v>286</v>
      </c>
      <c r="R2" s="83" t="s">
        <v>576</v>
      </c>
      <c r="S2" s="83" t="s">
        <v>575</v>
      </c>
      <c r="T2" s="83" t="s">
        <v>11</v>
      </c>
      <c r="U2" s="83" t="s">
        <v>577</v>
      </c>
      <c r="V2" s="83" t="s">
        <v>578</v>
      </c>
      <c r="W2" s="83" t="s">
        <v>579</v>
      </c>
      <c r="X2" s="83" t="s">
        <v>285</v>
      </c>
      <c r="Y2" s="45" t="s">
        <v>340</v>
      </c>
      <c r="Z2" s="45" t="s">
        <v>7</v>
      </c>
      <c r="AA2" s="45" t="s">
        <v>8</v>
      </c>
      <c r="AB2" s="45" t="s">
        <v>9</v>
      </c>
      <c r="AC2" s="46" t="s">
        <v>188</v>
      </c>
      <c r="AD2" s="46" t="s">
        <v>347</v>
      </c>
      <c r="AE2" s="46" t="s">
        <v>350</v>
      </c>
      <c r="AF2" s="30" t="s">
        <v>305</v>
      </c>
      <c r="AG2" s="46" t="s">
        <v>344</v>
      </c>
      <c r="AH2" s="46" t="s">
        <v>643</v>
      </c>
      <c r="AI2" s="46"/>
      <c r="AJ2" s="46" t="s">
        <v>189</v>
      </c>
      <c r="AK2" s="46" t="s">
        <v>190</v>
      </c>
      <c r="AL2" s="46" t="s">
        <v>191</v>
      </c>
      <c r="AM2" s="46" t="s">
        <v>192</v>
      </c>
      <c r="AN2" s="46" t="s">
        <v>113</v>
      </c>
      <c r="AO2" s="46" t="s">
        <v>193</v>
      </c>
      <c r="AP2" s="47" t="s">
        <v>226</v>
      </c>
      <c r="AQ2" s="46"/>
      <c r="AR2" s="46" t="s">
        <v>189</v>
      </c>
      <c r="AS2" s="46" t="s">
        <v>190</v>
      </c>
      <c r="AT2" s="46" t="s">
        <v>191</v>
      </c>
      <c r="AU2" s="46" t="s">
        <v>192</v>
      </c>
      <c r="AV2" s="46" t="s">
        <v>572</v>
      </c>
      <c r="AW2" s="51" t="s">
        <v>648</v>
      </c>
      <c r="AX2" s="51" t="s">
        <v>300</v>
      </c>
      <c r="AY2" s="51" t="s">
        <v>301</v>
      </c>
      <c r="AZ2" s="51" t="s">
        <v>302</v>
      </c>
      <c r="BA2" s="51" t="s">
        <v>303</v>
      </c>
      <c r="BB2" s="52" t="s">
        <v>304</v>
      </c>
      <c r="BC2" s="46" t="s">
        <v>346</v>
      </c>
      <c r="BD2" s="74" t="s">
        <v>565</v>
      </c>
      <c r="BE2" s="74" t="s">
        <v>566</v>
      </c>
      <c r="BF2" s="74" t="s">
        <v>564</v>
      </c>
      <c r="BG2" s="74" t="s">
        <v>567</v>
      </c>
      <c r="BH2" s="74" t="s">
        <v>568</v>
      </c>
      <c r="BI2" s="74" t="s">
        <v>569</v>
      </c>
      <c r="BJ2" s="74" t="s">
        <v>570</v>
      </c>
      <c r="BK2" s="74" t="s">
        <v>571</v>
      </c>
      <c r="BL2" s="74" t="s">
        <v>304</v>
      </c>
      <c r="BM2" s="46" t="s">
        <v>194</v>
      </c>
      <c r="BN2" s="46" t="s">
        <v>12</v>
      </c>
    </row>
    <row r="3" spans="1:154" x14ac:dyDescent="0.25">
      <c r="A3" s="18" t="s">
        <v>6</v>
      </c>
      <c r="B3" s="18">
        <v>2024</v>
      </c>
      <c r="C3" s="18" t="s">
        <v>138</v>
      </c>
      <c r="D3" s="18" t="s">
        <v>10</v>
      </c>
      <c r="E3" s="18">
        <v>30</v>
      </c>
      <c r="F3" s="18">
        <v>30</v>
      </c>
      <c r="G3" s="18" t="s">
        <v>152</v>
      </c>
      <c r="H3" s="18" t="s">
        <v>152</v>
      </c>
      <c r="I3" s="18" t="s">
        <v>161</v>
      </c>
      <c r="J3" s="31">
        <v>17.5</v>
      </c>
      <c r="K3" s="31">
        <v>18</v>
      </c>
      <c r="L3" s="4">
        <v>0.5</v>
      </c>
      <c r="M3" s="5">
        <v>0.42</v>
      </c>
      <c r="N3" s="31">
        <v>0.21</v>
      </c>
      <c r="O3" s="31">
        <v>0.21</v>
      </c>
      <c r="P3" s="31">
        <v>10.5</v>
      </c>
      <c r="Q3" s="31">
        <v>20</v>
      </c>
      <c r="R3" s="31">
        <v>0.31</v>
      </c>
      <c r="S3" s="31">
        <v>0</v>
      </c>
      <c r="T3" s="86">
        <v>0</v>
      </c>
      <c r="U3" s="31">
        <v>6</v>
      </c>
      <c r="V3" s="31"/>
      <c r="W3" s="31">
        <v>6</v>
      </c>
      <c r="X3" s="85">
        <v>51.666666666666664</v>
      </c>
      <c r="Y3" s="18">
        <v>0</v>
      </c>
      <c r="Z3" s="18" t="s">
        <v>96</v>
      </c>
      <c r="AA3" s="18" t="s">
        <v>333</v>
      </c>
      <c r="AB3" s="18" t="s">
        <v>337</v>
      </c>
      <c r="AC3" s="18">
        <v>20</v>
      </c>
      <c r="AD3" s="18">
        <v>10.5</v>
      </c>
      <c r="AE3" s="18" t="s">
        <v>29</v>
      </c>
      <c r="AF3" s="18" t="s">
        <v>196</v>
      </c>
      <c r="AG3" s="18" t="s">
        <v>196</v>
      </c>
      <c r="AH3" s="18">
        <v>8.6999999999999993</v>
      </c>
      <c r="AI3" s="18" t="s">
        <v>32</v>
      </c>
      <c r="AJ3" s="18" t="s">
        <v>69</v>
      </c>
      <c r="AK3" s="18" t="s">
        <v>79</v>
      </c>
      <c r="AL3" s="18" t="s">
        <v>100</v>
      </c>
      <c r="AM3" s="18" t="s">
        <v>107</v>
      </c>
      <c r="AN3" s="18" t="s">
        <v>120</v>
      </c>
      <c r="AO3" s="18" t="s">
        <v>198</v>
      </c>
      <c r="AP3" s="18"/>
      <c r="AQ3" s="18"/>
      <c r="AR3" s="18">
        <v>0</v>
      </c>
      <c r="AS3" s="18">
        <v>1</v>
      </c>
      <c r="AT3" s="18">
        <v>0</v>
      </c>
      <c r="AU3" s="18">
        <v>3</v>
      </c>
      <c r="AV3" s="18">
        <v>2</v>
      </c>
      <c r="AW3" s="18">
        <v>6</v>
      </c>
      <c r="AX3" s="49">
        <f>ROUND(-0.0002*POWER(T3,2)+0.2197*T3,0)</f>
        <v>0</v>
      </c>
      <c r="AY3" s="49">
        <f>VLOOKUP(AI3,Leyenda!$B$4:$E$10,4,FALSE)</f>
        <v>1</v>
      </c>
      <c r="AZ3" s="50">
        <f>IF(X3="",ROUND((IF(X3&lt;=400,1.5478*POWER(X3,0.3351),-2*POWER(10,-6)*POWER(X3,2)+0.0091*X3+8.1704)),0),ROUND((IF(X3&lt;=400,1.5478*POWER(X3,0.3351),-2*POWER(10,-6)*POWER(X3,2)+0.0091*X3+8.1704)),0))</f>
        <v>6</v>
      </c>
      <c r="BA3" s="49">
        <v>6</v>
      </c>
      <c r="BB3" s="49">
        <v>10</v>
      </c>
      <c r="BC3" s="67">
        <v>9</v>
      </c>
      <c r="BD3" s="67">
        <f>VLOOKUP(AI3,Leyenda!$B$4:$E$10,4,FALSE)</f>
        <v>1</v>
      </c>
      <c r="BE3" s="67">
        <v>4</v>
      </c>
      <c r="BF3" s="67">
        <f>ROUND(-0.0002*POWER(T3,2)+0.2197*T3,0)</f>
        <v>0</v>
      </c>
      <c r="BG3" s="67">
        <v>0</v>
      </c>
      <c r="BH3" s="67">
        <v>3</v>
      </c>
      <c r="BI3" s="67">
        <v>2</v>
      </c>
      <c r="BJ3" s="67">
        <v>1</v>
      </c>
      <c r="BK3" s="67">
        <v>0</v>
      </c>
      <c r="BL3" s="67">
        <v>10</v>
      </c>
      <c r="BM3" s="125">
        <f>+BD3+BE3+BF3+BG3+BH3+BI3+BJ3+BK3+BL3</f>
        <v>21</v>
      </c>
      <c r="BN3" s="85">
        <f>+AX3+AY3+AZ3+BA3+BB3</f>
        <v>23</v>
      </c>
    </row>
    <row r="4" spans="1:154" x14ac:dyDescent="0.25">
      <c r="A4" s="18" t="s">
        <v>6</v>
      </c>
      <c r="B4" s="18">
        <v>2024</v>
      </c>
      <c r="C4" s="18" t="s">
        <v>138</v>
      </c>
      <c r="D4" s="18" t="s">
        <v>10</v>
      </c>
      <c r="E4" s="18">
        <v>30</v>
      </c>
      <c r="F4" s="18">
        <v>30</v>
      </c>
      <c r="G4" s="18" t="s">
        <v>152</v>
      </c>
      <c r="H4" s="18" t="s">
        <v>152</v>
      </c>
      <c r="I4" s="18" t="s">
        <v>161</v>
      </c>
      <c r="J4" s="31">
        <v>18</v>
      </c>
      <c r="K4" s="31">
        <v>18.5</v>
      </c>
      <c r="L4" s="4">
        <v>0.5</v>
      </c>
      <c r="M4" s="5">
        <v>0.6</v>
      </c>
      <c r="N4" s="31">
        <v>0.3</v>
      </c>
      <c r="O4" s="31">
        <v>0.3</v>
      </c>
      <c r="P4" s="31">
        <v>15</v>
      </c>
      <c r="Q4" s="31">
        <v>20</v>
      </c>
      <c r="R4" s="31">
        <v>0.13</v>
      </c>
      <c r="S4" s="31">
        <v>0</v>
      </c>
      <c r="T4" s="86">
        <v>0</v>
      </c>
      <c r="U4" s="31">
        <v>10</v>
      </c>
      <c r="V4" s="31"/>
      <c r="W4" s="31">
        <v>10</v>
      </c>
      <c r="X4" s="85">
        <v>13</v>
      </c>
      <c r="Y4" s="18">
        <v>0</v>
      </c>
      <c r="Z4" s="18" t="s">
        <v>96</v>
      </c>
      <c r="AA4" s="18" t="s">
        <v>333</v>
      </c>
      <c r="AB4" s="18" t="s">
        <v>337</v>
      </c>
      <c r="AC4" s="18">
        <v>20</v>
      </c>
      <c r="AD4" s="18">
        <v>15</v>
      </c>
      <c r="AE4" s="18" t="s">
        <v>29</v>
      </c>
      <c r="AF4" s="18" t="s">
        <v>196</v>
      </c>
      <c r="AG4" s="18" t="s">
        <v>196</v>
      </c>
      <c r="AH4" s="18">
        <v>8.6999999999999993</v>
      </c>
      <c r="AI4" s="18" t="s">
        <v>32</v>
      </c>
      <c r="AJ4" s="18" t="s">
        <v>69</v>
      </c>
      <c r="AK4" s="18" t="s">
        <v>79</v>
      </c>
      <c r="AL4" s="18" t="s">
        <v>100</v>
      </c>
      <c r="AM4" s="18" t="s">
        <v>107</v>
      </c>
      <c r="AN4" s="18" t="s">
        <v>120</v>
      </c>
      <c r="AO4" s="18" t="s">
        <v>198</v>
      </c>
      <c r="AP4" s="18"/>
      <c r="AQ4" s="18"/>
      <c r="AR4" s="18">
        <v>0</v>
      </c>
      <c r="AS4" s="18">
        <v>1</v>
      </c>
      <c r="AT4" s="18">
        <v>0</v>
      </c>
      <c r="AU4" s="18">
        <v>3</v>
      </c>
      <c r="AV4" s="18">
        <v>2</v>
      </c>
      <c r="AW4" s="18">
        <v>6</v>
      </c>
      <c r="AX4" s="49">
        <f t="shared" ref="AX4:AX67" si="0">ROUND(-0.0002*POWER(T4,2)+0.2197*T4,0)</f>
        <v>0</v>
      </c>
      <c r="AY4" s="49">
        <f>VLOOKUP(AI4,Leyenda!$B$4:$E$10,4,FALSE)</f>
        <v>1</v>
      </c>
      <c r="AZ4" s="50">
        <f>IF(X4="",ROUND((IF(X4&lt;=400,1.5478*POWER(X4,0.3351),-2*POWER(10,-6)*POWER(X4,2)+0.0091*X4+8.1704)),0),ROUND((IF(X4&lt;=400,1.5478*POWER(X4,0.3351),-2*POWER(10,-6)*POWER(X4,2)+0.0091*X4+8.1704)),0))</f>
        <v>4</v>
      </c>
      <c r="BA4" s="49">
        <v>6</v>
      </c>
      <c r="BB4" s="49">
        <v>10</v>
      </c>
      <c r="BC4" s="67">
        <v>9</v>
      </c>
      <c r="BD4" s="67">
        <f>VLOOKUP(AI4,Leyenda!$B$4:$E$10,4,FALSE)</f>
        <v>1</v>
      </c>
      <c r="BE4" s="67">
        <v>5</v>
      </c>
      <c r="BF4" s="67">
        <f t="shared" ref="BF4:BF67" si="1">ROUND(-0.0002*POWER(T4,2)+0.2197*T4,0)</f>
        <v>0</v>
      </c>
      <c r="BG4" s="67">
        <v>0</v>
      </c>
      <c r="BH4" s="67">
        <v>3</v>
      </c>
      <c r="BI4" s="67">
        <v>2</v>
      </c>
      <c r="BJ4" s="67">
        <v>1</v>
      </c>
      <c r="BK4" s="67">
        <v>0</v>
      </c>
      <c r="BL4" s="67">
        <v>10</v>
      </c>
      <c r="BM4" s="125">
        <f t="shared" ref="BM4:BM67" si="2">+BD4+BE4+BF4+BG4+BH4+BI4+BJ4+BK4+BL4</f>
        <v>22</v>
      </c>
      <c r="BN4" s="85">
        <f t="shared" ref="BN4:BN67" si="3">+AX4+AY4+AZ4+BA4+BB4</f>
        <v>21</v>
      </c>
      <c r="CH4" s="80" t="s">
        <v>58</v>
      </c>
      <c r="CI4" s="80"/>
      <c r="CJ4" s="80" t="s">
        <v>17</v>
      </c>
      <c r="CV4" s="80" t="s">
        <v>584</v>
      </c>
      <c r="CW4" s="80" t="s">
        <v>261</v>
      </c>
      <c r="CX4" s="80" t="s">
        <v>17</v>
      </c>
      <c r="DK4" s="80" t="s">
        <v>11</v>
      </c>
      <c r="DL4" s="80" t="s">
        <v>16</v>
      </c>
      <c r="DM4" s="81" t="s">
        <v>17</v>
      </c>
      <c r="DT4" s="80" t="s">
        <v>290</v>
      </c>
      <c r="DU4" s="80" t="s">
        <v>261</v>
      </c>
      <c r="DV4" s="80" t="s">
        <v>17</v>
      </c>
      <c r="EF4" s="80" t="s">
        <v>572</v>
      </c>
      <c r="EG4" s="80" t="s">
        <v>261</v>
      </c>
      <c r="EH4" s="81" t="s">
        <v>16</v>
      </c>
      <c r="EI4" s="80" t="s">
        <v>17</v>
      </c>
      <c r="EU4" s="80" t="s">
        <v>586</v>
      </c>
      <c r="EV4" s="80" t="s">
        <v>261</v>
      </c>
      <c r="EW4" s="81" t="s">
        <v>16</v>
      </c>
      <c r="EX4" s="80" t="s">
        <v>17</v>
      </c>
    </row>
    <row r="5" spans="1:154" ht="26.25" thickBot="1" x14ac:dyDescent="0.3">
      <c r="A5" s="18" t="s">
        <v>6</v>
      </c>
      <c r="B5" s="18">
        <v>2024</v>
      </c>
      <c r="C5" s="18" t="s">
        <v>138</v>
      </c>
      <c r="D5" s="18" t="s">
        <v>10</v>
      </c>
      <c r="E5" s="18">
        <v>30</v>
      </c>
      <c r="F5" s="18">
        <v>30</v>
      </c>
      <c r="G5" s="18" t="s">
        <v>152</v>
      </c>
      <c r="H5" s="18" t="s">
        <v>152</v>
      </c>
      <c r="I5" s="18" t="s">
        <v>161</v>
      </c>
      <c r="J5" s="31">
        <v>18.5</v>
      </c>
      <c r="K5" s="31">
        <v>19</v>
      </c>
      <c r="L5" s="4">
        <v>0.5</v>
      </c>
      <c r="M5" s="5">
        <v>0.34</v>
      </c>
      <c r="N5" s="31">
        <v>0.17</v>
      </c>
      <c r="O5" s="31">
        <v>0.17</v>
      </c>
      <c r="P5" s="31">
        <v>170</v>
      </c>
      <c r="Q5" s="31">
        <v>1</v>
      </c>
      <c r="R5" s="31">
        <v>0.11</v>
      </c>
      <c r="S5" s="31">
        <v>0</v>
      </c>
      <c r="T5" s="86">
        <v>0</v>
      </c>
      <c r="U5" s="31">
        <v>10</v>
      </c>
      <c r="V5" s="31"/>
      <c r="W5" s="31">
        <v>10</v>
      </c>
      <c r="X5" s="85">
        <v>11</v>
      </c>
      <c r="Y5" s="18">
        <v>0</v>
      </c>
      <c r="Z5" s="18" t="s">
        <v>96</v>
      </c>
      <c r="AA5" s="18" t="s">
        <v>116</v>
      </c>
      <c r="AB5" s="18" t="s">
        <v>337</v>
      </c>
      <c r="AC5" s="18">
        <v>1</v>
      </c>
      <c r="AD5" s="18">
        <v>170</v>
      </c>
      <c r="AE5" s="18" t="s">
        <v>29</v>
      </c>
      <c r="AF5" s="18" t="s">
        <v>34</v>
      </c>
      <c r="AG5" s="18" t="s">
        <v>34</v>
      </c>
      <c r="AH5" s="18">
        <v>8.6999999999999993</v>
      </c>
      <c r="AI5" s="18" t="s">
        <v>32</v>
      </c>
      <c r="AJ5" s="18" t="s">
        <v>64</v>
      </c>
      <c r="AK5" s="18" t="s">
        <v>79</v>
      </c>
      <c r="AL5" s="18" t="s">
        <v>100</v>
      </c>
      <c r="AM5" s="18" t="s">
        <v>107</v>
      </c>
      <c r="AN5" s="18" t="s">
        <v>120</v>
      </c>
      <c r="AO5" s="18" t="s">
        <v>198</v>
      </c>
      <c r="AP5" s="18" t="s">
        <v>216</v>
      </c>
      <c r="AQ5" s="18"/>
      <c r="AR5" s="18">
        <v>2</v>
      </c>
      <c r="AS5" s="18">
        <v>1</v>
      </c>
      <c r="AT5" s="18">
        <v>0</v>
      </c>
      <c r="AU5" s="18">
        <v>3</v>
      </c>
      <c r="AV5" s="18">
        <v>2</v>
      </c>
      <c r="AW5" s="18">
        <v>8</v>
      </c>
      <c r="AX5" s="49">
        <f t="shared" si="0"/>
        <v>0</v>
      </c>
      <c r="AY5" s="49">
        <f>VLOOKUP(AI5,Leyenda!$B$4:$E$10,4,FALSE)</f>
        <v>1</v>
      </c>
      <c r="AZ5" s="50">
        <f t="shared" ref="AZ5:AZ68" si="4">IF(X5="",ROUND((IF(X5&lt;=400,1.5478*POWER(X5,0.3351),-2*POWER(10,-6)*POWER(X5,2)+0.0091*X5+8.1704)),0),ROUND((IF(X5&lt;=400,1.5478*POWER(X5,0.3351),-2*POWER(10,-6)*POWER(X5,2)+0.0091*X5+8.1704)),0))</f>
        <v>3</v>
      </c>
      <c r="BA5" s="49">
        <v>8</v>
      </c>
      <c r="BB5" s="49">
        <v>10</v>
      </c>
      <c r="BC5" s="67">
        <v>12</v>
      </c>
      <c r="BD5" s="67">
        <f>VLOOKUP(AI5,Leyenda!$B$4:$E$10,4,FALSE)</f>
        <v>1</v>
      </c>
      <c r="BE5" s="67">
        <v>5</v>
      </c>
      <c r="BF5" s="67">
        <f t="shared" si="1"/>
        <v>0</v>
      </c>
      <c r="BG5" s="67">
        <v>0</v>
      </c>
      <c r="BH5" s="67">
        <v>3</v>
      </c>
      <c r="BI5" s="67">
        <v>2</v>
      </c>
      <c r="BJ5" s="67">
        <v>1</v>
      </c>
      <c r="BK5" s="67">
        <v>3</v>
      </c>
      <c r="BL5" s="67">
        <v>10</v>
      </c>
      <c r="BM5" s="125">
        <f t="shared" si="2"/>
        <v>25</v>
      </c>
      <c r="BN5" s="85">
        <f t="shared" si="3"/>
        <v>22</v>
      </c>
      <c r="CH5" s="61" t="s">
        <v>60</v>
      </c>
      <c r="CI5" s="76" t="s">
        <v>59</v>
      </c>
      <c r="CJ5" s="77">
        <v>5</v>
      </c>
      <c r="CV5" s="75" t="s">
        <v>85</v>
      </c>
      <c r="CW5" s="75">
        <v>0</v>
      </c>
      <c r="CX5" s="77">
        <v>5</v>
      </c>
      <c r="DK5" s="15" t="s">
        <v>38</v>
      </c>
      <c r="DL5" s="9">
        <v>3</v>
      </c>
      <c r="DM5" s="16">
        <v>3</v>
      </c>
      <c r="DT5" s="75" t="s">
        <v>103</v>
      </c>
      <c r="DU5" s="75" t="s">
        <v>104</v>
      </c>
      <c r="DV5" s="77">
        <v>5</v>
      </c>
      <c r="EF5" s="75" t="s">
        <v>114</v>
      </c>
      <c r="EG5" s="78" t="s">
        <v>115</v>
      </c>
      <c r="EH5" s="75">
        <v>6</v>
      </c>
      <c r="EI5" s="77">
        <v>5</v>
      </c>
      <c r="EU5" s="75" t="s">
        <v>73</v>
      </c>
      <c r="EV5" s="75" t="s">
        <v>74</v>
      </c>
      <c r="EW5" s="75">
        <v>6</v>
      </c>
      <c r="EX5" s="77">
        <v>5</v>
      </c>
    </row>
    <row r="6" spans="1:154" ht="26.25" thickBot="1" x14ac:dyDescent="0.3">
      <c r="A6" s="18" t="s">
        <v>6</v>
      </c>
      <c r="B6" s="18">
        <v>2024</v>
      </c>
      <c r="C6" s="18" t="s">
        <v>138</v>
      </c>
      <c r="D6" s="18" t="s">
        <v>10</v>
      </c>
      <c r="E6" s="18">
        <v>30</v>
      </c>
      <c r="F6" s="18">
        <v>30</v>
      </c>
      <c r="G6" s="18" t="s">
        <v>152</v>
      </c>
      <c r="H6" s="18" t="s">
        <v>152</v>
      </c>
      <c r="I6" s="18" t="s">
        <v>161</v>
      </c>
      <c r="J6" s="31">
        <v>19</v>
      </c>
      <c r="K6" s="31">
        <v>19.5</v>
      </c>
      <c r="L6" s="4">
        <v>0.5</v>
      </c>
      <c r="M6" s="5">
        <v>0.5</v>
      </c>
      <c r="N6" s="31">
        <v>0.25</v>
      </c>
      <c r="O6" s="31">
        <v>0.25</v>
      </c>
      <c r="P6" s="31">
        <v>25</v>
      </c>
      <c r="Q6" s="31">
        <v>10</v>
      </c>
      <c r="R6" s="31">
        <v>0.14000000000000001</v>
      </c>
      <c r="S6" s="31">
        <v>0</v>
      </c>
      <c r="T6" s="86">
        <v>0</v>
      </c>
      <c r="U6" s="31">
        <v>10</v>
      </c>
      <c r="V6" s="31"/>
      <c r="W6" s="31">
        <v>10</v>
      </c>
      <c r="X6" s="85">
        <v>14</v>
      </c>
      <c r="Y6" s="18">
        <v>0</v>
      </c>
      <c r="Z6" s="18" t="s">
        <v>96</v>
      </c>
      <c r="AA6" s="18" t="s">
        <v>120</v>
      </c>
      <c r="AB6" s="18" t="s">
        <v>337</v>
      </c>
      <c r="AC6" s="18">
        <v>10</v>
      </c>
      <c r="AD6" s="18">
        <v>25</v>
      </c>
      <c r="AE6" s="18" t="s">
        <v>29</v>
      </c>
      <c r="AF6" s="18" t="s">
        <v>34</v>
      </c>
      <c r="AG6" s="18" t="s">
        <v>34</v>
      </c>
      <c r="AH6" s="18">
        <v>8.6999999999999993</v>
      </c>
      <c r="AI6" s="18" t="s">
        <v>32</v>
      </c>
      <c r="AJ6" s="18" t="s">
        <v>64</v>
      </c>
      <c r="AK6" s="18" t="s">
        <v>79</v>
      </c>
      <c r="AL6" s="18" t="s">
        <v>100</v>
      </c>
      <c r="AM6" s="18" t="s">
        <v>107</v>
      </c>
      <c r="AN6" s="18" t="s">
        <v>120</v>
      </c>
      <c r="AO6" s="18" t="s">
        <v>198</v>
      </c>
      <c r="AP6" s="18" t="s">
        <v>216</v>
      </c>
      <c r="AQ6" s="18"/>
      <c r="AR6" s="18">
        <v>2</v>
      </c>
      <c r="AS6" s="18">
        <v>1</v>
      </c>
      <c r="AT6" s="18">
        <v>0</v>
      </c>
      <c r="AU6" s="18">
        <v>3</v>
      </c>
      <c r="AV6" s="18">
        <v>2</v>
      </c>
      <c r="AW6" s="18">
        <v>8</v>
      </c>
      <c r="AX6" s="49">
        <f t="shared" si="0"/>
        <v>0</v>
      </c>
      <c r="AY6" s="49">
        <f>VLOOKUP(AI6,Leyenda!$B$4:$E$10,4,FALSE)</f>
        <v>1</v>
      </c>
      <c r="AZ6" s="50">
        <f t="shared" si="4"/>
        <v>4</v>
      </c>
      <c r="BA6" s="49">
        <v>8</v>
      </c>
      <c r="BB6" s="49">
        <v>10</v>
      </c>
      <c r="BC6" s="67">
        <v>12</v>
      </c>
      <c r="BD6" s="67">
        <f>VLOOKUP(AI6,Leyenda!$B$4:$E$10,4,FALSE)</f>
        <v>1</v>
      </c>
      <c r="BE6" s="67">
        <v>5</v>
      </c>
      <c r="BF6" s="67">
        <f t="shared" si="1"/>
        <v>0</v>
      </c>
      <c r="BG6" s="67">
        <v>0</v>
      </c>
      <c r="BH6" s="67">
        <v>3</v>
      </c>
      <c r="BI6" s="67">
        <v>2</v>
      </c>
      <c r="BJ6" s="67">
        <v>1</v>
      </c>
      <c r="BK6" s="67">
        <v>3</v>
      </c>
      <c r="BL6" s="67">
        <v>10</v>
      </c>
      <c r="BM6" s="125">
        <f t="shared" si="2"/>
        <v>25</v>
      </c>
      <c r="BN6" s="85">
        <f t="shared" si="3"/>
        <v>23</v>
      </c>
      <c r="BQ6" s="142"/>
      <c r="BR6" s="143"/>
      <c r="BS6" s="143"/>
      <c r="BT6" s="144"/>
      <c r="CH6" s="61" t="s">
        <v>62</v>
      </c>
      <c r="CI6" s="62" t="s">
        <v>61</v>
      </c>
      <c r="CJ6" s="77">
        <v>4</v>
      </c>
      <c r="CV6" s="75" t="s">
        <v>88</v>
      </c>
      <c r="CW6" s="75" t="s">
        <v>87</v>
      </c>
      <c r="CX6" s="77">
        <v>4</v>
      </c>
      <c r="DK6" s="14" t="s">
        <v>40</v>
      </c>
      <c r="DL6" s="14">
        <v>8</v>
      </c>
      <c r="DM6" s="3">
        <v>8</v>
      </c>
      <c r="DT6" s="75" t="s">
        <v>105</v>
      </c>
      <c r="DU6" s="75" t="s">
        <v>106</v>
      </c>
      <c r="DV6" s="77">
        <v>4</v>
      </c>
      <c r="EF6" s="75" t="s">
        <v>116</v>
      </c>
      <c r="EG6" s="78" t="s">
        <v>117</v>
      </c>
      <c r="EH6" s="75">
        <v>4</v>
      </c>
      <c r="EI6" s="77">
        <v>4</v>
      </c>
      <c r="EU6" s="75" t="s">
        <v>75</v>
      </c>
      <c r="EV6" s="75" t="s">
        <v>76</v>
      </c>
      <c r="EW6" s="75">
        <v>5</v>
      </c>
      <c r="EX6" s="77">
        <v>4</v>
      </c>
    </row>
    <row r="7" spans="1:154" ht="25.5" x14ac:dyDescent="0.25">
      <c r="A7" s="18" t="s">
        <v>6</v>
      </c>
      <c r="B7" s="18">
        <v>2024</v>
      </c>
      <c r="C7" s="18" t="s">
        <v>138</v>
      </c>
      <c r="D7" s="18" t="s">
        <v>10</v>
      </c>
      <c r="E7" s="18">
        <v>30</v>
      </c>
      <c r="F7" s="18">
        <v>30</v>
      </c>
      <c r="G7" s="18" t="s">
        <v>152</v>
      </c>
      <c r="H7" s="18" t="s">
        <v>152</v>
      </c>
      <c r="I7" s="18" t="s">
        <v>161</v>
      </c>
      <c r="J7" s="31">
        <v>19.5</v>
      </c>
      <c r="K7" s="31">
        <v>20</v>
      </c>
      <c r="L7" s="4">
        <v>0.5</v>
      </c>
      <c r="M7" s="5">
        <v>0.3</v>
      </c>
      <c r="N7" s="31">
        <v>0.15</v>
      </c>
      <c r="O7" s="31">
        <v>0.15</v>
      </c>
      <c r="P7" s="31">
        <v>30</v>
      </c>
      <c r="Q7" s="31">
        <v>5</v>
      </c>
      <c r="R7" s="31">
        <v>0.23</v>
      </c>
      <c r="S7" s="31">
        <v>0</v>
      </c>
      <c r="T7" s="86">
        <v>0</v>
      </c>
      <c r="U7" s="31">
        <v>10</v>
      </c>
      <c r="V7" s="31"/>
      <c r="W7" s="31">
        <v>10</v>
      </c>
      <c r="X7" s="85">
        <v>23</v>
      </c>
      <c r="Y7" s="18">
        <v>0</v>
      </c>
      <c r="Z7" s="18" t="s">
        <v>96</v>
      </c>
      <c r="AA7" s="18" t="s">
        <v>118</v>
      </c>
      <c r="AB7" s="18" t="s">
        <v>337</v>
      </c>
      <c r="AC7" s="18">
        <v>5</v>
      </c>
      <c r="AD7" s="18">
        <v>30</v>
      </c>
      <c r="AE7" s="18" t="s">
        <v>29</v>
      </c>
      <c r="AF7" s="18" t="s">
        <v>34</v>
      </c>
      <c r="AG7" s="18" t="s">
        <v>34</v>
      </c>
      <c r="AH7" s="18">
        <v>8.6999999999999993</v>
      </c>
      <c r="AI7" s="18" t="s">
        <v>32</v>
      </c>
      <c r="AJ7" s="18" t="s">
        <v>64</v>
      </c>
      <c r="AK7" s="18" t="s">
        <v>81</v>
      </c>
      <c r="AL7" s="18" t="s">
        <v>100</v>
      </c>
      <c r="AM7" s="18" t="s">
        <v>107</v>
      </c>
      <c r="AN7" s="18" t="s">
        <v>120</v>
      </c>
      <c r="AO7" s="18" t="s">
        <v>198</v>
      </c>
      <c r="AP7" s="18" t="s">
        <v>216</v>
      </c>
      <c r="AQ7" s="18"/>
      <c r="AR7" s="18">
        <v>2</v>
      </c>
      <c r="AS7" s="18">
        <v>0</v>
      </c>
      <c r="AT7" s="18">
        <v>0</v>
      </c>
      <c r="AU7" s="18">
        <v>3</v>
      </c>
      <c r="AV7" s="18">
        <v>2</v>
      </c>
      <c r="AW7" s="18">
        <v>7</v>
      </c>
      <c r="AX7" s="49">
        <f t="shared" si="0"/>
        <v>0</v>
      </c>
      <c r="AY7" s="49">
        <f>VLOOKUP(AI7,Leyenda!$B$4:$E$10,4,FALSE)</f>
        <v>1</v>
      </c>
      <c r="AZ7" s="50">
        <f t="shared" si="4"/>
        <v>4</v>
      </c>
      <c r="BA7" s="49">
        <v>7</v>
      </c>
      <c r="BB7" s="49">
        <v>10</v>
      </c>
      <c r="BC7" s="67">
        <v>10.5</v>
      </c>
      <c r="BD7" s="67">
        <f>VLOOKUP(AI7,Leyenda!$B$4:$E$10,4,FALSE)</f>
        <v>1</v>
      </c>
      <c r="BE7" s="67">
        <v>5</v>
      </c>
      <c r="BF7" s="67">
        <f t="shared" si="1"/>
        <v>0</v>
      </c>
      <c r="BG7" s="67">
        <v>0</v>
      </c>
      <c r="BH7" s="67">
        <v>3</v>
      </c>
      <c r="BI7" s="67">
        <v>2</v>
      </c>
      <c r="BJ7" s="67">
        <v>0</v>
      </c>
      <c r="BK7" s="67">
        <v>3</v>
      </c>
      <c r="BL7" s="67">
        <v>10</v>
      </c>
      <c r="BM7" s="125">
        <f t="shared" si="2"/>
        <v>24</v>
      </c>
      <c r="BN7" s="85">
        <f t="shared" si="3"/>
        <v>22</v>
      </c>
      <c r="BQ7" s="145"/>
      <c r="BR7" s="146" t="s">
        <v>194</v>
      </c>
      <c r="BS7" s="146"/>
      <c r="BT7" s="147"/>
      <c r="CH7" s="61" t="s">
        <v>64</v>
      </c>
      <c r="CI7" s="62" t="s">
        <v>63</v>
      </c>
      <c r="CJ7" s="77">
        <v>3</v>
      </c>
      <c r="CV7" s="75" t="s">
        <v>92</v>
      </c>
      <c r="CW7" s="79" t="s">
        <v>91</v>
      </c>
      <c r="CX7" s="77">
        <v>3</v>
      </c>
      <c r="DK7" s="14" t="s">
        <v>42</v>
      </c>
      <c r="DL7" s="14">
        <v>13</v>
      </c>
      <c r="DM7" s="3">
        <v>13</v>
      </c>
      <c r="DT7" s="75" t="s">
        <v>107</v>
      </c>
      <c r="DU7" s="75" t="s">
        <v>108</v>
      </c>
      <c r="DV7" s="77">
        <v>3</v>
      </c>
      <c r="EF7" s="75" t="s">
        <v>118</v>
      </c>
      <c r="EG7" s="78" t="s">
        <v>119</v>
      </c>
      <c r="EH7" s="75">
        <v>2</v>
      </c>
      <c r="EI7" s="77">
        <v>3</v>
      </c>
      <c r="EU7" s="75" t="s">
        <v>77</v>
      </c>
      <c r="EV7" s="75" t="s">
        <v>78</v>
      </c>
      <c r="EW7" s="75">
        <v>3</v>
      </c>
      <c r="EX7" s="77">
        <v>3</v>
      </c>
    </row>
    <row r="8" spans="1:154" ht="25.5" x14ac:dyDescent="0.25">
      <c r="A8" s="18" t="s">
        <v>6</v>
      </c>
      <c r="B8" s="18">
        <v>2024</v>
      </c>
      <c r="C8" s="18" t="s">
        <v>138</v>
      </c>
      <c r="D8" s="18" t="s">
        <v>10</v>
      </c>
      <c r="E8" s="18">
        <v>30</v>
      </c>
      <c r="F8" s="18">
        <v>30</v>
      </c>
      <c r="G8" s="18" t="s">
        <v>152</v>
      </c>
      <c r="H8" s="18" t="s">
        <v>152</v>
      </c>
      <c r="I8" s="18" t="s">
        <v>161</v>
      </c>
      <c r="J8" s="31">
        <v>20</v>
      </c>
      <c r="K8" s="31">
        <v>20.5</v>
      </c>
      <c r="L8" s="4">
        <v>0.5</v>
      </c>
      <c r="M8" s="5">
        <v>0.5</v>
      </c>
      <c r="N8" s="31">
        <v>0.25</v>
      </c>
      <c r="O8" s="31">
        <v>0.25</v>
      </c>
      <c r="P8" s="31">
        <v>250</v>
      </c>
      <c r="Q8" s="31">
        <v>1</v>
      </c>
      <c r="R8" s="31">
        <v>0.17</v>
      </c>
      <c r="S8" s="31">
        <v>0.11</v>
      </c>
      <c r="T8" s="86">
        <v>22</v>
      </c>
      <c r="U8" s="31">
        <v>5</v>
      </c>
      <c r="V8" s="31"/>
      <c r="W8" s="31">
        <v>5</v>
      </c>
      <c r="X8" s="85">
        <v>34</v>
      </c>
      <c r="Y8" s="18">
        <v>26</v>
      </c>
      <c r="Z8" s="18" t="s">
        <v>96</v>
      </c>
      <c r="AA8" s="18" t="s">
        <v>116</v>
      </c>
      <c r="AB8" s="18" t="s">
        <v>329</v>
      </c>
      <c r="AC8" s="18">
        <v>1</v>
      </c>
      <c r="AD8" s="18">
        <v>250</v>
      </c>
      <c r="AE8" s="18" t="s">
        <v>24</v>
      </c>
      <c r="AF8" s="18" t="s">
        <v>27</v>
      </c>
      <c r="AG8" s="18" t="s">
        <v>27</v>
      </c>
      <c r="AH8" s="18">
        <v>8.6999999999999993</v>
      </c>
      <c r="AI8" s="18" t="s">
        <v>32</v>
      </c>
      <c r="AJ8" s="18" t="s">
        <v>64</v>
      </c>
      <c r="AK8" s="18" t="s">
        <v>77</v>
      </c>
      <c r="AL8" s="18" t="s">
        <v>96</v>
      </c>
      <c r="AM8" s="18" t="s">
        <v>107</v>
      </c>
      <c r="AN8" s="18" t="s">
        <v>120</v>
      </c>
      <c r="AO8" s="18" t="s">
        <v>198</v>
      </c>
      <c r="AP8" s="18" t="s">
        <v>216</v>
      </c>
      <c r="AQ8" s="18"/>
      <c r="AR8" s="18">
        <v>2</v>
      </c>
      <c r="AS8" s="18">
        <v>3</v>
      </c>
      <c r="AT8" s="18">
        <v>1</v>
      </c>
      <c r="AU8" s="18">
        <v>3</v>
      </c>
      <c r="AV8" s="18">
        <v>2</v>
      </c>
      <c r="AW8" s="18">
        <v>11</v>
      </c>
      <c r="AX8" s="49">
        <f t="shared" si="0"/>
        <v>5</v>
      </c>
      <c r="AY8" s="49">
        <f>VLOOKUP(AI8,Leyenda!$B$4:$E$10,4,FALSE)</f>
        <v>1</v>
      </c>
      <c r="AZ8" s="50">
        <f t="shared" si="4"/>
        <v>5</v>
      </c>
      <c r="BA8" s="49">
        <v>11</v>
      </c>
      <c r="BB8" s="49">
        <v>10</v>
      </c>
      <c r="BC8" s="67">
        <v>27.5</v>
      </c>
      <c r="BD8" s="67">
        <f>VLOOKUP(AI8,Leyenda!$B$4:$E$10,4,FALSE)</f>
        <v>1</v>
      </c>
      <c r="BE8" s="67">
        <v>5</v>
      </c>
      <c r="BF8" s="67">
        <f t="shared" si="1"/>
        <v>5</v>
      </c>
      <c r="BG8" s="67">
        <v>1</v>
      </c>
      <c r="BH8" s="67">
        <v>3</v>
      </c>
      <c r="BI8" s="67">
        <v>2</v>
      </c>
      <c r="BJ8" s="67">
        <v>3</v>
      </c>
      <c r="BK8" s="67">
        <v>3</v>
      </c>
      <c r="BL8" s="67">
        <v>10</v>
      </c>
      <c r="BM8" s="125">
        <f t="shared" si="2"/>
        <v>33</v>
      </c>
      <c r="BN8" s="85">
        <f t="shared" si="3"/>
        <v>32</v>
      </c>
      <c r="BQ8" s="145"/>
      <c r="BR8" s="148"/>
      <c r="BS8" s="148"/>
      <c r="BT8" s="147"/>
      <c r="CH8" s="61" t="s">
        <v>66</v>
      </c>
      <c r="CI8" s="62" t="s">
        <v>65</v>
      </c>
      <c r="CJ8" s="77">
        <v>1</v>
      </c>
      <c r="CV8" s="75" t="s">
        <v>96</v>
      </c>
      <c r="CW8" s="75" t="s">
        <v>95</v>
      </c>
      <c r="CX8" s="77">
        <v>1</v>
      </c>
      <c r="DK8" s="14" t="s">
        <v>44</v>
      </c>
      <c r="DL8" s="14">
        <v>17</v>
      </c>
      <c r="DM8" s="3">
        <v>17</v>
      </c>
      <c r="DT8" s="75" t="s">
        <v>109</v>
      </c>
      <c r="DU8" s="75" t="s">
        <v>110</v>
      </c>
      <c r="DV8" s="77">
        <v>1</v>
      </c>
      <c r="EF8" s="75" t="s">
        <v>120</v>
      </c>
      <c r="EG8" s="78" t="s">
        <v>121</v>
      </c>
      <c r="EH8" s="75">
        <v>2</v>
      </c>
      <c r="EI8" s="77">
        <v>2</v>
      </c>
      <c r="EU8" s="75" t="s">
        <v>79</v>
      </c>
      <c r="EV8" s="75" t="s">
        <v>80</v>
      </c>
      <c r="EW8" s="75">
        <v>1</v>
      </c>
      <c r="EX8" s="77">
        <v>1</v>
      </c>
    </row>
    <row r="9" spans="1:154" ht="25.5" x14ac:dyDescent="0.25">
      <c r="A9" s="18" t="s">
        <v>6</v>
      </c>
      <c r="B9" s="18">
        <v>2024</v>
      </c>
      <c r="C9" s="18" t="s">
        <v>138</v>
      </c>
      <c r="D9" s="18" t="s">
        <v>10</v>
      </c>
      <c r="E9" s="18">
        <v>30</v>
      </c>
      <c r="F9" s="18">
        <v>30</v>
      </c>
      <c r="G9" s="18" t="s">
        <v>152</v>
      </c>
      <c r="H9" s="18" t="s">
        <v>152</v>
      </c>
      <c r="I9" s="18" t="s">
        <v>161</v>
      </c>
      <c r="J9" s="31">
        <v>20.5</v>
      </c>
      <c r="K9" s="31">
        <v>21</v>
      </c>
      <c r="L9" s="4">
        <v>0.5</v>
      </c>
      <c r="M9" s="5">
        <v>0.38</v>
      </c>
      <c r="N9" s="31">
        <v>0.19</v>
      </c>
      <c r="O9" s="31">
        <v>0.19</v>
      </c>
      <c r="P9" s="31">
        <v>38</v>
      </c>
      <c r="Q9" s="31">
        <v>5</v>
      </c>
      <c r="R9" s="31">
        <v>0.13</v>
      </c>
      <c r="S9" s="31">
        <v>0</v>
      </c>
      <c r="T9" s="86">
        <v>0</v>
      </c>
      <c r="U9" s="31">
        <v>10</v>
      </c>
      <c r="V9" s="31"/>
      <c r="W9" s="31">
        <v>10</v>
      </c>
      <c r="X9" s="85">
        <v>13</v>
      </c>
      <c r="Y9" s="18">
        <v>0</v>
      </c>
      <c r="Z9" s="18" t="s">
        <v>100</v>
      </c>
      <c r="AA9" s="18" t="s">
        <v>118</v>
      </c>
      <c r="AB9" s="18" t="s">
        <v>335</v>
      </c>
      <c r="AC9" s="18">
        <v>5</v>
      </c>
      <c r="AD9" s="18">
        <v>38</v>
      </c>
      <c r="AE9" s="18" t="s">
        <v>34</v>
      </c>
      <c r="AF9" s="18" t="s">
        <v>27</v>
      </c>
      <c r="AG9" s="18" t="s">
        <v>27</v>
      </c>
      <c r="AH9" s="18">
        <v>8.6999999999999993</v>
      </c>
      <c r="AI9" s="18" t="s">
        <v>32</v>
      </c>
      <c r="AJ9" s="18" t="s">
        <v>64</v>
      </c>
      <c r="AK9" s="18" t="s">
        <v>77</v>
      </c>
      <c r="AL9" s="18" t="s">
        <v>96</v>
      </c>
      <c r="AM9" s="18" t="s">
        <v>107</v>
      </c>
      <c r="AN9" s="18" t="s">
        <v>120</v>
      </c>
      <c r="AO9" s="18" t="s">
        <v>198</v>
      </c>
      <c r="AP9" s="18" t="s">
        <v>216</v>
      </c>
      <c r="AQ9" s="18"/>
      <c r="AR9" s="18">
        <v>2</v>
      </c>
      <c r="AS9" s="18">
        <v>3</v>
      </c>
      <c r="AT9" s="18">
        <v>1</v>
      </c>
      <c r="AU9" s="18">
        <v>3</v>
      </c>
      <c r="AV9" s="18">
        <v>2</v>
      </c>
      <c r="AW9" s="18">
        <v>11</v>
      </c>
      <c r="AX9" s="49">
        <f t="shared" si="0"/>
        <v>0</v>
      </c>
      <c r="AY9" s="49">
        <f>VLOOKUP(AI9,Leyenda!$B$4:$E$10,4,FALSE)</f>
        <v>1</v>
      </c>
      <c r="AZ9" s="50">
        <f t="shared" si="4"/>
        <v>4</v>
      </c>
      <c r="BA9" s="49">
        <v>11</v>
      </c>
      <c r="BB9" s="49">
        <v>10</v>
      </c>
      <c r="BC9" s="67">
        <v>16.5</v>
      </c>
      <c r="BD9" s="67">
        <f>VLOOKUP(AI9,Leyenda!$B$4:$E$10,4,FALSE)</f>
        <v>1</v>
      </c>
      <c r="BE9" s="67">
        <v>5</v>
      </c>
      <c r="BF9" s="67">
        <f t="shared" si="1"/>
        <v>0</v>
      </c>
      <c r="BG9" s="67">
        <v>1</v>
      </c>
      <c r="BH9" s="67">
        <v>3</v>
      </c>
      <c r="BI9" s="67">
        <v>2</v>
      </c>
      <c r="BJ9" s="67">
        <v>3</v>
      </c>
      <c r="BK9" s="67">
        <v>3</v>
      </c>
      <c r="BL9" s="67">
        <v>10</v>
      </c>
      <c r="BM9" s="125">
        <f t="shared" si="2"/>
        <v>28</v>
      </c>
      <c r="BN9" s="85">
        <f t="shared" si="3"/>
        <v>26</v>
      </c>
      <c r="BQ9" s="145"/>
      <c r="BR9" s="148" t="s">
        <v>307</v>
      </c>
      <c r="BS9" s="148">
        <v>25.662650602409638</v>
      </c>
      <c r="BT9" s="147"/>
      <c r="CH9" s="61" t="s">
        <v>69</v>
      </c>
      <c r="CI9" s="62" t="s">
        <v>68</v>
      </c>
      <c r="CJ9" s="77">
        <v>0</v>
      </c>
      <c r="CV9" s="75" t="s">
        <v>100</v>
      </c>
      <c r="CW9" s="75" t="s">
        <v>99</v>
      </c>
      <c r="CX9" s="77">
        <v>0</v>
      </c>
      <c r="DK9" s="14" t="s">
        <v>46</v>
      </c>
      <c r="DL9" s="14">
        <v>20</v>
      </c>
      <c r="DM9" s="3">
        <v>20</v>
      </c>
      <c r="DT9" s="75" t="s">
        <v>111</v>
      </c>
      <c r="DU9" s="75" t="s">
        <v>599</v>
      </c>
      <c r="DV9" s="77">
        <v>0</v>
      </c>
      <c r="EF9" s="75" t="s">
        <v>122</v>
      </c>
      <c r="EG9" s="78" t="s">
        <v>123</v>
      </c>
      <c r="EH9" s="75">
        <v>0</v>
      </c>
      <c r="EI9" s="77">
        <v>0</v>
      </c>
      <c r="EU9" s="75" t="s">
        <v>81</v>
      </c>
      <c r="EV9" s="75" t="s">
        <v>82</v>
      </c>
      <c r="EW9" s="75">
        <v>0</v>
      </c>
      <c r="EX9" s="77">
        <v>0</v>
      </c>
    </row>
    <row r="10" spans="1:154" x14ac:dyDescent="0.25">
      <c r="A10" s="18" t="s">
        <v>6</v>
      </c>
      <c r="B10" s="18">
        <v>2024</v>
      </c>
      <c r="C10" s="18" t="s">
        <v>138</v>
      </c>
      <c r="D10" s="18" t="s">
        <v>10</v>
      </c>
      <c r="E10" s="18">
        <v>30</v>
      </c>
      <c r="F10" s="18">
        <v>30</v>
      </c>
      <c r="G10" s="18" t="s">
        <v>152</v>
      </c>
      <c r="H10" s="18" t="s">
        <v>152</v>
      </c>
      <c r="I10" s="18" t="s">
        <v>161</v>
      </c>
      <c r="J10" s="31">
        <v>21</v>
      </c>
      <c r="K10" s="31">
        <v>21.5</v>
      </c>
      <c r="L10" s="4">
        <v>0.5</v>
      </c>
      <c r="M10" s="5">
        <v>0.38</v>
      </c>
      <c r="N10" s="31">
        <v>0.19</v>
      </c>
      <c r="O10" s="31">
        <v>0.19</v>
      </c>
      <c r="P10" s="31">
        <v>9.5</v>
      </c>
      <c r="Q10" s="31">
        <v>20</v>
      </c>
      <c r="R10" s="31">
        <v>0.31</v>
      </c>
      <c r="S10" s="31">
        <v>0</v>
      </c>
      <c r="T10" s="86">
        <v>0</v>
      </c>
      <c r="U10" s="31">
        <v>6</v>
      </c>
      <c r="V10" s="31"/>
      <c r="W10" s="31">
        <v>6</v>
      </c>
      <c r="X10" s="85">
        <v>51.666666666666664</v>
      </c>
      <c r="Y10" s="18">
        <v>0</v>
      </c>
      <c r="Z10" s="18" t="s">
        <v>100</v>
      </c>
      <c r="AA10" s="18" t="s">
        <v>333</v>
      </c>
      <c r="AB10" s="18" t="s">
        <v>337</v>
      </c>
      <c r="AC10" s="18">
        <v>20</v>
      </c>
      <c r="AD10" s="18">
        <v>9.5</v>
      </c>
      <c r="AE10" s="18" t="s">
        <v>29</v>
      </c>
      <c r="AF10" s="18" t="s">
        <v>27</v>
      </c>
      <c r="AG10" s="18" t="s">
        <v>27</v>
      </c>
      <c r="AH10" s="18">
        <v>8.6999999999999993</v>
      </c>
      <c r="AI10" s="18" t="s">
        <v>32</v>
      </c>
      <c r="AJ10" s="18" t="s">
        <v>64</v>
      </c>
      <c r="AK10" s="18" t="s">
        <v>77</v>
      </c>
      <c r="AL10" s="18" t="s">
        <v>96</v>
      </c>
      <c r="AM10" s="18" t="s">
        <v>107</v>
      </c>
      <c r="AN10" s="18" t="s">
        <v>120</v>
      </c>
      <c r="AO10" s="18" t="s">
        <v>198</v>
      </c>
      <c r="AP10" s="18" t="s">
        <v>216</v>
      </c>
      <c r="AQ10" s="18"/>
      <c r="AR10" s="18">
        <v>2</v>
      </c>
      <c r="AS10" s="18">
        <v>3</v>
      </c>
      <c r="AT10" s="18">
        <v>1</v>
      </c>
      <c r="AU10" s="18">
        <v>3</v>
      </c>
      <c r="AV10" s="18">
        <v>2</v>
      </c>
      <c r="AW10" s="18">
        <v>11</v>
      </c>
      <c r="AX10" s="49">
        <f t="shared" si="0"/>
        <v>0</v>
      </c>
      <c r="AY10" s="49">
        <f>VLOOKUP(AI10,Leyenda!$B$4:$E$10,4,FALSE)</f>
        <v>1</v>
      </c>
      <c r="AZ10" s="50">
        <f t="shared" si="4"/>
        <v>6</v>
      </c>
      <c r="BA10" s="49">
        <v>11</v>
      </c>
      <c r="BB10" s="49">
        <v>10</v>
      </c>
      <c r="BC10" s="67">
        <v>16.5</v>
      </c>
      <c r="BD10" s="67">
        <f>VLOOKUP(AI10,Leyenda!$B$4:$E$10,4,FALSE)</f>
        <v>1</v>
      </c>
      <c r="BE10" s="67">
        <v>4</v>
      </c>
      <c r="BF10" s="67">
        <f t="shared" si="1"/>
        <v>0</v>
      </c>
      <c r="BG10" s="67">
        <v>1</v>
      </c>
      <c r="BH10" s="67">
        <v>3</v>
      </c>
      <c r="BI10" s="67">
        <v>2</v>
      </c>
      <c r="BJ10" s="67">
        <v>3</v>
      </c>
      <c r="BK10" s="67">
        <v>3</v>
      </c>
      <c r="BL10" s="67">
        <v>10</v>
      </c>
      <c r="BM10" s="125">
        <f t="shared" si="2"/>
        <v>27</v>
      </c>
      <c r="BN10" s="85">
        <f t="shared" si="3"/>
        <v>28</v>
      </c>
      <c r="BQ10" s="145"/>
      <c r="BR10" s="148" t="s">
        <v>308</v>
      </c>
      <c r="BS10" s="148">
        <v>0.53644083115906382</v>
      </c>
      <c r="BT10" s="147"/>
    </row>
    <row r="11" spans="1:154" x14ac:dyDescent="0.25">
      <c r="A11" s="18" t="s">
        <v>6</v>
      </c>
      <c r="B11" s="18">
        <v>2024</v>
      </c>
      <c r="C11" s="18" t="s">
        <v>138</v>
      </c>
      <c r="D11" s="18" t="s">
        <v>130</v>
      </c>
      <c r="E11" s="18">
        <v>30</v>
      </c>
      <c r="F11" s="18">
        <v>30</v>
      </c>
      <c r="G11" s="18" t="s">
        <v>152</v>
      </c>
      <c r="H11" s="18" t="s">
        <v>152</v>
      </c>
      <c r="I11" s="18" t="s">
        <v>159</v>
      </c>
      <c r="J11" s="4">
        <v>13</v>
      </c>
      <c r="K11" s="4">
        <v>13.5</v>
      </c>
      <c r="L11" s="4">
        <v>0.5</v>
      </c>
      <c r="M11" s="5">
        <v>1</v>
      </c>
      <c r="N11" s="31">
        <v>0.5</v>
      </c>
      <c r="O11" s="31">
        <v>0.5</v>
      </c>
      <c r="P11" s="31">
        <v>25</v>
      </c>
      <c r="Q11" s="31">
        <v>20</v>
      </c>
      <c r="R11" s="31">
        <v>0.49</v>
      </c>
      <c r="S11" s="31">
        <v>0.14000000000000001</v>
      </c>
      <c r="T11" s="65">
        <v>28.000000000000004</v>
      </c>
      <c r="U11" s="31">
        <v>4</v>
      </c>
      <c r="V11" s="31"/>
      <c r="W11" s="31">
        <v>4</v>
      </c>
      <c r="X11" s="85">
        <v>122.5</v>
      </c>
      <c r="Y11" s="18">
        <v>0</v>
      </c>
      <c r="Z11" s="18" t="s">
        <v>330</v>
      </c>
      <c r="AA11" s="18" t="s">
        <v>333</v>
      </c>
      <c r="AB11" s="18" t="s">
        <v>336</v>
      </c>
      <c r="AC11" s="18">
        <v>20</v>
      </c>
      <c r="AD11" s="18">
        <v>25</v>
      </c>
      <c r="AE11" s="18" t="s">
        <v>32</v>
      </c>
      <c r="AF11" s="18" t="s">
        <v>239</v>
      </c>
      <c r="AG11" s="18" t="s">
        <v>239</v>
      </c>
      <c r="AH11" s="18">
        <v>8.6999999999999993</v>
      </c>
      <c r="AI11" s="18" t="s">
        <v>32</v>
      </c>
      <c r="AJ11" s="18" t="s">
        <v>69</v>
      </c>
      <c r="AK11" s="18" t="s">
        <v>79</v>
      </c>
      <c r="AL11" s="18" t="s">
        <v>100</v>
      </c>
      <c r="AM11" s="18" t="s">
        <v>107</v>
      </c>
      <c r="AN11" s="18" t="s">
        <v>120</v>
      </c>
      <c r="AO11" s="18" t="s">
        <v>198</v>
      </c>
      <c r="AP11" s="18" t="s">
        <v>250</v>
      </c>
      <c r="AQ11" s="18"/>
      <c r="AR11" s="18">
        <v>0</v>
      </c>
      <c r="AS11" s="18">
        <v>1</v>
      </c>
      <c r="AT11" s="18">
        <v>0</v>
      </c>
      <c r="AU11" s="18">
        <v>3</v>
      </c>
      <c r="AV11" s="18">
        <v>2</v>
      </c>
      <c r="AW11" s="18">
        <v>6</v>
      </c>
      <c r="AX11" s="49">
        <f t="shared" si="0"/>
        <v>6</v>
      </c>
      <c r="AY11" s="49">
        <f>VLOOKUP(AI11,Leyenda!$B$4:$E$10,4,FALSE)</f>
        <v>1</v>
      </c>
      <c r="AZ11" s="50">
        <f t="shared" si="4"/>
        <v>8</v>
      </c>
      <c r="BA11" s="49">
        <v>6</v>
      </c>
      <c r="BB11" s="49">
        <v>10</v>
      </c>
      <c r="BC11" s="67">
        <v>23</v>
      </c>
      <c r="BD11" s="67">
        <f>VLOOKUP(AI11,Leyenda!$B$4:$E$10,4,FALSE)</f>
        <v>1</v>
      </c>
      <c r="BE11" s="67">
        <v>9</v>
      </c>
      <c r="BF11" s="67">
        <f t="shared" si="1"/>
        <v>6</v>
      </c>
      <c r="BG11" s="67">
        <v>0</v>
      </c>
      <c r="BH11" s="67">
        <v>3</v>
      </c>
      <c r="BI11" s="67">
        <v>2</v>
      </c>
      <c r="BJ11" s="67">
        <v>1</v>
      </c>
      <c r="BK11" s="67">
        <v>0</v>
      </c>
      <c r="BL11" s="67">
        <v>10</v>
      </c>
      <c r="BM11" s="125">
        <f t="shared" si="2"/>
        <v>32</v>
      </c>
      <c r="BN11" s="85">
        <f t="shared" si="3"/>
        <v>31</v>
      </c>
      <c r="BQ11" s="145"/>
      <c r="BR11" s="148" t="s">
        <v>309</v>
      </c>
      <c r="BS11" s="148">
        <v>25</v>
      </c>
      <c r="BT11" s="147"/>
    </row>
    <row r="12" spans="1:154" ht="15.75" thickBot="1" x14ac:dyDescent="0.3">
      <c r="A12" s="18" t="s">
        <v>6</v>
      </c>
      <c r="B12" s="18">
        <v>2024</v>
      </c>
      <c r="C12" s="18" t="s">
        <v>138</v>
      </c>
      <c r="D12" s="18" t="s">
        <v>130</v>
      </c>
      <c r="E12" s="18">
        <v>30</v>
      </c>
      <c r="F12" s="18">
        <v>30</v>
      </c>
      <c r="G12" s="18" t="s">
        <v>152</v>
      </c>
      <c r="H12" s="18" t="s">
        <v>152</v>
      </c>
      <c r="I12" s="18" t="s">
        <v>159</v>
      </c>
      <c r="J12" s="4">
        <v>13.5</v>
      </c>
      <c r="K12" s="4">
        <v>14</v>
      </c>
      <c r="L12" s="4">
        <v>0.5</v>
      </c>
      <c r="M12" s="5">
        <v>1</v>
      </c>
      <c r="N12" s="31">
        <v>0.5</v>
      </c>
      <c r="O12" s="31">
        <v>0.5</v>
      </c>
      <c r="P12" s="31">
        <v>25</v>
      </c>
      <c r="Q12" s="31">
        <v>20</v>
      </c>
      <c r="R12" s="31">
        <v>0.45</v>
      </c>
      <c r="S12" s="31">
        <v>0.14000000000000001</v>
      </c>
      <c r="T12" s="65">
        <v>28.000000000000004</v>
      </c>
      <c r="U12" s="31">
        <v>7</v>
      </c>
      <c r="V12" s="31"/>
      <c r="W12" s="31">
        <v>7</v>
      </c>
      <c r="X12" s="85">
        <v>64.285714285714292</v>
      </c>
      <c r="Y12" s="18">
        <v>0</v>
      </c>
      <c r="Z12" s="18" t="s">
        <v>330</v>
      </c>
      <c r="AA12" s="18" t="s">
        <v>333</v>
      </c>
      <c r="AB12" s="18" t="s">
        <v>337</v>
      </c>
      <c r="AC12" s="18">
        <v>20</v>
      </c>
      <c r="AD12" s="18">
        <v>25</v>
      </c>
      <c r="AE12" s="18" t="s">
        <v>29</v>
      </c>
      <c r="AF12" s="18" t="s">
        <v>199</v>
      </c>
      <c r="AG12" s="18" t="s">
        <v>199</v>
      </c>
      <c r="AH12" s="18">
        <v>8.6999999999999993</v>
      </c>
      <c r="AI12" s="18" t="s">
        <v>32</v>
      </c>
      <c r="AJ12" s="18" t="s">
        <v>66</v>
      </c>
      <c r="AK12" s="18" t="s">
        <v>79</v>
      </c>
      <c r="AL12" s="18" t="s">
        <v>100</v>
      </c>
      <c r="AM12" s="18" t="s">
        <v>107</v>
      </c>
      <c r="AN12" s="18" t="s">
        <v>120</v>
      </c>
      <c r="AO12" s="18" t="s">
        <v>198</v>
      </c>
      <c r="AP12" s="18" t="s">
        <v>251</v>
      </c>
      <c r="AQ12" s="18"/>
      <c r="AR12" s="18">
        <v>1</v>
      </c>
      <c r="AS12" s="18">
        <v>1</v>
      </c>
      <c r="AT12" s="18">
        <v>0</v>
      </c>
      <c r="AU12" s="18">
        <v>3</v>
      </c>
      <c r="AV12" s="18">
        <v>2</v>
      </c>
      <c r="AW12" s="18">
        <v>7</v>
      </c>
      <c r="AX12" s="49">
        <f t="shared" si="0"/>
        <v>6</v>
      </c>
      <c r="AY12" s="49">
        <f>VLOOKUP(AI12,Leyenda!$B$4:$E$10,4,FALSE)</f>
        <v>1</v>
      </c>
      <c r="AZ12" s="50">
        <f t="shared" si="4"/>
        <v>6</v>
      </c>
      <c r="BA12" s="49">
        <v>7</v>
      </c>
      <c r="BB12" s="49">
        <v>10</v>
      </c>
      <c r="BC12" s="67">
        <v>24.5</v>
      </c>
      <c r="BD12" s="67">
        <f>VLOOKUP(AI12,Leyenda!$B$4:$E$10,4,FALSE)</f>
        <v>1</v>
      </c>
      <c r="BE12" s="67">
        <v>6</v>
      </c>
      <c r="BF12" s="67">
        <f t="shared" si="1"/>
        <v>6</v>
      </c>
      <c r="BG12" s="67">
        <v>0</v>
      </c>
      <c r="BH12" s="67">
        <v>3</v>
      </c>
      <c r="BI12" s="67">
        <v>2</v>
      </c>
      <c r="BJ12" s="67">
        <v>1</v>
      </c>
      <c r="BK12" s="67">
        <v>1</v>
      </c>
      <c r="BL12" s="67">
        <v>10</v>
      </c>
      <c r="BM12" s="125">
        <f t="shared" si="2"/>
        <v>30</v>
      </c>
      <c r="BN12" s="85">
        <f t="shared" si="3"/>
        <v>30</v>
      </c>
      <c r="BQ12" s="145"/>
      <c r="BR12" s="148" t="s">
        <v>310</v>
      </c>
      <c r="BS12" s="148">
        <v>25</v>
      </c>
      <c r="BT12" s="147"/>
    </row>
    <row r="13" spans="1:154" x14ac:dyDescent="0.25">
      <c r="A13" s="18" t="s">
        <v>6</v>
      </c>
      <c r="B13" s="18">
        <v>2024</v>
      </c>
      <c r="C13" s="18" t="s">
        <v>138</v>
      </c>
      <c r="D13" s="18" t="s">
        <v>130</v>
      </c>
      <c r="E13" s="18">
        <v>30</v>
      </c>
      <c r="F13" s="18">
        <v>30</v>
      </c>
      <c r="G13" s="18" t="s">
        <v>152</v>
      </c>
      <c r="H13" s="18" t="s">
        <v>152</v>
      </c>
      <c r="I13" s="18" t="s">
        <v>159</v>
      </c>
      <c r="J13" s="4">
        <v>14</v>
      </c>
      <c r="K13" s="4">
        <v>14.5</v>
      </c>
      <c r="L13" s="4">
        <v>0.5</v>
      </c>
      <c r="M13" s="5">
        <v>1</v>
      </c>
      <c r="N13" s="31">
        <v>0.5</v>
      </c>
      <c r="O13" s="31">
        <v>0.5</v>
      </c>
      <c r="P13" s="31">
        <v>25</v>
      </c>
      <c r="Q13" s="31">
        <v>20</v>
      </c>
      <c r="R13" s="31">
        <v>0.48</v>
      </c>
      <c r="S13" s="31">
        <v>0</v>
      </c>
      <c r="T13" s="65">
        <v>0</v>
      </c>
      <c r="U13" s="31">
        <v>4</v>
      </c>
      <c r="V13" s="31"/>
      <c r="W13" s="31">
        <v>4</v>
      </c>
      <c r="X13" s="85">
        <v>120</v>
      </c>
      <c r="Y13" s="18">
        <v>0</v>
      </c>
      <c r="Z13" s="18" t="s">
        <v>330</v>
      </c>
      <c r="AA13" s="18" t="s">
        <v>333</v>
      </c>
      <c r="AB13" s="18" t="s">
        <v>337</v>
      </c>
      <c r="AC13" s="18">
        <v>20</v>
      </c>
      <c r="AD13" s="18">
        <v>25</v>
      </c>
      <c r="AE13" s="18" t="s">
        <v>29</v>
      </c>
      <c r="AF13" s="18" t="s">
        <v>199</v>
      </c>
      <c r="AG13" s="18" t="s">
        <v>199</v>
      </c>
      <c r="AH13" s="18">
        <v>8.6999999999999993</v>
      </c>
      <c r="AI13" s="18" t="s">
        <v>32</v>
      </c>
      <c r="AJ13" s="18" t="s">
        <v>66</v>
      </c>
      <c r="AK13" s="18" t="s">
        <v>79</v>
      </c>
      <c r="AL13" s="18" t="s">
        <v>100</v>
      </c>
      <c r="AM13" s="18" t="s">
        <v>107</v>
      </c>
      <c r="AN13" s="18" t="s">
        <v>120</v>
      </c>
      <c r="AO13" s="18" t="s">
        <v>198</v>
      </c>
      <c r="AP13" s="18" t="s">
        <v>251</v>
      </c>
      <c r="AQ13" s="18"/>
      <c r="AR13" s="18">
        <v>1</v>
      </c>
      <c r="AS13" s="18">
        <v>1</v>
      </c>
      <c r="AT13" s="18">
        <v>0</v>
      </c>
      <c r="AU13" s="18">
        <v>3</v>
      </c>
      <c r="AV13" s="18">
        <v>2</v>
      </c>
      <c r="AW13" s="18">
        <v>7</v>
      </c>
      <c r="AX13" s="49">
        <f t="shared" si="0"/>
        <v>0</v>
      </c>
      <c r="AY13" s="49">
        <f>VLOOKUP(AI13,Leyenda!$B$4:$E$10,4,FALSE)</f>
        <v>1</v>
      </c>
      <c r="AZ13" s="50">
        <f t="shared" si="4"/>
        <v>8</v>
      </c>
      <c r="BA13" s="49">
        <v>7</v>
      </c>
      <c r="BB13" s="49">
        <v>10</v>
      </c>
      <c r="BC13" s="67">
        <v>10.5</v>
      </c>
      <c r="BD13" s="67">
        <f>VLOOKUP(AI13,Leyenda!$B$4:$E$10,4,FALSE)</f>
        <v>1</v>
      </c>
      <c r="BE13" s="67">
        <v>9</v>
      </c>
      <c r="BF13" s="67">
        <f t="shared" si="1"/>
        <v>0</v>
      </c>
      <c r="BG13" s="67">
        <v>0</v>
      </c>
      <c r="BH13" s="67">
        <v>3</v>
      </c>
      <c r="BI13" s="67">
        <v>2</v>
      </c>
      <c r="BJ13" s="67">
        <v>1</v>
      </c>
      <c r="BK13" s="67">
        <v>1</v>
      </c>
      <c r="BL13" s="67">
        <v>10</v>
      </c>
      <c r="BM13" s="125">
        <f t="shared" si="2"/>
        <v>27</v>
      </c>
      <c r="BN13" s="85">
        <f t="shared" si="3"/>
        <v>26</v>
      </c>
      <c r="BQ13" s="145"/>
      <c r="BR13" s="148" t="s">
        <v>311</v>
      </c>
      <c r="BS13" s="148">
        <v>4.8872085614156129</v>
      </c>
      <c r="BT13" s="147"/>
      <c r="CH13" s="96" t="s">
        <v>287</v>
      </c>
      <c r="CI13" s="96" t="s">
        <v>288</v>
      </c>
      <c r="CJ13" s="96" t="s">
        <v>582</v>
      </c>
      <c r="CK13" s="96" t="s">
        <v>287</v>
      </c>
      <c r="CL13" s="96" t="s">
        <v>288</v>
      </c>
      <c r="CM13" s="96" t="s">
        <v>582</v>
      </c>
      <c r="CN13" s="39" t="s">
        <v>289</v>
      </c>
      <c r="CT13" s="96" t="s">
        <v>287</v>
      </c>
      <c r="CU13" s="96" t="s">
        <v>288</v>
      </c>
      <c r="CV13" s="96" t="s">
        <v>582</v>
      </c>
      <c r="CW13" s="96" t="s">
        <v>287</v>
      </c>
      <c r="CX13" s="96" t="s">
        <v>288</v>
      </c>
      <c r="CY13" s="96" t="s">
        <v>582</v>
      </c>
      <c r="CZ13" s="39" t="s">
        <v>642</v>
      </c>
      <c r="DI13" s="96" t="s">
        <v>287</v>
      </c>
      <c r="DJ13" s="96" t="s">
        <v>288</v>
      </c>
      <c r="DK13" s="96" t="s">
        <v>582</v>
      </c>
      <c r="DL13" s="96" t="s">
        <v>287</v>
      </c>
      <c r="DM13" s="96" t="s">
        <v>288</v>
      </c>
      <c r="DN13" s="96" t="s">
        <v>582</v>
      </c>
      <c r="DO13" s="39" t="s">
        <v>583</v>
      </c>
      <c r="DS13" s="96" t="s">
        <v>287</v>
      </c>
      <c r="DT13" s="96" t="s">
        <v>288</v>
      </c>
      <c r="DU13" s="96" t="s">
        <v>582</v>
      </c>
      <c r="DV13" s="96" t="s">
        <v>287</v>
      </c>
      <c r="DW13" s="96" t="s">
        <v>288</v>
      </c>
      <c r="DX13" s="96" t="s">
        <v>582</v>
      </c>
      <c r="DY13" s="39" t="s">
        <v>636</v>
      </c>
      <c r="EE13" s="96" t="s">
        <v>287</v>
      </c>
      <c r="EF13" s="96" t="s">
        <v>288</v>
      </c>
      <c r="EG13" s="96" t="s">
        <v>582</v>
      </c>
      <c r="EH13" s="96" t="s">
        <v>287</v>
      </c>
      <c r="EI13" s="96" t="s">
        <v>288</v>
      </c>
      <c r="EJ13" s="96" t="s">
        <v>582</v>
      </c>
      <c r="EK13" s="39" t="s">
        <v>642</v>
      </c>
      <c r="ER13" s="96" t="s">
        <v>287</v>
      </c>
      <c r="ES13" s="96" t="s">
        <v>288</v>
      </c>
      <c r="ET13" s="96" t="s">
        <v>582</v>
      </c>
      <c r="EU13" s="96" t="s">
        <v>287</v>
      </c>
      <c r="EV13" s="96" t="s">
        <v>288</v>
      </c>
      <c r="EW13" s="96" t="s">
        <v>582</v>
      </c>
      <c r="EX13" s="39" t="s">
        <v>636</v>
      </c>
    </row>
    <row r="14" spans="1:154" x14ac:dyDescent="0.25">
      <c r="A14" s="18" t="s">
        <v>6</v>
      </c>
      <c r="B14" s="18">
        <v>2024</v>
      </c>
      <c r="C14" s="18" t="s">
        <v>138</v>
      </c>
      <c r="D14" s="18" t="s">
        <v>130</v>
      </c>
      <c r="E14" s="18">
        <v>20</v>
      </c>
      <c r="F14" s="18">
        <v>30</v>
      </c>
      <c r="G14" s="18" t="s">
        <v>156</v>
      </c>
      <c r="H14" s="18"/>
      <c r="I14" s="18" t="s">
        <v>182</v>
      </c>
      <c r="J14" s="4">
        <v>39</v>
      </c>
      <c r="K14" s="4">
        <v>39.5</v>
      </c>
      <c r="L14" s="4">
        <v>0.5</v>
      </c>
      <c r="M14" s="5">
        <v>1</v>
      </c>
      <c r="N14" s="31">
        <v>0.5</v>
      </c>
      <c r="O14" s="31">
        <v>0.5</v>
      </c>
      <c r="P14" s="31">
        <v>500</v>
      </c>
      <c r="Q14" s="31">
        <v>1</v>
      </c>
      <c r="R14" s="31">
        <v>0.46</v>
      </c>
      <c r="S14" s="31">
        <v>0.18</v>
      </c>
      <c r="T14" s="65">
        <v>36</v>
      </c>
      <c r="U14" s="31">
        <v>4</v>
      </c>
      <c r="V14" s="31"/>
      <c r="W14" s="31">
        <v>4</v>
      </c>
      <c r="X14" s="85">
        <v>115</v>
      </c>
      <c r="Y14" s="18">
        <v>26</v>
      </c>
      <c r="Z14" s="18" t="s">
        <v>330</v>
      </c>
      <c r="AA14" s="18" t="s">
        <v>116</v>
      </c>
      <c r="AB14" s="18" t="s">
        <v>334</v>
      </c>
      <c r="AC14" s="18">
        <v>1</v>
      </c>
      <c r="AD14" s="18">
        <v>500</v>
      </c>
      <c r="AE14" s="18" t="s">
        <v>27</v>
      </c>
      <c r="AF14" s="18" t="s">
        <v>29</v>
      </c>
      <c r="AG14" s="18" t="s">
        <v>29</v>
      </c>
      <c r="AH14" s="18">
        <v>8.6999999999999993</v>
      </c>
      <c r="AI14" s="18" t="s">
        <v>32</v>
      </c>
      <c r="AJ14" s="18" t="s">
        <v>64</v>
      </c>
      <c r="AK14" s="18" t="s">
        <v>77</v>
      </c>
      <c r="AL14" s="18" t="s">
        <v>96</v>
      </c>
      <c r="AM14" s="18" t="s">
        <v>107</v>
      </c>
      <c r="AN14" s="18" t="s">
        <v>118</v>
      </c>
      <c r="AO14" s="18" t="s">
        <v>198</v>
      </c>
      <c r="AP14" s="18"/>
      <c r="AQ14" s="18"/>
      <c r="AR14" s="18">
        <v>2</v>
      </c>
      <c r="AS14" s="18">
        <v>3</v>
      </c>
      <c r="AT14" s="18">
        <v>1</v>
      </c>
      <c r="AU14" s="18">
        <v>3</v>
      </c>
      <c r="AV14" s="18">
        <v>2</v>
      </c>
      <c r="AW14" s="18">
        <v>11</v>
      </c>
      <c r="AX14" s="49">
        <f t="shared" si="0"/>
        <v>8</v>
      </c>
      <c r="AY14" s="49">
        <f>VLOOKUP(AI14,Leyenda!$B$4:$E$10,4,FALSE)</f>
        <v>1</v>
      </c>
      <c r="AZ14" s="50">
        <f t="shared" si="4"/>
        <v>8</v>
      </c>
      <c r="BA14" s="49">
        <v>11</v>
      </c>
      <c r="BB14" s="49">
        <v>10</v>
      </c>
      <c r="BC14" s="67">
        <v>34.5</v>
      </c>
      <c r="BD14" s="67">
        <f>VLOOKUP(AI14,Leyenda!$B$4:$E$10,4,FALSE)</f>
        <v>1</v>
      </c>
      <c r="BE14" s="67">
        <v>9</v>
      </c>
      <c r="BF14" s="67">
        <f t="shared" si="1"/>
        <v>8</v>
      </c>
      <c r="BG14" s="67">
        <v>1</v>
      </c>
      <c r="BH14" s="67">
        <v>3</v>
      </c>
      <c r="BI14" s="67">
        <v>2</v>
      </c>
      <c r="BJ14" s="67">
        <v>3</v>
      </c>
      <c r="BK14" s="67">
        <v>3</v>
      </c>
      <c r="BL14" s="67">
        <v>10</v>
      </c>
      <c r="BM14" s="125">
        <f t="shared" si="2"/>
        <v>40</v>
      </c>
      <c r="BN14" s="85">
        <f t="shared" si="3"/>
        <v>38</v>
      </c>
      <c r="BQ14" s="145"/>
      <c r="BR14" s="148" t="s">
        <v>312</v>
      </c>
      <c r="BS14" s="148">
        <v>23.884807522774061</v>
      </c>
      <c r="BT14" s="147"/>
      <c r="CG14" t="s">
        <v>69</v>
      </c>
      <c r="CH14">
        <v>0</v>
      </c>
      <c r="CI14">
        <v>26</v>
      </c>
      <c r="CJ14" s="55">
        <v>0.31325301204819278</v>
      </c>
      <c r="CK14">
        <v>1</v>
      </c>
      <c r="CL14">
        <v>34</v>
      </c>
      <c r="CM14" s="55">
        <v>0.40963855421686746</v>
      </c>
      <c r="CN14" s="42">
        <f>+CI14/$CI$20</f>
        <v>0.31325301204819278</v>
      </c>
      <c r="CS14" t="s">
        <v>100</v>
      </c>
      <c r="CT14">
        <v>0</v>
      </c>
      <c r="CU14">
        <v>32</v>
      </c>
      <c r="CV14" s="55">
        <v>0.38554216867469882</v>
      </c>
      <c r="CW14">
        <v>1</v>
      </c>
      <c r="CX14">
        <v>38</v>
      </c>
      <c r="CY14" s="55">
        <v>0.45783132530120479</v>
      </c>
      <c r="CZ14" s="42">
        <f>+CU14/$CU$20</f>
        <v>0.38554216867469882</v>
      </c>
      <c r="DH14" s="15" t="s">
        <v>637</v>
      </c>
      <c r="DI14">
        <v>3</v>
      </c>
      <c r="DJ14">
        <v>63</v>
      </c>
      <c r="DK14" s="55">
        <v>0.75</v>
      </c>
      <c r="DL14">
        <v>3</v>
      </c>
      <c r="DM14">
        <v>63</v>
      </c>
      <c r="DN14" s="55">
        <v>0.75</v>
      </c>
      <c r="DO14" s="42">
        <f>+DJ14/$DJ$20</f>
        <v>0.984375</v>
      </c>
      <c r="DR14" t="s">
        <v>111</v>
      </c>
      <c r="DS14">
        <v>0</v>
      </c>
      <c r="DT14">
        <v>0</v>
      </c>
      <c r="DU14" s="55">
        <v>0</v>
      </c>
      <c r="DV14">
        <v>3</v>
      </c>
      <c r="DW14">
        <v>63</v>
      </c>
      <c r="DX14" s="55">
        <v>0.75903614457831325</v>
      </c>
      <c r="DY14" s="42">
        <f>+DT14/$DT$20</f>
        <v>0</v>
      </c>
      <c r="ED14" t="s">
        <v>122</v>
      </c>
      <c r="EE14">
        <v>0</v>
      </c>
      <c r="EF14">
        <v>2</v>
      </c>
      <c r="EG14" s="55">
        <v>2.4096385542168676E-2</v>
      </c>
      <c r="EH14">
        <v>2</v>
      </c>
      <c r="EI14">
        <v>81</v>
      </c>
      <c r="EJ14" s="55">
        <v>0.97590361445783136</v>
      </c>
      <c r="EK14" s="42">
        <f>+EF14/$EF$20</f>
        <v>2.4096385542168676E-2</v>
      </c>
      <c r="EQ14" t="s">
        <v>81</v>
      </c>
      <c r="ER14">
        <v>0</v>
      </c>
      <c r="ES14">
        <v>24</v>
      </c>
      <c r="ET14" s="55">
        <v>0.28915662650602408</v>
      </c>
      <c r="EU14">
        <v>1</v>
      </c>
      <c r="EV14">
        <v>53</v>
      </c>
      <c r="EW14" s="55">
        <v>0.63855421686746983</v>
      </c>
      <c r="EX14" s="42">
        <f>+ES14/$ES$20</f>
        <v>0.28915662650602408</v>
      </c>
    </row>
    <row r="15" spans="1:154" x14ac:dyDescent="0.25">
      <c r="A15" s="18" t="s">
        <v>6</v>
      </c>
      <c r="B15" s="18">
        <v>2024</v>
      </c>
      <c r="C15" s="18" t="s">
        <v>138</v>
      </c>
      <c r="D15" s="18" t="s">
        <v>130</v>
      </c>
      <c r="E15" s="18">
        <v>20</v>
      </c>
      <c r="F15" s="18">
        <v>30</v>
      </c>
      <c r="G15" s="18" t="s">
        <v>156</v>
      </c>
      <c r="H15" s="18"/>
      <c r="I15" s="18" t="s">
        <v>182</v>
      </c>
      <c r="J15" s="4">
        <v>40</v>
      </c>
      <c r="K15" s="4">
        <v>40.5</v>
      </c>
      <c r="L15" s="4">
        <v>0.5</v>
      </c>
      <c r="M15" s="5">
        <v>1</v>
      </c>
      <c r="N15" s="31">
        <v>0.5</v>
      </c>
      <c r="O15" s="31">
        <v>0.5</v>
      </c>
      <c r="P15" s="31">
        <v>500</v>
      </c>
      <c r="Q15" s="31">
        <v>1</v>
      </c>
      <c r="R15" s="31">
        <v>0.46</v>
      </c>
      <c r="S15" s="31">
        <v>0.14000000000000001</v>
      </c>
      <c r="T15" s="65">
        <v>28.000000000000004</v>
      </c>
      <c r="U15" s="31">
        <v>6</v>
      </c>
      <c r="V15" s="31"/>
      <c r="W15" s="31">
        <v>6</v>
      </c>
      <c r="X15" s="85">
        <v>76.666666666666671</v>
      </c>
      <c r="Y15" s="18">
        <v>30</v>
      </c>
      <c r="Z15" s="18" t="s">
        <v>330</v>
      </c>
      <c r="AA15" s="18" t="s">
        <v>116</v>
      </c>
      <c r="AB15" s="18" t="s">
        <v>334</v>
      </c>
      <c r="AC15" s="18">
        <v>1</v>
      </c>
      <c r="AD15" s="18">
        <v>500</v>
      </c>
      <c r="AE15" s="18" t="s">
        <v>27</v>
      </c>
      <c r="AF15" s="18" t="s">
        <v>29</v>
      </c>
      <c r="AG15" s="18" t="s">
        <v>29</v>
      </c>
      <c r="AH15" s="18">
        <v>8.6999999999999993</v>
      </c>
      <c r="AI15" s="18" t="s">
        <v>32</v>
      </c>
      <c r="AJ15" s="18" t="s">
        <v>64</v>
      </c>
      <c r="AK15" s="18" t="s">
        <v>77</v>
      </c>
      <c r="AL15" s="18" t="s">
        <v>96</v>
      </c>
      <c r="AM15" s="18" t="s">
        <v>107</v>
      </c>
      <c r="AN15" s="18" t="s">
        <v>118</v>
      </c>
      <c r="AO15" s="18" t="s">
        <v>198</v>
      </c>
      <c r="AP15" s="18"/>
      <c r="AQ15" s="18"/>
      <c r="AR15" s="18">
        <v>2</v>
      </c>
      <c r="AS15" s="18">
        <v>3</v>
      </c>
      <c r="AT15" s="18">
        <v>1</v>
      </c>
      <c r="AU15" s="18">
        <v>3</v>
      </c>
      <c r="AV15" s="18">
        <v>2</v>
      </c>
      <c r="AW15" s="18">
        <v>11</v>
      </c>
      <c r="AX15" s="49">
        <f t="shared" si="0"/>
        <v>6</v>
      </c>
      <c r="AY15" s="49">
        <f>VLOOKUP(AI15,Leyenda!$B$4:$E$10,4,FALSE)</f>
        <v>1</v>
      </c>
      <c r="AZ15" s="50">
        <f t="shared" si="4"/>
        <v>7</v>
      </c>
      <c r="BA15" s="49">
        <v>11</v>
      </c>
      <c r="BB15" s="49">
        <v>10</v>
      </c>
      <c r="BC15" s="67">
        <v>30.5</v>
      </c>
      <c r="BD15" s="67">
        <f>VLOOKUP(AI15,Leyenda!$B$4:$E$10,4,FALSE)</f>
        <v>1</v>
      </c>
      <c r="BE15" s="67">
        <v>7</v>
      </c>
      <c r="BF15" s="67">
        <f t="shared" si="1"/>
        <v>6</v>
      </c>
      <c r="BG15" s="67">
        <v>1</v>
      </c>
      <c r="BH15" s="67">
        <v>3</v>
      </c>
      <c r="BI15" s="67">
        <v>2</v>
      </c>
      <c r="BJ15" s="67">
        <v>3</v>
      </c>
      <c r="BK15" s="67">
        <v>3</v>
      </c>
      <c r="BL15" s="67">
        <v>10</v>
      </c>
      <c r="BM15" s="125">
        <f t="shared" si="2"/>
        <v>36</v>
      </c>
      <c r="BN15" s="85">
        <f t="shared" si="3"/>
        <v>35</v>
      </c>
      <c r="BQ15" s="145"/>
      <c r="BR15" s="148" t="s">
        <v>313</v>
      </c>
      <c r="BS15" s="148">
        <v>3.3308605273180847</v>
      </c>
      <c r="BT15" s="147"/>
      <c r="BV15">
        <f>26+3*5</f>
        <v>41</v>
      </c>
      <c r="CG15" t="s">
        <v>66</v>
      </c>
      <c r="CH15">
        <v>1</v>
      </c>
      <c r="CI15">
        <v>34</v>
      </c>
      <c r="CJ15" s="55">
        <v>0.72289156626506024</v>
      </c>
      <c r="CK15">
        <v>0</v>
      </c>
      <c r="CL15">
        <v>26</v>
      </c>
      <c r="CM15" s="55">
        <v>0.72289156626506024</v>
      </c>
      <c r="CN15" s="42">
        <f t="shared" ref="CN15:CN18" si="5">+CI15/$CI$20</f>
        <v>0.40963855421686746</v>
      </c>
      <c r="CS15" t="s">
        <v>96</v>
      </c>
      <c r="CT15">
        <v>1</v>
      </c>
      <c r="CU15">
        <v>38</v>
      </c>
      <c r="CV15" s="55">
        <v>0.84337349397590367</v>
      </c>
      <c r="CW15">
        <v>0</v>
      </c>
      <c r="CX15">
        <v>32</v>
      </c>
      <c r="CY15" s="55">
        <v>0.84337349397590367</v>
      </c>
      <c r="CZ15" s="42">
        <f t="shared" ref="CZ15:CZ18" si="6">+CU15/$CU$20</f>
        <v>0.45783132530120479</v>
      </c>
      <c r="DH15" s="14" t="s">
        <v>638</v>
      </c>
      <c r="DI15">
        <v>8</v>
      </c>
      <c r="DJ15">
        <v>0</v>
      </c>
      <c r="DK15" s="55">
        <v>0.75</v>
      </c>
      <c r="DL15" t="s">
        <v>581</v>
      </c>
      <c r="DM15">
        <v>20</v>
      </c>
      <c r="DN15" s="55">
        <v>0.98809523809523814</v>
      </c>
      <c r="DO15" s="42">
        <f t="shared" ref="DO15:DO18" si="7">+DJ15/$DJ$20</f>
        <v>0</v>
      </c>
      <c r="DR15" t="s">
        <v>109</v>
      </c>
      <c r="DS15">
        <v>1</v>
      </c>
      <c r="DT15">
        <v>20</v>
      </c>
      <c r="DU15" s="55">
        <v>0.24096385542168675</v>
      </c>
      <c r="DV15">
        <v>1</v>
      </c>
      <c r="DW15">
        <v>20</v>
      </c>
      <c r="DX15" s="55">
        <v>1</v>
      </c>
      <c r="DY15" s="42">
        <f t="shared" ref="DY15:DY18" si="8">+DT15/$DT$20</f>
        <v>0.24096385542168675</v>
      </c>
      <c r="ED15" t="s">
        <v>120</v>
      </c>
      <c r="EE15">
        <v>2</v>
      </c>
      <c r="EF15">
        <v>81</v>
      </c>
      <c r="EG15" s="55">
        <v>1</v>
      </c>
      <c r="EH15">
        <v>0</v>
      </c>
      <c r="EI15">
        <v>2</v>
      </c>
      <c r="EJ15" s="55">
        <v>1</v>
      </c>
      <c r="EK15" s="42">
        <f t="shared" ref="EK15:EK18" si="9">+EF15/$EF$20</f>
        <v>0.97590361445783136</v>
      </c>
      <c r="EQ15" t="s">
        <v>79</v>
      </c>
      <c r="ER15">
        <v>1</v>
      </c>
      <c r="ES15">
        <v>53</v>
      </c>
      <c r="ET15" s="55">
        <v>0.92771084337349397</v>
      </c>
      <c r="EU15">
        <v>0</v>
      </c>
      <c r="EV15">
        <v>24</v>
      </c>
      <c r="EW15" s="55">
        <v>0.92771084337349397</v>
      </c>
      <c r="EX15" s="42">
        <f t="shared" ref="EX15:EX18" si="10">+ES15/$ES$20</f>
        <v>0.63855421686746983</v>
      </c>
    </row>
    <row r="16" spans="1:154" x14ac:dyDescent="0.25">
      <c r="A16" s="18" t="s">
        <v>6</v>
      </c>
      <c r="B16" s="18">
        <v>2024</v>
      </c>
      <c r="C16" s="18" t="s">
        <v>138</v>
      </c>
      <c r="D16" s="18" t="s">
        <v>130</v>
      </c>
      <c r="E16" s="18">
        <v>20</v>
      </c>
      <c r="F16" s="18">
        <v>30</v>
      </c>
      <c r="G16" s="18" t="s">
        <v>156</v>
      </c>
      <c r="H16" s="18"/>
      <c r="I16" s="18" t="s">
        <v>182</v>
      </c>
      <c r="J16" s="4">
        <v>40.5</v>
      </c>
      <c r="K16" s="4">
        <v>41</v>
      </c>
      <c r="L16" s="4">
        <v>0.5</v>
      </c>
      <c r="M16" s="5">
        <v>1</v>
      </c>
      <c r="N16" s="31">
        <v>0.5</v>
      </c>
      <c r="O16" s="31">
        <v>0.5</v>
      </c>
      <c r="P16" s="31">
        <v>25</v>
      </c>
      <c r="Q16" s="31">
        <v>20</v>
      </c>
      <c r="R16" s="31">
        <v>0.5</v>
      </c>
      <c r="S16" s="31">
        <v>0</v>
      </c>
      <c r="T16" s="65">
        <v>0</v>
      </c>
      <c r="U16" s="31">
        <v>8</v>
      </c>
      <c r="V16" s="31"/>
      <c r="W16" s="31">
        <v>8</v>
      </c>
      <c r="X16" s="85">
        <v>62.5</v>
      </c>
      <c r="Y16" s="18">
        <v>0</v>
      </c>
      <c r="Z16" s="18" t="s">
        <v>330</v>
      </c>
      <c r="AA16" s="18" t="s">
        <v>333</v>
      </c>
      <c r="AB16" s="18" t="s">
        <v>334</v>
      </c>
      <c r="AC16" s="18">
        <v>20</v>
      </c>
      <c r="AD16" s="18">
        <v>25</v>
      </c>
      <c r="AE16" s="18" t="s">
        <v>27</v>
      </c>
      <c r="AF16" s="18" t="s">
        <v>29</v>
      </c>
      <c r="AG16" s="18" t="s">
        <v>29</v>
      </c>
      <c r="AH16" s="18">
        <v>8.6999999999999993</v>
      </c>
      <c r="AI16" s="18" t="s">
        <v>32</v>
      </c>
      <c r="AJ16" s="18" t="s">
        <v>64</v>
      </c>
      <c r="AK16" s="18" t="s">
        <v>77</v>
      </c>
      <c r="AL16" s="18" t="s">
        <v>96</v>
      </c>
      <c r="AM16" s="18" t="s">
        <v>107</v>
      </c>
      <c r="AN16" s="18" t="s">
        <v>118</v>
      </c>
      <c r="AO16" s="18" t="s">
        <v>198</v>
      </c>
      <c r="AP16" s="18"/>
      <c r="AQ16" s="18"/>
      <c r="AR16" s="18">
        <v>2</v>
      </c>
      <c r="AS16" s="18">
        <v>3</v>
      </c>
      <c r="AT16" s="18">
        <v>1</v>
      </c>
      <c r="AU16" s="18">
        <v>3</v>
      </c>
      <c r="AV16" s="18">
        <v>2</v>
      </c>
      <c r="AW16" s="18">
        <v>11</v>
      </c>
      <c r="AX16" s="49">
        <f t="shared" si="0"/>
        <v>0</v>
      </c>
      <c r="AY16" s="49">
        <f>VLOOKUP(AI16,Leyenda!$B$4:$E$10,4,FALSE)</f>
        <v>1</v>
      </c>
      <c r="AZ16" s="50">
        <f t="shared" si="4"/>
        <v>6</v>
      </c>
      <c r="BA16" s="49">
        <v>11</v>
      </c>
      <c r="BB16" s="49">
        <v>10</v>
      </c>
      <c r="BC16" s="67">
        <v>16.5</v>
      </c>
      <c r="BD16" s="67">
        <f>VLOOKUP(AI16,Leyenda!$B$4:$E$10,4,FALSE)</f>
        <v>1</v>
      </c>
      <c r="BE16" s="67">
        <v>5</v>
      </c>
      <c r="BF16" s="67">
        <f t="shared" si="1"/>
        <v>0</v>
      </c>
      <c r="BG16" s="67">
        <v>1</v>
      </c>
      <c r="BH16" s="67">
        <v>3</v>
      </c>
      <c r="BI16" s="67">
        <v>2</v>
      </c>
      <c r="BJ16" s="67">
        <v>3</v>
      </c>
      <c r="BK16" s="67">
        <v>3</v>
      </c>
      <c r="BL16" s="67">
        <v>10</v>
      </c>
      <c r="BM16" s="125">
        <f t="shared" si="2"/>
        <v>28</v>
      </c>
      <c r="BN16" s="85">
        <f t="shared" si="3"/>
        <v>28</v>
      </c>
      <c r="BQ16" s="145"/>
      <c r="BR16" s="148" t="s">
        <v>314</v>
      </c>
      <c r="BS16" s="148">
        <v>1.2308181538325018</v>
      </c>
      <c r="BT16" s="147"/>
      <c r="CG16" t="s">
        <v>64</v>
      </c>
      <c r="CH16">
        <v>3</v>
      </c>
      <c r="CI16">
        <v>23</v>
      </c>
      <c r="CJ16" s="55">
        <v>1</v>
      </c>
      <c r="CK16">
        <v>3</v>
      </c>
      <c r="CL16">
        <v>23</v>
      </c>
      <c r="CM16" s="55">
        <v>1</v>
      </c>
      <c r="CN16" s="42">
        <f t="shared" si="5"/>
        <v>0.27710843373493976</v>
      </c>
      <c r="CS16" t="s">
        <v>92</v>
      </c>
      <c r="CT16">
        <v>3</v>
      </c>
      <c r="CU16">
        <v>13</v>
      </c>
      <c r="CV16" s="55">
        <v>1</v>
      </c>
      <c r="CW16">
        <v>3</v>
      </c>
      <c r="CX16">
        <v>13</v>
      </c>
      <c r="CY16" s="55">
        <v>1</v>
      </c>
      <c r="CZ16" s="42">
        <f t="shared" si="6"/>
        <v>0.15662650602409639</v>
      </c>
      <c r="DH16" s="14" t="s">
        <v>639</v>
      </c>
      <c r="DI16">
        <v>13</v>
      </c>
      <c r="DJ16">
        <v>0</v>
      </c>
      <c r="DK16" s="55">
        <v>0.75</v>
      </c>
      <c r="DL16">
        <v>20</v>
      </c>
      <c r="DM16">
        <v>1</v>
      </c>
      <c r="DN16" s="55">
        <v>1</v>
      </c>
      <c r="DO16" s="42">
        <f t="shared" si="7"/>
        <v>0</v>
      </c>
      <c r="DR16" t="s">
        <v>107</v>
      </c>
      <c r="DS16">
        <v>3</v>
      </c>
      <c r="DT16">
        <v>63</v>
      </c>
      <c r="DU16" s="55">
        <v>1</v>
      </c>
      <c r="DV16">
        <v>0</v>
      </c>
      <c r="DW16">
        <v>0</v>
      </c>
      <c r="DX16" s="55">
        <v>1</v>
      </c>
      <c r="DY16" s="42">
        <f t="shared" si="8"/>
        <v>0.75903614457831325</v>
      </c>
      <c r="ED16" t="s">
        <v>118</v>
      </c>
      <c r="EE16">
        <v>3</v>
      </c>
      <c r="EF16">
        <v>0</v>
      </c>
      <c r="EG16" s="55">
        <v>1</v>
      </c>
      <c r="EH16">
        <v>3</v>
      </c>
      <c r="EI16">
        <v>0</v>
      </c>
      <c r="EJ16" s="55">
        <v>1</v>
      </c>
      <c r="EK16" s="42">
        <f t="shared" si="9"/>
        <v>0</v>
      </c>
      <c r="EQ16" t="s">
        <v>77</v>
      </c>
      <c r="ER16">
        <v>3</v>
      </c>
      <c r="ES16">
        <v>6</v>
      </c>
      <c r="ET16" s="55">
        <v>1</v>
      </c>
      <c r="EU16">
        <v>3</v>
      </c>
      <c r="EV16">
        <v>6</v>
      </c>
      <c r="EW16" s="55">
        <v>1</v>
      </c>
      <c r="EX16" s="42">
        <f t="shared" si="10"/>
        <v>7.2289156626506021E-2</v>
      </c>
    </row>
    <row r="17" spans="1:154" x14ac:dyDescent="0.25">
      <c r="A17" s="18" t="s">
        <v>6</v>
      </c>
      <c r="B17" s="18">
        <v>2024</v>
      </c>
      <c r="C17" s="18" t="s">
        <v>138</v>
      </c>
      <c r="D17" s="18" t="s">
        <v>130</v>
      </c>
      <c r="E17" s="18">
        <v>20</v>
      </c>
      <c r="F17" s="18">
        <v>30</v>
      </c>
      <c r="G17" s="18" t="s">
        <v>156</v>
      </c>
      <c r="H17" s="18"/>
      <c r="I17" s="18" t="s">
        <v>182</v>
      </c>
      <c r="J17" s="4">
        <v>42</v>
      </c>
      <c r="K17" s="4">
        <v>42.5</v>
      </c>
      <c r="L17" s="4">
        <v>0.5</v>
      </c>
      <c r="M17" s="5">
        <v>1</v>
      </c>
      <c r="N17" s="31">
        <v>0.5</v>
      </c>
      <c r="O17" s="31">
        <v>0.5</v>
      </c>
      <c r="P17" s="31">
        <v>500</v>
      </c>
      <c r="Q17" s="31">
        <v>1</v>
      </c>
      <c r="R17" s="31">
        <v>0.33</v>
      </c>
      <c r="S17" s="31">
        <v>0.21</v>
      </c>
      <c r="T17" s="65">
        <v>42</v>
      </c>
      <c r="U17" s="31">
        <v>3</v>
      </c>
      <c r="V17" s="31"/>
      <c r="W17" s="31">
        <v>3</v>
      </c>
      <c r="X17" s="85">
        <v>110</v>
      </c>
      <c r="Y17" s="18">
        <v>42</v>
      </c>
      <c r="Z17" s="18" t="s">
        <v>330</v>
      </c>
      <c r="AA17" s="18" t="s">
        <v>116</v>
      </c>
      <c r="AB17" s="18" t="s">
        <v>334</v>
      </c>
      <c r="AC17" s="18">
        <v>1</v>
      </c>
      <c r="AD17" s="18">
        <v>500</v>
      </c>
      <c r="AE17" s="18" t="s">
        <v>27</v>
      </c>
      <c r="AF17" s="18" t="s">
        <v>32</v>
      </c>
      <c r="AG17" s="18" t="s">
        <v>32</v>
      </c>
      <c r="AH17" s="18">
        <v>8.6999999999999993</v>
      </c>
      <c r="AI17" s="18" t="s">
        <v>32</v>
      </c>
      <c r="AJ17" s="18" t="s">
        <v>64</v>
      </c>
      <c r="AK17" s="18" t="s">
        <v>79</v>
      </c>
      <c r="AL17" s="18" t="s">
        <v>96</v>
      </c>
      <c r="AM17" s="18" t="s">
        <v>107</v>
      </c>
      <c r="AN17" s="18" t="s">
        <v>120</v>
      </c>
      <c r="AO17" s="18" t="s">
        <v>198</v>
      </c>
      <c r="AP17" s="18"/>
      <c r="AQ17" s="18"/>
      <c r="AR17" s="18">
        <v>2</v>
      </c>
      <c r="AS17" s="18">
        <v>1</v>
      </c>
      <c r="AT17" s="18">
        <v>1</v>
      </c>
      <c r="AU17" s="18">
        <v>3</v>
      </c>
      <c r="AV17" s="18">
        <v>2</v>
      </c>
      <c r="AW17" s="18">
        <v>9</v>
      </c>
      <c r="AX17" s="49">
        <f t="shared" si="0"/>
        <v>9</v>
      </c>
      <c r="AY17" s="49">
        <f>VLOOKUP(AI17,Leyenda!$B$4:$E$10,4,FALSE)</f>
        <v>1</v>
      </c>
      <c r="AZ17" s="50">
        <f t="shared" si="4"/>
        <v>7</v>
      </c>
      <c r="BA17" s="49">
        <v>9</v>
      </c>
      <c r="BB17" s="49">
        <v>10</v>
      </c>
      <c r="BC17" s="67">
        <v>34.5</v>
      </c>
      <c r="BD17" s="67">
        <f>VLOOKUP(AI17,Leyenda!$B$4:$E$10,4,FALSE)</f>
        <v>1</v>
      </c>
      <c r="BE17" s="67">
        <v>9</v>
      </c>
      <c r="BF17" s="67">
        <f t="shared" si="1"/>
        <v>9</v>
      </c>
      <c r="BG17" s="67">
        <v>1</v>
      </c>
      <c r="BH17" s="67">
        <v>3</v>
      </c>
      <c r="BI17" s="67">
        <v>2</v>
      </c>
      <c r="BJ17" s="67">
        <v>1</v>
      </c>
      <c r="BK17" s="67">
        <v>3</v>
      </c>
      <c r="BL17" s="67">
        <v>10</v>
      </c>
      <c r="BM17" s="125">
        <f t="shared" si="2"/>
        <v>39</v>
      </c>
      <c r="BN17" s="85">
        <f t="shared" si="3"/>
        <v>36</v>
      </c>
      <c r="BQ17" s="145"/>
      <c r="BR17" s="148" t="s">
        <v>315</v>
      </c>
      <c r="BS17" s="148">
        <v>26</v>
      </c>
      <c r="BT17" s="147"/>
      <c r="CG17" t="s">
        <v>62</v>
      </c>
      <c r="CH17">
        <v>4</v>
      </c>
      <c r="CI17">
        <v>0</v>
      </c>
      <c r="CJ17" s="55">
        <v>1</v>
      </c>
      <c r="CK17">
        <v>4</v>
      </c>
      <c r="CL17">
        <v>0</v>
      </c>
      <c r="CM17" s="55">
        <v>1</v>
      </c>
      <c r="CN17" s="42">
        <f t="shared" si="5"/>
        <v>0</v>
      </c>
      <c r="CS17" t="s">
        <v>88</v>
      </c>
      <c r="CT17">
        <v>4</v>
      </c>
      <c r="CU17">
        <v>0</v>
      </c>
      <c r="CV17" s="55">
        <v>1</v>
      </c>
      <c r="CW17">
        <v>4</v>
      </c>
      <c r="CX17">
        <v>0</v>
      </c>
      <c r="CY17" s="55">
        <v>1</v>
      </c>
      <c r="CZ17" s="42">
        <f t="shared" si="6"/>
        <v>0</v>
      </c>
      <c r="DH17" s="14" t="s">
        <v>640</v>
      </c>
      <c r="DI17">
        <v>17</v>
      </c>
      <c r="DJ17">
        <v>0</v>
      </c>
      <c r="DK17" s="55">
        <v>0.75</v>
      </c>
      <c r="DL17">
        <v>8</v>
      </c>
      <c r="DM17">
        <v>0</v>
      </c>
      <c r="DN17" s="55">
        <v>1</v>
      </c>
      <c r="DO17" s="42">
        <f t="shared" si="7"/>
        <v>0</v>
      </c>
      <c r="DR17" t="s">
        <v>105</v>
      </c>
      <c r="DS17">
        <v>4</v>
      </c>
      <c r="DT17">
        <v>0</v>
      </c>
      <c r="DU17" s="55">
        <v>1</v>
      </c>
      <c r="DV17">
        <v>4</v>
      </c>
      <c r="DW17">
        <v>0</v>
      </c>
      <c r="DX17" s="55">
        <v>1</v>
      </c>
      <c r="DY17" s="42">
        <f t="shared" si="8"/>
        <v>0</v>
      </c>
      <c r="ED17" t="s">
        <v>116</v>
      </c>
      <c r="EE17">
        <v>4</v>
      </c>
      <c r="EF17">
        <v>0</v>
      </c>
      <c r="EG17" s="55">
        <v>1</v>
      </c>
      <c r="EH17">
        <v>4</v>
      </c>
      <c r="EI17">
        <v>0</v>
      </c>
      <c r="EJ17" s="55">
        <v>1</v>
      </c>
      <c r="EK17" s="42">
        <f t="shared" si="9"/>
        <v>0</v>
      </c>
      <c r="EQ17" t="s">
        <v>75</v>
      </c>
      <c r="ER17">
        <v>4</v>
      </c>
      <c r="ES17">
        <v>0</v>
      </c>
      <c r="ET17" s="55">
        <v>1</v>
      </c>
      <c r="EU17">
        <v>4</v>
      </c>
      <c r="EV17">
        <v>0</v>
      </c>
      <c r="EW17" s="55">
        <v>1</v>
      </c>
      <c r="EX17" s="42">
        <f t="shared" si="10"/>
        <v>0</v>
      </c>
    </row>
    <row r="18" spans="1:154" x14ac:dyDescent="0.25">
      <c r="A18" s="18" t="s">
        <v>6</v>
      </c>
      <c r="B18" s="18">
        <v>2024</v>
      </c>
      <c r="C18" s="18" t="s">
        <v>138</v>
      </c>
      <c r="D18" s="18" t="s">
        <v>130</v>
      </c>
      <c r="E18" s="18">
        <v>20</v>
      </c>
      <c r="F18" s="18">
        <v>30</v>
      </c>
      <c r="G18" s="18" t="s">
        <v>156</v>
      </c>
      <c r="H18" s="18"/>
      <c r="I18" s="18" t="s">
        <v>183</v>
      </c>
      <c r="J18" s="4">
        <v>42.5</v>
      </c>
      <c r="K18" s="4">
        <v>43</v>
      </c>
      <c r="L18" s="4">
        <v>0.5</v>
      </c>
      <c r="M18" s="5">
        <v>1</v>
      </c>
      <c r="N18" s="31">
        <v>0.5</v>
      </c>
      <c r="O18" s="31">
        <v>0.5</v>
      </c>
      <c r="P18" s="31">
        <v>25</v>
      </c>
      <c r="Q18" s="31">
        <v>20</v>
      </c>
      <c r="R18" s="31">
        <v>0.46</v>
      </c>
      <c r="S18" s="31">
        <v>0.12</v>
      </c>
      <c r="T18" s="65">
        <v>24</v>
      </c>
      <c r="U18" s="31">
        <v>8</v>
      </c>
      <c r="V18" s="31"/>
      <c r="W18" s="31">
        <v>8</v>
      </c>
      <c r="X18" s="85">
        <v>57.5</v>
      </c>
      <c r="Y18" s="18">
        <v>0</v>
      </c>
      <c r="Z18" s="18" t="s">
        <v>330</v>
      </c>
      <c r="AA18" s="18" t="s">
        <v>333</v>
      </c>
      <c r="AB18" s="18" t="s">
        <v>335</v>
      </c>
      <c r="AC18" s="18">
        <v>20</v>
      </c>
      <c r="AD18" s="18">
        <v>25</v>
      </c>
      <c r="AE18" s="18" t="s">
        <v>34</v>
      </c>
      <c r="AF18" s="18" t="s">
        <v>34</v>
      </c>
      <c r="AG18" s="18" t="s">
        <v>34</v>
      </c>
      <c r="AH18" s="18">
        <v>8.6999999999999993</v>
      </c>
      <c r="AI18" s="18" t="s">
        <v>32</v>
      </c>
      <c r="AJ18" s="18" t="s">
        <v>66</v>
      </c>
      <c r="AK18" s="18" t="s">
        <v>79</v>
      </c>
      <c r="AL18" s="18" t="s">
        <v>96</v>
      </c>
      <c r="AM18" s="18" t="s">
        <v>109</v>
      </c>
      <c r="AN18" s="18" t="s">
        <v>122</v>
      </c>
      <c r="AO18" s="18" t="s">
        <v>198</v>
      </c>
      <c r="AP18" s="18" t="s">
        <v>263</v>
      </c>
      <c r="AQ18" s="18"/>
      <c r="AR18" s="18">
        <v>1</v>
      </c>
      <c r="AS18" s="18">
        <v>1</v>
      </c>
      <c r="AT18" s="18">
        <v>1</v>
      </c>
      <c r="AU18" s="18">
        <v>1</v>
      </c>
      <c r="AV18" s="18">
        <v>0</v>
      </c>
      <c r="AW18" s="18">
        <v>4</v>
      </c>
      <c r="AX18" s="49">
        <f t="shared" si="0"/>
        <v>5</v>
      </c>
      <c r="AY18" s="49">
        <f>VLOOKUP(AI18,Leyenda!$B$4:$E$10,4,FALSE)</f>
        <v>1</v>
      </c>
      <c r="AZ18" s="50">
        <f t="shared" si="4"/>
        <v>6</v>
      </c>
      <c r="BA18" s="49">
        <v>4</v>
      </c>
      <c r="BB18" s="49">
        <v>10</v>
      </c>
      <c r="BC18" s="67">
        <v>18</v>
      </c>
      <c r="BD18" s="67">
        <f>VLOOKUP(AI18,Leyenda!$B$4:$E$10,4,FALSE)</f>
        <v>1</v>
      </c>
      <c r="BE18" s="67">
        <v>5</v>
      </c>
      <c r="BF18" s="67">
        <f t="shared" si="1"/>
        <v>5</v>
      </c>
      <c r="BG18" s="67">
        <v>1</v>
      </c>
      <c r="BH18" s="67">
        <v>1</v>
      </c>
      <c r="BI18" s="67">
        <v>0</v>
      </c>
      <c r="BJ18" s="67">
        <v>1</v>
      </c>
      <c r="BK18" s="67">
        <v>1</v>
      </c>
      <c r="BL18" s="67">
        <v>10</v>
      </c>
      <c r="BM18" s="125">
        <f t="shared" si="2"/>
        <v>25</v>
      </c>
      <c r="BN18" s="85">
        <f t="shared" si="3"/>
        <v>26</v>
      </c>
      <c r="BQ18" s="145"/>
      <c r="BR18" s="148" t="s">
        <v>316</v>
      </c>
      <c r="BS18" s="148">
        <v>17</v>
      </c>
      <c r="BT18" s="147"/>
      <c r="CG18" t="s">
        <v>60</v>
      </c>
      <c r="CH18">
        <v>5</v>
      </c>
      <c r="CI18">
        <v>0</v>
      </c>
      <c r="CJ18" s="55">
        <v>1</v>
      </c>
      <c r="CK18">
        <v>5</v>
      </c>
      <c r="CL18">
        <v>0</v>
      </c>
      <c r="CM18" s="55">
        <v>1</v>
      </c>
      <c r="CN18" s="42">
        <f t="shared" si="5"/>
        <v>0</v>
      </c>
      <c r="CS18" t="s">
        <v>85</v>
      </c>
      <c r="CT18">
        <v>5</v>
      </c>
      <c r="CU18">
        <v>0</v>
      </c>
      <c r="CV18" s="55">
        <v>1</v>
      </c>
      <c r="CW18">
        <v>5</v>
      </c>
      <c r="CX18">
        <v>0</v>
      </c>
      <c r="CY18" s="55">
        <v>1</v>
      </c>
      <c r="CZ18" s="42">
        <f t="shared" si="6"/>
        <v>0</v>
      </c>
      <c r="DH18" s="14" t="s">
        <v>641</v>
      </c>
      <c r="DI18">
        <v>20</v>
      </c>
      <c r="DJ18">
        <v>1</v>
      </c>
      <c r="DK18" s="55">
        <v>0.76190476190476186</v>
      </c>
      <c r="DL18">
        <v>13</v>
      </c>
      <c r="DM18">
        <v>0</v>
      </c>
      <c r="DN18" s="55">
        <v>1</v>
      </c>
      <c r="DO18" s="42">
        <f t="shared" si="7"/>
        <v>1.5625E-2</v>
      </c>
      <c r="DR18" t="s">
        <v>103</v>
      </c>
      <c r="DS18">
        <v>5</v>
      </c>
      <c r="DT18">
        <v>0</v>
      </c>
      <c r="DU18" s="55">
        <v>1</v>
      </c>
      <c r="DV18">
        <v>5</v>
      </c>
      <c r="DW18">
        <v>0</v>
      </c>
      <c r="DX18" s="55">
        <v>1</v>
      </c>
      <c r="DY18" s="42">
        <f t="shared" si="8"/>
        <v>0</v>
      </c>
      <c r="ED18" t="s">
        <v>114</v>
      </c>
      <c r="EE18">
        <v>5</v>
      </c>
      <c r="EF18">
        <v>0</v>
      </c>
      <c r="EG18" s="55">
        <v>1</v>
      </c>
      <c r="EH18">
        <v>5</v>
      </c>
      <c r="EI18">
        <v>0</v>
      </c>
      <c r="EJ18" s="55">
        <v>1</v>
      </c>
      <c r="EK18" s="42">
        <f t="shared" si="9"/>
        <v>0</v>
      </c>
      <c r="EQ18" t="s">
        <v>73</v>
      </c>
      <c r="ER18">
        <v>5</v>
      </c>
      <c r="ES18">
        <v>0</v>
      </c>
      <c r="ET18" s="55">
        <v>1</v>
      </c>
      <c r="EU18">
        <v>5</v>
      </c>
      <c r="EV18">
        <v>0</v>
      </c>
      <c r="EW18" s="55">
        <v>1</v>
      </c>
      <c r="EX18" s="42">
        <f t="shared" si="10"/>
        <v>0</v>
      </c>
    </row>
    <row r="19" spans="1:154" ht="15.75" thickBot="1" x14ac:dyDescent="0.3">
      <c r="A19" s="18" t="s">
        <v>6</v>
      </c>
      <c r="B19" s="18">
        <v>2024</v>
      </c>
      <c r="C19" s="18" t="s">
        <v>138</v>
      </c>
      <c r="D19" s="18" t="s">
        <v>130</v>
      </c>
      <c r="E19" s="18">
        <v>20</v>
      </c>
      <c r="F19" s="18">
        <v>30</v>
      </c>
      <c r="G19" s="18" t="s">
        <v>156</v>
      </c>
      <c r="H19" s="18"/>
      <c r="I19" s="18" t="s">
        <v>183</v>
      </c>
      <c r="J19" s="4">
        <v>43</v>
      </c>
      <c r="K19" s="4">
        <v>43.5</v>
      </c>
      <c r="L19" s="4">
        <v>0.5</v>
      </c>
      <c r="M19" s="5">
        <v>1</v>
      </c>
      <c r="N19" s="31">
        <v>0.5</v>
      </c>
      <c r="O19" s="31">
        <v>0.5</v>
      </c>
      <c r="P19" s="31">
        <v>25</v>
      </c>
      <c r="Q19" s="31">
        <v>20</v>
      </c>
      <c r="R19" s="31">
        <v>0.43</v>
      </c>
      <c r="S19" s="31">
        <v>0.11</v>
      </c>
      <c r="T19" s="65">
        <v>22</v>
      </c>
      <c r="U19" s="31">
        <v>7</v>
      </c>
      <c r="V19" s="31"/>
      <c r="W19" s="31">
        <v>7</v>
      </c>
      <c r="X19" s="85">
        <v>61.428571428571431</v>
      </c>
      <c r="Y19" s="18">
        <v>0</v>
      </c>
      <c r="Z19" s="18" t="s">
        <v>330</v>
      </c>
      <c r="AA19" s="18" t="s">
        <v>333</v>
      </c>
      <c r="AB19" s="18" t="s">
        <v>335</v>
      </c>
      <c r="AC19" s="18">
        <v>20</v>
      </c>
      <c r="AD19" s="18">
        <v>25</v>
      </c>
      <c r="AE19" s="18" t="s">
        <v>34</v>
      </c>
      <c r="AF19" s="18" t="s">
        <v>34</v>
      </c>
      <c r="AG19" s="18" t="s">
        <v>34</v>
      </c>
      <c r="AH19" s="18">
        <v>8.6999999999999993</v>
      </c>
      <c r="AI19" s="18" t="s">
        <v>32</v>
      </c>
      <c r="AJ19" s="18" t="s">
        <v>66</v>
      </c>
      <c r="AK19" s="18" t="s">
        <v>79</v>
      </c>
      <c r="AL19" s="18" t="s">
        <v>100</v>
      </c>
      <c r="AM19" s="18" t="s">
        <v>109</v>
      </c>
      <c r="AN19" s="18" t="s">
        <v>122</v>
      </c>
      <c r="AO19" s="18" t="s">
        <v>198</v>
      </c>
      <c r="AP19" s="18"/>
      <c r="AQ19" s="18"/>
      <c r="AR19" s="18">
        <v>1</v>
      </c>
      <c r="AS19" s="18">
        <v>1</v>
      </c>
      <c r="AT19" s="18">
        <v>0</v>
      </c>
      <c r="AU19" s="18">
        <v>1</v>
      </c>
      <c r="AV19" s="18">
        <v>0</v>
      </c>
      <c r="AW19" s="18">
        <v>3</v>
      </c>
      <c r="AX19" s="49">
        <f t="shared" si="0"/>
        <v>5</v>
      </c>
      <c r="AY19" s="49">
        <f>VLOOKUP(AI19,Leyenda!$B$4:$E$10,4,FALSE)</f>
        <v>1</v>
      </c>
      <c r="AZ19" s="50">
        <f t="shared" si="4"/>
        <v>6</v>
      </c>
      <c r="BA19" s="49">
        <v>3</v>
      </c>
      <c r="BB19" s="49">
        <v>10</v>
      </c>
      <c r="BC19" s="67">
        <v>15.5</v>
      </c>
      <c r="BD19" s="67">
        <f>VLOOKUP(AI19,Leyenda!$B$4:$E$10,4,FALSE)</f>
        <v>1</v>
      </c>
      <c r="BE19" s="67">
        <v>5</v>
      </c>
      <c r="BF19" s="67">
        <f t="shared" si="1"/>
        <v>5</v>
      </c>
      <c r="BG19" s="67">
        <v>0</v>
      </c>
      <c r="BH19" s="67">
        <v>1</v>
      </c>
      <c r="BI19" s="67">
        <v>0</v>
      </c>
      <c r="BJ19" s="67">
        <v>1</v>
      </c>
      <c r="BK19" s="67">
        <v>1</v>
      </c>
      <c r="BL19" s="67">
        <v>10</v>
      </c>
      <c r="BM19" s="125">
        <f t="shared" si="2"/>
        <v>24</v>
      </c>
      <c r="BN19" s="85">
        <f t="shared" si="3"/>
        <v>25</v>
      </c>
      <c r="BQ19" s="145"/>
      <c r="BR19" s="148" t="s">
        <v>317</v>
      </c>
      <c r="BS19" s="148">
        <v>43</v>
      </c>
      <c r="BT19" s="147"/>
      <c r="CH19" s="57" t="s">
        <v>581</v>
      </c>
      <c r="CI19" s="57">
        <v>0</v>
      </c>
      <c r="CJ19" s="95">
        <v>1</v>
      </c>
      <c r="CK19" s="57" t="s">
        <v>581</v>
      </c>
      <c r="CL19" s="57">
        <v>0</v>
      </c>
      <c r="CM19" s="95">
        <v>1</v>
      </c>
      <c r="CT19" s="57" t="s">
        <v>581</v>
      </c>
      <c r="CU19" s="57">
        <v>0</v>
      </c>
      <c r="CV19" s="95">
        <v>1</v>
      </c>
      <c r="CW19" s="57" t="s">
        <v>581</v>
      </c>
      <c r="CX19" s="57">
        <v>0</v>
      </c>
      <c r="CY19" s="95">
        <v>1</v>
      </c>
      <c r="DI19" s="57" t="s">
        <v>581</v>
      </c>
      <c r="DJ19" s="57">
        <v>20</v>
      </c>
      <c r="DK19" s="95">
        <v>1</v>
      </c>
      <c r="DL19" s="57">
        <v>17</v>
      </c>
      <c r="DM19" s="57">
        <v>0</v>
      </c>
      <c r="DN19" s="95">
        <v>1</v>
      </c>
      <c r="DS19" s="57" t="s">
        <v>581</v>
      </c>
      <c r="DT19" s="57">
        <v>0</v>
      </c>
      <c r="DU19" s="95">
        <v>1</v>
      </c>
      <c r="DV19" s="57" t="s">
        <v>581</v>
      </c>
      <c r="DW19" s="57">
        <v>0</v>
      </c>
      <c r="DX19" s="95">
        <v>1</v>
      </c>
      <c r="EE19" s="57" t="s">
        <v>581</v>
      </c>
      <c r="EF19" s="57">
        <v>0</v>
      </c>
      <c r="EG19" s="95">
        <v>1</v>
      </c>
      <c r="EH19" s="57" t="s">
        <v>581</v>
      </c>
      <c r="EI19" s="57">
        <v>0</v>
      </c>
      <c r="EJ19" s="95">
        <v>1</v>
      </c>
      <c r="ER19" s="57" t="s">
        <v>581</v>
      </c>
      <c r="ES19" s="57">
        <v>0</v>
      </c>
      <c r="ET19" s="95">
        <v>1</v>
      </c>
      <c r="EU19" s="57" t="s">
        <v>581</v>
      </c>
      <c r="EV19" s="57">
        <v>0</v>
      </c>
      <c r="EW19" s="95">
        <v>1</v>
      </c>
    </row>
    <row r="20" spans="1:154" x14ac:dyDescent="0.25">
      <c r="A20" s="18" t="s">
        <v>6</v>
      </c>
      <c r="B20" s="18">
        <v>2024</v>
      </c>
      <c r="C20" s="18" t="s">
        <v>138</v>
      </c>
      <c r="D20" s="18" t="s">
        <v>130</v>
      </c>
      <c r="E20" s="18">
        <v>20</v>
      </c>
      <c r="F20" s="18">
        <v>30</v>
      </c>
      <c r="G20" s="18" t="s">
        <v>156</v>
      </c>
      <c r="H20" s="18"/>
      <c r="I20" s="18" t="s">
        <v>184</v>
      </c>
      <c r="J20" s="4">
        <v>43.5</v>
      </c>
      <c r="K20" s="4">
        <v>44</v>
      </c>
      <c r="L20" s="4">
        <v>0.5</v>
      </c>
      <c r="M20" s="5">
        <v>0.6</v>
      </c>
      <c r="N20" s="31">
        <v>0.3</v>
      </c>
      <c r="O20" s="31">
        <v>0.3</v>
      </c>
      <c r="P20" s="31">
        <v>15</v>
      </c>
      <c r="Q20" s="31">
        <v>20</v>
      </c>
      <c r="R20" s="31">
        <v>0.28999999999999998</v>
      </c>
      <c r="S20" s="31">
        <v>0</v>
      </c>
      <c r="T20" s="65">
        <v>0</v>
      </c>
      <c r="U20" s="31">
        <v>7</v>
      </c>
      <c r="V20" s="31"/>
      <c r="W20" s="31">
        <v>7</v>
      </c>
      <c r="X20" s="85">
        <v>41.428571428571431</v>
      </c>
      <c r="Y20" s="18">
        <v>0</v>
      </c>
      <c r="Z20" s="18" t="s">
        <v>330</v>
      </c>
      <c r="AA20" s="18" t="s">
        <v>333</v>
      </c>
      <c r="AB20" s="18" t="s">
        <v>335</v>
      </c>
      <c r="AC20" s="18">
        <v>20</v>
      </c>
      <c r="AD20" s="18">
        <v>15</v>
      </c>
      <c r="AE20" s="18" t="s">
        <v>34</v>
      </c>
      <c r="AF20" s="18" t="s">
        <v>34</v>
      </c>
      <c r="AG20" s="18" t="s">
        <v>34</v>
      </c>
      <c r="AH20" s="18">
        <v>8.6999999999999993</v>
      </c>
      <c r="AI20" s="18" t="s">
        <v>32</v>
      </c>
      <c r="AJ20" s="18" t="s">
        <v>69</v>
      </c>
      <c r="AK20" s="18" t="s">
        <v>81</v>
      </c>
      <c r="AL20" s="18" t="s">
        <v>100</v>
      </c>
      <c r="AM20" s="18" t="s">
        <v>109</v>
      </c>
      <c r="AN20" s="18" t="s">
        <v>120</v>
      </c>
      <c r="AO20" s="18" t="s">
        <v>198</v>
      </c>
      <c r="AP20" s="18" t="s">
        <v>231</v>
      </c>
      <c r="AQ20" s="18"/>
      <c r="AR20" s="18">
        <v>0</v>
      </c>
      <c r="AS20" s="18">
        <v>0</v>
      </c>
      <c r="AT20" s="18">
        <v>0</v>
      </c>
      <c r="AU20" s="18">
        <v>1</v>
      </c>
      <c r="AV20" s="18">
        <v>2</v>
      </c>
      <c r="AW20" s="18">
        <v>3</v>
      </c>
      <c r="AX20" s="49">
        <f t="shared" si="0"/>
        <v>0</v>
      </c>
      <c r="AY20" s="49">
        <f>VLOOKUP(AI20,Leyenda!$B$4:$E$10,4,FALSE)</f>
        <v>1</v>
      </c>
      <c r="AZ20" s="50">
        <f t="shared" si="4"/>
        <v>5</v>
      </c>
      <c r="BA20" s="49">
        <v>3</v>
      </c>
      <c r="BB20" s="49">
        <v>10</v>
      </c>
      <c r="BC20" s="67">
        <v>4.5</v>
      </c>
      <c r="BD20" s="67">
        <f>VLOOKUP(AI20,Leyenda!$B$4:$E$10,4,FALSE)</f>
        <v>1</v>
      </c>
      <c r="BE20" s="67">
        <v>5</v>
      </c>
      <c r="BF20" s="67">
        <f t="shared" si="1"/>
        <v>0</v>
      </c>
      <c r="BG20" s="67">
        <v>0</v>
      </c>
      <c r="BH20" s="67">
        <v>1</v>
      </c>
      <c r="BI20" s="67">
        <v>2</v>
      </c>
      <c r="BJ20" s="67">
        <v>0</v>
      </c>
      <c r="BK20" s="67">
        <v>0</v>
      </c>
      <c r="BL20" s="67">
        <v>10</v>
      </c>
      <c r="BM20" s="125">
        <f t="shared" si="2"/>
        <v>19</v>
      </c>
      <c r="BN20" s="85">
        <f t="shared" si="3"/>
        <v>19</v>
      </c>
      <c r="BQ20" s="145"/>
      <c r="BR20" s="148" t="s">
        <v>318</v>
      </c>
      <c r="BS20" s="148">
        <v>2130</v>
      </c>
      <c r="BT20" s="147"/>
      <c r="CI20">
        <f>+SUM(CI14:CI18)</f>
        <v>83</v>
      </c>
      <c r="CU20">
        <f>+SUM(CU14:CU18)</f>
        <v>83</v>
      </c>
      <c r="DJ20">
        <f>+SUM(DJ14:DJ18)</f>
        <v>64</v>
      </c>
      <c r="DT20">
        <f>+SUM(DT14:DT18)</f>
        <v>83</v>
      </c>
      <c r="EF20">
        <f>+SUM(EF14:EF18)</f>
        <v>83</v>
      </c>
      <c r="ES20">
        <f>+SUM(ES14:ES18)</f>
        <v>83</v>
      </c>
    </row>
    <row r="21" spans="1:154" x14ac:dyDescent="0.25">
      <c r="A21" s="18" t="s">
        <v>6</v>
      </c>
      <c r="B21" s="18">
        <v>2024</v>
      </c>
      <c r="C21" s="18" t="s">
        <v>138</v>
      </c>
      <c r="D21" s="18" t="s">
        <v>130</v>
      </c>
      <c r="E21" s="18">
        <v>20</v>
      </c>
      <c r="F21" s="18">
        <v>30</v>
      </c>
      <c r="G21" s="18" t="s">
        <v>156</v>
      </c>
      <c r="H21" s="18"/>
      <c r="I21" s="18" t="s">
        <v>184</v>
      </c>
      <c r="J21" s="4">
        <v>44</v>
      </c>
      <c r="K21" s="4">
        <v>44.5</v>
      </c>
      <c r="L21" s="4">
        <v>0.5</v>
      </c>
      <c r="M21" s="5">
        <v>0.78</v>
      </c>
      <c r="N21" s="31">
        <v>0.39</v>
      </c>
      <c r="O21" s="31">
        <v>0.39</v>
      </c>
      <c r="P21" s="31">
        <v>19.5</v>
      </c>
      <c r="Q21" s="31">
        <v>20</v>
      </c>
      <c r="R21" s="31">
        <v>0.39</v>
      </c>
      <c r="S21" s="31">
        <v>0</v>
      </c>
      <c r="T21" s="65">
        <v>0</v>
      </c>
      <c r="U21" s="132">
        <v>7</v>
      </c>
      <c r="V21" s="31"/>
      <c r="W21" s="31">
        <v>7</v>
      </c>
      <c r="X21" s="85">
        <v>55.714285714285715</v>
      </c>
      <c r="Y21" s="18">
        <v>0</v>
      </c>
      <c r="Z21" s="18" t="s">
        <v>330</v>
      </c>
      <c r="AA21" s="18" t="s">
        <v>333</v>
      </c>
      <c r="AB21" s="18" t="s">
        <v>335</v>
      </c>
      <c r="AC21" s="18">
        <v>20</v>
      </c>
      <c r="AD21" s="18">
        <v>19.5</v>
      </c>
      <c r="AE21" s="18" t="s">
        <v>34</v>
      </c>
      <c r="AF21" s="18" t="s">
        <v>34</v>
      </c>
      <c r="AG21" s="131" t="s">
        <v>34</v>
      </c>
      <c r="AH21" s="18">
        <v>8.6999999999999993</v>
      </c>
      <c r="AI21" s="18" t="s">
        <v>32</v>
      </c>
      <c r="AJ21" s="18" t="s">
        <v>69</v>
      </c>
      <c r="AK21" s="18" t="s">
        <v>81</v>
      </c>
      <c r="AL21" s="18" t="s">
        <v>100</v>
      </c>
      <c r="AM21" s="18" t="s">
        <v>109</v>
      </c>
      <c r="AN21" s="18" t="s">
        <v>120</v>
      </c>
      <c r="AO21" s="18" t="s">
        <v>198</v>
      </c>
      <c r="AP21" s="18" t="s">
        <v>231</v>
      </c>
      <c r="AQ21" s="18"/>
      <c r="AR21" s="18">
        <v>0</v>
      </c>
      <c r="AS21" s="18">
        <v>0</v>
      </c>
      <c r="AT21" s="18">
        <v>0</v>
      </c>
      <c r="AU21" s="18">
        <v>1</v>
      </c>
      <c r="AV21" s="18">
        <v>2</v>
      </c>
      <c r="AW21" s="18">
        <v>3</v>
      </c>
      <c r="AX21" s="49">
        <f t="shared" si="0"/>
        <v>0</v>
      </c>
      <c r="AY21" s="49">
        <f>VLOOKUP(AI21,Leyenda!$B$4:$E$10,4,FALSE)</f>
        <v>1</v>
      </c>
      <c r="AZ21" s="50">
        <f t="shared" si="4"/>
        <v>6</v>
      </c>
      <c r="BA21" s="49">
        <v>3</v>
      </c>
      <c r="BB21" s="49">
        <v>10</v>
      </c>
      <c r="BC21" s="67">
        <v>4.5</v>
      </c>
      <c r="BD21" s="67">
        <f>VLOOKUP(AI21,Leyenda!$B$4:$E$10,4,FALSE)</f>
        <v>1</v>
      </c>
      <c r="BE21" s="67">
        <v>5</v>
      </c>
      <c r="BF21" s="67">
        <f t="shared" si="1"/>
        <v>0</v>
      </c>
      <c r="BG21" s="67">
        <v>0</v>
      </c>
      <c r="BH21" s="67">
        <v>1</v>
      </c>
      <c r="BI21" s="67">
        <v>2</v>
      </c>
      <c r="BJ21" s="67">
        <v>0</v>
      </c>
      <c r="BK21" s="67">
        <v>0</v>
      </c>
      <c r="BL21" s="67">
        <v>10</v>
      </c>
      <c r="BM21" s="125">
        <f t="shared" si="2"/>
        <v>19</v>
      </c>
      <c r="BN21" s="85">
        <f t="shared" si="3"/>
        <v>20</v>
      </c>
      <c r="BQ21" s="145"/>
      <c r="BR21" s="148" t="s">
        <v>319</v>
      </c>
      <c r="BS21" s="148">
        <v>83</v>
      </c>
      <c r="BT21" s="147"/>
    </row>
    <row r="22" spans="1:154" x14ac:dyDescent="0.25">
      <c r="A22" s="18" t="s">
        <v>6</v>
      </c>
      <c r="B22" s="18">
        <v>2024</v>
      </c>
      <c r="C22" s="18" t="s">
        <v>138</v>
      </c>
      <c r="D22" s="18" t="s">
        <v>130</v>
      </c>
      <c r="E22" s="18">
        <v>20</v>
      </c>
      <c r="F22" s="18">
        <v>30</v>
      </c>
      <c r="G22" s="18" t="s">
        <v>156</v>
      </c>
      <c r="H22" s="18"/>
      <c r="I22" s="18" t="s">
        <v>184</v>
      </c>
      <c r="J22" s="4">
        <v>44.5</v>
      </c>
      <c r="K22" s="4">
        <v>45</v>
      </c>
      <c r="L22" s="4">
        <v>0.5</v>
      </c>
      <c r="M22" s="5">
        <v>0.74</v>
      </c>
      <c r="N22" s="31">
        <v>0.37</v>
      </c>
      <c r="O22" s="31">
        <v>0.37</v>
      </c>
      <c r="P22" s="31">
        <v>18.5</v>
      </c>
      <c r="Q22" s="31">
        <v>20</v>
      </c>
      <c r="R22" s="31">
        <v>0.35</v>
      </c>
      <c r="S22" s="31">
        <v>0</v>
      </c>
      <c r="T22" s="65">
        <v>0</v>
      </c>
      <c r="U22" s="31">
        <v>5</v>
      </c>
      <c r="V22" s="31"/>
      <c r="W22" s="31">
        <v>5</v>
      </c>
      <c r="X22" s="85">
        <v>70</v>
      </c>
      <c r="Y22" s="18">
        <v>0</v>
      </c>
      <c r="Z22" s="18" t="s">
        <v>330</v>
      </c>
      <c r="AA22" s="18" t="s">
        <v>333</v>
      </c>
      <c r="AB22" s="18" t="s">
        <v>335</v>
      </c>
      <c r="AC22" s="18">
        <v>20</v>
      </c>
      <c r="AD22" s="18">
        <v>18.5</v>
      </c>
      <c r="AE22" s="18" t="s">
        <v>34</v>
      </c>
      <c r="AF22" s="18" t="s">
        <v>34</v>
      </c>
      <c r="AG22" s="131" t="s">
        <v>34</v>
      </c>
      <c r="AH22" s="18">
        <v>8.6999999999999993</v>
      </c>
      <c r="AI22" s="18" t="s">
        <v>32</v>
      </c>
      <c r="AJ22" s="18" t="s">
        <v>69</v>
      </c>
      <c r="AK22" s="18" t="s">
        <v>81</v>
      </c>
      <c r="AL22" s="18" t="s">
        <v>100</v>
      </c>
      <c r="AM22" s="18" t="s">
        <v>109</v>
      </c>
      <c r="AN22" s="18" t="s">
        <v>120</v>
      </c>
      <c r="AO22" s="18" t="s">
        <v>198</v>
      </c>
      <c r="AP22" s="18" t="s">
        <v>231</v>
      </c>
      <c r="AQ22" s="18"/>
      <c r="AR22" s="18">
        <v>0</v>
      </c>
      <c r="AS22" s="18">
        <v>0</v>
      </c>
      <c r="AT22" s="18">
        <v>0</v>
      </c>
      <c r="AU22" s="18">
        <v>1</v>
      </c>
      <c r="AV22" s="18">
        <v>2</v>
      </c>
      <c r="AW22" s="18">
        <v>3</v>
      </c>
      <c r="AX22" s="49">
        <f t="shared" si="0"/>
        <v>0</v>
      </c>
      <c r="AY22" s="49">
        <f>VLOOKUP(AI22,Leyenda!$B$4:$E$10,4,FALSE)</f>
        <v>1</v>
      </c>
      <c r="AZ22" s="50">
        <f t="shared" si="4"/>
        <v>6</v>
      </c>
      <c r="BA22" s="49">
        <v>3</v>
      </c>
      <c r="BB22" s="49">
        <v>10</v>
      </c>
      <c r="BC22" s="67">
        <v>4.5</v>
      </c>
      <c r="BD22" s="67">
        <f>VLOOKUP(AI22,Leyenda!$B$4:$E$10,4,FALSE)</f>
        <v>1</v>
      </c>
      <c r="BE22" s="67">
        <v>6</v>
      </c>
      <c r="BF22" s="67">
        <f t="shared" si="1"/>
        <v>0</v>
      </c>
      <c r="BG22" s="67">
        <v>0</v>
      </c>
      <c r="BH22" s="67">
        <v>1</v>
      </c>
      <c r="BI22" s="67">
        <v>2</v>
      </c>
      <c r="BJ22" s="67">
        <v>0</v>
      </c>
      <c r="BK22" s="67">
        <v>0</v>
      </c>
      <c r="BL22" s="67">
        <v>10</v>
      </c>
      <c r="BM22" s="125">
        <f t="shared" si="2"/>
        <v>20</v>
      </c>
      <c r="BN22" s="85">
        <f t="shared" si="3"/>
        <v>20</v>
      </c>
      <c r="BQ22" s="145"/>
      <c r="BR22" s="148" t="s">
        <v>320</v>
      </c>
      <c r="BS22" s="148">
        <v>43</v>
      </c>
      <c r="BT22" s="147"/>
    </row>
    <row r="23" spans="1:154" x14ac:dyDescent="0.25">
      <c r="A23" s="18" t="s">
        <v>6</v>
      </c>
      <c r="B23" s="18">
        <v>2024</v>
      </c>
      <c r="C23" s="18" t="s">
        <v>138</v>
      </c>
      <c r="D23" s="18" t="s">
        <v>130</v>
      </c>
      <c r="E23" s="18">
        <v>20</v>
      </c>
      <c r="F23" s="18">
        <v>30</v>
      </c>
      <c r="G23" s="18" t="s">
        <v>156</v>
      </c>
      <c r="H23" s="18"/>
      <c r="I23" s="18" t="s">
        <v>185</v>
      </c>
      <c r="J23" s="4">
        <v>45</v>
      </c>
      <c r="K23" s="4">
        <v>45.5</v>
      </c>
      <c r="L23" s="4">
        <v>0.5</v>
      </c>
      <c r="M23" s="5">
        <v>0.36</v>
      </c>
      <c r="N23" s="31">
        <v>0.18</v>
      </c>
      <c r="O23" s="31">
        <v>0.18</v>
      </c>
      <c r="P23" s="31">
        <v>9</v>
      </c>
      <c r="Q23" s="31">
        <v>20</v>
      </c>
      <c r="R23" s="31">
        <v>0.18</v>
      </c>
      <c r="S23" s="31">
        <v>0</v>
      </c>
      <c r="T23" s="65">
        <v>0</v>
      </c>
      <c r="U23" s="31">
        <v>5</v>
      </c>
      <c r="V23" s="31"/>
      <c r="W23" s="31">
        <v>5</v>
      </c>
      <c r="X23" s="85">
        <v>36</v>
      </c>
      <c r="Y23" s="18">
        <v>0</v>
      </c>
      <c r="Z23" s="18" t="s">
        <v>330</v>
      </c>
      <c r="AA23" s="18" t="s">
        <v>333</v>
      </c>
      <c r="AB23" s="18" t="s">
        <v>337</v>
      </c>
      <c r="AC23" s="18">
        <v>20</v>
      </c>
      <c r="AD23" s="18">
        <v>9</v>
      </c>
      <c r="AE23" s="18" t="s">
        <v>29</v>
      </c>
      <c r="AF23" s="18" t="s">
        <v>32</v>
      </c>
      <c r="AG23" s="131" t="s">
        <v>32</v>
      </c>
      <c r="AH23" s="18">
        <v>8.6999999999999993</v>
      </c>
      <c r="AI23" s="18" t="s">
        <v>32</v>
      </c>
      <c r="AJ23" s="18" t="s">
        <v>66</v>
      </c>
      <c r="AK23" s="18" t="s">
        <v>79</v>
      </c>
      <c r="AL23" s="18" t="s">
        <v>96</v>
      </c>
      <c r="AM23" s="18" t="s">
        <v>109</v>
      </c>
      <c r="AN23" s="18" t="s">
        <v>120</v>
      </c>
      <c r="AO23" s="18" t="s">
        <v>198</v>
      </c>
      <c r="AP23" s="18" t="s">
        <v>264</v>
      </c>
      <c r="AQ23" s="18"/>
      <c r="AR23" s="18">
        <v>1</v>
      </c>
      <c r="AS23" s="18">
        <v>1</v>
      </c>
      <c r="AT23" s="18">
        <v>1</v>
      </c>
      <c r="AU23" s="18">
        <v>1</v>
      </c>
      <c r="AV23" s="18">
        <v>2</v>
      </c>
      <c r="AW23" s="18">
        <v>6</v>
      </c>
      <c r="AX23" s="49">
        <f t="shared" si="0"/>
        <v>0</v>
      </c>
      <c r="AY23" s="49">
        <f>VLOOKUP(AI23,Leyenda!$B$4:$E$10,4,FALSE)</f>
        <v>1</v>
      </c>
      <c r="AZ23" s="50">
        <f t="shared" si="4"/>
        <v>5</v>
      </c>
      <c r="BA23" s="49">
        <v>6</v>
      </c>
      <c r="BB23" s="49">
        <v>10</v>
      </c>
      <c r="BC23" s="67">
        <v>9</v>
      </c>
      <c r="BD23" s="67">
        <f>VLOOKUP(AI23,Leyenda!$B$4:$E$10,4,FALSE)</f>
        <v>1</v>
      </c>
      <c r="BE23" s="67">
        <v>5</v>
      </c>
      <c r="BF23" s="67">
        <f t="shared" si="1"/>
        <v>0</v>
      </c>
      <c r="BG23" s="67">
        <v>1</v>
      </c>
      <c r="BH23" s="67">
        <v>1</v>
      </c>
      <c r="BI23" s="67">
        <v>2</v>
      </c>
      <c r="BJ23" s="67">
        <v>1</v>
      </c>
      <c r="BK23" s="67">
        <v>1</v>
      </c>
      <c r="BL23" s="67">
        <v>10</v>
      </c>
      <c r="BM23" s="125">
        <f t="shared" si="2"/>
        <v>22</v>
      </c>
      <c r="BN23" s="85">
        <f t="shared" si="3"/>
        <v>22</v>
      </c>
      <c r="BQ23" s="145"/>
      <c r="BR23" s="148" t="s">
        <v>321</v>
      </c>
      <c r="BS23" s="148">
        <v>17</v>
      </c>
      <c r="BT23" s="147"/>
    </row>
    <row r="24" spans="1:154" ht="15.75" thickBot="1" x14ac:dyDescent="0.3">
      <c r="A24" s="18" t="s">
        <v>6</v>
      </c>
      <c r="B24" s="18">
        <v>2024</v>
      </c>
      <c r="C24" s="18" t="s">
        <v>138</v>
      </c>
      <c r="D24" s="18" t="s">
        <v>130</v>
      </c>
      <c r="E24" s="18">
        <v>20</v>
      </c>
      <c r="F24" s="18">
        <v>30</v>
      </c>
      <c r="G24" s="18" t="s">
        <v>156</v>
      </c>
      <c r="H24" s="18"/>
      <c r="I24" s="18" t="s">
        <v>185</v>
      </c>
      <c r="J24" s="4">
        <v>45.5</v>
      </c>
      <c r="K24" s="4">
        <v>46</v>
      </c>
      <c r="L24" s="4">
        <v>0.5</v>
      </c>
      <c r="M24" s="5">
        <v>0</v>
      </c>
      <c r="N24" s="31">
        <v>0</v>
      </c>
      <c r="O24" s="31">
        <v>0</v>
      </c>
      <c r="P24" s="31" t="s">
        <v>348</v>
      </c>
      <c r="Q24" s="31">
        <v>20</v>
      </c>
      <c r="R24" s="31">
        <v>0.5</v>
      </c>
      <c r="S24" s="31">
        <v>0</v>
      </c>
      <c r="T24" s="65">
        <v>0</v>
      </c>
      <c r="U24" s="31">
        <v>10</v>
      </c>
      <c r="V24" s="31"/>
      <c r="W24" s="31">
        <v>10</v>
      </c>
      <c r="X24" s="85">
        <v>50</v>
      </c>
      <c r="Y24" s="18">
        <v>0</v>
      </c>
      <c r="Z24" s="18" t="s">
        <v>330</v>
      </c>
      <c r="AA24" s="18" t="s">
        <v>333</v>
      </c>
      <c r="AB24" s="18" t="s">
        <v>337</v>
      </c>
      <c r="AC24" s="18">
        <v>20</v>
      </c>
      <c r="AD24" s="18" t="s">
        <v>348</v>
      </c>
      <c r="AE24" s="18" t="s">
        <v>29</v>
      </c>
      <c r="AF24" s="18" t="s">
        <v>32</v>
      </c>
      <c r="AG24" s="131" t="s">
        <v>32</v>
      </c>
      <c r="AH24" s="18">
        <v>8.6999999999999993</v>
      </c>
      <c r="AI24" s="18" t="s">
        <v>32</v>
      </c>
      <c r="AJ24" s="18" t="s">
        <v>66</v>
      </c>
      <c r="AK24" s="18" t="s">
        <v>79</v>
      </c>
      <c r="AL24" s="18" t="s">
        <v>96</v>
      </c>
      <c r="AM24" s="18" t="s">
        <v>109</v>
      </c>
      <c r="AN24" s="18" t="s">
        <v>120</v>
      </c>
      <c r="AO24" s="18" t="s">
        <v>198</v>
      </c>
      <c r="AP24" s="18"/>
      <c r="AQ24" s="18"/>
      <c r="AR24" s="18">
        <v>1</v>
      </c>
      <c r="AS24" s="18">
        <v>1</v>
      </c>
      <c r="AT24" s="18">
        <v>1</v>
      </c>
      <c r="AU24" s="18">
        <v>1</v>
      </c>
      <c r="AV24" s="18">
        <v>2</v>
      </c>
      <c r="AW24" s="18">
        <v>6</v>
      </c>
      <c r="AX24" s="49">
        <f t="shared" si="0"/>
        <v>0</v>
      </c>
      <c r="AY24" s="49">
        <f>VLOOKUP(AI24,Leyenda!$B$4:$E$10,4,FALSE)</f>
        <v>1</v>
      </c>
      <c r="AZ24" s="50">
        <f t="shared" si="4"/>
        <v>6</v>
      </c>
      <c r="BA24" s="49">
        <v>6</v>
      </c>
      <c r="BB24" s="49">
        <v>10</v>
      </c>
      <c r="BC24" s="67">
        <v>9</v>
      </c>
      <c r="BD24" s="67">
        <f>VLOOKUP(AI24,Leyenda!$B$4:$E$10,4,FALSE)</f>
        <v>1</v>
      </c>
      <c r="BE24" s="67">
        <v>5</v>
      </c>
      <c r="BF24" s="67">
        <f t="shared" si="1"/>
        <v>0</v>
      </c>
      <c r="BG24" s="67">
        <v>1</v>
      </c>
      <c r="BH24" s="67">
        <v>1</v>
      </c>
      <c r="BI24" s="67">
        <v>2</v>
      </c>
      <c r="BJ24" s="67">
        <v>1</v>
      </c>
      <c r="BK24" s="67">
        <v>1</v>
      </c>
      <c r="BL24" s="67">
        <v>10</v>
      </c>
      <c r="BM24" s="125">
        <f t="shared" si="2"/>
        <v>22</v>
      </c>
      <c r="BN24" s="85">
        <f t="shared" si="3"/>
        <v>23</v>
      </c>
      <c r="BQ24" s="145"/>
      <c r="BR24" s="149" t="s">
        <v>322</v>
      </c>
      <c r="BS24" s="149">
        <v>1.0671517002304916</v>
      </c>
      <c r="BT24" s="147"/>
    </row>
    <row r="25" spans="1:154" ht="15.75" thickBot="1" x14ac:dyDescent="0.3">
      <c r="A25" s="18" t="s">
        <v>6</v>
      </c>
      <c r="B25" s="18">
        <v>2024</v>
      </c>
      <c r="C25" s="18" t="s">
        <v>138</v>
      </c>
      <c r="D25" s="18" t="s">
        <v>130</v>
      </c>
      <c r="E25" s="18">
        <v>20</v>
      </c>
      <c r="F25" s="18">
        <v>30</v>
      </c>
      <c r="G25" s="18" t="s">
        <v>156</v>
      </c>
      <c r="H25" s="18"/>
      <c r="I25" s="18" t="s">
        <v>186</v>
      </c>
      <c r="J25" s="4">
        <v>46</v>
      </c>
      <c r="K25" s="4">
        <v>46.5</v>
      </c>
      <c r="L25" s="4">
        <v>0.5</v>
      </c>
      <c r="M25" s="5">
        <v>0.46</v>
      </c>
      <c r="N25" s="31">
        <v>0.23</v>
      </c>
      <c r="O25" s="31">
        <v>0.23</v>
      </c>
      <c r="P25" s="31">
        <v>11.5</v>
      </c>
      <c r="Q25" s="31">
        <v>20</v>
      </c>
      <c r="R25" s="31">
        <v>0.23</v>
      </c>
      <c r="S25" s="31">
        <v>0</v>
      </c>
      <c r="T25" s="65">
        <v>0</v>
      </c>
      <c r="U25" s="31">
        <v>7</v>
      </c>
      <c r="V25" s="31"/>
      <c r="W25" s="31">
        <v>7</v>
      </c>
      <c r="X25" s="85">
        <v>32.857142857142854</v>
      </c>
      <c r="Y25" s="18">
        <v>0</v>
      </c>
      <c r="Z25" s="18" t="s">
        <v>330</v>
      </c>
      <c r="AA25" s="18" t="s">
        <v>333</v>
      </c>
      <c r="AB25" s="18" t="s">
        <v>337</v>
      </c>
      <c r="AC25" s="18">
        <v>20</v>
      </c>
      <c r="AD25" s="18">
        <v>11.5</v>
      </c>
      <c r="AE25" s="18" t="s">
        <v>29</v>
      </c>
      <c r="AF25" s="18" t="s">
        <v>29</v>
      </c>
      <c r="AG25" s="131" t="s">
        <v>29</v>
      </c>
      <c r="AH25" s="18">
        <v>8.6999999999999993</v>
      </c>
      <c r="AI25" s="18" t="s">
        <v>32</v>
      </c>
      <c r="AJ25" s="18" t="s">
        <v>66</v>
      </c>
      <c r="AK25" s="18" t="s">
        <v>79</v>
      </c>
      <c r="AL25" s="18" t="s">
        <v>96</v>
      </c>
      <c r="AM25" s="18" t="s">
        <v>107</v>
      </c>
      <c r="AN25" s="18" t="s">
        <v>118</v>
      </c>
      <c r="AO25" s="18" t="s">
        <v>198</v>
      </c>
      <c r="AP25" s="18" t="s">
        <v>235</v>
      </c>
      <c r="AQ25" s="18"/>
      <c r="AR25" s="18">
        <v>1</v>
      </c>
      <c r="AS25" s="18">
        <v>1</v>
      </c>
      <c r="AT25" s="18">
        <v>1</v>
      </c>
      <c r="AU25" s="18">
        <v>3</v>
      </c>
      <c r="AV25" s="18">
        <v>2</v>
      </c>
      <c r="AW25" s="18">
        <v>8</v>
      </c>
      <c r="AX25" s="49">
        <f t="shared" si="0"/>
        <v>0</v>
      </c>
      <c r="AY25" s="49">
        <f>VLOOKUP(AI25,Leyenda!$B$4:$E$10,4,FALSE)</f>
        <v>1</v>
      </c>
      <c r="AZ25" s="50">
        <f t="shared" si="4"/>
        <v>5</v>
      </c>
      <c r="BA25" s="49">
        <v>8</v>
      </c>
      <c r="BB25" s="49">
        <v>10</v>
      </c>
      <c r="BC25" s="67">
        <v>12</v>
      </c>
      <c r="BD25" s="67">
        <f>VLOOKUP(AI25,Leyenda!$B$4:$E$10,4,FALSE)</f>
        <v>1</v>
      </c>
      <c r="BE25" s="67">
        <v>5</v>
      </c>
      <c r="BF25" s="67">
        <f t="shared" si="1"/>
        <v>0</v>
      </c>
      <c r="BG25" s="67">
        <v>1</v>
      </c>
      <c r="BH25" s="67">
        <v>3</v>
      </c>
      <c r="BI25" s="67">
        <v>2</v>
      </c>
      <c r="BJ25" s="67">
        <v>1</v>
      </c>
      <c r="BK25" s="67">
        <v>1</v>
      </c>
      <c r="BL25" s="67">
        <v>10</v>
      </c>
      <c r="BM25" s="125">
        <f t="shared" si="2"/>
        <v>24</v>
      </c>
      <c r="BN25" s="85">
        <f t="shared" si="3"/>
        <v>24</v>
      </c>
      <c r="BQ25" s="150"/>
      <c r="BR25" s="149"/>
      <c r="BS25" s="149"/>
      <c r="BT25" s="151"/>
    </row>
    <row r="26" spans="1:154" x14ac:dyDescent="0.25">
      <c r="A26" s="18" t="s">
        <v>6</v>
      </c>
      <c r="B26" s="18">
        <v>2024</v>
      </c>
      <c r="C26" s="18" t="s">
        <v>138</v>
      </c>
      <c r="D26" s="18" t="s">
        <v>130</v>
      </c>
      <c r="E26" s="18">
        <v>20</v>
      </c>
      <c r="F26" s="18">
        <v>30</v>
      </c>
      <c r="G26" s="18" t="s">
        <v>156</v>
      </c>
      <c r="H26" s="18"/>
      <c r="I26" s="18" t="s">
        <v>186</v>
      </c>
      <c r="J26" s="4">
        <v>46.5</v>
      </c>
      <c r="K26" s="4">
        <v>47</v>
      </c>
      <c r="L26" s="4">
        <v>0.5</v>
      </c>
      <c r="M26" s="5">
        <v>0.2</v>
      </c>
      <c r="N26" s="31">
        <v>0.1</v>
      </c>
      <c r="O26" s="31">
        <v>0.1</v>
      </c>
      <c r="P26" s="31">
        <v>5</v>
      </c>
      <c r="Q26" s="31">
        <v>20</v>
      </c>
      <c r="R26" s="31">
        <v>7.0000000000000007E-2</v>
      </c>
      <c r="S26" s="31">
        <v>0</v>
      </c>
      <c r="T26" s="65">
        <v>0</v>
      </c>
      <c r="U26" s="31">
        <v>5</v>
      </c>
      <c r="V26" s="31"/>
      <c r="W26" s="31">
        <v>5</v>
      </c>
      <c r="X26" s="85">
        <v>14</v>
      </c>
      <c r="Y26" s="18">
        <v>0</v>
      </c>
      <c r="Z26" s="18" t="s">
        <v>330</v>
      </c>
      <c r="AA26" s="18" t="s">
        <v>333</v>
      </c>
      <c r="AB26" s="18" t="s">
        <v>337</v>
      </c>
      <c r="AC26" s="18">
        <v>20</v>
      </c>
      <c r="AD26" s="18">
        <v>5</v>
      </c>
      <c r="AE26" s="18" t="s">
        <v>29</v>
      </c>
      <c r="AF26" s="18" t="s">
        <v>29</v>
      </c>
      <c r="AG26" s="131" t="s">
        <v>29</v>
      </c>
      <c r="AH26" s="18">
        <v>8.6999999999999993</v>
      </c>
      <c r="AI26" s="18" t="s">
        <v>32</v>
      </c>
      <c r="AJ26" s="18" t="s">
        <v>66</v>
      </c>
      <c r="AK26" s="18" t="s">
        <v>79</v>
      </c>
      <c r="AL26" s="18" t="s">
        <v>96</v>
      </c>
      <c r="AM26" s="18" t="s">
        <v>107</v>
      </c>
      <c r="AN26" s="18" t="s">
        <v>118</v>
      </c>
      <c r="AO26" s="18" t="s">
        <v>198</v>
      </c>
      <c r="AP26" s="18" t="s">
        <v>235</v>
      </c>
      <c r="AQ26" s="18"/>
      <c r="AR26" s="18">
        <v>1</v>
      </c>
      <c r="AS26" s="18">
        <v>1</v>
      </c>
      <c r="AT26" s="18">
        <v>1</v>
      </c>
      <c r="AU26" s="18">
        <v>3</v>
      </c>
      <c r="AV26" s="18">
        <v>2</v>
      </c>
      <c r="AW26" s="18">
        <v>8</v>
      </c>
      <c r="AX26" s="49">
        <f t="shared" si="0"/>
        <v>0</v>
      </c>
      <c r="AY26" s="49">
        <f>VLOOKUP(AI26,Leyenda!$B$4:$E$10,4,FALSE)</f>
        <v>1</v>
      </c>
      <c r="AZ26" s="50">
        <f t="shared" si="4"/>
        <v>4</v>
      </c>
      <c r="BA26" s="49">
        <v>8</v>
      </c>
      <c r="BB26" s="49">
        <v>10</v>
      </c>
      <c r="BC26" s="67">
        <v>12</v>
      </c>
      <c r="BD26" s="67">
        <f>VLOOKUP(AI26,Leyenda!$B$4:$E$10,4,FALSE)</f>
        <v>1</v>
      </c>
      <c r="BE26" s="67">
        <v>5</v>
      </c>
      <c r="BF26" s="67">
        <f t="shared" si="1"/>
        <v>0</v>
      </c>
      <c r="BG26" s="67">
        <v>1</v>
      </c>
      <c r="BH26" s="67">
        <v>3</v>
      </c>
      <c r="BI26" s="67">
        <v>2</v>
      </c>
      <c r="BJ26" s="67">
        <v>1</v>
      </c>
      <c r="BK26" s="67">
        <v>1</v>
      </c>
      <c r="BL26" s="67">
        <v>10</v>
      </c>
      <c r="BM26" s="125">
        <f t="shared" si="2"/>
        <v>24</v>
      </c>
      <c r="BN26" s="85">
        <f t="shared" si="3"/>
        <v>23</v>
      </c>
    </row>
    <row r="27" spans="1:154" x14ac:dyDescent="0.25">
      <c r="A27" s="18" t="s">
        <v>6</v>
      </c>
      <c r="B27" s="18">
        <v>2024</v>
      </c>
      <c r="C27" s="18" t="s">
        <v>138</v>
      </c>
      <c r="D27" s="18" t="s">
        <v>130</v>
      </c>
      <c r="E27" s="18">
        <v>20</v>
      </c>
      <c r="F27" s="18">
        <v>30</v>
      </c>
      <c r="G27" s="18" t="s">
        <v>156</v>
      </c>
      <c r="H27" s="18"/>
      <c r="I27" s="18" t="s">
        <v>186</v>
      </c>
      <c r="J27" s="4">
        <v>47</v>
      </c>
      <c r="K27" s="4">
        <v>47.5</v>
      </c>
      <c r="L27" s="4">
        <v>0.5</v>
      </c>
      <c r="M27" s="5">
        <v>0.24</v>
      </c>
      <c r="N27" s="31">
        <v>0.12</v>
      </c>
      <c r="O27" s="31">
        <v>0.12</v>
      </c>
      <c r="P27" s="31">
        <v>6</v>
      </c>
      <c r="Q27" s="31">
        <v>20</v>
      </c>
      <c r="R27" s="31">
        <v>0.1</v>
      </c>
      <c r="S27" s="31">
        <v>0</v>
      </c>
      <c r="T27" s="65">
        <v>0</v>
      </c>
      <c r="U27" s="31">
        <v>5</v>
      </c>
      <c r="V27" s="31"/>
      <c r="W27" s="31">
        <v>5</v>
      </c>
      <c r="X27" s="85">
        <v>20</v>
      </c>
      <c r="Y27" s="18">
        <v>0</v>
      </c>
      <c r="Z27" s="18" t="s">
        <v>330</v>
      </c>
      <c r="AA27" s="18" t="s">
        <v>333</v>
      </c>
      <c r="AB27" s="18" t="s">
        <v>337</v>
      </c>
      <c r="AC27" s="18">
        <v>20</v>
      </c>
      <c r="AD27" s="18">
        <v>6</v>
      </c>
      <c r="AE27" s="18" t="s">
        <v>29</v>
      </c>
      <c r="AF27" s="18" t="s">
        <v>29</v>
      </c>
      <c r="AG27" s="131" t="s">
        <v>29</v>
      </c>
      <c r="AH27" s="18">
        <v>8.6999999999999993</v>
      </c>
      <c r="AI27" s="18" t="s">
        <v>32</v>
      </c>
      <c r="AJ27" s="18" t="s">
        <v>66</v>
      </c>
      <c r="AK27" s="18" t="s">
        <v>79</v>
      </c>
      <c r="AL27" s="18" t="s">
        <v>96</v>
      </c>
      <c r="AM27" s="18" t="s">
        <v>107</v>
      </c>
      <c r="AN27" s="18" t="s">
        <v>118</v>
      </c>
      <c r="AO27" s="18" t="s">
        <v>198</v>
      </c>
      <c r="AP27" s="18" t="s">
        <v>235</v>
      </c>
      <c r="AQ27" s="18"/>
      <c r="AR27" s="18">
        <v>1</v>
      </c>
      <c r="AS27" s="18">
        <v>1</v>
      </c>
      <c r="AT27" s="18">
        <v>1</v>
      </c>
      <c r="AU27" s="18">
        <v>3</v>
      </c>
      <c r="AV27" s="18">
        <v>2</v>
      </c>
      <c r="AW27" s="18">
        <v>8</v>
      </c>
      <c r="AX27" s="49">
        <f t="shared" si="0"/>
        <v>0</v>
      </c>
      <c r="AY27" s="49">
        <f>VLOOKUP(AI27,Leyenda!$B$4:$E$10,4,FALSE)</f>
        <v>1</v>
      </c>
      <c r="AZ27" s="50">
        <f t="shared" si="4"/>
        <v>4</v>
      </c>
      <c r="BA27" s="49">
        <v>8</v>
      </c>
      <c r="BB27" s="49">
        <v>10</v>
      </c>
      <c r="BC27" s="67">
        <v>12</v>
      </c>
      <c r="BD27" s="67">
        <f>VLOOKUP(AI27,Leyenda!$B$4:$E$10,4,FALSE)</f>
        <v>1</v>
      </c>
      <c r="BE27" s="67">
        <v>5</v>
      </c>
      <c r="BF27" s="67">
        <f t="shared" si="1"/>
        <v>0</v>
      </c>
      <c r="BG27" s="67">
        <v>1</v>
      </c>
      <c r="BH27" s="67">
        <v>3</v>
      </c>
      <c r="BI27" s="67">
        <v>2</v>
      </c>
      <c r="BJ27" s="67">
        <v>1</v>
      </c>
      <c r="BK27" s="67">
        <v>1</v>
      </c>
      <c r="BL27" s="67">
        <v>10</v>
      </c>
      <c r="BM27" s="125">
        <f t="shared" si="2"/>
        <v>24</v>
      </c>
      <c r="BN27" s="85">
        <f t="shared" si="3"/>
        <v>23</v>
      </c>
    </row>
    <row r="28" spans="1:154" x14ac:dyDescent="0.25">
      <c r="A28" s="18" t="s">
        <v>6</v>
      </c>
      <c r="B28" s="18">
        <v>2024</v>
      </c>
      <c r="C28" s="18" t="s">
        <v>138</v>
      </c>
      <c r="D28" s="18" t="s">
        <v>130</v>
      </c>
      <c r="E28" s="18">
        <v>20</v>
      </c>
      <c r="F28" s="18">
        <v>30</v>
      </c>
      <c r="G28" s="18" t="s">
        <v>156</v>
      </c>
      <c r="H28" s="18"/>
      <c r="I28" s="18" t="s">
        <v>186</v>
      </c>
      <c r="J28" s="4">
        <v>47.5</v>
      </c>
      <c r="K28" s="4">
        <v>48</v>
      </c>
      <c r="L28" s="4">
        <v>0.5</v>
      </c>
      <c r="M28" s="5">
        <v>0.22</v>
      </c>
      <c r="N28" s="31">
        <v>0.11</v>
      </c>
      <c r="O28" s="31">
        <v>0.11</v>
      </c>
      <c r="P28" s="31">
        <v>5.5</v>
      </c>
      <c r="Q28" s="31">
        <v>20</v>
      </c>
      <c r="R28" s="31">
        <v>0.1</v>
      </c>
      <c r="S28" s="31">
        <v>0</v>
      </c>
      <c r="T28" s="65">
        <v>0</v>
      </c>
      <c r="U28" s="31">
        <v>5</v>
      </c>
      <c r="V28" s="31"/>
      <c r="W28" s="31">
        <v>5</v>
      </c>
      <c r="X28" s="85">
        <v>20</v>
      </c>
      <c r="Y28" s="18">
        <v>0</v>
      </c>
      <c r="Z28" s="18" t="s">
        <v>330</v>
      </c>
      <c r="AA28" s="18" t="s">
        <v>333</v>
      </c>
      <c r="AB28" s="18" t="s">
        <v>337</v>
      </c>
      <c r="AC28" s="18">
        <v>20</v>
      </c>
      <c r="AD28" s="18">
        <v>5.5</v>
      </c>
      <c r="AE28" s="18" t="s">
        <v>29</v>
      </c>
      <c r="AF28" s="18" t="s">
        <v>29</v>
      </c>
      <c r="AG28" s="131" t="s">
        <v>29</v>
      </c>
      <c r="AH28" s="18">
        <v>8.6999999999999993</v>
      </c>
      <c r="AI28" s="18" t="s">
        <v>32</v>
      </c>
      <c r="AJ28" s="18" t="s">
        <v>66</v>
      </c>
      <c r="AK28" s="18" t="s">
        <v>79</v>
      </c>
      <c r="AL28" s="18" t="s">
        <v>96</v>
      </c>
      <c r="AM28" s="18" t="s">
        <v>107</v>
      </c>
      <c r="AN28" s="18" t="s">
        <v>118</v>
      </c>
      <c r="AO28" s="18" t="s">
        <v>198</v>
      </c>
      <c r="AP28" s="18" t="s">
        <v>235</v>
      </c>
      <c r="AQ28" s="18"/>
      <c r="AR28" s="18">
        <v>1</v>
      </c>
      <c r="AS28" s="18">
        <v>1</v>
      </c>
      <c r="AT28" s="18">
        <v>1</v>
      </c>
      <c r="AU28" s="18">
        <v>3</v>
      </c>
      <c r="AV28" s="18">
        <v>2</v>
      </c>
      <c r="AW28" s="18">
        <v>8</v>
      </c>
      <c r="AX28" s="49">
        <f t="shared" si="0"/>
        <v>0</v>
      </c>
      <c r="AY28" s="49">
        <f>VLOOKUP(AI28,Leyenda!$B$4:$E$10,4,FALSE)</f>
        <v>1</v>
      </c>
      <c r="AZ28" s="50">
        <f t="shared" si="4"/>
        <v>4</v>
      </c>
      <c r="BA28" s="49">
        <v>8</v>
      </c>
      <c r="BB28" s="49">
        <v>10</v>
      </c>
      <c r="BC28" s="67">
        <v>12</v>
      </c>
      <c r="BD28" s="67">
        <f>VLOOKUP(AI28,Leyenda!$B$4:$E$10,4,FALSE)</f>
        <v>1</v>
      </c>
      <c r="BE28" s="67">
        <v>5</v>
      </c>
      <c r="BF28" s="67">
        <f t="shared" si="1"/>
        <v>0</v>
      </c>
      <c r="BG28" s="67">
        <v>1</v>
      </c>
      <c r="BH28" s="67">
        <v>3</v>
      </c>
      <c r="BI28" s="67">
        <v>2</v>
      </c>
      <c r="BJ28" s="67">
        <v>1</v>
      </c>
      <c r="BK28" s="67">
        <v>1</v>
      </c>
      <c r="BL28" s="67">
        <v>10</v>
      </c>
      <c r="BM28" s="125">
        <f t="shared" si="2"/>
        <v>24</v>
      </c>
      <c r="BN28" s="85">
        <f t="shared" si="3"/>
        <v>23</v>
      </c>
    </row>
    <row r="29" spans="1:154" x14ac:dyDescent="0.25">
      <c r="A29" s="18" t="s">
        <v>6</v>
      </c>
      <c r="B29" s="18">
        <v>2024</v>
      </c>
      <c r="C29" s="18" t="s">
        <v>138</v>
      </c>
      <c r="D29" s="18" t="s">
        <v>130</v>
      </c>
      <c r="E29" s="18">
        <v>20</v>
      </c>
      <c r="F29" s="18">
        <v>30</v>
      </c>
      <c r="G29" s="18" t="s">
        <v>156</v>
      </c>
      <c r="H29" s="18"/>
      <c r="I29" s="18" t="s">
        <v>186</v>
      </c>
      <c r="J29" s="4">
        <v>48</v>
      </c>
      <c r="K29" s="4">
        <v>48.5</v>
      </c>
      <c r="L29" s="4">
        <v>0.5</v>
      </c>
      <c r="M29" s="5">
        <v>0.38</v>
      </c>
      <c r="N29" s="31">
        <v>0.19</v>
      </c>
      <c r="O29" s="31">
        <v>0.19</v>
      </c>
      <c r="P29" s="31">
        <v>9.5</v>
      </c>
      <c r="Q29" s="31">
        <v>20</v>
      </c>
      <c r="R29" s="31">
        <v>0.18</v>
      </c>
      <c r="S29" s="31">
        <v>0</v>
      </c>
      <c r="T29" s="65">
        <v>0</v>
      </c>
      <c r="U29" s="31">
        <v>7</v>
      </c>
      <c r="V29" s="31"/>
      <c r="W29" s="31">
        <v>7</v>
      </c>
      <c r="X29" s="85">
        <v>25.714285714285715</v>
      </c>
      <c r="Y29" s="18">
        <v>0</v>
      </c>
      <c r="Z29" s="18" t="s">
        <v>330</v>
      </c>
      <c r="AA29" s="18" t="s">
        <v>333</v>
      </c>
      <c r="AB29" s="18" t="s">
        <v>337</v>
      </c>
      <c r="AC29" s="18">
        <v>20</v>
      </c>
      <c r="AD29" s="18">
        <v>9.5</v>
      </c>
      <c r="AE29" s="18" t="s">
        <v>29</v>
      </c>
      <c r="AF29" s="18" t="s">
        <v>29</v>
      </c>
      <c r="AG29" s="131" t="s">
        <v>29</v>
      </c>
      <c r="AH29" s="18">
        <v>8.6999999999999993</v>
      </c>
      <c r="AI29" s="18" t="s">
        <v>32</v>
      </c>
      <c r="AJ29" s="18" t="s">
        <v>66</v>
      </c>
      <c r="AK29" s="18" t="s">
        <v>79</v>
      </c>
      <c r="AL29" s="18" t="s">
        <v>96</v>
      </c>
      <c r="AM29" s="18" t="s">
        <v>107</v>
      </c>
      <c r="AN29" s="18" t="s">
        <v>118</v>
      </c>
      <c r="AO29" s="18" t="s">
        <v>198</v>
      </c>
      <c r="AP29" s="18" t="s">
        <v>235</v>
      </c>
      <c r="AQ29" s="18"/>
      <c r="AR29" s="18">
        <v>1</v>
      </c>
      <c r="AS29" s="18">
        <v>1</v>
      </c>
      <c r="AT29" s="18">
        <v>1</v>
      </c>
      <c r="AU29" s="18">
        <v>3</v>
      </c>
      <c r="AV29" s="18">
        <v>2</v>
      </c>
      <c r="AW29" s="18">
        <v>8</v>
      </c>
      <c r="AX29" s="49">
        <f t="shared" si="0"/>
        <v>0</v>
      </c>
      <c r="AY29" s="49">
        <f>VLOOKUP(AI29,Leyenda!$B$4:$E$10,4,FALSE)</f>
        <v>1</v>
      </c>
      <c r="AZ29" s="50">
        <f t="shared" si="4"/>
        <v>5</v>
      </c>
      <c r="BA29" s="49">
        <v>8</v>
      </c>
      <c r="BB29" s="49">
        <v>10</v>
      </c>
      <c r="BC29" s="67">
        <v>12</v>
      </c>
      <c r="BD29" s="67">
        <f>VLOOKUP(AI29,Leyenda!$B$4:$E$10,4,FALSE)</f>
        <v>1</v>
      </c>
      <c r="BE29" s="67">
        <v>5</v>
      </c>
      <c r="BF29" s="67">
        <f t="shared" si="1"/>
        <v>0</v>
      </c>
      <c r="BG29" s="67">
        <v>1</v>
      </c>
      <c r="BH29" s="67">
        <v>3</v>
      </c>
      <c r="BI29" s="67">
        <v>2</v>
      </c>
      <c r="BJ29" s="67">
        <v>1</v>
      </c>
      <c r="BK29" s="67">
        <v>1</v>
      </c>
      <c r="BL29" s="67">
        <v>10</v>
      </c>
      <c r="BM29" s="125">
        <f t="shared" si="2"/>
        <v>24</v>
      </c>
      <c r="BN29" s="85">
        <f t="shared" si="3"/>
        <v>24</v>
      </c>
    </row>
    <row r="30" spans="1:154" x14ac:dyDescent="0.25">
      <c r="A30" s="18" t="s">
        <v>6</v>
      </c>
      <c r="B30" s="18">
        <v>2024</v>
      </c>
      <c r="C30" s="18" t="s">
        <v>138</v>
      </c>
      <c r="D30" s="18" t="s">
        <v>130</v>
      </c>
      <c r="E30" s="18">
        <v>20</v>
      </c>
      <c r="F30" s="18">
        <v>30</v>
      </c>
      <c r="G30" s="18" t="s">
        <v>156</v>
      </c>
      <c r="H30" s="18"/>
      <c r="I30" s="18" t="s">
        <v>186</v>
      </c>
      <c r="J30" s="4">
        <v>48.5</v>
      </c>
      <c r="K30" s="4">
        <v>49</v>
      </c>
      <c r="L30" s="4">
        <v>0.5</v>
      </c>
      <c r="M30" s="5">
        <v>0.46</v>
      </c>
      <c r="N30" s="31">
        <v>0.23</v>
      </c>
      <c r="O30" s="31">
        <v>0.23</v>
      </c>
      <c r="P30" s="31">
        <v>11.5</v>
      </c>
      <c r="Q30" s="31">
        <v>20</v>
      </c>
      <c r="R30" s="31">
        <v>0.23</v>
      </c>
      <c r="S30" s="31">
        <v>0</v>
      </c>
      <c r="T30" s="65">
        <v>0</v>
      </c>
      <c r="U30" s="31">
        <v>8</v>
      </c>
      <c r="V30" s="31"/>
      <c r="W30" s="31">
        <v>8</v>
      </c>
      <c r="X30" s="85">
        <v>28.75</v>
      </c>
      <c r="Y30" s="18">
        <v>0</v>
      </c>
      <c r="Z30" s="18" t="s">
        <v>330</v>
      </c>
      <c r="AA30" s="18" t="s">
        <v>333</v>
      </c>
      <c r="AB30" s="18" t="s">
        <v>337</v>
      </c>
      <c r="AC30" s="18">
        <v>20</v>
      </c>
      <c r="AD30" s="18">
        <v>11.5</v>
      </c>
      <c r="AE30" s="18" t="s">
        <v>29</v>
      </c>
      <c r="AF30" s="18" t="s">
        <v>29</v>
      </c>
      <c r="AG30" s="131" t="s">
        <v>29</v>
      </c>
      <c r="AH30" s="18">
        <v>8.6999999999999993</v>
      </c>
      <c r="AI30" s="18" t="s">
        <v>32</v>
      </c>
      <c r="AJ30" s="18" t="s">
        <v>66</v>
      </c>
      <c r="AK30" s="18" t="s">
        <v>79</v>
      </c>
      <c r="AL30" s="18" t="s">
        <v>96</v>
      </c>
      <c r="AM30" s="18" t="s">
        <v>107</v>
      </c>
      <c r="AN30" s="18" t="s">
        <v>118</v>
      </c>
      <c r="AO30" s="18" t="s">
        <v>198</v>
      </c>
      <c r="AP30" s="18" t="s">
        <v>235</v>
      </c>
      <c r="AQ30" s="18"/>
      <c r="AR30" s="18">
        <v>1</v>
      </c>
      <c r="AS30" s="18">
        <v>1</v>
      </c>
      <c r="AT30" s="18">
        <v>1</v>
      </c>
      <c r="AU30" s="18">
        <v>3</v>
      </c>
      <c r="AV30" s="18">
        <v>2</v>
      </c>
      <c r="AW30" s="18">
        <v>8</v>
      </c>
      <c r="AX30" s="49">
        <f t="shared" si="0"/>
        <v>0</v>
      </c>
      <c r="AY30" s="49">
        <f>VLOOKUP(AI30,Leyenda!$B$4:$E$10,4,FALSE)</f>
        <v>1</v>
      </c>
      <c r="AZ30" s="50">
        <f t="shared" si="4"/>
        <v>5</v>
      </c>
      <c r="BA30" s="49">
        <v>8</v>
      </c>
      <c r="BB30" s="49">
        <v>10</v>
      </c>
      <c r="BC30" s="67">
        <v>12</v>
      </c>
      <c r="BD30" s="67">
        <f>VLOOKUP(AI30,Leyenda!$B$4:$E$10,4,FALSE)</f>
        <v>1</v>
      </c>
      <c r="BE30" s="67">
        <v>5</v>
      </c>
      <c r="BF30" s="67">
        <f t="shared" si="1"/>
        <v>0</v>
      </c>
      <c r="BG30" s="67">
        <v>1</v>
      </c>
      <c r="BH30" s="67">
        <v>3</v>
      </c>
      <c r="BI30" s="67">
        <v>2</v>
      </c>
      <c r="BJ30" s="67">
        <v>1</v>
      </c>
      <c r="BK30" s="67">
        <v>1</v>
      </c>
      <c r="BL30" s="67">
        <v>10</v>
      </c>
      <c r="BM30" s="125">
        <f t="shared" si="2"/>
        <v>24</v>
      </c>
      <c r="BN30" s="85">
        <f t="shared" si="3"/>
        <v>24</v>
      </c>
    </row>
    <row r="31" spans="1:154" x14ac:dyDescent="0.25">
      <c r="A31" s="18" t="s">
        <v>6</v>
      </c>
      <c r="B31" s="18">
        <v>2024</v>
      </c>
      <c r="C31" s="18" t="s">
        <v>138</v>
      </c>
      <c r="D31" s="18" t="s">
        <v>130</v>
      </c>
      <c r="E31" s="18">
        <v>20</v>
      </c>
      <c r="F31" s="18">
        <v>30</v>
      </c>
      <c r="G31" s="18" t="s">
        <v>156</v>
      </c>
      <c r="H31" s="18"/>
      <c r="I31" s="18" t="s">
        <v>186</v>
      </c>
      <c r="J31" s="4">
        <v>49</v>
      </c>
      <c r="K31" s="4">
        <v>49.5</v>
      </c>
      <c r="L31" s="4">
        <v>0.5</v>
      </c>
      <c r="M31" s="5">
        <v>0.34</v>
      </c>
      <c r="N31" s="31">
        <v>0.17</v>
      </c>
      <c r="O31" s="31">
        <v>0.17</v>
      </c>
      <c r="P31" s="31">
        <v>8.5</v>
      </c>
      <c r="Q31" s="31">
        <v>20</v>
      </c>
      <c r="R31" s="31">
        <v>0.1</v>
      </c>
      <c r="S31" s="31">
        <v>0</v>
      </c>
      <c r="T31" s="65">
        <v>0</v>
      </c>
      <c r="U31" s="31">
        <v>7</v>
      </c>
      <c r="V31" s="31"/>
      <c r="W31" s="31">
        <v>7</v>
      </c>
      <c r="X31" s="85">
        <v>14.285714285714286</v>
      </c>
      <c r="Y31" s="18">
        <v>0</v>
      </c>
      <c r="Z31" s="18" t="s">
        <v>330</v>
      </c>
      <c r="AA31" s="18" t="s">
        <v>333</v>
      </c>
      <c r="AB31" s="18" t="s">
        <v>337</v>
      </c>
      <c r="AC31" s="18">
        <v>20</v>
      </c>
      <c r="AD31" s="18">
        <v>8.5</v>
      </c>
      <c r="AE31" s="18" t="s">
        <v>29</v>
      </c>
      <c r="AF31" s="18" t="s">
        <v>29</v>
      </c>
      <c r="AG31" s="131" t="s">
        <v>29</v>
      </c>
      <c r="AH31" s="18">
        <v>8.6999999999999993</v>
      </c>
      <c r="AI31" s="18" t="s">
        <v>32</v>
      </c>
      <c r="AJ31" s="18" t="s">
        <v>66</v>
      </c>
      <c r="AK31" s="18" t="s">
        <v>79</v>
      </c>
      <c r="AL31" s="18" t="s">
        <v>96</v>
      </c>
      <c r="AM31" s="18" t="s">
        <v>107</v>
      </c>
      <c r="AN31" s="18" t="s">
        <v>118</v>
      </c>
      <c r="AO31" s="18" t="s">
        <v>198</v>
      </c>
      <c r="AP31" s="18" t="s">
        <v>235</v>
      </c>
      <c r="AQ31" s="18"/>
      <c r="AR31" s="18">
        <v>1</v>
      </c>
      <c r="AS31" s="18">
        <v>1</v>
      </c>
      <c r="AT31" s="18">
        <v>1</v>
      </c>
      <c r="AU31" s="18">
        <v>3</v>
      </c>
      <c r="AV31" s="18">
        <v>2</v>
      </c>
      <c r="AW31" s="18">
        <v>8</v>
      </c>
      <c r="AX31" s="49">
        <f t="shared" si="0"/>
        <v>0</v>
      </c>
      <c r="AY31" s="49">
        <f>VLOOKUP(AI31,Leyenda!$B$4:$E$10,4,FALSE)</f>
        <v>1</v>
      </c>
      <c r="AZ31" s="50">
        <f t="shared" si="4"/>
        <v>4</v>
      </c>
      <c r="BA31" s="49">
        <v>8</v>
      </c>
      <c r="BB31" s="49">
        <v>10</v>
      </c>
      <c r="BC31" s="67">
        <v>12</v>
      </c>
      <c r="BD31" s="67">
        <f>VLOOKUP(AI31,Leyenda!$B$4:$E$10,4,FALSE)</f>
        <v>1</v>
      </c>
      <c r="BE31" s="67">
        <v>5</v>
      </c>
      <c r="BF31" s="67">
        <f t="shared" si="1"/>
        <v>0</v>
      </c>
      <c r="BG31" s="67">
        <v>1</v>
      </c>
      <c r="BH31" s="67">
        <v>3</v>
      </c>
      <c r="BI31" s="67">
        <v>2</v>
      </c>
      <c r="BJ31" s="67">
        <v>1</v>
      </c>
      <c r="BK31" s="67">
        <v>1</v>
      </c>
      <c r="BL31" s="67">
        <v>10</v>
      </c>
      <c r="BM31" s="125">
        <f t="shared" si="2"/>
        <v>24</v>
      </c>
      <c r="BN31" s="85">
        <f t="shared" si="3"/>
        <v>23</v>
      </c>
    </row>
    <row r="32" spans="1:154" ht="15.75" thickBot="1" x14ac:dyDescent="0.3">
      <c r="A32" s="18" t="s">
        <v>6</v>
      </c>
      <c r="B32" s="18">
        <v>2024</v>
      </c>
      <c r="C32" s="18" t="s">
        <v>138</v>
      </c>
      <c r="D32" s="18" t="s">
        <v>130</v>
      </c>
      <c r="E32" s="18">
        <v>20</v>
      </c>
      <c r="F32" s="18">
        <v>30</v>
      </c>
      <c r="G32" s="18" t="s">
        <v>156</v>
      </c>
      <c r="H32" s="18"/>
      <c r="I32" s="18"/>
      <c r="J32" s="4">
        <v>49.5</v>
      </c>
      <c r="K32" s="4">
        <v>50</v>
      </c>
      <c r="L32" s="4">
        <v>0.5</v>
      </c>
      <c r="M32" s="5">
        <v>0</v>
      </c>
      <c r="N32" s="31">
        <v>0</v>
      </c>
      <c r="O32" s="31">
        <v>0</v>
      </c>
      <c r="P32" s="31" t="s">
        <v>348</v>
      </c>
      <c r="Q32" s="31">
        <v>20</v>
      </c>
      <c r="R32" s="31">
        <v>0.5</v>
      </c>
      <c r="S32" s="31">
        <v>0</v>
      </c>
      <c r="T32" s="65">
        <v>0</v>
      </c>
      <c r="U32" s="31">
        <v>10</v>
      </c>
      <c r="V32" s="31"/>
      <c r="W32" s="31">
        <v>10</v>
      </c>
      <c r="X32" s="85">
        <v>50</v>
      </c>
      <c r="Y32" s="18">
        <v>0</v>
      </c>
      <c r="Z32" s="18" t="s">
        <v>330</v>
      </c>
      <c r="AA32" s="18" t="s">
        <v>333</v>
      </c>
      <c r="AB32" s="18" t="s">
        <v>337</v>
      </c>
      <c r="AC32" s="18">
        <v>20</v>
      </c>
      <c r="AD32" s="18" t="s">
        <v>348</v>
      </c>
      <c r="AE32" s="18" t="s">
        <v>29</v>
      </c>
      <c r="AF32" s="18" t="s">
        <v>29</v>
      </c>
      <c r="AG32" s="131" t="s">
        <v>29</v>
      </c>
      <c r="AH32" s="18">
        <v>8.6999999999999993</v>
      </c>
      <c r="AI32" s="18" t="s">
        <v>32</v>
      </c>
      <c r="AJ32" s="18" t="s">
        <v>66</v>
      </c>
      <c r="AK32" s="18" t="s">
        <v>79</v>
      </c>
      <c r="AL32" s="18" t="s">
        <v>96</v>
      </c>
      <c r="AM32" s="18" t="s">
        <v>107</v>
      </c>
      <c r="AN32" s="18" t="s">
        <v>118</v>
      </c>
      <c r="AO32" s="18" t="s">
        <v>198</v>
      </c>
      <c r="AP32" s="18" t="s">
        <v>235</v>
      </c>
      <c r="AQ32" s="18"/>
      <c r="AR32" s="18">
        <v>1</v>
      </c>
      <c r="AS32" s="18">
        <v>1</v>
      </c>
      <c r="AT32" s="18">
        <v>1</v>
      </c>
      <c r="AU32" s="18">
        <v>3</v>
      </c>
      <c r="AV32" s="18">
        <v>2</v>
      </c>
      <c r="AW32" s="18">
        <v>8</v>
      </c>
      <c r="AX32" s="49">
        <f t="shared" si="0"/>
        <v>0</v>
      </c>
      <c r="AY32" s="49">
        <f>VLOOKUP(AI32,Leyenda!$B$4:$E$10,4,FALSE)</f>
        <v>1</v>
      </c>
      <c r="AZ32" s="50">
        <f t="shared" si="4"/>
        <v>6</v>
      </c>
      <c r="BA32" s="49">
        <v>8</v>
      </c>
      <c r="BB32" s="49">
        <v>10</v>
      </c>
      <c r="BC32" s="67">
        <v>12</v>
      </c>
      <c r="BD32" s="67">
        <f>VLOOKUP(AI32,Leyenda!$B$4:$E$10,4,FALSE)</f>
        <v>1</v>
      </c>
      <c r="BE32" s="67">
        <v>5</v>
      </c>
      <c r="BF32" s="67">
        <f t="shared" si="1"/>
        <v>0</v>
      </c>
      <c r="BG32" s="67">
        <v>1</v>
      </c>
      <c r="BH32" s="67">
        <v>3</v>
      </c>
      <c r="BI32" s="67">
        <v>2</v>
      </c>
      <c r="BJ32" s="67">
        <v>1</v>
      </c>
      <c r="BK32" s="67">
        <v>1</v>
      </c>
      <c r="BL32" s="67">
        <v>10</v>
      </c>
      <c r="BM32" s="125">
        <f t="shared" si="2"/>
        <v>24</v>
      </c>
      <c r="BN32" s="85">
        <f t="shared" si="3"/>
        <v>25</v>
      </c>
      <c r="BQ32" s="148"/>
      <c r="BR32" s="148"/>
      <c r="BS32" s="148"/>
      <c r="BT32" s="148"/>
    </row>
    <row r="33" spans="1:74" x14ac:dyDescent="0.25">
      <c r="A33" s="18" t="s">
        <v>6</v>
      </c>
      <c r="B33" s="18">
        <v>2024</v>
      </c>
      <c r="C33" s="18" t="s">
        <v>138</v>
      </c>
      <c r="D33" s="18" t="s">
        <v>130</v>
      </c>
      <c r="E33" s="18">
        <v>20</v>
      </c>
      <c r="F33" s="18">
        <v>30</v>
      </c>
      <c r="G33" s="18" t="s">
        <v>156</v>
      </c>
      <c r="H33" s="18"/>
      <c r="I33" s="18" t="s">
        <v>185</v>
      </c>
      <c r="J33" s="4">
        <v>50</v>
      </c>
      <c r="K33" s="4">
        <v>50.5</v>
      </c>
      <c r="L33" s="4">
        <v>0.5</v>
      </c>
      <c r="M33" s="5">
        <v>0.18</v>
      </c>
      <c r="N33" s="31">
        <v>0.09</v>
      </c>
      <c r="O33" s="31">
        <v>0.09</v>
      </c>
      <c r="P33" s="31">
        <v>4.5</v>
      </c>
      <c r="Q33" s="31">
        <v>20</v>
      </c>
      <c r="R33" s="31">
        <v>0.1</v>
      </c>
      <c r="S33" s="31">
        <v>0</v>
      </c>
      <c r="T33" s="65">
        <v>0</v>
      </c>
      <c r="U33" s="31">
        <v>10</v>
      </c>
      <c r="V33" s="31"/>
      <c r="W33" s="31">
        <v>10</v>
      </c>
      <c r="X33" s="85">
        <v>10</v>
      </c>
      <c r="Y33" s="18">
        <v>0</v>
      </c>
      <c r="Z33" s="18" t="s">
        <v>330</v>
      </c>
      <c r="AA33" s="18" t="s">
        <v>333</v>
      </c>
      <c r="AB33" s="18" t="s">
        <v>337</v>
      </c>
      <c r="AC33" s="18">
        <v>20</v>
      </c>
      <c r="AD33" s="18">
        <v>4.5</v>
      </c>
      <c r="AE33" s="18" t="s">
        <v>29</v>
      </c>
      <c r="AF33" s="18" t="s">
        <v>29</v>
      </c>
      <c r="AG33" s="131" t="s">
        <v>29</v>
      </c>
      <c r="AH33" s="18">
        <v>8.6999999999999993</v>
      </c>
      <c r="AI33" s="18" t="s">
        <v>32</v>
      </c>
      <c r="AJ33" s="18" t="s">
        <v>66</v>
      </c>
      <c r="AK33" s="18" t="s">
        <v>79</v>
      </c>
      <c r="AL33" s="18" t="s">
        <v>96</v>
      </c>
      <c r="AM33" s="18" t="s">
        <v>107</v>
      </c>
      <c r="AN33" s="18" t="s">
        <v>118</v>
      </c>
      <c r="AO33" s="18" t="s">
        <v>198</v>
      </c>
      <c r="AP33" s="18" t="s">
        <v>235</v>
      </c>
      <c r="AQ33" s="18"/>
      <c r="AR33" s="18">
        <v>1</v>
      </c>
      <c r="AS33" s="18">
        <v>1</v>
      </c>
      <c r="AT33" s="18">
        <v>1</v>
      </c>
      <c r="AU33" s="18">
        <v>3</v>
      </c>
      <c r="AV33" s="18">
        <v>2</v>
      </c>
      <c r="AW33" s="18">
        <v>8</v>
      </c>
      <c r="AX33" s="49">
        <f t="shared" si="0"/>
        <v>0</v>
      </c>
      <c r="AY33" s="49">
        <f>VLOOKUP(AI33,Leyenda!$B$4:$E$10,4,FALSE)</f>
        <v>1</v>
      </c>
      <c r="AZ33" s="50">
        <f t="shared" si="4"/>
        <v>3</v>
      </c>
      <c r="BA33" s="49">
        <v>8</v>
      </c>
      <c r="BB33" s="49">
        <v>10</v>
      </c>
      <c r="BC33" s="67">
        <v>12</v>
      </c>
      <c r="BD33" s="67">
        <f>VLOOKUP(AI33,Leyenda!$B$4:$E$10,4,FALSE)</f>
        <v>1</v>
      </c>
      <c r="BE33" s="67">
        <v>5</v>
      </c>
      <c r="BF33" s="67">
        <f t="shared" si="1"/>
        <v>0</v>
      </c>
      <c r="BG33" s="67">
        <v>1</v>
      </c>
      <c r="BH33" s="67">
        <v>3</v>
      </c>
      <c r="BI33" s="67">
        <v>2</v>
      </c>
      <c r="BJ33" s="67">
        <v>1</v>
      </c>
      <c r="BK33" s="67">
        <v>1</v>
      </c>
      <c r="BL33" s="67">
        <v>10</v>
      </c>
      <c r="BM33" s="125">
        <f t="shared" si="2"/>
        <v>24</v>
      </c>
      <c r="BN33" s="85">
        <f t="shared" si="3"/>
        <v>22</v>
      </c>
      <c r="BQ33" s="148"/>
      <c r="BR33" s="146" t="s">
        <v>12</v>
      </c>
      <c r="BS33" s="146"/>
      <c r="BT33" s="148"/>
    </row>
    <row r="34" spans="1:74" x14ac:dyDescent="0.25">
      <c r="A34" s="18" t="s">
        <v>6</v>
      </c>
      <c r="B34" s="18">
        <v>2024</v>
      </c>
      <c r="C34" s="18" t="s">
        <v>138</v>
      </c>
      <c r="D34" s="18" t="s">
        <v>130</v>
      </c>
      <c r="E34" s="18">
        <v>20</v>
      </c>
      <c r="F34" s="18">
        <v>30</v>
      </c>
      <c r="G34" s="18" t="s">
        <v>156</v>
      </c>
      <c r="H34" s="18"/>
      <c r="I34" s="18" t="s">
        <v>185</v>
      </c>
      <c r="J34" s="4">
        <v>50.5</v>
      </c>
      <c r="K34" s="4">
        <v>51</v>
      </c>
      <c r="L34" s="4">
        <v>0.5</v>
      </c>
      <c r="M34" s="5">
        <v>0.26</v>
      </c>
      <c r="N34" s="31">
        <v>0.13</v>
      </c>
      <c r="O34" s="31">
        <v>0.13</v>
      </c>
      <c r="P34" s="31">
        <v>6.5</v>
      </c>
      <c r="Q34" s="31">
        <v>20</v>
      </c>
      <c r="R34" s="31">
        <v>0.12</v>
      </c>
      <c r="S34" s="31">
        <v>0</v>
      </c>
      <c r="T34" s="65">
        <v>0</v>
      </c>
      <c r="U34" s="31">
        <v>10</v>
      </c>
      <c r="V34" s="31"/>
      <c r="W34" s="31">
        <v>10</v>
      </c>
      <c r="X34" s="85">
        <v>12</v>
      </c>
      <c r="Y34" s="18">
        <v>0</v>
      </c>
      <c r="Z34" s="18" t="s">
        <v>330</v>
      </c>
      <c r="AA34" s="18" t="s">
        <v>333</v>
      </c>
      <c r="AB34" s="18" t="s">
        <v>337</v>
      </c>
      <c r="AC34" s="18">
        <v>20</v>
      </c>
      <c r="AD34" s="18">
        <v>6.5</v>
      </c>
      <c r="AE34" s="18" t="s">
        <v>29</v>
      </c>
      <c r="AF34" s="18" t="s">
        <v>29</v>
      </c>
      <c r="AG34" s="131" t="s">
        <v>29</v>
      </c>
      <c r="AH34" s="18">
        <v>8.6999999999999993</v>
      </c>
      <c r="AI34" s="18" t="s">
        <v>32</v>
      </c>
      <c r="AJ34" s="18" t="s">
        <v>66</v>
      </c>
      <c r="AK34" s="18" t="s">
        <v>79</v>
      </c>
      <c r="AL34" s="18" t="s">
        <v>96</v>
      </c>
      <c r="AM34" s="18" t="s">
        <v>107</v>
      </c>
      <c r="AN34" s="18" t="s">
        <v>118</v>
      </c>
      <c r="AO34" s="18" t="s">
        <v>198</v>
      </c>
      <c r="AP34" s="18" t="s">
        <v>235</v>
      </c>
      <c r="AQ34" s="18"/>
      <c r="AR34" s="18">
        <v>1</v>
      </c>
      <c r="AS34" s="18">
        <v>1</v>
      </c>
      <c r="AT34" s="18">
        <v>1</v>
      </c>
      <c r="AU34" s="18">
        <v>3</v>
      </c>
      <c r="AV34" s="18">
        <v>2</v>
      </c>
      <c r="AW34" s="18">
        <v>8</v>
      </c>
      <c r="AX34" s="49">
        <f t="shared" si="0"/>
        <v>0</v>
      </c>
      <c r="AY34" s="49">
        <f>VLOOKUP(AI34,Leyenda!$B$4:$E$10,4,FALSE)</f>
        <v>1</v>
      </c>
      <c r="AZ34" s="50">
        <f t="shared" si="4"/>
        <v>4</v>
      </c>
      <c r="BA34" s="49">
        <v>8</v>
      </c>
      <c r="BB34" s="49">
        <v>10</v>
      </c>
      <c r="BC34" s="67">
        <v>12</v>
      </c>
      <c r="BD34" s="67">
        <f>VLOOKUP(AI34,Leyenda!$B$4:$E$10,4,FALSE)</f>
        <v>1</v>
      </c>
      <c r="BE34" s="67">
        <v>5</v>
      </c>
      <c r="BF34" s="67">
        <f t="shared" si="1"/>
        <v>0</v>
      </c>
      <c r="BG34" s="67">
        <v>1</v>
      </c>
      <c r="BH34" s="67">
        <v>3</v>
      </c>
      <c r="BI34" s="67">
        <v>2</v>
      </c>
      <c r="BJ34" s="67">
        <v>1</v>
      </c>
      <c r="BK34" s="67">
        <v>1</v>
      </c>
      <c r="BL34" s="67">
        <v>10</v>
      </c>
      <c r="BM34" s="125">
        <f t="shared" si="2"/>
        <v>24</v>
      </c>
      <c r="BN34" s="85">
        <f t="shared" si="3"/>
        <v>23</v>
      </c>
      <c r="BQ34" s="148"/>
      <c r="BR34" s="148"/>
      <c r="BS34" s="148"/>
      <c r="BT34" s="148"/>
    </row>
    <row r="35" spans="1:74" x14ac:dyDescent="0.25">
      <c r="A35" s="18" t="s">
        <v>6</v>
      </c>
      <c r="B35" s="18">
        <v>2024</v>
      </c>
      <c r="C35" s="18" t="s">
        <v>138</v>
      </c>
      <c r="D35" s="18" t="s">
        <v>130</v>
      </c>
      <c r="E35" s="18">
        <v>20</v>
      </c>
      <c r="F35" s="18">
        <v>30</v>
      </c>
      <c r="G35" s="18" t="s">
        <v>156</v>
      </c>
      <c r="H35" s="18"/>
      <c r="I35" s="18" t="s">
        <v>185</v>
      </c>
      <c r="J35" s="4">
        <v>51</v>
      </c>
      <c r="K35" s="4">
        <v>51.5</v>
      </c>
      <c r="L35" s="4">
        <v>0.5</v>
      </c>
      <c r="M35" s="5">
        <v>0.16</v>
      </c>
      <c r="N35" s="31">
        <v>0.08</v>
      </c>
      <c r="O35" s="31">
        <v>0.08</v>
      </c>
      <c r="P35" s="31">
        <v>4</v>
      </c>
      <c r="Q35" s="31">
        <v>20</v>
      </c>
      <c r="R35" s="31">
        <v>0.06</v>
      </c>
      <c r="S35" s="31">
        <v>0</v>
      </c>
      <c r="T35" s="65">
        <v>0</v>
      </c>
      <c r="U35" s="31">
        <v>10</v>
      </c>
      <c r="V35" s="31"/>
      <c r="W35" s="31">
        <v>10</v>
      </c>
      <c r="X35" s="85">
        <v>6</v>
      </c>
      <c r="Y35" s="18">
        <v>0</v>
      </c>
      <c r="Z35" s="18" t="s">
        <v>330</v>
      </c>
      <c r="AA35" s="18" t="s">
        <v>333</v>
      </c>
      <c r="AB35" s="18" t="s">
        <v>337</v>
      </c>
      <c r="AC35" s="18">
        <v>20</v>
      </c>
      <c r="AD35" s="18">
        <v>4</v>
      </c>
      <c r="AE35" s="18" t="s">
        <v>29</v>
      </c>
      <c r="AF35" s="18" t="s">
        <v>29</v>
      </c>
      <c r="AG35" s="131" t="s">
        <v>29</v>
      </c>
      <c r="AH35" s="18">
        <v>8.6999999999999993</v>
      </c>
      <c r="AI35" s="18" t="s">
        <v>32</v>
      </c>
      <c r="AJ35" s="18" t="s">
        <v>66</v>
      </c>
      <c r="AK35" s="18" t="s">
        <v>79</v>
      </c>
      <c r="AL35" s="18" t="s">
        <v>96</v>
      </c>
      <c r="AM35" s="18" t="s">
        <v>107</v>
      </c>
      <c r="AN35" s="18" t="s">
        <v>118</v>
      </c>
      <c r="AO35" s="18" t="s">
        <v>198</v>
      </c>
      <c r="AP35" s="18" t="s">
        <v>235</v>
      </c>
      <c r="AQ35" s="18"/>
      <c r="AR35" s="18">
        <v>1</v>
      </c>
      <c r="AS35" s="18">
        <v>1</v>
      </c>
      <c r="AT35" s="18">
        <v>1</v>
      </c>
      <c r="AU35" s="18">
        <v>3</v>
      </c>
      <c r="AV35" s="18">
        <v>2</v>
      </c>
      <c r="AW35" s="18">
        <v>8</v>
      </c>
      <c r="AX35" s="49">
        <f t="shared" si="0"/>
        <v>0</v>
      </c>
      <c r="AY35" s="49">
        <f>VLOOKUP(AI35,Leyenda!$B$4:$E$10,4,FALSE)</f>
        <v>1</v>
      </c>
      <c r="AZ35" s="50">
        <f t="shared" si="4"/>
        <v>3</v>
      </c>
      <c r="BA35" s="49">
        <v>8</v>
      </c>
      <c r="BB35" s="49">
        <v>10</v>
      </c>
      <c r="BC35" s="67">
        <v>12</v>
      </c>
      <c r="BD35" s="67">
        <f>VLOOKUP(AI35,Leyenda!$B$4:$E$10,4,FALSE)</f>
        <v>1</v>
      </c>
      <c r="BE35" s="67">
        <v>5</v>
      </c>
      <c r="BF35" s="67">
        <f t="shared" si="1"/>
        <v>0</v>
      </c>
      <c r="BG35" s="67">
        <v>1</v>
      </c>
      <c r="BH35" s="67">
        <v>3</v>
      </c>
      <c r="BI35" s="67">
        <v>2</v>
      </c>
      <c r="BJ35" s="67">
        <v>1</v>
      </c>
      <c r="BK35" s="67">
        <v>1</v>
      </c>
      <c r="BL35" s="67">
        <v>10</v>
      </c>
      <c r="BM35" s="125">
        <f t="shared" si="2"/>
        <v>24</v>
      </c>
      <c r="BN35" s="85">
        <f t="shared" si="3"/>
        <v>22</v>
      </c>
      <c r="BQ35" s="148"/>
      <c r="BR35" s="148" t="s">
        <v>307</v>
      </c>
      <c r="BS35" s="148">
        <v>23.783132530120483</v>
      </c>
      <c r="BT35" s="148"/>
    </row>
    <row r="36" spans="1:74" x14ac:dyDescent="0.25">
      <c r="A36" s="18" t="s">
        <v>6</v>
      </c>
      <c r="B36" s="18">
        <v>2024</v>
      </c>
      <c r="C36" s="18" t="s">
        <v>138</v>
      </c>
      <c r="D36" s="18" t="s">
        <v>130</v>
      </c>
      <c r="E36" s="18">
        <v>20</v>
      </c>
      <c r="F36" s="18">
        <v>30</v>
      </c>
      <c r="G36" s="18" t="s">
        <v>156</v>
      </c>
      <c r="H36" s="18"/>
      <c r="I36" s="18" t="s">
        <v>185</v>
      </c>
      <c r="J36" s="4">
        <v>51.5</v>
      </c>
      <c r="K36" s="4">
        <v>52</v>
      </c>
      <c r="L36" s="4">
        <v>0.5</v>
      </c>
      <c r="M36" s="5">
        <v>0.62</v>
      </c>
      <c r="N36" s="31">
        <v>0.31</v>
      </c>
      <c r="O36" s="31">
        <v>0.31</v>
      </c>
      <c r="P36" s="31">
        <v>15.5</v>
      </c>
      <c r="Q36" s="31">
        <v>20</v>
      </c>
      <c r="R36" s="31">
        <v>0.28999999999999998</v>
      </c>
      <c r="S36" s="31">
        <v>0</v>
      </c>
      <c r="T36" s="65">
        <v>0</v>
      </c>
      <c r="U36" s="31">
        <v>10</v>
      </c>
      <c r="V36" s="31"/>
      <c r="W36" s="31">
        <v>10</v>
      </c>
      <c r="X36" s="85">
        <v>29</v>
      </c>
      <c r="Y36" s="18">
        <v>0</v>
      </c>
      <c r="Z36" s="18" t="s">
        <v>330</v>
      </c>
      <c r="AA36" s="18" t="s">
        <v>333</v>
      </c>
      <c r="AB36" s="18" t="s">
        <v>337</v>
      </c>
      <c r="AC36" s="18">
        <v>20</v>
      </c>
      <c r="AD36" s="18">
        <v>15.5</v>
      </c>
      <c r="AE36" s="18" t="s">
        <v>29</v>
      </c>
      <c r="AF36" s="18" t="s">
        <v>29</v>
      </c>
      <c r="AG36" s="131" t="s">
        <v>29</v>
      </c>
      <c r="AH36" s="18">
        <v>8.6999999999999993</v>
      </c>
      <c r="AI36" s="18" t="s">
        <v>32</v>
      </c>
      <c r="AJ36" s="18" t="s">
        <v>66</v>
      </c>
      <c r="AK36" s="18" t="s">
        <v>79</v>
      </c>
      <c r="AL36" s="18" t="s">
        <v>96</v>
      </c>
      <c r="AM36" s="18" t="s">
        <v>107</v>
      </c>
      <c r="AN36" s="18" t="s">
        <v>118</v>
      </c>
      <c r="AO36" s="18" t="s">
        <v>198</v>
      </c>
      <c r="AP36" s="18" t="s">
        <v>235</v>
      </c>
      <c r="AQ36" s="18"/>
      <c r="AR36" s="18">
        <v>1</v>
      </c>
      <c r="AS36" s="18">
        <v>1</v>
      </c>
      <c r="AT36" s="18">
        <v>1</v>
      </c>
      <c r="AU36" s="18">
        <v>3</v>
      </c>
      <c r="AV36" s="18">
        <v>2</v>
      </c>
      <c r="AW36" s="18">
        <v>8</v>
      </c>
      <c r="AX36" s="49">
        <f t="shared" si="0"/>
        <v>0</v>
      </c>
      <c r="AY36" s="49">
        <f>VLOOKUP(AI36,Leyenda!$B$4:$E$10,4,FALSE)</f>
        <v>1</v>
      </c>
      <c r="AZ36" s="50">
        <f t="shared" si="4"/>
        <v>5</v>
      </c>
      <c r="BA36" s="49">
        <v>8</v>
      </c>
      <c r="BB36" s="49">
        <v>10</v>
      </c>
      <c r="BC36" s="67">
        <v>12</v>
      </c>
      <c r="BD36" s="67">
        <f>VLOOKUP(AI36,Leyenda!$B$4:$E$10,4,FALSE)</f>
        <v>1</v>
      </c>
      <c r="BE36" s="67">
        <v>5</v>
      </c>
      <c r="BF36" s="67">
        <f t="shared" si="1"/>
        <v>0</v>
      </c>
      <c r="BG36" s="67">
        <v>1</v>
      </c>
      <c r="BH36" s="67">
        <v>3</v>
      </c>
      <c r="BI36" s="67">
        <v>2</v>
      </c>
      <c r="BJ36" s="67">
        <v>1</v>
      </c>
      <c r="BK36" s="67">
        <v>1</v>
      </c>
      <c r="BL36" s="67">
        <v>10</v>
      </c>
      <c r="BM36" s="125">
        <f t="shared" si="2"/>
        <v>24</v>
      </c>
      <c r="BN36" s="85">
        <f t="shared" si="3"/>
        <v>24</v>
      </c>
      <c r="BQ36" s="148"/>
      <c r="BR36" s="148" t="s">
        <v>308</v>
      </c>
      <c r="BS36" s="148">
        <v>0.41816251172187263</v>
      </c>
      <c r="BT36" s="148"/>
    </row>
    <row r="37" spans="1:74" x14ac:dyDescent="0.25">
      <c r="A37" s="18" t="s">
        <v>6</v>
      </c>
      <c r="B37" s="18">
        <v>2024</v>
      </c>
      <c r="C37" s="18" t="s">
        <v>138</v>
      </c>
      <c r="D37" s="18" t="s">
        <v>130</v>
      </c>
      <c r="E37" s="18">
        <v>20</v>
      </c>
      <c r="F37" s="18">
        <v>30</v>
      </c>
      <c r="G37" s="18" t="s">
        <v>156</v>
      </c>
      <c r="H37" s="18"/>
      <c r="I37" s="18" t="s">
        <v>185</v>
      </c>
      <c r="J37" s="4">
        <v>52</v>
      </c>
      <c r="K37" s="4">
        <v>52.5</v>
      </c>
      <c r="L37" s="4">
        <v>0.5</v>
      </c>
      <c r="M37" s="5">
        <v>0.57999999999999996</v>
      </c>
      <c r="N37" s="31">
        <v>0.28999999999999998</v>
      </c>
      <c r="O37" s="31">
        <v>0.28999999999999998</v>
      </c>
      <c r="P37" s="31">
        <v>14.5</v>
      </c>
      <c r="Q37" s="31">
        <v>20</v>
      </c>
      <c r="R37" s="31">
        <v>0.22</v>
      </c>
      <c r="S37" s="31">
        <v>0</v>
      </c>
      <c r="T37" s="65">
        <v>0</v>
      </c>
      <c r="U37" s="31">
        <v>10</v>
      </c>
      <c r="V37" s="31"/>
      <c r="W37" s="31">
        <v>10</v>
      </c>
      <c r="X37" s="85">
        <v>22</v>
      </c>
      <c r="Y37" s="18">
        <v>0</v>
      </c>
      <c r="Z37" s="18" t="s">
        <v>330</v>
      </c>
      <c r="AA37" s="18" t="s">
        <v>333</v>
      </c>
      <c r="AB37" s="18" t="s">
        <v>337</v>
      </c>
      <c r="AC37" s="18">
        <v>20</v>
      </c>
      <c r="AD37" s="18">
        <v>14.5</v>
      </c>
      <c r="AE37" s="18" t="s">
        <v>29</v>
      </c>
      <c r="AF37" s="18" t="s">
        <v>29</v>
      </c>
      <c r="AG37" s="131" t="s">
        <v>29</v>
      </c>
      <c r="AH37" s="18">
        <v>8.6999999999999993</v>
      </c>
      <c r="AI37" s="18" t="s">
        <v>32</v>
      </c>
      <c r="AJ37" s="18" t="s">
        <v>66</v>
      </c>
      <c r="AK37" s="18" t="s">
        <v>79</v>
      </c>
      <c r="AL37" s="18" t="s">
        <v>96</v>
      </c>
      <c r="AM37" s="18" t="s">
        <v>107</v>
      </c>
      <c r="AN37" s="18" t="s">
        <v>118</v>
      </c>
      <c r="AO37" s="18" t="s">
        <v>198</v>
      </c>
      <c r="AP37" s="18" t="s">
        <v>235</v>
      </c>
      <c r="AQ37" s="18"/>
      <c r="AR37" s="18">
        <v>1</v>
      </c>
      <c r="AS37" s="18">
        <v>1</v>
      </c>
      <c r="AT37" s="18">
        <v>1</v>
      </c>
      <c r="AU37" s="18">
        <v>3</v>
      </c>
      <c r="AV37" s="18">
        <v>2</v>
      </c>
      <c r="AW37" s="18">
        <v>8</v>
      </c>
      <c r="AX37" s="49">
        <f t="shared" si="0"/>
        <v>0</v>
      </c>
      <c r="AY37" s="49">
        <f>VLOOKUP(AI37,Leyenda!$B$4:$E$10,4,FALSE)</f>
        <v>1</v>
      </c>
      <c r="AZ37" s="50">
        <f t="shared" si="4"/>
        <v>4</v>
      </c>
      <c r="BA37" s="49">
        <v>8</v>
      </c>
      <c r="BB37" s="49">
        <v>10</v>
      </c>
      <c r="BC37" s="67">
        <v>12</v>
      </c>
      <c r="BD37" s="67">
        <f>VLOOKUP(AI37,Leyenda!$B$4:$E$10,4,FALSE)</f>
        <v>1</v>
      </c>
      <c r="BE37" s="67">
        <v>5</v>
      </c>
      <c r="BF37" s="67">
        <f t="shared" si="1"/>
        <v>0</v>
      </c>
      <c r="BG37" s="67">
        <v>1</v>
      </c>
      <c r="BH37" s="67">
        <v>3</v>
      </c>
      <c r="BI37" s="67">
        <v>2</v>
      </c>
      <c r="BJ37" s="67">
        <v>1</v>
      </c>
      <c r="BK37" s="67">
        <v>1</v>
      </c>
      <c r="BL37" s="67">
        <v>10</v>
      </c>
      <c r="BM37" s="125">
        <f t="shared" si="2"/>
        <v>24</v>
      </c>
      <c r="BN37" s="85">
        <f t="shared" si="3"/>
        <v>23</v>
      </c>
      <c r="BQ37" s="148"/>
      <c r="BR37" s="148" t="s">
        <v>309</v>
      </c>
      <c r="BS37" s="148">
        <v>23</v>
      </c>
      <c r="BT37" s="148"/>
    </row>
    <row r="38" spans="1:74" x14ac:dyDescent="0.25">
      <c r="A38" s="18" t="s">
        <v>6</v>
      </c>
      <c r="B38" s="18">
        <v>2024</v>
      </c>
      <c r="C38" s="18" t="s">
        <v>138</v>
      </c>
      <c r="D38" s="18" t="s">
        <v>130</v>
      </c>
      <c r="E38" s="18">
        <v>20</v>
      </c>
      <c r="F38" s="18">
        <v>30</v>
      </c>
      <c r="G38" s="18" t="s">
        <v>156</v>
      </c>
      <c r="H38" s="18"/>
      <c r="I38" s="18" t="s">
        <v>185</v>
      </c>
      <c r="J38" s="4">
        <v>52.5</v>
      </c>
      <c r="K38" s="4">
        <v>53</v>
      </c>
      <c r="L38" s="4">
        <v>0.5</v>
      </c>
      <c r="M38" s="5">
        <v>0.46</v>
      </c>
      <c r="N38" s="31">
        <v>0.23</v>
      </c>
      <c r="O38" s="31">
        <v>0.23</v>
      </c>
      <c r="P38" s="31">
        <v>11.5</v>
      </c>
      <c r="Q38" s="31">
        <v>20</v>
      </c>
      <c r="R38" s="31">
        <v>0.21</v>
      </c>
      <c r="S38" s="31">
        <v>0</v>
      </c>
      <c r="T38" s="65">
        <v>0</v>
      </c>
      <c r="U38" s="31">
        <v>10</v>
      </c>
      <c r="V38" s="31"/>
      <c r="W38" s="31">
        <v>10</v>
      </c>
      <c r="X38" s="85">
        <v>21</v>
      </c>
      <c r="Y38" s="18">
        <v>0</v>
      </c>
      <c r="Z38" s="18" t="s">
        <v>330</v>
      </c>
      <c r="AA38" s="18" t="s">
        <v>333</v>
      </c>
      <c r="AB38" s="18" t="s">
        <v>337</v>
      </c>
      <c r="AC38" s="18">
        <v>20</v>
      </c>
      <c r="AD38" s="18">
        <v>11.5</v>
      </c>
      <c r="AE38" s="18" t="s">
        <v>29</v>
      </c>
      <c r="AF38" s="18" t="s">
        <v>29</v>
      </c>
      <c r="AG38" s="131" t="s">
        <v>29</v>
      </c>
      <c r="AH38" s="18">
        <v>8.6999999999999993</v>
      </c>
      <c r="AI38" s="18" t="s">
        <v>32</v>
      </c>
      <c r="AJ38" s="18" t="s">
        <v>66</v>
      </c>
      <c r="AK38" s="18" t="s">
        <v>79</v>
      </c>
      <c r="AL38" s="18" t="s">
        <v>96</v>
      </c>
      <c r="AM38" s="18" t="s">
        <v>107</v>
      </c>
      <c r="AN38" s="18" t="s">
        <v>118</v>
      </c>
      <c r="AO38" s="18" t="s">
        <v>198</v>
      </c>
      <c r="AP38" s="18" t="s">
        <v>235</v>
      </c>
      <c r="AQ38" s="18"/>
      <c r="AR38" s="18">
        <v>1</v>
      </c>
      <c r="AS38" s="18">
        <v>1</v>
      </c>
      <c r="AT38" s="18">
        <v>1</v>
      </c>
      <c r="AU38" s="18">
        <v>3</v>
      </c>
      <c r="AV38" s="18">
        <v>2</v>
      </c>
      <c r="AW38" s="18">
        <v>8</v>
      </c>
      <c r="AX38" s="49">
        <f t="shared" si="0"/>
        <v>0</v>
      </c>
      <c r="AY38" s="49">
        <f>VLOOKUP(AI38,Leyenda!$B$4:$E$10,4,FALSE)</f>
        <v>1</v>
      </c>
      <c r="AZ38" s="50">
        <f t="shared" si="4"/>
        <v>4</v>
      </c>
      <c r="BA38" s="49">
        <v>8</v>
      </c>
      <c r="BB38" s="49">
        <v>10</v>
      </c>
      <c r="BC38" s="67">
        <v>12</v>
      </c>
      <c r="BD38" s="67">
        <f>VLOOKUP(AI38,Leyenda!$B$4:$E$10,4,FALSE)</f>
        <v>1</v>
      </c>
      <c r="BE38" s="67">
        <v>5</v>
      </c>
      <c r="BF38" s="67">
        <f t="shared" si="1"/>
        <v>0</v>
      </c>
      <c r="BG38" s="67">
        <v>1</v>
      </c>
      <c r="BH38" s="67">
        <v>3</v>
      </c>
      <c r="BI38" s="67">
        <v>2</v>
      </c>
      <c r="BJ38" s="67">
        <v>1</v>
      </c>
      <c r="BK38" s="67">
        <v>1</v>
      </c>
      <c r="BL38" s="67">
        <v>10</v>
      </c>
      <c r="BM38" s="125">
        <f t="shared" si="2"/>
        <v>24</v>
      </c>
      <c r="BN38" s="85">
        <f t="shared" si="3"/>
        <v>23</v>
      </c>
      <c r="BQ38" s="148"/>
      <c r="BR38" s="148" t="s">
        <v>310</v>
      </c>
      <c r="BS38" s="148">
        <v>23</v>
      </c>
      <c r="BT38" s="148"/>
    </row>
    <row r="39" spans="1:74" x14ac:dyDescent="0.25">
      <c r="A39" s="18" t="s">
        <v>6</v>
      </c>
      <c r="B39" s="18">
        <v>2024</v>
      </c>
      <c r="C39" s="18" t="s">
        <v>138</v>
      </c>
      <c r="D39" s="18" t="s">
        <v>130</v>
      </c>
      <c r="E39" s="18">
        <v>20</v>
      </c>
      <c r="F39" s="18">
        <v>30</v>
      </c>
      <c r="G39" s="18" t="s">
        <v>156</v>
      </c>
      <c r="H39" s="18"/>
      <c r="I39" s="18" t="s">
        <v>185</v>
      </c>
      <c r="J39" s="4">
        <v>53</v>
      </c>
      <c r="K39" s="4">
        <v>53.5</v>
      </c>
      <c r="L39" s="4">
        <v>0.5</v>
      </c>
      <c r="M39" s="5">
        <v>0.18</v>
      </c>
      <c r="N39" s="31">
        <v>0.09</v>
      </c>
      <c r="O39" s="31">
        <v>0.09</v>
      </c>
      <c r="P39" s="31">
        <v>4.5</v>
      </c>
      <c r="Q39" s="31">
        <v>20</v>
      </c>
      <c r="R39" s="31">
        <v>0.08</v>
      </c>
      <c r="S39" s="31">
        <v>0</v>
      </c>
      <c r="T39" s="65">
        <v>0</v>
      </c>
      <c r="U39" s="31">
        <v>10</v>
      </c>
      <c r="V39" s="31"/>
      <c r="W39" s="31">
        <v>10</v>
      </c>
      <c r="X39" s="85">
        <v>8</v>
      </c>
      <c r="Y39" s="18">
        <v>0</v>
      </c>
      <c r="Z39" s="18" t="s">
        <v>330</v>
      </c>
      <c r="AA39" s="18" t="s">
        <v>333</v>
      </c>
      <c r="AB39" s="18" t="s">
        <v>337</v>
      </c>
      <c r="AC39" s="18">
        <v>20</v>
      </c>
      <c r="AD39" s="18">
        <v>4.5</v>
      </c>
      <c r="AE39" s="18" t="s">
        <v>29</v>
      </c>
      <c r="AF39" s="18" t="s">
        <v>29</v>
      </c>
      <c r="AG39" s="131" t="s">
        <v>29</v>
      </c>
      <c r="AH39" s="18">
        <v>8.6999999999999993</v>
      </c>
      <c r="AI39" s="18" t="s">
        <v>32</v>
      </c>
      <c r="AJ39" s="18" t="s">
        <v>66</v>
      </c>
      <c r="AK39" s="18" t="s">
        <v>79</v>
      </c>
      <c r="AL39" s="18" t="s">
        <v>96</v>
      </c>
      <c r="AM39" s="18" t="s">
        <v>107</v>
      </c>
      <c r="AN39" s="18" t="s">
        <v>118</v>
      </c>
      <c r="AO39" s="18" t="s">
        <v>198</v>
      </c>
      <c r="AP39" s="18" t="s">
        <v>235</v>
      </c>
      <c r="AQ39" s="18"/>
      <c r="AR39" s="18">
        <v>1</v>
      </c>
      <c r="AS39" s="18">
        <v>1</v>
      </c>
      <c r="AT39" s="18">
        <v>1</v>
      </c>
      <c r="AU39" s="18">
        <v>3</v>
      </c>
      <c r="AV39" s="18">
        <v>2</v>
      </c>
      <c r="AW39" s="18">
        <v>8</v>
      </c>
      <c r="AX39" s="49">
        <f t="shared" si="0"/>
        <v>0</v>
      </c>
      <c r="AY39" s="49">
        <f>VLOOKUP(AI39,Leyenda!$B$4:$E$10,4,FALSE)</f>
        <v>1</v>
      </c>
      <c r="AZ39" s="50">
        <f t="shared" si="4"/>
        <v>3</v>
      </c>
      <c r="BA39" s="49">
        <v>8</v>
      </c>
      <c r="BB39" s="49">
        <v>10</v>
      </c>
      <c r="BC39" s="67">
        <v>12</v>
      </c>
      <c r="BD39" s="67">
        <f>VLOOKUP(AI39,Leyenda!$B$4:$E$10,4,FALSE)</f>
        <v>1</v>
      </c>
      <c r="BE39" s="67">
        <v>5</v>
      </c>
      <c r="BF39" s="67">
        <f t="shared" si="1"/>
        <v>0</v>
      </c>
      <c r="BG39" s="67">
        <v>1</v>
      </c>
      <c r="BH39" s="67">
        <v>3</v>
      </c>
      <c r="BI39" s="67">
        <v>2</v>
      </c>
      <c r="BJ39" s="67">
        <v>1</v>
      </c>
      <c r="BK39" s="67">
        <v>1</v>
      </c>
      <c r="BL39" s="67">
        <v>10</v>
      </c>
      <c r="BM39" s="125">
        <f t="shared" si="2"/>
        <v>24</v>
      </c>
      <c r="BN39" s="85">
        <f t="shared" si="3"/>
        <v>22</v>
      </c>
      <c r="BQ39" s="148"/>
      <c r="BR39" s="148" t="s">
        <v>311</v>
      </c>
      <c r="BS39" s="148">
        <v>3.80964178833027</v>
      </c>
      <c r="BT39" s="148"/>
    </row>
    <row r="40" spans="1:74" x14ac:dyDescent="0.25">
      <c r="A40" s="18" t="s">
        <v>6</v>
      </c>
      <c r="B40" s="18">
        <v>2024</v>
      </c>
      <c r="C40" s="18" t="s">
        <v>138</v>
      </c>
      <c r="D40" s="18" t="s">
        <v>130</v>
      </c>
      <c r="E40" s="18">
        <v>20</v>
      </c>
      <c r="F40" s="18">
        <v>30</v>
      </c>
      <c r="G40" s="18" t="s">
        <v>156</v>
      </c>
      <c r="H40" s="18"/>
      <c r="I40" s="18" t="s">
        <v>185</v>
      </c>
      <c r="J40" s="4">
        <v>53.5</v>
      </c>
      <c r="K40" s="4">
        <v>54</v>
      </c>
      <c r="L40" s="4">
        <v>0.5</v>
      </c>
      <c r="M40" s="5">
        <v>0.14000000000000001</v>
      </c>
      <c r="N40" s="31">
        <v>7.0000000000000007E-2</v>
      </c>
      <c r="O40" s="31">
        <v>7.0000000000000007E-2</v>
      </c>
      <c r="P40" s="31">
        <v>3.5</v>
      </c>
      <c r="Q40" s="31">
        <v>20</v>
      </c>
      <c r="R40" s="31">
        <v>0.05</v>
      </c>
      <c r="S40" s="31">
        <v>0</v>
      </c>
      <c r="T40" s="65">
        <v>0</v>
      </c>
      <c r="U40" s="31">
        <v>10</v>
      </c>
      <c r="V40" s="31"/>
      <c r="W40" s="31">
        <v>10</v>
      </c>
      <c r="X40" s="85">
        <v>5</v>
      </c>
      <c r="Y40" s="18">
        <v>0</v>
      </c>
      <c r="Z40" s="18" t="s">
        <v>330</v>
      </c>
      <c r="AA40" s="18" t="s">
        <v>333</v>
      </c>
      <c r="AB40" s="18" t="s">
        <v>337</v>
      </c>
      <c r="AC40" s="18">
        <v>20</v>
      </c>
      <c r="AD40" s="18">
        <v>3.5</v>
      </c>
      <c r="AE40" s="18" t="s">
        <v>29</v>
      </c>
      <c r="AF40" s="18" t="s">
        <v>29</v>
      </c>
      <c r="AG40" s="131" t="s">
        <v>29</v>
      </c>
      <c r="AH40" s="18">
        <v>8.6999999999999993</v>
      </c>
      <c r="AI40" s="18" t="s">
        <v>32</v>
      </c>
      <c r="AJ40" s="18" t="s">
        <v>66</v>
      </c>
      <c r="AK40" s="18" t="s">
        <v>79</v>
      </c>
      <c r="AL40" s="18" t="s">
        <v>96</v>
      </c>
      <c r="AM40" s="18" t="s">
        <v>107</v>
      </c>
      <c r="AN40" s="18" t="s">
        <v>118</v>
      </c>
      <c r="AO40" s="18" t="s">
        <v>198</v>
      </c>
      <c r="AP40" s="18" t="s">
        <v>235</v>
      </c>
      <c r="AQ40" s="18"/>
      <c r="AR40" s="18">
        <v>1</v>
      </c>
      <c r="AS40" s="18">
        <v>1</v>
      </c>
      <c r="AT40" s="18">
        <v>1</v>
      </c>
      <c r="AU40" s="18">
        <v>3</v>
      </c>
      <c r="AV40" s="18">
        <v>2</v>
      </c>
      <c r="AW40" s="18">
        <v>8</v>
      </c>
      <c r="AX40" s="49">
        <f t="shared" si="0"/>
        <v>0</v>
      </c>
      <c r="AY40" s="49">
        <f>VLOOKUP(AI40,Leyenda!$B$4:$E$10,4,FALSE)</f>
        <v>1</v>
      </c>
      <c r="AZ40" s="50">
        <f t="shared" si="4"/>
        <v>3</v>
      </c>
      <c r="BA40" s="49">
        <v>8</v>
      </c>
      <c r="BB40" s="49">
        <v>10</v>
      </c>
      <c r="BC40" s="67">
        <v>12</v>
      </c>
      <c r="BD40" s="67">
        <f>VLOOKUP(AI40,Leyenda!$B$4:$E$10,4,FALSE)</f>
        <v>1</v>
      </c>
      <c r="BE40" s="67">
        <v>5</v>
      </c>
      <c r="BF40" s="67">
        <f t="shared" si="1"/>
        <v>0</v>
      </c>
      <c r="BG40" s="67">
        <v>1</v>
      </c>
      <c r="BH40" s="67">
        <v>3</v>
      </c>
      <c r="BI40" s="67">
        <v>2</v>
      </c>
      <c r="BJ40" s="67">
        <v>1</v>
      </c>
      <c r="BK40" s="67">
        <v>1</v>
      </c>
      <c r="BL40" s="67">
        <v>10</v>
      </c>
      <c r="BM40" s="125">
        <f t="shared" si="2"/>
        <v>24</v>
      </c>
      <c r="BN40" s="85">
        <f t="shared" si="3"/>
        <v>22</v>
      </c>
      <c r="BQ40" s="148"/>
      <c r="BR40" s="148" t="s">
        <v>312</v>
      </c>
      <c r="BS40" s="148">
        <v>14.513370555392257</v>
      </c>
      <c r="BT40" s="148"/>
    </row>
    <row r="41" spans="1:74" x14ac:dyDescent="0.25">
      <c r="A41" s="18" t="s">
        <v>6</v>
      </c>
      <c r="B41" s="18">
        <v>2024</v>
      </c>
      <c r="C41" s="18" t="s">
        <v>138</v>
      </c>
      <c r="D41" s="18" t="s">
        <v>130</v>
      </c>
      <c r="E41" s="18">
        <v>20</v>
      </c>
      <c r="F41" s="18">
        <v>30</v>
      </c>
      <c r="G41" s="18" t="s">
        <v>156</v>
      </c>
      <c r="H41" s="18"/>
      <c r="I41" s="18" t="s">
        <v>185</v>
      </c>
      <c r="J41" s="4">
        <v>54</v>
      </c>
      <c r="K41" s="4">
        <v>54.5</v>
      </c>
      <c r="L41" s="4">
        <v>0.5</v>
      </c>
      <c r="M41" s="5">
        <v>0.18</v>
      </c>
      <c r="N41" s="31">
        <v>0.09</v>
      </c>
      <c r="O41" s="31">
        <v>0.09</v>
      </c>
      <c r="P41" s="31">
        <v>4.5</v>
      </c>
      <c r="Q41" s="31">
        <v>20</v>
      </c>
      <c r="R41" s="31">
        <v>7.0000000000000007E-2</v>
      </c>
      <c r="S41" s="31">
        <v>0</v>
      </c>
      <c r="T41" s="65">
        <v>0</v>
      </c>
      <c r="U41" s="31">
        <v>10</v>
      </c>
      <c r="V41" s="31"/>
      <c r="W41" s="31">
        <v>10</v>
      </c>
      <c r="X41" s="85">
        <v>7</v>
      </c>
      <c r="Y41" s="18">
        <v>0</v>
      </c>
      <c r="Z41" s="18" t="s">
        <v>330</v>
      </c>
      <c r="AA41" s="18" t="s">
        <v>333</v>
      </c>
      <c r="AB41" s="18" t="s">
        <v>337</v>
      </c>
      <c r="AC41" s="18">
        <v>20</v>
      </c>
      <c r="AD41" s="18">
        <v>4.5</v>
      </c>
      <c r="AE41" s="18" t="s">
        <v>29</v>
      </c>
      <c r="AF41" s="18" t="s">
        <v>29</v>
      </c>
      <c r="AG41" s="131" t="s">
        <v>29</v>
      </c>
      <c r="AH41" s="18">
        <v>8.6999999999999993</v>
      </c>
      <c r="AI41" s="18" t="s">
        <v>32</v>
      </c>
      <c r="AJ41" s="18" t="s">
        <v>66</v>
      </c>
      <c r="AK41" s="18" t="s">
        <v>79</v>
      </c>
      <c r="AL41" s="18" t="s">
        <v>96</v>
      </c>
      <c r="AM41" s="18" t="s">
        <v>107</v>
      </c>
      <c r="AN41" s="18" t="s">
        <v>118</v>
      </c>
      <c r="AO41" s="18" t="s">
        <v>198</v>
      </c>
      <c r="AP41" s="18" t="s">
        <v>235</v>
      </c>
      <c r="AQ41" s="18"/>
      <c r="AR41" s="18">
        <v>1</v>
      </c>
      <c r="AS41" s="18">
        <v>1</v>
      </c>
      <c r="AT41" s="18">
        <v>1</v>
      </c>
      <c r="AU41" s="18">
        <v>3</v>
      </c>
      <c r="AV41" s="18">
        <v>2</v>
      </c>
      <c r="AW41" s="18">
        <v>8</v>
      </c>
      <c r="AX41" s="49">
        <f t="shared" si="0"/>
        <v>0</v>
      </c>
      <c r="AY41" s="49">
        <f>VLOOKUP(AI41,Leyenda!$B$4:$E$10,4,FALSE)</f>
        <v>1</v>
      </c>
      <c r="AZ41" s="50">
        <f t="shared" si="4"/>
        <v>3</v>
      </c>
      <c r="BA41" s="49">
        <v>8</v>
      </c>
      <c r="BB41" s="49">
        <v>10</v>
      </c>
      <c r="BC41" s="67">
        <v>12</v>
      </c>
      <c r="BD41" s="67">
        <f>VLOOKUP(AI41,Leyenda!$B$4:$E$10,4,FALSE)</f>
        <v>1</v>
      </c>
      <c r="BE41" s="67">
        <v>5</v>
      </c>
      <c r="BF41" s="67">
        <f t="shared" si="1"/>
        <v>0</v>
      </c>
      <c r="BG41" s="67">
        <v>1</v>
      </c>
      <c r="BH41" s="67">
        <v>3</v>
      </c>
      <c r="BI41" s="67">
        <v>2</v>
      </c>
      <c r="BJ41" s="67">
        <v>1</v>
      </c>
      <c r="BK41" s="67">
        <v>1</v>
      </c>
      <c r="BL41" s="67">
        <v>10</v>
      </c>
      <c r="BM41" s="125">
        <f t="shared" si="2"/>
        <v>24</v>
      </c>
      <c r="BN41" s="85">
        <f t="shared" si="3"/>
        <v>22</v>
      </c>
      <c r="BQ41" s="148"/>
      <c r="BR41" s="148" t="s">
        <v>313</v>
      </c>
      <c r="BS41" s="148">
        <v>2.5430276932190088</v>
      </c>
      <c r="BT41" s="148"/>
    </row>
    <row r="42" spans="1:74" x14ac:dyDescent="0.25">
      <c r="A42" s="18" t="s">
        <v>6</v>
      </c>
      <c r="B42" s="18">
        <v>2024</v>
      </c>
      <c r="C42" s="18" t="s">
        <v>138</v>
      </c>
      <c r="D42" s="18" t="s">
        <v>130</v>
      </c>
      <c r="E42" s="18">
        <v>20</v>
      </c>
      <c r="F42" s="18">
        <v>30</v>
      </c>
      <c r="G42" s="18" t="s">
        <v>156</v>
      </c>
      <c r="H42" s="18"/>
      <c r="I42" s="18" t="s">
        <v>185</v>
      </c>
      <c r="J42" s="4">
        <v>54.5</v>
      </c>
      <c r="K42" s="4">
        <v>55</v>
      </c>
      <c r="L42" s="4">
        <v>0.5</v>
      </c>
      <c r="M42" s="5">
        <v>0.16</v>
      </c>
      <c r="N42" s="31">
        <v>0.08</v>
      </c>
      <c r="O42" s="31">
        <v>0.08</v>
      </c>
      <c r="P42" s="31">
        <v>4</v>
      </c>
      <c r="Q42" s="31">
        <v>20</v>
      </c>
      <c r="R42" s="31">
        <v>7.0000000000000007E-2</v>
      </c>
      <c r="S42" s="31">
        <v>0</v>
      </c>
      <c r="T42" s="65">
        <v>0</v>
      </c>
      <c r="U42" s="31">
        <v>10</v>
      </c>
      <c r="V42" s="31"/>
      <c r="W42" s="31">
        <v>10</v>
      </c>
      <c r="X42" s="85">
        <v>7</v>
      </c>
      <c r="Y42" s="18">
        <v>0</v>
      </c>
      <c r="Z42" s="18" t="s">
        <v>330</v>
      </c>
      <c r="AA42" s="18" t="s">
        <v>333</v>
      </c>
      <c r="AB42" s="18" t="s">
        <v>337</v>
      </c>
      <c r="AC42" s="18">
        <v>20</v>
      </c>
      <c r="AD42" s="18">
        <v>4</v>
      </c>
      <c r="AE42" s="18" t="s">
        <v>29</v>
      </c>
      <c r="AF42" s="18" t="s">
        <v>29</v>
      </c>
      <c r="AG42" s="131" t="s">
        <v>29</v>
      </c>
      <c r="AH42" s="18">
        <v>8.6999999999999993</v>
      </c>
      <c r="AI42" s="18" t="s">
        <v>32</v>
      </c>
      <c r="AJ42" s="18" t="s">
        <v>66</v>
      </c>
      <c r="AK42" s="18" t="s">
        <v>79</v>
      </c>
      <c r="AL42" s="18" t="s">
        <v>96</v>
      </c>
      <c r="AM42" s="18" t="s">
        <v>107</v>
      </c>
      <c r="AN42" s="18" t="s">
        <v>118</v>
      </c>
      <c r="AO42" s="18" t="s">
        <v>198</v>
      </c>
      <c r="AP42" s="18" t="s">
        <v>235</v>
      </c>
      <c r="AQ42" s="18"/>
      <c r="AR42" s="18">
        <v>1</v>
      </c>
      <c r="AS42" s="18">
        <v>1</v>
      </c>
      <c r="AT42" s="18">
        <v>1</v>
      </c>
      <c r="AU42" s="18">
        <v>3</v>
      </c>
      <c r="AV42" s="18">
        <v>2</v>
      </c>
      <c r="AW42" s="18">
        <v>8</v>
      </c>
      <c r="AX42" s="49">
        <f t="shared" si="0"/>
        <v>0</v>
      </c>
      <c r="AY42" s="49">
        <f>VLOOKUP(AI42,Leyenda!$B$4:$E$10,4,FALSE)</f>
        <v>1</v>
      </c>
      <c r="AZ42" s="50">
        <f t="shared" si="4"/>
        <v>3</v>
      </c>
      <c r="BA42" s="49">
        <v>8</v>
      </c>
      <c r="BB42" s="49">
        <v>10</v>
      </c>
      <c r="BC42" s="67">
        <v>12</v>
      </c>
      <c r="BD42" s="67">
        <f>VLOOKUP(AI42,Leyenda!$B$4:$E$10,4,FALSE)</f>
        <v>1</v>
      </c>
      <c r="BE42" s="67">
        <v>5</v>
      </c>
      <c r="BF42" s="67">
        <f t="shared" si="1"/>
        <v>0</v>
      </c>
      <c r="BG42" s="67">
        <v>1</v>
      </c>
      <c r="BH42" s="67">
        <v>3</v>
      </c>
      <c r="BI42" s="67">
        <v>2</v>
      </c>
      <c r="BJ42" s="67">
        <v>1</v>
      </c>
      <c r="BK42" s="67">
        <v>1</v>
      </c>
      <c r="BL42" s="67">
        <v>10</v>
      </c>
      <c r="BM42" s="125">
        <f t="shared" si="2"/>
        <v>24</v>
      </c>
      <c r="BN42" s="85">
        <f t="shared" si="3"/>
        <v>22</v>
      </c>
      <c r="BQ42" s="148"/>
      <c r="BR42" s="148" t="s">
        <v>314</v>
      </c>
      <c r="BS42" s="148">
        <v>1.4444555596126232</v>
      </c>
      <c r="BT42" s="148"/>
    </row>
    <row r="43" spans="1:74" x14ac:dyDescent="0.25">
      <c r="A43" s="18" t="s">
        <v>6</v>
      </c>
      <c r="B43" s="18">
        <v>2024</v>
      </c>
      <c r="C43" s="18" t="s">
        <v>138</v>
      </c>
      <c r="D43" s="18" t="s">
        <v>130</v>
      </c>
      <c r="E43" s="18">
        <v>20</v>
      </c>
      <c r="F43" s="18">
        <v>30</v>
      </c>
      <c r="G43" s="18" t="s">
        <v>156</v>
      </c>
      <c r="H43" s="18"/>
      <c r="I43" s="18" t="s">
        <v>185</v>
      </c>
      <c r="J43" s="4">
        <v>55</v>
      </c>
      <c r="K43" s="4">
        <v>55.5</v>
      </c>
      <c r="L43" s="4">
        <v>0.5</v>
      </c>
      <c r="M43" s="5">
        <v>0.14000000000000001</v>
      </c>
      <c r="N43" s="31">
        <v>7.0000000000000007E-2</v>
      </c>
      <c r="O43" s="31">
        <v>7.0000000000000007E-2</v>
      </c>
      <c r="P43" s="31">
        <v>3.5</v>
      </c>
      <c r="Q43" s="31">
        <v>20</v>
      </c>
      <c r="R43" s="31">
        <v>0.5</v>
      </c>
      <c r="S43" s="31">
        <v>0</v>
      </c>
      <c r="T43" s="65">
        <v>0</v>
      </c>
      <c r="U43" s="31">
        <v>10</v>
      </c>
      <c r="V43" s="31"/>
      <c r="W43" s="31">
        <v>10</v>
      </c>
      <c r="X43" s="85">
        <v>50</v>
      </c>
      <c r="Y43" s="18">
        <v>0</v>
      </c>
      <c r="Z43" s="18" t="s">
        <v>330</v>
      </c>
      <c r="AA43" s="18" t="s">
        <v>333</v>
      </c>
      <c r="AB43" s="18" t="s">
        <v>337</v>
      </c>
      <c r="AC43" s="18">
        <v>20</v>
      </c>
      <c r="AD43" s="18">
        <v>3.5</v>
      </c>
      <c r="AE43" s="18" t="s">
        <v>29</v>
      </c>
      <c r="AF43" s="18" t="s">
        <v>29</v>
      </c>
      <c r="AG43" s="131" t="s">
        <v>29</v>
      </c>
      <c r="AH43" s="18">
        <v>8.6999999999999993</v>
      </c>
      <c r="AI43" s="18" t="s">
        <v>32</v>
      </c>
      <c r="AJ43" s="18" t="s">
        <v>66</v>
      </c>
      <c r="AK43" s="18" t="s">
        <v>79</v>
      </c>
      <c r="AL43" s="18" t="s">
        <v>96</v>
      </c>
      <c r="AM43" s="18" t="s">
        <v>107</v>
      </c>
      <c r="AN43" s="18" t="s">
        <v>118</v>
      </c>
      <c r="AO43" s="18" t="s">
        <v>198</v>
      </c>
      <c r="AP43" s="18" t="s">
        <v>235</v>
      </c>
      <c r="AQ43" s="18"/>
      <c r="AR43" s="18">
        <v>1</v>
      </c>
      <c r="AS43" s="18">
        <v>1</v>
      </c>
      <c r="AT43" s="18">
        <v>1</v>
      </c>
      <c r="AU43" s="18">
        <v>3</v>
      </c>
      <c r="AV43" s="18">
        <v>2</v>
      </c>
      <c r="AW43" s="18">
        <v>8</v>
      </c>
      <c r="AX43" s="49">
        <f t="shared" si="0"/>
        <v>0</v>
      </c>
      <c r="AY43" s="49">
        <f>VLOOKUP(AI43,Leyenda!$B$4:$E$10,4,FALSE)</f>
        <v>1</v>
      </c>
      <c r="AZ43" s="50">
        <f t="shared" si="4"/>
        <v>6</v>
      </c>
      <c r="BA43" s="49">
        <v>8</v>
      </c>
      <c r="BB43" s="49">
        <v>10</v>
      </c>
      <c r="BC43" s="67">
        <v>12</v>
      </c>
      <c r="BD43" s="67">
        <f>VLOOKUP(AI43,Leyenda!$B$4:$E$10,4,FALSE)</f>
        <v>1</v>
      </c>
      <c r="BE43" s="67">
        <v>5</v>
      </c>
      <c r="BF43" s="67">
        <f t="shared" si="1"/>
        <v>0</v>
      </c>
      <c r="BG43" s="67">
        <v>1</v>
      </c>
      <c r="BH43" s="67">
        <v>3</v>
      </c>
      <c r="BI43" s="67">
        <v>2</v>
      </c>
      <c r="BJ43" s="67">
        <v>1</v>
      </c>
      <c r="BK43" s="67">
        <v>1</v>
      </c>
      <c r="BL43" s="67">
        <v>10</v>
      </c>
      <c r="BM43" s="125">
        <f t="shared" si="2"/>
        <v>24</v>
      </c>
      <c r="BN43" s="85">
        <f t="shared" si="3"/>
        <v>25</v>
      </c>
      <c r="BQ43" s="148"/>
      <c r="BR43" s="148" t="s">
        <v>315</v>
      </c>
      <c r="BS43" s="148">
        <v>18</v>
      </c>
      <c r="BT43" s="148"/>
    </row>
    <row r="44" spans="1:74" x14ac:dyDescent="0.25">
      <c r="A44" s="18" t="s">
        <v>6</v>
      </c>
      <c r="B44" s="18">
        <v>2024</v>
      </c>
      <c r="C44" s="18" t="s">
        <v>138</v>
      </c>
      <c r="D44" s="18" t="s">
        <v>130</v>
      </c>
      <c r="E44" s="18">
        <v>20</v>
      </c>
      <c r="F44" s="18">
        <v>30</v>
      </c>
      <c r="G44" s="18" t="s">
        <v>156</v>
      </c>
      <c r="H44" s="18"/>
      <c r="I44" s="18"/>
      <c r="J44" s="4">
        <v>55.5</v>
      </c>
      <c r="K44" s="4">
        <v>56</v>
      </c>
      <c r="L44" s="4">
        <v>0.5</v>
      </c>
      <c r="M44" s="5">
        <v>0</v>
      </c>
      <c r="N44" s="31">
        <v>0</v>
      </c>
      <c r="O44" s="31">
        <v>0</v>
      </c>
      <c r="P44" s="31" t="s">
        <v>348</v>
      </c>
      <c r="Q44" s="31">
        <v>20</v>
      </c>
      <c r="R44" s="31">
        <v>0.5</v>
      </c>
      <c r="S44" s="31">
        <v>0</v>
      </c>
      <c r="T44" s="65">
        <v>0</v>
      </c>
      <c r="U44" s="31">
        <v>10</v>
      </c>
      <c r="V44" s="31"/>
      <c r="W44" s="31">
        <v>10</v>
      </c>
      <c r="X44" s="85">
        <v>50</v>
      </c>
      <c r="Y44" s="18">
        <v>0</v>
      </c>
      <c r="Z44" s="18" t="s">
        <v>330</v>
      </c>
      <c r="AA44" s="18" t="s">
        <v>333</v>
      </c>
      <c r="AB44" s="18" t="s">
        <v>337</v>
      </c>
      <c r="AC44" s="18">
        <v>20</v>
      </c>
      <c r="AD44" s="18" t="s">
        <v>348</v>
      </c>
      <c r="AE44" s="18" t="s">
        <v>29</v>
      </c>
      <c r="AF44" s="18" t="s">
        <v>29</v>
      </c>
      <c r="AG44" s="131" t="s">
        <v>29</v>
      </c>
      <c r="AH44" s="18">
        <v>8.6999999999999993</v>
      </c>
      <c r="AI44" s="18" t="s">
        <v>32</v>
      </c>
      <c r="AJ44" s="18" t="s">
        <v>66</v>
      </c>
      <c r="AK44" s="18" t="s">
        <v>79</v>
      </c>
      <c r="AL44" s="18" t="s">
        <v>96</v>
      </c>
      <c r="AM44" s="18" t="s">
        <v>107</v>
      </c>
      <c r="AN44" s="18" t="s">
        <v>118</v>
      </c>
      <c r="AO44" s="18" t="s">
        <v>198</v>
      </c>
      <c r="AP44" s="18" t="s">
        <v>235</v>
      </c>
      <c r="AQ44" s="18"/>
      <c r="AR44" s="18">
        <v>1</v>
      </c>
      <c r="AS44" s="18">
        <v>1</v>
      </c>
      <c r="AT44" s="18">
        <v>1</v>
      </c>
      <c r="AU44" s="18">
        <v>3</v>
      </c>
      <c r="AV44" s="18">
        <v>2</v>
      </c>
      <c r="AW44" s="18">
        <v>8</v>
      </c>
      <c r="AX44" s="49">
        <f t="shared" si="0"/>
        <v>0</v>
      </c>
      <c r="AY44" s="49">
        <f>VLOOKUP(AI44,Leyenda!$B$4:$E$10,4,FALSE)</f>
        <v>1</v>
      </c>
      <c r="AZ44" s="50">
        <f t="shared" si="4"/>
        <v>6</v>
      </c>
      <c r="BA44" s="49">
        <v>8</v>
      </c>
      <c r="BB44" s="49">
        <v>10</v>
      </c>
      <c r="BC44" s="67">
        <v>12</v>
      </c>
      <c r="BD44" s="67">
        <f>VLOOKUP(AI44,Leyenda!$B$4:$E$10,4,FALSE)</f>
        <v>1</v>
      </c>
      <c r="BE44" s="67">
        <v>5</v>
      </c>
      <c r="BF44" s="67">
        <f t="shared" si="1"/>
        <v>0</v>
      </c>
      <c r="BG44" s="67">
        <v>1</v>
      </c>
      <c r="BH44" s="67">
        <v>3</v>
      </c>
      <c r="BI44" s="67">
        <v>2</v>
      </c>
      <c r="BJ44" s="67">
        <v>1</v>
      </c>
      <c r="BK44" s="67">
        <v>1</v>
      </c>
      <c r="BL44" s="67">
        <v>10</v>
      </c>
      <c r="BM44" s="125">
        <f t="shared" si="2"/>
        <v>24</v>
      </c>
      <c r="BN44" s="85">
        <f t="shared" si="3"/>
        <v>25</v>
      </c>
      <c r="BQ44" s="148"/>
      <c r="BR44" s="148" t="s">
        <v>316</v>
      </c>
      <c r="BS44" s="148">
        <v>18</v>
      </c>
      <c r="BT44" s="148"/>
      <c r="BV44">
        <f>24+3*3.8</f>
        <v>35.4</v>
      </c>
    </row>
    <row r="45" spans="1:74" x14ac:dyDescent="0.25">
      <c r="A45" s="18" t="s">
        <v>6</v>
      </c>
      <c r="B45" s="18">
        <v>2024</v>
      </c>
      <c r="C45" s="18" t="s">
        <v>138</v>
      </c>
      <c r="D45" s="18" t="s">
        <v>130</v>
      </c>
      <c r="E45" s="18">
        <v>20</v>
      </c>
      <c r="F45" s="18">
        <v>30</v>
      </c>
      <c r="G45" s="18" t="s">
        <v>156</v>
      </c>
      <c r="H45" s="18"/>
      <c r="I45" s="18" t="s">
        <v>185</v>
      </c>
      <c r="J45" s="4">
        <v>56</v>
      </c>
      <c r="K45" s="4">
        <v>56.5</v>
      </c>
      <c r="L45" s="4">
        <v>0.5</v>
      </c>
      <c r="M45" s="5">
        <v>0.18</v>
      </c>
      <c r="N45" s="31">
        <v>0.09</v>
      </c>
      <c r="O45" s="31">
        <v>0.09</v>
      </c>
      <c r="P45" s="31">
        <v>4.5</v>
      </c>
      <c r="Q45" s="31">
        <v>20</v>
      </c>
      <c r="R45" s="31">
        <v>7.0000000000000007E-2</v>
      </c>
      <c r="S45" s="31">
        <v>0</v>
      </c>
      <c r="T45" s="65">
        <v>0</v>
      </c>
      <c r="U45" s="31">
        <v>10</v>
      </c>
      <c r="V45" s="31"/>
      <c r="W45" s="31">
        <v>10</v>
      </c>
      <c r="X45" s="85">
        <v>7</v>
      </c>
      <c r="Y45" s="18">
        <v>0</v>
      </c>
      <c r="Z45" s="18" t="s">
        <v>330</v>
      </c>
      <c r="AA45" s="18" t="s">
        <v>333</v>
      </c>
      <c r="AB45" s="18" t="s">
        <v>337</v>
      </c>
      <c r="AC45" s="18">
        <v>20</v>
      </c>
      <c r="AD45" s="18">
        <v>4.5</v>
      </c>
      <c r="AE45" s="18" t="s">
        <v>29</v>
      </c>
      <c r="AF45" s="18" t="s">
        <v>29</v>
      </c>
      <c r="AG45" s="131" t="s">
        <v>29</v>
      </c>
      <c r="AH45" s="18">
        <v>8.6999999999999993</v>
      </c>
      <c r="AI45" s="18" t="s">
        <v>32</v>
      </c>
      <c r="AJ45" s="18" t="s">
        <v>66</v>
      </c>
      <c r="AK45" s="18" t="s">
        <v>79</v>
      </c>
      <c r="AL45" s="18" t="s">
        <v>96</v>
      </c>
      <c r="AM45" s="18" t="s">
        <v>107</v>
      </c>
      <c r="AN45" s="18" t="s">
        <v>118</v>
      </c>
      <c r="AO45" s="18" t="s">
        <v>198</v>
      </c>
      <c r="AP45" s="18" t="s">
        <v>235</v>
      </c>
      <c r="AQ45" s="18"/>
      <c r="AR45" s="18">
        <v>1</v>
      </c>
      <c r="AS45" s="18">
        <v>1</v>
      </c>
      <c r="AT45" s="18">
        <v>1</v>
      </c>
      <c r="AU45" s="18">
        <v>3</v>
      </c>
      <c r="AV45" s="18">
        <v>2</v>
      </c>
      <c r="AW45" s="18">
        <v>8</v>
      </c>
      <c r="AX45" s="49">
        <f t="shared" si="0"/>
        <v>0</v>
      </c>
      <c r="AY45" s="49">
        <f>VLOOKUP(AI45,Leyenda!$B$4:$E$10,4,FALSE)</f>
        <v>1</v>
      </c>
      <c r="AZ45" s="50">
        <f t="shared" si="4"/>
        <v>3</v>
      </c>
      <c r="BA45" s="49">
        <v>8</v>
      </c>
      <c r="BB45" s="49">
        <v>10</v>
      </c>
      <c r="BC45" s="67">
        <v>12</v>
      </c>
      <c r="BD45" s="67">
        <f>VLOOKUP(AI45,Leyenda!$B$4:$E$10,4,FALSE)</f>
        <v>1</v>
      </c>
      <c r="BE45" s="67">
        <v>5</v>
      </c>
      <c r="BF45" s="67">
        <f t="shared" si="1"/>
        <v>0</v>
      </c>
      <c r="BG45" s="67">
        <v>1</v>
      </c>
      <c r="BH45" s="67">
        <v>3</v>
      </c>
      <c r="BI45" s="67">
        <v>2</v>
      </c>
      <c r="BJ45" s="67">
        <v>1</v>
      </c>
      <c r="BK45" s="67">
        <v>1</v>
      </c>
      <c r="BL45" s="67">
        <v>10</v>
      </c>
      <c r="BM45" s="125">
        <f t="shared" si="2"/>
        <v>24</v>
      </c>
      <c r="BN45" s="85">
        <f t="shared" si="3"/>
        <v>22</v>
      </c>
      <c r="BQ45" s="148"/>
      <c r="BR45" s="148" t="s">
        <v>317</v>
      </c>
      <c r="BS45" s="148">
        <v>36</v>
      </c>
      <c r="BT45" s="148"/>
    </row>
    <row r="46" spans="1:74" x14ac:dyDescent="0.25">
      <c r="A46" s="18" t="s">
        <v>6</v>
      </c>
      <c r="B46" s="18">
        <v>2024</v>
      </c>
      <c r="C46" s="18" t="s">
        <v>138</v>
      </c>
      <c r="D46" s="18" t="s">
        <v>130</v>
      </c>
      <c r="E46" s="18">
        <v>20</v>
      </c>
      <c r="F46" s="18">
        <v>30</v>
      </c>
      <c r="G46" s="18" t="s">
        <v>156</v>
      </c>
      <c r="H46" s="18"/>
      <c r="I46" s="18" t="s">
        <v>185</v>
      </c>
      <c r="J46" s="4">
        <v>56.5</v>
      </c>
      <c r="K46" s="4">
        <v>57</v>
      </c>
      <c r="L46" s="4">
        <v>0.5</v>
      </c>
      <c r="M46" s="5">
        <v>0</v>
      </c>
      <c r="N46" s="31">
        <v>0</v>
      </c>
      <c r="O46" s="31">
        <v>0</v>
      </c>
      <c r="P46" s="31" t="s">
        <v>348</v>
      </c>
      <c r="Q46" s="31">
        <v>20</v>
      </c>
      <c r="R46" s="31">
        <v>0.5</v>
      </c>
      <c r="S46" s="31">
        <v>0</v>
      </c>
      <c r="T46" s="65">
        <v>0</v>
      </c>
      <c r="U46" s="31">
        <v>10</v>
      </c>
      <c r="V46" s="31"/>
      <c r="W46" s="31">
        <v>10</v>
      </c>
      <c r="X46" s="85">
        <v>50</v>
      </c>
      <c r="Y46" s="18">
        <v>0</v>
      </c>
      <c r="Z46" s="18" t="s">
        <v>330</v>
      </c>
      <c r="AA46" s="18" t="s">
        <v>333</v>
      </c>
      <c r="AB46" s="18" t="s">
        <v>337</v>
      </c>
      <c r="AC46" s="18">
        <v>20</v>
      </c>
      <c r="AD46" s="18" t="s">
        <v>348</v>
      </c>
      <c r="AE46" s="18" t="s">
        <v>29</v>
      </c>
      <c r="AF46" s="18" t="s">
        <v>29</v>
      </c>
      <c r="AG46" s="131" t="s">
        <v>29</v>
      </c>
      <c r="AH46" s="18">
        <v>8.6999999999999993</v>
      </c>
      <c r="AI46" s="18" t="s">
        <v>32</v>
      </c>
      <c r="AJ46" s="18" t="s">
        <v>66</v>
      </c>
      <c r="AK46" s="18" t="s">
        <v>79</v>
      </c>
      <c r="AL46" s="18" t="s">
        <v>96</v>
      </c>
      <c r="AM46" s="18" t="s">
        <v>107</v>
      </c>
      <c r="AN46" s="18" t="s">
        <v>118</v>
      </c>
      <c r="AO46" s="18" t="s">
        <v>198</v>
      </c>
      <c r="AP46" s="18" t="s">
        <v>235</v>
      </c>
      <c r="AQ46" s="18"/>
      <c r="AR46" s="18">
        <v>1</v>
      </c>
      <c r="AS46" s="18">
        <v>1</v>
      </c>
      <c r="AT46" s="18">
        <v>1</v>
      </c>
      <c r="AU46" s="18">
        <v>3</v>
      </c>
      <c r="AV46" s="18">
        <v>2</v>
      </c>
      <c r="AW46" s="18">
        <v>8</v>
      </c>
      <c r="AX46" s="49">
        <f t="shared" si="0"/>
        <v>0</v>
      </c>
      <c r="AY46" s="49">
        <f>VLOOKUP(AI46,Leyenda!$B$4:$E$10,4,FALSE)</f>
        <v>1</v>
      </c>
      <c r="AZ46" s="50">
        <f t="shared" si="4"/>
        <v>6</v>
      </c>
      <c r="BA46" s="49">
        <v>8</v>
      </c>
      <c r="BB46" s="49">
        <v>10</v>
      </c>
      <c r="BC46" s="67">
        <v>12</v>
      </c>
      <c r="BD46" s="67">
        <f>VLOOKUP(AI46,Leyenda!$B$4:$E$10,4,FALSE)</f>
        <v>1</v>
      </c>
      <c r="BE46" s="67">
        <v>5</v>
      </c>
      <c r="BF46" s="67">
        <f t="shared" si="1"/>
        <v>0</v>
      </c>
      <c r="BG46" s="67">
        <v>1</v>
      </c>
      <c r="BH46" s="67">
        <v>3</v>
      </c>
      <c r="BI46" s="67">
        <v>2</v>
      </c>
      <c r="BJ46" s="67">
        <v>1</v>
      </c>
      <c r="BK46" s="67">
        <v>1</v>
      </c>
      <c r="BL46" s="67">
        <v>10</v>
      </c>
      <c r="BM46" s="125">
        <f t="shared" si="2"/>
        <v>24</v>
      </c>
      <c r="BN46" s="85">
        <f t="shared" si="3"/>
        <v>25</v>
      </c>
      <c r="BQ46" s="148"/>
      <c r="BR46" s="148" t="s">
        <v>318</v>
      </c>
      <c r="BS46" s="148">
        <v>1974</v>
      </c>
      <c r="BT46" s="148"/>
    </row>
    <row r="47" spans="1:74" x14ac:dyDescent="0.25">
      <c r="A47" s="18" t="s">
        <v>6</v>
      </c>
      <c r="B47" s="18">
        <v>2024</v>
      </c>
      <c r="C47" s="18" t="s">
        <v>138</v>
      </c>
      <c r="D47" s="18" t="s">
        <v>130</v>
      </c>
      <c r="E47" s="18">
        <v>20</v>
      </c>
      <c r="F47" s="18">
        <v>30</v>
      </c>
      <c r="G47" s="18" t="s">
        <v>156</v>
      </c>
      <c r="H47" s="18"/>
      <c r="I47" s="18" t="s">
        <v>185</v>
      </c>
      <c r="J47" s="4">
        <v>57</v>
      </c>
      <c r="K47" s="4">
        <v>57.5</v>
      </c>
      <c r="L47" s="4">
        <v>0.5</v>
      </c>
      <c r="M47" s="5">
        <v>0.2</v>
      </c>
      <c r="N47" s="31">
        <v>0.1</v>
      </c>
      <c r="O47" s="31">
        <v>0.1</v>
      </c>
      <c r="P47" s="31">
        <v>5</v>
      </c>
      <c r="Q47" s="31">
        <v>20</v>
      </c>
      <c r="R47" s="31">
        <v>0.11</v>
      </c>
      <c r="S47" s="31">
        <v>0</v>
      </c>
      <c r="T47" s="65">
        <v>0</v>
      </c>
      <c r="U47" s="31">
        <v>10</v>
      </c>
      <c r="V47" s="31"/>
      <c r="W47" s="31">
        <v>10</v>
      </c>
      <c r="X47" s="85">
        <v>11</v>
      </c>
      <c r="Y47" s="18">
        <v>0</v>
      </c>
      <c r="Z47" s="18" t="s">
        <v>330</v>
      </c>
      <c r="AA47" s="18" t="s">
        <v>333</v>
      </c>
      <c r="AB47" s="18" t="s">
        <v>337</v>
      </c>
      <c r="AC47" s="18">
        <v>20</v>
      </c>
      <c r="AD47" s="18">
        <v>5</v>
      </c>
      <c r="AE47" s="18" t="s">
        <v>29</v>
      </c>
      <c r="AF47" s="18" t="s">
        <v>29</v>
      </c>
      <c r="AG47" s="131" t="s">
        <v>29</v>
      </c>
      <c r="AH47" s="18">
        <v>8.6999999999999993</v>
      </c>
      <c r="AI47" s="18" t="s">
        <v>32</v>
      </c>
      <c r="AJ47" s="18" t="s">
        <v>66</v>
      </c>
      <c r="AK47" s="18" t="s">
        <v>79</v>
      </c>
      <c r="AL47" s="18" t="s">
        <v>96</v>
      </c>
      <c r="AM47" s="18" t="s">
        <v>107</v>
      </c>
      <c r="AN47" s="18" t="s">
        <v>118</v>
      </c>
      <c r="AO47" s="18" t="s">
        <v>198</v>
      </c>
      <c r="AP47" s="18" t="s">
        <v>235</v>
      </c>
      <c r="AQ47" s="18"/>
      <c r="AR47" s="18">
        <v>1</v>
      </c>
      <c r="AS47" s="18">
        <v>1</v>
      </c>
      <c r="AT47" s="18">
        <v>1</v>
      </c>
      <c r="AU47" s="18">
        <v>3</v>
      </c>
      <c r="AV47" s="18">
        <v>2</v>
      </c>
      <c r="AW47" s="18">
        <v>8</v>
      </c>
      <c r="AX47" s="49">
        <f t="shared" si="0"/>
        <v>0</v>
      </c>
      <c r="AY47" s="49">
        <f>VLOOKUP(AI47,Leyenda!$B$4:$E$10,4,FALSE)</f>
        <v>1</v>
      </c>
      <c r="AZ47" s="50">
        <f t="shared" si="4"/>
        <v>3</v>
      </c>
      <c r="BA47" s="49">
        <v>8</v>
      </c>
      <c r="BB47" s="49">
        <v>10</v>
      </c>
      <c r="BC47" s="67">
        <v>12</v>
      </c>
      <c r="BD47" s="67">
        <f>VLOOKUP(AI47,Leyenda!$B$4:$E$10,4,FALSE)</f>
        <v>1</v>
      </c>
      <c r="BE47" s="67">
        <v>5</v>
      </c>
      <c r="BF47" s="67">
        <f t="shared" si="1"/>
        <v>0</v>
      </c>
      <c r="BG47" s="67">
        <v>1</v>
      </c>
      <c r="BH47" s="67">
        <v>3</v>
      </c>
      <c r="BI47" s="67">
        <v>2</v>
      </c>
      <c r="BJ47" s="67">
        <v>1</v>
      </c>
      <c r="BK47" s="67">
        <v>1</v>
      </c>
      <c r="BL47" s="67">
        <v>10</v>
      </c>
      <c r="BM47" s="125">
        <f t="shared" si="2"/>
        <v>24</v>
      </c>
      <c r="BN47" s="85">
        <f t="shared" si="3"/>
        <v>22</v>
      </c>
      <c r="BQ47" s="148"/>
      <c r="BR47" s="148" t="s">
        <v>319</v>
      </c>
      <c r="BS47" s="148">
        <v>83</v>
      </c>
      <c r="BT47" s="148"/>
    </row>
    <row r="48" spans="1:74" x14ac:dyDescent="0.25">
      <c r="A48" s="18" t="s">
        <v>6</v>
      </c>
      <c r="B48" s="18">
        <v>2024</v>
      </c>
      <c r="C48" s="18" t="s">
        <v>138</v>
      </c>
      <c r="D48" s="18" t="s">
        <v>130</v>
      </c>
      <c r="E48" s="18">
        <v>20</v>
      </c>
      <c r="F48" s="18">
        <v>30</v>
      </c>
      <c r="G48" s="18" t="s">
        <v>156</v>
      </c>
      <c r="H48" s="18"/>
      <c r="I48" s="18" t="s">
        <v>185</v>
      </c>
      <c r="J48" s="4">
        <v>57.5</v>
      </c>
      <c r="K48" s="4">
        <v>58</v>
      </c>
      <c r="L48" s="4">
        <v>0.5</v>
      </c>
      <c r="M48" s="5">
        <v>0</v>
      </c>
      <c r="N48" s="31">
        <v>0</v>
      </c>
      <c r="O48" s="31">
        <v>0</v>
      </c>
      <c r="P48" s="31" t="s">
        <v>348</v>
      </c>
      <c r="Q48" s="31">
        <v>20</v>
      </c>
      <c r="R48" s="31">
        <v>0.5</v>
      </c>
      <c r="S48" s="31">
        <v>0</v>
      </c>
      <c r="T48" s="65">
        <v>0</v>
      </c>
      <c r="U48" s="31">
        <v>10</v>
      </c>
      <c r="V48" s="31"/>
      <c r="W48" s="31">
        <v>10</v>
      </c>
      <c r="X48" s="85">
        <v>50</v>
      </c>
      <c r="Y48" s="18">
        <v>0</v>
      </c>
      <c r="Z48" s="18" t="s">
        <v>330</v>
      </c>
      <c r="AA48" s="18" t="s">
        <v>333</v>
      </c>
      <c r="AB48" s="18" t="s">
        <v>337</v>
      </c>
      <c r="AC48" s="18">
        <v>20</v>
      </c>
      <c r="AD48" s="18" t="s">
        <v>348</v>
      </c>
      <c r="AE48" s="18" t="s">
        <v>29</v>
      </c>
      <c r="AF48" s="18" t="s">
        <v>29</v>
      </c>
      <c r="AG48" s="131" t="s">
        <v>29</v>
      </c>
      <c r="AH48" s="18">
        <v>8.6999999999999993</v>
      </c>
      <c r="AI48" s="18" t="s">
        <v>32</v>
      </c>
      <c r="AJ48" s="18" t="s">
        <v>66</v>
      </c>
      <c r="AK48" s="18" t="s">
        <v>79</v>
      </c>
      <c r="AL48" s="18" t="s">
        <v>96</v>
      </c>
      <c r="AM48" s="18" t="s">
        <v>107</v>
      </c>
      <c r="AN48" s="18" t="s">
        <v>118</v>
      </c>
      <c r="AO48" s="18" t="s">
        <v>198</v>
      </c>
      <c r="AP48" s="18" t="s">
        <v>235</v>
      </c>
      <c r="AQ48" s="18"/>
      <c r="AR48" s="18">
        <v>1</v>
      </c>
      <c r="AS48" s="18">
        <v>1</v>
      </c>
      <c r="AT48" s="18">
        <v>1</v>
      </c>
      <c r="AU48" s="18">
        <v>3</v>
      </c>
      <c r="AV48" s="18">
        <v>2</v>
      </c>
      <c r="AW48" s="18">
        <v>8</v>
      </c>
      <c r="AX48" s="49">
        <f t="shared" si="0"/>
        <v>0</v>
      </c>
      <c r="AY48" s="49">
        <f>VLOOKUP(AI48,Leyenda!$B$4:$E$10,4,FALSE)</f>
        <v>1</v>
      </c>
      <c r="AZ48" s="50">
        <f t="shared" si="4"/>
        <v>6</v>
      </c>
      <c r="BA48" s="49">
        <v>8</v>
      </c>
      <c r="BB48" s="49">
        <v>10</v>
      </c>
      <c r="BC48" s="67">
        <v>12</v>
      </c>
      <c r="BD48" s="67">
        <f>VLOOKUP(AI48,Leyenda!$B$4:$E$10,4,FALSE)</f>
        <v>1</v>
      </c>
      <c r="BE48" s="67">
        <v>5</v>
      </c>
      <c r="BF48" s="67">
        <f t="shared" si="1"/>
        <v>0</v>
      </c>
      <c r="BG48" s="67">
        <v>1</v>
      </c>
      <c r="BH48" s="67">
        <v>3</v>
      </c>
      <c r="BI48" s="67">
        <v>2</v>
      </c>
      <c r="BJ48" s="67">
        <v>1</v>
      </c>
      <c r="BK48" s="67">
        <v>1</v>
      </c>
      <c r="BL48" s="67">
        <v>10</v>
      </c>
      <c r="BM48" s="125">
        <f t="shared" si="2"/>
        <v>24</v>
      </c>
      <c r="BN48" s="85">
        <f t="shared" si="3"/>
        <v>25</v>
      </c>
      <c r="BQ48" s="148"/>
      <c r="BR48" s="148" t="s">
        <v>320</v>
      </c>
      <c r="BS48" s="148">
        <v>36</v>
      </c>
      <c r="BT48" s="148"/>
    </row>
    <row r="49" spans="1:72" x14ac:dyDescent="0.25">
      <c r="A49" s="18" t="s">
        <v>6</v>
      </c>
      <c r="B49" s="18">
        <v>2024</v>
      </c>
      <c r="C49" s="18" t="s">
        <v>138</v>
      </c>
      <c r="D49" s="18" t="s">
        <v>130</v>
      </c>
      <c r="E49" s="18">
        <v>20</v>
      </c>
      <c r="F49" s="18">
        <v>30</v>
      </c>
      <c r="G49" s="18" t="s">
        <v>156</v>
      </c>
      <c r="H49" s="18"/>
      <c r="I49" s="18" t="s">
        <v>185</v>
      </c>
      <c r="J49" s="4">
        <v>58</v>
      </c>
      <c r="K49" s="4">
        <v>58.5</v>
      </c>
      <c r="L49" s="4">
        <v>0.5</v>
      </c>
      <c r="M49" s="5">
        <v>0.1</v>
      </c>
      <c r="N49" s="31">
        <v>0.05</v>
      </c>
      <c r="O49" s="31">
        <v>0.05</v>
      </c>
      <c r="P49" s="31">
        <v>2.5</v>
      </c>
      <c r="Q49" s="31">
        <v>20</v>
      </c>
      <c r="R49" s="31">
        <v>0.1</v>
      </c>
      <c r="S49" s="31">
        <v>0</v>
      </c>
      <c r="T49" s="65">
        <v>0</v>
      </c>
      <c r="U49" s="31">
        <v>10</v>
      </c>
      <c r="V49" s="31"/>
      <c r="W49" s="31">
        <v>10</v>
      </c>
      <c r="X49" s="85">
        <v>10</v>
      </c>
      <c r="Y49" s="18">
        <v>0</v>
      </c>
      <c r="Z49" s="18" t="s">
        <v>330</v>
      </c>
      <c r="AA49" s="18" t="s">
        <v>333</v>
      </c>
      <c r="AB49" s="18" t="s">
        <v>337</v>
      </c>
      <c r="AC49" s="18">
        <v>20</v>
      </c>
      <c r="AD49" s="18">
        <v>2.5</v>
      </c>
      <c r="AE49" s="18" t="s">
        <v>29</v>
      </c>
      <c r="AF49" s="18" t="s">
        <v>29</v>
      </c>
      <c r="AG49" s="131" t="s">
        <v>29</v>
      </c>
      <c r="AH49" s="18">
        <v>8.6999999999999993</v>
      </c>
      <c r="AI49" s="18" t="s">
        <v>32</v>
      </c>
      <c r="AJ49" s="18" t="s">
        <v>66</v>
      </c>
      <c r="AK49" s="18" t="s">
        <v>79</v>
      </c>
      <c r="AL49" s="18" t="s">
        <v>96</v>
      </c>
      <c r="AM49" s="18" t="s">
        <v>107</v>
      </c>
      <c r="AN49" s="18" t="s">
        <v>118</v>
      </c>
      <c r="AO49" s="18" t="s">
        <v>198</v>
      </c>
      <c r="AP49" s="18" t="s">
        <v>235</v>
      </c>
      <c r="AQ49" s="18"/>
      <c r="AR49" s="18">
        <v>1</v>
      </c>
      <c r="AS49" s="18">
        <v>1</v>
      </c>
      <c r="AT49" s="18">
        <v>1</v>
      </c>
      <c r="AU49" s="18">
        <v>3</v>
      </c>
      <c r="AV49" s="18">
        <v>2</v>
      </c>
      <c r="AW49" s="18">
        <v>8</v>
      </c>
      <c r="AX49" s="49">
        <f t="shared" si="0"/>
        <v>0</v>
      </c>
      <c r="AY49" s="49">
        <f>VLOOKUP(AI49,Leyenda!$B$4:$E$10,4,FALSE)</f>
        <v>1</v>
      </c>
      <c r="AZ49" s="50">
        <f t="shared" si="4"/>
        <v>3</v>
      </c>
      <c r="BA49" s="49">
        <v>8</v>
      </c>
      <c r="BB49" s="49">
        <v>10</v>
      </c>
      <c r="BC49" s="67">
        <v>12</v>
      </c>
      <c r="BD49" s="67">
        <f>VLOOKUP(AI49,Leyenda!$B$4:$E$10,4,FALSE)</f>
        <v>1</v>
      </c>
      <c r="BE49" s="67">
        <v>5</v>
      </c>
      <c r="BF49" s="67">
        <f t="shared" si="1"/>
        <v>0</v>
      </c>
      <c r="BG49" s="67">
        <v>1</v>
      </c>
      <c r="BH49" s="67">
        <v>3</v>
      </c>
      <c r="BI49" s="67">
        <v>2</v>
      </c>
      <c r="BJ49" s="67">
        <v>1</v>
      </c>
      <c r="BK49" s="67">
        <v>1</v>
      </c>
      <c r="BL49" s="67">
        <v>10</v>
      </c>
      <c r="BM49" s="125">
        <f t="shared" si="2"/>
        <v>24</v>
      </c>
      <c r="BN49" s="85">
        <f t="shared" si="3"/>
        <v>22</v>
      </c>
      <c r="BQ49" s="148"/>
      <c r="BR49" s="148" t="s">
        <v>321</v>
      </c>
      <c r="BS49" s="148">
        <v>18</v>
      </c>
      <c r="BT49" s="148"/>
    </row>
    <row r="50" spans="1:72" ht="15.75" thickBot="1" x14ac:dyDescent="0.3">
      <c r="A50" s="18" t="s">
        <v>6</v>
      </c>
      <c r="B50" s="18">
        <v>2024</v>
      </c>
      <c r="C50" s="18" t="s">
        <v>138</v>
      </c>
      <c r="D50" s="18" t="s">
        <v>130</v>
      </c>
      <c r="E50" s="18">
        <v>20</v>
      </c>
      <c r="F50" s="18">
        <v>30</v>
      </c>
      <c r="G50" s="18" t="s">
        <v>156</v>
      </c>
      <c r="H50" s="18"/>
      <c r="I50" s="18" t="s">
        <v>185</v>
      </c>
      <c r="J50" s="4">
        <v>58.5</v>
      </c>
      <c r="K50" s="4">
        <v>59</v>
      </c>
      <c r="L50" s="4">
        <v>0.5</v>
      </c>
      <c r="M50" s="5">
        <v>0.14000000000000001</v>
      </c>
      <c r="N50" s="31">
        <v>7.0000000000000007E-2</v>
      </c>
      <c r="O50" s="31">
        <v>7.0000000000000007E-2</v>
      </c>
      <c r="P50" s="31">
        <v>3.5</v>
      </c>
      <c r="Q50" s="31">
        <v>20</v>
      </c>
      <c r="R50" s="31">
        <v>7.0000000000000007E-2</v>
      </c>
      <c r="S50" s="31">
        <v>0</v>
      </c>
      <c r="T50" s="65">
        <v>0</v>
      </c>
      <c r="U50" s="31">
        <v>10</v>
      </c>
      <c r="V50" s="31"/>
      <c r="W50" s="31">
        <v>10</v>
      </c>
      <c r="X50" s="85">
        <v>7</v>
      </c>
      <c r="Y50" s="18">
        <v>0</v>
      </c>
      <c r="Z50" s="18" t="s">
        <v>330</v>
      </c>
      <c r="AA50" s="18" t="s">
        <v>333</v>
      </c>
      <c r="AB50" s="18" t="s">
        <v>337</v>
      </c>
      <c r="AC50" s="18">
        <v>20</v>
      </c>
      <c r="AD50" s="18">
        <v>3.5</v>
      </c>
      <c r="AE50" s="18" t="s">
        <v>29</v>
      </c>
      <c r="AF50" s="18" t="s">
        <v>29</v>
      </c>
      <c r="AG50" s="131" t="s">
        <v>29</v>
      </c>
      <c r="AH50" s="18">
        <v>8.6999999999999993</v>
      </c>
      <c r="AI50" s="18" t="s">
        <v>32</v>
      </c>
      <c r="AJ50" s="18" t="s">
        <v>66</v>
      </c>
      <c r="AK50" s="18" t="s">
        <v>79</v>
      </c>
      <c r="AL50" s="18" t="s">
        <v>96</v>
      </c>
      <c r="AM50" s="18" t="s">
        <v>107</v>
      </c>
      <c r="AN50" s="18" t="s">
        <v>118</v>
      </c>
      <c r="AO50" s="18" t="s">
        <v>198</v>
      </c>
      <c r="AP50" s="18" t="s">
        <v>235</v>
      </c>
      <c r="AQ50" s="18"/>
      <c r="AR50" s="18">
        <v>1</v>
      </c>
      <c r="AS50" s="18">
        <v>1</v>
      </c>
      <c r="AT50" s="18">
        <v>1</v>
      </c>
      <c r="AU50" s="18">
        <v>3</v>
      </c>
      <c r="AV50" s="18">
        <v>2</v>
      </c>
      <c r="AW50" s="18">
        <v>8</v>
      </c>
      <c r="AX50" s="49">
        <f t="shared" si="0"/>
        <v>0</v>
      </c>
      <c r="AY50" s="49">
        <f>VLOOKUP(AI50,Leyenda!$B$4:$E$10,4,FALSE)</f>
        <v>1</v>
      </c>
      <c r="AZ50" s="50">
        <f t="shared" si="4"/>
        <v>3</v>
      </c>
      <c r="BA50" s="49">
        <v>8</v>
      </c>
      <c r="BB50" s="49">
        <v>10</v>
      </c>
      <c r="BC50" s="67">
        <v>12</v>
      </c>
      <c r="BD50" s="67">
        <f>VLOOKUP(AI50,Leyenda!$B$4:$E$10,4,FALSE)</f>
        <v>1</v>
      </c>
      <c r="BE50" s="67">
        <v>5</v>
      </c>
      <c r="BF50" s="67">
        <f t="shared" si="1"/>
        <v>0</v>
      </c>
      <c r="BG50" s="67">
        <v>1</v>
      </c>
      <c r="BH50" s="67">
        <v>3</v>
      </c>
      <c r="BI50" s="67">
        <v>2</v>
      </c>
      <c r="BJ50" s="67">
        <v>1</v>
      </c>
      <c r="BK50" s="67">
        <v>1</v>
      </c>
      <c r="BL50" s="67">
        <v>10</v>
      </c>
      <c r="BM50" s="125">
        <f t="shared" si="2"/>
        <v>24</v>
      </c>
      <c r="BN50" s="85">
        <f t="shared" si="3"/>
        <v>22</v>
      </c>
      <c r="BQ50" s="148"/>
      <c r="BR50" s="149" t="s">
        <v>322</v>
      </c>
      <c r="BS50" s="149">
        <v>0.83185844446715995</v>
      </c>
      <c r="BT50" s="148"/>
    </row>
    <row r="51" spans="1:72" x14ac:dyDescent="0.25">
      <c r="A51" s="18" t="s">
        <v>6</v>
      </c>
      <c r="B51" s="18">
        <v>2024</v>
      </c>
      <c r="C51" s="18" t="s">
        <v>138</v>
      </c>
      <c r="D51" s="18" t="s">
        <v>130</v>
      </c>
      <c r="E51" s="18">
        <v>20</v>
      </c>
      <c r="F51" s="18">
        <v>30</v>
      </c>
      <c r="G51" s="18" t="s">
        <v>156</v>
      </c>
      <c r="H51" s="18"/>
      <c r="I51" s="18"/>
      <c r="J51" s="4">
        <v>59</v>
      </c>
      <c r="K51" s="4">
        <v>59.5</v>
      </c>
      <c r="L51" s="4">
        <v>0.5</v>
      </c>
      <c r="M51" s="5">
        <v>0</v>
      </c>
      <c r="N51" s="31">
        <v>0</v>
      </c>
      <c r="O51" s="31">
        <v>0</v>
      </c>
      <c r="P51" s="31" t="s">
        <v>348</v>
      </c>
      <c r="Q51" s="31">
        <v>20</v>
      </c>
      <c r="R51" s="31">
        <v>0.5</v>
      </c>
      <c r="S51" s="31">
        <v>0</v>
      </c>
      <c r="T51" s="65">
        <v>0</v>
      </c>
      <c r="U51" s="31">
        <v>10</v>
      </c>
      <c r="V51" s="31"/>
      <c r="W51" s="31">
        <v>10</v>
      </c>
      <c r="X51" s="85">
        <v>50</v>
      </c>
      <c r="Y51" s="18">
        <v>0</v>
      </c>
      <c r="Z51" s="18" t="s">
        <v>330</v>
      </c>
      <c r="AA51" s="18" t="s">
        <v>333</v>
      </c>
      <c r="AB51" s="18" t="s">
        <v>337</v>
      </c>
      <c r="AC51" s="18">
        <v>20</v>
      </c>
      <c r="AD51" s="18" t="s">
        <v>348</v>
      </c>
      <c r="AE51" s="18" t="s">
        <v>29</v>
      </c>
      <c r="AF51" s="18" t="s">
        <v>29</v>
      </c>
      <c r="AG51" s="131" t="s">
        <v>29</v>
      </c>
      <c r="AH51" s="18">
        <v>8.6999999999999993</v>
      </c>
      <c r="AI51" s="18" t="s">
        <v>32</v>
      </c>
      <c r="AJ51" s="18" t="s">
        <v>66</v>
      </c>
      <c r="AK51" s="18" t="s">
        <v>79</v>
      </c>
      <c r="AL51" s="18" t="s">
        <v>96</v>
      </c>
      <c r="AM51" s="18" t="s">
        <v>107</v>
      </c>
      <c r="AN51" s="18" t="s">
        <v>118</v>
      </c>
      <c r="AO51" s="18" t="s">
        <v>198</v>
      </c>
      <c r="AP51" s="18" t="s">
        <v>265</v>
      </c>
      <c r="AQ51" s="18"/>
      <c r="AR51" s="18">
        <v>1</v>
      </c>
      <c r="AS51" s="18">
        <v>1</v>
      </c>
      <c r="AT51" s="18">
        <v>1</v>
      </c>
      <c r="AU51" s="18">
        <v>3</v>
      </c>
      <c r="AV51" s="18">
        <v>2</v>
      </c>
      <c r="AW51" s="18">
        <v>8</v>
      </c>
      <c r="AX51" s="49">
        <f t="shared" si="0"/>
        <v>0</v>
      </c>
      <c r="AY51" s="49">
        <f>VLOOKUP(AI51,Leyenda!$B$4:$E$10,4,FALSE)</f>
        <v>1</v>
      </c>
      <c r="AZ51" s="50">
        <f t="shared" si="4"/>
        <v>6</v>
      </c>
      <c r="BA51" s="49">
        <v>8</v>
      </c>
      <c r="BB51" s="49">
        <v>10</v>
      </c>
      <c r="BC51" s="67">
        <v>12</v>
      </c>
      <c r="BD51" s="67">
        <f>VLOOKUP(AI51,Leyenda!$B$4:$E$10,4,FALSE)</f>
        <v>1</v>
      </c>
      <c r="BE51" s="67">
        <v>5</v>
      </c>
      <c r="BF51" s="67">
        <f t="shared" si="1"/>
        <v>0</v>
      </c>
      <c r="BG51" s="67">
        <v>1</v>
      </c>
      <c r="BH51" s="67">
        <v>3</v>
      </c>
      <c r="BI51" s="67">
        <v>2</v>
      </c>
      <c r="BJ51" s="67">
        <v>1</v>
      </c>
      <c r="BK51" s="67">
        <v>1</v>
      </c>
      <c r="BL51" s="67">
        <v>10</v>
      </c>
      <c r="BM51" s="125">
        <f t="shared" si="2"/>
        <v>24</v>
      </c>
      <c r="BN51" s="85">
        <f t="shared" si="3"/>
        <v>25</v>
      </c>
      <c r="BQ51" s="148"/>
      <c r="BR51" s="148"/>
      <c r="BS51" s="148"/>
      <c r="BT51" s="148"/>
    </row>
    <row r="52" spans="1:72" x14ac:dyDescent="0.25">
      <c r="A52" s="18" t="s">
        <v>6</v>
      </c>
      <c r="B52" s="18">
        <v>2024</v>
      </c>
      <c r="C52" s="18" t="s">
        <v>138</v>
      </c>
      <c r="D52" s="18" t="s">
        <v>130</v>
      </c>
      <c r="E52" s="18">
        <v>20</v>
      </c>
      <c r="F52" s="18">
        <v>30</v>
      </c>
      <c r="G52" s="18" t="s">
        <v>156</v>
      </c>
      <c r="H52" s="18"/>
      <c r="I52" s="18"/>
      <c r="J52" s="4">
        <v>59.5</v>
      </c>
      <c r="K52" s="4">
        <v>60</v>
      </c>
      <c r="L52" s="4">
        <v>0.5</v>
      </c>
      <c r="M52" s="5">
        <v>0</v>
      </c>
      <c r="N52" s="31">
        <v>0</v>
      </c>
      <c r="O52" s="31">
        <v>0</v>
      </c>
      <c r="P52" s="31" t="s">
        <v>348</v>
      </c>
      <c r="Q52" s="31">
        <v>20</v>
      </c>
      <c r="R52" s="31">
        <v>0.5</v>
      </c>
      <c r="S52" s="31">
        <v>0</v>
      </c>
      <c r="T52" s="65">
        <v>0</v>
      </c>
      <c r="U52" s="31">
        <v>10</v>
      </c>
      <c r="V52" s="31"/>
      <c r="W52" s="31">
        <v>10</v>
      </c>
      <c r="X52" s="85">
        <v>50</v>
      </c>
      <c r="Y52" s="18">
        <v>0</v>
      </c>
      <c r="Z52" s="18" t="s">
        <v>330</v>
      </c>
      <c r="AA52" s="18" t="s">
        <v>333</v>
      </c>
      <c r="AB52" s="18" t="s">
        <v>337</v>
      </c>
      <c r="AC52" s="18">
        <v>20</v>
      </c>
      <c r="AD52" s="18" t="s">
        <v>348</v>
      </c>
      <c r="AE52" s="18" t="s">
        <v>29</v>
      </c>
      <c r="AF52" s="18" t="s">
        <v>29</v>
      </c>
      <c r="AG52" s="131" t="s">
        <v>29</v>
      </c>
      <c r="AH52" s="18">
        <v>8.6999999999999993</v>
      </c>
      <c r="AI52" s="18" t="s">
        <v>32</v>
      </c>
      <c r="AJ52" s="18" t="s">
        <v>66</v>
      </c>
      <c r="AK52" s="18" t="s">
        <v>79</v>
      </c>
      <c r="AL52" s="18" t="s">
        <v>96</v>
      </c>
      <c r="AM52" s="18" t="s">
        <v>107</v>
      </c>
      <c r="AN52" s="18" t="s">
        <v>118</v>
      </c>
      <c r="AO52" s="18" t="s">
        <v>198</v>
      </c>
      <c r="AP52" s="18" t="s">
        <v>265</v>
      </c>
      <c r="AQ52" s="18"/>
      <c r="AR52" s="18">
        <v>1</v>
      </c>
      <c r="AS52" s="18">
        <v>1</v>
      </c>
      <c r="AT52" s="18">
        <v>1</v>
      </c>
      <c r="AU52" s="18">
        <v>3</v>
      </c>
      <c r="AV52" s="18">
        <v>2</v>
      </c>
      <c r="AW52" s="18">
        <v>8</v>
      </c>
      <c r="AX52" s="49">
        <f t="shared" si="0"/>
        <v>0</v>
      </c>
      <c r="AY52" s="49">
        <f>VLOOKUP(AI52,Leyenda!$B$4:$E$10,4,FALSE)</f>
        <v>1</v>
      </c>
      <c r="AZ52" s="50">
        <f t="shared" si="4"/>
        <v>6</v>
      </c>
      <c r="BA52" s="49">
        <v>8</v>
      </c>
      <c r="BB52" s="49">
        <v>10</v>
      </c>
      <c r="BC52" s="67">
        <v>12</v>
      </c>
      <c r="BD52" s="67">
        <f>VLOOKUP(AI52,Leyenda!$B$4:$E$10,4,FALSE)</f>
        <v>1</v>
      </c>
      <c r="BE52" s="67">
        <v>5</v>
      </c>
      <c r="BF52" s="67">
        <f t="shared" si="1"/>
        <v>0</v>
      </c>
      <c r="BG52" s="67">
        <v>1</v>
      </c>
      <c r="BH52" s="67">
        <v>3</v>
      </c>
      <c r="BI52" s="67">
        <v>2</v>
      </c>
      <c r="BJ52" s="67">
        <v>1</v>
      </c>
      <c r="BK52" s="67">
        <v>1</v>
      </c>
      <c r="BL52" s="67">
        <v>10</v>
      </c>
      <c r="BM52" s="125">
        <f t="shared" si="2"/>
        <v>24</v>
      </c>
      <c r="BN52" s="85">
        <f t="shared" si="3"/>
        <v>25</v>
      </c>
    </row>
    <row r="53" spans="1:72" x14ac:dyDescent="0.25">
      <c r="A53" s="18" t="s">
        <v>6</v>
      </c>
      <c r="B53" s="18">
        <v>2024</v>
      </c>
      <c r="C53" s="18" t="s">
        <v>138</v>
      </c>
      <c r="D53" s="18" t="s">
        <v>132</v>
      </c>
      <c r="E53" s="18">
        <v>40</v>
      </c>
      <c r="F53" s="18">
        <v>30</v>
      </c>
      <c r="G53" s="18" t="s">
        <v>153</v>
      </c>
      <c r="H53" s="18"/>
      <c r="I53" s="18" t="s">
        <v>166</v>
      </c>
      <c r="J53" s="4">
        <v>19.5</v>
      </c>
      <c r="K53" s="18">
        <v>20</v>
      </c>
      <c r="L53" s="4">
        <v>0.5</v>
      </c>
      <c r="M53" s="5">
        <v>0.3</v>
      </c>
      <c r="N53" s="31">
        <v>0.15</v>
      </c>
      <c r="O53" s="31">
        <v>0.15</v>
      </c>
      <c r="P53" s="31">
        <v>7.5</v>
      </c>
      <c r="Q53" s="31">
        <v>20</v>
      </c>
      <c r="R53" s="31">
        <v>0.14000000000000001</v>
      </c>
      <c r="S53" s="31">
        <v>0</v>
      </c>
      <c r="T53" s="65">
        <v>0</v>
      </c>
      <c r="U53" s="31">
        <v>5</v>
      </c>
      <c r="V53" s="31"/>
      <c r="W53" s="31">
        <v>5</v>
      </c>
      <c r="X53" s="85">
        <v>28</v>
      </c>
      <c r="Y53" s="18">
        <v>0</v>
      </c>
      <c r="Z53" s="18" t="s">
        <v>96</v>
      </c>
      <c r="AA53" s="18" t="s">
        <v>333</v>
      </c>
      <c r="AB53" s="18" t="s">
        <v>337</v>
      </c>
      <c r="AC53" s="18">
        <v>20</v>
      </c>
      <c r="AD53" s="18">
        <v>7.5</v>
      </c>
      <c r="AE53" s="18" t="s">
        <v>29</v>
      </c>
      <c r="AF53" s="18"/>
      <c r="AG53" s="18" t="s">
        <v>29</v>
      </c>
      <c r="AH53" s="18">
        <v>8.6999999999999993</v>
      </c>
      <c r="AI53" s="18" t="s">
        <v>32</v>
      </c>
      <c r="AJ53" s="18" t="s">
        <v>69</v>
      </c>
      <c r="AK53" s="18" t="s">
        <v>81</v>
      </c>
      <c r="AL53" s="18" t="s">
        <v>100</v>
      </c>
      <c r="AM53" s="18" t="s">
        <v>107</v>
      </c>
      <c r="AN53" s="18" t="s">
        <v>120</v>
      </c>
      <c r="AO53" s="18" t="s">
        <v>247</v>
      </c>
      <c r="AP53" s="18"/>
      <c r="AQ53" s="18"/>
      <c r="AR53" s="18">
        <v>0</v>
      </c>
      <c r="AS53" s="18">
        <v>0</v>
      </c>
      <c r="AT53" s="18">
        <v>0</v>
      </c>
      <c r="AU53" s="18">
        <v>3</v>
      </c>
      <c r="AV53" s="18">
        <v>2</v>
      </c>
      <c r="AW53" s="18">
        <v>5</v>
      </c>
      <c r="AX53" s="49">
        <f t="shared" si="0"/>
        <v>0</v>
      </c>
      <c r="AY53" s="49">
        <f>VLOOKUP(AI53,Leyenda!$B$4:$E$10,4,FALSE)</f>
        <v>1</v>
      </c>
      <c r="AZ53" s="50">
        <f t="shared" si="4"/>
        <v>5</v>
      </c>
      <c r="BA53" s="49">
        <v>5</v>
      </c>
      <c r="BB53" s="49">
        <v>10</v>
      </c>
      <c r="BC53" s="67">
        <v>7.5</v>
      </c>
      <c r="BD53" s="67">
        <f>VLOOKUP(AI53,Leyenda!$B$4:$E$10,4,FALSE)</f>
        <v>1</v>
      </c>
      <c r="BE53" s="67">
        <v>5</v>
      </c>
      <c r="BF53" s="67">
        <f t="shared" si="1"/>
        <v>0</v>
      </c>
      <c r="BG53" s="67">
        <v>0</v>
      </c>
      <c r="BH53" s="67">
        <v>3</v>
      </c>
      <c r="BI53" s="67">
        <v>2</v>
      </c>
      <c r="BJ53" s="67">
        <v>0</v>
      </c>
      <c r="BK53" s="67">
        <v>0</v>
      </c>
      <c r="BL53" s="67">
        <v>7</v>
      </c>
      <c r="BM53" s="125">
        <f t="shared" si="2"/>
        <v>18</v>
      </c>
      <c r="BN53" s="85">
        <f t="shared" si="3"/>
        <v>21</v>
      </c>
    </row>
    <row r="54" spans="1:72" x14ac:dyDescent="0.25">
      <c r="A54" s="18" t="s">
        <v>6</v>
      </c>
      <c r="B54" s="18">
        <v>2024</v>
      </c>
      <c r="C54" s="18" t="s">
        <v>138</v>
      </c>
      <c r="D54" s="18" t="s">
        <v>132</v>
      </c>
      <c r="E54" s="18">
        <v>40</v>
      </c>
      <c r="F54" s="18">
        <v>30</v>
      </c>
      <c r="G54" s="18" t="s">
        <v>153</v>
      </c>
      <c r="H54" s="18"/>
      <c r="I54" s="18" t="s">
        <v>167</v>
      </c>
      <c r="J54" s="4">
        <v>20</v>
      </c>
      <c r="K54" s="18">
        <v>20.5</v>
      </c>
      <c r="L54" s="4">
        <v>0.5</v>
      </c>
      <c r="M54" s="5">
        <v>0.68</v>
      </c>
      <c r="N54" s="31">
        <v>0.34</v>
      </c>
      <c r="O54" s="31">
        <v>0.34</v>
      </c>
      <c r="P54" s="31">
        <v>17</v>
      </c>
      <c r="Q54" s="31">
        <v>20</v>
      </c>
      <c r="R54" s="31">
        <v>0.32</v>
      </c>
      <c r="S54" s="31">
        <v>0.11</v>
      </c>
      <c r="T54" s="65">
        <v>22</v>
      </c>
      <c r="U54" s="31">
        <v>4</v>
      </c>
      <c r="V54" s="31"/>
      <c r="W54" s="31">
        <v>4</v>
      </c>
      <c r="X54" s="85">
        <v>80</v>
      </c>
      <c r="Y54" s="18">
        <v>0</v>
      </c>
      <c r="Z54" s="18" t="s">
        <v>330</v>
      </c>
      <c r="AA54" s="18" t="s">
        <v>333</v>
      </c>
      <c r="AB54" s="18" t="s">
        <v>335</v>
      </c>
      <c r="AC54" s="18">
        <v>20</v>
      </c>
      <c r="AD54" s="18">
        <v>17</v>
      </c>
      <c r="AE54" s="18" t="s">
        <v>34</v>
      </c>
      <c r="AF54" s="18"/>
      <c r="AG54" s="18" t="s">
        <v>34</v>
      </c>
      <c r="AH54" s="18">
        <v>8.6999999999999993</v>
      </c>
      <c r="AI54" s="18" t="s">
        <v>32</v>
      </c>
      <c r="AJ54" s="18" t="s">
        <v>69</v>
      </c>
      <c r="AK54" s="18" t="s">
        <v>81</v>
      </c>
      <c r="AL54" s="18" t="s">
        <v>100</v>
      </c>
      <c r="AM54" s="18" t="s">
        <v>107</v>
      </c>
      <c r="AN54" s="18" t="s">
        <v>120</v>
      </c>
      <c r="AO54" s="18" t="s">
        <v>247</v>
      </c>
      <c r="AP54" s="18"/>
      <c r="AQ54" s="18"/>
      <c r="AR54" s="18">
        <v>0</v>
      </c>
      <c r="AS54" s="18">
        <v>0</v>
      </c>
      <c r="AT54" s="18">
        <v>0</v>
      </c>
      <c r="AU54" s="18">
        <v>3</v>
      </c>
      <c r="AV54" s="18">
        <v>2</v>
      </c>
      <c r="AW54" s="18">
        <v>5</v>
      </c>
      <c r="AX54" s="49">
        <f t="shared" si="0"/>
        <v>5</v>
      </c>
      <c r="AY54" s="49">
        <f>VLOOKUP(AI54,Leyenda!$B$4:$E$10,4,FALSE)</f>
        <v>1</v>
      </c>
      <c r="AZ54" s="50">
        <f t="shared" si="4"/>
        <v>7</v>
      </c>
      <c r="BA54" s="49">
        <v>5</v>
      </c>
      <c r="BB54" s="49">
        <v>10</v>
      </c>
      <c r="BC54" s="67">
        <v>18.5</v>
      </c>
      <c r="BD54" s="67">
        <f>VLOOKUP(AI54,Leyenda!$B$4:$E$10,4,FALSE)</f>
        <v>1</v>
      </c>
      <c r="BE54" s="67">
        <v>7</v>
      </c>
      <c r="BF54" s="67">
        <f t="shared" si="1"/>
        <v>5</v>
      </c>
      <c r="BG54" s="67">
        <v>0</v>
      </c>
      <c r="BH54" s="67">
        <v>3</v>
      </c>
      <c r="BI54" s="67">
        <v>2</v>
      </c>
      <c r="BJ54" s="67">
        <v>0</v>
      </c>
      <c r="BK54" s="67">
        <v>0</v>
      </c>
      <c r="BL54" s="67">
        <v>7</v>
      </c>
      <c r="BM54" s="125">
        <f t="shared" si="2"/>
        <v>25</v>
      </c>
      <c r="BN54" s="85">
        <f t="shared" si="3"/>
        <v>28</v>
      </c>
    </row>
    <row r="55" spans="1:72" x14ac:dyDescent="0.25">
      <c r="A55" s="18" t="s">
        <v>6</v>
      </c>
      <c r="B55" s="18">
        <v>2024</v>
      </c>
      <c r="C55" s="18" t="s">
        <v>138</v>
      </c>
      <c r="D55" s="18" t="s">
        <v>132</v>
      </c>
      <c r="E55" s="18">
        <v>40</v>
      </c>
      <c r="F55" s="18">
        <v>30</v>
      </c>
      <c r="G55" s="18" t="s">
        <v>153</v>
      </c>
      <c r="H55" s="18"/>
      <c r="I55" s="18" t="s">
        <v>167</v>
      </c>
      <c r="J55" s="4">
        <v>20.5</v>
      </c>
      <c r="K55" s="18">
        <v>21</v>
      </c>
      <c r="L55" s="4">
        <v>0.5</v>
      </c>
      <c r="M55" s="5">
        <v>0.62</v>
      </c>
      <c r="N55" s="31">
        <v>0.31</v>
      </c>
      <c r="O55" s="31">
        <v>0.31</v>
      </c>
      <c r="P55" s="31">
        <v>15.5</v>
      </c>
      <c r="Q55" s="31">
        <v>20</v>
      </c>
      <c r="R55" s="31">
        <v>0.28999999999999998</v>
      </c>
      <c r="S55" s="31">
        <v>0</v>
      </c>
      <c r="T55" s="65">
        <v>0</v>
      </c>
      <c r="U55" s="31">
        <v>3</v>
      </c>
      <c r="V55" s="31"/>
      <c r="W55" s="31">
        <v>3</v>
      </c>
      <c r="X55" s="85">
        <v>96.666666666666671</v>
      </c>
      <c r="Y55" s="18">
        <v>0</v>
      </c>
      <c r="Z55" s="18" t="s">
        <v>330</v>
      </c>
      <c r="AA55" s="18" t="s">
        <v>333</v>
      </c>
      <c r="AB55" s="18" t="s">
        <v>335</v>
      </c>
      <c r="AC55" s="18">
        <v>20</v>
      </c>
      <c r="AD55" s="18">
        <v>15.5</v>
      </c>
      <c r="AE55" s="18" t="s">
        <v>34</v>
      </c>
      <c r="AF55" s="18"/>
      <c r="AG55" s="18" t="s">
        <v>34</v>
      </c>
      <c r="AH55" s="18">
        <v>8.6999999999999993</v>
      </c>
      <c r="AI55" s="18" t="s">
        <v>32</v>
      </c>
      <c r="AJ55" s="18" t="s">
        <v>69</v>
      </c>
      <c r="AK55" s="18" t="s">
        <v>81</v>
      </c>
      <c r="AL55" s="18" t="s">
        <v>100</v>
      </c>
      <c r="AM55" s="18" t="s">
        <v>107</v>
      </c>
      <c r="AN55" s="18" t="s">
        <v>120</v>
      </c>
      <c r="AO55" s="18" t="s">
        <v>247</v>
      </c>
      <c r="AP55" s="18"/>
      <c r="AQ55" s="18"/>
      <c r="AR55" s="18">
        <v>0</v>
      </c>
      <c r="AS55" s="18">
        <v>0</v>
      </c>
      <c r="AT55" s="18">
        <v>0</v>
      </c>
      <c r="AU55" s="18">
        <v>3</v>
      </c>
      <c r="AV55" s="18">
        <v>2</v>
      </c>
      <c r="AW55" s="18">
        <v>5</v>
      </c>
      <c r="AX55" s="49">
        <f t="shared" si="0"/>
        <v>0</v>
      </c>
      <c r="AY55" s="49">
        <f>VLOOKUP(AI55,Leyenda!$B$4:$E$10,4,FALSE)</f>
        <v>1</v>
      </c>
      <c r="AZ55" s="50">
        <f t="shared" si="4"/>
        <v>7</v>
      </c>
      <c r="BA55" s="49">
        <v>5</v>
      </c>
      <c r="BB55" s="49">
        <v>10</v>
      </c>
      <c r="BC55" s="67">
        <v>7.5</v>
      </c>
      <c r="BD55" s="67">
        <f>VLOOKUP(AI55,Leyenda!$B$4:$E$10,4,FALSE)</f>
        <v>1</v>
      </c>
      <c r="BE55" s="67">
        <v>8</v>
      </c>
      <c r="BF55" s="67">
        <f t="shared" si="1"/>
        <v>0</v>
      </c>
      <c r="BG55" s="67">
        <v>0</v>
      </c>
      <c r="BH55" s="67">
        <v>3</v>
      </c>
      <c r="BI55" s="67">
        <v>2</v>
      </c>
      <c r="BJ55" s="67">
        <v>0</v>
      </c>
      <c r="BK55" s="67">
        <v>0</v>
      </c>
      <c r="BL55" s="67">
        <v>7</v>
      </c>
      <c r="BM55" s="125">
        <f t="shared" si="2"/>
        <v>21</v>
      </c>
      <c r="BN55" s="85">
        <f t="shared" si="3"/>
        <v>23</v>
      </c>
    </row>
    <row r="56" spans="1:72" x14ac:dyDescent="0.25">
      <c r="A56" s="18" t="s">
        <v>6</v>
      </c>
      <c r="B56" s="18">
        <v>2024</v>
      </c>
      <c r="C56" s="18" t="s">
        <v>138</v>
      </c>
      <c r="D56" s="18" t="s">
        <v>132</v>
      </c>
      <c r="E56" s="18">
        <v>40</v>
      </c>
      <c r="F56" s="18">
        <v>30</v>
      </c>
      <c r="G56" s="18" t="s">
        <v>153</v>
      </c>
      <c r="H56" s="18"/>
      <c r="I56" s="18" t="s">
        <v>167</v>
      </c>
      <c r="J56" s="4">
        <v>21</v>
      </c>
      <c r="K56" s="18">
        <v>21.5</v>
      </c>
      <c r="L56" s="4">
        <v>0.5</v>
      </c>
      <c r="M56" s="5">
        <v>0.8</v>
      </c>
      <c r="N56" s="31">
        <v>0.4</v>
      </c>
      <c r="O56" s="31">
        <v>0.4</v>
      </c>
      <c r="P56" s="31">
        <v>20</v>
      </c>
      <c r="Q56" s="31">
        <v>20</v>
      </c>
      <c r="R56" s="31">
        <v>0.37</v>
      </c>
      <c r="S56" s="31">
        <v>0.19</v>
      </c>
      <c r="T56" s="65">
        <v>38</v>
      </c>
      <c r="U56" s="132">
        <v>3</v>
      </c>
      <c r="V56" s="31"/>
      <c r="W56" s="31">
        <v>3</v>
      </c>
      <c r="X56" s="85">
        <v>123.33333333333333</v>
      </c>
      <c r="Y56" s="18">
        <v>0</v>
      </c>
      <c r="Z56" s="18" t="s">
        <v>330</v>
      </c>
      <c r="AA56" s="18" t="s">
        <v>333</v>
      </c>
      <c r="AB56" s="18" t="s">
        <v>335</v>
      </c>
      <c r="AC56" s="18">
        <v>20</v>
      </c>
      <c r="AD56" s="18">
        <v>20</v>
      </c>
      <c r="AE56" s="18" t="s">
        <v>34</v>
      </c>
      <c r="AF56" s="18"/>
      <c r="AG56" s="18" t="s">
        <v>34</v>
      </c>
      <c r="AH56" s="18">
        <v>8.6999999999999993</v>
      </c>
      <c r="AI56" s="18" t="s">
        <v>32</v>
      </c>
      <c r="AJ56" s="18" t="s">
        <v>69</v>
      </c>
      <c r="AK56" s="18" t="s">
        <v>81</v>
      </c>
      <c r="AL56" s="18" t="s">
        <v>100</v>
      </c>
      <c r="AM56" s="18" t="s">
        <v>107</v>
      </c>
      <c r="AN56" s="18" t="s">
        <v>120</v>
      </c>
      <c r="AO56" s="18" t="s">
        <v>247</v>
      </c>
      <c r="AP56" s="18"/>
      <c r="AQ56" s="18"/>
      <c r="AR56" s="18">
        <v>0</v>
      </c>
      <c r="AS56" s="18">
        <v>0</v>
      </c>
      <c r="AT56" s="18">
        <v>0</v>
      </c>
      <c r="AU56" s="18">
        <v>3</v>
      </c>
      <c r="AV56" s="18">
        <v>2</v>
      </c>
      <c r="AW56" s="18">
        <v>5</v>
      </c>
      <c r="AX56" s="49">
        <f t="shared" si="0"/>
        <v>8</v>
      </c>
      <c r="AY56" s="49">
        <f>VLOOKUP(AI56,Leyenda!$B$4:$E$10,4,FALSE)</f>
        <v>1</v>
      </c>
      <c r="AZ56" s="50">
        <f t="shared" si="4"/>
        <v>8</v>
      </c>
      <c r="BA56" s="49">
        <v>5</v>
      </c>
      <c r="BB56" s="49">
        <v>10</v>
      </c>
      <c r="BC56" s="67">
        <v>26.5</v>
      </c>
      <c r="BD56" s="67">
        <f>VLOOKUP(AI56,Leyenda!$B$4:$E$10,4,FALSE)</f>
        <v>1</v>
      </c>
      <c r="BE56" s="67">
        <v>9</v>
      </c>
      <c r="BF56" s="67">
        <f t="shared" si="1"/>
        <v>8</v>
      </c>
      <c r="BG56" s="67">
        <v>0</v>
      </c>
      <c r="BH56" s="67">
        <v>3</v>
      </c>
      <c r="BI56" s="67">
        <v>2</v>
      </c>
      <c r="BJ56" s="67">
        <v>0</v>
      </c>
      <c r="BK56" s="67">
        <v>0</v>
      </c>
      <c r="BL56" s="67">
        <v>7</v>
      </c>
      <c r="BM56" s="125">
        <f t="shared" si="2"/>
        <v>30</v>
      </c>
      <c r="BN56" s="85">
        <f t="shared" si="3"/>
        <v>32</v>
      </c>
    </row>
    <row r="57" spans="1:72" x14ac:dyDescent="0.25">
      <c r="A57" s="18" t="s">
        <v>6</v>
      </c>
      <c r="B57" s="18">
        <v>2024</v>
      </c>
      <c r="C57" s="18" t="s">
        <v>138</v>
      </c>
      <c r="D57" s="18" t="s">
        <v>132</v>
      </c>
      <c r="E57" s="18">
        <v>40</v>
      </c>
      <c r="F57" s="18">
        <v>30</v>
      </c>
      <c r="G57" s="18" t="s">
        <v>153</v>
      </c>
      <c r="H57" s="18"/>
      <c r="I57" s="18" t="s">
        <v>167</v>
      </c>
      <c r="J57" s="133">
        <v>21.5</v>
      </c>
      <c r="K57" s="18">
        <v>22</v>
      </c>
      <c r="L57" s="4">
        <v>0.5</v>
      </c>
      <c r="M57" s="5">
        <v>0.76</v>
      </c>
      <c r="N57" s="31">
        <v>0.38</v>
      </c>
      <c r="O57" s="31">
        <v>0.38</v>
      </c>
      <c r="P57" s="31">
        <v>19</v>
      </c>
      <c r="Q57" s="31">
        <v>20</v>
      </c>
      <c r="R57" s="31">
        <v>0.36</v>
      </c>
      <c r="S57" s="31">
        <v>0.14000000000000001</v>
      </c>
      <c r="T57" s="65">
        <v>28.000000000000004</v>
      </c>
      <c r="U57" s="31">
        <v>10</v>
      </c>
      <c r="V57" s="31"/>
      <c r="W57" s="31">
        <v>10</v>
      </c>
      <c r="X57" s="85">
        <v>36</v>
      </c>
      <c r="Y57" s="18">
        <v>0</v>
      </c>
      <c r="Z57" s="18" t="s">
        <v>330</v>
      </c>
      <c r="AA57" s="18" t="s">
        <v>333</v>
      </c>
      <c r="AB57" s="18" t="s">
        <v>335</v>
      </c>
      <c r="AC57" s="18">
        <v>20</v>
      </c>
      <c r="AD57" s="18">
        <v>19</v>
      </c>
      <c r="AE57" s="18" t="s">
        <v>34</v>
      </c>
      <c r="AF57" s="18"/>
      <c r="AG57" s="18"/>
      <c r="AH57" s="18">
        <v>8.6999999999999993</v>
      </c>
      <c r="AI57" s="18" t="s">
        <v>32</v>
      </c>
      <c r="AJ57" s="18" t="s">
        <v>69</v>
      </c>
      <c r="AK57" s="18" t="s">
        <v>81</v>
      </c>
      <c r="AL57" s="18" t="s">
        <v>100</v>
      </c>
      <c r="AM57" s="18" t="s">
        <v>107</v>
      </c>
      <c r="AN57" s="18" t="s">
        <v>120</v>
      </c>
      <c r="AO57" s="18" t="s">
        <v>247</v>
      </c>
      <c r="AP57" s="18"/>
      <c r="AQ57" s="18"/>
      <c r="AR57" s="18">
        <v>0</v>
      </c>
      <c r="AS57" s="18">
        <v>0</v>
      </c>
      <c r="AT57" s="18">
        <v>0</v>
      </c>
      <c r="AU57" s="18">
        <v>3</v>
      </c>
      <c r="AV57" s="18">
        <v>2</v>
      </c>
      <c r="AW57" s="18">
        <v>5</v>
      </c>
      <c r="AX57" s="49">
        <f t="shared" si="0"/>
        <v>6</v>
      </c>
      <c r="AY57" s="49">
        <f>VLOOKUP(AI57,Leyenda!$B$4:$E$10,4,FALSE)</f>
        <v>1</v>
      </c>
      <c r="AZ57" s="50">
        <f t="shared" si="4"/>
        <v>5</v>
      </c>
      <c r="BA57" s="49">
        <v>5</v>
      </c>
      <c r="BB57" s="49">
        <v>10</v>
      </c>
      <c r="BC57" s="67">
        <v>21.5</v>
      </c>
      <c r="BD57" s="67">
        <f>VLOOKUP(AI57,Leyenda!$B$4:$E$10,4,FALSE)</f>
        <v>1</v>
      </c>
      <c r="BE57" s="67">
        <v>5</v>
      </c>
      <c r="BF57" s="67">
        <f t="shared" si="1"/>
        <v>6</v>
      </c>
      <c r="BG57" s="67">
        <v>0</v>
      </c>
      <c r="BH57" s="67">
        <v>3</v>
      </c>
      <c r="BI57" s="67">
        <v>2</v>
      </c>
      <c r="BJ57" s="67">
        <v>0</v>
      </c>
      <c r="BK57" s="67">
        <v>0</v>
      </c>
      <c r="BL57" s="67">
        <v>7</v>
      </c>
      <c r="BM57" s="125">
        <f t="shared" si="2"/>
        <v>24</v>
      </c>
      <c r="BN57" s="85">
        <f t="shared" si="3"/>
        <v>27</v>
      </c>
    </row>
    <row r="58" spans="1:72" x14ac:dyDescent="0.25">
      <c r="A58" s="18" t="s">
        <v>6</v>
      </c>
      <c r="B58" s="18">
        <v>2024</v>
      </c>
      <c r="C58" s="18" t="s">
        <v>138</v>
      </c>
      <c r="D58" s="18" t="s">
        <v>132</v>
      </c>
      <c r="E58" s="18">
        <v>40</v>
      </c>
      <c r="F58" s="18">
        <v>30</v>
      </c>
      <c r="G58" s="18" t="s">
        <v>153</v>
      </c>
      <c r="H58" s="18"/>
      <c r="I58" s="18" t="s">
        <v>167</v>
      </c>
      <c r="J58" s="4">
        <v>22</v>
      </c>
      <c r="K58" s="18">
        <v>22.5</v>
      </c>
      <c r="L58" s="4">
        <v>0.5</v>
      </c>
      <c r="M58" s="5">
        <v>0.64</v>
      </c>
      <c r="N58" s="31">
        <v>0.32</v>
      </c>
      <c r="O58" s="31">
        <v>0.32</v>
      </c>
      <c r="P58" s="31">
        <v>16</v>
      </c>
      <c r="Q58" s="31">
        <v>20</v>
      </c>
      <c r="R58" s="31">
        <v>0.28000000000000003</v>
      </c>
      <c r="S58" s="31">
        <v>0</v>
      </c>
      <c r="T58" s="65">
        <v>0</v>
      </c>
      <c r="U58" s="31">
        <v>5</v>
      </c>
      <c r="V58" s="31"/>
      <c r="W58" s="31">
        <v>5</v>
      </c>
      <c r="X58" s="85">
        <v>56</v>
      </c>
      <c r="Y58" s="18">
        <v>0</v>
      </c>
      <c r="Z58" s="18" t="s">
        <v>330</v>
      </c>
      <c r="AA58" s="18" t="s">
        <v>333</v>
      </c>
      <c r="AB58" s="18" t="s">
        <v>335</v>
      </c>
      <c r="AC58" s="18">
        <v>20</v>
      </c>
      <c r="AD58" s="18">
        <v>16</v>
      </c>
      <c r="AE58" s="18" t="s">
        <v>34</v>
      </c>
      <c r="AF58" s="18"/>
      <c r="AG58" s="18"/>
      <c r="AH58" s="18">
        <v>8.6999999999999993</v>
      </c>
      <c r="AI58" s="18" t="s">
        <v>32</v>
      </c>
      <c r="AJ58" s="18" t="s">
        <v>69</v>
      </c>
      <c r="AK58" s="18" t="s">
        <v>81</v>
      </c>
      <c r="AL58" s="18" t="s">
        <v>100</v>
      </c>
      <c r="AM58" s="18" t="s">
        <v>107</v>
      </c>
      <c r="AN58" s="18" t="s">
        <v>120</v>
      </c>
      <c r="AO58" s="18" t="s">
        <v>247</v>
      </c>
      <c r="AP58" s="18"/>
      <c r="AQ58" s="18"/>
      <c r="AR58" s="18">
        <v>0</v>
      </c>
      <c r="AS58" s="18">
        <v>0</v>
      </c>
      <c r="AT58" s="18">
        <v>0</v>
      </c>
      <c r="AU58" s="18">
        <v>3</v>
      </c>
      <c r="AV58" s="18">
        <v>2</v>
      </c>
      <c r="AW58" s="18">
        <v>5</v>
      </c>
      <c r="AX58" s="49">
        <f t="shared" si="0"/>
        <v>0</v>
      </c>
      <c r="AY58" s="49">
        <f>VLOOKUP(AI58,Leyenda!$B$4:$E$10,4,FALSE)</f>
        <v>1</v>
      </c>
      <c r="AZ58" s="50">
        <f t="shared" si="4"/>
        <v>6</v>
      </c>
      <c r="BA58" s="49">
        <v>5</v>
      </c>
      <c r="BB58" s="49">
        <v>10</v>
      </c>
      <c r="BC58" s="67">
        <v>7.5</v>
      </c>
      <c r="BD58" s="67">
        <f>VLOOKUP(AI58,Leyenda!$B$4:$E$10,4,FALSE)</f>
        <v>1</v>
      </c>
      <c r="BE58" s="67">
        <v>5</v>
      </c>
      <c r="BF58" s="67">
        <f t="shared" si="1"/>
        <v>0</v>
      </c>
      <c r="BG58" s="67">
        <v>0</v>
      </c>
      <c r="BH58" s="67">
        <v>3</v>
      </c>
      <c r="BI58" s="67">
        <v>2</v>
      </c>
      <c r="BJ58" s="67">
        <v>0</v>
      </c>
      <c r="BK58" s="67">
        <v>0</v>
      </c>
      <c r="BL58" s="67">
        <v>7</v>
      </c>
      <c r="BM58" s="125">
        <f t="shared" si="2"/>
        <v>18</v>
      </c>
      <c r="BN58" s="85">
        <f t="shared" si="3"/>
        <v>22</v>
      </c>
    </row>
    <row r="59" spans="1:72" x14ac:dyDescent="0.25">
      <c r="A59" s="18" t="s">
        <v>6</v>
      </c>
      <c r="B59" s="18">
        <v>2024</v>
      </c>
      <c r="C59" s="18" t="s">
        <v>138</v>
      </c>
      <c r="D59" s="18" t="s">
        <v>132</v>
      </c>
      <c r="E59" s="18">
        <v>40</v>
      </c>
      <c r="F59" s="18">
        <v>30</v>
      </c>
      <c r="G59" s="18" t="s">
        <v>153</v>
      </c>
      <c r="H59" s="18"/>
      <c r="I59" s="18" t="s">
        <v>167</v>
      </c>
      <c r="J59" s="4">
        <v>22.5</v>
      </c>
      <c r="K59" s="18">
        <v>23</v>
      </c>
      <c r="L59" s="4">
        <v>0.5</v>
      </c>
      <c r="M59" s="5">
        <v>0.5</v>
      </c>
      <c r="N59" s="31">
        <v>0.25</v>
      </c>
      <c r="O59" s="31">
        <v>0.25</v>
      </c>
      <c r="P59" s="31">
        <v>12.5</v>
      </c>
      <c r="Q59" s="31">
        <v>20</v>
      </c>
      <c r="R59" s="31">
        <v>0.21</v>
      </c>
      <c r="S59" s="31">
        <v>0.11</v>
      </c>
      <c r="T59" s="65">
        <v>22</v>
      </c>
      <c r="U59" s="31">
        <v>2</v>
      </c>
      <c r="V59" s="31"/>
      <c r="W59" s="31">
        <v>2</v>
      </c>
      <c r="X59" s="85">
        <v>105</v>
      </c>
      <c r="Y59" s="18">
        <v>0</v>
      </c>
      <c r="Z59" s="18" t="s">
        <v>330</v>
      </c>
      <c r="AA59" s="18" t="s">
        <v>333</v>
      </c>
      <c r="AB59" s="18" t="s">
        <v>335</v>
      </c>
      <c r="AC59" s="18">
        <v>20</v>
      </c>
      <c r="AD59" s="18">
        <v>12.5</v>
      </c>
      <c r="AE59" s="18" t="s">
        <v>34</v>
      </c>
      <c r="AF59" s="18"/>
      <c r="AG59" s="18"/>
      <c r="AH59" s="18">
        <v>8.6999999999999993</v>
      </c>
      <c r="AI59" s="18" t="s">
        <v>32</v>
      </c>
      <c r="AJ59" s="18" t="s">
        <v>69</v>
      </c>
      <c r="AK59" s="18" t="s">
        <v>81</v>
      </c>
      <c r="AL59" s="18" t="s">
        <v>100</v>
      </c>
      <c r="AM59" s="18" t="s">
        <v>107</v>
      </c>
      <c r="AN59" s="18" t="s">
        <v>120</v>
      </c>
      <c r="AO59" s="18" t="s">
        <v>247</v>
      </c>
      <c r="AP59" s="18"/>
      <c r="AQ59" s="18"/>
      <c r="AR59" s="18">
        <v>0</v>
      </c>
      <c r="AS59" s="18">
        <v>0</v>
      </c>
      <c r="AT59" s="18">
        <v>0</v>
      </c>
      <c r="AU59" s="18">
        <v>3</v>
      </c>
      <c r="AV59" s="18">
        <v>2</v>
      </c>
      <c r="AW59" s="18">
        <v>5</v>
      </c>
      <c r="AX59" s="49">
        <f t="shared" si="0"/>
        <v>5</v>
      </c>
      <c r="AY59" s="49">
        <f>VLOOKUP(AI59,Leyenda!$B$4:$E$10,4,FALSE)</f>
        <v>1</v>
      </c>
      <c r="AZ59" s="50">
        <f t="shared" si="4"/>
        <v>7</v>
      </c>
      <c r="BA59" s="49">
        <v>5</v>
      </c>
      <c r="BB59" s="49">
        <v>10</v>
      </c>
      <c r="BC59" s="67">
        <v>18.5</v>
      </c>
      <c r="BD59" s="67">
        <f>VLOOKUP(AI59,Leyenda!$B$4:$E$10,4,FALSE)</f>
        <v>1</v>
      </c>
      <c r="BE59" s="67">
        <v>8</v>
      </c>
      <c r="BF59" s="67">
        <f t="shared" si="1"/>
        <v>5</v>
      </c>
      <c r="BG59" s="67">
        <v>0</v>
      </c>
      <c r="BH59" s="67">
        <v>3</v>
      </c>
      <c r="BI59" s="67">
        <v>2</v>
      </c>
      <c r="BJ59" s="67">
        <v>0</v>
      </c>
      <c r="BK59" s="67">
        <v>0</v>
      </c>
      <c r="BL59" s="67">
        <v>7</v>
      </c>
      <c r="BM59" s="125">
        <f t="shared" si="2"/>
        <v>26</v>
      </c>
      <c r="BN59" s="85">
        <f t="shared" si="3"/>
        <v>28</v>
      </c>
    </row>
    <row r="60" spans="1:72" x14ac:dyDescent="0.25">
      <c r="A60" s="18" t="s">
        <v>6</v>
      </c>
      <c r="B60" s="18">
        <v>2024</v>
      </c>
      <c r="C60" s="18" t="s">
        <v>138</v>
      </c>
      <c r="D60" s="18" t="s">
        <v>132</v>
      </c>
      <c r="E60" s="18">
        <v>40</v>
      </c>
      <c r="F60" s="18">
        <v>30</v>
      </c>
      <c r="G60" s="18" t="s">
        <v>153</v>
      </c>
      <c r="H60" s="18"/>
      <c r="I60" s="18" t="s">
        <v>167</v>
      </c>
      <c r="J60" s="4">
        <v>23</v>
      </c>
      <c r="K60" s="18">
        <v>23.5</v>
      </c>
      <c r="L60" s="4">
        <v>0.5</v>
      </c>
      <c r="M60" s="5">
        <v>0.48</v>
      </c>
      <c r="N60" s="31">
        <v>0.24</v>
      </c>
      <c r="O60" s="31">
        <v>0.24</v>
      </c>
      <c r="P60" s="31">
        <v>12</v>
      </c>
      <c r="Q60" s="31">
        <v>20</v>
      </c>
      <c r="R60" s="31">
        <v>0.22</v>
      </c>
      <c r="S60" s="31">
        <v>0.22</v>
      </c>
      <c r="T60" s="65">
        <v>44</v>
      </c>
      <c r="U60" s="31">
        <v>3</v>
      </c>
      <c r="V60" s="31"/>
      <c r="W60" s="31">
        <v>3</v>
      </c>
      <c r="X60" s="85">
        <v>73.333333333333329</v>
      </c>
      <c r="Y60" s="18">
        <v>0</v>
      </c>
      <c r="Z60" s="18" t="s">
        <v>330</v>
      </c>
      <c r="AA60" s="18" t="s">
        <v>333</v>
      </c>
      <c r="AB60" s="18" t="s">
        <v>335</v>
      </c>
      <c r="AC60" s="18">
        <v>20</v>
      </c>
      <c r="AD60" s="18">
        <v>12</v>
      </c>
      <c r="AE60" s="18" t="s">
        <v>34</v>
      </c>
      <c r="AF60" s="18"/>
      <c r="AG60" s="18"/>
      <c r="AH60" s="18">
        <v>8.6999999999999993</v>
      </c>
      <c r="AI60" s="18" t="s">
        <v>32</v>
      </c>
      <c r="AJ60" s="18" t="s">
        <v>69</v>
      </c>
      <c r="AK60" s="18" t="s">
        <v>81</v>
      </c>
      <c r="AL60" s="18" t="s">
        <v>100</v>
      </c>
      <c r="AM60" s="18" t="s">
        <v>107</v>
      </c>
      <c r="AN60" s="18" t="s">
        <v>120</v>
      </c>
      <c r="AO60" s="18" t="s">
        <v>247</v>
      </c>
      <c r="AP60" s="18"/>
      <c r="AQ60" s="18"/>
      <c r="AR60" s="18">
        <v>0</v>
      </c>
      <c r="AS60" s="18">
        <v>0</v>
      </c>
      <c r="AT60" s="18">
        <v>0</v>
      </c>
      <c r="AU60" s="18">
        <v>3</v>
      </c>
      <c r="AV60" s="18">
        <v>2</v>
      </c>
      <c r="AW60" s="18">
        <v>5</v>
      </c>
      <c r="AX60" s="49">
        <f t="shared" si="0"/>
        <v>9</v>
      </c>
      <c r="AY60" s="49">
        <f>VLOOKUP(AI60,Leyenda!$B$4:$E$10,4,FALSE)</f>
        <v>1</v>
      </c>
      <c r="AZ60" s="50">
        <f t="shared" si="4"/>
        <v>7</v>
      </c>
      <c r="BA60" s="49">
        <v>5</v>
      </c>
      <c r="BB60" s="49">
        <v>10</v>
      </c>
      <c r="BC60" s="67">
        <v>29.5</v>
      </c>
      <c r="BD60" s="67">
        <f>VLOOKUP(AI60,Leyenda!$B$4:$E$10,4,FALSE)</f>
        <v>1</v>
      </c>
      <c r="BE60" s="67">
        <v>6</v>
      </c>
      <c r="BF60" s="67">
        <f t="shared" si="1"/>
        <v>9</v>
      </c>
      <c r="BG60" s="67">
        <v>0</v>
      </c>
      <c r="BH60" s="67">
        <v>3</v>
      </c>
      <c r="BI60" s="67">
        <v>2</v>
      </c>
      <c r="BJ60" s="67">
        <v>0</v>
      </c>
      <c r="BK60" s="67">
        <v>0</v>
      </c>
      <c r="BL60" s="67">
        <v>7</v>
      </c>
      <c r="BM60" s="125">
        <f t="shared" si="2"/>
        <v>28</v>
      </c>
      <c r="BN60" s="85">
        <f t="shared" si="3"/>
        <v>32</v>
      </c>
    </row>
    <row r="61" spans="1:72" x14ac:dyDescent="0.25">
      <c r="A61" s="18" t="s">
        <v>6</v>
      </c>
      <c r="B61" s="18">
        <v>2024</v>
      </c>
      <c r="C61" s="18" t="s">
        <v>138</v>
      </c>
      <c r="D61" s="18" t="s">
        <v>132</v>
      </c>
      <c r="E61" s="18">
        <v>30</v>
      </c>
      <c r="F61" s="18">
        <v>30</v>
      </c>
      <c r="G61" s="18" t="s">
        <v>152</v>
      </c>
      <c r="H61" s="18"/>
      <c r="I61" s="18" t="s">
        <v>167</v>
      </c>
      <c r="J61" s="4">
        <v>23.5</v>
      </c>
      <c r="K61" s="18">
        <v>24</v>
      </c>
      <c r="L61" s="4">
        <v>0.5</v>
      </c>
      <c r="M61" s="5">
        <v>0.54</v>
      </c>
      <c r="N61" s="31">
        <v>0.27</v>
      </c>
      <c r="O61" s="31">
        <v>0.27</v>
      </c>
      <c r="P61" s="31">
        <v>13.5</v>
      </c>
      <c r="Q61" s="31">
        <v>20</v>
      </c>
      <c r="R61" s="31">
        <v>0.26</v>
      </c>
      <c r="S61" s="31">
        <v>0</v>
      </c>
      <c r="T61" s="65">
        <v>0</v>
      </c>
      <c r="U61" s="31">
        <v>5</v>
      </c>
      <c r="V61" s="31"/>
      <c r="W61" s="31">
        <v>5</v>
      </c>
      <c r="X61" s="85">
        <v>52</v>
      </c>
      <c r="Y61" s="18">
        <v>0</v>
      </c>
      <c r="Z61" s="18" t="s">
        <v>330</v>
      </c>
      <c r="AA61" s="18" t="s">
        <v>333</v>
      </c>
      <c r="AB61" s="18" t="s">
        <v>336</v>
      </c>
      <c r="AC61" s="18">
        <v>20</v>
      </c>
      <c r="AD61" s="18">
        <v>13.5</v>
      </c>
      <c r="AE61" s="18" t="s">
        <v>32</v>
      </c>
      <c r="AF61" s="18"/>
      <c r="AG61" s="18"/>
      <c r="AH61" s="18">
        <v>8.6999999999999993</v>
      </c>
      <c r="AI61" s="18" t="s">
        <v>32</v>
      </c>
      <c r="AJ61" s="18" t="s">
        <v>64</v>
      </c>
      <c r="AK61" s="18" t="s">
        <v>79</v>
      </c>
      <c r="AL61" s="18" t="s">
        <v>92</v>
      </c>
      <c r="AM61" s="18" t="s">
        <v>109</v>
      </c>
      <c r="AN61" s="18" t="s">
        <v>120</v>
      </c>
      <c r="AO61" s="18" t="s">
        <v>198</v>
      </c>
      <c r="AP61" s="18"/>
      <c r="AQ61" s="18"/>
      <c r="AR61" s="18">
        <v>2</v>
      </c>
      <c r="AS61" s="18">
        <v>1</v>
      </c>
      <c r="AT61" s="18">
        <v>3</v>
      </c>
      <c r="AU61" s="18">
        <v>1</v>
      </c>
      <c r="AV61" s="18">
        <v>2</v>
      </c>
      <c r="AW61" s="18">
        <v>9</v>
      </c>
      <c r="AX61" s="49">
        <f t="shared" si="0"/>
        <v>0</v>
      </c>
      <c r="AY61" s="49">
        <f>VLOOKUP(AI61,Leyenda!$B$4:$E$10,4,FALSE)</f>
        <v>1</v>
      </c>
      <c r="AZ61" s="50">
        <f t="shared" si="4"/>
        <v>6</v>
      </c>
      <c r="BA61" s="49">
        <v>9</v>
      </c>
      <c r="BB61" s="49">
        <v>10</v>
      </c>
      <c r="BC61" s="67">
        <v>13.5</v>
      </c>
      <c r="BD61" s="67">
        <f>VLOOKUP(AI61,Leyenda!$B$4:$E$10,4,FALSE)</f>
        <v>1</v>
      </c>
      <c r="BE61" s="67">
        <v>4</v>
      </c>
      <c r="BF61" s="67">
        <f t="shared" si="1"/>
        <v>0</v>
      </c>
      <c r="BG61" s="67">
        <v>3</v>
      </c>
      <c r="BH61" s="67">
        <v>1</v>
      </c>
      <c r="BI61" s="67">
        <v>2</v>
      </c>
      <c r="BJ61" s="67">
        <v>1</v>
      </c>
      <c r="BK61" s="67">
        <v>3</v>
      </c>
      <c r="BL61" s="67">
        <v>10</v>
      </c>
      <c r="BM61" s="125">
        <f t="shared" si="2"/>
        <v>25</v>
      </c>
      <c r="BN61" s="85">
        <f t="shared" si="3"/>
        <v>26</v>
      </c>
    </row>
    <row r="62" spans="1:72" x14ac:dyDescent="0.25">
      <c r="A62" s="18" t="s">
        <v>6</v>
      </c>
      <c r="B62" s="18">
        <v>2024</v>
      </c>
      <c r="C62" s="18" t="s">
        <v>138</v>
      </c>
      <c r="D62" s="18" t="s">
        <v>132</v>
      </c>
      <c r="E62" s="18">
        <v>30</v>
      </c>
      <c r="F62" s="18">
        <v>30</v>
      </c>
      <c r="G62" s="18" t="s">
        <v>152</v>
      </c>
      <c r="H62" s="18"/>
      <c r="I62" s="18" t="s">
        <v>167</v>
      </c>
      <c r="J62" s="4">
        <v>24</v>
      </c>
      <c r="K62" s="18">
        <v>24.5</v>
      </c>
      <c r="L62" s="4">
        <v>0.5</v>
      </c>
      <c r="M62" s="5">
        <v>0.56000000000000005</v>
      </c>
      <c r="N62" s="31">
        <v>0.28000000000000003</v>
      </c>
      <c r="O62" s="31">
        <v>0.28000000000000003</v>
      </c>
      <c r="P62" s="31">
        <v>14</v>
      </c>
      <c r="Q62" s="31">
        <v>20</v>
      </c>
      <c r="R62" s="31">
        <v>0.26</v>
      </c>
      <c r="S62" s="31">
        <v>0</v>
      </c>
      <c r="T62" s="65">
        <v>0</v>
      </c>
      <c r="U62" s="31">
        <v>3</v>
      </c>
      <c r="V62" s="31"/>
      <c r="W62" s="31">
        <v>3</v>
      </c>
      <c r="X62" s="85">
        <v>86.666666666666671</v>
      </c>
      <c r="Y62" s="18">
        <v>0</v>
      </c>
      <c r="Z62" s="18" t="s">
        <v>100</v>
      </c>
      <c r="AA62" s="18" t="s">
        <v>333</v>
      </c>
      <c r="AB62" s="18" t="s">
        <v>336</v>
      </c>
      <c r="AC62" s="18">
        <v>20</v>
      </c>
      <c r="AD62" s="18">
        <v>14</v>
      </c>
      <c r="AE62" s="18" t="s">
        <v>32</v>
      </c>
      <c r="AF62" s="18"/>
      <c r="AG62" s="18"/>
      <c r="AH62" s="18">
        <v>8.6999999999999993</v>
      </c>
      <c r="AI62" s="18" t="s">
        <v>32</v>
      </c>
      <c r="AJ62" s="18" t="s">
        <v>64</v>
      </c>
      <c r="AK62" s="18" t="s">
        <v>79</v>
      </c>
      <c r="AL62" s="18" t="s">
        <v>92</v>
      </c>
      <c r="AM62" s="18" t="s">
        <v>109</v>
      </c>
      <c r="AN62" s="18" t="s">
        <v>120</v>
      </c>
      <c r="AO62" s="18" t="s">
        <v>198</v>
      </c>
      <c r="AP62" s="18"/>
      <c r="AQ62" s="18"/>
      <c r="AR62" s="18">
        <v>2</v>
      </c>
      <c r="AS62" s="18">
        <v>1</v>
      </c>
      <c r="AT62" s="18">
        <v>3</v>
      </c>
      <c r="AU62" s="18">
        <v>1</v>
      </c>
      <c r="AV62" s="18">
        <v>2</v>
      </c>
      <c r="AW62" s="18">
        <v>9</v>
      </c>
      <c r="AX62" s="49">
        <f t="shared" si="0"/>
        <v>0</v>
      </c>
      <c r="AY62" s="49">
        <f>VLOOKUP(AI62,Leyenda!$B$4:$E$10,4,FALSE)</f>
        <v>1</v>
      </c>
      <c r="AZ62" s="50">
        <f t="shared" si="4"/>
        <v>7</v>
      </c>
      <c r="BA62" s="49">
        <v>9</v>
      </c>
      <c r="BB62" s="49">
        <v>10</v>
      </c>
      <c r="BC62" s="67">
        <v>13.5</v>
      </c>
      <c r="BD62" s="67">
        <f>VLOOKUP(AI62,Leyenda!$B$4:$E$10,4,FALSE)</f>
        <v>1</v>
      </c>
      <c r="BE62" s="67">
        <v>7</v>
      </c>
      <c r="BF62" s="67">
        <f t="shared" si="1"/>
        <v>0</v>
      </c>
      <c r="BG62" s="67">
        <v>3</v>
      </c>
      <c r="BH62" s="67">
        <v>1</v>
      </c>
      <c r="BI62" s="67">
        <v>2</v>
      </c>
      <c r="BJ62" s="67">
        <v>1</v>
      </c>
      <c r="BK62" s="67">
        <v>3</v>
      </c>
      <c r="BL62" s="67">
        <v>10</v>
      </c>
      <c r="BM62" s="125">
        <f t="shared" si="2"/>
        <v>28</v>
      </c>
      <c r="BN62" s="85">
        <f t="shared" si="3"/>
        <v>27</v>
      </c>
    </row>
    <row r="63" spans="1:72" x14ac:dyDescent="0.25">
      <c r="A63" s="18" t="s">
        <v>6</v>
      </c>
      <c r="B63" s="18">
        <v>2024</v>
      </c>
      <c r="C63" s="18" t="s">
        <v>138</v>
      </c>
      <c r="D63" s="18" t="s">
        <v>132</v>
      </c>
      <c r="E63" s="18">
        <v>30</v>
      </c>
      <c r="F63" s="18">
        <v>30</v>
      </c>
      <c r="G63" s="18" t="s">
        <v>152</v>
      </c>
      <c r="H63" s="18"/>
      <c r="I63" s="18" t="s">
        <v>167</v>
      </c>
      <c r="J63" s="4">
        <v>24.5</v>
      </c>
      <c r="K63" s="18">
        <v>25</v>
      </c>
      <c r="L63" s="4">
        <v>0.5</v>
      </c>
      <c r="M63" s="5">
        <v>0.62</v>
      </c>
      <c r="N63" s="31">
        <v>0.31</v>
      </c>
      <c r="O63" s="31">
        <v>0.31</v>
      </c>
      <c r="P63" s="31">
        <v>15.5</v>
      </c>
      <c r="Q63" s="31">
        <v>20</v>
      </c>
      <c r="R63" s="31">
        <v>0.3</v>
      </c>
      <c r="S63" s="31">
        <v>0</v>
      </c>
      <c r="T63" s="65">
        <v>0</v>
      </c>
      <c r="U63" s="31">
        <v>5</v>
      </c>
      <c r="V63" s="31"/>
      <c r="W63" s="31">
        <v>5</v>
      </c>
      <c r="X63" s="85">
        <v>60</v>
      </c>
      <c r="Y63" s="18">
        <v>0</v>
      </c>
      <c r="Z63" s="18" t="s">
        <v>100</v>
      </c>
      <c r="AA63" s="18" t="s">
        <v>333</v>
      </c>
      <c r="AB63" s="18" t="s">
        <v>336</v>
      </c>
      <c r="AC63" s="18">
        <v>20</v>
      </c>
      <c r="AD63" s="18">
        <v>15.5</v>
      </c>
      <c r="AE63" s="18" t="s">
        <v>32</v>
      </c>
      <c r="AF63" s="18"/>
      <c r="AG63" s="18"/>
      <c r="AH63" s="18">
        <v>8.6999999999999993</v>
      </c>
      <c r="AI63" s="18" t="s">
        <v>32</v>
      </c>
      <c r="AJ63" s="18" t="s">
        <v>64</v>
      </c>
      <c r="AK63" s="18" t="s">
        <v>79</v>
      </c>
      <c r="AL63" s="18" t="s">
        <v>92</v>
      </c>
      <c r="AM63" s="18" t="s">
        <v>109</v>
      </c>
      <c r="AN63" s="18" t="s">
        <v>120</v>
      </c>
      <c r="AO63" s="18" t="s">
        <v>198</v>
      </c>
      <c r="AP63" s="18"/>
      <c r="AQ63" s="18"/>
      <c r="AR63" s="18">
        <v>2</v>
      </c>
      <c r="AS63" s="18">
        <v>1</v>
      </c>
      <c r="AT63" s="18">
        <v>3</v>
      </c>
      <c r="AU63" s="18">
        <v>1</v>
      </c>
      <c r="AV63" s="18">
        <v>2</v>
      </c>
      <c r="AW63" s="18">
        <v>9</v>
      </c>
      <c r="AX63" s="49">
        <f t="shared" si="0"/>
        <v>0</v>
      </c>
      <c r="AY63" s="49">
        <f>VLOOKUP(AI63,Leyenda!$B$4:$E$10,4,FALSE)</f>
        <v>1</v>
      </c>
      <c r="AZ63" s="50">
        <f t="shared" si="4"/>
        <v>6</v>
      </c>
      <c r="BA63" s="49">
        <v>9</v>
      </c>
      <c r="BB63" s="49">
        <v>10</v>
      </c>
      <c r="BC63" s="67">
        <v>13.5</v>
      </c>
      <c r="BD63" s="67">
        <f>VLOOKUP(AI63,Leyenda!$B$4:$E$10,4,FALSE)</f>
        <v>1</v>
      </c>
      <c r="BE63" s="67">
        <v>5</v>
      </c>
      <c r="BF63" s="67">
        <f t="shared" si="1"/>
        <v>0</v>
      </c>
      <c r="BG63" s="67">
        <v>3</v>
      </c>
      <c r="BH63" s="67">
        <v>1</v>
      </c>
      <c r="BI63" s="67">
        <v>2</v>
      </c>
      <c r="BJ63" s="67">
        <v>1</v>
      </c>
      <c r="BK63" s="67">
        <v>3</v>
      </c>
      <c r="BL63" s="67">
        <v>10</v>
      </c>
      <c r="BM63" s="125">
        <f t="shared" si="2"/>
        <v>26</v>
      </c>
      <c r="BN63" s="85">
        <f t="shared" si="3"/>
        <v>26</v>
      </c>
    </row>
    <row r="64" spans="1:72" x14ac:dyDescent="0.25">
      <c r="A64" s="18" t="s">
        <v>6</v>
      </c>
      <c r="B64" s="18">
        <v>2024</v>
      </c>
      <c r="C64" s="18" t="s">
        <v>138</v>
      </c>
      <c r="D64" s="18" t="s">
        <v>132</v>
      </c>
      <c r="E64" s="18">
        <v>30</v>
      </c>
      <c r="F64" s="18">
        <v>30</v>
      </c>
      <c r="G64" s="18" t="s">
        <v>152</v>
      </c>
      <c r="H64" s="18"/>
      <c r="I64" s="18" t="s">
        <v>168</v>
      </c>
      <c r="J64" s="4">
        <v>25</v>
      </c>
      <c r="K64" s="18">
        <v>25.5</v>
      </c>
      <c r="L64" s="4">
        <v>0.5</v>
      </c>
      <c r="M64" s="5">
        <v>0.54</v>
      </c>
      <c r="N64" s="31">
        <v>0.27</v>
      </c>
      <c r="O64" s="31">
        <v>0.27</v>
      </c>
      <c r="P64" s="31">
        <v>13.5</v>
      </c>
      <c r="Q64" s="31">
        <v>20</v>
      </c>
      <c r="R64" s="31">
        <v>0.26</v>
      </c>
      <c r="S64" s="31">
        <v>0</v>
      </c>
      <c r="T64" s="65">
        <v>0</v>
      </c>
      <c r="U64" s="31">
        <v>5</v>
      </c>
      <c r="V64" s="31"/>
      <c r="W64" s="31">
        <v>5</v>
      </c>
      <c r="X64" s="85">
        <v>52</v>
      </c>
      <c r="Y64" s="18">
        <v>0</v>
      </c>
      <c r="Z64" s="18" t="s">
        <v>100</v>
      </c>
      <c r="AA64" s="18" t="s">
        <v>333</v>
      </c>
      <c r="AB64" s="18" t="s">
        <v>336</v>
      </c>
      <c r="AC64" s="18">
        <v>20</v>
      </c>
      <c r="AD64" s="18">
        <v>13.5</v>
      </c>
      <c r="AE64" s="18" t="s">
        <v>32</v>
      </c>
      <c r="AF64" s="18"/>
      <c r="AG64" s="18"/>
      <c r="AH64" s="18">
        <v>8.6999999999999993</v>
      </c>
      <c r="AI64" s="18" t="s">
        <v>32</v>
      </c>
      <c r="AJ64" s="18" t="s">
        <v>64</v>
      </c>
      <c r="AK64" s="18" t="s">
        <v>79</v>
      </c>
      <c r="AL64" s="18" t="s">
        <v>92</v>
      </c>
      <c r="AM64" s="18" t="s">
        <v>109</v>
      </c>
      <c r="AN64" s="18" t="s">
        <v>120</v>
      </c>
      <c r="AO64" s="18" t="s">
        <v>198</v>
      </c>
      <c r="AP64" s="18"/>
      <c r="AQ64" s="18"/>
      <c r="AR64" s="18">
        <v>2</v>
      </c>
      <c r="AS64" s="18">
        <v>1</v>
      </c>
      <c r="AT64" s="18">
        <v>3</v>
      </c>
      <c r="AU64" s="18">
        <v>1</v>
      </c>
      <c r="AV64" s="18">
        <v>2</v>
      </c>
      <c r="AW64" s="18">
        <v>9</v>
      </c>
      <c r="AX64" s="49">
        <f t="shared" si="0"/>
        <v>0</v>
      </c>
      <c r="AY64" s="49">
        <f>VLOOKUP(AI64,Leyenda!$B$4:$E$10,4,FALSE)</f>
        <v>1</v>
      </c>
      <c r="AZ64" s="50">
        <f t="shared" si="4"/>
        <v>6</v>
      </c>
      <c r="BA64" s="49">
        <v>9</v>
      </c>
      <c r="BB64" s="49">
        <v>10</v>
      </c>
      <c r="BC64" s="67">
        <v>13.5</v>
      </c>
      <c r="BD64" s="67">
        <f>VLOOKUP(AI64,Leyenda!$B$4:$E$10,4,FALSE)</f>
        <v>1</v>
      </c>
      <c r="BE64" s="67">
        <v>4</v>
      </c>
      <c r="BF64" s="67">
        <f t="shared" si="1"/>
        <v>0</v>
      </c>
      <c r="BG64" s="67">
        <v>3</v>
      </c>
      <c r="BH64" s="67">
        <v>1</v>
      </c>
      <c r="BI64" s="67">
        <v>2</v>
      </c>
      <c r="BJ64" s="67">
        <v>1</v>
      </c>
      <c r="BK64" s="67">
        <v>3</v>
      </c>
      <c r="BL64" s="67">
        <v>10</v>
      </c>
      <c r="BM64" s="125">
        <f t="shared" si="2"/>
        <v>25</v>
      </c>
      <c r="BN64" s="85">
        <f t="shared" si="3"/>
        <v>26</v>
      </c>
    </row>
    <row r="65" spans="1:66" x14ac:dyDescent="0.25">
      <c r="A65" s="18" t="s">
        <v>6</v>
      </c>
      <c r="B65" s="18">
        <v>2024</v>
      </c>
      <c r="C65" s="18" t="s">
        <v>138</v>
      </c>
      <c r="D65" s="18" t="s">
        <v>132</v>
      </c>
      <c r="E65" s="18">
        <v>30</v>
      </c>
      <c r="F65" s="18">
        <v>30</v>
      </c>
      <c r="G65" s="18" t="s">
        <v>152</v>
      </c>
      <c r="H65" s="18"/>
      <c r="I65" s="18" t="s">
        <v>168</v>
      </c>
      <c r="J65" s="4">
        <v>25.5</v>
      </c>
      <c r="K65" s="18">
        <v>26</v>
      </c>
      <c r="L65" s="4">
        <v>0.5</v>
      </c>
      <c r="M65" s="5">
        <v>0.38</v>
      </c>
      <c r="N65" s="31">
        <v>0.19</v>
      </c>
      <c r="O65" s="31">
        <v>0.19</v>
      </c>
      <c r="P65" s="31">
        <v>9.5</v>
      </c>
      <c r="Q65" s="31">
        <v>20</v>
      </c>
      <c r="R65" s="31">
        <v>0.17</v>
      </c>
      <c r="S65" s="31">
        <v>0</v>
      </c>
      <c r="T65" s="65">
        <v>0</v>
      </c>
      <c r="U65" s="31">
        <v>3</v>
      </c>
      <c r="V65" s="31"/>
      <c r="W65" s="31">
        <v>3</v>
      </c>
      <c r="X65" s="85">
        <v>56.666666666666664</v>
      </c>
      <c r="Y65" s="18">
        <v>0</v>
      </c>
      <c r="Z65" s="18" t="s">
        <v>100</v>
      </c>
      <c r="AA65" s="18" t="s">
        <v>333</v>
      </c>
      <c r="AB65" s="18" t="s">
        <v>336</v>
      </c>
      <c r="AC65" s="18">
        <v>20</v>
      </c>
      <c r="AD65" s="18">
        <v>9.5</v>
      </c>
      <c r="AE65" s="18" t="s">
        <v>32</v>
      </c>
      <c r="AF65" s="18"/>
      <c r="AG65" s="18"/>
      <c r="AH65" s="18">
        <v>8.6999999999999993</v>
      </c>
      <c r="AI65" s="18" t="s">
        <v>32</v>
      </c>
      <c r="AJ65" s="18" t="s">
        <v>64</v>
      </c>
      <c r="AK65" s="18" t="s">
        <v>79</v>
      </c>
      <c r="AL65" s="18" t="s">
        <v>92</v>
      </c>
      <c r="AM65" s="18" t="s">
        <v>109</v>
      </c>
      <c r="AN65" s="18" t="s">
        <v>120</v>
      </c>
      <c r="AO65" s="18" t="s">
        <v>198</v>
      </c>
      <c r="AP65" s="18"/>
      <c r="AQ65" s="18"/>
      <c r="AR65" s="18">
        <v>2</v>
      </c>
      <c r="AS65" s="18">
        <v>1</v>
      </c>
      <c r="AT65" s="18">
        <v>3</v>
      </c>
      <c r="AU65" s="18">
        <v>1</v>
      </c>
      <c r="AV65" s="18">
        <v>2</v>
      </c>
      <c r="AW65" s="18">
        <v>9</v>
      </c>
      <c r="AX65" s="49">
        <f t="shared" si="0"/>
        <v>0</v>
      </c>
      <c r="AY65" s="49">
        <f>VLOOKUP(AI65,Leyenda!$B$4:$E$10,4,FALSE)</f>
        <v>1</v>
      </c>
      <c r="AZ65" s="50">
        <f t="shared" si="4"/>
        <v>6</v>
      </c>
      <c r="BA65" s="49">
        <v>9</v>
      </c>
      <c r="BB65" s="49">
        <v>10</v>
      </c>
      <c r="BC65" s="67">
        <v>13.5</v>
      </c>
      <c r="BD65" s="67">
        <f>VLOOKUP(AI65,Leyenda!$B$4:$E$10,4,FALSE)</f>
        <v>1</v>
      </c>
      <c r="BE65" s="67">
        <v>5</v>
      </c>
      <c r="BF65" s="67">
        <f t="shared" si="1"/>
        <v>0</v>
      </c>
      <c r="BG65" s="67">
        <v>3</v>
      </c>
      <c r="BH65" s="67">
        <v>1</v>
      </c>
      <c r="BI65" s="67">
        <v>2</v>
      </c>
      <c r="BJ65" s="67">
        <v>1</v>
      </c>
      <c r="BK65" s="67">
        <v>3</v>
      </c>
      <c r="BL65" s="67">
        <v>10</v>
      </c>
      <c r="BM65" s="125">
        <f t="shared" si="2"/>
        <v>26</v>
      </c>
      <c r="BN65" s="85">
        <f t="shared" si="3"/>
        <v>26</v>
      </c>
    </row>
    <row r="66" spans="1:66" x14ac:dyDescent="0.25">
      <c r="A66" s="18" t="s">
        <v>6</v>
      </c>
      <c r="B66" s="18">
        <v>2024</v>
      </c>
      <c r="C66" s="18" t="s">
        <v>138</v>
      </c>
      <c r="D66" s="18" t="s">
        <v>132</v>
      </c>
      <c r="E66" s="18">
        <v>30</v>
      </c>
      <c r="F66" s="18">
        <v>30</v>
      </c>
      <c r="G66" s="18" t="s">
        <v>152</v>
      </c>
      <c r="H66" s="18"/>
      <c r="I66" s="18" t="s">
        <v>168</v>
      </c>
      <c r="J66" s="4">
        <v>26</v>
      </c>
      <c r="K66" s="18">
        <v>26.5</v>
      </c>
      <c r="L66" s="4">
        <v>0.5</v>
      </c>
      <c r="M66" s="5">
        <v>0.4</v>
      </c>
      <c r="N66" s="31">
        <v>0.2</v>
      </c>
      <c r="O66" s="31">
        <v>0.2</v>
      </c>
      <c r="P66" s="31">
        <v>10</v>
      </c>
      <c r="Q66" s="31">
        <v>20</v>
      </c>
      <c r="R66" s="31">
        <v>0.18</v>
      </c>
      <c r="S66" s="31">
        <v>0</v>
      </c>
      <c r="T66" s="65">
        <v>0</v>
      </c>
      <c r="U66" s="31">
        <v>5</v>
      </c>
      <c r="V66" s="31"/>
      <c r="W66" s="31">
        <v>5</v>
      </c>
      <c r="X66" s="85">
        <v>36</v>
      </c>
      <c r="Y66" s="18">
        <v>0</v>
      </c>
      <c r="Z66" s="18" t="s">
        <v>100</v>
      </c>
      <c r="AA66" s="18" t="s">
        <v>333</v>
      </c>
      <c r="AB66" s="18" t="s">
        <v>336</v>
      </c>
      <c r="AC66" s="18">
        <v>20</v>
      </c>
      <c r="AD66" s="18">
        <v>10</v>
      </c>
      <c r="AE66" s="18" t="s">
        <v>32</v>
      </c>
      <c r="AF66" s="18"/>
      <c r="AG66" s="18"/>
      <c r="AH66" s="18">
        <v>8.6999999999999993</v>
      </c>
      <c r="AI66" s="18" t="s">
        <v>32</v>
      </c>
      <c r="AJ66" s="18" t="s">
        <v>64</v>
      </c>
      <c r="AK66" s="18" t="s">
        <v>79</v>
      </c>
      <c r="AL66" s="18" t="s">
        <v>92</v>
      </c>
      <c r="AM66" s="18" t="s">
        <v>109</v>
      </c>
      <c r="AN66" s="18" t="s">
        <v>120</v>
      </c>
      <c r="AO66" s="18" t="s">
        <v>198</v>
      </c>
      <c r="AP66" s="18"/>
      <c r="AQ66" s="18"/>
      <c r="AR66" s="18">
        <v>2</v>
      </c>
      <c r="AS66" s="18">
        <v>1</v>
      </c>
      <c r="AT66" s="18">
        <v>3</v>
      </c>
      <c r="AU66" s="18">
        <v>1</v>
      </c>
      <c r="AV66" s="18">
        <v>2</v>
      </c>
      <c r="AW66" s="18">
        <v>9</v>
      </c>
      <c r="AX66" s="49">
        <f t="shared" si="0"/>
        <v>0</v>
      </c>
      <c r="AY66" s="49">
        <f>VLOOKUP(AI66,Leyenda!$B$4:$E$10,4,FALSE)</f>
        <v>1</v>
      </c>
      <c r="AZ66" s="50">
        <f t="shared" si="4"/>
        <v>5</v>
      </c>
      <c r="BA66" s="49">
        <v>9</v>
      </c>
      <c r="BB66" s="49">
        <v>10</v>
      </c>
      <c r="BC66" s="67">
        <v>13.5</v>
      </c>
      <c r="BD66" s="67">
        <f>VLOOKUP(AI66,Leyenda!$B$4:$E$10,4,FALSE)</f>
        <v>1</v>
      </c>
      <c r="BE66" s="67">
        <v>5</v>
      </c>
      <c r="BF66" s="67">
        <f t="shared" si="1"/>
        <v>0</v>
      </c>
      <c r="BG66" s="67">
        <v>3</v>
      </c>
      <c r="BH66" s="67">
        <v>1</v>
      </c>
      <c r="BI66" s="67">
        <v>2</v>
      </c>
      <c r="BJ66" s="67">
        <v>1</v>
      </c>
      <c r="BK66" s="67">
        <v>3</v>
      </c>
      <c r="BL66" s="67">
        <v>10</v>
      </c>
      <c r="BM66" s="125">
        <f t="shared" si="2"/>
        <v>26</v>
      </c>
      <c r="BN66" s="85">
        <f t="shared" si="3"/>
        <v>25</v>
      </c>
    </row>
    <row r="67" spans="1:66" x14ac:dyDescent="0.25">
      <c r="A67" s="18" t="s">
        <v>6</v>
      </c>
      <c r="B67" s="18">
        <v>2024</v>
      </c>
      <c r="C67" s="18" t="s">
        <v>138</v>
      </c>
      <c r="D67" s="18" t="s">
        <v>132</v>
      </c>
      <c r="E67" s="18">
        <v>30</v>
      </c>
      <c r="F67" s="18">
        <v>30</v>
      </c>
      <c r="G67" s="18" t="s">
        <v>152</v>
      </c>
      <c r="H67" s="18"/>
      <c r="I67" s="18" t="s">
        <v>168</v>
      </c>
      <c r="J67" s="4">
        <v>26.5</v>
      </c>
      <c r="K67" s="31">
        <v>27</v>
      </c>
      <c r="L67" s="4">
        <v>0.5</v>
      </c>
      <c r="M67" s="5">
        <v>0.52</v>
      </c>
      <c r="N67" s="31">
        <v>0.26</v>
      </c>
      <c r="O67" s="31">
        <v>0.26</v>
      </c>
      <c r="P67" s="31">
        <v>13</v>
      </c>
      <c r="Q67" s="31">
        <v>20</v>
      </c>
      <c r="R67" s="31">
        <v>0.24</v>
      </c>
      <c r="S67" s="31">
        <v>0</v>
      </c>
      <c r="T67" s="65">
        <v>0</v>
      </c>
      <c r="U67" s="31">
        <v>3</v>
      </c>
      <c r="V67" s="31"/>
      <c r="W67" s="31">
        <v>3</v>
      </c>
      <c r="X67" s="85">
        <v>80</v>
      </c>
      <c r="Y67" s="18">
        <v>0</v>
      </c>
      <c r="Z67" s="18" t="s">
        <v>100</v>
      </c>
      <c r="AA67" s="18" t="s">
        <v>333</v>
      </c>
      <c r="AB67" s="18" t="s">
        <v>337</v>
      </c>
      <c r="AC67" s="18">
        <v>20</v>
      </c>
      <c r="AD67" s="18">
        <v>13</v>
      </c>
      <c r="AE67" s="18" t="s">
        <v>29</v>
      </c>
      <c r="AF67" s="18"/>
      <c r="AG67" s="18"/>
      <c r="AH67" s="18">
        <v>8.6999999999999993</v>
      </c>
      <c r="AI67" s="18" t="s">
        <v>32</v>
      </c>
      <c r="AJ67" s="18" t="s">
        <v>64</v>
      </c>
      <c r="AK67" s="18" t="s">
        <v>79</v>
      </c>
      <c r="AL67" s="18" t="s">
        <v>92</v>
      </c>
      <c r="AM67" s="18" t="s">
        <v>109</v>
      </c>
      <c r="AN67" s="18" t="s">
        <v>120</v>
      </c>
      <c r="AO67" s="18" t="s">
        <v>198</v>
      </c>
      <c r="AP67" s="18"/>
      <c r="AQ67" s="18"/>
      <c r="AR67" s="18">
        <v>2</v>
      </c>
      <c r="AS67" s="18">
        <v>1</v>
      </c>
      <c r="AT67" s="18">
        <v>3</v>
      </c>
      <c r="AU67" s="18">
        <v>1</v>
      </c>
      <c r="AV67" s="18">
        <v>2</v>
      </c>
      <c r="AW67" s="18">
        <v>9</v>
      </c>
      <c r="AX67" s="49">
        <f t="shared" si="0"/>
        <v>0</v>
      </c>
      <c r="AY67" s="49">
        <f>VLOOKUP(AI67,Leyenda!$B$4:$E$10,4,FALSE)</f>
        <v>1</v>
      </c>
      <c r="AZ67" s="50">
        <f t="shared" si="4"/>
        <v>7</v>
      </c>
      <c r="BA67" s="49">
        <v>9</v>
      </c>
      <c r="BB67" s="49">
        <v>10</v>
      </c>
      <c r="BC67" s="67">
        <v>13.5</v>
      </c>
      <c r="BD67" s="67">
        <f>VLOOKUP(AI67,Leyenda!$B$4:$E$10,4,FALSE)</f>
        <v>1</v>
      </c>
      <c r="BE67" s="67">
        <v>7</v>
      </c>
      <c r="BF67" s="67">
        <f t="shared" si="1"/>
        <v>0</v>
      </c>
      <c r="BG67" s="67">
        <v>3</v>
      </c>
      <c r="BH67" s="67">
        <v>1</v>
      </c>
      <c r="BI67" s="67">
        <v>2</v>
      </c>
      <c r="BJ67" s="67">
        <v>1</v>
      </c>
      <c r="BK67" s="67">
        <v>3</v>
      </c>
      <c r="BL67" s="67">
        <v>10</v>
      </c>
      <c r="BM67" s="125">
        <f t="shared" si="2"/>
        <v>28</v>
      </c>
      <c r="BN67" s="85">
        <f t="shared" si="3"/>
        <v>27</v>
      </c>
    </row>
    <row r="68" spans="1:66" x14ac:dyDescent="0.25">
      <c r="A68" s="18" t="s">
        <v>6</v>
      </c>
      <c r="B68" s="18">
        <v>2024</v>
      </c>
      <c r="C68" s="18" t="s">
        <v>138</v>
      </c>
      <c r="D68" s="18" t="s">
        <v>132</v>
      </c>
      <c r="E68" s="18">
        <v>30</v>
      </c>
      <c r="F68" s="18">
        <v>30</v>
      </c>
      <c r="G68" s="18" t="s">
        <v>152</v>
      </c>
      <c r="H68" s="18"/>
      <c r="I68" s="18" t="s">
        <v>168</v>
      </c>
      <c r="J68" s="4">
        <v>27</v>
      </c>
      <c r="K68" s="31">
        <v>27.5</v>
      </c>
      <c r="L68" s="4">
        <v>0.5</v>
      </c>
      <c r="M68" s="5">
        <v>0.42</v>
      </c>
      <c r="N68" s="31">
        <v>0.21</v>
      </c>
      <c r="O68" s="31">
        <v>0.21</v>
      </c>
      <c r="P68" s="31">
        <v>10.5</v>
      </c>
      <c r="Q68" s="31">
        <v>20</v>
      </c>
      <c r="R68" s="31">
        <v>0.21</v>
      </c>
      <c r="S68" s="31">
        <v>0</v>
      </c>
      <c r="T68" s="65">
        <v>0</v>
      </c>
      <c r="U68" s="31">
        <v>3</v>
      </c>
      <c r="V68" s="31"/>
      <c r="W68" s="31">
        <v>3</v>
      </c>
      <c r="X68" s="85">
        <v>70</v>
      </c>
      <c r="Y68" s="18">
        <v>0</v>
      </c>
      <c r="Z68" s="18" t="s">
        <v>100</v>
      </c>
      <c r="AA68" s="18" t="s">
        <v>333</v>
      </c>
      <c r="AB68" s="18" t="s">
        <v>337</v>
      </c>
      <c r="AC68" s="18">
        <v>20</v>
      </c>
      <c r="AD68" s="18">
        <v>10.5</v>
      </c>
      <c r="AE68" s="18" t="s">
        <v>29</v>
      </c>
      <c r="AF68" s="18"/>
      <c r="AG68" s="18"/>
      <c r="AH68" s="18">
        <v>8.6999999999999993</v>
      </c>
      <c r="AI68" s="18" t="s">
        <v>32</v>
      </c>
      <c r="AJ68" s="18" t="s">
        <v>64</v>
      </c>
      <c r="AK68" s="18" t="s">
        <v>79</v>
      </c>
      <c r="AL68" s="18" t="s">
        <v>92</v>
      </c>
      <c r="AM68" s="18" t="s">
        <v>109</v>
      </c>
      <c r="AN68" s="18" t="s">
        <v>120</v>
      </c>
      <c r="AO68" s="18" t="s">
        <v>198</v>
      </c>
      <c r="AP68" s="18"/>
      <c r="AQ68" s="18"/>
      <c r="AR68" s="18">
        <v>2</v>
      </c>
      <c r="AS68" s="18">
        <v>1</v>
      </c>
      <c r="AT68" s="18">
        <v>3</v>
      </c>
      <c r="AU68" s="18">
        <v>1</v>
      </c>
      <c r="AV68" s="18">
        <v>2</v>
      </c>
      <c r="AW68" s="18">
        <v>9</v>
      </c>
      <c r="AX68" s="49">
        <f t="shared" ref="AX68:AX86" si="11">ROUND(-0.0002*POWER(T68,2)+0.2197*T68,0)</f>
        <v>0</v>
      </c>
      <c r="AY68" s="49">
        <f>VLOOKUP(AI68,Leyenda!$B$4:$E$10,4,FALSE)</f>
        <v>1</v>
      </c>
      <c r="AZ68" s="50">
        <f t="shared" si="4"/>
        <v>6</v>
      </c>
      <c r="BA68" s="49">
        <v>9</v>
      </c>
      <c r="BB68" s="49">
        <v>10</v>
      </c>
      <c r="BC68" s="67">
        <v>13.5</v>
      </c>
      <c r="BD68" s="67">
        <f>VLOOKUP(AI68,Leyenda!$B$4:$E$10,4,FALSE)</f>
        <v>1</v>
      </c>
      <c r="BE68" s="67">
        <v>6</v>
      </c>
      <c r="BF68" s="67">
        <f t="shared" ref="BF68:BF86" si="12">ROUND(-0.0002*POWER(T68,2)+0.2197*T68,0)</f>
        <v>0</v>
      </c>
      <c r="BG68" s="67">
        <v>3</v>
      </c>
      <c r="BH68" s="67">
        <v>1</v>
      </c>
      <c r="BI68" s="67">
        <v>2</v>
      </c>
      <c r="BJ68" s="67">
        <v>1</v>
      </c>
      <c r="BK68" s="67">
        <v>3</v>
      </c>
      <c r="BL68" s="67">
        <v>10</v>
      </c>
      <c r="BM68" s="125">
        <f t="shared" ref="BM68:BM86" si="13">+BD68+BE68+BF68+BG68+BH68+BI68+BJ68+BK68+BL68</f>
        <v>27</v>
      </c>
      <c r="BN68" s="85">
        <f t="shared" ref="BN68:BN86" si="14">+AX68+AY68+AZ68+BA68+BB68</f>
        <v>26</v>
      </c>
    </row>
    <row r="69" spans="1:66" x14ac:dyDescent="0.25">
      <c r="A69" s="18" t="s">
        <v>6</v>
      </c>
      <c r="B69" s="18">
        <v>2024</v>
      </c>
      <c r="C69" s="18" t="s">
        <v>138</v>
      </c>
      <c r="D69" s="18" t="s">
        <v>132</v>
      </c>
      <c r="E69" s="18">
        <v>30</v>
      </c>
      <c r="F69" s="18">
        <v>30</v>
      </c>
      <c r="G69" s="18" t="s">
        <v>152</v>
      </c>
      <c r="H69" s="18"/>
      <c r="I69" s="18" t="s">
        <v>168</v>
      </c>
      <c r="J69" s="4">
        <v>27.5</v>
      </c>
      <c r="K69" s="31">
        <v>28</v>
      </c>
      <c r="L69" s="4">
        <v>0.5</v>
      </c>
      <c r="M69" s="5">
        <v>0.64</v>
      </c>
      <c r="N69" s="31">
        <v>0.32</v>
      </c>
      <c r="O69" s="31">
        <v>0.32</v>
      </c>
      <c r="P69" s="31">
        <v>16</v>
      </c>
      <c r="Q69" s="31">
        <v>20</v>
      </c>
      <c r="R69" s="31">
        <v>0.28000000000000003</v>
      </c>
      <c r="S69" s="31">
        <v>0</v>
      </c>
      <c r="T69" s="65">
        <v>0</v>
      </c>
      <c r="U69" s="31">
        <v>5</v>
      </c>
      <c r="V69" s="31"/>
      <c r="W69" s="31">
        <v>5</v>
      </c>
      <c r="X69" s="85">
        <v>56</v>
      </c>
      <c r="Y69" s="18">
        <v>0</v>
      </c>
      <c r="Z69" s="18" t="s">
        <v>100</v>
      </c>
      <c r="AA69" s="18" t="s">
        <v>333</v>
      </c>
      <c r="AB69" s="18" t="s">
        <v>336</v>
      </c>
      <c r="AC69" s="18">
        <v>20</v>
      </c>
      <c r="AD69" s="18">
        <v>16</v>
      </c>
      <c r="AE69" s="18" t="s">
        <v>32</v>
      </c>
      <c r="AF69" s="18"/>
      <c r="AG69" s="18"/>
      <c r="AH69" s="18">
        <v>8.6999999999999993</v>
      </c>
      <c r="AI69" s="18" t="s">
        <v>32</v>
      </c>
      <c r="AJ69" s="18" t="s">
        <v>64</v>
      </c>
      <c r="AK69" s="18" t="s">
        <v>79</v>
      </c>
      <c r="AL69" s="18" t="s">
        <v>92</v>
      </c>
      <c r="AM69" s="18" t="s">
        <v>109</v>
      </c>
      <c r="AN69" s="18" t="s">
        <v>120</v>
      </c>
      <c r="AO69" s="18" t="s">
        <v>198</v>
      </c>
      <c r="AP69" s="18"/>
      <c r="AQ69" s="18"/>
      <c r="AR69" s="18">
        <v>2</v>
      </c>
      <c r="AS69" s="18">
        <v>1</v>
      </c>
      <c r="AT69" s="18">
        <v>3</v>
      </c>
      <c r="AU69" s="18">
        <v>1</v>
      </c>
      <c r="AV69" s="18">
        <v>2</v>
      </c>
      <c r="AW69" s="18">
        <v>9</v>
      </c>
      <c r="AX69" s="49">
        <f t="shared" si="11"/>
        <v>0</v>
      </c>
      <c r="AY69" s="49">
        <f>VLOOKUP(AI69,Leyenda!$B$4:$E$10,4,FALSE)</f>
        <v>1</v>
      </c>
      <c r="AZ69" s="50">
        <f t="shared" ref="AZ69:AZ73" si="15">IF(X69="",ROUND((IF(X69&lt;=400,1.5478*POWER(X69,0.3351),-2*POWER(10,-6)*POWER(X69,2)+0.0091*X69+8.1704)),0),ROUND((IF(X69&lt;=400,1.5478*POWER(X69,0.3351),-2*POWER(10,-6)*POWER(X69,2)+0.0091*X69+8.1704)),0))</f>
        <v>6</v>
      </c>
      <c r="BA69" s="49">
        <v>9</v>
      </c>
      <c r="BB69" s="49">
        <v>10</v>
      </c>
      <c r="BC69" s="67">
        <v>13.5</v>
      </c>
      <c r="BD69" s="67">
        <f>VLOOKUP(AI69,Leyenda!$B$4:$E$10,4,FALSE)</f>
        <v>1</v>
      </c>
      <c r="BE69" s="67">
        <v>5</v>
      </c>
      <c r="BF69" s="67">
        <f t="shared" si="12"/>
        <v>0</v>
      </c>
      <c r="BG69" s="67">
        <v>3</v>
      </c>
      <c r="BH69" s="67">
        <v>1</v>
      </c>
      <c r="BI69" s="67">
        <v>2</v>
      </c>
      <c r="BJ69" s="67">
        <v>1</v>
      </c>
      <c r="BK69" s="67">
        <v>3</v>
      </c>
      <c r="BL69" s="67">
        <v>10</v>
      </c>
      <c r="BM69" s="125">
        <f t="shared" si="13"/>
        <v>26</v>
      </c>
      <c r="BN69" s="85">
        <f t="shared" si="14"/>
        <v>26</v>
      </c>
    </row>
    <row r="70" spans="1:66" x14ac:dyDescent="0.25">
      <c r="A70" s="18" t="s">
        <v>6</v>
      </c>
      <c r="B70" s="18">
        <v>2024</v>
      </c>
      <c r="C70" s="18" t="s">
        <v>138</v>
      </c>
      <c r="D70" s="18" t="s">
        <v>132</v>
      </c>
      <c r="E70" s="18">
        <v>30</v>
      </c>
      <c r="F70" s="18">
        <v>30</v>
      </c>
      <c r="G70" s="18" t="s">
        <v>152</v>
      </c>
      <c r="H70" s="18"/>
      <c r="I70" s="18" t="s">
        <v>168</v>
      </c>
      <c r="J70" s="4">
        <v>28</v>
      </c>
      <c r="K70" s="31">
        <v>28.5</v>
      </c>
      <c r="L70" s="4">
        <v>0.5</v>
      </c>
      <c r="M70" s="5">
        <v>0.9</v>
      </c>
      <c r="N70" s="31">
        <v>0.45</v>
      </c>
      <c r="O70" s="31">
        <v>0.45</v>
      </c>
      <c r="P70" s="31">
        <v>22.5</v>
      </c>
      <c r="Q70" s="31">
        <v>20</v>
      </c>
      <c r="R70" s="31">
        <v>0.44</v>
      </c>
      <c r="S70" s="31">
        <v>0</v>
      </c>
      <c r="T70" s="65">
        <v>0</v>
      </c>
      <c r="U70" s="31">
        <v>10</v>
      </c>
      <c r="V70" s="31"/>
      <c r="W70" s="31">
        <v>10</v>
      </c>
      <c r="X70" s="85">
        <v>44</v>
      </c>
      <c r="Y70" s="18">
        <v>0</v>
      </c>
      <c r="Z70" s="18" t="s">
        <v>100</v>
      </c>
      <c r="AA70" s="18" t="s">
        <v>333</v>
      </c>
      <c r="AB70" s="18" t="s">
        <v>336</v>
      </c>
      <c r="AC70" s="18">
        <v>20</v>
      </c>
      <c r="AD70" s="18">
        <v>22.5</v>
      </c>
      <c r="AE70" s="18" t="s">
        <v>32</v>
      </c>
      <c r="AF70" s="18"/>
      <c r="AG70" s="18"/>
      <c r="AH70" s="18">
        <v>8.6999999999999993</v>
      </c>
      <c r="AI70" s="18" t="s">
        <v>32</v>
      </c>
      <c r="AJ70" s="18" t="s">
        <v>64</v>
      </c>
      <c r="AK70" s="18" t="s">
        <v>79</v>
      </c>
      <c r="AL70" s="18" t="s">
        <v>92</v>
      </c>
      <c r="AM70" s="18" t="s">
        <v>109</v>
      </c>
      <c r="AN70" s="18" t="s">
        <v>120</v>
      </c>
      <c r="AO70" s="18" t="s">
        <v>198</v>
      </c>
      <c r="AP70" s="18"/>
      <c r="AQ70" s="18"/>
      <c r="AR70" s="18">
        <v>2</v>
      </c>
      <c r="AS70" s="18">
        <v>1</v>
      </c>
      <c r="AT70" s="18">
        <v>3</v>
      </c>
      <c r="AU70" s="18">
        <v>1</v>
      </c>
      <c r="AV70" s="18">
        <v>2</v>
      </c>
      <c r="AW70" s="18">
        <v>9</v>
      </c>
      <c r="AX70" s="49">
        <f t="shared" si="11"/>
        <v>0</v>
      </c>
      <c r="AY70" s="49">
        <f>VLOOKUP(AI70,Leyenda!$B$4:$E$10,4,FALSE)</f>
        <v>1</v>
      </c>
      <c r="AZ70" s="50">
        <f t="shared" si="15"/>
        <v>6</v>
      </c>
      <c r="BA70" s="49">
        <v>9</v>
      </c>
      <c r="BB70" s="49">
        <v>10</v>
      </c>
      <c r="BC70" s="67">
        <v>13.5</v>
      </c>
      <c r="BD70" s="67">
        <f>VLOOKUP(AI70,Leyenda!$B$4:$E$10,4,FALSE)</f>
        <v>1</v>
      </c>
      <c r="BE70" s="67">
        <v>5</v>
      </c>
      <c r="BF70" s="67">
        <f t="shared" si="12"/>
        <v>0</v>
      </c>
      <c r="BG70" s="67">
        <v>3</v>
      </c>
      <c r="BH70" s="67">
        <v>1</v>
      </c>
      <c r="BI70" s="67">
        <v>2</v>
      </c>
      <c r="BJ70" s="67">
        <v>1</v>
      </c>
      <c r="BK70" s="67">
        <v>3</v>
      </c>
      <c r="BL70" s="67">
        <v>10</v>
      </c>
      <c r="BM70" s="125">
        <f t="shared" si="13"/>
        <v>26</v>
      </c>
      <c r="BN70" s="85">
        <f t="shared" si="14"/>
        <v>26</v>
      </c>
    </row>
    <row r="71" spans="1:66" x14ac:dyDescent="0.25">
      <c r="A71" s="18" t="s">
        <v>6</v>
      </c>
      <c r="B71" s="18">
        <v>2024</v>
      </c>
      <c r="C71" s="18" t="s">
        <v>138</v>
      </c>
      <c r="D71" s="18" t="s">
        <v>132</v>
      </c>
      <c r="E71" s="18">
        <v>30</v>
      </c>
      <c r="F71" s="18">
        <v>30</v>
      </c>
      <c r="G71" s="18" t="s">
        <v>152</v>
      </c>
      <c r="H71" s="18"/>
      <c r="I71" s="18" t="s">
        <v>168</v>
      </c>
      <c r="J71" s="4">
        <v>28.5</v>
      </c>
      <c r="K71" s="31">
        <v>29</v>
      </c>
      <c r="L71" s="4">
        <v>0.5</v>
      </c>
      <c r="M71" s="5">
        <v>1</v>
      </c>
      <c r="N71" s="31">
        <v>0.5</v>
      </c>
      <c r="O71" s="31">
        <v>0.5</v>
      </c>
      <c r="P71" s="31">
        <v>500</v>
      </c>
      <c r="Q71" s="31">
        <v>1</v>
      </c>
      <c r="R71" s="31">
        <v>0.16</v>
      </c>
      <c r="S71" s="31">
        <v>0</v>
      </c>
      <c r="T71" s="65">
        <v>0</v>
      </c>
      <c r="U71" s="31">
        <v>3</v>
      </c>
      <c r="V71" s="31"/>
      <c r="W71" s="31">
        <v>3</v>
      </c>
      <c r="X71" s="85">
        <v>53.333333333333336</v>
      </c>
      <c r="Y71" s="18">
        <v>30</v>
      </c>
      <c r="Z71" s="18" t="s">
        <v>96</v>
      </c>
      <c r="AA71" s="18" t="s">
        <v>116</v>
      </c>
      <c r="AB71" s="18" t="s">
        <v>337</v>
      </c>
      <c r="AC71" s="18">
        <v>1</v>
      </c>
      <c r="AD71" s="18">
        <v>500</v>
      </c>
      <c r="AE71" s="18" t="s">
        <v>29</v>
      </c>
      <c r="AF71" s="18"/>
      <c r="AG71" s="18"/>
      <c r="AH71" s="18">
        <v>8.6999999999999993</v>
      </c>
      <c r="AI71" s="18" t="s">
        <v>32</v>
      </c>
      <c r="AJ71" s="18" t="s">
        <v>64</v>
      </c>
      <c r="AK71" s="18" t="s">
        <v>79</v>
      </c>
      <c r="AL71" s="18" t="s">
        <v>92</v>
      </c>
      <c r="AM71" s="18" t="s">
        <v>109</v>
      </c>
      <c r="AN71" s="18" t="s">
        <v>120</v>
      </c>
      <c r="AO71" s="18" t="s">
        <v>198</v>
      </c>
      <c r="AP71" s="18"/>
      <c r="AQ71" s="18"/>
      <c r="AR71" s="18">
        <v>2</v>
      </c>
      <c r="AS71" s="18">
        <v>1</v>
      </c>
      <c r="AT71" s="18">
        <v>3</v>
      </c>
      <c r="AU71" s="18">
        <v>1</v>
      </c>
      <c r="AV71" s="18">
        <v>2</v>
      </c>
      <c r="AW71" s="18">
        <v>9</v>
      </c>
      <c r="AX71" s="49">
        <f t="shared" si="11"/>
        <v>0</v>
      </c>
      <c r="AY71" s="49">
        <f>VLOOKUP(AI71,Leyenda!$B$4:$E$10,4,FALSE)</f>
        <v>1</v>
      </c>
      <c r="AZ71" s="50">
        <f t="shared" si="15"/>
        <v>6</v>
      </c>
      <c r="BA71" s="49">
        <v>9</v>
      </c>
      <c r="BB71" s="49">
        <v>10</v>
      </c>
      <c r="BC71" s="67">
        <v>13.5</v>
      </c>
      <c r="BD71" s="67">
        <f>VLOOKUP(AI71,Leyenda!$B$4:$E$10,4,FALSE)</f>
        <v>1</v>
      </c>
      <c r="BE71" s="67">
        <v>4</v>
      </c>
      <c r="BF71" s="67">
        <f t="shared" si="12"/>
        <v>0</v>
      </c>
      <c r="BG71" s="67">
        <v>3</v>
      </c>
      <c r="BH71" s="67">
        <v>1</v>
      </c>
      <c r="BI71" s="67">
        <v>2</v>
      </c>
      <c r="BJ71" s="67">
        <v>1</v>
      </c>
      <c r="BK71" s="67">
        <v>3</v>
      </c>
      <c r="BL71" s="67">
        <v>10</v>
      </c>
      <c r="BM71" s="125">
        <f t="shared" si="13"/>
        <v>25</v>
      </c>
      <c r="BN71" s="85">
        <f t="shared" si="14"/>
        <v>26</v>
      </c>
    </row>
    <row r="72" spans="1:66" x14ac:dyDescent="0.25">
      <c r="A72" s="18" t="s">
        <v>6</v>
      </c>
      <c r="B72" s="18">
        <v>2024</v>
      </c>
      <c r="C72" s="18" t="s">
        <v>138</v>
      </c>
      <c r="D72" s="18" t="s">
        <v>132</v>
      </c>
      <c r="E72" s="18">
        <v>30</v>
      </c>
      <c r="F72" s="18">
        <v>30</v>
      </c>
      <c r="G72" s="18" t="s">
        <v>152</v>
      </c>
      <c r="H72" s="18"/>
      <c r="I72" s="18" t="s">
        <v>168</v>
      </c>
      <c r="J72" s="4">
        <v>29</v>
      </c>
      <c r="K72" s="31">
        <v>29.5</v>
      </c>
      <c r="L72" s="4">
        <v>0.5</v>
      </c>
      <c r="M72" s="5">
        <v>1</v>
      </c>
      <c r="N72" s="31">
        <v>0.5</v>
      </c>
      <c r="O72" s="31">
        <v>0.5</v>
      </c>
      <c r="P72" s="31">
        <v>100</v>
      </c>
      <c r="Q72" s="31">
        <v>5</v>
      </c>
      <c r="R72" s="31"/>
      <c r="S72" s="31"/>
      <c r="T72" s="65">
        <v>0</v>
      </c>
      <c r="U72" s="31"/>
      <c r="V72" s="31"/>
      <c r="W72" s="31"/>
      <c r="X72" s="85"/>
      <c r="Y72" s="18">
        <v>68</v>
      </c>
      <c r="Z72" s="18" t="s">
        <v>92</v>
      </c>
      <c r="AA72" s="18" t="s">
        <v>118</v>
      </c>
      <c r="AB72" s="18" t="s">
        <v>337</v>
      </c>
      <c r="AC72" s="18">
        <v>5</v>
      </c>
      <c r="AD72" s="18">
        <v>100</v>
      </c>
      <c r="AE72" s="18" t="s">
        <v>29</v>
      </c>
      <c r="AF72" s="18"/>
      <c r="AG72" s="18"/>
      <c r="AH72" s="18">
        <v>8.6999999999999993</v>
      </c>
      <c r="AI72" s="18" t="s">
        <v>32</v>
      </c>
      <c r="AJ72" s="18" t="s">
        <v>64</v>
      </c>
      <c r="AK72" s="18" t="s">
        <v>79</v>
      </c>
      <c r="AL72" s="18" t="s">
        <v>92</v>
      </c>
      <c r="AM72" s="18" t="s">
        <v>109</v>
      </c>
      <c r="AN72" s="18" t="s">
        <v>120</v>
      </c>
      <c r="AO72" s="18" t="s">
        <v>198</v>
      </c>
      <c r="AP72" s="18"/>
      <c r="AQ72" s="18"/>
      <c r="AR72" s="18">
        <v>2</v>
      </c>
      <c r="AS72" s="18">
        <v>1</v>
      </c>
      <c r="AT72" s="18">
        <v>3</v>
      </c>
      <c r="AU72" s="18">
        <v>1</v>
      </c>
      <c r="AV72" s="18">
        <v>2</v>
      </c>
      <c r="AW72" s="18">
        <v>9</v>
      </c>
      <c r="AX72" s="49">
        <f t="shared" si="11"/>
        <v>0</v>
      </c>
      <c r="AY72" s="49">
        <f>VLOOKUP(AI72,Leyenda!$B$4:$E$10,4,FALSE)</f>
        <v>1</v>
      </c>
      <c r="AZ72" s="50">
        <f t="shared" si="15"/>
        <v>0</v>
      </c>
      <c r="BA72" s="49">
        <v>9</v>
      </c>
      <c r="BB72" s="49">
        <v>10</v>
      </c>
      <c r="BC72" s="67">
        <v>13.5</v>
      </c>
      <c r="BD72" s="67">
        <f>VLOOKUP(AI72,Leyenda!$B$4:$E$10,4,FALSE)</f>
        <v>1</v>
      </c>
      <c r="BE72" s="67">
        <v>5</v>
      </c>
      <c r="BF72" s="67">
        <f t="shared" si="12"/>
        <v>0</v>
      </c>
      <c r="BG72" s="67">
        <v>3</v>
      </c>
      <c r="BH72" s="67">
        <v>1</v>
      </c>
      <c r="BI72" s="67">
        <v>2</v>
      </c>
      <c r="BJ72" s="67">
        <v>1</v>
      </c>
      <c r="BK72" s="67">
        <v>3</v>
      </c>
      <c r="BL72" s="67">
        <v>10</v>
      </c>
      <c r="BM72" s="125">
        <f t="shared" si="13"/>
        <v>26</v>
      </c>
      <c r="BN72" s="85">
        <f t="shared" si="14"/>
        <v>20</v>
      </c>
    </row>
    <row r="73" spans="1:66" x14ac:dyDescent="0.25">
      <c r="A73" s="18" t="s">
        <v>6</v>
      </c>
      <c r="B73" s="18">
        <v>2024</v>
      </c>
      <c r="C73" s="18" t="s">
        <v>138</v>
      </c>
      <c r="D73" s="18" t="s">
        <v>132</v>
      </c>
      <c r="E73" s="18">
        <v>30</v>
      </c>
      <c r="F73" s="18">
        <v>30</v>
      </c>
      <c r="G73" s="18" t="s">
        <v>152</v>
      </c>
      <c r="H73" s="18"/>
      <c r="I73" s="18" t="s">
        <v>168</v>
      </c>
      <c r="J73" s="4">
        <v>29.5</v>
      </c>
      <c r="K73" s="31">
        <v>30</v>
      </c>
      <c r="L73" s="4">
        <v>0.5</v>
      </c>
      <c r="M73" s="5">
        <v>1</v>
      </c>
      <c r="N73" s="31">
        <v>0.5</v>
      </c>
      <c r="O73" s="31">
        <v>0.5</v>
      </c>
      <c r="P73" s="31">
        <v>500</v>
      </c>
      <c r="Q73" s="31">
        <v>1</v>
      </c>
      <c r="R73" s="31"/>
      <c r="S73" s="31"/>
      <c r="T73" s="65">
        <v>0</v>
      </c>
      <c r="U73" s="31"/>
      <c r="V73" s="31"/>
      <c r="W73" s="31"/>
      <c r="X73" s="85"/>
      <c r="Y73" s="18">
        <v>38</v>
      </c>
      <c r="Z73" s="18" t="s">
        <v>92</v>
      </c>
      <c r="AA73" s="18" t="s">
        <v>116</v>
      </c>
      <c r="AB73" s="18" t="s">
        <v>337</v>
      </c>
      <c r="AC73" s="18">
        <v>1</v>
      </c>
      <c r="AD73" s="18">
        <v>500</v>
      </c>
      <c r="AE73" s="18" t="s">
        <v>29</v>
      </c>
      <c r="AF73" s="18"/>
      <c r="AG73" s="18"/>
      <c r="AH73" s="18">
        <v>8.6999999999999993</v>
      </c>
      <c r="AI73" s="18" t="s">
        <v>32</v>
      </c>
      <c r="AJ73" s="18" t="s">
        <v>64</v>
      </c>
      <c r="AK73" s="18" t="s">
        <v>79</v>
      </c>
      <c r="AL73" s="18" t="s">
        <v>92</v>
      </c>
      <c r="AM73" s="18" t="s">
        <v>109</v>
      </c>
      <c r="AN73" s="18" t="s">
        <v>120</v>
      </c>
      <c r="AO73" s="18" t="s">
        <v>198</v>
      </c>
      <c r="AP73" s="18"/>
      <c r="AQ73" s="18"/>
      <c r="AR73" s="18">
        <v>2</v>
      </c>
      <c r="AS73" s="18">
        <v>1</v>
      </c>
      <c r="AT73" s="18">
        <v>3</v>
      </c>
      <c r="AU73" s="18">
        <v>1</v>
      </c>
      <c r="AV73" s="18">
        <v>2</v>
      </c>
      <c r="AW73" s="18">
        <v>9</v>
      </c>
      <c r="AX73" s="49">
        <f t="shared" si="11"/>
        <v>0</v>
      </c>
      <c r="AY73" s="49">
        <f>VLOOKUP(AI73,Leyenda!$B$4:$E$10,4,FALSE)</f>
        <v>1</v>
      </c>
      <c r="AZ73" s="50">
        <f t="shared" si="15"/>
        <v>0</v>
      </c>
      <c r="BA73" s="49">
        <v>9</v>
      </c>
      <c r="BB73" s="49">
        <v>10</v>
      </c>
      <c r="BC73" s="67">
        <v>13.5</v>
      </c>
      <c r="BD73" s="67">
        <f>VLOOKUP(AI73,Leyenda!$B$4:$E$10,4,FALSE)</f>
        <v>1</v>
      </c>
      <c r="BE73" s="67">
        <v>5</v>
      </c>
      <c r="BF73" s="67">
        <f t="shared" si="12"/>
        <v>0</v>
      </c>
      <c r="BG73" s="67">
        <v>3</v>
      </c>
      <c r="BH73" s="67">
        <v>1</v>
      </c>
      <c r="BI73" s="67">
        <v>2</v>
      </c>
      <c r="BJ73" s="67">
        <v>1</v>
      </c>
      <c r="BK73" s="67">
        <v>3</v>
      </c>
      <c r="BL73" s="67">
        <v>10</v>
      </c>
      <c r="BM73" s="125">
        <f t="shared" si="13"/>
        <v>26</v>
      </c>
      <c r="BN73" s="85">
        <f t="shared" si="14"/>
        <v>20</v>
      </c>
    </row>
    <row r="74" spans="1:66" x14ac:dyDescent="0.25">
      <c r="A74" s="18" t="s">
        <v>6</v>
      </c>
      <c r="B74" s="18">
        <v>2024</v>
      </c>
      <c r="C74" s="18" t="s">
        <v>138</v>
      </c>
      <c r="D74" s="18" t="s">
        <v>134</v>
      </c>
      <c r="E74" s="18">
        <v>40</v>
      </c>
      <c r="F74" s="18">
        <v>30</v>
      </c>
      <c r="G74" s="18" t="s">
        <v>153</v>
      </c>
      <c r="H74" s="18"/>
      <c r="I74" s="18" t="s">
        <v>175</v>
      </c>
      <c r="J74" s="31">
        <v>23</v>
      </c>
      <c r="K74" s="31">
        <v>23.5</v>
      </c>
      <c r="L74" s="4">
        <v>0.5</v>
      </c>
      <c r="M74" s="5">
        <v>0.9</v>
      </c>
      <c r="N74" s="31">
        <v>0.45</v>
      </c>
      <c r="O74" s="18"/>
      <c r="P74" s="18"/>
      <c r="Q74" s="18"/>
      <c r="R74" s="18">
        <v>0.33999999999999997</v>
      </c>
      <c r="S74" s="18">
        <v>0.1</v>
      </c>
      <c r="T74" s="65">
        <v>20</v>
      </c>
      <c r="U74" s="18">
        <v>3</v>
      </c>
      <c r="V74" s="18"/>
      <c r="W74" s="18">
        <v>3</v>
      </c>
      <c r="X74" s="85">
        <v>113.33333333333331</v>
      </c>
      <c r="Y74" s="18"/>
      <c r="Z74" s="18"/>
      <c r="AA74" s="18"/>
      <c r="AB74" s="18"/>
      <c r="AC74" s="18"/>
      <c r="AD74" s="18"/>
      <c r="AE74" s="18"/>
      <c r="AF74" s="18"/>
      <c r="AG74" s="18"/>
      <c r="AH74" s="18">
        <v>8.6999999999999993</v>
      </c>
      <c r="AI74" s="18" t="s">
        <v>32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49"/>
      <c r="AY74" s="49"/>
      <c r="AZ74" s="50"/>
      <c r="BA74" s="49"/>
      <c r="BB74" s="49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125"/>
      <c r="BN74" s="85"/>
    </row>
    <row r="75" spans="1:66" x14ac:dyDescent="0.25">
      <c r="A75" s="18" t="s">
        <v>6</v>
      </c>
      <c r="B75" s="18">
        <v>2024</v>
      </c>
      <c r="C75" s="18" t="s">
        <v>138</v>
      </c>
      <c r="D75" s="18" t="s">
        <v>134</v>
      </c>
      <c r="E75" s="18">
        <v>40</v>
      </c>
      <c r="F75" s="18">
        <v>30</v>
      </c>
      <c r="G75" s="18" t="s">
        <v>153</v>
      </c>
      <c r="H75" s="18"/>
      <c r="I75" s="18" t="s">
        <v>176</v>
      </c>
      <c r="J75" s="31">
        <v>23</v>
      </c>
      <c r="K75" s="31">
        <v>24.5</v>
      </c>
      <c r="L75" s="4">
        <v>1.5</v>
      </c>
      <c r="M75" s="5">
        <v>0.96</v>
      </c>
      <c r="N75" s="31">
        <v>1.44</v>
      </c>
      <c r="O75" s="18">
        <v>1.44</v>
      </c>
      <c r="P75" s="18">
        <v>48</v>
      </c>
      <c r="Q75" s="18">
        <v>20</v>
      </c>
      <c r="R75" s="18">
        <v>0.48</v>
      </c>
      <c r="S75" s="18">
        <v>0</v>
      </c>
      <c r="T75" s="65">
        <v>0</v>
      </c>
      <c r="U75" s="18">
        <v>6</v>
      </c>
      <c r="V75" s="18"/>
      <c r="W75" s="18">
        <v>6</v>
      </c>
      <c r="X75" s="85">
        <v>80</v>
      </c>
      <c r="Y75" s="18">
        <v>0</v>
      </c>
      <c r="Z75" s="18" t="s">
        <v>330</v>
      </c>
      <c r="AA75" s="18" t="s">
        <v>333</v>
      </c>
      <c r="AB75" s="18" t="s">
        <v>335</v>
      </c>
      <c r="AC75" s="18">
        <v>20</v>
      </c>
      <c r="AD75" s="18">
        <v>48</v>
      </c>
      <c r="AE75" s="18" t="s">
        <v>34</v>
      </c>
      <c r="AF75" s="18"/>
      <c r="AG75" s="18" t="s">
        <v>34</v>
      </c>
      <c r="AH75" s="18">
        <v>8.6999999999999993</v>
      </c>
      <c r="AI75" s="18" t="s">
        <v>32</v>
      </c>
      <c r="AJ75" s="18" t="s">
        <v>69</v>
      </c>
      <c r="AK75" s="18" t="s">
        <v>81</v>
      </c>
      <c r="AL75" s="18" t="s">
        <v>100</v>
      </c>
      <c r="AM75" s="18" t="s">
        <v>107</v>
      </c>
      <c r="AN75" s="18" t="s">
        <v>120</v>
      </c>
      <c r="AO75" s="18" t="s">
        <v>247</v>
      </c>
      <c r="AP75" s="18"/>
      <c r="AQ75" s="18"/>
      <c r="AR75" s="18">
        <v>0</v>
      </c>
      <c r="AS75" s="18">
        <v>0</v>
      </c>
      <c r="AT75" s="18">
        <v>0</v>
      </c>
      <c r="AU75" s="18">
        <v>3</v>
      </c>
      <c r="AV75" s="18">
        <v>2</v>
      </c>
      <c r="AW75" s="18">
        <v>5</v>
      </c>
      <c r="AX75" s="49">
        <f t="shared" si="11"/>
        <v>0</v>
      </c>
      <c r="AY75" s="49">
        <v>0</v>
      </c>
      <c r="AZ75" s="50">
        <v>6</v>
      </c>
      <c r="BA75" s="49">
        <v>5</v>
      </c>
      <c r="BB75" s="49">
        <v>10</v>
      </c>
      <c r="BC75" s="67">
        <v>7.5</v>
      </c>
      <c r="BD75" s="67">
        <v>0</v>
      </c>
      <c r="BE75" s="67">
        <v>7</v>
      </c>
      <c r="BF75" s="67">
        <f t="shared" si="12"/>
        <v>0</v>
      </c>
      <c r="BG75" s="67">
        <v>0</v>
      </c>
      <c r="BH75" s="67">
        <v>3</v>
      </c>
      <c r="BI75" s="67">
        <v>2</v>
      </c>
      <c r="BJ75" s="67">
        <v>0</v>
      </c>
      <c r="BK75" s="67">
        <v>0</v>
      </c>
      <c r="BL75" s="67">
        <v>7</v>
      </c>
      <c r="BM75" s="125">
        <f t="shared" si="13"/>
        <v>19</v>
      </c>
      <c r="BN75" s="85">
        <f t="shared" si="14"/>
        <v>21</v>
      </c>
    </row>
    <row r="76" spans="1:66" x14ac:dyDescent="0.25">
      <c r="A76" s="18" t="s">
        <v>6</v>
      </c>
      <c r="B76" s="18">
        <v>2024</v>
      </c>
      <c r="C76" s="18" t="s">
        <v>138</v>
      </c>
      <c r="D76" s="18" t="s">
        <v>134</v>
      </c>
      <c r="E76" s="18">
        <v>40</v>
      </c>
      <c r="F76" s="18">
        <v>30</v>
      </c>
      <c r="G76" s="18" t="s">
        <v>153</v>
      </c>
      <c r="H76" s="18"/>
      <c r="I76" s="18" t="s">
        <v>176</v>
      </c>
      <c r="J76" s="31">
        <v>24.5</v>
      </c>
      <c r="K76" s="31">
        <v>25</v>
      </c>
      <c r="L76" s="4">
        <v>0.5</v>
      </c>
      <c r="M76" s="5">
        <v>0.9</v>
      </c>
      <c r="N76" s="31">
        <v>0.45</v>
      </c>
      <c r="O76" s="18">
        <v>0.45</v>
      </c>
      <c r="P76" s="18">
        <v>22.5</v>
      </c>
      <c r="Q76" s="18">
        <v>20</v>
      </c>
      <c r="R76" s="18">
        <v>0.42</v>
      </c>
      <c r="S76" s="18">
        <v>0.22</v>
      </c>
      <c r="T76" s="65">
        <v>44</v>
      </c>
      <c r="U76" s="18">
        <v>4</v>
      </c>
      <c r="V76" s="18"/>
      <c r="W76" s="18">
        <v>4</v>
      </c>
      <c r="X76" s="85">
        <v>105</v>
      </c>
      <c r="Y76" s="18">
        <v>0</v>
      </c>
      <c r="Z76" s="18" t="s">
        <v>330</v>
      </c>
      <c r="AA76" s="18" t="s">
        <v>333</v>
      </c>
      <c r="AB76" s="18" t="s">
        <v>335</v>
      </c>
      <c r="AC76" s="18">
        <v>20</v>
      </c>
      <c r="AD76" s="18">
        <v>22.5</v>
      </c>
      <c r="AE76" s="18" t="s">
        <v>34</v>
      </c>
      <c r="AF76" s="18"/>
      <c r="AG76" s="18" t="s">
        <v>34</v>
      </c>
      <c r="AH76" s="18">
        <v>8.6999999999999993</v>
      </c>
      <c r="AI76" s="18" t="s">
        <v>32</v>
      </c>
      <c r="AJ76" s="18" t="s">
        <v>69</v>
      </c>
      <c r="AK76" s="18" t="s">
        <v>81</v>
      </c>
      <c r="AL76" s="18" t="s">
        <v>100</v>
      </c>
      <c r="AM76" s="18" t="s">
        <v>107</v>
      </c>
      <c r="AN76" s="18" t="s">
        <v>120</v>
      </c>
      <c r="AO76" s="18" t="s">
        <v>247</v>
      </c>
      <c r="AP76" s="18"/>
      <c r="AQ76" s="18"/>
      <c r="AR76" s="18">
        <v>0</v>
      </c>
      <c r="AS76" s="18">
        <v>0</v>
      </c>
      <c r="AT76" s="18">
        <v>0</v>
      </c>
      <c r="AU76" s="18">
        <v>3</v>
      </c>
      <c r="AV76" s="18">
        <v>2</v>
      </c>
      <c r="AW76" s="18">
        <v>5</v>
      </c>
      <c r="AX76" s="49">
        <f t="shared" si="11"/>
        <v>9</v>
      </c>
      <c r="AY76" s="49">
        <v>0</v>
      </c>
      <c r="AZ76" s="50">
        <v>4</v>
      </c>
      <c r="BA76" s="49">
        <v>5</v>
      </c>
      <c r="BB76" s="49">
        <v>10</v>
      </c>
      <c r="BC76" s="67">
        <v>29.5</v>
      </c>
      <c r="BD76" s="67">
        <v>0</v>
      </c>
      <c r="BE76" s="67">
        <v>8</v>
      </c>
      <c r="BF76" s="67">
        <f t="shared" si="12"/>
        <v>9</v>
      </c>
      <c r="BG76" s="67">
        <v>0</v>
      </c>
      <c r="BH76" s="67">
        <v>3</v>
      </c>
      <c r="BI76" s="67">
        <v>2</v>
      </c>
      <c r="BJ76" s="67">
        <v>0</v>
      </c>
      <c r="BK76" s="67">
        <v>0</v>
      </c>
      <c r="BL76" s="67">
        <v>7</v>
      </c>
      <c r="BM76" s="125">
        <f t="shared" si="13"/>
        <v>29</v>
      </c>
      <c r="BN76" s="85">
        <f t="shared" si="14"/>
        <v>28</v>
      </c>
    </row>
    <row r="77" spans="1:66" x14ac:dyDescent="0.25">
      <c r="A77" s="18" t="s">
        <v>6</v>
      </c>
      <c r="B77" s="18">
        <v>2024</v>
      </c>
      <c r="C77" s="18" t="s">
        <v>138</v>
      </c>
      <c r="D77" s="18" t="s">
        <v>134</v>
      </c>
      <c r="E77" s="18">
        <v>40</v>
      </c>
      <c r="F77" s="18">
        <v>30</v>
      </c>
      <c r="G77" s="18" t="s">
        <v>153</v>
      </c>
      <c r="H77" s="18"/>
      <c r="I77" s="18" t="s">
        <v>177</v>
      </c>
      <c r="J77" s="31">
        <v>25</v>
      </c>
      <c r="K77" s="31">
        <v>25.5</v>
      </c>
      <c r="L77" s="4">
        <v>0.5</v>
      </c>
      <c r="M77" s="5">
        <v>0.9</v>
      </c>
      <c r="N77" s="31">
        <v>0.45</v>
      </c>
      <c r="O77" s="18">
        <v>0.45</v>
      </c>
      <c r="P77" s="18">
        <v>22.5</v>
      </c>
      <c r="Q77" s="18">
        <v>20</v>
      </c>
      <c r="R77" s="18">
        <v>0.43</v>
      </c>
      <c r="S77" s="18">
        <v>0.11</v>
      </c>
      <c r="T77" s="65">
        <v>22</v>
      </c>
      <c r="U77" s="18">
        <v>6</v>
      </c>
      <c r="V77" s="18"/>
      <c r="W77" s="18">
        <v>6</v>
      </c>
      <c r="X77" s="85">
        <v>71.666666666666671</v>
      </c>
      <c r="Y77" s="18">
        <v>0</v>
      </c>
      <c r="Z77" s="18" t="s">
        <v>330</v>
      </c>
      <c r="AA77" s="18" t="s">
        <v>333</v>
      </c>
      <c r="AB77" s="18" t="s">
        <v>335</v>
      </c>
      <c r="AC77" s="18">
        <v>20</v>
      </c>
      <c r="AD77" s="18">
        <v>22.5</v>
      </c>
      <c r="AE77" s="18" t="s">
        <v>34</v>
      </c>
      <c r="AF77" s="18"/>
      <c r="AG77" s="18" t="s">
        <v>34</v>
      </c>
      <c r="AH77" s="18">
        <v>8.6999999999999993</v>
      </c>
      <c r="AI77" s="18" t="s">
        <v>32</v>
      </c>
      <c r="AJ77" s="18" t="s">
        <v>69</v>
      </c>
      <c r="AK77" s="18" t="s">
        <v>81</v>
      </c>
      <c r="AL77" s="18" t="s">
        <v>100</v>
      </c>
      <c r="AM77" s="18" t="s">
        <v>107</v>
      </c>
      <c r="AN77" s="18" t="s">
        <v>120</v>
      </c>
      <c r="AO77" s="18" t="s">
        <v>247</v>
      </c>
      <c r="AP77" s="18"/>
      <c r="AQ77" s="18"/>
      <c r="AR77" s="18">
        <v>0</v>
      </c>
      <c r="AS77" s="18">
        <v>0</v>
      </c>
      <c r="AT77" s="18">
        <v>0</v>
      </c>
      <c r="AU77" s="18">
        <v>3</v>
      </c>
      <c r="AV77" s="18">
        <v>2</v>
      </c>
      <c r="AW77" s="18">
        <v>5</v>
      </c>
      <c r="AX77" s="49">
        <f t="shared" si="11"/>
        <v>5</v>
      </c>
      <c r="AY77" s="49">
        <v>0</v>
      </c>
      <c r="AZ77" s="50">
        <v>4</v>
      </c>
      <c r="BA77" s="49">
        <v>5</v>
      </c>
      <c r="BB77" s="49">
        <v>10</v>
      </c>
      <c r="BC77" s="67">
        <v>18.5</v>
      </c>
      <c r="BD77" s="67">
        <v>0</v>
      </c>
      <c r="BE77" s="67">
        <v>6</v>
      </c>
      <c r="BF77" s="67">
        <f t="shared" si="12"/>
        <v>5</v>
      </c>
      <c r="BG77" s="67">
        <v>0</v>
      </c>
      <c r="BH77" s="67">
        <v>3</v>
      </c>
      <c r="BI77" s="67">
        <v>2</v>
      </c>
      <c r="BJ77" s="67">
        <v>0</v>
      </c>
      <c r="BK77" s="67">
        <v>0</v>
      </c>
      <c r="BL77" s="67">
        <v>7</v>
      </c>
      <c r="BM77" s="125">
        <f t="shared" si="13"/>
        <v>23</v>
      </c>
      <c r="BN77" s="85">
        <f t="shared" si="14"/>
        <v>24</v>
      </c>
    </row>
    <row r="78" spans="1:66" x14ac:dyDescent="0.25">
      <c r="A78" s="18" t="s">
        <v>6</v>
      </c>
      <c r="B78" s="18">
        <v>2024</v>
      </c>
      <c r="C78" s="18" t="s">
        <v>138</v>
      </c>
      <c r="D78" s="18" t="s">
        <v>134</v>
      </c>
      <c r="E78" s="18">
        <v>40</v>
      </c>
      <c r="F78" s="18">
        <v>30</v>
      </c>
      <c r="G78" s="18" t="s">
        <v>153</v>
      </c>
      <c r="H78" s="18"/>
      <c r="I78" s="18" t="s">
        <v>177</v>
      </c>
      <c r="J78" s="31">
        <v>25.5</v>
      </c>
      <c r="K78" s="31">
        <v>26</v>
      </c>
      <c r="L78" s="4">
        <v>0.5</v>
      </c>
      <c r="M78" s="5">
        <v>1</v>
      </c>
      <c r="N78" s="31">
        <v>0.5</v>
      </c>
      <c r="O78" s="18">
        <v>0.5</v>
      </c>
      <c r="P78" s="18">
        <v>25</v>
      </c>
      <c r="Q78" s="18">
        <v>20</v>
      </c>
      <c r="R78" s="18">
        <v>0.39</v>
      </c>
      <c r="S78" s="18">
        <v>0.15</v>
      </c>
      <c r="T78" s="65">
        <v>30</v>
      </c>
      <c r="U78" s="18">
        <v>3</v>
      </c>
      <c r="V78" s="18"/>
      <c r="W78" s="18">
        <v>3</v>
      </c>
      <c r="X78" s="85">
        <v>130</v>
      </c>
      <c r="Y78" s="18">
        <v>0</v>
      </c>
      <c r="Z78" s="18" t="s">
        <v>330</v>
      </c>
      <c r="AA78" s="18" t="s">
        <v>333</v>
      </c>
      <c r="AB78" s="18" t="s">
        <v>335</v>
      </c>
      <c r="AC78" s="18">
        <v>20</v>
      </c>
      <c r="AD78" s="18">
        <v>25</v>
      </c>
      <c r="AE78" s="18" t="s">
        <v>34</v>
      </c>
      <c r="AF78" s="18"/>
      <c r="AG78" s="18" t="s">
        <v>34</v>
      </c>
      <c r="AH78" s="18">
        <v>8.6999999999999993</v>
      </c>
      <c r="AI78" s="18" t="s">
        <v>32</v>
      </c>
      <c r="AJ78" s="18" t="s">
        <v>69</v>
      </c>
      <c r="AK78" s="18" t="s">
        <v>81</v>
      </c>
      <c r="AL78" s="18" t="s">
        <v>100</v>
      </c>
      <c r="AM78" s="18" t="s">
        <v>107</v>
      </c>
      <c r="AN78" s="18" t="s">
        <v>120</v>
      </c>
      <c r="AO78" s="18" t="s">
        <v>247</v>
      </c>
      <c r="AP78" s="18"/>
      <c r="AQ78" s="18"/>
      <c r="AR78" s="18">
        <v>0</v>
      </c>
      <c r="AS78" s="18">
        <v>0</v>
      </c>
      <c r="AT78" s="18">
        <v>0</v>
      </c>
      <c r="AU78" s="18">
        <v>3</v>
      </c>
      <c r="AV78" s="18">
        <v>2</v>
      </c>
      <c r="AW78" s="18">
        <v>5</v>
      </c>
      <c r="AX78" s="49">
        <f t="shared" si="11"/>
        <v>6</v>
      </c>
      <c r="AY78" s="49">
        <v>0</v>
      </c>
      <c r="AZ78" s="50">
        <v>5</v>
      </c>
      <c r="BA78" s="49">
        <v>5</v>
      </c>
      <c r="BB78" s="49">
        <v>10</v>
      </c>
      <c r="BC78" s="67">
        <v>22.5</v>
      </c>
      <c r="BD78" s="67">
        <v>0</v>
      </c>
      <c r="BE78" s="67">
        <v>10</v>
      </c>
      <c r="BF78" s="67">
        <f t="shared" si="12"/>
        <v>6</v>
      </c>
      <c r="BG78" s="67">
        <v>0</v>
      </c>
      <c r="BH78" s="67">
        <v>3</v>
      </c>
      <c r="BI78" s="67">
        <v>2</v>
      </c>
      <c r="BJ78" s="67">
        <v>0</v>
      </c>
      <c r="BK78" s="67">
        <v>0</v>
      </c>
      <c r="BL78" s="67">
        <v>7</v>
      </c>
      <c r="BM78" s="125">
        <f t="shared" si="13"/>
        <v>28</v>
      </c>
      <c r="BN78" s="85">
        <f t="shared" si="14"/>
        <v>26</v>
      </c>
    </row>
    <row r="79" spans="1:66" x14ac:dyDescent="0.25">
      <c r="A79" s="18" t="s">
        <v>6</v>
      </c>
      <c r="B79" s="18">
        <v>2024</v>
      </c>
      <c r="C79" s="18" t="s">
        <v>138</v>
      </c>
      <c r="D79" s="18" t="s">
        <v>134</v>
      </c>
      <c r="E79" s="18">
        <v>40</v>
      </c>
      <c r="F79" s="18">
        <v>30</v>
      </c>
      <c r="G79" s="18" t="s">
        <v>153</v>
      </c>
      <c r="H79" s="18"/>
      <c r="I79" s="18" t="s">
        <v>177</v>
      </c>
      <c r="J79" s="31">
        <v>26</v>
      </c>
      <c r="K79" s="31">
        <v>26.5</v>
      </c>
      <c r="L79" s="4">
        <v>0.5</v>
      </c>
      <c r="M79" s="5">
        <v>1</v>
      </c>
      <c r="N79" s="31">
        <v>0.5</v>
      </c>
      <c r="O79" s="18">
        <v>0.5</v>
      </c>
      <c r="P79" s="18">
        <v>25</v>
      </c>
      <c r="Q79" s="18">
        <v>20</v>
      </c>
      <c r="R79" s="18">
        <v>0.44</v>
      </c>
      <c r="S79" s="18">
        <v>0.13</v>
      </c>
      <c r="T79" s="65">
        <v>26</v>
      </c>
      <c r="U79" s="18">
        <v>6</v>
      </c>
      <c r="V79" s="18"/>
      <c r="W79" s="18">
        <v>6</v>
      </c>
      <c r="X79" s="85">
        <v>73.333333333333329</v>
      </c>
      <c r="Y79" s="18">
        <v>0</v>
      </c>
      <c r="Z79" s="18" t="s">
        <v>330</v>
      </c>
      <c r="AA79" s="18" t="s">
        <v>333</v>
      </c>
      <c r="AB79" s="18" t="s">
        <v>335</v>
      </c>
      <c r="AC79" s="18">
        <v>20</v>
      </c>
      <c r="AD79" s="18">
        <v>25</v>
      </c>
      <c r="AE79" s="18" t="s">
        <v>34</v>
      </c>
      <c r="AF79" s="18"/>
      <c r="AG79" s="18" t="s">
        <v>34</v>
      </c>
      <c r="AH79" s="18">
        <v>8.6999999999999993</v>
      </c>
      <c r="AI79" s="18" t="s">
        <v>32</v>
      </c>
      <c r="AJ79" s="18" t="s">
        <v>69</v>
      </c>
      <c r="AK79" s="18" t="s">
        <v>81</v>
      </c>
      <c r="AL79" s="18" t="s">
        <v>100</v>
      </c>
      <c r="AM79" s="18" t="s">
        <v>107</v>
      </c>
      <c r="AN79" s="18" t="s">
        <v>120</v>
      </c>
      <c r="AO79" s="18" t="s">
        <v>247</v>
      </c>
      <c r="AP79" s="18"/>
      <c r="AQ79" s="18"/>
      <c r="AR79" s="18">
        <v>0</v>
      </c>
      <c r="AS79" s="18">
        <v>0</v>
      </c>
      <c r="AT79" s="18">
        <v>0</v>
      </c>
      <c r="AU79" s="18">
        <v>3</v>
      </c>
      <c r="AV79" s="18">
        <v>2</v>
      </c>
      <c r="AW79" s="18">
        <v>5</v>
      </c>
      <c r="AX79" s="49">
        <f t="shared" si="11"/>
        <v>6</v>
      </c>
      <c r="AY79" s="49">
        <v>0</v>
      </c>
      <c r="AZ79" s="50">
        <v>5</v>
      </c>
      <c r="BA79" s="49">
        <v>5</v>
      </c>
      <c r="BB79" s="49">
        <v>10</v>
      </c>
      <c r="BC79" s="67">
        <v>20.5</v>
      </c>
      <c r="BD79" s="67">
        <v>0</v>
      </c>
      <c r="BE79" s="67">
        <v>6</v>
      </c>
      <c r="BF79" s="67">
        <f t="shared" si="12"/>
        <v>6</v>
      </c>
      <c r="BG79" s="67">
        <v>0</v>
      </c>
      <c r="BH79" s="67">
        <v>3</v>
      </c>
      <c r="BI79" s="67">
        <v>2</v>
      </c>
      <c r="BJ79" s="67">
        <v>0</v>
      </c>
      <c r="BK79" s="67">
        <v>0</v>
      </c>
      <c r="BL79" s="67">
        <v>7</v>
      </c>
      <c r="BM79" s="125">
        <f t="shared" si="13"/>
        <v>24</v>
      </c>
      <c r="BN79" s="85">
        <f t="shared" si="14"/>
        <v>26</v>
      </c>
    </row>
    <row r="80" spans="1:66" x14ac:dyDescent="0.25">
      <c r="A80" s="18" t="s">
        <v>6</v>
      </c>
      <c r="B80" s="18">
        <v>2024</v>
      </c>
      <c r="C80" s="18" t="s">
        <v>138</v>
      </c>
      <c r="D80" s="18" t="s">
        <v>134</v>
      </c>
      <c r="E80" s="18">
        <v>40</v>
      </c>
      <c r="F80" s="18">
        <v>30</v>
      </c>
      <c r="G80" s="18" t="s">
        <v>153</v>
      </c>
      <c r="H80" s="18"/>
      <c r="I80" s="18" t="s">
        <v>177</v>
      </c>
      <c r="J80" s="31">
        <v>26.5</v>
      </c>
      <c r="K80" s="31">
        <v>27</v>
      </c>
      <c r="L80" s="4">
        <v>0.5</v>
      </c>
      <c r="M80" s="5">
        <v>1</v>
      </c>
      <c r="N80" s="31">
        <v>0.5</v>
      </c>
      <c r="O80" s="18">
        <v>0.5</v>
      </c>
      <c r="P80" s="18">
        <v>25</v>
      </c>
      <c r="Q80" s="18">
        <v>20</v>
      </c>
      <c r="R80" s="18">
        <v>0.45</v>
      </c>
      <c r="S80" s="18">
        <v>0</v>
      </c>
      <c r="T80" s="65">
        <v>0</v>
      </c>
      <c r="U80" s="18">
        <v>7</v>
      </c>
      <c r="V80" s="18"/>
      <c r="W80" s="18">
        <v>7</v>
      </c>
      <c r="X80" s="85">
        <v>64.285714285714292</v>
      </c>
      <c r="Y80" s="18">
        <v>0</v>
      </c>
      <c r="Z80" s="18" t="s">
        <v>330</v>
      </c>
      <c r="AA80" s="18" t="s">
        <v>333</v>
      </c>
      <c r="AB80" s="18" t="s">
        <v>335</v>
      </c>
      <c r="AC80" s="18">
        <v>20</v>
      </c>
      <c r="AD80" s="18">
        <v>25</v>
      </c>
      <c r="AE80" s="18" t="s">
        <v>34</v>
      </c>
      <c r="AF80" s="18"/>
      <c r="AG80" s="18" t="s">
        <v>34</v>
      </c>
      <c r="AH80" s="18">
        <v>8.6999999999999993</v>
      </c>
      <c r="AI80" s="18" t="s">
        <v>32</v>
      </c>
      <c r="AJ80" s="18" t="s">
        <v>69</v>
      </c>
      <c r="AK80" s="18" t="s">
        <v>81</v>
      </c>
      <c r="AL80" s="18" t="s">
        <v>100</v>
      </c>
      <c r="AM80" s="18" t="s">
        <v>107</v>
      </c>
      <c r="AN80" s="18" t="s">
        <v>120</v>
      </c>
      <c r="AO80" s="18" t="s">
        <v>247</v>
      </c>
      <c r="AP80" s="18"/>
      <c r="AQ80" s="18"/>
      <c r="AR80" s="18">
        <v>0</v>
      </c>
      <c r="AS80" s="18">
        <v>0</v>
      </c>
      <c r="AT80" s="18">
        <v>0</v>
      </c>
      <c r="AU80" s="18">
        <v>3</v>
      </c>
      <c r="AV80" s="18">
        <v>2</v>
      </c>
      <c r="AW80" s="18">
        <v>5</v>
      </c>
      <c r="AX80" s="49">
        <f t="shared" si="11"/>
        <v>0</v>
      </c>
      <c r="AY80" s="49">
        <v>0</v>
      </c>
      <c r="AZ80" s="50">
        <v>5</v>
      </c>
      <c r="BA80" s="49">
        <v>5</v>
      </c>
      <c r="BB80" s="49">
        <v>10</v>
      </c>
      <c r="BC80" s="67">
        <v>7.5</v>
      </c>
      <c r="BD80" s="67">
        <v>0</v>
      </c>
      <c r="BE80" s="67">
        <v>6</v>
      </c>
      <c r="BF80" s="67">
        <f t="shared" si="12"/>
        <v>0</v>
      </c>
      <c r="BG80" s="67">
        <v>0</v>
      </c>
      <c r="BH80" s="67">
        <v>3</v>
      </c>
      <c r="BI80" s="67">
        <v>2</v>
      </c>
      <c r="BJ80" s="67">
        <v>0</v>
      </c>
      <c r="BK80" s="67">
        <v>0</v>
      </c>
      <c r="BL80" s="67">
        <v>7</v>
      </c>
      <c r="BM80" s="125">
        <f t="shared" si="13"/>
        <v>18</v>
      </c>
      <c r="BN80" s="85">
        <f t="shared" si="14"/>
        <v>20</v>
      </c>
    </row>
    <row r="81" spans="1:66" x14ac:dyDescent="0.25">
      <c r="A81" s="18" t="s">
        <v>6</v>
      </c>
      <c r="B81" s="18">
        <v>2024</v>
      </c>
      <c r="C81" s="18" t="s">
        <v>138</v>
      </c>
      <c r="D81" s="18" t="s">
        <v>134</v>
      </c>
      <c r="E81" s="18">
        <v>40</v>
      </c>
      <c r="F81" s="18">
        <v>30</v>
      </c>
      <c r="G81" s="18" t="s">
        <v>153</v>
      </c>
      <c r="H81" s="18"/>
      <c r="I81" s="18" t="s">
        <v>177</v>
      </c>
      <c r="J81" s="31">
        <v>27</v>
      </c>
      <c r="K81" s="31">
        <v>27.5</v>
      </c>
      <c r="L81" s="4">
        <v>0.5</v>
      </c>
      <c r="M81" s="5">
        <v>0.92</v>
      </c>
      <c r="N81" s="31">
        <v>0.46</v>
      </c>
      <c r="O81" s="18">
        <v>0.46</v>
      </c>
      <c r="P81" s="18">
        <v>23</v>
      </c>
      <c r="Q81" s="18">
        <v>20</v>
      </c>
      <c r="R81" s="18">
        <v>0.39</v>
      </c>
      <c r="S81" s="18">
        <v>0.33</v>
      </c>
      <c r="T81" s="65">
        <v>66</v>
      </c>
      <c r="U81" s="18">
        <v>3</v>
      </c>
      <c r="V81" s="18"/>
      <c r="W81" s="18">
        <v>3</v>
      </c>
      <c r="X81" s="85">
        <v>130</v>
      </c>
      <c r="Y81" s="18">
        <v>0</v>
      </c>
      <c r="Z81" s="18" t="s">
        <v>330</v>
      </c>
      <c r="AA81" s="18" t="s">
        <v>333</v>
      </c>
      <c r="AB81" s="18" t="s">
        <v>335</v>
      </c>
      <c r="AC81" s="18">
        <v>20</v>
      </c>
      <c r="AD81" s="18">
        <v>23</v>
      </c>
      <c r="AE81" s="18" t="s">
        <v>34</v>
      </c>
      <c r="AF81" s="18"/>
      <c r="AG81" s="18" t="s">
        <v>34</v>
      </c>
      <c r="AH81" s="18">
        <v>8.6999999999999993</v>
      </c>
      <c r="AI81" s="18" t="s">
        <v>32</v>
      </c>
      <c r="AJ81" s="18" t="s">
        <v>69</v>
      </c>
      <c r="AK81" s="18" t="s">
        <v>81</v>
      </c>
      <c r="AL81" s="18" t="s">
        <v>100</v>
      </c>
      <c r="AM81" s="18" t="s">
        <v>107</v>
      </c>
      <c r="AN81" s="18" t="s">
        <v>120</v>
      </c>
      <c r="AO81" s="18" t="s">
        <v>247</v>
      </c>
      <c r="AP81" s="18"/>
      <c r="AQ81" s="18"/>
      <c r="AR81" s="18">
        <v>0</v>
      </c>
      <c r="AS81" s="18">
        <v>0</v>
      </c>
      <c r="AT81" s="18">
        <v>0</v>
      </c>
      <c r="AU81" s="18">
        <v>3</v>
      </c>
      <c r="AV81" s="18">
        <v>2</v>
      </c>
      <c r="AW81" s="18">
        <v>5</v>
      </c>
      <c r="AX81" s="49">
        <f t="shared" si="11"/>
        <v>14</v>
      </c>
      <c r="AY81" s="49">
        <v>0</v>
      </c>
      <c r="AZ81" s="50">
        <v>4</v>
      </c>
      <c r="BA81" s="49">
        <v>5</v>
      </c>
      <c r="BB81" s="49">
        <v>10</v>
      </c>
      <c r="BC81" s="67">
        <v>40.5</v>
      </c>
      <c r="BD81" s="67">
        <v>0</v>
      </c>
      <c r="BE81" s="67">
        <v>10</v>
      </c>
      <c r="BF81" s="67">
        <f t="shared" si="12"/>
        <v>14</v>
      </c>
      <c r="BG81" s="67">
        <v>0</v>
      </c>
      <c r="BH81" s="67">
        <v>3</v>
      </c>
      <c r="BI81" s="67">
        <v>2</v>
      </c>
      <c r="BJ81" s="67">
        <v>0</v>
      </c>
      <c r="BK81" s="67">
        <v>0</v>
      </c>
      <c r="BL81" s="67">
        <v>7</v>
      </c>
      <c r="BM81" s="125">
        <f t="shared" si="13"/>
        <v>36</v>
      </c>
      <c r="BN81" s="85">
        <f t="shared" si="14"/>
        <v>33</v>
      </c>
    </row>
    <row r="82" spans="1:66" x14ac:dyDescent="0.25">
      <c r="A82" s="18" t="s">
        <v>6</v>
      </c>
      <c r="B82" s="18">
        <v>2024</v>
      </c>
      <c r="C82" s="18" t="s">
        <v>138</v>
      </c>
      <c r="D82" s="18" t="s">
        <v>134</v>
      </c>
      <c r="E82" s="18">
        <v>40</v>
      </c>
      <c r="F82" s="18">
        <v>30</v>
      </c>
      <c r="G82" s="18" t="s">
        <v>153</v>
      </c>
      <c r="H82" s="18"/>
      <c r="I82" s="18" t="s">
        <v>177</v>
      </c>
      <c r="J82" s="31">
        <v>27.5</v>
      </c>
      <c r="K82" s="31">
        <v>28</v>
      </c>
      <c r="L82" s="4">
        <v>0.5</v>
      </c>
      <c r="M82" s="5">
        <v>1</v>
      </c>
      <c r="N82" s="31">
        <v>0.5</v>
      </c>
      <c r="O82" s="18">
        <v>0.5</v>
      </c>
      <c r="P82" s="18">
        <v>25</v>
      </c>
      <c r="Q82" s="18">
        <v>20</v>
      </c>
      <c r="R82" s="18">
        <v>0.41</v>
      </c>
      <c r="S82" s="18">
        <v>0.18</v>
      </c>
      <c r="T82" s="65">
        <v>36</v>
      </c>
      <c r="U82" s="18">
        <v>3</v>
      </c>
      <c r="V82" s="18"/>
      <c r="W82" s="18">
        <v>3</v>
      </c>
      <c r="X82" s="85">
        <v>136.66666666666666</v>
      </c>
      <c r="Y82" s="18">
        <v>0</v>
      </c>
      <c r="Z82" s="18" t="s">
        <v>330</v>
      </c>
      <c r="AA82" s="18" t="s">
        <v>333</v>
      </c>
      <c r="AB82" s="18" t="s">
        <v>335</v>
      </c>
      <c r="AC82" s="18">
        <v>20</v>
      </c>
      <c r="AD82" s="18">
        <v>25</v>
      </c>
      <c r="AE82" s="18" t="s">
        <v>34</v>
      </c>
      <c r="AF82" s="18"/>
      <c r="AG82" s="18" t="s">
        <v>34</v>
      </c>
      <c r="AH82" s="18">
        <v>8.6999999999999993</v>
      </c>
      <c r="AI82" s="18" t="s">
        <v>32</v>
      </c>
      <c r="AJ82" s="18" t="s">
        <v>69</v>
      </c>
      <c r="AK82" s="18" t="s">
        <v>81</v>
      </c>
      <c r="AL82" s="18" t="s">
        <v>100</v>
      </c>
      <c r="AM82" s="18" t="s">
        <v>107</v>
      </c>
      <c r="AN82" s="18" t="s">
        <v>120</v>
      </c>
      <c r="AO82" s="18" t="s">
        <v>247</v>
      </c>
      <c r="AP82" s="18"/>
      <c r="AQ82" s="18"/>
      <c r="AR82" s="18">
        <v>0</v>
      </c>
      <c r="AS82" s="18">
        <v>0</v>
      </c>
      <c r="AT82" s="18">
        <v>0</v>
      </c>
      <c r="AU82" s="18">
        <v>3</v>
      </c>
      <c r="AV82" s="18">
        <v>2</v>
      </c>
      <c r="AW82" s="18">
        <v>5</v>
      </c>
      <c r="AX82" s="49">
        <f t="shared" si="11"/>
        <v>8</v>
      </c>
      <c r="AY82" s="49">
        <v>0</v>
      </c>
      <c r="AZ82" s="50">
        <v>5</v>
      </c>
      <c r="BA82" s="49">
        <v>5</v>
      </c>
      <c r="BB82" s="49">
        <v>10</v>
      </c>
      <c r="BC82" s="67">
        <v>25.5</v>
      </c>
      <c r="BD82" s="67">
        <v>0</v>
      </c>
      <c r="BE82" s="67">
        <v>10</v>
      </c>
      <c r="BF82" s="67">
        <f t="shared" si="12"/>
        <v>8</v>
      </c>
      <c r="BG82" s="67">
        <v>0</v>
      </c>
      <c r="BH82" s="67">
        <v>3</v>
      </c>
      <c r="BI82" s="67">
        <v>2</v>
      </c>
      <c r="BJ82" s="67">
        <v>0</v>
      </c>
      <c r="BK82" s="67">
        <v>0</v>
      </c>
      <c r="BL82" s="67">
        <v>7</v>
      </c>
      <c r="BM82" s="125">
        <f t="shared" si="13"/>
        <v>30</v>
      </c>
      <c r="BN82" s="85">
        <f t="shared" si="14"/>
        <v>28</v>
      </c>
    </row>
    <row r="83" spans="1:66" x14ac:dyDescent="0.25">
      <c r="A83" s="18" t="s">
        <v>6</v>
      </c>
      <c r="B83" s="18">
        <v>2024</v>
      </c>
      <c r="C83" s="18" t="s">
        <v>138</v>
      </c>
      <c r="D83" s="18" t="s">
        <v>134</v>
      </c>
      <c r="E83" s="18">
        <v>40</v>
      </c>
      <c r="F83" s="18">
        <v>30</v>
      </c>
      <c r="G83" s="18" t="s">
        <v>153</v>
      </c>
      <c r="H83" s="18"/>
      <c r="I83" s="18" t="s">
        <v>177</v>
      </c>
      <c r="J83" s="31">
        <v>28</v>
      </c>
      <c r="K83" s="31">
        <v>28.5</v>
      </c>
      <c r="L83" s="4">
        <v>0.5</v>
      </c>
      <c r="M83" s="5">
        <v>0.94</v>
      </c>
      <c r="N83" s="31">
        <v>0.47</v>
      </c>
      <c r="O83" s="18">
        <v>0.47</v>
      </c>
      <c r="P83" s="18">
        <v>23.5</v>
      </c>
      <c r="Q83" s="18">
        <v>20</v>
      </c>
      <c r="R83" s="18">
        <v>0.41</v>
      </c>
      <c r="S83" s="18">
        <v>0.25</v>
      </c>
      <c r="T83" s="65">
        <v>50</v>
      </c>
      <c r="U83" s="18">
        <v>3</v>
      </c>
      <c r="V83" s="18"/>
      <c r="W83" s="18">
        <v>3</v>
      </c>
      <c r="X83" s="85">
        <v>136.66666666666666</v>
      </c>
      <c r="Y83" s="18">
        <v>0</v>
      </c>
      <c r="Z83" s="18" t="s">
        <v>330</v>
      </c>
      <c r="AA83" s="18" t="s">
        <v>333</v>
      </c>
      <c r="AB83" s="18" t="s">
        <v>335</v>
      </c>
      <c r="AC83" s="18">
        <v>20</v>
      </c>
      <c r="AD83" s="18">
        <v>23.5</v>
      </c>
      <c r="AE83" s="18" t="s">
        <v>34</v>
      </c>
      <c r="AF83" s="18"/>
      <c r="AG83" s="18" t="s">
        <v>34</v>
      </c>
      <c r="AH83" s="18">
        <v>8.6999999999999993</v>
      </c>
      <c r="AI83" s="18" t="s">
        <v>32</v>
      </c>
      <c r="AJ83" s="18" t="s">
        <v>69</v>
      </c>
      <c r="AK83" s="18" t="s">
        <v>81</v>
      </c>
      <c r="AL83" s="18" t="s">
        <v>100</v>
      </c>
      <c r="AM83" s="18" t="s">
        <v>107</v>
      </c>
      <c r="AN83" s="18" t="s">
        <v>120</v>
      </c>
      <c r="AO83" s="18" t="s">
        <v>247</v>
      </c>
      <c r="AP83" s="18"/>
      <c r="AQ83" s="18"/>
      <c r="AR83" s="18">
        <v>0</v>
      </c>
      <c r="AS83" s="18">
        <v>0</v>
      </c>
      <c r="AT83" s="18">
        <v>0</v>
      </c>
      <c r="AU83" s="18">
        <v>3</v>
      </c>
      <c r="AV83" s="18">
        <v>2</v>
      </c>
      <c r="AW83" s="18">
        <v>5</v>
      </c>
      <c r="AX83" s="49">
        <f t="shared" si="11"/>
        <v>10</v>
      </c>
      <c r="AY83" s="49">
        <v>0</v>
      </c>
      <c r="AZ83" s="50">
        <v>4</v>
      </c>
      <c r="BA83" s="49">
        <v>5</v>
      </c>
      <c r="BB83" s="49">
        <v>10</v>
      </c>
      <c r="BC83" s="67">
        <v>32.5</v>
      </c>
      <c r="BD83" s="67">
        <v>0</v>
      </c>
      <c r="BE83" s="67">
        <v>10</v>
      </c>
      <c r="BF83" s="67">
        <f t="shared" si="12"/>
        <v>10</v>
      </c>
      <c r="BG83" s="67">
        <v>0</v>
      </c>
      <c r="BH83" s="67">
        <v>3</v>
      </c>
      <c r="BI83" s="67">
        <v>2</v>
      </c>
      <c r="BJ83" s="67">
        <v>0</v>
      </c>
      <c r="BK83" s="67">
        <v>0</v>
      </c>
      <c r="BL83" s="67">
        <v>7</v>
      </c>
      <c r="BM83" s="125">
        <f t="shared" si="13"/>
        <v>32</v>
      </c>
      <c r="BN83" s="85">
        <f t="shared" si="14"/>
        <v>29</v>
      </c>
    </row>
    <row r="84" spans="1:66" x14ac:dyDescent="0.25">
      <c r="A84" s="18" t="s">
        <v>6</v>
      </c>
      <c r="B84" s="18">
        <v>2024</v>
      </c>
      <c r="C84" s="18" t="s">
        <v>138</v>
      </c>
      <c r="D84" s="18" t="s">
        <v>134</v>
      </c>
      <c r="E84" s="18">
        <v>40</v>
      </c>
      <c r="F84" s="18">
        <v>30</v>
      </c>
      <c r="G84" s="18" t="s">
        <v>153</v>
      </c>
      <c r="H84" s="18"/>
      <c r="I84" s="18" t="s">
        <v>177</v>
      </c>
      <c r="J84" s="31">
        <v>28.5</v>
      </c>
      <c r="K84" s="31">
        <v>29</v>
      </c>
      <c r="L84" s="4">
        <v>0.5</v>
      </c>
      <c r="M84" s="5">
        <v>0.2</v>
      </c>
      <c r="N84" s="31">
        <v>0.1</v>
      </c>
      <c r="O84" s="18">
        <v>0.1</v>
      </c>
      <c r="P84" s="18">
        <v>5</v>
      </c>
      <c r="Q84" s="18">
        <v>20</v>
      </c>
      <c r="R84" s="18">
        <v>0.2</v>
      </c>
      <c r="S84" s="18">
        <v>0</v>
      </c>
      <c r="T84" s="65">
        <v>0</v>
      </c>
      <c r="U84" s="18">
        <v>5</v>
      </c>
      <c r="V84" s="18"/>
      <c r="W84" s="18">
        <v>5</v>
      </c>
      <c r="X84" s="85">
        <v>40</v>
      </c>
      <c r="Y84" s="18">
        <v>0</v>
      </c>
      <c r="Z84" s="18" t="s">
        <v>330</v>
      </c>
      <c r="AA84" s="18" t="s">
        <v>333</v>
      </c>
      <c r="AB84" s="18" t="s">
        <v>335</v>
      </c>
      <c r="AC84" s="18">
        <v>20</v>
      </c>
      <c r="AD84" s="18">
        <v>5</v>
      </c>
      <c r="AE84" s="18" t="s">
        <v>34</v>
      </c>
      <c r="AF84" s="18"/>
      <c r="AG84" s="18" t="s">
        <v>34</v>
      </c>
      <c r="AH84" s="18">
        <v>8.6999999999999993</v>
      </c>
      <c r="AI84" s="18" t="s">
        <v>32</v>
      </c>
      <c r="AJ84" s="18" t="s">
        <v>69</v>
      </c>
      <c r="AK84" s="18" t="s">
        <v>81</v>
      </c>
      <c r="AL84" s="18" t="s">
        <v>100</v>
      </c>
      <c r="AM84" s="18" t="s">
        <v>107</v>
      </c>
      <c r="AN84" s="18" t="s">
        <v>120</v>
      </c>
      <c r="AO84" s="18" t="s">
        <v>247</v>
      </c>
      <c r="AP84" s="18"/>
      <c r="AQ84" s="18"/>
      <c r="AR84" s="18">
        <v>0</v>
      </c>
      <c r="AS84" s="18">
        <v>0</v>
      </c>
      <c r="AT84" s="18">
        <v>0</v>
      </c>
      <c r="AU84" s="18">
        <v>3</v>
      </c>
      <c r="AV84" s="18">
        <v>2</v>
      </c>
      <c r="AW84" s="18">
        <v>5</v>
      </c>
      <c r="AX84" s="49">
        <f t="shared" si="11"/>
        <v>0</v>
      </c>
      <c r="AY84" s="49">
        <v>0</v>
      </c>
      <c r="AZ84" s="50">
        <v>3</v>
      </c>
      <c r="BA84" s="49">
        <v>5</v>
      </c>
      <c r="BB84" s="49">
        <v>10</v>
      </c>
      <c r="BC84" s="67">
        <v>7.5</v>
      </c>
      <c r="BD84" s="67">
        <v>0</v>
      </c>
      <c r="BE84" s="67">
        <v>5</v>
      </c>
      <c r="BF84" s="67">
        <f t="shared" si="12"/>
        <v>0</v>
      </c>
      <c r="BG84" s="67">
        <v>0</v>
      </c>
      <c r="BH84" s="67">
        <v>3</v>
      </c>
      <c r="BI84" s="67">
        <v>2</v>
      </c>
      <c r="BJ84" s="67">
        <v>0</v>
      </c>
      <c r="BK84" s="67">
        <v>0</v>
      </c>
      <c r="BL84" s="67">
        <v>7</v>
      </c>
      <c r="BM84" s="125">
        <f t="shared" si="13"/>
        <v>17</v>
      </c>
      <c r="BN84" s="85">
        <f t="shared" si="14"/>
        <v>18</v>
      </c>
    </row>
    <row r="85" spans="1:66" x14ac:dyDescent="0.25">
      <c r="A85" s="18" t="s">
        <v>6</v>
      </c>
      <c r="B85" s="18">
        <v>2024</v>
      </c>
      <c r="C85" s="18" t="s">
        <v>138</v>
      </c>
      <c r="D85" s="18" t="s">
        <v>134</v>
      </c>
      <c r="E85" s="18">
        <v>40</v>
      </c>
      <c r="F85" s="18">
        <v>30</v>
      </c>
      <c r="G85" s="18" t="s">
        <v>153</v>
      </c>
      <c r="H85" s="18"/>
      <c r="I85" s="18" t="s">
        <v>178</v>
      </c>
      <c r="J85" s="31">
        <v>29</v>
      </c>
      <c r="K85" s="31">
        <v>29.5</v>
      </c>
      <c r="L85" s="4">
        <v>0.5</v>
      </c>
      <c r="M85" s="5">
        <v>0.54</v>
      </c>
      <c r="N85" s="31">
        <v>0.27</v>
      </c>
      <c r="O85" s="18">
        <v>0.27</v>
      </c>
      <c r="P85" s="18">
        <v>13.5</v>
      </c>
      <c r="Q85" s="18">
        <v>20</v>
      </c>
      <c r="R85" s="18">
        <v>0.23</v>
      </c>
      <c r="S85" s="18">
        <v>0</v>
      </c>
      <c r="T85" s="65">
        <v>0</v>
      </c>
      <c r="U85" s="18">
        <v>4</v>
      </c>
      <c r="V85" s="18"/>
      <c r="W85" s="18">
        <v>4</v>
      </c>
      <c r="X85" s="85">
        <v>57.5</v>
      </c>
      <c r="Y85" s="18">
        <v>0</v>
      </c>
      <c r="Z85" s="18" t="s">
        <v>330</v>
      </c>
      <c r="AA85" s="18" t="s">
        <v>333</v>
      </c>
      <c r="AB85" s="18" t="s">
        <v>335</v>
      </c>
      <c r="AC85" s="18">
        <v>20</v>
      </c>
      <c r="AD85" s="18">
        <v>13.5</v>
      </c>
      <c r="AE85" s="18" t="s">
        <v>34</v>
      </c>
      <c r="AF85" s="18"/>
      <c r="AG85" s="18" t="s">
        <v>34</v>
      </c>
      <c r="AH85" s="18">
        <v>8.6999999999999993</v>
      </c>
      <c r="AI85" s="18" t="s">
        <v>32</v>
      </c>
      <c r="AJ85" s="18" t="s">
        <v>69</v>
      </c>
      <c r="AK85" s="18" t="s">
        <v>81</v>
      </c>
      <c r="AL85" s="18" t="s">
        <v>100</v>
      </c>
      <c r="AM85" s="18" t="s">
        <v>107</v>
      </c>
      <c r="AN85" s="18" t="s">
        <v>120</v>
      </c>
      <c r="AO85" s="18" t="s">
        <v>247</v>
      </c>
      <c r="AP85" s="18"/>
      <c r="AQ85" s="18"/>
      <c r="AR85" s="18">
        <v>0</v>
      </c>
      <c r="AS85" s="18">
        <v>0</v>
      </c>
      <c r="AT85" s="18">
        <v>0</v>
      </c>
      <c r="AU85" s="18">
        <v>3</v>
      </c>
      <c r="AV85" s="18">
        <v>2</v>
      </c>
      <c r="AW85" s="18">
        <v>5</v>
      </c>
      <c r="AX85" s="49">
        <f t="shared" si="11"/>
        <v>0</v>
      </c>
      <c r="AY85" s="49">
        <v>0</v>
      </c>
      <c r="AZ85" s="50">
        <v>4</v>
      </c>
      <c r="BA85" s="49">
        <v>5</v>
      </c>
      <c r="BB85" s="49">
        <v>10</v>
      </c>
      <c r="BC85" s="67">
        <v>7.5</v>
      </c>
      <c r="BD85" s="67">
        <v>0</v>
      </c>
      <c r="BE85" s="67">
        <v>5</v>
      </c>
      <c r="BF85" s="67">
        <f t="shared" si="12"/>
        <v>0</v>
      </c>
      <c r="BG85" s="67">
        <v>0</v>
      </c>
      <c r="BH85" s="67">
        <v>3</v>
      </c>
      <c r="BI85" s="67">
        <v>2</v>
      </c>
      <c r="BJ85" s="67">
        <v>0</v>
      </c>
      <c r="BK85" s="67">
        <v>0</v>
      </c>
      <c r="BL85" s="67">
        <v>7</v>
      </c>
      <c r="BM85" s="125">
        <f t="shared" si="13"/>
        <v>17</v>
      </c>
      <c r="BN85" s="85">
        <f t="shared" si="14"/>
        <v>19</v>
      </c>
    </row>
    <row r="86" spans="1:66" x14ac:dyDescent="0.25">
      <c r="A86" s="18" t="s">
        <v>6</v>
      </c>
      <c r="B86" s="18">
        <v>2024</v>
      </c>
      <c r="C86" s="18" t="s">
        <v>138</v>
      </c>
      <c r="D86" s="18" t="s">
        <v>134</v>
      </c>
      <c r="E86" s="18">
        <v>40</v>
      </c>
      <c r="F86" s="18">
        <v>30</v>
      </c>
      <c r="G86" s="18" t="s">
        <v>153</v>
      </c>
      <c r="H86" s="18"/>
      <c r="I86" s="18" t="s">
        <v>178</v>
      </c>
      <c r="J86" s="31">
        <v>29.5</v>
      </c>
      <c r="K86" s="31">
        <v>30</v>
      </c>
      <c r="L86" s="4">
        <v>0.5</v>
      </c>
      <c r="M86" s="32">
        <v>0.46</v>
      </c>
      <c r="N86" s="31">
        <v>0.23</v>
      </c>
      <c r="O86" s="18">
        <v>0.23</v>
      </c>
      <c r="P86" s="18">
        <v>11.5</v>
      </c>
      <c r="Q86" s="18">
        <v>20</v>
      </c>
      <c r="R86" s="18">
        <v>0.22</v>
      </c>
      <c r="S86" s="18">
        <v>0</v>
      </c>
      <c r="T86" s="65">
        <v>0</v>
      </c>
      <c r="U86" s="18">
        <v>4</v>
      </c>
      <c r="V86" s="18"/>
      <c r="W86" s="18">
        <v>4</v>
      </c>
      <c r="X86" s="85">
        <v>55</v>
      </c>
      <c r="Y86" s="18">
        <v>0</v>
      </c>
      <c r="Z86" s="18" t="s">
        <v>330</v>
      </c>
      <c r="AA86" s="18" t="s">
        <v>333</v>
      </c>
      <c r="AB86" s="18" t="s">
        <v>336</v>
      </c>
      <c r="AC86" s="18">
        <v>20</v>
      </c>
      <c r="AD86" s="18">
        <v>11.5</v>
      </c>
      <c r="AE86" s="18" t="s">
        <v>32</v>
      </c>
      <c r="AF86" s="18"/>
      <c r="AG86" s="18" t="s">
        <v>32</v>
      </c>
      <c r="AH86" s="18">
        <v>8.6999999999999993</v>
      </c>
      <c r="AI86" s="18" t="s">
        <v>32</v>
      </c>
      <c r="AJ86" s="18" t="s">
        <v>69</v>
      </c>
      <c r="AK86" s="18" t="s">
        <v>81</v>
      </c>
      <c r="AL86" s="18" t="s">
        <v>100</v>
      </c>
      <c r="AM86" s="18" t="s">
        <v>107</v>
      </c>
      <c r="AN86" s="18" t="s">
        <v>120</v>
      </c>
      <c r="AO86" s="18" t="s">
        <v>247</v>
      </c>
      <c r="AP86" s="18"/>
      <c r="AQ86" s="18"/>
      <c r="AR86" s="18">
        <v>0</v>
      </c>
      <c r="AS86" s="18">
        <v>0</v>
      </c>
      <c r="AT86" s="18">
        <v>0</v>
      </c>
      <c r="AU86" s="18">
        <v>3</v>
      </c>
      <c r="AV86" s="18">
        <v>2</v>
      </c>
      <c r="AW86" s="18">
        <v>5</v>
      </c>
      <c r="AX86" s="49">
        <f t="shared" si="11"/>
        <v>0</v>
      </c>
      <c r="AY86" s="49">
        <v>1</v>
      </c>
      <c r="AZ86" s="50">
        <v>4</v>
      </c>
      <c r="BA86" s="49">
        <v>5</v>
      </c>
      <c r="BB86" s="49">
        <v>10</v>
      </c>
      <c r="BC86" s="67">
        <v>7.5</v>
      </c>
      <c r="BD86" s="67">
        <v>1</v>
      </c>
      <c r="BE86" s="67">
        <v>5</v>
      </c>
      <c r="BF86" s="67">
        <f t="shared" si="12"/>
        <v>0</v>
      </c>
      <c r="BG86" s="67">
        <v>0</v>
      </c>
      <c r="BH86" s="67">
        <v>3</v>
      </c>
      <c r="BI86" s="67">
        <v>2</v>
      </c>
      <c r="BJ86" s="67">
        <v>0</v>
      </c>
      <c r="BK86" s="67">
        <v>0</v>
      </c>
      <c r="BL86" s="67">
        <v>7</v>
      </c>
      <c r="BM86" s="125">
        <f t="shared" si="13"/>
        <v>18</v>
      </c>
      <c r="BN86" s="85">
        <f t="shared" si="14"/>
        <v>20</v>
      </c>
    </row>
    <row r="91" spans="1:66" ht="15.75" thickBot="1" x14ac:dyDescent="0.3"/>
    <row r="92" spans="1:66" x14ac:dyDescent="0.25">
      <c r="AU92" s="96" t="s">
        <v>287</v>
      </c>
      <c r="AV92" s="96" t="s">
        <v>288</v>
      </c>
      <c r="AW92" s="96" t="s">
        <v>582</v>
      </c>
      <c r="AX92" s="96" t="s">
        <v>287</v>
      </c>
      <c r="AY92" s="96" t="s">
        <v>288</v>
      </c>
      <c r="AZ92" s="96" t="s">
        <v>582</v>
      </c>
      <c r="BA92" s="39" t="s">
        <v>636</v>
      </c>
    </row>
    <row r="93" spans="1:66" x14ac:dyDescent="0.25">
      <c r="AO93" s="80" t="s">
        <v>14</v>
      </c>
      <c r="AP93" s="80" t="s">
        <v>15</v>
      </c>
      <c r="AQ93" s="81" t="s">
        <v>16</v>
      </c>
      <c r="AR93" s="80" t="s">
        <v>17</v>
      </c>
      <c r="AT93" t="s">
        <v>34</v>
      </c>
      <c r="AU93">
        <v>0</v>
      </c>
      <c r="AV93">
        <v>11</v>
      </c>
      <c r="AW93" s="55">
        <v>0.13253012048192772</v>
      </c>
      <c r="AX93">
        <v>1</v>
      </c>
      <c r="AY93">
        <v>72</v>
      </c>
      <c r="AZ93" s="55">
        <v>0.86746987951807231</v>
      </c>
      <c r="BA93" s="42">
        <f>+AV93/$AV$101</f>
        <v>0.13253012048192772</v>
      </c>
    </row>
    <row r="94" spans="1:66" x14ac:dyDescent="0.25">
      <c r="AO94" s="61" t="s">
        <v>19</v>
      </c>
      <c r="AP94" s="62" t="s">
        <v>20</v>
      </c>
      <c r="AQ94" s="61">
        <v>15</v>
      </c>
      <c r="AR94" s="75">
        <v>15</v>
      </c>
      <c r="AT94" t="s">
        <v>32</v>
      </c>
      <c r="AU94">
        <v>1</v>
      </c>
      <c r="AV94">
        <v>72</v>
      </c>
      <c r="AW94" s="55">
        <v>1</v>
      </c>
      <c r="AX94">
        <v>0</v>
      </c>
      <c r="AY94">
        <v>11</v>
      </c>
      <c r="AZ94" s="55">
        <v>1</v>
      </c>
      <c r="BA94" s="42">
        <f t="shared" ref="BA94:BA99" si="16">+AV94/$AV$101</f>
        <v>0.86746987951807231</v>
      </c>
    </row>
    <row r="95" spans="1:66" x14ac:dyDescent="0.25">
      <c r="AO95" s="61" t="s">
        <v>22</v>
      </c>
      <c r="AP95" s="62" t="s">
        <v>23</v>
      </c>
      <c r="AQ95" s="61">
        <v>12</v>
      </c>
      <c r="AR95" s="75">
        <v>14</v>
      </c>
      <c r="AT95" t="s">
        <v>29</v>
      </c>
      <c r="AU95">
        <v>2</v>
      </c>
      <c r="AV95">
        <v>0</v>
      </c>
      <c r="AW95" s="55">
        <v>1</v>
      </c>
      <c r="AX95">
        <v>2</v>
      </c>
      <c r="AY95">
        <v>0</v>
      </c>
      <c r="AZ95" s="55">
        <v>1</v>
      </c>
      <c r="BA95" s="42">
        <f t="shared" si="16"/>
        <v>0</v>
      </c>
    </row>
    <row r="96" spans="1:66" x14ac:dyDescent="0.25">
      <c r="AO96" s="61" t="s">
        <v>24</v>
      </c>
      <c r="AP96" s="62" t="s">
        <v>25</v>
      </c>
      <c r="AQ96" s="61">
        <v>7</v>
      </c>
      <c r="AR96" s="75">
        <v>7</v>
      </c>
      <c r="AT96" t="s">
        <v>27</v>
      </c>
      <c r="AU96">
        <v>4</v>
      </c>
      <c r="AV96">
        <v>0</v>
      </c>
      <c r="AW96" s="55">
        <v>1</v>
      </c>
      <c r="AX96">
        <v>4</v>
      </c>
      <c r="AY96">
        <v>0</v>
      </c>
      <c r="AZ96" s="55">
        <v>1</v>
      </c>
      <c r="BA96" s="42">
        <f t="shared" si="16"/>
        <v>0</v>
      </c>
    </row>
    <row r="97" spans="41:53" x14ac:dyDescent="0.25">
      <c r="AO97" s="61" t="s">
        <v>27</v>
      </c>
      <c r="AP97" s="62" t="s">
        <v>28</v>
      </c>
      <c r="AQ97" s="61">
        <v>4</v>
      </c>
      <c r="AR97" s="75">
        <v>4</v>
      </c>
      <c r="AT97" t="s">
        <v>24</v>
      </c>
      <c r="AU97">
        <v>7</v>
      </c>
      <c r="AV97">
        <v>0</v>
      </c>
      <c r="AW97" s="55">
        <v>1</v>
      </c>
      <c r="AX97">
        <v>7</v>
      </c>
      <c r="AY97">
        <v>0</v>
      </c>
      <c r="AZ97" s="55">
        <v>1</v>
      </c>
      <c r="BA97" s="42">
        <f t="shared" si="16"/>
        <v>0</v>
      </c>
    </row>
    <row r="98" spans="41:53" x14ac:dyDescent="0.25">
      <c r="AO98" s="61" t="s">
        <v>29</v>
      </c>
      <c r="AP98" s="62" t="s">
        <v>30</v>
      </c>
      <c r="AQ98" s="61">
        <v>2</v>
      </c>
      <c r="AR98" s="75">
        <v>2</v>
      </c>
      <c r="AT98" t="s">
        <v>22</v>
      </c>
      <c r="AU98">
        <v>14</v>
      </c>
      <c r="AV98">
        <v>0</v>
      </c>
      <c r="AW98" s="55">
        <v>1</v>
      </c>
      <c r="AX98">
        <v>14</v>
      </c>
      <c r="AY98">
        <v>0</v>
      </c>
      <c r="AZ98" s="55">
        <v>1</v>
      </c>
      <c r="BA98" s="42">
        <f t="shared" si="16"/>
        <v>0</v>
      </c>
    </row>
    <row r="99" spans="41:53" x14ac:dyDescent="0.25">
      <c r="AO99" s="61" t="s">
        <v>32</v>
      </c>
      <c r="AP99" s="62" t="s">
        <v>33</v>
      </c>
      <c r="AQ99" s="61">
        <v>1</v>
      </c>
      <c r="AR99" s="75">
        <v>1</v>
      </c>
      <c r="AT99" t="s">
        <v>19</v>
      </c>
      <c r="AU99">
        <v>15</v>
      </c>
      <c r="AV99">
        <v>0</v>
      </c>
      <c r="AW99" s="55">
        <v>1</v>
      </c>
      <c r="AX99">
        <v>15</v>
      </c>
      <c r="AY99">
        <v>0</v>
      </c>
      <c r="AZ99" s="55">
        <v>1</v>
      </c>
      <c r="BA99" s="42">
        <f t="shared" si="16"/>
        <v>0</v>
      </c>
    </row>
    <row r="100" spans="41:53" ht="15.75" thickBot="1" x14ac:dyDescent="0.3">
      <c r="AO100" s="61" t="s">
        <v>34</v>
      </c>
      <c r="AP100" s="62" t="s">
        <v>35</v>
      </c>
      <c r="AQ100" s="61">
        <v>0</v>
      </c>
      <c r="AR100" s="75">
        <v>0</v>
      </c>
      <c r="AU100" s="57" t="s">
        <v>581</v>
      </c>
      <c r="AV100" s="57">
        <v>0</v>
      </c>
      <c r="AW100" s="95">
        <v>1</v>
      </c>
      <c r="AX100" s="57" t="s">
        <v>581</v>
      </c>
      <c r="AY100" s="57">
        <v>0</v>
      </c>
      <c r="AZ100" s="95">
        <v>1</v>
      </c>
    </row>
    <row r="101" spans="41:53" x14ac:dyDescent="0.25">
      <c r="AV101">
        <f>+SUM(AV93:AV99)</f>
        <v>83</v>
      </c>
    </row>
    <row r="139" spans="115:124" ht="15.75" thickBot="1" x14ac:dyDescent="0.3"/>
    <row r="140" spans="115:124" x14ac:dyDescent="0.25">
      <c r="DK140" t="s">
        <v>587</v>
      </c>
      <c r="DL140">
        <v>20</v>
      </c>
      <c r="DN140" s="96" t="s">
        <v>287</v>
      </c>
      <c r="DO140" s="96" t="s">
        <v>288</v>
      </c>
      <c r="DP140" s="96" t="s">
        <v>582</v>
      </c>
      <c r="DQ140" s="96" t="s">
        <v>287</v>
      </c>
      <c r="DR140" s="96" t="s">
        <v>288</v>
      </c>
      <c r="DS140" s="96" t="s">
        <v>582</v>
      </c>
      <c r="DT140" s="39" t="s">
        <v>583</v>
      </c>
    </row>
    <row r="141" spans="115:124" x14ac:dyDescent="0.25">
      <c r="DK141" t="s">
        <v>588</v>
      </c>
      <c r="DL141">
        <v>40</v>
      </c>
      <c r="DN141">
        <v>20</v>
      </c>
      <c r="DO141">
        <v>10</v>
      </c>
      <c r="DP141" s="55">
        <v>0.12048192771084337</v>
      </c>
      <c r="DQ141">
        <v>40</v>
      </c>
      <c r="DR141">
        <v>73</v>
      </c>
      <c r="DS141" s="55">
        <v>0.87951807228915657</v>
      </c>
      <c r="DT141" s="42">
        <f>+DO141/$DO$146</f>
        <v>0.12048192771084337</v>
      </c>
    </row>
    <row r="142" spans="115:124" x14ac:dyDescent="0.25">
      <c r="DK142" t="s">
        <v>589</v>
      </c>
      <c r="DL142">
        <v>60</v>
      </c>
      <c r="DN142">
        <v>40</v>
      </c>
      <c r="DO142">
        <v>73</v>
      </c>
      <c r="DP142" s="55">
        <v>1</v>
      </c>
      <c r="DQ142">
        <v>20</v>
      </c>
      <c r="DR142">
        <v>10</v>
      </c>
      <c r="DS142" s="55">
        <v>1</v>
      </c>
      <c r="DT142" s="42">
        <f t="shared" ref="DT142:DT145" si="17">+DO142/$DO$146</f>
        <v>0.87951807228915657</v>
      </c>
    </row>
    <row r="143" spans="115:124" x14ac:dyDescent="0.25">
      <c r="DK143" t="s">
        <v>590</v>
      </c>
      <c r="DL143">
        <v>80</v>
      </c>
      <c r="DN143">
        <v>60</v>
      </c>
      <c r="DO143">
        <v>0</v>
      </c>
      <c r="DP143" s="55">
        <v>1</v>
      </c>
      <c r="DQ143">
        <v>60</v>
      </c>
      <c r="DR143">
        <v>0</v>
      </c>
      <c r="DS143" s="55">
        <v>1</v>
      </c>
      <c r="DT143" s="42">
        <f t="shared" si="17"/>
        <v>0</v>
      </c>
    </row>
    <row r="144" spans="115:124" x14ac:dyDescent="0.25">
      <c r="DK144" t="s">
        <v>591</v>
      </c>
      <c r="DN144">
        <v>80</v>
      </c>
      <c r="DO144">
        <v>0</v>
      </c>
      <c r="DP144" s="55">
        <v>1</v>
      </c>
      <c r="DQ144">
        <v>80</v>
      </c>
      <c r="DR144">
        <v>0</v>
      </c>
      <c r="DS144" s="55">
        <v>1</v>
      </c>
      <c r="DT144" s="42">
        <f t="shared" si="17"/>
        <v>0</v>
      </c>
    </row>
    <row r="145" spans="118:124" ht="15.75" thickBot="1" x14ac:dyDescent="0.3">
      <c r="DN145" s="57" t="s">
        <v>581</v>
      </c>
      <c r="DO145" s="57">
        <v>0</v>
      </c>
      <c r="DP145" s="95">
        <v>1</v>
      </c>
      <c r="DQ145" s="57" t="s">
        <v>581</v>
      </c>
      <c r="DR145" s="57">
        <v>0</v>
      </c>
      <c r="DS145" s="95">
        <v>1</v>
      </c>
      <c r="DT145" s="42">
        <f t="shared" si="17"/>
        <v>0</v>
      </c>
    </row>
    <row r="146" spans="118:124" x14ac:dyDescent="0.25">
      <c r="DO146">
        <f>+SUM(DO141:DO145)</f>
        <v>83</v>
      </c>
    </row>
    <row r="150" spans="118:124" ht="15.75" thickBot="1" x14ac:dyDescent="0.3"/>
    <row r="151" spans="118:124" x14ac:dyDescent="0.25">
      <c r="DN151" s="96" t="s">
        <v>287</v>
      </c>
      <c r="DO151" s="96" t="s">
        <v>288</v>
      </c>
      <c r="DP151" s="96" t="s">
        <v>582</v>
      </c>
      <c r="DQ151" s="96" t="s">
        <v>287</v>
      </c>
      <c r="DR151" s="96" t="s">
        <v>288</v>
      </c>
      <c r="DS151" s="96" t="s">
        <v>582</v>
      </c>
      <c r="DT151" s="39" t="s">
        <v>583</v>
      </c>
    </row>
    <row r="152" spans="118:124" x14ac:dyDescent="0.25">
      <c r="DN152">
        <v>20</v>
      </c>
      <c r="DO152">
        <v>15</v>
      </c>
      <c r="DP152" s="55">
        <v>0.18072289156626506</v>
      </c>
      <c r="DQ152">
        <v>40</v>
      </c>
      <c r="DR152">
        <v>68</v>
      </c>
      <c r="DS152" s="55">
        <v>0.81927710843373491</v>
      </c>
      <c r="DT152" s="42">
        <f>+DO152/$DO$157</f>
        <v>0.18072289156626506</v>
      </c>
    </row>
    <row r="153" spans="118:124" x14ac:dyDescent="0.25">
      <c r="DN153">
        <v>40</v>
      </c>
      <c r="DO153">
        <v>68</v>
      </c>
      <c r="DP153" s="55">
        <v>1</v>
      </c>
      <c r="DQ153">
        <v>20</v>
      </c>
      <c r="DR153">
        <v>15</v>
      </c>
      <c r="DS153" s="55">
        <v>1</v>
      </c>
      <c r="DT153" s="42">
        <f t="shared" ref="DT153:DT156" si="18">+DO153/$DO$157</f>
        <v>0.81927710843373491</v>
      </c>
    </row>
    <row r="154" spans="118:124" x14ac:dyDescent="0.25">
      <c r="DN154">
        <v>60</v>
      </c>
      <c r="DO154">
        <v>0</v>
      </c>
      <c r="DP154" s="55">
        <v>1</v>
      </c>
      <c r="DQ154">
        <v>60</v>
      </c>
      <c r="DR154">
        <v>0</v>
      </c>
      <c r="DS154" s="55">
        <v>1</v>
      </c>
      <c r="DT154" s="42">
        <f t="shared" si="18"/>
        <v>0</v>
      </c>
    </row>
    <row r="155" spans="118:124" x14ac:dyDescent="0.25">
      <c r="DN155">
        <v>80</v>
      </c>
      <c r="DO155">
        <v>0</v>
      </c>
      <c r="DP155" s="55">
        <v>1</v>
      </c>
      <c r="DQ155">
        <v>80</v>
      </c>
      <c r="DR155">
        <v>0</v>
      </c>
      <c r="DS155" s="55">
        <v>1</v>
      </c>
      <c r="DT155" s="42">
        <f t="shared" si="18"/>
        <v>0</v>
      </c>
    </row>
    <row r="156" spans="118:124" ht="15.75" thickBot="1" x14ac:dyDescent="0.3">
      <c r="DN156" s="57" t="s">
        <v>581</v>
      </c>
      <c r="DO156" s="57">
        <v>0</v>
      </c>
      <c r="DP156" s="95">
        <v>1</v>
      </c>
      <c r="DQ156" s="57" t="s">
        <v>581</v>
      </c>
      <c r="DR156" s="57">
        <v>0</v>
      </c>
      <c r="DS156" s="95">
        <v>1</v>
      </c>
      <c r="DT156" s="42">
        <f t="shared" si="18"/>
        <v>0</v>
      </c>
    </row>
    <row r="157" spans="118:124" x14ac:dyDescent="0.25">
      <c r="DO157">
        <f>+SUM(DO152:DO156)</f>
        <v>83</v>
      </c>
    </row>
  </sheetData>
  <autoFilter ref="A2:BN86" xr:uid="{87D6C019-6E7C-4A3F-AFE6-F6756F59EE4F}"/>
  <sortState xmlns:xlrd2="http://schemas.microsoft.com/office/spreadsheetml/2017/richdata2" ref="AX93:AY100">
    <sortCondition descending="1" ref="AY93"/>
  </sortState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5423-8862-441C-8121-8A3B79B70A27}">
  <sheetPr>
    <tabColor rgb="FFFF99CC"/>
  </sheetPr>
  <dimension ref="A2:EY139"/>
  <sheetViews>
    <sheetView topLeftCell="BD84" zoomScale="55" zoomScaleNormal="55" workbookViewId="0">
      <selection activeCell="AZ141" sqref="AZ141"/>
    </sheetView>
  </sheetViews>
  <sheetFormatPr defaultColWidth="8.85546875" defaultRowHeight="15" x14ac:dyDescent="0.25"/>
  <sheetData>
    <row r="2" spans="1:155" ht="90" x14ac:dyDescent="0.25">
      <c r="A2" s="2" t="s">
        <v>0</v>
      </c>
      <c r="B2" s="46" t="s">
        <v>1</v>
      </c>
      <c r="C2" s="46" t="s">
        <v>137</v>
      </c>
      <c r="D2" s="46" t="s">
        <v>2</v>
      </c>
      <c r="E2" s="46" t="s">
        <v>131</v>
      </c>
      <c r="F2" s="134" t="s">
        <v>635</v>
      </c>
      <c r="G2" s="30" t="s">
        <v>633</v>
      </c>
      <c r="H2" s="134" t="s">
        <v>632</v>
      </c>
      <c r="I2" s="33" t="s">
        <v>129</v>
      </c>
      <c r="J2" s="48" t="s">
        <v>3</v>
      </c>
      <c r="K2" s="48" t="s">
        <v>4</v>
      </c>
      <c r="L2" s="46" t="s">
        <v>5</v>
      </c>
      <c r="M2" s="46" t="s">
        <v>133</v>
      </c>
      <c r="N2" s="46" t="s">
        <v>345</v>
      </c>
      <c r="O2" s="45" t="s">
        <v>339</v>
      </c>
      <c r="P2" s="45" t="s">
        <v>285</v>
      </c>
      <c r="Q2" s="45" t="s">
        <v>286</v>
      </c>
      <c r="R2" s="83" t="s">
        <v>576</v>
      </c>
      <c r="S2" s="83" t="s">
        <v>575</v>
      </c>
      <c r="T2" s="83" t="s">
        <v>11</v>
      </c>
      <c r="U2" s="83" t="s">
        <v>577</v>
      </c>
      <c r="V2" s="83" t="s">
        <v>578</v>
      </c>
      <c r="W2" s="83" t="s">
        <v>579</v>
      </c>
      <c r="X2" s="83" t="s">
        <v>285</v>
      </c>
      <c r="Y2" s="45" t="s">
        <v>340</v>
      </c>
      <c r="Z2" s="45" t="s">
        <v>7</v>
      </c>
      <c r="AA2" s="45" t="s">
        <v>8</v>
      </c>
      <c r="AB2" s="45" t="s">
        <v>9</v>
      </c>
      <c r="AC2" s="46" t="s">
        <v>188</v>
      </c>
      <c r="AD2" s="46" t="s">
        <v>347</v>
      </c>
      <c r="AE2" s="46" t="s">
        <v>350</v>
      </c>
      <c r="AF2" s="30" t="s">
        <v>305</v>
      </c>
      <c r="AG2" s="46" t="s">
        <v>344</v>
      </c>
      <c r="AH2" s="46" t="s">
        <v>189</v>
      </c>
      <c r="AI2" s="46" t="s">
        <v>190</v>
      </c>
      <c r="AJ2" s="46" t="s">
        <v>191</v>
      </c>
      <c r="AK2" s="46" t="s">
        <v>192</v>
      </c>
      <c r="AL2" s="46" t="s">
        <v>113</v>
      </c>
      <c r="AM2" s="46" t="s">
        <v>193</v>
      </c>
      <c r="AN2" s="47" t="s">
        <v>226</v>
      </c>
      <c r="AO2" s="46"/>
      <c r="AP2" s="46" t="s">
        <v>189</v>
      </c>
      <c r="AQ2" s="46" t="s">
        <v>190</v>
      </c>
      <c r="AR2" s="46" t="s">
        <v>191</v>
      </c>
      <c r="AS2" s="46" t="s">
        <v>192</v>
      </c>
      <c r="AT2" s="46" t="s">
        <v>572</v>
      </c>
      <c r="AU2" s="46" t="s">
        <v>649</v>
      </c>
      <c r="AV2" s="51" t="s">
        <v>300</v>
      </c>
      <c r="AW2" s="51" t="s">
        <v>301</v>
      </c>
      <c r="AX2" s="51" t="s">
        <v>302</v>
      </c>
      <c r="AY2" s="51" t="s">
        <v>303</v>
      </c>
      <c r="AZ2" s="52" t="s">
        <v>304</v>
      </c>
      <c r="BA2" s="46" t="s">
        <v>346</v>
      </c>
      <c r="BB2" s="74" t="s">
        <v>565</v>
      </c>
      <c r="BC2" s="74" t="s">
        <v>566</v>
      </c>
      <c r="BD2" s="74" t="s">
        <v>564</v>
      </c>
      <c r="BE2" s="74" t="s">
        <v>567</v>
      </c>
      <c r="BF2" s="74" t="s">
        <v>568</v>
      </c>
      <c r="BG2" s="74" t="s">
        <v>569</v>
      </c>
      <c r="BH2" s="74" t="s">
        <v>570</v>
      </c>
      <c r="BI2" s="74" t="s">
        <v>571</v>
      </c>
      <c r="BJ2" s="74" t="s">
        <v>304</v>
      </c>
      <c r="BK2" s="46" t="s">
        <v>194</v>
      </c>
      <c r="BL2" s="46" t="s">
        <v>12</v>
      </c>
      <c r="BM2" s="46"/>
      <c r="BN2" s="46" t="s">
        <v>327</v>
      </c>
    </row>
    <row r="3" spans="1:155" x14ac:dyDescent="0.25">
      <c r="A3" s="18" t="s">
        <v>6</v>
      </c>
      <c r="B3" s="18">
        <v>2024</v>
      </c>
      <c r="C3" s="18" t="s">
        <v>138</v>
      </c>
      <c r="D3" s="18" t="s">
        <v>10</v>
      </c>
      <c r="E3" s="18">
        <v>50</v>
      </c>
      <c r="F3" s="18">
        <v>50</v>
      </c>
      <c r="G3" s="18" t="s">
        <v>154</v>
      </c>
      <c r="H3" s="18" t="s">
        <v>154</v>
      </c>
      <c r="I3" s="18" t="s">
        <v>158</v>
      </c>
      <c r="J3" s="31">
        <v>4.5</v>
      </c>
      <c r="K3" s="31">
        <v>5</v>
      </c>
      <c r="L3" s="4">
        <v>0.5</v>
      </c>
      <c r="M3" s="5">
        <v>0.38</v>
      </c>
      <c r="N3" s="31">
        <v>0.19</v>
      </c>
      <c r="O3" s="31">
        <v>0.19</v>
      </c>
      <c r="P3" s="31">
        <v>190</v>
      </c>
      <c r="Q3" s="31">
        <v>1</v>
      </c>
      <c r="R3" s="31">
        <v>0.36</v>
      </c>
      <c r="S3" s="31">
        <v>0.3</v>
      </c>
      <c r="T3" s="86">
        <v>60</v>
      </c>
      <c r="U3" s="31">
        <v>2</v>
      </c>
      <c r="V3" s="31"/>
      <c r="W3" s="31">
        <v>2</v>
      </c>
      <c r="X3" s="31">
        <v>180</v>
      </c>
      <c r="Y3" s="18">
        <v>64</v>
      </c>
      <c r="Z3" s="18" t="s">
        <v>88</v>
      </c>
      <c r="AA3" s="18" t="s">
        <v>116</v>
      </c>
      <c r="AB3" s="18" t="s">
        <v>336</v>
      </c>
      <c r="AC3" s="18">
        <v>1</v>
      </c>
      <c r="AD3" s="18">
        <v>190</v>
      </c>
      <c r="AE3" s="18" t="s">
        <v>32</v>
      </c>
      <c r="AF3" s="18" t="s">
        <v>196</v>
      </c>
      <c r="AG3" s="18" t="s">
        <v>196</v>
      </c>
      <c r="AH3" s="18" t="s">
        <v>64</v>
      </c>
      <c r="AI3" s="18" t="s">
        <v>79</v>
      </c>
      <c r="AJ3" s="18" t="s">
        <v>100</v>
      </c>
      <c r="AK3" s="18" t="s">
        <v>107</v>
      </c>
      <c r="AL3" s="18" t="s">
        <v>118</v>
      </c>
      <c r="AM3" s="18" t="s">
        <v>198</v>
      </c>
      <c r="AN3" s="18" t="s">
        <v>202</v>
      </c>
      <c r="AO3" s="18"/>
      <c r="AP3" s="18">
        <v>2</v>
      </c>
      <c r="AQ3" s="18">
        <v>1</v>
      </c>
      <c r="AR3" s="18">
        <v>0</v>
      </c>
      <c r="AS3" s="18">
        <v>3</v>
      </c>
      <c r="AT3" s="18">
        <v>2</v>
      </c>
      <c r="AU3" s="18">
        <v>8</v>
      </c>
      <c r="AV3" s="49">
        <f>ROUND(-0.0002*POWER(T3,2)+0.2197*T3,0)</f>
        <v>12</v>
      </c>
      <c r="AW3" s="49">
        <v>1</v>
      </c>
      <c r="AX3" s="50">
        <v>9</v>
      </c>
      <c r="AY3" s="49">
        <v>8</v>
      </c>
      <c r="AZ3" s="49">
        <v>15</v>
      </c>
      <c r="BA3" s="67">
        <v>42</v>
      </c>
      <c r="BB3" s="67">
        <v>1</v>
      </c>
      <c r="BC3" s="67">
        <v>12</v>
      </c>
      <c r="BD3" s="67">
        <f>ROUND(-0.0002*POWER(T3,2)+0.2197*T3,0)</f>
        <v>12</v>
      </c>
      <c r="BE3" s="67">
        <v>0</v>
      </c>
      <c r="BF3" s="67">
        <v>3</v>
      </c>
      <c r="BG3" s="67">
        <v>2</v>
      </c>
      <c r="BH3" s="67">
        <v>1</v>
      </c>
      <c r="BI3" s="67">
        <v>3</v>
      </c>
      <c r="BJ3" s="67">
        <v>10</v>
      </c>
      <c r="BK3" s="67">
        <v>44</v>
      </c>
      <c r="BL3" s="18">
        <v>45</v>
      </c>
      <c r="BM3" s="18"/>
      <c r="BN3" s="18"/>
      <c r="CH3" s="80" t="s">
        <v>58</v>
      </c>
      <c r="CI3" s="80"/>
      <c r="CJ3" s="80" t="s">
        <v>17</v>
      </c>
      <c r="CV3" s="80" t="s">
        <v>584</v>
      </c>
      <c r="CW3" s="80" t="s">
        <v>261</v>
      </c>
      <c r="CX3" s="80" t="s">
        <v>17</v>
      </c>
      <c r="DK3" s="80" t="s">
        <v>11</v>
      </c>
      <c r="DL3" s="80" t="s">
        <v>16</v>
      </c>
      <c r="DM3" s="81" t="s">
        <v>17</v>
      </c>
      <c r="DT3" s="80" t="s">
        <v>290</v>
      </c>
      <c r="DU3" s="80" t="s">
        <v>261</v>
      </c>
      <c r="DV3" s="80" t="s">
        <v>17</v>
      </c>
      <c r="EF3" s="80" t="s">
        <v>572</v>
      </c>
      <c r="EG3" s="80" t="s">
        <v>261</v>
      </c>
      <c r="EH3" s="81" t="s">
        <v>16</v>
      </c>
      <c r="EI3" s="80" t="s">
        <v>17</v>
      </c>
      <c r="ET3" s="80" t="s">
        <v>586</v>
      </c>
      <c r="EU3" s="80" t="s">
        <v>261</v>
      </c>
      <c r="EV3" s="81" t="s">
        <v>16</v>
      </c>
      <c r="EW3" s="80" t="s">
        <v>17</v>
      </c>
    </row>
    <row r="4" spans="1:155" ht="25.5" x14ac:dyDescent="0.25">
      <c r="A4" s="18" t="s">
        <v>6</v>
      </c>
      <c r="B4" s="18">
        <v>2024</v>
      </c>
      <c r="C4" s="18" t="s">
        <v>138</v>
      </c>
      <c r="D4" s="18" t="s">
        <v>10</v>
      </c>
      <c r="E4" s="18">
        <v>50</v>
      </c>
      <c r="F4" s="18">
        <v>50</v>
      </c>
      <c r="G4" s="18" t="s">
        <v>154</v>
      </c>
      <c r="H4" s="18" t="s">
        <v>154</v>
      </c>
      <c r="I4" s="18" t="s">
        <v>158</v>
      </c>
      <c r="J4" s="31">
        <v>5</v>
      </c>
      <c r="K4" s="31">
        <v>5.5</v>
      </c>
      <c r="L4" s="4">
        <v>0.5</v>
      </c>
      <c r="M4" s="5">
        <v>0.82</v>
      </c>
      <c r="N4" s="31">
        <v>0.41</v>
      </c>
      <c r="O4" s="31">
        <v>0.41</v>
      </c>
      <c r="P4" s="31">
        <v>82</v>
      </c>
      <c r="Q4" s="31">
        <v>5</v>
      </c>
      <c r="R4" s="31">
        <v>0.39</v>
      </c>
      <c r="S4" s="31">
        <v>0.13</v>
      </c>
      <c r="T4" s="86">
        <v>26</v>
      </c>
      <c r="U4" s="31">
        <v>5</v>
      </c>
      <c r="V4" s="31"/>
      <c r="W4" s="31">
        <v>5</v>
      </c>
      <c r="X4" s="31">
        <v>78</v>
      </c>
      <c r="Y4" s="18">
        <v>32</v>
      </c>
      <c r="Z4" s="18" t="s">
        <v>88</v>
      </c>
      <c r="AA4" s="18" t="s">
        <v>118</v>
      </c>
      <c r="AB4" s="18" t="s">
        <v>336</v>
      </c>
      <c r="AC4" s="18">
        <v>5</v>
      </c>
      <c r="AD4" s="18">
        <v>82</v>
      </c>
      <c r="AE4" s="18" t="s">
        <v>32</v>
      </c>
      <c r="AF4" s="18" t="s">
        <v>196</v>
      </c>
      <c r="AG4" s="18" t="s">
        <v>196</v>
      </c>
      <c r="AH4" s="18" t="s">
        <v>64</v>
      </c>
      <c r="AI4" s="18" t="s">
        <v>79</v>
      </c>
      <c r="AJ4" s="18" t="s">
        <v>100</v>
      </c>
      <c r="AK4" s="18" t="s">
        <v>109</v>
      </c>
      <c r="AL4" s="18" t="s">
        <v>120</v>
      </c>
      <c r="AM4" s="18" t="s">
        <v>198</v>
      </c>
      <c r="AN4" s="18" t="s">
        <v>203</v>
      </c>
      <c r="AO4" s="18"/>
      <c r="AP4" s="18">
        <v>2</v>
      </c>
      <c r="AQ4" s="18">
        <v>1</v>
      </c>
      <c r="AR4" s="18">
        <v>0</v>
      </c>
      <c r="AS4" s="18">
        <v>1</v>
      </c>
      <c r="AT4" s="18">
        <v>2</v>
      </c>
      <c r="AU4" s="18">
        <v>6</v>
      </c>
      <c r="AV4" s="49">
        <f t="shared" ref="AV4:AV67" si="0">ROUND(-0.0002*POWER(T4,2)+0.2197*T4,0)</f>
        <v>6</v>
      </c>
      <c r="AW4" s="49">
        <v>1</v>
      </c>
      <c r="AX4" s="50">
        <v>7</v>
      </c>
      <c r="AY4" s="49">
        <v>6</v>
      </c>
      <c r="AZ4" s="49">
        <v>15</v>
      </c>
      <c r="BA4" s="67">
        <v>22</v>
      </c>
      <c r="BB4" s="67">
        <v>1</v>
      </c>
      <c r="BC4" s="67">
        <v>7</v>
      </c>
      <c r="BD4" s="67">
        <f t="shared" ref="BD4:BD67" si="1">ROUND(-0.0002*POWER(T4,2)+0.2197*T4,0)</f>
        <v>6</v>
      </c>
      <c r="BE4" s="67">
        <v>0</v>
      </c>
      <c r="BF4" s="67">
        <v>1</v>
      </c>
      <c r="BG4" s="67">
        <v>2</v>
      </c>
      <c r="BH4" s="67">
        <v>1</v>
      </c>
      <c r="BI4" s="67">
        <v>3</v>
      </c>
      <c r="BJ4" s="67">
        <v>10</v>
      </c>
      <c r="BK4" s="67">
        <v>31</v>
      </c>
      <c r="BL4" s="18">
        <v>35</v>
      </c>
      <c r="BM4" s="18"/>
      <c r="BN4" s="18"/>
      <c r="CH4" s="61" t="s">
        <v>60</v>
      </c>
      <c r="CI4" s="76" t="s">
        <v>59</v>
      </c>
      <c r="CJ4" s="77">
        <v>5</v>
      </c>
      <c r="CV4" s="75" t="s">
        <v>85</v>
      </c>
      <c r="CW4" s="75">
        <v>0</v>
      </c>
      <c r="CX4" s="77">
        <v>5</v>
      </c>
      <c r="DK4" s="15" t="s">
        <v>38</v>
      </c>
      <c r="DL4" s="9">
        <v>3</v>
      </c>
      <c r="DM4" s="16">
        <v>3</v>
      </c>
      <c r="DT4" s="75" t="s">
        <v>103</v>
      </c>
      <c r="DU4" s="75" t="s">
        <v>104</v>
      </c>
      <c r="DV4" s="77">
        <v>5</v>
      </c>
      <c r="EF4" s="75" t="s">
        <v>114</v>
      </c>
      <c r="EG4" s="78" t="s">
        <v>115</v>
      </c>
      <c r="EH4" s="75">
        <v>6</v>
      </c>
      <c r="EI4" s="77">
        <v>5</v>
      </c>
      <c r="ET4" s="75" t="s">
        <v>73</v>
      </c>
      <c r="EU4" s="75" t="s">
        <v>74</v>
      </c>
      <c r="EV4" s="75">
        <v>6</v>
      </c>
      <c r="EW4" s="77">
        <v>5</v>
      </c>
    </row>
    <row r="5" spans="1:155" ht="25.5" x14ac:dyDescent="0.25">
      <c r="A5" s="18" t="s">
        <v>6</v>
      </c>
      <c r="B5" s="18">
        <v>2024</v>
      </c>
      <c r="C5" s="18" t="s">
        <v>138</v>
      </c>
      <c r="D5" s="18" t="s">
        <v>10</v>
      </c>
      <c r="E5" s="18">
        <v>50</v>
      </c>
      <c r="F5" s="18">
        <v>50</v>
      </c>
      <c r="G5" s="18" t="s">
        <v>154</v>
      </c>
      <c r="H5" s="18" t="s">
        <v>154</v>
      </c>
      <c r="I5" s="18" t="s">
        <v>158</v>
      </c>
      <c r="J5" s="31">
        <v>5.5</v>
      </c>
      <c r="K5" s="31">
        <v>6</v>
      </c>
      <c r="L5" s="4">
        <v>0.5</v>
      </c>
      <c r="M5" s="5">
        <v>0.82</v>
      </c>
      <c r="N5" s="31">
        <v>0.41</v>
      </c>
      <c r="O5" s="31">
        <v>0.41</v>
      </c>
      <c r="P5" s="31">
        <v>410</v>
      </c>
      <c r="Q5" s="31">
        <v>1</v>
      </c>
      <c r="R5" s="31">
        <v>0.35</v>
      </c>
      <c r="S5" s="31">
        <v>0.16</v>
      </c>
      <c r="T5" s="86">
        <v>32</v>
      </c>
      <c r="U5" s="31">
        <v>4</v>
      </c>
      <c r="V5" s="31"/>
      <c r="W5" s="31">
        <v>4</v>
      </c>
      <c r="X5" s="31">
        <v>87.5</v>
      </c>
      <c r="Y5" s="18">
        <v>38</v>
      </c>
      <c r="Z5" s="18" t="s">
        <v>88</v>
      </c>
      <c r="AA5" s="18" t="s">
        <v>116</v>
      </c>
      <c r="AB5" s="18" t="s">
        <v>336</v>
      </c>
      <c r="AC5" s="18">
        <v>1</v>
      </c>
      <c r="AD5" s="18">
        <v>410</v>
      </c>
      <c r="AE5" s="18" t="s">
        <v>32</v>
      </c>
      <c r="AF5" s="18" t="s">
        <v>199</v>
      </c>
      <c r="AG5" s="18" t="s">
        <v>199</v>
      </c>
      <c r="AH5" s="18" t="s">
        <v>64</v>
      </c>
      <c r="AI5" s="18" t="s">
        <v>77</v>
      </c>
      <c r="AJ5" s="18" t="s">
        <v>100</v>
      </c>
      <c r="AK5" s="18" t="s">
        <v>109</v>
      </c>
      <c r="AL5" s="18" t="s">
        <v>120</v>
      </c>
      <c r="AM5" s="18" t="s">
        <v>198</v>
      </c>
      <c r="AN5" s="18" t="s">
        <v>203</v>
      </c>
      <c r="AO5" s="18"/>
      <c r="AP5" s="18">
        <v>2</v>
      </c>
      <c r="AQ5" s="18">
        <v>3</v>
      </c>
      <c r="AR5" s="18">
        <v>0</v>
      </c>
      <c r="AS5" s="18">
        <v>1</v>
      </c>
      <c r="AT5" s="18">
        <v>2</v>
      </c>
      <c r="AU5" s="18">
        <v>8</v>
      </c>
      <c r="AV5" s="49">
        <f t="shared" si="0"/>
        <v>7</v>
      </c>
      <c r="AW5" s="49">
        <v>1</v>
      </c>
      <c r="AX5" s="50">
        <v>7</v>
      </c>
      <c r="AY5" s="49">
        <v>8</v>
      </c>
      <c r="AZ5" s="49">
        <v>15</v>
      </c>
      <c r="BA5" s="67">
        <v>28</v>
      </c>
      <c r="BB5" s="67">
        <v>1</v>
      </c>
      <c r="BC5" s="67">
        <v>7</v>
      </c>
      <c r="BD5" s="67">
        <f t="shared" si="1"/>
        <v>7</v>
      </c>
      <c r="BE5" s="67">
        <v>0</v>
      </c>
      <c r="BF5" s="67">
        <v>1</v>
      </c>
      <c r="BG5" s="67">
        <v>2</v>
      </c>
      <c r="BH5" s="67">
        <v>3</v>
      </c>
      <c r="BI5" s="67">
        <v>3</v>
      </c>
      <c r="BJ5" s="67">
        <v>10</v>
      </c>
      <c r="BK5" s="67">
        <v>34</v>
      </c>
      <c r="BL5" s="18">
        <v>38</v>
      </c>
      <c r="BM5" s="18"/>
      <c r="BN5" s="18"/>
      <c r="CH5" s="61" t="s">
        <v>62</v>
      </c>
      <c r="CI5" s="62" t="s">
        <v>61</v>
      </c>
      <c r="CJ5" s="77">
        <v>4</v>
      </c>
      <c r="CV5" s="75" t="s">
        <v>88</v>
      </c>
      <c r="CW5" s="75" t="s">
        <v>87</v>
      </c>
      <c r="CX5" s="77">
        <v>4</v>
      </c>
      <c r="DK5" s="14" t="s">
        <v>40</v>
      </c>
      <c r="DL5" s="14">
        <v>8</v>
      </c>
      <c r="DM5" s="3">
        <v>8</v>
      </c>
      <c r="DT5" s="75" t="s">
        <v>105</v>
      </c>
      <c r="DU5" s="75" t="s">
        <v>106</v>
      </c>
      <c r="DV5" s="77">
        <v>4</v>
      </c>
      <c r="EF5" s="75" t="s">
        <v>116</v>
      </c>
      <c r="EG5" s="78" t="s">
        <v>117</v>
      </c>
      <c r="EH5" s="75">
        <v>4</v>
      </c>
      <c r="EI5" s="77">
        <v>4</v>
      </c>
      <c r="ET5" s="75" t="s">
        <v>75</v>
      </c>
      <c r="EU5" s="75" t="s">
        <v>76</v>
      </c>
      <c r="EV5" s="75">
        <v>5</v>
      </c>
      <c r="EW5" s="77">
        <v>4</v>
      </c>
    </row>
    <row r="6" spans="1:155" ht="25.5" x14ac:dyDescent="0.25">
      <c r="A6" s="18" t="s">
        <v>6</v>
      </c>
      <c r="B6" s="18">
        <v>2024</v>
      </c>
      <c r="C6" s="18" t="s">
        <v>138</v>
      </c>
      <c r="D6" s="18" t="s">
        <v>10</v>
      </c>
      <c r="E6" s="18">
        <v>50</v>
      </c>
      <c r="F6" s="18">
        <v>50</v>
      </c>
      <c r="G6" s="18" t="s">
        <v>154</v>
      </c>
      <c r="H6" s="18" t="s">
        <v>154</v>
      </c>
      <c r="I6" s="18" t="s">
        <v>158</v>
      </c>
      <c r="J6" s="31">
        <v>6</v>
      </c>
      <c r="K6" s="31">
        <v>6.5</v>
      </c>
      <c r="L6" s="4">
        <v>0.5</v>
      </c>
      <c r="M6" s="5">
        <v>0.74</v>
      </c>
      <c r="N6" s="31">
        <v>0.37</v>
      </c>
      <c r="O6" s="31">
        <v>0.37</v>
      </c>
      <c r="P6" s="31">
        <v>18.5</v>
      </c>
      <c r="Q6" s="31">
        <v>20</v>
      </c>
      <c r="R6" s="31">
        <v>0.23</v>
      </c>
      <c r="S6" s="31">
        <v>0</v>
      </c>
      <c r="T6" s="86">
        <v>0</v>
      </c>
      <c r="U6" s="31">
        <v>15</v>
      </c>
      <c r="V6" s="31"/>
      <c r="W6" s="31">
        <v>15</v>
      </c>
      <c r="X6" s="31">
        <v>15.333333333333334</v>
      </c>
      <c r="Y6" s="18">
        <v>0</v>
      </c>
      <c r="Z6" s="18" t="s">
        <v>88</v>
      </c>
      <c r="AA6" s="18" t="s">
        <v>333</v>
      </c>
      <c r="AB6" s="18" t="s">
        <v>336</v>
      </c>
      <c r="AC6" s="18">
        <v>20</v>
      </c>
      <c r="AD6" s="18">
        <v>18.5</v>
      </c>
      <c r="AE6" s="18" t="s">
        <v>32</v>
      </c>
      <c r="AF6" s="18" t="s">
        <v>200</v>
      </c>
      <c r="AG6" s="18" t="s">
        <v>200</v>
      </c>
      <c r="AH6" s="18" t="s">
        <v>64</v>
      </c>
      <c r="AI6" s="18" t="s">
        <v>81</v>
      </c>
      <c r="AJ6" s="18" t="s">
        <v>100</v>
      </c>
      <c r="AK6" s="18" t="s">
        <v>111</v>
      </c>
      <c r="AL6" s="18" t="s">
        <v>120</v>
      </c>
      <c r="AM6" s="18" t="s">
        <v>198</v>
      </c>
      <c r="AN6" s="18" t="s">
        <v>204</v>
      </c>
      <c r="AO6" s="18"/>
      <c r="AP6" s="18">
        <v>2</v>
      </c>
      <c r="AQ6" s="18">
        <v>0</v>
      </c>
      <c r="AR6" s="18">
        <v>0</v>
      </c>
      <c r="AS6" s="18">
        <v>0</v>
      </c>
      <c r="AT6" s="18">
        <v>2</v>
      </c>
      <c r="AU6" s="18">
        <v>4</v>
      </c>
      <c r="AV6" s="49">
        <f t="shared" si="0"/>
        <v>0</v>
      </c>
      <c r="AW6" s="49">
        <v>1</v>
      </c>
      <c r="AX6" s="50">
        <v>4</v>
      </c>
      <c r="AY6" s="49">
        <v>4</v>
      </c>
      <c r="AZ6" s="49">
        <v>15</v>
      </c>
      <c r="BA6" s="67">
        <v>6</v>
      </c>
      <c r="BB6" s="67">
        <v>1</v>
      </c>
      <c r="BC6" s="67">
        <v>5</v>
      </c>
      <c r="BD6" s="67">
        <f t="shared" si="1"/>
        <v>0</v>
      </c>
      <c r="BE6" s="67">
        <v>0</v>
      </c>
      <c r="BF6" s="67">
        <v>0</v>
      </c>
      <c r="BG6" s="67">
        <v>2</v>
      </c>
      <c r="BH6" s="67">
        <v>0</v>
      </c>
      <c r="BI6" s="67">
        <v>3</v>
      </c>
      <c r="BJ6" s="67">
        <v>10</v>
      </c>
      <c r="BK6" s="67">
        <v>21</v>
      </c>
      <c r="BL6" s="18">
        <v>24</v>
      </c>
      <c r="BM6" s="18"/>
      <c r="BN6" s="18"/>
      <c r="CH6" s="61" t="s">
        <v>64</v>
      </c>
      <c r="CI6" s="62" t="s">
        <v>63</v>
      </c>
      <c r="CJ6" s="77">
        <v>3</v>
      </c>
      <c r="CV6" s="75" t="s">
        <v>92</v>
      </c>
      <c r="CW6" s="79" t="s">
        <v>91</v>
      </c>
      <c r="CX6" s="77">
        <v>3</v>
      </c>
      <c r="DK6" s="14" t="s">
        <v>42</v>
      </c>
      <c r="DL6" s="14">
        <v>13</v>
      </c>
      <c r="DM6" s="3">
        <v>13</v>
      </c>
      <c r="DT6" s="75" t="s">
        <v>107</v>
      </c>
      <c r="DU6" s="75" t="s">
        <v>108</v>
      </c>
      <c r="DV6" s="77">
        <v>3</v>
      </c>
      <c r="EF6" s="75" t="s">
        <v>118</v>
      </c>
      <c r="EG6" s="78" t="s">
        <v>119</v>
      </c>
      <c r="EH6" s="75">
        <v>2</v>
      </c>
      <c r="EI6" s="77">
        <v>3</v>
      </c>
      <c r="ET6" s="75" t="s">
        <v>77</v>
      </c>
      <c r="EU6" s="75" t="s">
        <v>78</v>
      </c>
      <c r="EV6" s="75">
        <v>3</v>
      </c>
      <c r="EW6" s="77">
        <v>3</v>
      </c>
    </row>
    <row r="7" spans="1:155" ht="25.5" x14ac:dyDescent="0.25">
      <c r="A7" s="18" t="s">
        <v>6</v>
      </c>
      <c r="B7" s="18">
        <v>2024</v>
      </c>
      <c r="C7" s="18" t="s">
        <v>138</v>
      </c>
      <c r="D7" s="18" t="s">
        <v>10</v>
      </c>
      <c r="E7" s="18">
        <v>50</v>
      </c>
      <c r="F7" s="18">
        <v>50</v>
      </c>
      <c r="G7" s="18" t="s">
        <v>154</v>
      </c>
      <c r="H7" s="18" t="s">
        <v>154</v>
      </c>
      <c r="I7" s="18" t="s">
        <v>159</v>
      </c>
      <c r="J7" s="31">
        <v>10</v>
      </c>
      <c r="K7" s="31">
        <v>10.5</v>
      </c>
      <c r="L7" s="4">
        <v>0.5</v>
      </c>
      <c r="M7" s="5">
        <v>0.9</v>
      </c>
      <c r="N7" s="31">
        <v>0.45</v>
      </c>
      <c r="O7" s="31">
        <v>0.45</v>
      </c>
      <c r="P7" s="31">
        <v>90</v>
      </c>
      <c r="Q7" s="31">
        <v>5</v>
      </c>
      <c r="R7" s="31">
        <v>0.28999999999999998</v>
      </c>
      <c r="S7" s="31">
        <v>0.11</v>
      </c>
      <c r="T7" s="86">
        <v>22</v>
      </c>
      <c r="U7" s="31">
        <v>3</v>
      </c>
      <c r="V7" s="31"/>
      <c r="W7" s="31">
        <v>3</v>
      </c>
      <c r="X7" s="31">
        <v>96.666666666666671</v>
      </c>
      <c r="Y7" s="18">
        <v>26</v>
      </c>
      <c r="Z7" s="18" t="s">
        <v>88</v>
      </c>
      <c r="AA7" s="18" t="s">
        <v>118</v>
      </c>
      <c r="AB7" s="18" t="s">
        <v>334</v>
      </c>
      <c r="AC7" s="18">
        <v>5</v>
      </c>
      <c r="AD7" s="18">
        <v>90</v>
      </c>
      <c r="AE7" s="18" t="s">
        <v>27</v>
      </c>
      <c r="AF7" s="18" t="s">
        <v>29</v>
      </c>
      <c r="AG7" s="18" t="s">
        <v>29</v>
      </c>
      <c r="AH7" s="18" t="s">
        <v>66</v>
      </c>
      <c r="AI7" s="18" t="s">
        <v>79</v>
      </c>
      <c r="AJ7" s="18" t="s">
        <v>100</v>
      </c>
      <c r="AK7" s="18" t="s">
        <v>107</v>
      </c>
      <c r="AL7" s="18" t="s">
        <v>120</v>
      </c>
      <c r="AM7" s="18" t="s">
        <v>198</v>
      </c>
      <c r="AN7" s="18" t="s">
        <v>209</v>
      </c>
      <c r="AO7" s="18"/>
      <c r="AP7" s="18">
        <v>1</v>
      </c>
      <c r="AQ7" s="18">
        <v>1</v>
      </c>
      <c r="AR7" s="18">
        <v>0</v>
      </c>
      <c r="AS7" s="18">
        <v>3</v>
      </c>
      <c r="AT7" s="18">
        <v>2</v>
      </c>
      <c r="AU7" s="18">
        <v>7</v>
      </c>
      <c r="AV7" s="49">
        <f t="shared" si="0"/>
        <v>5</v>
      </c>
      <c r="AW7" s="49">
        <v>4</v>
      </c>
      <c r="AX7" s="50">
        <v>7</v>
      </c>
      <c r="AY7" s="49">
        <v>7</v>
      </c>
      <c r="AZ7" s="49">
        <v>15</v>
      </c>
      <c r="BA7" s="67">
        <v>21.5</v>
      </c>
      <c r="BB7" s="67">
        <v>4</v>
      </c>
      <c r="BC7" s="67">
        <v>8</v>
      </c>
      <c r="BD7" s="67">
        <f t="shared" si="1"/>
        <v>5</v>
      </c>
      <c r="BE7" s="67">
        <v>0</v>
      </c>
      <c r="BF7" s="67">
        <v>3</v>
      </c>
      <c r="BG7" s="67">
        <v>2</v>
      </c>
      <c r="BH7" s="67">
        <v>1</v>
      </c>
      <c r="BI7" s="67">
        <v>1</v>
      </c>
      <c r="BJ7" s="67">
        <v>10</v>
      </c>
      <c r="BK7" s="67">
        <v>34</v>
      </c>
      <c r="BL7" s="18">
        <v>38</v>
      </c>
      <c r="BM7" s="18"/>
      <c r="BN7" s="18"/>
      <c r="CH7" s="61" t="s">
        <v>66</v>
      </c>
      <c r="CI7" s="62" t="s">
        <v>65</v>
      </c>
      <c r="CJ7" s="77">
        <v>1</v>
      </c>
      <c r="CV7" s="75" t="s">
        <v>96</v>
      </c>
      <c r="CW7" s="75" t="s">
        <v>95</v>
      </c>
      <c r="CX7" s="77">
        <v>1</v>
      </c>
      <c r="DK7" s="14" t="s">
        <v>44</v>
      </c>
      <c r="DL7" s="14">
        <v>17</v>
      </c>
      <c r="DM7" s="3">
        <v>17</v>
      </c>
      <c r="DT7" s="75" t="s">
        <v>109</v>
      </c>
      <c r="DU7" s="75" t="s">
        <v>110</v>
      </c>
      <c r="DV7" s="77">
        <v>1</v>
      </c>
      <c r="EF7" s="75" t="s">
        <v>120</v>
      </c>
      <c r="EG7" s="78" t="s">
        <v>121</v>
      </c>
      <c r="EH7" s="75">
        <v>2</v>
      </c>
      <c r="EI7" s="77">
        <v>2</v>
      </c>
      <c r="ET7" s="75" t="s">
        <v>79</v>
      </c>
      <c r="EU7" s="75" t="s">
        <v>80</v>
      </c>
      <c r="EV7" s="75">
        <v>1</v>
      </c>
      <c r="EW7" s="77">
        <v>1</v>
      </c>
    </row>
    <row r="8" spans="1:155" ht="25.5" x14ac:dyDescent="0.25">
      <c r="A8" s="18" t="s">
        <v>6</v>
      </c>
      <c r="B8" s="18">
        <v>2024</v>
      </c>
      <c r="C8" s="18" t="s">
        <v>138</v>
      </c>
      <c r="D8" s="18" t="s">
        <v>10</v>
      </c>
      <c r="E8" s="18">
        <v>50</v>
      </c>
      <c r="F8" s="18">
        <v>50</v>
      </c>
      <c r="G8" s="18" t="s">
        <v>154</v>
      </c>
      <c r="H8" s="18" t="s">
        <v>154</v>
      </c>
      <c r="I8" s="18" t="s">
        <v>159</v>
      </c>
      <c r="J8" s="31">
        <v>10.5</v>
      </c>
      <c r="K8" s="31">
        <v>11</v>
      </c>
      <c r="L8" s="4">
        <v>0.5</v>
      </c>
      <c r="M8" s="5">
        <v>0.64</v>
      </c>
      <c r="N8" s="31">
        <v>0.32</v>
      </c>
      <c r="O8" s="31">
        <v>0.32</v>
      </c>
      <c r="P8" s="31">
        <v>16</v>
      </c>
      <c r="Q8" s="31">
        <v>20</v>
      </c>
      <c r="R8" s="31">
        <v>0.27</v>
      </c>
      <c r="S8" s="31">
        <v>0</v>
      </c>
      <c r="T8" s="86">
        <v>0</v>
      </c>
      <c r="U8" s="31">
        <v>13</v>
      </c>
      <c r="V8" s="31"/>
      <c r="W8" s="31">
        <v>13</v>
      </c>
      <c r="X8" s="31">
        <v>20.76923076923077</v>
      </c>
      <c r="Y8" s="18">
        <v>0</v>
      </c>
      <c r="Z8" s="18" t="s">
        <v>100</v>
      </c>
      <c r="AA8" s="18" t="s">
        <v>333</v>
      </c>
      <c r="AB8" s="18" t="s">
        <v>337</v>
      </c>
      <c r="AC8" s="18">
        <v>20</v>
      </c>
      <c r="AD8" s="18">
        <v>16</v>
      </c>
      <c r="AE8" s="18" t="s">
        <v>29</v>
      </c>
      <c r="AF8" s="18" t="s">
        <v>29</v>
      </c>
      <c r="AG8" s="18" t="s">
        <v>29</v>
      </c>
      <c r="AH8" s="18" t="s">
        <v>66</v>
      </c>
      <c r="AI8" s="18" t="s">
        <v>79</v>
      </c>
      <c r="AJ8" s="18" t="s">
        <v>100</v>
      </c>
      <c r="AK8" s="18" t="s">
        <v>107</v>
      </c>
      <c r="AL8" s="18" t="s">
        <v>120</v>
      </c>
      <c r="AM8" s="18" t="s">
        <v>198</v>
      </c>
      <c r="AN8" s="18" t="s">
        <v>209</v>
      </c>
      <c r="AO8" s="18"/>
      <c r="AP8" s="18">
        <v>1</v>
      </c>
      <c r="AQ8" s="18">
        <v>1</v>
      </c>
      <c r="AR8" s="18">
        <v>0</v>
      </c>
      <c r="AS8" s="18">
        <v>3</v>
      </c>
      <c r="AT8" s="18">
        <v>2</v>
      </c>
      <c r="AU8" s="18">
        <v>7</v>
      </c>
      <c r="AV8" s="49">
        <f t="shared" si="0"/>
        <v>0</v>
      </c>
      <c r="AW8" s="49">
        <v>2</v>
      </c>
      <c r="AX8" s="50">
        <v>4</v>
      </c>
      <c r="AY8" s="49">
        <v>7</v>
      </c>
      <c r="AZ8" s="49">
        <v>15</v>
      </c>
      <c r="BA8" s="67">
        <v>10.5</v>
      </c>
      <c r="BB8" s="67">
        <v>2</v>
      </c>
      <c r="BC8" s="67">
        <v>5</v>
      </c>
      <c r="BD8" s="67">
        <f t="shared" si="1"/>
        <v>0</v>
      </c>
      <c r="BE8" s="67">
        <v>0</v>
      </c>
      <c r="BF8" s="67">
        <v>3</v>
      </c>
      <c r="BG8" s="67">
        <v>2</v>
      </c>
      <c r="BH8" s="67">
        <v>1</v>
      </c>
      <c r="BI8" s="67">
        <v>1</v>
      </c>
      <c r="BJ8" s="67">
        <v>10</v>
      </c>
      <c r="BK8" s="67">
        <v>24</v>
      </c>
      <c r="BL8" s="18">
        <v>28</v>
      </c>
      <c r="BM8" s="18"/>
      <c r="BN8" s="18"/>
      <c r="CH8" s="61" t="s">
        <v>69</v>
      </c>
      <c r="CI8" s="62" t="s">
        <v>68</v>
      </c>
      <c r="CJ8" s="77">
        <v>0</v>
      </c>
      <c r="CV8" s="75" t="s">
        <v>100</v>
      </c>
      <c r="CW8" s="75" t="s">
        <v>99</v>
      </c>
      <c r="CX8" s="77">
        <v>0</v>
      </c>
      <c r="DK8" s="14" t="s">
        <v>46</v>
      </c>
      <c r="DL8" s="14">
        <v>20</v>
      </c>
      <c r="DM8" s="3">
        <v>20</v>
      </c>
      <c r="DT8" s="75" t="s">
        <v>111</v>
      </c>
      <c r="DU8" s="75" t="s">
        <v>599</v>
      </c>
      <c r="DV8" s="77">
        <v>0</v>
      </c>
      <c r="EF8" s="75" t="s">
        <v>122</v>
      </c>
      <c r="EG8" s="78" t="s">
        <v>123</v>
      </c>
      <c r="EH8" s="75">
        <v>0</v>
      </c>
      <c r="EI8" s="77">
        <v>0</v>
      </c>
      <c r="ET8" s="75" t="s">
        <v>81</v>
      </c>
      <c r="EU8" s="75" t="s">
        <v>82</v>
      </c>
      <c r="EV8" s="75">
        <v>0</v>
      </c>
      <c r="EW8" s="77">
        <v>0</v>
      </c>
    </row>
    <row r="9" spans="1:155" x14ac:dyDescent="0.25">
      <c r="A9" s="18" t="s">
        <v>6</v>
      </c>
      <c r="B9" s="18">
        <v>2024</v>
      </c>
      <c r="C9" s="18" t="s">
        <v>138</v>
      </c>
      <c r="D9" s="18" t="s">
        <v>10</v>
      </c>
      <c r="E9" s="18">
        <v>50</v>
      </c>
      <c r="F9" s="18">
        <v>50</v>
      </c>
      <c r="G9" s="18" t="s">
        <v>154</v>
      </c>
      <c r="H9" s="18" t="s">
        <v>154</v>
      </c>
      <c r="I9" s="18" t="s">
        <v>159</v>
      </c>
      <c r="J9" s="31">
        <v>11</v>
      </c>
      <c r="K9" s="31">
        <v>11.5</v>
      </c>
      <c r="L9" s="4">
        <v>0.5</v>
      </c>
      <c r="M9" s="5">
        <v>0.6</v>
      </c>
      <c r="N9" s="31">
        <v>0.3</v>
      </c>
      <c r="O9" s="31">
        <v>0.3</v>
      </c>
      <c r="P9" s="31">
        <v>15</v>
      </c>
      <c r="Q9" s="31">
        <v>20</v>
      </c>
      <c r="R9" s="84">
        <v>0.28999999999999998</v>
      </c>
      <c r="S9" s="31">
        <v>0</v>
      </c>
      <c r="T9" s="86">
        <v>0</v>
      </c>
      <c r="U9" s="31">
        <v>10</v>
      </c>
      <c r="V9" s="31"/>
      <c r="W9" s="31">
        <v>10</v>
      </c>
      <c r="X9" s="31">
        <v>29</v>
      </c>
      <c r="Y9" s="18">
        <v>0</v>
      </c>
      <c r="Z9" s="18" t="s">
        <v>100</v>
      </c>
      <c r="AA9" s="18" t="s">
        <v>333</v>
      </c>
      <c r="AB9" s="18" t="s">
        <v>337</v>
      </c>
      <c r="AC9" s="18">
        <v>20</v>
      </c>
      <c r="AD9" s="18">
        <v>15</v>
      </c>
      <c r="AE9" s="18" t="s">
        <v>29</v>
      </c>
      <c r="AF9" s="18" t="s">
        <v>27</v>
      </c>
      <c r="AG9" s="18" t="s">
        <v>27</v>
      </c>
      <c r="AH9" s="18" t="s">
        <v>62</v>
      </c>
      <c r="AI9" s="18" t="s">
        <v>77</v>
      </c>
      <c r="AJ9" s="18" t="s">
        <v>92</v>
      </c>
      <c r="AK9" s="18" t="s">
        <v>105</v>
      </c>
      <c r="AL9" s="18" t="s">
        <v>116</v>
      </c>
      <c r="AM9" s="18" t="s">
        <v>198</v>
      </c>
      <c r="AN9" s="18" t="s">
        <v>209</v>
      </c>
      <c r="AO9" s="18"/>
      <c r="AP9" s="18">
        <v>4</v>
      </c>
      <c r="AQ9" s="18">
        <v>3</v>
      </c>
      <c r="AR9" s="18">
        <v>3</v>
      </c>
      <c r="AS9" s="18">
        <v>4</v>
      </c>
      <c r="AT9" s="18">
        <v>4</v>
      </c>
      <c r="AU9" s="18">
        <v>18</v>
      </c>
      <c r="AV9" s="49">
        <f t="shared" si="0"/>
        <v>0</v>
      </c>
      <c r="AW9" s="49">
        <v>2</v>
      </c>
      <c r="AX9" s="50">
        <v>5</v>
      </c>
      <c r="AY9" s="49">
        <v>18</v>
      </c>
      <c r="AZ9" s="49">
        <v>15</v>
      </c>
      <c r="BA9" s="67">
        <v>27</v>
      </c>
      <c r="BB9" s="67">
        <v>2</v>
      </c>
      <c r="BC9" s="67">
        <v>5</v>
      </c>
      <c r="BD9" s="67">
        <f t="shared" si="1"/>
        <v>0</v>
      </c>
      <c r="BE9" s="67">
        <v>3</v>
      </c>
      <c r="BF9" s="67">
        <v>4</v>
      </c>
      <c r="BG9" s="67">
        <v>4</v>
      </c>
      <c r="BH9" s="67">
        <v>3</v>
      </c>
      <c r="BI9" s="67">
        <v>4</v>
      </c>
      <c r="BJ9" s="67">
        <v>10</v>
      </c>
      <c r="BK9" s="67">
        <v>35</v>
      </c>
      <c r="BL9" s="18">
        <v>40</v>
      </c>
      <c r="BM9" s="18"/>
      <c r="BN9" s="18"/>
    </row>
    <row r="10" spans="1:155" x14ac:dyDescent="0.25">
      <c r="A10" s="18" t="s">
        <v>6</v>
      </c>
      <c r="B10" s="18">
        <v>2024</v>
      </c>
      <c r="C10" s="18" t="s">
        <v>138</v>
      </c>
      <c r="D10" s="18" t="s">
        <v>10</v>
      </c>
      <c r="E10" s="18">
        <v>50</v>
      </c>
      <c r="F10" s="18">
        <v>50</v>
      </c>
      <c r="G10" s="18" t="s">
        <v>154</v>
      </c>
      <c r="H10" s="18" t="s">
        <v>154</v>
      </c>
      <c r="I10" s="18" t="s">
        <v>159</v>
      </c>
      <c r="J10" s="31">
        <v>11.5</v>
      </c>
      <c r="K10" s="31">
        <v>12</v>
      </c>
      <c r="L10" s="4">
        <v>0.5</v>
      </c>
      <c r="M10" s="5">
        <v>0.62</v>
      </c>
      <c r="N10" s="31">
        <v>0.31</v>
      </c>
      <c r="O10" s="31">
        <v>0.31</v>
      </c>
      <c r="P10" s="31">
        <v>310</v>
      </c>
      <c r="Q10" s="31">
        <v>1</v>
      </c>
      <c r="R10" s="31">
        <v>0.32</v>
      </c>
      <c r="S10" s="31">
        <v>0.16</v>
      </c>
      <c r="T10" s="86">
        <v>32</v>
      </c>
      <c r="U10" s="31">
        <v>0</v>
      </c>
      <c r="V10" s="31"/>
      <c r="W10" s="31">
        <v>10</v>
      </c>
      <c r="X10" s="31">
        <v>32</v>
      </c>
      <c r="Y10" s="18">
        <v>34</v>
      </c>
      <c r="Z10" s="18" t="s">
        <v>96</v>
      </c>
      <c r="AA10" s="18" t="s">
        <v>116</v>
      </c>
      <c r="AB10" s="18" t="s">
        <v>337</v>
      </c>
      <c r="AC10" s="18">
        <v>1</v>
      </c>
      <c r="AD10" s="18">
        <v>310</v>
      </c>
      <c r="AE10" s="18" t="s">
        <v>29</v>
      </c>
      <c r="AF10" s="18" t="s">
        <v>27</v>
      </c>
      <c r="AG10" s="18" t="s">
        <v>27</v>
      </c>
      <c r="AH10" s="18" t="s">
        <v>62</v>
      </c>
      <c r="AI10" s="18" t="s">
        <v>77</v>
      </c>
      <c r="AJ10" s="18" t="s">
        <v>92</v>
      </c>
      <c r="AK10" s="18" t="s">
        <v>105</v>
      </c>
      <c r="AL10" s="18" t="s">
        <v>116</v>
      </c>
      <c r="AM10" s="18" t="s">
        <v>198</v>
      </c>
      <c r="AN10" s="18" t="s">
        <v>210</v>
      </c>
      <c r="AO10" s="18"/>
      <c r="AP10" s="18">
        <v>4</v>
      </c>
      <c r="AQ10" s="18">
        <v>3</v>
      </c>
      <c r="AR10" s="18">
        <v>3</v>
      </c>
      <c r="AS10" s="18">
        <v>4</v>
      </c>
      <c r="AT10" s="18">
        <v>4</v>
      </c>
      <c r="AU10" s="18">
        <v>18</v>
      </c>
      <c r="AV10" s="49">
        <f t="shared" si="0"/>
        <v>7</v>
      </c>
      <c r="AW10" s="49">
        <v>2</v>
      </c>
      <c r="AX10" s="50">
        <v>5</v>
      </c>
      <c r="AY10" s="49">
        <v>18</v>
      </c>
      <c r="AZ10" s="49">
        <v>15</v>
      </c>
      <c r="BA10" s="67">
        <v>43</v>
      </c>
      <c r="BB10" s="67">
        <v>2</v>
      </c>
      <c r="BC10" s="67">
        <v>5</v>
      </c>
      <c r="BD10" s="67">
        <f t="shared" si="1"/>
        <v>7</v>
      </c>
      <c r="BE10" s="67">
        <v>3</v>
      </c>
      <c r="BF10" s="67">
        <v>4</v>
      </c>
      <c r="BG10" s="67">
        <v>4</v>
      </c>
      <c r="BH10" s="67">
        <v>3</v>
      </c>
      <c r="BI10" s="67">
        <v>4</v>
      </c>
      <c r="BJ10" s="67">
        <v>10</v>
      </c>
      <c r="BK10" s="67">
        <v>42</v>
      </c>
      <c r="BL10" s="18">
        <v>47</v>
      </c>
      <c r="BM10" s="18"/>
      <c r="BN10" s="18"/>
    </row>
    <row r="11" spans="1:155" ht="15.75" thickBot="1" x14ac:dyDescent="0.3">
      <c r="A11" s="18" t="s">
        <v>6</v>
      </c>
      <c r="B11" s="18">
        <v>2024</v>
      </c>
      <c r="C11" s="18" t="s">
        <v>138</v>
      </c>
      <c r="D11" s="18" t="s">
        <v>245</v>
      </c>
      <c r="E11" s="18">
        <v>50</v>
      </c>
      <c r="F11" s="18">
        <v>50</v>
      </c>
      <c r="G11" s="18" t="s">
        <v>154</v>
      </c>
      <c r="H11" s="18" t="s">
        <v>154</v>
      </c>
      <c r="I11" s="18" t="s">
        <v>292</v>
      </c>
      <c r="J11" s="4">
        <v>4.5</v>
      </c>
      <c r="K11" s="4">
        <v>5</v>
      </c>
      <c r="L11" s="4">
        <v>0.5</v>
      </c>
      <c r="M11" s="5">
        <v>0.54</v>
      </c>
      <c r="N11" s="31">
        <v>0.27</v>
      </c>
      <c r="O11" s="31">
        <v>0.27</v>
      </c>
      <c r="P11" s="31">
        <v>13.5</v>
      </c>
      <c r="Q11" s="31">
        <v>20</v>
      </c>
      <c r="R11" s="31">
        <v>0.24</v>
      </c>
      <c r="S11" s="31">
        <v>0</v>
      </c>
      <c r="T11" s="65">
        <v>0</v>
      </c>
      <c r="U11" s="31">
        <v>10</v>
      </c>
      <c r="V11" s="31"/>
      <c r="W11" s="31">
        <v>10</v>
      </c>
      <c r="X11" s="31">
        <v>24</v>
      </c>
      <c r="Y11" s="18">
        <v>0</v>
      </c>
      <c r="Z11" s="18" t="s">
        <v>330</v>
      </c>
      <c r="AA11" s="18" t="s">
        <v>333</v>
      </c>
      <c r="AB11" s="18" t="s">
        <v>336</v>
      </c>
      <c r="AC11" s="18">
        <v>20</v>
      </c>
      <c r="AD11" s="18">
        <v>13.5</v>
      </c>
      <c r="AE11" s="18" t="s">
        <v>32</v>
      </c>
      <c r="AF11" s="18" t="s">
        <v>228</v>
      </c>
      <c r="AG11" s="18" t="s">
        <v>228</v>
      </c>
      <c r="AH11" s="18" t="s">
        <v>69</v>
      </c>
      <c r="AI11" s="18" t="s">
        <v>81</v>
      </c>
      <c r="AJ11" s="18" t="s">
        <v>100</v>
      </c>
      <c r="AK11" s="18" t="s">
        <v>111</v>
      </c>
      <c r="AL11" s="18" t="s">
        <v>122</v>
      </c>
      <c r="AM11" s="18" t="s">
        <v>198</v>
      </c>
      <c r="AN11" s="18"/>
      <c r="AO11" s="18"/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49">
        <f t="shared" si="0"/>
        <v>0</v>
      </c>
      <c r="AW11" s="49">
        <v>1</v>
      </c>
      <c r="AX11" s="50">
        <v>4</v>
      </c>
      <c r="AY11" s="49">
        <v>0</v>
      </c>
      <c r="AZ11" s="49">
        <v>15</v>
      </c>
      <c r="BA11" s="67">
        <v>0</v>
      </c>
      <c r="BB11" s="67">
        <v>1</v>
      </c>
      <c r="BC11" s="67">
        <v>5</v>
      </c>
      <c r="BD11" s="67">
        <f t="shared" si="1"/>
        <v>0</v>
      </c>
      <c r="BE11" s="67">
        <v>0</v>
      </c>
      <c r="BF11" s="67">
        <v>0</v>
      </c>
      <c r="BG11" s="67">
        <v>0</v>
      </c>
      <c r="BH11" s="67">
        <v>0</v>
      </c>
      <c r="BI11" s="67">
        <v>0</v>
      </c>
      <c r="BJ11" s="67">
        <v>10</v>
      </c>
      <c r="BK11" s="67">
        <v>16</v>
      </c>
      <c r="BL11" s="18">
        <v>20</v>
      </c>
      <c r="BM11" s="18"/>
      <c r="BN11" s="18"/>
      <c r="CE11" s="167"/>
      <c r="CF11" s="167"/>
      <c r="CG11" s="167"/>
      <c r="CH11" s="167"/>
      <c r="CI11" s="167"/>
      <c r="CJ11" s="167"/>
      <c r="CK11" s="167"/>
      <c r="CL11" s="167"/>
      <c r="CS11" s="167"/>
      <c r="CT11" s="167"/>
      <c r="CU11" s="167"/>
      <c r="CV11" s="167"/>
      <c r="CW11" s="167"/>
      <c r="CX11" s="167"/>
      <c r="CY11" s="167"/>
      <c r="CZ11" s="167"/>
      <c r="DG11" s="167"/>
      <c r="DH11" s="167"/>
      <c r="DI11" s="167"/>
      <c r="DJ11" s="167"/>
      <c r="DK11" s="167"/>
      <c r="DL11" s="167"/>
      <c r="DM11" s="167"/>
      <c r="DN11" s="167"/>
      <c r="DO11" s="167"/>
      <c r="DR11" s="167"/>
      <c r="DS11" s="167"/>
      <c r="DT11" s="167"/>
      <c r="DU11" s="167"/>
      <c r="DV11" s="167"/>
      <c r="DW11" s="167"/>
      <c r="DX11" s="167"/>
      <c r="DY11" s="167"/>
      <c r="DZ11" s="167"/>
      <c r="EC11" s="167"/>
      <c r="ED11" s="167"/>
      <c r="EE11" s="167"/>
      <c r="EF11" s="167"/>
      <c r="EG11" s="167"/>
      <c r="EH11" s="167"/>
      <c r="EI11" s="167"/>
      <c r="EJ11" s="167"/>
      <c r="EK11" s="167"/>
      <c r="EQ11" s="167"/>
      <c r="ER11" s="167"/>
      <c r="ES11" s="167"/>
      <c r="ET11" s="167"/>
      <c r="EU11" s="167"/>
      <c r="EV11" s="167"/>
      <c r="EW11" s="167"/>
      <c r="EX11" s="167"/>
      <c r="EY11" s="167"/>
    </row>
    <row r="12" spans="1:155" x14ac:dyDescent="0.25">
      <c r="A12" s="18" t="s">
        <v>6</v>
      </c>
      <c r="B12" s="18">
        <v>2024</v>
      </c>
      <c r="C12" s="18" t="s">
        <v>138</v>
      </c>
      <c r="D12" s="18" t="s">
        <v>245</v>
      </c>
      <c r="E12" s="18">
        <v>50</v>
      </c>
      <c r="F12" s="18">
        <v>50</v>
      </c>
      <c r="G12" s="18" t="s">
        <v>154</v>
      </c>
      <c r="H12" s="18" t="s">
        <v>154</v>
      </c>
      <c r="I12" s="18" t="s">
        <v>292</v>
      </c>
      <c r="J12" s="4">
        <v>5</v>
      </c>
      <c r="K12" s="4">
        <v>5.5</v>
      </c>
      <c r="L12" s="4">
        <v>0.5</v>
      </c>
      <c r="M12" s="5">
        <v>0.32</v>
      </c>
      <c r="N12" s="31">
        <v>0.16</v>
      </c>
      <c r="O12" s="31">
        <v>0.16</v>
      </c>
      <c r="P12" s="31">
        <v>8</v>
      </c>
      <c r="Q12" s="31">
        <v>20</v>
      </c>
      <c r="R12" s="31">
        <v>0.15</v>
      </c>
      <c r="S12" s="31">
        <v>0</v>
      </c>
      <c r="T12" s="65">
        <v>0</v>
      </c>
      <c r="U12" s="31">
        <v>10</v>
      </c>
      <c r="V12" s="31"/>
      <c r="W12" s="31">
        <v>10</v>
      </c>
      <c r="X12" s="31">
        <v>15</v>
      </c>
      <c r="Y12" s="18">
        <v>0</v>
      </c>
      <c r="Z12" s="18" t="s">
        <v>330</v>
      </c>
      <c r="AA12" s="18" t="s">
        <v>333</v>
      </c>
      <c r="AB12" s="18" t="s">
        <v>336</v>
      </c>
      <c r="AC12" s="18">
        <v>20</v>
      </c>
      <c r="AD12" s="18">
        <v>8</v>
      </c>
      <c r="AE12" s="18" t="s">
        <v>32</v>
      </c>
      <c r="AF12" s="18" t="s">
        <v>228</v>
      </c>
      <c r="AG12" s="18" t="s">
        <v>228</v>
      </c>
      <c r="AH12" s="18" t="s">
        <v>69</v>
      </c>
      <c r="AI12" s="18" t="s">
        <v>81</v>
      </c>
      <c r="AJ12" s="18" t="s">
        <v>100</v>
      </c>
      <c r="AK12" s="18" t="s">
        <v>111</v>
      </c>
      <c r="AL12" s="18" t="s">
        <v>122</v>
      </c>
      <c r="AM12" s="18" t="s">
        <v>198</v>
      </c>
      <c r="AN12" s="18" t="s">
        <v>229</v>
      </c>
      <c r="AO12" s="18"/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49">
        <f t="shared" si="0"/>
        <v>0</v>
      </c>
      <c r="AW12" s="49">
        <v>1</v>
      </c>
      <c r="AX12" s="50">
        <v>4</v>
      </c>
      <c r="AY12" s="49">
        <v>0</v>
      </c>
      <c r="AZ12" s="49">
        <v>15</v>
      </c>
      <c r="BA12" s="67">
        <v>0</v>
      </c>
      <c r="BB12" s="67">
        <v>1</v>
      </c>
      <c r="BC12" s="67">
        <v>5</v>
      </c>
      <c r="BD12" s="67">
        <f t="shared" si="1"/>
        <v>0</v>
      </c>
      <c r="BE12" s="67">
        <v>0</v>
      </c>
      <c r="BF12" s="67">
        <v>0</v>
      </c>
      <c r="BG12" s="67">
        <v>0</v>
      </c>
      <c r="BH12" s="67">
        <v>0</v>
      </c>
      <c r="BI12" s="67">
        <v>0</v>
      </c>
      <c r="BJ12" s="67">
        <v>10</v>
      </c>
      <c r="BK12" s="67">
        <v>16</v>
      </c>
      <c r="BL12" s="18">
        <v>20</v>
      </c>
      <c r="BM12" s="18"/>
      <c r="BN12" s="18"/>
      <c r="CE12" s="167"/>
      <c r="CF12" s="168" t="s">
        <v>287</v>
      </c>
      <c r="CG12" s="168" t="s">
        <v>288</v>
      </c>
      <c r="CH12" s="168" t="s">
        <v>582</v>
      </c>
      <c r="CI12" s="168" t="s">
        <v>287</v>
      </c>
      <c r="CJ12" s="168" t="s">
        <v>288</v>
      </c>
      <c r="CK12" s="168" t="s">
        <v>582</v>
      </c>
      <c r="CL12" s="169" t="s">
        <v>583</v>
      </c>
      <c r="CS12" s="167"/>
      <c r="CT12" s="168" t="s">
        <v>287</v>
      </c>
      <c r="CU12" s="168" t="s">
        <v>288</v>
      </c>
      <c r="CV12" s="168" t="s">
        <v>582</v>
      </c>
      <c r="CW12" s="168" t="s">
        <v>287</v>
      </c>
      <c r="CX12" s="168" t="s">
        <v>288</v>
      </c>
      <c r="CY12" s="168" t="s">
        <v>582</v>
      </c>
      <c r="CZ12" s="169" t="s">
        <v>583</v>
      </c>
      <c r="DG12" s="167"/>
      <c r="DH12" s="168" t="s">
        <v>287</v>
      </c>
      <c r="DI12" s="168" t="s">
        <v>288</v>
      </c>
      <c r="DJ12" s="168" t="s">
        <v>582</v>
      </c>
      <c r="DK12" s="168" t="s">
        <v>287</v>
      </c>
      <c r="DL12" s="168" t="s">
        <v>288</v>
      </c>
      <c r="DM12" s="168" t="s">
        <v>582</v>
      </c>
      <c r="DN12" s="169" t="s">
        <v>636</v>
      </c>
      <c r="DO12" s="167"/>
      <c r="DR12" s="167"/>
      <c r="DS12" s="168" t="s">
        <v>287</v>
      </c>
      <c r="DT12" s="168" t="s">
        <v>288</v>
      </c>
      <c r="DU12" s="168" t="s">
        <v>582</v>
      </c>
      <c r="DV12" s="168" t="s">
        <v>287</v>
      </c>
      <c r="DW12" s="168" t="s">
        <v>288</v>
      </c>
      <c r="DX12" s="168" t="s">
        <v>582</v>
      </c>
      <c r="DY12" s="167" t="s">
        <v>656</v>
      </c>
      <c r="DZ12" s="167"/>
      <c r="EC12" s="167"/>
      <c r="ED12" s="168" t="s">
        <v>287</v>
      </c>
      <c r="EE12" s="168" t="s">
        <v>288</v>
      </c>
      <c r="EF12" s="168" t="s">
        <v>582</v>
      </c>
      <c r="EG12" s="168" t="s">
        <v>287</v>
      </c>
      <c r="EH12" s="168" t="s">
        <v>288</v>
      </c>
      <c r="EI12" s="168" t="s">
        <v>582</v>
      </c>
      <c r="EJ12" s="169" t="s">
        <v>636</v>
      </c>
      <c r="EK12" s="167"/>
      <c r="EQ12" s="167"/>
      <c r="ER12" s="168" t="s">
        <v>287</v>
      </c>
      <c r="ES12" s="168" t="s">
        <v>288</v>
      </c>
      <c r="ET12" s="168" t="s">
        <v>582</v>
      </c>
      <c r="EU12" s="168" t="s">
        <v>287</v>
      </c>
      <c r="EV12" s="168" t="s">
        <v>288</v>
      </c>
      <c r="EW12" s="168" t="s">
        <v>582</v>
      </c>
      <c r="EX12" s="169" t="s">
        <v>636</v>
      </c>
      <c r="EY12" s="167"/>
    </row>
    <row r="13" spans="1:155" x14ac:dyDescent="0.25">
      <c r="A13" s="18" t="s">
        <v>6</v>
      </c>
      <c r="B13" s="18">
        <v>2024</v>
      </c>
      <c r="C13" s="18" t="s">
        <v>138</v>
      </c>
      <c r="D13" s="18" t="s">
        <v>245</v>
      </c>
      <c r="E13" s="18">
        <v>50</v>
      </c>
      <c r="F13" s="18">
        <v>50</v>
      </c>
      <c r="G13" s="18" t="s">
        <v>154</v>
      </c>
      <c r="H13" s="18" t="s">
        <v>154</v>
      </c>
      <c r="I13" s="18" t="s">
        <v>292</v>
      </c>
      <c r="J13" s="4">
        <v>5.5</v>
      </c>
      <c r="K13" s="4">
        <v>6</v>
      </c>
      <c r="L13" s="4">
        <v>0.5</v>
      </c>
      <c r="M13" s="5">
        <v>0.54</v>
      </c>
      <c r="N13" s="31">
        <v>0.27</v>
      </c>
      <c r="O13" s="31">
        <v>0.27</v>
      </c>
      <c r="P13" s="31">
        <v>13.5</v>
      </c>
      <c r="Q13" s="31">
        <v>20</v>
      </c>
      <c r="R13" s="31">
        <v>0.19</v>
      </c>
      <c r="S13" s="31">
        <v>0.19</v>
      </c>
      <c r="T13" s="65">
        <v>38</v>
      </c>
      <c r="U13" s="31">
        <v>5</v>
      </c>
      <c r="V13" s="31"/>
      <c r="W13" s="31">
        <v>5</v>
      </c>
      <c r="X13" s="31">
        <v>38</v>
      </c>
      <c r="Y13" s="18">
        <v>44</v>
      </c>
      <c r="Z13" s="18" t="s">
        <v>330</v>
      </c>
      <c r="AA13" s="18" t="s">
        <v>333</v>
      </c>
      <c r="AB13" s="18" t="s">
        <v>336</v>
      </c>
      <c r="AC13" s="18">
        <v>20</v>
      </c>
      <c r="AD13" s="18">
        <v>13.5</v>
      </c>
      <c r="AE13" s="18" t="s">
        <v>32</v>
      </c>
      <c r="AF13" s="18" t="s">
        <v>24</v>
      </c>
      <c r="AG13" s="18" t="s">
        <v>24</v>
      </c>
      <c r="AH13" s="18" t="s">
        <v>66</v>
      </c>
      <c r="AI13" s="18" t="s">
        <v>79</v>
      </c>
      <c r="AJ13" s="18" t="s">
        <v>92</v>
      </c>
      <c r="AK13" s="18" t="s">
        <v>111</v>
      </c>
      <c r="AL13" s="18" t="s">
        <v>122</v>
      </c>
      <c r="AM13" s="18" t="s">
        <v>198</v>
      </c>
      <c r="AN13" s="18" t="s">
        <v>229</v>
      </c>
      <c r="AO13" s="18"/>
      <c r="AP13" s="18">
        <v>1</v>
      </c>
      <c r="AQ13" s="18">
        <v>1</v>
      </c>
      <c r="AR13" s="18">
        <v>3</v>
      </c>
      <c r="AS13" s="18">
        <v>0</v>
      </c>
      <c r="AT13" s="18">
        <v>0</v>
      </c>
      <c r="AU13" s="18">
        <v>5</v>
      </c>
      <c r="AV13" s="49">
        <f t="shared" si="0"/>
        <v>8</v>
      </c>
      <c r="AW13" s="49">
        <v>1</v>
      </c>
      <c r="AX13" s="50">
        <v>5</v>
      </c>
      <c r="AY13" s="49">
        <v>5</v>
      </c>
      <c r="AZ13" s="49">
        <v>15</v>
      </c>
      <c r="BA13" s="67">
        <v>26.5</v>
      </c>
      <c r="BB13" s="67">
        <v>1</v>
      </c>
      <c r="BC13" s="67">
        <v>5</v>
      </c>
      <c r="BD13" s="67">
        <f t="shared" si="1"/>
        <v>8</v>
      </c>
      <c r="BE13" s="67">
        <v>3</v>
      </c>
      <c r="BF13" s="67">
        <v>0</v>
      </c>
      <c r="BG13" s="67">
        <v>0</v>
      </c>
      <c r="BH13" s="67">
        <v>1</v>
      </c>
      <c r="BI13" s="67">
        <v>1</v>
      </c>
      <c r="BJ13" s="67">
        <v>10</v>
      </c>
      <c r="BK13" s="67">
        <v>29</v>
      </c>
      <c r="BL13" s="18">
        <v>34</v>
      </c>
      <c r="BM13" s="18"/>
      <c r="BN13" s="18"/>
      <c r="CE13" s="167" t="s">
        <v>69</v>
      </c>
      <c r="CF13" s="167">
        <v>0</v>
      </c>
      <c r="CG13" s="167">
        <v>85</v>
      </c>
      <c r="CH13" s="170">
        <v>0.62043795620437958</v>
      </c>
      <c r="CI13" s="167">
        <v>0</v>
      </c>
      <c r="CJ13" s="167">
        <v>85</v>
      </c>
      <c r="CK13" s="170">
        <v>0.62043795620437958</v>
      </c>
      <c r="CL13" s="171">
        <f>+CG13/$CG$19</f>
        <v>0.62043795620437958</v>
      </c>
      <c r="CS13" s="167" t="s">
        <v>100</v>
      </c>
      <c r="CT13" s="167">
        <v>0</v>
      </c>
      <c r="CU13" s="167">
        <v>98</v>
      </c>
      <c r="CV13" s="170">
        <v>0.71532846715328469</v>
      </c>
      <c r="CW13" s="167">
        <v>0</v>
      </c>
      <c r="CX13" s="167">
        <v>98</v>
      </c>
      <c r="CY13" s="170">
        <v>0.71532846715328469</v>
      </c>
      <c r="CZ13" s="171">
        <f>+CU13/$CU$19</f>
        <v>0.71532846715328469</v>
      </c>
      <c r="DG13" s="167" t="s">
        <v>637</v>
      </c>
      <c r="DH13" s="167">
        <v>3</v>
      </c>
      <c r="DI13" s="167">
        <v>76</v>
      </c>
      <c r="DJ13" s="170">
        <v>0.55474452554744524</v>
      </c>
      <c r="DK13" s="167">
        <v>3</v>
      </c>
      <c r="DL13" s="167">
        <v>76</v>
      </c>
      <c r="DM13" s="170">
        <v>0.55474452554744524</v>
      </c>
      <c r="DN13" s="171">
        <f>+DI13/$DI$19</f>
        <v>0.55474452554744524</v>
      </c>
      <c r="DO13" s="167"/>
      <c r="DR13" s="167" t="s">
        <v>111</v>
      </c>
      <c r="DS13" s="167">
        <v>0</v>
      </c>
      <c r="DT13" s="167">
        <v>14</v>
      </c>
      <c r="DU13" s="170">
        <v>0.10218978102189781</v>
      </c>
      <c r="DV13" s="167">
        <v>1</v>
      </c>
      <c r="DW13" s="167">
        <v>77</v>
      </c>
      <c r="DX13" s="170">
        <v>0.56204379562043794</v>
      </c>
      <c r="DY13" s="171">
        <f>+DT13/$DT$19</f>
        <v>0.10218978102189781</v>
      </c>
      <c r="DZ13" s="167"/>
      <c r="EC13" s="167" t="s">
        <v>122</v>
      </c>
      <c r="ED13" s="167">
        <v>0</v>
      </c>
      <c r="EE13" s="167">
        <v>78</v>
      </c>
      <c r="EF13" s="170">
        <v>0.56934306569343063</v>
      </c>
      <c r="EG13" s="167">
        <v>0</v>
      </c>
      <c r="EH13" s="167">
        <v>78</v>
      </c>
      <c r="EI13" s="170">
        <v>0.56934306569343063</v>
      </c>
      <c r="EJ13" s="171">
        <f>+EE13/$EE$19</f>
        <v>0.56934306569343063</v>
      </c>
      <c r="EK13" s="167"/>
      <c r="EQ13" s="167" t="s">
        <v>81</v>
      </c>
      <c r="ER13" s="167">
        <v>0</v>
      </c>
      <c r="ES13" s="167">
        <v>95</v>
      </c>
      <c r="ET13" s="170">
        <v>0.69343065693430661</v>
      </c>
      <c r="EU13" s="167">
        <v>0</v>
      </c>
      <c r="EV13" s="167">
        <v>95</v>
      </c>
      <c r="EW13" s="170">
        <v>0.69343065693430661</v>
      </c>
      <c r="EX13" s="171">
        <f>+ES13/$ES$19</f>
        <v>0.69343065693430661</v>
      </c>
      <c r="EY13" s="167"/>
    </row>
    <row r="14" spans="1:155" x14ac:dyDescent="0.25">
      <c r="A14" s="18" t="s">
        <v>6</v>
      </c>
      <c r="B14" s="18">
        <v>2024</v>
      </c>
      <c r="C14" s="18" t="s">
        <v>138</v>
      </c>
      <c r="D14" s="18" t="s">
        <v>245</v>
      </c>
      <c r="E14" s="18">
        <v>50</v>
      </c>
      <c r="F14" s="18">
        <v>50</v>
      </c>
      <c r="G14" s="18" t="s">
        <v>154</v>
      </c>
      <c r="H14" s="18" t="s">
        <v>154</v>
      </c>
      <c r="I14" s="18" t="s">
        <v>292</v>
      </c>
      <c r="J14" s="4">
        <v>6</v>
      </c>
      <c r="K14" s="4">
        <v>6.5</v>
      </c>
      <c r="L14" s="4">
        <v>0.5</v>
      </c>
      <c r="M14" s="5">
        <v>0.52</v>
      </c>
      <c r="N14" s="31">
        <v>0.26</v>
      </c>
      <c r="O14" s="31">
        <v>0.26</v>
      </c>
      <c r="P14" s="31">
        <v>13</v>
      </c>
      <c r="Q14" s="31">
        <v>20</v>
      </c>
      <c r="R14" s="31">
        <v>0.2</v>
      </c>
      <c r="S14" s="31">
        <v>0</v>
      </c>
      <c r="T14" s="65">
        <v>0</v>
      </c>
      <c r="U14" s="31">
        <v>10</v>
      </c>
      <c r="V14" s="31"/>
      <c r="W14" s="31">
        <v>10</v>
      </c>
      <c r="X14" s="31">
        <v>20</v>
      </c>
      <c r="Y14" s="18">
        <v>0</v>
      </c>
      <c r="Z14" s="18" t="s">
        <v>330</v>
      </c>
      <c r="AA14" s="18" t="s">
        <v>333</v>
      </c>
      <c r="AB14" s="18" t="s">
        <v>336</v>
      </c>
      <c r="AC14" s="18">
        <v>20</v>
      </c>
      <c r="AD14" s="18">
        <v>13</v>
      </c>
      <c r="AE14" s="18" t="s">
        <v>32</v>
      </c>
      <c r="AF14" s="18" t="s">
        <v>24</v>
      </c>
      <c r="AG14" s="18" t="s">
        <v>24</v>
      </c>
      <c r="AH14" s="18" t="s">
        <v>69</v>
      </c>
      <c r="AI14" s="18" t="s">
        <v>79</v>
      </c>
      <c r="AJ14" s="18" t="s">
        <v>96</v>
      </c>
      <c r="AK14" s="18" t="s">
        <v>109</v>
      </c>
      <c r="AL14" s="18" t="s">
        <v>122</v>
      </c>
      <c r="AM14" s="18" t="s">
        <v>198</v>
      </c>
      <c r="AN14" s="18" t="s">
        <v>230</v>
      </c>
      <c r="AO14" s="18"/>
      <c r="AP14" s="18">
        <v>0</v>
      </c>
      <c r="AQ14" s="18">
        <v>1</v>
      </c>
      <c r="AR14" s="18">
        <v>1</v>
      </c>
      <c r="AS14" s="18">
        <v>1</v>
      </c>
      <c r="AT14" s="18">
        <v>0</v>
      </c>
      <c r="AU14" s="18">
        <v>3</v>
      </c>
      <c r="AV14" s="49">
        <f t="shared" si="0"/>
        <v>0</v>
      </c>
      <c r="AW14" s="49">
        <v>1</v>
      </c>
      <c r="AX14" s="50">
        <v>4</v>
      </c>
      <c r="AY14" s="49">
        <v>3</v>
      </c>
      <c r="AZ14" s="49">
        <v>15</v>
      </c>
      <c r="BA14" s="67">
        <v>4.5</v>
      </c>
      <c r="BB14" s="67">
        <v>1</v>
      </c>
      <c r="BC14" s="67">
        <v>5</v>
      </c>
      <c r="BD14" s="67">
        <f t="shared" si="1"/>
        <v>0</v>
      </c>
      <c r="BE14" s="67">
        <v>1</v>
      </c>
      <c r="BF14" s="67">
        <v>1</v>
      </c>
      <c r="BG14" s="67">
        <v>0</v>
      </c>
      <c r="BH14" s="67">
        <v>1</v>
      </c>
      <c r="BI14" s="67">
        <v>0</v>
      </c>
      <c r="BJ14" s="67">
        <v>10</v>
      </c>
      <c r="BK14" s="67">
        <v>19</v>
      </c>
      <c r="BL14" s="18">
        <v>23</v>
      </c>
      <c r="BM14" s="18"/>
      <c r="BN14" s="18"/>
      <c r="CE14" s="167" t="s">
        <v>66</v>
      </c>
      <c r="CF14" s="167">
        <v>1</v>
      </c>
      <c r="CG14" s="167">
        <v>36</v>
      </c>
      <c r="CH14" s="170">
        <v>0.88321167883211682</v>
      </c>
      <c r="CI14" s="167">
        <v>1</v>
      </c>
      <c r="CJ14" s="167">
        <v>36</v>
      </c>
      <c r="CK14" s="170">
        <v>0.88321167883211682</v>
      </c>
      <c r="CL14" s="171">
        <f t="shared" ref="CL14:CL17" si="2">+CG14/$CG$19</f>
        <v>0.26277372262773724</v>
      </c>
      <c r="CS14" s="167" t="s">
        <v>96</v>
      </c>
      <c r="CT14" s="167">
        <v>1</v>
      </c>
      <c r="CU14" s="167">
        <v>35</v>
      </c>
      <c r="CV14" s="170">
        <v>0.97080291970802923</v>
      </c>
      <c r="CW14" s="167">
        <v>1</v>
      </c>
      <c r="CX14" s="167">
        <v>35</v>
      </c>
      <c r="CY14" s="170">
        <v>0.97080291970802923</v>
      </c>
      <c r="CZ14" s="171">
        <f t="shared" ref="CZ14:CZ17" si="3">+CU14/$CU$19</f>
        <v>0.25547445255474455</v>
      </c>
      <c r="DG14" s="167" t="s">
        <v>638</v>
      </c>
      <c r="DH14" s="167">
        <v>8</v>
      </c>
      <c r="DI14" s="167">
        <v>43</v>
      </c>
      <c r="DJ14" s="170">
        <v>0.86861313868613144</v>
      </c>
      <c r="DK14" s="167">
        <v>8</v>
      </c>
      <c r="DL14" s="167">
        <v>43</v>
      </c>
      <c r="DM14" s="170">
        <v>0.86861313868613144</v>
      </c>
      <c r="DN14" s="171">
        <f t="shared" ref="DN14:DN17" si="4">+DI14/$DI$19</f>
        <v>0.31386861313868614</v>
      </c>
      <c r="DO14" s="167"/>
      <c r="DR14" s="167" t="s">
        <v>109</v>
      </c>
      <c r="DS14" s="167">
        <v>1</v>
      </c>
      <c r="DT14" s="167">
        <v>77</v>
      </c>
      <c r="DU14" s="170">
        <v>0.66423357664233573</v>
      </c>
      <c r="DV14" s="167">
        <v>3</v>
      </c>
      <c r="DW14" s="167">
        <v>44</v>
      </c>
      <c r="DX14" s="170">
        <v>0.88321167883211682</v>
      </c>
      <c r="DY14" s="171">
        <f t="shared" ref="DY14:DY17" si="5">+DT14/$DT$19</f>
        <v>0.56204379562043794</v>
      </c>
      <c r="DZ14" s="167"/>
      <c r="EC14" s="167" t="s">
        <v>120</v>
      </c>
      <c r="ED14" s="167">
        <v>2</v>
      </c>
      <c r="EE14" s="167">
        <v>55</v>
      </c>
      <c r="EF14" s="170">
        <v>0.97080291970802923</v>
      </c>
      <c r="EG14" s="167">
        <v>2</v>
      </c>
      <c r="EH14" s="167">
        <v>55</v>
      </c>
      <c r="EI14" s="170">
        <v>0.97080291970802923</v>
      </c>
      <c r="EJ14" s="171">
        <f t="shared" ref="EJ14:EJ17" si="6">+EE14/$EE$19</f>
        <v>0.40145985401459855</v>
      </c>
      <c r="EK14" s="167"/>
      <c r="EQ14" s="167" t="s">
        <v>79</v>
      </c>
      <c r="ER14" s="167">
        <v>1</v>
      </c>
      <c r="ES14" s="167">
        <v>38</v>
      </c>
      <c r="ET14" s="170">
        <v>0.97080291970802923</v>
      </c>
      <c r="EU14" s="167">
        <v>1</v>
      </c>
      <c r="EV14" s="167">
        <v>38</v>
      </c>
      <c r="EW14" s="170">
        <v>0.97080291970802923</v>
      </c>
      <c r="EX14" s="171">
        <f t="shared" ref="EX14:EX17" si="7">+ES14/$ES$19</f>
        <v>0.27737226277372262</v>
      </c>
      <c r="EY14" s="167"/>
    </row>
    <row r="15" spans="1:155" x14ac:dyDescent="0.25">
      <c r="A15" s="18" t="s">
        <v>6</v>
      </c>
      <c r="B15" s="18">
        <v>2024</v>
      </c>
      <c r="C15" s="18" t="s">
        <v>138</v>
      </c>
      <c r="D15" s="18" t="s">
        <v>245</v>
      </c>
      <c r="E15" s="18">
        <v>50</v>
      </c>
      <c r="F15" s="18">
        <v>50</v>
      </c>
      <c r="G15" s="18" t="s">
        <v>154</v>
      </c>
      <c r="H15" s="18" t="s">
        <v>154</v>
      </c>
      <c r="I15" s="18" t="s">
        <v>292</v>
      </c>
      <c r="J15" s="4">
        <v>6.5</v>
      </c>
      <c r="K15" s="4">
        <v>7</v>
      </c>
      <c r="L15" s="4">
        <v>0.5</v>
      </c>
      <c r="M15" s="5">
        <v>0.54</v>
      </c>
      <c r="N15" s="31">
        <v>0.27</v>
      </c>
      <c r="O15" s="31">
        <v>0.27</v>
      </c>
      <c r="P15" s="31">
        <v>13.5</v>
      </c>
      <c r="Q15" s="31">
        <v>20</v>
      </c>
      <c r="R15" s="31">
        <v>0.24</v>
      </c>
      <c r="S15" s="31">
        <v>0</v>
      </c>
      <c r="T15" s="65">
        <v>0</v>
      </c>
      <c r="U15" s="31">
        <v>10</v>
      </c>
      <c r="V15" s="31"/>
      <c r="W15" s="31">
        <v>10</v>
      </c>
      <c r="X15" s="31">
        <v>24</v>
      </c>
      <c r="Y15" s="18">
        <v>0</v>
      </c>
      <c r="Z15" s="18" t="s">
        <v>330</v>
      </c>
      <c r="AA15" s="18" t="s">
        <v>333</v>
      </c>
      <c r="AB15" s="18" t="s">
        <v>336</v>
      </c>
      <c r="AC15" s="18">
        <v>20</v>
      </c>
      <c r="AD15" s="18">
        <v>13.5</v>
      </c>
      <c r="AE15" s="18" t="s">
        <v>32</v>
      </c>
      <c r="AF15" s="18" t="s">
        <v>24</v>
      </c>
      <c r="AG15" s="18" t="s">
        <v>24</v>
      </c>
      <c r="AH15" s="18" t="s">
        <v>69</v>
      </c>
      <c r="AI15" s="18" t="s">
        <v>79</v>
      </c>
      <c r="AJ15" s="18" t="s">
        <v>96</v>
      </c>
      <c r="AK15" s="18" t="s">
        <v>109</v>
      </c>
      <c r="AL15" s="18" t="s">
        <v>122</v>
      </c>
      <c r="AM15" s="18" t="s">
        <v>198</v>
      </c>
      <c r="AN15" s="18" t="s">
        <v>230</v>
      </c>
      <c r="AO15" s="18"/>
      <c r="AP15" s="18">
        <v>0</v>
      </c>
      <c r="AQ15" s="18">
        <v>1</v>
      </c>
      <c r="AR15" s="18">
        <v>1</v>
      </c>
      <c r="AS15" s="18">
        <v>1</v>
      </c>
      <c r="AT15" s="18">
        <v>0</v>
      </c>
      <c r="AU15" s="18">
        <v>3</v>
      </c>
      <c r="AV15" s="49">
        <f t="shared" si="0"/>
        <v>0</v>
      </c>
      <c r="AW15" s="49">
        <v>1</v>
      </c>
      <c r="AX15" s="50">
        <v>4</v>
      </c>
      <c r="AY15" s="49">
        <v>3</v>
      </c>
      <c r="AZ15" s="49">
        <v>15</v>
      </c>
      <c r="BA15" s="67">
        <v>4.5</v>
      </c>
      <c r="BB15" s="67">
        <v>1</v>
      </c>
      <c r="BC15" s="67">
        <v>5</v>
      </c>
      <c r="BD15" s="67">
        <f t="shared" si="1"/>
        <v>0</v>
      </c>
      <c r="BE15" s="67">
        <v>1</v>
      </c>
      <c r="BF15" s="67">
        <v>1</v>
      </c>
      <c r="BG15" s="67">
        <v>0</v>
      </c>
      <c r="BH15" s="67">
        <v>1</v>
      </c>
      <c r="BI15" s="67">
        <v>0</v>
      </c>
      <c r="BJ15" s="67">
        <v>10</v>
      </c>
      <c r="BK15" s="67">
        <v>19</v>
      </c>
      <c r="BL15" s="18">
        <v>23</v>
      </c>
      <c r="BM15" s="18"/>
      <c r="BN15" s="18"/>
      <c r="CE15" s="167" t="s">
        <v>64</v>
      </c>
      <c r="CF15" s="167">
        <v>3</v>
      </c>
      <c r="CG15" s="167">
        <v>14</v>
      </c>
      <c r="CH15" s="170">
        <v>0.98540145985401462</v>
      </c>
      <c r="CI15" s="167">
        <v>3</v>
      </c>
      <c r="CJ15" s="167">
        <v>14</v>
      </c>
      <c r="CK15" s="170">
        <v>0.98540145985401462</v>
      </c>
      <c r="CL15" s="171">
        <f t="shared" si="2"/>
        <v>0.10218978102189781</v>
      </c>
      <c r="CS15" s="167" t="s">
        <v>92</v>
      </c>
      <c r="CT15" s="167">
        <v>3</v>
      </c>
      <c r="CU15" s="167">
        <v>4</v>
      </c>
      <c r="CV15" s="170">
        <v>1</v>
      </c>
      <c r="CW15" s="167">
        <v>3</v>
      </c>
      <c r="CX15" s="167">
        <v>4</v>
      </c>
      <c r="CY15" s="170">
        <v>1</v>
      </c>
      <c r="CZ15" s="171">
        <f t="shared" si="3"/>
        <v>2.9197080291970802E-2</v>
      </c>
      <c r="DG15" s="167" t="s">
        <v>639</v>
      </c>
      <c r="DH15" s="167">
        <v>13</v>
      </c>
      <c r="DI15" s="167">
        <v>12</v>
      </c>
      <c r="DJ15" s="170">
        <v>0.95620437956204385</v>
      </c>
      <c r="DK15" s="167">
        <v>13</v>
      </c>
      <c r="DL15" s="167">
        <v>12</v>
      </c>
      <c r="DM15" s="170">
        <v>0.95620437956204385</v>
      </c>
      <c r="DN15" s="171">
        <f t="shared" si="4"/>
        <v>8.7591240875912413E-2</v>
      </c>
      <c r="DO15" s="167"/>
      <c r="DR15" s="167" t="s">
        <v>107</v>
      </c>
      <c r="DS15" s="167">
        <v>3</v>
      </c>
      <c r="DT15" s="167">
        <v>44</v>
      </c>
      <c r="DU15" s="170">
        <v>0.98540145985401462</v>
      </c>
      <c r="DV15" s="167">
        <v>0</v>
      </c>
      <c r="DW15" s="167">
        <v>14</v>
      </c>
      <c r="DX15" s="170">
        <v>0.98540145985401462</v>
      </c>
      <c r="DY15" s="171">
        <f t="shared" si="5"/>
        <v>0.32116788321167883</v>
      </c>
      <c r="DZ15" s="167"/>
      <c r="EC15" s="167" t="s">
        <v>118</v>
      </c>
      <c r="ED15" s="167">
        <v>3</v>
      </c>
      <c r="EE15" s="167">
        <v>0</v>
      </c>
      <c r="EF15" s="170">
        <v>0.97080291970802923</v>
      </c>
      <c r="EG15" s="167">
        <v>4</v>
      </c>
      <c r="EH15" s="167">
        <v>4</v>
      </c>
      <c r="EI15" s="170">
        <v>1</v>
      </c>
      <c r="EJ15" s="171">
        <f t="shared" si="6"/>
        <v>0</v>
      </c>
      <c r="EK15" s="167"/>
      <c r="EQ15" s="167" t="s">
        <v>77</v>
      </c>
      <c r="ER15" s="167">
        <v>3</v>
      </c>
      <c r="ES15" s="167">
        <v>4</v>
      </c>
      <c r="ET15" s="170">
        <v>1</v>
      </c>
      <c r="EU15" s="167">
        <v>3</v>
      </c>
      <c r="EV15" s="167">
        <v>4</v>
      </c>
      <c r="EW15" s="170">
        <v>1</v>
      </c>
      <c r="EX15" s="171">
        <f t="shared" si="7"/>
        <v>2.9197080291970802E-2</v>
      </c>
      <c r="EY15" s="167"/>
    </row>
    <row r="16" spans="1:155" x14ac:dyDescent="0.25">
      <c r="A16" s="18" t="s">
        <v>6</v>
      </c>
      <c r="B16" s="18">
        <v>2024</v>
      </c>
      <c r="C16" s="18" t="s">
        <v>138</v>
      </c>
      <c r="D16" s="18" t="s">
        <v>245</v>
      </c>
      <c r="E16" s="18">
        <v>50</v>
      </c>
      <c r="F16" s="18">
        <v>50</v>
      </c>
      <c r="G16" s="18" t="s">
        <v>154</v>
      </c>
      <c r="H16" s="18" t="s">
        <v>154</v>
      </c>
      <c r="I16" s="18" t="s">
        <v>292</v>
      </c>
      <c r="J16" s="4">
        <v>7</v>
      </c>
      <c r="K16" s="4">
        <v>7.5</v>
      </c>
      <c r="L16" s="4">
        <v>0.5</v>
      </c>
      <c r="M16" s="5">
        <v>0.44</v>
      </c>
      <c r="N16" s="31">
        <v>0.22</v>
      </c>
      <c r="O16" s="31">
        <v>0.22</v>
      </c>
      <c r="P16" s="31">
        <v>11</v>
      </c>
      <c r="Q16" s="31">
        <v>20</v>
      </c>
      <c r="R16" s="31">
        <v>0.17</v>
      </c>
      <c r="S16" s="31">
        <v>0.12</v>
      </c>
      <c r="T16" s="65">
        <v>24</v>
      </c>
      <c r="U16" s="31">
        <v>3</v>
      </c>
      <c r="V16" s="31"/>
      <c r="W16" s="31">
        <v>3</v>
      </c>
      <c r="X16" s="31">
        <v>56.666666666666664</v>
      </c>
      <c r="Y16" s="18">
        <v>0</v>
      </c>
      <c r="Z16" s="18" t="s">
        <v>330</v>
      </c>
      <c r="AA16" s="18" t="s">
        <v>333</v>
      </c>
      <c r="AB16" s="18" t="s">
        <v>336</v>
      </c>
      <c r="AC16" s="18">
        <v>20</v>
      </c>
      <c r="AD16" s="18">
        <v>11</v>
      </c>
      <c r="AE16" s="18" t="s">
        <v>32</v>
      </c>
      <c r="AF16" s="18" t="s">
        <v>24</v>
      </c>
      <c r="AG16" s="18" t="s">
        <v>24</v>
      </c>
      <c r="AH16" s="18" t="s">
        <v>69</v>
      </c>
      <c r="AI16" s="18" t="s">
        <v>81</v>
      </c>
      <c r="AJ16" s="18" t="s">
        <v>100</v>
      </c>
      <c r="AK16" s="18" t="s">
        <v>111</v>
      </c>
      <c r="AL16" s="18" t="s">
        <v>122</v>
      </c>
      <c r="AM16" s="18" t="s">
        <v>198</v>
      </c>
      <c r="AN16" s="18" t="s">
        <v>231</v>
      </c>
      <c r="AO16" s="18"/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49">
        <f t="shared" si="0"/>
        <v>5</v>
      </c>
      <c r="AW16" s="49">
        <v>1</v>
      </c>
      <c r="AX16" s="50">
        <v>6</v>
      </c>
      <c r="AY16" s="49">
        <v>0</v>
      </c>
      <c r="AZ16" s="49">
        <v>15</v>
      </c>
      <c r="BA16" s="67">
        <v>12</v>
      </c>
      <c r="BB16" s="67">
        <v>1</v>
      </c>
      <c r="BC16" s="67">
        <v>5</v>
      </c>
      <c r="BD16" s="67">
        <f t="shared" si="1"/>
        <v>5</v>
      </c>
      <c r="BE16" s="67">
        <v>0</v>
      </c>
      <c r="BF16" s="67">
        <v>0</v>
      </c>
      <c r="BG16" s="67">
        <v>0</v>
      </c>
      <c r="BH16" s="67">
        <v>0</v>
      </c>
      <c r="BI16" s="67">
        <v>0</v>
      </c>
      <c r="BJ16" s="67">
        <v>10</v>
      </c>
      <c r="BK16" s="67">
        <v>21</v>
      </c>
      <c r="BL16" s="18">
        <v>27</v>
      </c>
      <c r="BM16" s="18"/>
      <c r="BN16" s="18"/>
      <c r="CE16" s="167" t="s">
        <v>62</v>
      </c>
      <c r="CF16" s="167">
        <v>4</v>
      </c>
      <c r="CG16" s="167">
        <v>2</v>
      </c>
      <c r="CH16" s="170">
        <v>1</v>
      </c>
      <c r="CI16" s="167">
        <v>4</v>
      </c>
      <c r="CJ16" s="167">
        <v>2</v>
      </c>
      <c r="CK16" s="170">
        <v>1</v>
      </c>
      <c r="CL16" s="171">
        <f t="shared" si="2"/>
        <v>1.4598540145985401E-2</v>
      </c>
      <c r="CS16" s="167" t="s">
        <v>88</v>
      </c>
      <c r="CT16" s="167">
        <v>4</v>
      </c>
      <c r="CU16" s="167">
        <v>0</v>
      </c>
      <c r="CV16" s="170">
        <v>1</v>
      </c>
      <c r="CW16" s="167">
        <v>4</v>
      </c>
      <c r="CX16" s="167">
        <v>0</v>
      </c>
      <c r="CY16" s="170">
        <v>1</v>
      </c>
      <c r="CZ16" s="171">
        <f t="shared" si="3"/>
        <v>0</v>
      </c>
      <c r="DG16" s="167" t="s">
        <v>640</v>
      </c>
      <c r="DH16" s="167">
        <v>17</v>
      </c>
      <c r="DI16" s="167">
        <v>4</v>
      </c>
      <c r="DJ16" s="170">
        <v>0.98540145985401462</v>
      </c>
      <c r="DK16" s="167">
        <v>17</v>
      </c>
      <c r="DL16" s="167">
        <v>4</v>
      </c>
      <c r="DM16" s="170">
        <v>0.98540145985401462</v>
      </c>
      <c r="DN16" s="171">
        <f t="shared" si="4"/>
        <v>2.9197080291970802E-2</v>
      </c>
      <c r="DO16" s="167"/>
      <c r="DR16" s="167" t="s">
        <v>105</v>
      </c>
      <c r="DS16" s="167">
        <v>4</v>
      </c>
      <c r="DT16" s="167">
        <v>2</v>
      </c>
      <c r="DU16" s="170">
        <v>1</v>
      </c>
      <c r="DV16" s="167">
        <v>4</v>
      </c>
      <c r="DW16" s="167">
        <v>2</v>
      </c>
      <c r="DX16" s="170">
        <v>1</v>
      </c>
      <c r="DY16" s="171">
        <f t="shared" si="5"/>
        <v>1.4598540145985401E-2</v>
      </c>
      <c r="DZ16" s="167"/>
      <c r="EC16" s="167" t="s">
        <v>116</v>
      </c>
      <c r="ED16" s="167">
        <v>4</v>
      </c>
      <c r="EE16" s="167">
        <v>4</v>
      </c>
      <c r="EF16" s="170">
        <v>1</v>
      </c>
      <c r="EG16" s="167">
        <v>3</v>
      </c>
      <c r="EH16" s="167">
        <v>0</v>
      </c>
      <c r="EI16" s="170">
        <v>1</v>
      </c>
      <c r="EJ16" s="171">
        <f t="shared" si="6"/>
        <v>2.9197080291970802E-2</v>
      </c>
      <c r="EK16" s="167"/>
      <c r="EQ16" s="167" t="s">
        <v>75</v>
      </c>
      <c r="ER16" s="167">
        <v>4</v>
      </c>
      <c r="ES16" s="167">
        <v>0</v>
      </c>
      <c r="ET16" s="170">
        <v>1</v>
      </c>
      <c r="EU16" s="167">
        <v>4</v>
      </c>
      <c r="EV16" s="167">
        <v>0</v>
      </c>
      <c r="EW16" s="170">
        <v>1</v>
      </c>
      <c r="EX16" s="171">
        <f t="shared" si="7"/>
        <v>0</v>
      </c>
      <c r="EY16" s="167"/>
    </row>
    <row r="17" spans="1:155" x14ac:dyDescent="0.25">
      <c r="A17" s="18" t="s">
        <v>6</v>
      </c>
      <c r="B17" s="18">
        <v>2024</v>
      </c>
      <c r="C17" s="18" t="s">
        <v>138</v>
      </c>
      <c r="D17" s="18" t="s">
        <v>245</v>
      </c>
      <c r="E17" s="18">
        <v>50</v>
      </c>
      <c r="F17" s="18">
        <v>50</v>
      </c>
      <c r="G17" s="18" t="s">
        <v>154</v>
      </c>
      <c r="H17" s="18" t="s">
        <v>154</v>
      </c>
      <c r="I17" s="18" t="s">
        <v>292</v>
      </c>
      <c r="J17" s="4">
        <v>7.5</v>
      </c>
      <c r="K17" s="4">
        <v>8</v>
      </c>
      <c r="L17" s="4">
        <v>0.5</v>
      </c>
      <c r="M17" s="5">
        <v>0.6</v>
      </c>
      <c r="N17" s="31">
        <v>0.3</v>
      </c>
      <c r="O17" s="31">
        <v>0.3</v>
      </c>
      <c r="P17" s="31">
        <v>15</v>
      </c>
      <c r="Q17" s="31">
        <v>20</v>
      </c>
      <c r="R17" s="31">
        <v>0.21</v>
      </c>
      <c r="S17" s="31">
        <v>0.21</v>
      </c>
      <c r="T17" s="65">
        <v>42</v>
      </c>
      <c r="U17" s="31">
        <v>3</v>
      </c>
      <c r="V17" s="31"/>
      <c r="W17" s="31">
        <v>3</v>
      </c>
      <c r="X17" s="31">
        <v>70</v>
      </c>
      <c r="Y17" s="18">
        <v>46</v>
      </c>
      <c r="Z17" s="18" t="s">
        <v>330</v>
      </c>
      <c r="AA17" s="18" t="s">
        <v>333</v>
      </c>
      <c r="AB17" s="18" t="s">
        <v>336</v>
      </c>
      <c r="AC17" s="18">
        <v>20</v>
      </c>
      <c r="AD17" s="18">
        <v>15</v>
      </c>
      <c r="AE17" s="18" t="s">
        <v>32</v>
      </c>
      <c r="AF17" s="18" t="s">
        <v>24</v>
      </c>
      <c r="AG17" s="18" t="s">
        <v>24</v>
      </c>
      <c r="AH17" s="18" t="s">
        <v>69</v>
      </c>
      <c r="AI17" s="18" t="s">
        <v>81</v>
      </c>
      <c r="AJ17" s="18" t="s">
        <v>100</v>
      </c>
      <c r="AK17" s="18" t="s">
        <v>111</v>
      </c>
      <c r="AL17" s="18" t="s">
        <v>122</v>
      </c>
      <c r="AM17" s="18" t="s">
        <v>198</v>
      </c>
      <c r="AN17" s="18" t="s">
        <v>232</v>
      </c>
      <c r="AO17" s="18"/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49">
        <f t="shared" si="0"/>
        <v>9</v>
      </c>
      <c r="AW17" s="49">
        <v>1</v>
      </c>
      <c r="AX17" s="50">
        <v>6</v>
      </c>
      <c r="AY17" s="49">
        <v>0</v>
      </c>
      <c r="AZ17" s="49">
        <v>15</v>
      </c>
      <c r="BA17" s="67">
        <v>21</v>
      </c>
      <c r="BB17" s="67">
        <v>1</v>
      </c>
      <c r="BC17" s="67">
        <v>6</v>
      </c>
      <c r="BD17" s="67">
        <f t="shared" si="1"/>
        <v>9</v>
      </c>
      <c r="BE17" s="67">
        <v>0</v>
      </c>
      <c r="BF17" s="67">
        <v>0</v>
      </c>
      <c r="BG17" s="67">
        <v>0</v>
      </c>
      <c r="BH17" s="67">
        <v>0</v>
      </c>
      <c r="BI17" s="67">
        <v>0</v>
      </c>
      <c r="BJ17" s="67">
        <v>10</v>
      </c>
      <c r="BK17" s="67">
        <v>26</v>
      </c>
      <c r="BL17" s="18">
        <v>31</v>
      </c>
      <c r="BM17" s="18"/>
      <c r="BN17" s="18"/>
      <c r="CE17" s="167" t="s">
        <v>60</v>
      </c>
      <c r="CF17" s="167">
        <v>5</v>
      </c>
      <c r="CG17" s="167">
        <v>0</v>
      </c>
      <c r="CH17" s="170">
        <v>1</v>
      </c>
      <c r="CI17" s="167">
        <v>5</v>
      </c>
      <c r="CJ17" s="167">
        <v>0</v>
      </c>
      <c r="CK17" s="170">
        <v>1</v>
      </c>
      <c r="CL17" s="171">
        <f t="shared" si="2"/>
        <v>0</v>
      </c>
      <c r="CS17" s="167" t="s">
        <v>85</v>
      </c>
      <c r="CT17" s="167">
        <v>5</v>
      </c>
      <c r="CU17" s="167">
        <v>0</v>
      </c>
      <c r="CV17" s="170">
        <v>1</v>
      </c>
      <c r="CW17" s="167">
        <v>5</v>
      </c>
      <c r="CX17" s="167">
        <v>0</v>
      </c>
      <c r="CY17" s="170">
        <v>1</v>
      </c>
      <c r="CZ17" s="171">
        <f t="shared" si="3"/>
        <v>0</v>
      </c>
      <c r="DG17" s="167" t="s">
        <v>641</v>
      </c>
      <c r="DH17" s="167">
        <v>20</v>
      </c>
      <c r="DI17" s="167">
        <v>2</v>
      </c>
      <c r="DJ17" s="170">
        <v>1</v>
      </c>
      <c r="DK17" s="167">
        <v>20</v>
      </c>
      <c r="DL17" s="167">
        <v>2</v>
      </c>
      <c r="DM17" s="170">
        <v>1</v>
      </c>
      <c r="DN17" s="171">
        <f t="shared" si="4"/>
        <v>1.4598540145985401E-2</v>
      </c>
      <c r="DO17" s="167"/>
      <c r="DR17" s="167" t="s">
        <v>103</v>
      </c>
      <c r="DS17" s="167">
        <v>5</v>
      </c>
      <c r="DT17" s="167">
        <v>0</v>
      </c>
      <c r="DU17" s="170">
        <v>1</v>
      </c>
      <c r="DV17" s="167">
        <v>5</v>
      </c>
      <c r="DW17" s="167">
        <v>0</v>
      </c>
      <c r="DX17" s="170">
        <v>1</v>
      </c>
      <c r="DY17" s="171">
        <f t="shared" si="5"/>
        <v>0</v>
      </c>
      <c r="DZ17" s="167"/>
      <c r="EC17" s="167" t="s">
        <v>114</v>
      </c>
      <c r="ED17" s="167">
        <v>5</v>
      </c>
      <c r="EE17" s="167">
        <v>0</v>
      </c>
      <c r="EF17" s="170">
        <v>1</v>
      </c>
      <c r="EG17" s="167">
        <v>5</v>
      </c>
      <c r="EH17" s="167">
        <v>0</v>
      </c>
      <c r="EI17" s="170">
        <v>1</v>
      </c>
      <c r="EJ17" s="171">
        <f t="shared" si="6"/>
        <v>0</v>
      </c>
      <c r="EK17" s="167"/>
      <c r="EQ17" s="167" t="s">
        <v>73</v>
      </c>
      <c r="ER17" s="167">
        <v>5</v>
      </c>
      <c r="ES17" s="167">
        <v>0</v>
      </c>
      <c r="ET17" s="170">
        <v>1</v>
      </c>
      <c r="EU17" s="167">
        <v>5</v>
      </c>
      <c r="EV17" s="167">
        <v>0</v>
      </c>
      <c r="EW17" s="170">
        <v>1</v>
      </c>
      <c r="EX17" s="171">
        <f t="shared" si="7"/>
        <v>0</v>
      </c>
      <c r="EY17" s="167"/>
    </row>
    <row r="18" spans="1:155" ht="15.75" thickBot="1" x14ac:dyDescent="0.3">
      <c r="A18" s="18" t="s">
        <v>6</v>
      </c>
      <c r="B18" s="18">
        <v>2024</v>
      </c>
      <c r="C18" s="18" t="s">
        <v>138</v>
      </c>
      <c r="D18" s="18" t="s">
        <v>245</v>
      </c>
      <c r="E18" s="18">
        <v>50</v>
      </c>
      <c r="F18" s="18">
        <v>50</v>
      </c>
      <c r="G18" s="18" t="s">
        <v>154</v>
      </c>
      <c r="H18" s="18" t="s">
        <v>154</v>
      </c>
      <c r="I18" s="18" t="s">
        <v>292</v>
      </c>
      <c r="J18" s="4">
        <v>8</v>
      </c>
      <c r="K18" s="4">
        <v>8.5</v>
      </c>
      <c r="L18" s="4">
        <v>0.5</v>
      </c>
      <c r="M18" s="5">
        <v>0.48</v>
      </c>
      <c r="N18" s="31">
        <v>0.24</v>
      </c>
      <c r="O18" s="31">
        <v>0.24</v>
      </c>
      <c r="P18" s="31">
        <v>12</v>
      </c>
      <c r="Q18" s="31">
        <v>20</v>
      </c>
      <c r="R18" s="31">
        <v>0.23</v>
      </c>
      <c r="S18" s="31">
        <v>0</v>
      </c>
      <c r="T18" s="65">
        <v>0</v>
      </c>
      <c r="U18" s="31">
        <v>3</v>
      </c>
      <c r="V18" s="31"/>
      <c r="W18" s="31">
        <v>3</v>
      </c>
      <c r="X18" s="31">
        <v>76.666666666666671</v>
      </c>
      <c r="Y18" s="18">
        <v>0</v>
      </c>
      <c r="Z18" s="18" t="s">
        <v>330</v>
      </c>
      <c r="AA18" s="18" t="s">
        <v>333</v>
      </c>
      <c r="AB18" s="18" t="s">
        <v>336</v>
      </c>
      <c r="AC18" s="18">
        <v>20</v>
      </c>
      <c r="AD18" s="18">
        <v>12</v>
      </c>
      <c r="AE18" s="18" t="s">
        <v>32</v>
      </c>
      <c r="AF18" s="18" t="s">
        <v>24</v>
      </c>
      <c r="AG18" s="18" t="s">
        <v>24</v>
      </c>
      <c r="AH18" s="18" t="s">
        <v>69</v>
      </c>
      <c r="AI18" s="18" t="s">
        <v>81</v>
      </c>
      <c r="AJ18" s="18" t="s">
        <v>96</v>
      </c>
      <c r="AK18" s="18" t="s">
        <v>109</v>
      </c>
      <c r="AL18" s="18" t="s">
        <v>122</v>
      </c>
      <c r="AM18" s="18" t="s">
        <v>198</v>
      </c>
      <c r="AN18" s="18" t="s">
        <v>230</v>
      </c>
      <c r="AO18" s="18"/>
      <c r="AP18" s="18">
        <v>0</v>
      </c>
      <c r="AQ18" s="18">
        <v>0</v>
      </c>
      <c r="AR18" s="18">
        <v>1</v>
      </c>
      <c r="AS18" s="18">
        <v>1</v>
      </c>
      <c r="AT18" s="18">
        <v>0</v>
      </c>
      <c r="AU18" s="18">
        <v>2</v>
      </c>
      <c r="AV18" s="49">
        <f t="shared" si="0"/>
        <v>0</v>
      </c>
      <c r="AW18" s="49">
        <v>1</v>
      </c>
      <c r="AX18" s="50">
        <v>7</v>
      </c>
      <c r="AY18" s="49">
        <v>2</v>
      </c>
      <c r="AZ18" s="49">
        <v>15</v>
      </c>
      <c r="BA18" s="67">
        <v>3</v>
      </c>
      <c r="BB18" s="67">
        <v>1</v>
      </c>
      <c r="BC18" s="67">
        <v>7</v>
      </c>
      <c r="BD18" s="67">
        <f t="shared" si="1"/>
        <v>0</v>
      </c>
      <c r="BE18" s="67">
        <v>1</v>
      </c>
      <c r="BF18" s="67">
        <v>1</v>
      </c>
      <c r="BG18" s="67">
        <v>0</v>
      </c>
      <c r="BH18" s="67">
        <v>0</v>
      </c>
      <c r="BI18" s="67">
        <v>0</v>
      </c>
      <c r="BJ18" s="67">
        <v>10</v>
      </c>
      <c r="BK18" s="67">
        <v>20</v>
      </c>
      <c r="BL18" s="18">
        <v>25</v>
      </c>
      <c r="BM18" s="18"/>
      <c r="BN18" s="18"/>
      <c r="CE18" s="167"/>
      <c r="CF18" s="172" t="s">
        <v>581</v>
      </c>
      <c r="CG18" s="172">
        <v>0</v>
      </c>
      <c r="CH18" s="173">
        <v>1</v>
      </c>
      <c r="CI18" s="172" t="s">
        <v>581</v>
      </c>
      <c r="CJ18" s="172">
        <v>0</v>
      </c>
      <c r="CK18" s="173">
        <v>1</v>
      </c>
      <c r="CL18" s="167"/>
      <c r="CS18" s="167"/>
      <c r="CT18" s="172" t="s">
        <v>581</v>
      </c>
      <c r="CU18" s="172">
        <v>0</v>
      </c>
      <c r="CV18" s="173">
        <v>1</v>
      </c>
      <c r="CW18" s="172" t="s">
        <v>581</v>
      </c>
      <c r="CX18" s="172">
        <v>0</v>
      </c>
      <c r="CY18" s="173">
        <v>1</v>
      </c>
      <c r="CZ18" s="167"/>
      <c r="DG18" s="167"/>
      <c r="DH18" s="172" t="s">
        <v>581</v>
      </c>
      <c r="DI18" s="172">
        <v>0</v>
      </c>
      <c r="DJ18" s="173">
        <v>1</v>
      </c>
      <c r="DK18" s="172" t="s">
        <v>581</v>
      </c>
      <c r="DL18" s="172">
        <v>0</v>
      </c>
      <c r="DM18" s="173">
        <v>1</v>
      </c>
      <c r="DN18" s="167"/>
      <c r="DO18" s="167"/>
      <c r="DR18" s="167"/>
      <c r="DS18" s="172" t="s">
        <v>581</v>
      </c>
      <c r="DT18" s="172">
        <v>0</v>
      </c>
      <c r="DU18" s="173">
        <v>1</v>
      </c>
      <c r="DV18" s="172" t="s">
        <v>581</v>
      </c>
      <c r="DW18" s="172">
        <v>0</v>
      </c>
      <c r="DX18" s="173">
        <v>1</v>
      </c>
      <c r="DY18" s="171"/>
      <c r="DZ18" s="167"/>
      <c r="EC18" s="167"/>
      <c r="ED18" s="172" t="s">
        <v>581</v>
      </c>
      <c r="EE18" s="172">
        <v>0</v>
      </c>
      <c r="EF18" s="173">
        <v>1</v>
      </c>
      <c r="EG18" s="172" t="s">
        <v>581</v>
      </c>
      <c r="EH18" s="172">
        <v>0</v>
      </c>
      <c r="EI18" s="173">
        <v>1</v>
      </c>
      <c r="EJ18" s="174"/>
      <c r="EK18" s="167"/>
      <c r="EQ18" s="167"/>
      <c r="ER18" s="172" t="s">
        <v>581</v>
      </c>
      <c r="ES18" s="172">
        <v>0</v>
      </c>
      <c r="ET18" s="173">
        <v>1</v>
      </c>
      <c r="EU18" s="172" t="s">
        <v>581</v>
      </c>
      <c r="EV18" s="172">
        <v>0</v>
      </c>
      <c r="EW18" s="173">
        <v>1</v>
      </c>
      <c r="EX18" s="167"/>
      <c r="EY18" s="167"/>
    </row>
    <row r="19" spans="1:155" x14ac:dyDescent="0.25">
      <c r="A19" s="18" t="s">
        <v>6</v>
      </c>
      <c r="B19" s="18">
        <v>2024</v>
      </c>
      <c r="C19" s="18" t="s">
        <v>138</v>
      </c>
      <c r="D19" s="18" t="s">
        <v>245</v>
      </c>
      <c r="E19" s="18">
        <v>50</v>
      </c>
      <c r="F19" s="18">
        <v>50</v>
      </c>
      <c r="G19" s="18" t="s">
        <v>154</v>
      </c>
      <c r="H19" s="18" t="s">
        <v>154</v>
      </c>
      <c r="I19" s="18" t="s">
        <v>292</v>
      </c>
      <c r="J19" s="4">
        <v>8.5</v>
      </c>
      <c r="K19" s="4">
        <v>9</v>
      </c>
      <c r="L19" s="4">
        <v>0.5</v>
      </c>
      <c r="M19" s="5">
        <v>0.3</v>
      </c>
      <c r="N19" s="31">
        <v>0.15</v>
      </c>
      <c r="O19" s="31">
        <v>0.15</v>
      </c>
      <c r="P19" s="31">
        <v>7.5</v>
      </c>
      <c r="Q19" s="31">
        <v>20</v>
      </c>
      <c r="R19" s="31">
        <v>0.13</v>
      </c>
      <c r="S19" s="31">
        <v>0</v>
      </c>
      <c r="T19" s="65">
        <v>0</v>
      </c>
      <c r="U19" s="31">
        <v>5</v>
      </c>
      <c r="V19" s="31"/>
      <c r="W19" s="31">
        <v>5</v>
      </c>
      <c r="X19" s="31">
        <v>26</v>
      </c>
      <c r="Y19" s="18">
        <v>0</v>
      </c>
      <c r="Z19" s="18" t="s">
        <v>330</v>
      </c>
      <c r="AA19" s="18" t="s">
        <v>333</v>
      </c>
      <c r="AB19" s="18" t="s">
        <v>336</v>
      </c>
      <c r="AC19" s="18">
        <v>20</v>
      </c>
      <c r="AD19" s="18">
        <v>7.5</v>
      </c>
      <c r="AE19" s="18" t="s">
        <v>32</v>
      </c>
      <c r="AF19" s="18" t="s">
        <v>24</v>
      </c>
      <c r="AG19" s="18" t="s">
        <v>24</v>
      </c>
      <c r="AH19" s="18" t="s">
        <v>69</v>
      </c>
      <c r="AI19" s="18" t="s">
        <v>81</v>
      </c>
      <c r="AJ19" s="18" t="s">
        <v>100</v>
      </c>
      <c r="AK19" s="18" t="s">
        <v>111</v>
      </c>
      <c r="AL19" s="18" t="s">
        <v>122</v>
      </c>
      <c r="AM19" s="18" t="s">
        <v>198</v>
      </c>
      <c r="AN19" s="18" t="s">
        <v>230</v>
      </c>
      <c r="AO19" s="18"/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49">
        <f t="shared" si="0"/>
        <v>0</v>
      </c>
      <c r="AW19" s="49">
        <v>1</v>
      </c>
      <c r="AX19" s="50">
        <v>5</v>
      </c>
      <c r="AY19" s="49">
        <v>0</v>
      </c>
      <c r="AZ19" s="49">
        <v>15</v>
      </c>
      <c r="BA19" s="67">
        <v>0</v>
      </c>
      <c r="BB19" s="67">
        <v>1</v>
      </c>
      <c r="BC19" s="67">
        <v>5</v>
      </c>
      <c r="BD19" s="67">
        <f t="shared" si="1"/>
        <v>0</v>
      </c>
      <c r="BE19" s="67">
        <v>0</v>
      </c>
      <c r="BF19" s="67">
        <v>0</v>
      </c>
      <c r="BG19" s="67">
        <v>0</v>
      </c>
      <c r="BH19" s="67">
        <v>0</v>
      </c>
      <c r="BI19" s="67">
        <v>0</v>
      </c>
      <c r="BJ19" s="67">
        <v>10</v>
      </c>
      <c r="BK19" s="67">
        <v>16</v>
      </c>
      <c r="BL19" s="18">
        <v>21</v>
      </c>
      <c r="BM19" s="18"/>
      <c r="BN19" s="18"/>
      <c r="CE19" s="167"/>
      <c r="CF19" s="167"/>
      <c r="CG19" s="167">
        <f>+SUM(CG13:CG17)</f>
        <v>137</v>
      </c>
      <c r="CH19" s="167"/>
      <c r="CI19" s="167"/>
      <c r="CJ19" s="167"/>
      <c r="CK19" s="167"/>
      <c r="CL19" s="167"/>
      <c r="CS19" s="167"/>
      <c r="CT19" s="167"/>
      <c r="CU19" s="167">
        <f>+SUM(CU13:CU17)</f>
        <v>137</v>
      </c>
      <c r="CV19" s="167"/>
      <c r="CW19" s="167"/>
      <c r="CX19" s="167"/>
      <c r="CY19" s="167"/>
      <c r="CZ19" s="167"/>
      <c r="DG19" s="167"/>
      <c r="DH19" s="167"/>
      <c r="DI19" s="167">
        <f>+SUM(DI13:DI17)</f>
        <v>137</v>
      </c>
      <c r="DJ19" s="167"/>
      <c r="DK19" s="167"/>
      <c r="DL19" s="167"/>
      <c r="DM19" s="167"/>
      <c r="DN19" s="167"/>
      <c r="DO19" s="167"/>
      <c r="DR19" s="167"/>
      <c r="DS19" s="167"/>
      <c r="DT19" s="167">
        <f>+SUM(DT13:DT17)</f>
        <v>137</v>
      </c>
      <c r="DU19" s="167"/>
      <c r="DV19" s="167"/>
      <c r="DW19" s="167"/>
      <c r="DX19" s="167"/>
      <c r="DY19" s="167"/>
      <c r="DZ19" s="167"/>
      <c r="EC19" s="167"/>
      <c r="ED19" s="167"/>
      <c r="EE19" s="167">
        <f>+SUM(EE13:EE17)</f>
        <v>137</v>
      </c>
      <c r="EF19" s="167"/>
      <c r="EG19" s="167"/>
      <c r="EH19" s="167"/>
      <c r="EI19" s="167"/>
      <c r="EJ19" s="167"/>
      <c r="EK19" s="167"/>
      <c r="EQ19" s="167"/>
      <c r="ER19" s="167"/>
      <c r="ES19" s="167">
        <f>+SUM(ES13:ES17)</f>
        <v>137</v>
      </c>
      <c r="ET19" s="167"/>
      <c r="EU19" s="167"/>
      <c r="EV19" s="167"/>
      <c r="EW19" s="167"/>
      <c r="EX19" s="167"/>
      <c r="EY19" s="167"/>
    </row>
    <row r="20" spans="1:155" x14ac:dyDescent="0.25">
      <c r="A20" s="18" t="s">
        <v>6</v>
      </c>
      <c r="B20" s="18">
        <v>2024</v>
      </c>
      <c r="C20" s="18" t="s">
        <v>138</v>
      </c>
      <c r="D20" s="18" t="s">
        <v>245</v>
      </c>
      <c r="E20" s="18">
        <v>50</v>
      </c>
      <c r="F20" s="18">
        <v>50</v>
      </c>
      <c r="G20" s="18" t="s">
        <v>154</v>
      </c>
      <c r="H20" s="18" t="s">
        <v>154</v>
      </c>
      <c r="I20" s="18" t="s">
        <v>292</v>
      </c>
      <c r="J20" s="4">
        <v>9</v>
      </c>
      <c r="K20" s="4">
        <v>9.5</v>
      </c>
      <c r="L20" s="4">
        <v>0.5</v>
      </c>
      <c r="M20" s="5">
        <v>0.42</v>
      </c>
      <c r="N20" s="31">
        <v>0.21</v>
      </c>
      <c r="O20" s="31">
        <v>0.21</v>
      </c>
      <c r="P20" s="31">
        <v>10.5</v>
      </c>
      <c r="Q20" s="31">
        <v>20</v>
      </c>
      <c r="R20" s="31">
        <v>0.2</v>
      </c>
      <c r="S20" s="31">
        <v>0</v>
      </c>
      <c r="T20" s="65">
        <v>0</v>
      </c>
      <c r="U20" s="31">
        <v>5</v>
      </c>
      <c r="V20" s="31"/>
      <c r="W20" s="31">
        <v>5</v>
      </c>
      <c r="X20" s="31">
        <v>40</v>
      </c>
      <c r="Y20" s="18">
        <v>0</v>
      </c>
      <c r="Z20" s="18" t="s">
        <v>330</v>
      </c>
      <c r="AA20" s="18" t="s">
        <v>333</v>
      </c>
      <c r="AB20" s="18" t="s">
        <v>336</v>
      </c>
      <c r="AC20" s="18">
        <v>20</v>
      </c>
      <c r="AD20" s="18">
        <v>10.5</v>
      </c>
      <c r="AE20" s="18" t="s">
        <v>32</v>
      </c>
      <c r="AF20" s="18" t="s">
        <v>24</v>
      </c>
      <c r="AG20" s="18" t="s">
        <v>24</v>
      </c>
      <c r="AH20" s="18" t="s">
        <v>64</v>
      </c>
      <c r="AI20" s="18" t="s">
        <v>79</v>
      </c>
      <c r="AJ20" s="18" t="s">
        <v>92</v>
      </c>
      <c r="AK20" s="18" t="s">
        <v>107</v>
      </c>
      <c r="AL20" s="18" t="s">
        <v>120</v>
      </c>
      <c r="AM20" s="18" t="s">
        <v>198</v>
      </c>
      <c r="AN20" s="18" t="s">
        <v>233</v>
      </c>
      <c r="AO20" s="18"/>
      <c r="AP20" s="18">
        <v>2</v>
      </c>
      <c r="AQ20" s="18">
        <v>1</v>
      </c>
      <c r="AR20" s="18">
        <v>3</v>
      </c>
      <c r="AS20" s="18">
        <v>3</v>
      </c>
      <c r="AT20" s="18">
        <v>2</v>
      </c>
      <c r="AU20" s="18">
        <v>11</v>
      </c>
      <c r="AV20" s="49">
        <f t="shared" si="0"/>
        <v>0</v>
      </c>
      <c r="AW20" s="49">
        <v>1</v>
      </c>
      <c r="AX20" s="50">
        <v>5</v>
      </c>
      <c r="AY20" s="49">
        <v>11</v>
      </c>
      <c r="AZ20" s="49">
        <v>15</v>
      </c>
      <c r="BA20" s="67">
        <v>16.5</v>
      </c>
      <c r="BB20" s="67">
        <v>1</v>
      </c>
      <c r="BC20" s="67">
        <v>5</v>
      </c>
      <c r="BD20" s="67">
        <f t="shared" si="1"/>
        <v>0</v>
      </c>
      <c r="BE20" s="67">
        <v>3</v>
      </c>
      <c r="BF20" s="67">
        <v>3</v>
      </c>
      <c r="BG20" s="67">
        <v>2</v>
      </c>
      <c r="BH20" s="67">
        <v>1</v>
      </c>
      <c r="BI20" s="67">
        <v>3</v>
      </c>
      <c r="BJ20" s="67">
        <v>10</v>
      </c>
      <c r="BK20" s="67">
        <v>28</v>
      </c>
      <c r="BL20" s="18">
        <v>32</v>
      </c>
      <c r="BM20" s="18"/>
      <c r="BN20" s="18"/>
      <c r="DG20" s="167"/>
      <c r="DH20" s="167"/>
      <c r="DI20" s="167"/>
      <c r="DJ20" s="167"/>
      <c r="DK20" s="167"/>
      <c r="DL20" s="167"/>
      <c r="DM20" s="167"/>
      <c r="DN20" s="167"/>
      <c r="DO20" s="167"/>
      <c r="DR20" s="167"/>
      <c r="DS20" s="167"/>
      <c r="DT20" s="167"/>
      <c r="DU20" s="167"/>
      <c r="DV20" s="167"/>
      <c r="DW20" s="167"/>
      <c r="DX20" s="167"/>
      <c r="DY20" s="167"/>
      <c r="DZ20" s="167"/>
      <c r="EC20" s="167"/>
      <c r="ED20" s="167"/>
      <c r="EE20" s="167"/>
      <c r="EF20" s="167"/>
      <c r="EG20" s="167"/>
      <c r="EH20" s="167"/>
      <c r="EI20" s="167"/>
      <c r="EJ20" s="167"/>
      <c r="EK20" s="167"/>
      <c r="EQ20" s="167"/>
      <c r="ER20" s="167"/>
      <c r="ES20" s="167"/>
      <c r="ET20" s="167"/>
      <c r="EU20" s="167"/>
      <c r="EV20" s="167"/>
      <c r="EW20" s="167"/>
      <c r="EX20" s="167"/>
      <c r="EY20" s="167"/>
    </row>
    <row r="21" spans="1:155" x14ac:dyDescent="0.25">
      <c r="A21" s="18" t="s">
        <v>6</v>
      </c>
      <c r="B21" s="18">
        <v>2024</v>
      </c>
      <c r="C21" s="18" t="s">
        <v>138</v>
      </c>
      <c r="D21" s="18" t="s">
        <v>245</v>
      </c>
      <c r="E21" s="18">
        <v>50</v>
      </c>
      <c r="F21" s="18">
        <v>50</v>
      </c>
      <c r="G21" s="18" t="s">
        <v>154</v>
      </c>
      <c r="H21" s="18" t="s">
        <v>154</v>
      </c>
      <c r="I21" s="18" t="s">
        <v>292</v>
      </c>
      <c r="J21" s="4">
        <v>9.5</v>
      </c>
      <c r="K21" s="4">
        <v>10</v>
      </c>
      <c r="L21" s="4">
        <v>0.5</v>
      </c>
      <c r="M21" s="5">
        <v>0.34</v>
      </c>
      <c r="N21" s="31">
        <v>0.17</v>
      </c>
      <c r="O21" s="31">
        <v>0.17</v>
      </c>
      <c r="P21" s="31">
        <v>8.5</v>
      </c>
      <c r="Q21" s="31">
        <v>20</v>
      </c>
      <c r="R21" s="31">
        <v>0.15</v>
      </c>
      <c r="S21" s="31">
        <v>0</v>
      </c>
      <c r="T21" s="65">
        <v>0</v>
      </c>
      <c r="U21" s="31">
        <v>3</v>
      </c>
      <c r="V21" s="31"/>
      <c r="W21" s="31">
        <v>3</v>
      </c>
      <c r="X21" s="31">
        <v>50</v>
      </c>
      <c r="Y21" s="18">
        <v>0</v>
      </c>
      <c r="Z21" s="18" t="s">
        <v>330</v>
      </c>
      <c r="AA21" s="18" t="s">
        <v>333</v>
      </c>
      <c r="AB21" s="18" t="s">
        <v>336</v>
      </c>
      <c r="AC21" s="18">
        <v>20</v>
      </c>
      <c r="AD21" s="18">
        <v>8.5</v>
      </c>
      <c r="AE21" s="18" t="s">
        <v>32</v>
      </c>
      <c r="AF21" s="18" t="s">
        <v>24</v>
      </c>
      <c r="AG21" s="18" t="s">
        <v>24</v>
      </c>
      <c r="AH21" s="18" t="s">
        <v>66</v>
      </c>
      <c r="AI21" s="18" t="s">
        <v>79</v>
      </c>
      <c r="AJ21" s="18" t="s">
        <v>96</v>
      </c>
      <c r="AK21" s="18" t="s">
        <v>109</v>
      </c>
      <c r="AL21" s="18" t="s">
        <v>120</v>
      </c>
      <c r="AM21" s="18" t="s">
        <v>198</v>
      </c>
      <c r="AN21" s="18" t="s">
        <v>230</v>
      </c>
      <c r="AO21" s="18"/>
      <c r="AP21" s="18">
        <v>1</v>
      </c>
      <c r="AQ21" s="18">
        <v>1</v>
      </c>
      <c r="AR21" s="18">
        <v>1</v>
      </c>
      <c r="AS21" s="18">
        <v>1</v>
      </c>
      <c r="AT21" s="18">
        <v>2</v>
      </c>
      <c r="AU21" s="18">
        <v>6</v>
      </c>
      <c r="AV21" s="49">
        <f t="shared" si="0"/>
        <v>0</v>
      </c>
      <c r="AW21" s="49">
        <v>1</v>
      </c>
      <c r="AX21" s="50">
        <v>6</v>
      </c>
      <c r="AY21" s="49">
        <v>6</v>
      </c>
      <c r="AZ21" s="49">
        <v>15</v>
      </c>
      <c r="BA21" s="67">
        <v>9</v>
      </c>
      <c r="BB21" s="67">
        <v>1</v>
      </c>
      <c r="BC21" s="67">
        <v>5</v>
      </c>
      <c r="BD21" s="67">
        <f t="shared" si="1"/>
        <v>0</v>
      </c>
      <c r="BE21" s="67">
        <v>1</v>
      </c>
      <c r="BF21" s="67">
        <v>1</v>
      </c>
      <c r="BG21" s="67">
        <v>2</v>
      </c>
      <c r="BH21" s="67">
        <v>1</v>
      </c>
      <c r="BI21" s="67">
        <v>1</v>
      </c>
      <c r="BJ21" s="67">
        <v>10</v>
      </c>
      <c r="BK21" s="67">
        <v>22</v>
      </c>
      <c r="BL21" s="18">
        <v>28</v>
      </c>
      <c r="BM21" s="18"/>
      <c r="BN21" s="18"/>
      <c r="EC21" s="167"/>
      <c r="ED21" s="167"/>
      <c r="EE21" s="167"/>
      <c r="EF21" s="167"/>
      <c r="EG21" s="167"/>
      <c r="EH21" s="167"/>
      <c r="EI21" s="167"/>
      <c r="EJ21" s="167"/>
      <c r="EK21" s="167"/>
      <c r="EQ21" s="167"/>
      <c r="ER21" s="167"/>
      <c r="ES21" s="167"/>
      <c r="ET21" s="167"/>
      <c r="EU21" s="167"/>
      <c r="EV21" s="167"/>
      <c r="EW21" s="167"/>
      <c r="EX21" s="167"/>
      <c r="EY21" s="167"/>
    </row>
    <row r="22" spans="1:155" x14ac:dyDescent="0.25">
      <c r="A22" s="18" t="s">
        <v>6</v>
      </c>
      <c r="B22" s="18">
        <v>2024</v>
      </c>
      <c r="C22" s="18" t="s">
        <v>138</v>
      </c>
      <c r="D22" s="18" t="s">
        <v>245</v>
      </c>
      <c r="E22" s="18">
        <v>50</v>
      </c>
      <c r="F22" s="18">
        <v>50</v>
      </c>
      <c r="G22" s="18" t="s">
        <v>154</v>
      </c>
      <c r="H22" s="18" t="s">
        <v>154</v>
      </c>
      <c r="I22" s="18" t="s">
        <v>292</v>
      </c>
      <c r="J22" s="4">
        <v>10</v>
      </c>
      <c r="K22" s="4">
        <v>10.5</v>
      </c>
      <c r="L22" s="4">
        <v>0.5</v>
      </c>
      <c r="M22" s="5">
        <v>0.62</v>
      </c>
      <c r="N22" s="31">
        <v>0.31</v>
      </c>
      <c r="O22" s="31">
        <v>0.31</v>
      </c>
      <c r="P22" s="31">
        <v>15.5</v>
      </c>
      <c r="Q22" s="31">
        <v>20</v>
      </c>
      <c r="R22" s="31">
        <v>0.3</v>
      </c>
      <c r="S22" s="31">
        <v>0.12</v>
      </c>
      <c r="T22" s="65">
        <v>24</v>
      </c>
      <c r="U22" s="31">
        <v>5</v>
      </c>
      <c r="V22" s="31"/>
      <c r="W22" s="31">
        <v>5</v>
      </c>
      <c r="X22" s="31">
        <v>60</v>
      </c>
      <c r="Y22" s="18">
        <v>38</v>
      </c>
      <c r="Z22" s="18" t="s">
        <v>330</v>
      </c>
      <c r="AA22" s="18" t="s">
        <v>333</v>
      </c>
      <c r="AB22" s="18" t="s">
        <v>336</v>
      </c>
      <c r="AC22" s="18">
        <v>20</v>
      </c>
      <c r="AD22" s="18">
        <v>15.5</v>
      </c>
      <c r="AE22" s="18" t="s">
        <v>32</v>
      </c>
      <c r="AF22" s="18" t="s">
        <v>24</v>
      </c>
      <c r="AG22" s="18" t="s">
        <v>24</v>
      </c>
      <c r="AH22" s="18" t="s">
        <v>64</v>
      </c>
      <c r="AI22" s="18" t="s">
        <v>79</v>
      </c>
      <c r="AJ22" s="18" t="s">
        <v>96</v>
      </c>
      <c r="AK22" s="18" t="s">
        <v>107</v>
      </c>
      <c r="AL22" s="18" t="s">
        <v>116</v>
      </c>
      <c r="AM22" s="18" t="s">
        <v>198</v>
      </c>
      <c r="AN22" s="18" t="s">
        <v>234</v>
      </c>
      <c r="AO22" s="18"/>
      <c r="AP22" s="18">
        <v>2</v>
      </c>
      <c r="AQ22" s="18">
        <v>1</v>
      </c>
      <c r="AR22" s="18">
        <v>1</v>
      </c>
      <c r="AS22" s="18">
        <v>3</v>
      </c>
      <c r="AT22" s="18">
        <v>4</v>
      </c>
      <c r="AU22" s="18">
        <v>11</v>
      </c>
      <c r="AV22" s="49">
        <f t="shared" si="0"/>
        <v>5</v>
      </c>
      <c r="AW22" s="49">
        <v>1</v>
      </c>
      <c r="AX22" s="50">
        <v>6</v>
      </c>
      <c r="AY22" s="49">
        <v>11</v>
      </c>
      <c r="AZ22" s="49">
        <v>15</v>
      </c>
      <c r="BA22" s="67">
        <v>28.5</v>
      </c>
      <c r="BB22" s="67">
        <v>1</v>
      </c>
      <c r="BC22" s="67">
        <v>5</v>
      </c>
      <c r="BD22" s="67">
        <f t="shared" si="1"/>
        <v>5</v>
      </c>
      <c r="BE22" s="67">
        <v>1</v>
      </c>
      <c r="BF22" s="67">
        <v>3</v>
      </c>
      <c r="BG22" s="67">
        <v>4</v>
      </c>
      <c r="BH22" s="67">
        <v>1</v>
      </c>
      <c r="BI22" s="67">
        <v>3</v>
      </c>
      <c r="BJ22" s="67">
        <v>10</v>
      </c>
      <c r="BK22" s="67">
        <v>33</v>
      </c>
      <c r="BL22" s="18">
        <v>38</v>
      </c>
      <c r="BM22" s="18"/>
      <c r="BN22" s="18"/>
    </row>
    <row r="23" spans="1:155" x14ac:dyDescent="0.25">
      <c r="A23" s="18" t="s">
        <v>6</v>
      </c>
      <c r="B23" s="18">
        <v>2024</v>
      </c>
      <c r="C23" s="18" t="s">
        <v>138</v>
      </c>
      <c r="D23" s="18" t="s">
        <v>245</v>
      </c>
      <c r="E23" s="18">
        <v>50</v>
      </c>
      <c r="F23" s="18">
        <v>50</v>
      </c>
      <c r="G23" s="18" t="s">
        <v>154</v>
      </c>
      <c r="H23" s="18" t="s">
        <v>154</v>
      </c>
      <c r="I23" s="18" t="s">
        <v>292</v>
      </c>
      <c r="J23" s="4">
        <v>10.5</v>
      </c>
      <c r="K23" s="4">
        <v>11</v>
      </c>
      <c r="L23" s="4">
        <v>0.5</v>
      </c>
      <c r="M23" s="5">
        <v>0.57999999999999996</v>
      </c>
      <c r="N23" s="31">
        <v>0.28999999999999998</v>
      </c>
      <c r="O23" s="31">
        <v>0.28999999999999998</v>
      </c>
      <c r="P23" s="31">
        <v>14.5</v>
      </c>
      <c r="Q23" s="31">
        <v>20</v>
      </c>
      <c r="R23" s="31">
        <v>0.27</v>
      </c>
      <c r="S23" s="31">
        <v>0.27</v>
      </c>
      <c r="T23" s="65">
        <v>54</v>
      </c>
      <c r="U23" s="31">
        <v>2</v>
      </c>
      <c r="V23" s="31"/>
      <c r="W23" s="31">
        <v>2</v>
      </c>
      <c r="X23" s="31">
        <v>135</v>
      </c>
      <c r="Y23" s="18">
        <v>56</v>
      </c>
      <c r="Z23" s="18" t="s">
        <v>330</v>
      </c>
      <c r="AA23" s="18" t="s">
        <v>333</v>
      </c>
      <c r="AB23" s="18" t="s">
        <v>336</v>
      </c>
      <c r="AC23" s="18">
        <v>20</v>
      </c>
      <c r="AD23" s="18">
        <v>14.5</v>
      </c>
      <c r="AE23" s="18" t="s">
        <v>32</v>
      </c>
      <c r="AF23" s="18" t="s">
        <v>24</v>
      </c>
      <c r="AG23" s="18" t="s">
        <v>24</v>
      </c>
      <c r="AH23" s="18" t="s">
        <v>64</v>
      </c>
      <c r="AI23" s="18" t="s">
        <v>79</v>
      </c>
      <c r="AJ23" s="18" t="s">
        <v>96</v>
      </c>
      <c r="AK23" s="18" t="s">
        <v>107</v>
      </c>
      <c r="AL23" s="18" t="s">
        <v>116</v>
      </c>
      <c r="AM23" s="18" t="s">
        <v>198</v>
      </c>
      <c r="AN23" s="18" t="s">
        <v>234</v>
      </c>
      <c r="AO23" s="18"/>
      <c r="AP23" s="18">
        <v>2</v>
      </c>
      <c r="AQ23" s="18">
        <v>1</v>
      </c>
      <c r="AR23" s="18">
        <v>1</v>
      </c>
      <c r="AS23" s="18">
        <v>3</v>
      </c>
      <c r="AT23" s="18">
        <v>4</v>
      </c>
      <c r="AU23" s="18">
        <v>11</v>
      </c>
      <c r="AV23" s="49">
        <f t="shared" si="0"/>
        <v>11</v>
      </c>
      <c r="AW23" s="49">
        <v>1</v>
      </c>
      <c r="AX23" s="50">
        <v>8</v>
      </c>
      <c r="AY23" s="49">
        <v>11</v>
      </c>
      <c r="AZ23" s="49">
        <v>15</v>
      </c>
      <c r="BA23" s="67">
        <v>43.5</v>
      </c>
      <c r="BB23" s="67">
        <v>1</v>
      </c>
      <c r="BC23" s="67">
        <v>10</v>
      </c>
      <c r="BD23" s="67">
        <f t="shared" si="1"/>
        <v>11</v>
      </c>
      <c r="BE23" s="67">
        <v>1</v>
      </c>
      <c r="BF23" s="67">
        <v>3</v>
      </c>
      <c r="BG23" s="67">
        <v>4</v>
      </c>
      <c r="BH23" s="67">
        <v>1</v>
      </c>
      <c r="BI23" s="67">
        <v>3</v>
      </c>
      <c r="BJ23" s="67">
        <v>10</v>
      </c>
      <c r="BK23" s="67">
        <v>44</v>
      </c>
      <c r="BL23" s="18">
        <v>46</v>
      </c>
      <c r="BM23" s="18"/>
      <c r="BN23" s="18"/>
    </row>
    <row r="24" spans="1:155" x14ac:dyDescent="0.25">
      <c r="A24" s="18" t="s">
        <v>6</v>
      </c>
      <c r="B24" s="18">
        <v>2024</v>
      </c>
      <c r="C24" s="18" t="s">
        <v>138</v>
      </c>
      <c r="D24" s="18" t="s">
        <v>245</v>
      </c>
      <c r="E24" s="18">
        <v>50</v>
      </c>
      <c r="F24" s="18">
        <v>50</v>
      </c>
      <c r="G24" s="18" t="s">
        <v>154</v>
      </c>
      <c r="H24" s="18" t="s">
        <v>154</v>
      </c>
      <c r="I24" s="18" t="s">
        <v>292</v>
      </c>
      <c r="J24" s="4">
        <v>11</v>
      </c>
      <c r="K24" s="4">
        <v>11.5</v>
      </c>
      <c r="L24" s="4">
        <v>0.5</v>
      </c>
      <c r="M24" s="5">
        <v>0.5</v>
      </c>
      <c r="N24" s="31">
        <v>0.25</v>
      </c>
      <c r="O24" s="31">
        <v>0.25</v>
      </c>
      <c r="P24" s="31">
        <v>12.5</v>
      </c>
      <c r="Q24" s="31">
        <v>20</v>
      </c>
      <c r="R24" s="31">
        <v>0.24</v>
      </c>
      <c r="S24" s="31">
        <v>0</v>
      </c>
      <c r="T24" s="65">
        <v>0</v>
      </c>
      <c r="U24" s="31">
        <v>4</v>
      </c>
      <c r="V24" s="31"/>
      <c r="W24" s="31">
        <v>4</v>
      </c>
      <c r="X24" s="31">
        <v>60</v>
      </c>
      <c r="Y24" s="18">
        <v>0</v>
      </c>
      <c r="Z24" s="18" t="s">
        <v>330</v>
      </c>
      <c r="AA24" s="18" t="s">
        <v>333</v>
      </c>
      <c r="AB24" s="18" t="s">
        <v>336</v>
      </c>
      <c r="AC24" s="18">
        <v>20</v>
      </c>
      <c r="AD24" s="18">
        <v>12.5</v>
      </c>
      <c r="AE24" s="18" t="s">
        <v>32</v>
      </c>
      <c r="AF24" s="18" t="s">
        <v>24</v>
      </c>
      <c r="AG24" s="18" t="s">
        <v>24</v>
      </c>
      <c r="AH24" s="18" t="s">
        <v>64</v>
      </c>
      <c r="AI24" s="18" t="s">
        <v>81</v>
      </c>
      <c r="AJ24" s="18" t="s">
        <v>96</v>
      </c>
      <c r="AK24" s="18" t="s">
        <v>107</v>
      </c>
      <c r="AL24" s="18" t="s">
        <v>120</v>
      </c>
      <c r="AM24" s="18" t="s">
        <v>198</v>
      </c>
      <c r="AN24" s="18" t="s">
        <v>234</v>
      </c>
      <c r="AO24" s="18"/>
      <c r="AP24" s="18">
        <v>2</v>
      </c>
      <c r="AQ24" s="18">
        <v>0</v>
      </c>
      <c r="AR24" s="18">
        <v>1</v>
      </c>
      <c r="AS24" s="18">
        <v>3</v>
      </c>
      <c r="AT24" s="18">
        <v>2</v>
      </c>
      <c r="AU24" s="18">
        <v>8</v>
      </c>
      <c r="AV24" s="49">
        <f t="shared" si="0"/>
        <v>0</v>
      </c>
      <c r="AW24" s="49">
        <v>1</v>
      </c>
      <c r="AX24" s="50">
        <v>6</v>
      </c>
      <c r="AY24" s="49">
        <v>8</v>
      </c>
      <c r="AZ24" s="49">
        <v>15</v>
      </c>
      <c r="BA24" s="67">
        <v>12</v>
      </c>
      <c r="BB24" s="67">
        <v>1</v>
      </c>
      <c r="BC24" s="67">
        <v>5</v>
      </c>
      <c r="BD24" s="67">
        <f t="shared" si="1"/>
        <v>0</v>
      </c>
      <c r="BE24" s="67">
        <v>1</v>
      </c>
      <c r="BF24" s="67">
        <v>3</v>
      </c>
      <c r="BG24" s="67">
        <v>2</v>
      </c>
      <c r="BH24" s="67">
        <v>0</v>
      </c>
      <c r="BI24" s="67">
        <v>3</v>
      </c>
      <c r="BJ24" s="67">
        <v>10</v>
      </c>
      <c r="BK24" s="67">
        <v>25</v>
      </c>
      <c r="BL24" s="18">
        <v>30</v>
      </c>
      <c r="BM24" s="18"/>
      <c r="BN24" s="18"/>
    </row>
    <row r="25" spans="1:155" x14ac:dyDescent="0.25">
      <c r="A25" s="18" t="s">
        <v>6</v>
      </c>
      <c r="B25" s="18">
        <v>2024</v>
      </c>
      <c r="C25" s="18" t="s">
        <v>138</v>
      </c>
      <c r="D25" s="18" t="s">
        <v>245</v>
      </c>
      <c r="E25" s="18">
        <v>50</v>
      </c>
      <c r="F25" s="18">
        <v>50</v>
      </c>
      <c r="G25" s="18" t="s">
        <v>154</v>
      </c>
      <c r="H25" s="18" t="s">
        <v>154</v>
      </c>
      <c r="I25" s="18" t="s">
        <v>292</v>
      </c>
      <c r="J25" s="4">
        <v>11.5</v>
      </c>
      <c r="K25" s="4">
        <v>12</v>
      </c>
      <c r="L25" s="4">
        <v>0.5</v>
      </c>
      <c r="M25" s="5">
        <v>0.54</v>
      </c>
      <c r="N25" s="31">
        <v>0.27</v>
      </c>
      <c r="O25" s="31">
        <v>0.27</v>
      </c>
      <c r="P25" s="31">
        <v>13.5</v>
      </c>
      <c r="Q25" s="31">
        <v>20</v>
      </c>
      <c r="R25" s="31">
        <v>0.26</v>
      </c>
      <c r="S25" s="31">
        <v>0</v>
      </c>
      <c r="T25" s="65">
        <v>0</v>
      </c>
      <c r="U25" s="31">
        <v>6</v>
      </c>
      <c r="V25" s="31"/>
      <c r="W25" s="31">
        <v>6</v>
      </c>
      <c r="X25" s="31">
        <v>43.333333333333336</v>
      </c>
      <c r="Y25" s="18">
        <v>0</v>
      </c>
      <c r="Z25" s="18" t="s">
        <v>330</v>
      </c>
      <c r="AA25" s="18" t="s">
        <v>333</v>
      </c>
      <c r="AB25" s="18" t="s">
        <v>336</v>
      </c>
      <c r="AC25" s="18">
        <v>20</v>
      </c>
      <c r="AD25" s="18">
        <v>13.5</v>
      </c>
      <c r="AE25" s="18" t="s">
        <v>32</v>
      </c>
      <c r="AF25" s="18" t="s">
        <v>24</v>
      </c>
      <c r="AG25" s="18" t="s">
        <v>24</v>
      </c>
      <c r="AH25" s="18" t="s">
        <v>66</v>
      </c>
      <c r="AI25" s="18" t="s">
        <v>79</v>
      </c>
      <c r="AJ25" s="18" t="s">
        <v>96</v>
      </c>
      <c r="AK25" s="18" t="s">
        <v>109</v>
      </c>
      <c r="AL25" s="18" t="s">
        <v>120</v>
      </c>
      <c r="AM25" s="18" t="s">
        <v>198</v>
      </c>
      <c r="AN25" s="18"/>
      <c r="AO25" s="18"/>
      <c r="AP25" s="18">
        <v>1</v>
      </c>
      <c r="AQ25" s="18">
        <v>1</v>
      </c>
      <c r="AR25" s="18">
        <v>1</v>
      </c>
      <c r="AS25" s="18">
        <v>1</v>
      </c>
      <c r="AT25" s="18">
        <v>2</v>
      </c>
      <c r="AU25" s="18">
        <v>6</v>
      </c>
      <c r="AV25" s="49">
        <f t="shared" si="0"/>
        <v>0</v>
      </c>
      <c r="AW25" s="49">
        <v>1</v>
      </c>
      <c r="AX25" s="50">
        <v>5</v>
      </c>
      <c r="AY25" s="49">
        <v>6</v>
      </c>
      <c r="AZ25" s="49">
        <v>15</v>
      </c>
      <c r="BA25" s="67">
        <v>9</v>
      </c>
      <c r="BB25" s="67">
        <v>1</v>
      </c>
      <c r="BC25" s="67">
        <v>5</v>
      </c>
      <c r="BD25" s="67">
        <f t="shared" si="1"/>
        <v>0</v>
      </c>
      <c r="BE25" s="67">
        <v>1</v>
      </c>
      <c r="BF25" s="67">
        <v>1</v>
      </c>
      <c r="BG25" s="67">
        <v>2</v>
      </c>
      <c r="BH25" s="67">
        <v>1</v>
      </c>
      <c r="BI25" s="67">
        <v>1</v>
      </c>
      <c r="BJ25" s="67">
        <v>10</v>
      </c>
      <c r="BK25" s="67">
        <v>22</v>
      </c>
      <c r="BL25" s="18">
        <v>27</v>
      </c>
      <c r="BM25" s="18"/>
      <c r="BN25" s="18"/>
    </row>
    <row r="26" spans="1:155" x14ac:dyDescent="0.25">
      <c r="A26" s="18" t="s">
        <v>6</v>
      </c>
      <c r="B26" s="18">
        <v>2024</v>
      </c>
      <c r="C26" s="18" t="s">
        <v>138</v>
      </c>
      <c r="D26" s="18" t="s">
        <v>245</v>
      </c>
      <c r="E26" s="18">
        <v>50</v>
      </c>
      <c r="F26" s="18">
        <v>50</v>
      </c>
      <c r="G26" s="18" t="s">
        <v>154</v>
      </c>
      <c r="H26" s="18" t="s">
        <v>154</v>
      </c>
      <c r="I26" s="18" t="s">
        <v>292</v>
      </c>
      <c r="J26" s="4">
        <v>12</v>
      </c>
      <c r="K26" s="4">
        <v>12.5</v>
      </c>
      <c r="L26" s="4">
        <v>0.5</v>
      </c>
      <c r="M26" s="5">
        <v>0.88</v>
      </c>
      <c r="N26" s="31">
        <v>0.44</v>
      </c>
      <c r="O26" s="31">
        <v>0.44</v>
      </c>
      <c r="P26" s="31">
        <v>22</v>
      </c>
      <c r="Q26" s="31">
        <v>20</v>
      </c>
      <c r="R26" s="31">
        <v>0.41</v>
      </c>
      <c r="S26" s="31">
        <v>0.23</v>
      </c>
      <c r="T26" s="65">
        <v>46</v>
      </c>
      <c r="U26" s="31">
        <v>4</v>
      </c>
      <c r="V26" s="31"/>
      <c r="W26" s="31">
        <v>4</v>
      </c>
      <c r="X26" s="31">
        <v>102.5</v>
      </c>
      <c r="Y26" s="18">
        <v>54</v>
      </c>
      <c r="Z26" s="18" t="s">
        <v>330</v>
      </c>
      <c r="AA26" s="18" t="s">
        <v>333</v>
      </c>
      <c r="AB26" s="18" t="s">
        <v>336</v>
      </c>
      <c r="AC26" s="18">
        <v>20</v>
      </c>
      <c r="AD26" s="18">
        <v>22</v>
      </c>
      <c r="AE26" s="18" t="s">
        <v>32</v>
      </c>
      <c r="AF26" s="18" t="s">
        <v>29</v>
      </c>
      <c r="AG26" s="18" t="s">
        <v>29</v>
      </c>
      <c r="AH26" s="18" t="s">
        <v>69</v>
      </c>
      <c r="AI26" s="18" t="s">
        <v>81</v>
      </c>
      <c r="AJ26" s="18" t="s">
        <v>96</v>
      </c>
      <c r="AK26" s="18" t="s">
        <v>109</v>
      </c>
      <c r="AL26" s="18" t="s">
        <v>120</v>
      </c>
      <c r="AM26" s="18" t="s">
        <v>198</v>
      </c>
      <c r="AN26" s="18" t="s">
        <v>236</v>
      </c>
      <c r="AO26" s="18"/>
      <c r="AP26" s="18">
        <v>0</v>
      </c>
      <c r="AQ26" s="18">
        <v>0</v>
      </c>
      <c r="AR26" s="18">
        <v>1</v>
      </c>
      <c r="AS26" s="18">
        <v>1</v>
      </c>
      <c r="AT26" s="18">
        <v>2</v>
      </c>
      <c r="AU26" s="18">
        <v>4</v>
      </c>
      <c r="AV26" s="49">
        <f t="shared" si="0"/>
        <v>10</v>
      </c>
      <c r="AW26" s="49">
        <v>1</v>
      </c>
      <c r="AX26" s="50">
        <v>7</v>
      </c>
      <c r="AY26" s="49">
        <v>4</v>
      </c>
      <c r="AZ26" s="49">
        <v>15</v>
      </c>
      <c r="BA26" s="67">
        <v>29</v>
      </c>
      <c r="BB26" s="67">
        <v>1</v>
      </c>
      <c r="BC26" s="67">
        <v>8</v>
      </c>
      <c r="BD26" s="67">
        <f t="shared" si="1"/>
        <v>10</v>
      </c>
      <c r="BE26" s="67">
        <v>1</v>
      </c>
      <c r="BF26" s="67">
        <v>1</v>
      </c>
      <c r="BG26" s="67">
        <v>2</v>
      </c>
      <c r="BH26" s="67">
        <v>0</v>
      </c>
      <c r="BI26" s="67">
        <v>0</v>
      </c>
      <c r="BJ26" s="67">
        <v>10</v>
      </c>
      <c r="BK26" s="67">
        <v>33</v>
      </c>
      <c r="BL26" s="18">
        <v>37</v>
      </c>
      <c r="BM26" s="18"/>
      <c r="BN26" s="18"/>
    </row>
    <row r="27" spans="1:155" x14ac:dyDescent="0.25">
      <c r="A27" s="18" t="s">
        <v>6</v>
      </c>
      <c r="B27" s="18">
        <v>2024</v>
      </c>
      <c r="C27" s="18" t="s">
        <v>138</v>
      </c>
      <c r="D27" s="18" t="s">
        <v>245</v>
      </c>
      <c r="E27" s="18">
        <v>50</v>
      </c>
      <c r="F27" s="18">
        <v>50</v>
      </c>
      <c r="G27" s="18" t="s">
        <v>154</v>
      </c>
      <c r="H27" s="18" t="s">
        <v>154</v>
      </c>
      <c r="I27" s="18" t="s">
        <v>292</v>
      </c>
      <c r="J27" s="4">
        <v>12.5</v>
      </c>
      <c r="K27" s="4">
        <v>13</v>
      </c>
      <c r="L27" s="4">
        <v>0.5</v>
      </c>
      <c r="M27" s="5">
        <v>0.9</v>
      </c>
      <c r="N27" s="31">
        <v>0.45</v>
      </c>
      <c r="O27" s="31">
        <v>0.45</v>
      </c>
      <c r="P27" s="31">
        <v>22.5</v>
      </c>
      <c r="Q27" s="31">
        <v>20</v>
      </c>
      <c r="R27" s="31">
        <v>0.43</v>
      </c>
      <c r="S27" s="31">
        <v>0.34</v>
      </c>
      <c r="T27" s="65">
        <v>68</v>
      </c>
      <c r="U27" s="31">
        <v>2</v>
      </c>
      <c r="V27" s="31"/>
      <c r="W27" s="31">
        <v>2</v>
      </c>
      <c r="X27" s="31">
        <v>215</v>
      </c>
      <c r="Y27" s="18">
        <v>46</v>
      </c>
      <c r="Z27" s="18" t="s">
        <v>330</v>
      </c>
      <c r="AA27" s="18" t="s">
        <v>333</v>
      </c>
      <c r="AB27" s="18" t="s">
        <v>336</v>
      </c>
      <c r="AC27" s="18">
        <v>20</v>
      </c>
      <c r="AD27" s="18">
        <v>22.5</v>
      </c>
      <c r="AE27" s="18" t="s">
        <v>32</v>
      </c>
      <c r="AF27" s="18" t="s">
        <v>24</v>
      </c>
      <c r="AG27" s="18" t="s">
        <v>24</v>
      </c>
      <c r="AH27" s="18" t="s">
        <v>64</v>
      </c>
      <c r="AI27" s="18" t="s">
        <v>79</v>
      </c>
      <c r="AJ27" s="18" t="s">
        <v>96</v>
      </c>
      <c r="AK27" s="18" t="s">
        <v>107</v>
      </c>
      <c r="AL27" s="18" t="s">
        <v>118</v>
      </c>
      <c r="AM27" s="18" t="s">
        <v>198</v>
      </c>
      <c r="AN27" s="18" t="s">
        <v>236</v>
      </c>
      <c r="AO27" s="18"/>
      <c r="AP27" s="18">
        <v>2</v>
      </c>
      <c r="AQ27" s="18">
        <v>1</v>
      </c>
      <c r="AR27" s="18">
        <v>1</v>
      </c>
      <c r="AS27" s="18">
        <v>3</v>
      </c>
      <c r="AT27" s="18">
        <v>2</v>
      </c>
      <c r="AU27" s="18">
        <v>9</v>
      </c>
      <c r="AV27" s="49">
        <f t="shared" si="0"/>
        <v>14</v>
      </c>
      <c r="AW27" s="49">
        <v>1</v>
      </c>
      <c r="AX27" s="50">
        <v>9</v>
      </c>
      <c r="AY27" s="49">
        <v>9</v>
      </c>
      <c r="AZ27" s="49">
        <v>15</v>
      </c>
      <c r="BA27" s="67">
        <v>47.5</v>
      </c>
      <c r="BB27" s="67">
        <v>1</v>
      </c>
      <c r="BC27" s="67">
        <v>13</v>
      </c>
      <c r="BD27" s="67">
        <f t="shared" si="1"/>
        <v>14</v>
      </c>
      <c r="BE27" s="67">
        <v>1</v>
      </c>
      <c r="BF27" s="67">
        <v>3</v>
      </c>
      <c r="BG27" s="67">
        <v>2</v>
      </c>
      <c r="BH27" s="67">
        <v>1</v>
      </c>
      <c r="BI27" s="67">
        <v>3</v>
      </c>
      <c r="BJ27" s="67">
        <v>10</v>
      </c>
      <c r="BK27" s="67">
        <v>48</v>
      </c>
      <c r="BL27" s="18">
        <v>48</v>
      </c>
      <c r="BM27" s="18"/>
      <c r="BN27" s="18"/>
    </row>
    <row r="28" spans="1:155" x14ac:dyDescent="0.25">
      <c r="A28" s="18" t="s">
        <v>6</v>
      </c>
      <c r="B28" s="18">
        <v>2024</v>
      </c>
      <c r="C28" s="18" t="s">
        <v>138</v>
      </c>
      <c r="D28" s="18" t="s">
        <v>245</v>
      </c>
      <c r="E28" s="18">
        <v>50</v>
      </c>
      <c r="F28" s="18">
        <v>50</v>
      </c>
      <c r="G28" s="18" t="s">
        <v>154</v>
      </c>
      <c r="H28" s="18" t="s">
        <v>154</v>
      </c>
      <c r="I28" s="18" t="s">
        <v>292</v>
      </c>
      <c r="J28" s="4">
        <v>13</v>
      </c>
      <c r="K28" s="4">
        <v>13.5</v>
      </c>
      <c r="L28" s="4">
        <v>0.5</v>
      </c>
      <c r="M28" s="5">
        <v>0.64</v>
      </c>
      <c r="N28" s="31">
        <v>0.32</v>
      </c>
      <c r="O28" s="31">
        <v>0.32</v>
      </c>
      <c r="P28" s="31">
        <v>16</v>
      </c>
      <c r="Q28" s="31">
        <v>20</v>
      </c>
      <c r="R28" s="31">
        <v>0.21</v>
      </c>
      <c r="S28" s="31">
        <v>0.12</v>
      </c>
      <c r="T28" s="65">
        <v>24</v>
      </c>
      <c r="U28" s="31">
        <v>3</v>
      </c>
      <c r="V28" s="31"/>
      <c r="W28" s="31">
        <v>3</v>
      </c>
      <c r="X28" s="31">
        <v>70</v>
      </c>
      <c r="Y28" s="18">
        <v>0</v>
      </c>
      <c r="Z28" s="18" t="s">
        <v>330</v>
      </c>
      <c r="AA28" s="18" t="s">
        <v>333</v>
      </c>
      <c r="AB28" s="18" t="s">
        <v>336</v>
      </c>
      <c r="AC28" s="18">
        <v>20</v>
      </c>
      <c r="AD28" s="18">
        <v>16</v>
      </c>
      <c r="AE28" s="18" t="s">
        <v>32</v>
      </c>
      <c r="AF28" s="18" t="s">
        <v>24</v>
      </c>
      <c r="AG28" s="18" t="s">
        <v>24</v>
      </c>
      <c r="AH28" s="18" t="s">
        <v>64</v>
      </c>
      <c r="AI28" s="18" t="s">
        <v>79</v>
      </c>
      <c r="AJ28" s="18" t="s">
        <v>96</v>
      </c>
      <c r="AK28" s="18" t="s">
        <v>107</v>
      </c>
      <c r="AL28" s="18" t="s">
        <v>120</v>
      </c>
      <c r="AM28" s="18" t="s">
        <v>198</v>
      </c>
      <c r="AN28" s="18" t="s">
        <v>236</v>
      </c>
      <c r="AO28" s="18"/>
      <c r="AP28" s="18">
        <v>2</v>
      </c>
      <c r="AQ28" s="18">
        <v>1</v>
      </c>
      <c r="AR28" s="18">
        <v>1</v>
      </c>
      <c r="AS28" s="18">
        <v>3</v>
      </c>
      <c r="AT28" s="18">
        <v>2</v>
      </c>
      <c r="AU28" s="18">
        <v>9</v>
      </c>
      <c r="AV28" s="49">
        <f t="shared" si="0"/>
        <v>5</v>
      </c>
      <c r="AW28" s="49">
        <v>1</v>
      </c>
      <c r="AX28" s="50">
        <v>6</v>
      </c>
      <c r="AY28" s="49">
        <v>9</v>
      </c>
      <c r="AZ28" s="49">
        <v>15</v>
      </c>
      <c r="BA28" s="67">
        <v>25.5</v>
      </c>
      <c r="BB28" s="67">
        <v>1</v>
      </c>
      <c r="BC28" s="67">
        <v>6</v>
      </c>
      <c r="BD28" s="67">
        <f t="shared" si="1"/>
        <v>5</v>
      </c>
      <c r="BE28" s="67">
        <v>1</v>
      </c>
      <c r="BF28" s="67">
        <v>3</v>
      </c>
      <c r="BG28" s="67">
        <v>2</v>
      </c>
      <c r="BH28" s="67">
        <v>1</v>
      </c>
      <c r="BI28" s="67">
        <v>3</v>
      </c>
      <c r="BJ28" s="67">
        <v>10</v>
      </c>
      <c r="BK28" s="67">
        <v>32</v>
      </c>
      <c r="BL28" s="18">
        <v>36</v>
      </c>
      <c r="BM28" s="18"/>
      <c r="BN28" s="18"/>
    </row>
    <row r="29" spans="1:155" x14ac:dyDescent="0.25">
      <c r="A29" s="18" t="s">
        <v>6</v>
      </c>
      <c r="B29" s="18">
        <v>2024</v>
      </c>
      <c r="C29" s="18" t="s">
        <v>138</v>
      </c>
      <c r="D29" s="18" t="s">
        <v>245</v>
      </c>
      <c r="E29" s="18">
        <v>50</v>
      </c>
      <c r="F29" s="18">
        <v>50</v>
      </c>
      <c r="G29" s="18" t="s">
        <v>154</v>
      </c>
      <c r="H29" s="18" t="s">
        <v>154</v>
      </c>
      <c r="I29" s="18" t="s">
        <v>292</v>
      </c>
      <c r="J29" s="4">
        <v>13.5</v>
      </c>
      <c r="K29" s="4">
        <v>14</v>
      </c>
      <c r="L29" s="4">
        <v>0.5</v>
      </c>
      <c r="M29" s="5">
        <v>0.54</v>
      </c>
      <c r="N29" s="31">
        <v>0.27</v>
      </c>
      <c r="O29" s="31">
        <v>0.27</v>
      </c>
      <c r="P29" s="31">
        <v>13.5</v>
      </c>
      <c r="Q29" s="31">
        <v>20</v>
      </c>
      <c r="R29" s="31">
        <v>0.22</v>
      </c>
      <c r="S29" s="31">
        <v>0</v>
      </c>
      <c r="T29" s="65">
        <v>0</v>
      </c>
      <c r="U29" s="31">
        <v>3</v>
      </c>
      <c r="V29" s="31"/>
      <c r="W29" s="31">
        <v>3</v>
      </c>
      <c r="X29" s="31">
        <v>73.333333333333329</v>
      </c>
      <c r="Y29" s="18">
        <v>26</v>
      </c>
      <c r="Z29" s="18" t="s">
        <v>330</v>
      </c>
      <c r="AA29" s="18" t="s">
        <v>333</v>
      </c>
      <c r="AB29" s="18" t="s">
        <v>337</v>
      </c>
      <c r="AC29" s="18">
        <v>20</v>
      </c>
      <c r="AD29" s="18">
        <v>13.5</v>
      </c>
      <c r="AE29" s="18" t="s">
        <v>29</v>
      </c>
      <c r="AF29" s="18" t="s">
        <v>24</v>
      </c>
      <c r="AG29" s="18" t="s">
        <v>24</v>
      </c>
      <c r="AH29" s="18" t="s">
        <v>66</v>
      </c>
      <c r="AI29" s="18" t="s">
        <v>79</v>
      </c>
      <c r="AJ29" s="18" t="s">
        <v>96</v>
      </c>
      <c r="AK29" s="18" t="s">
        <v>109</v>
      </c>
      <c r="AL29" s="18" t="s">
        <v>122</v>
      </c>
      <c r="AM29" s="18" t="s">
        <v>198</v>
      </c>
      <c r="AN29" s="18" t="s">
        <v>236</v>
      </c>
      <c r="AO29" s="18"/>
      <c r="AP29" s="18">
        <v>1</v>
      </c>
      <c r="AQ29" s="18">
        <v>1</v>
      </c>
      <c r="AR29" s="18">
        <v>1</v>
      </c>
      <c r="AS29" s="18">
        <v>1</v>
      </c>
      <c r="AT29" s="18">
        <v>0</v>
      </c>
      <c r="AU29" s="18">
        <v>4</v>
      </c>
      <c r="AV29" s="49">
        <f t="shared" si="0"/>
        <v>0</v>
      </c>
      <c r="AW29" s="49">
        <v>2</v>
      </c>
      <c r="AX29" s="50">
        <v>7</v>
      </c>
      <c r="AY29" s="49">
        <v>4</v>
      </c>
      <c r="AZ29" s="49">
        <v>15</v>
      </c>
      <c r="BA29" s="67">
        <v>6</v>
      </c>
      <c r="BB29" s="67">
        <v>2</v>
      </c>
      <c r="BC29" s="67">
        <v>6</v>
      </c>
      <c r="BD29" s="67">
        <f t="shared" si="1"/>
        <v>0</v>
      </c>
      <c r="BE29" s="67">
        <v>1</v>
      </c>
      <c r="BF29" s="67">
        <v>1</v>
      </c>
      <c r="BG29" s="67">
        <v>0</v>
      </c>
      <c r="BH29" s="67">
        <v>1</v>
      </c>
      <c r="BI29" s="67">
        <v>1</v>
      </c>
      <c r="BJ29" s="67">
        <v>10</v>
      </c>
      <c r="BK29" s="67">
        <v>22</v>
      </c>
      <c r="BL29" s="18">
        <v>28</v>
      </c>
      <c r="BM29" s="18"/>
      <c r="BN29" s="18"/>
    </row>
    <row r="30" spans="1:155" x14ac:dyDescent="0.25">
      <c r="A30" s="18" t="s">
        <v>6</v>
      </c>
      <c r="B30" s="18">
        <v>2024</v>
      </c>
      <c r="C30" s="18" t="s">
        <v>138</v>
      </c>
      <c r="D30" s="18" t="s">
        <v>245</v>
      </c>
      <c r="E30" s="18">
        <v>50</v>
      </c>
      <c r="F30" s="18">
        <v>50</v>
      </c>
      <c r="G30" s="18" t="s">
        <v>154</v>
      </c>
      <c r="H30" s="18" t="s">
        <v>154</v>
      </c>
      <c r="I30" s="18" t="s">
        <v>292</v>
      </c>
      <c r="J30" s="4">
        <v>14</v>
      </c>
      <c r="K30" s="4">
        <v>14.5</v>
      </c>
      <c r="L30" s="4">
        <v>0.5</v>
      </c>
      <c r="M30" s="5">
        <v>0.22</v>
      </c>
      <c r="N30" s="31">
        <v>0.11</v>
      </c>
      <c r="O30" s="31">
        <v>0.11</v>
      </c>
      <c r="P30" s="31">
        <v>5.5</v>
      </c>
      <c r="Q30" s="31">
        <v>20</v>
      </c>
      <c r="R30" s="31">
        <v>0.1</v>
      </c>
      <c r="S30" s="31">
        <v>0.1</v>
      </c>
      <c r="T30" s="65">
        <v>20</v>
      </c>
      <c r="U30" s="31">
        <v>1</v>
      </c>
      <c r="V30" s="31"/>
      <c r="W30" s="31">
        <v>1</v>
      </c>
      <c r="X30" s="31">
        <v>100</v>
      </c>
      <c r="Y30" s="18">
        <v>24</v>
      </c>
      <c r="Z30" s="18" t="s">
        <v>330</v>
      </c>
      <c r="AA30" s="18" t="s">
        <v>333</v>
      </c>
      <c r="AB30" s="18" t="s">
        <v>337</v>
      </c>
      <c r="AC30" s="18">
        <v>20</v>
      </c>
      <c r="AD30" s="18">
        <v>5.5</v>
      </c>
      <c r="AE30" s="18" t="s">
        <v>29</v>
      </c>
      <c r="AF30" s="18" t="s">
        <v>24</v>
      </c>
      <c r="AG30" s="18" t="s">
        <v>24</v>
      </c>
      <c r="AH30" s="18" t="s">
        <v>66</v>
      </c>
      <c r="AI30" s="18" t="s">
        <v>79</v>
      </c>
      <c r="AJ30" s="18" t="s">
        <v>96</v>
      </c>
      <c r="AK30" s="18" t="s">
        <v>109</v>
      </c>
      <c r="AL30" s="18" t="s">
        <v>122</v>
      </c>
      <c r="AM30" s="18" t="s">
        <v>198</v>
      </c>
      <c r="AN30" s="18" t="s">
        <v>236</v>
      </c>
      <c r="AO30" s="18"/>
      <c r="AP30" s="18">
        <v>1</v>
      </c>
      <c r="AQ30" s="18">
        <v>1</v>
      </c>
      <c r="AR30" s="18">
        <v>1</v>
      </c>
      <c r="AS30" s="18">
        <v>1</v>
      </c>
      <c r="AT30" s="18">
        <v>0</v>
      </c>
      <c r="AU30" s="18">
        <v>4</v>
      </c>
      <c r="AV30" s="49">
        <f t="shared" si="0"/>
        <v>4</v>
      </c>
      <c r="AW30" s="49">
        <v>2</v>
      </c>
      <c r="AX30" s="50">
        <v>7</v>
      </c>
      <c r="AY30" s="49">
        <v>4</v>
      </c>
      <c r="AZ30" s="49">
        <v>15</v>
      </c>
      <c r="BA30" s="67">
        <v>16</v>
      </c>
      <c r="BB30" s="67">
        <v>2</v>
      </c>
      <c r="BC30" s="67">
        <v>8</v>
      </c>
      <c r="BD30" s="67">
        <f t="shared" si="1"/>
        <v>4</v>
      </c>
      <c r="BE30" s="67">
        <v>1</v>
      </c>
      <c r="BF30" s="67">
        <v>1</v>
      </c>
      <c r="BG30" s="67">
        <v>0</v>
      </c>
      <c r="BH30" s="67">
        <v>1</v>
      </c>
      <c r="BI30" s="67">
        <v>1</v>
      </c>
      <c r="BJ30" s="67">
        <v>10</v>
      </c>
      <c r="BK30" s="67">
        <v>28</v>
      </c>
      <c r="BL30" s="18">
        <v>32</v>
      </c>
      <c r="BM30" s="18"/>
      <c r="BN30" s="18"/>
    </row>
    <row r="31" spans="1:155" ht="15.75" thickBot="1" x14ac:dyDescent="0.3">
      <c r="A31" s="18" t="s">
        <v>6</v>
      </c>
      <c r="B31" s="18">
        <v>2024</v>
      </c>
      <c r="C31" s="18" t="s">
        <v>138</v>
      </c>
      <c r="D31" s="18" t="s">
        <v>245</v>
      </c>
      <c r="E31" s="18">
        <v>50</v>
      </c>
      <c r="F31" s="18">
        <v>50</v>
      </c>
      <c r="G31" s="18" t="s">
        <v>154</v>
      </c>
      <c r="H31" s="18" t="s">
        <v>154</v>
      </c>
      <c r="I31" s="18" t="s">
        <v>292</v>
      </c>
      <c r="J31" s="4">
        <v>14.5</v>
      </c>
      <c r="K31" s="4">
        <v>15</v>
      </c>
      <c r="L31" s="4">
        <v>0.5</v>
      </c>
      <c r="M31" s="5">
        <v>0.28000000000000003</v>
      </c>
      <c r="N31" s="31">
        <v>0.14000000000000001</v>
      </c>
      <c r="O31" s="31">
        <v>0.14000000000000001</v>
      </c>
      <c r="P31" s="31">
        <v>28</v>
      </c>
      <c r="Q31" s="31">
        <v>5</v>
      </c>
      <c r="R31" s="31">
        <v>0.14000000000000001</v>
      </c>
      <c r="S31" s="31">
        <v>0</v>
      </c>
      <c r="T31" s="65">
        <v>0</v>
      </c>
      <c r="U31" s="31">
        <v>2</v>
      </c>
      <c r="V31" s="31"/>
      <c r="W31" s="31">
        <v>2</v>
      </c>
      <c r="X31" s="31">
        <v>70</v>
      </c>
      <c r="Y31" s="18">
        <v>0</v>
      </c>
      <c r="Z31" s="18" t="s">
        <v>330</v>
      </c>
      <c r="AA31" s="18" t="s">
        <v>118</v>
      </c>
      <c r="AB31" s="18" t="s">
        <v>337</v>
      </c>
      <c r="AC31" s="18">
        <v>5</v>
      </c>
      <c r="AD31" s="18">
        <v>28</v>
      </c>
      <c r="AE31" s="18" t="s">
        <v>29</v>
      </c>
      <c r="AF31" s="18" t="s">
        <v>24</v>
      </c>
      <c r="AG31" s="18" t="s">
        <v>24</v>
      </c>
      <c r="AH31" s="18" t="s">
        <v>66</v>
      </c>
      <c r="AI31" s="18" t="s">
        <v>79</v>
      </c>
      <c r="AJ31" s="18" t="s">
        <v>96</v>
      </c>
      <c r="AK31" s="18" t="s">
        <v>109</v>
      </c>
      <c r="AL31" s="18" t="s">
        <v>122</v>
      </c>
      <c r="AM31" s="18" t="s">
        <v>198</v>
      </c>
      <c r="AN31" s="18" t="s">
        <v>236</v>
      </c>
      <c r="AO31" s="18"/>
      <c r="AP31" s="18">
        <v>1</v>
      </c>
      <c r="AQ31" s="18">
        <v>1</v>
      </c>
      <c r="AR31" s="18">
        <v>1</v>
      </c>
      <c r="AS31" s="18">
        <v>1</v>
      </c>
      <c r="AT31" s="18">
        <v>0</v>
      </c>
      <c r="AU31" s="18">
        <v>4</v>
      </c>
      <c r="AV31" s="49">
        <f t="shared" si="0"/>
        <v>0</v>
      </c>
      <c r="AW31" s="49">
        <v>2</v>
      </c>
      <c r="AX31" s="50">
        <v>6</v>
      </c>
      <c r="AY31" s="49">
        <v>4</v>
      </c>
      <c r="AZ31" s="49">
        <v>15</v>
      </c>
      <c r="BA31" s="67">
        <v>6</v>
      </c>
      <c r="BB31" s="67">
        <v>2</v>
      </c>
      <c r="BC31" s="67">
        <v>6</v>
      </c>
      <c r="BD31" s="67">
        <f t="shared" si="1"/>
        <v>0</v>
      </c>
      <c r="BE31" s="67">
        <v>1</v>
      </c>
      <c r="BF31" s="67">
        <v>1</v>
      </c>
      <c r="BG31" s="67">
        <v>0</v>
      </c>
      <c r="BH31" s="67">
        <v>1</v>
      </c>
      <c r="BI31" s="67">
        <v>1</v>
      </c>
      <c r="BJ31" s="67">
        <v>10</v>
      </c>
      <c r="BK31" s="67">
        <v>22</v>
      </c>
      <c r="BL31" s="18">
        <v>27</v>
      </c>
      <c r="BM31" s="18"/>
      <c r="BN31" s="18"/>
      <c r="BR31" s="167"/>
      <c r="BS31" s="167"/>
      <c r="BT31" s="167"/>
      <c r="BU31" s="167"/>
    </row>
    <row r="32" spans="1:155" x14ac:dyDescent="0.25">
      <c r="A32" s="18" t="s">
        <v>6</v>
      </c>
      <c r="B32" s="18">
        <v>2024</v>
      </c>
      <c r="C32" s="18" t="s">
        <v>138</v>
      </c>
      <c r="D32" s="18" t="s">
        <v>245</v>
      </c>
      <c r="E32" s="18">
        <v>50</v>
      </c>
      <c r="F32" s="18">
        <v>50</v>
      </c>
      <c r="G32" s="18" t="s">
        <v>154</v>
      </c>
      <c r="H32" s="18" t="s">
        <v>154</v>
      </c>
      <c r="I32" s="18" t="s">
        <v>292</v>
      </c>
      <c r="J32" s="4">
        <v>15</v>
      </c>
      <c r="K32" s="4">
        <v>15.5</v>
      </c>
      <c r="L32" s="4">
        <v>0.5</v>
      </c>
      <c r="M32" s="5">
        <v>0.42</v>
      </c>
      <c r="N32" s="31">
        <v>0.21</v>
      </c>
      <c r="O32" s="31">
        <v>0.21</v>
      </c>
      <c r="P32" s="31">
        <v>10.5</v>
      </c>
      <c r="Q32" s="31">
        <v>20</v>
      </c>
      <c r="R32" s="31">
        <v>0.16</v>
      </c>
      <c r="S32" s="31">
        <v>0.1</v>
      </c>
      <c r="T32" s="65">
        <v>20</v>
      </c>
      <c r="U32" s="31">
        <v>3</v>
      </c>
      <c r="V32" s="31"/>
      <c r="W32" s="31">
        <v>3</v>
      </c>
      <c r="X32" s="31">
        <v>53.333333333333336</v>
      </c>
      <c r="Y32" s="18">
        <v>0</v>
      </c>
      <c r="Z32" s="18" t="s">
        <v>330</v>
      </c>
      <c r="AA32" s="18" t="s">
        <v>333</v>
      </c>
      <c r="AB32" s="18" t="s">
        <v>337</v>
      </c>
      <c r="AC32" s="18">
        <v>20</v>
      </c>
      <c r="AD32" s="18">
        <v>10.5</v>
      </c>
      <c r="AE32" s="18" t="s">
        <v>29</v>
      </c>
      <c r="AF32" s="18" t="s">
        <v>24</v>
      </c>
      <c r="AG32" s="18" t="s">
        <v>24</v>
      </c>
      <c r="AH32" s="18" t="s">
        <v>66</v>
      </c>
      <c r="AI32" s="18" t="s">
        <v>79</v>
      </c>
      <c r="AJ32" s="18" t="s">
        <v>96</v>
      </c>
      <c r="AK32" s="18" t="s">
        <v>109</v>
      </c>
      <c r="AL32" s="18" t="s">
        <v>122</v>
      </c>
      <c r="AM32" s="18" t="s">
        <v>198</v>
      </c>
      <c r="AN32" s="18" t="s">
        <v>236</v>
      </c>
      <c r="AO32" s="18"/>
      <c r="AP32" s="18">
        <v>1</v>
      </c>
      <c r="AQ32" s="18">
        <v>1</v>
      </c>
      <c r="AR32" s="18">
        <v>1</v>
      </c>
      <c r="AS32" s="18">
        <v>1</v>
      </c>
      <c r="AT32" s="18">
        <v>0</v>
      </c>
      <c r="AU32" s="18">
        <v>4</v>
      </c>
      <c r="AV32" s="49">
        <f t="shared" si="0"/>
        <v>4</v>
      </c>
      <c r="AW32" s="49">
        <v>2</v>
      </c>
      <c r="AX32" s="50">
        <v>6</v>
      </c>
      <c r="AY32" s="49">
        <v>4</v>
      </c>
      <c r="AZ32" s="49">
        <v>15</v>
      </c>
      <c r="BA32" s="67">
        <v>16</v>
      </c>
      <c r="BB32" s="67">
        <v>2</v>
      </c>
      <c r="BC32" s="67">
        <v>4</v>
      </c>
      <c r="BD32" s="67">
        <f t="shared" si="1"/>
        <v>4</v>
      </c>
      <c r="BE32" s="67">
        <v>1</v>
      </c>
      <c r="BF32" s="67">
        <v>1</v>
      </c>
      <c r="BG32" s="67">
        <v>0</v>
      </c>
      <c r="BH32" s="67">
        <v>1</v>
      </c>
      <c r="BI32" s="67">
        <v>1</v>
      </c>
      <c r="BJ32" s="67">
        <v>10</v>
      </c>
      <c r="BK32" s="67">
        <v>24</v>
      </c>
      <c r="BL32" s="18">
        <v>31</v>
      </c>
      <c r="BM32" s="18"/>
      <c r="BN32" s="18"/>
      <c r="BR32" s="167"/>
      <c r="BS32" s="181" t="s">
        <v>194</v>
      </c>
      <c r="BT32" s="181"/>
      <c r="BU32" s="167"/>
    </row>
    <row r="33" spans="1:73" x14ac:dyDescent="0.25">
      <c r="A33" s="18" t="s">
        <v>6</v>
      </c>
      <c r="B33" s="18">
        <v>2024</v>
      </c>
      <c r="C33" s="18" t="s">
        <v>138</v>
      </c>
      <c r="D33" s="18" t="s">
        <v>245</v>
      </c>
      <c r="E33" s="18">
        <v>50</v>
      </c>
      <c r="F33" s="18">
        <v>50</v>
      </c>
      <c r="G33" s="18" t="s">
        <v>154</v>
      </c>
      <c r="H33" s="18" t="s">
        <v>154</v>
      </c>
      <c r="I33" s="18" t="s">
        <v>292</v>
      </c>
      <c r="J33" s="4">
        <v>15.5</v>
      </c>
      <c r="K33" s="4">
        <v>16</v>
      </c>
      <c r="L33" s="4">
        <v>0.5</v>
      </c>
      <c r="M33" s="5">
        <v>0.34</v>
      </c>
      <c r="N33" s="31">
        <v>0.17</v>
      </c>
      <c r="O33" s="31">
        <v>0.17</v>
      </c>
      <c r="P33" s="31">
        <v>8.5</v>
      </c>
      <c r="Q33" s="31">
        <v>20</v>
      </c>
      <c r="R33" s="31">
        <v>0.16</v>
      </c>
      <c r="S33" s="31">
        <v>0</v>
      </c>
      <c r="T33" s="65">
        <v>0</v>
      </c>
      <c r="U33" s="31">
        <v>5</v>
      </c>
      <c r="V33" s="31"/>
      <c r="W33" s="31">
        <v>5</v>
      </c>
      <c r="X33" s="31">
        <v>32</v>
      </c>
      <c r="Y33" s="18">
        <v>0</v>
      </c>
      <c r="Z33" s="18" t="s">
        <v>330</v>
      </c>
      <c r="AA33" s="18" t="s">
        <v>333</v>
      </c>
      <c r="AB33" s="18" t="s">
        <v>337</v>
      </c>
      <c r="AC33" s="18">
        <v>20</v>
      </c>
      <c r="AD33" s="18">
        <v>8.5</v>
      </c>
      <c r="AE33" s="18" t="s">
        <v>29</v>
      </c>
      <c r="AF33" s="18" t="s">
        <v>24</v>
      </c>
      <c r="AG33" s="18" t="s">
        <v>24</v>
      </c>
      <c r="AH33" s="18" t="s">
        <v>66</v>
      </c>
      <c r="AI33" s="18" t="s">
        <v>79</v>
      </c>
      <c r="AJ33" s="18" t="s">
        <v>96</v>
      </c>
      <c r="AK33" s="18" t="s">
        <v>109</v>
      </c>
      <c r="AL33" s="18" t="s">
        <v>122</v>
      </c>
      <c r="AM33" s="18" t="s">
        <v>198</v>
      </c>
      <c r="AN33" s="18" t="s">
        <v>236</v>
      </c>
      <c r="AO33" s="18"/>
      <c r="AP33" s="18">
        <v>1</v>
      </c>
      <c r="AQ33" s="18">
        <v>1</v>
      </c>
      <c r="AR33" s="18">
        <v>1</v>
      </c>
      <c r="AS33" s="18">
        <v>1</v>
      </c>
      <c r="AT33" s="18">
        <v>0</v>
      </c>
      <c r="AU33" s="18">
        <v>4</v>
      </c>
      <c r="AV33" s="49">
        <f t="shared" si="0"/>
        <v>0</v>
      </c>
      <c r="AW33" s="49">
        <v>2</v>
      </c>
      <c r="AX33" s="50">
        <v>5</v>
      </c>
      <c r="AY33" s="49">
        <v>4</v>
      </c>
      <c r="AZ33" s="49">
        <v>15</v>
      </c>
      <c r="BA33" s="67">
        <v>6</v>
      </c>
      <c r="BB33" s="67">
        <v>2</v>
      </c>
      <c r="BC33" s="67">
        <v>5</v>
      </c>
      <c r="BD33" s="67">
        <f t="shared" si="1"/>
        <v>0</v>
      </c>
      <c r="BE33" s="67">
        <v>1</v>
      </c>
      <c r="BF33" s="67">
        <v>1</v>
      </c>
      <c r="BG33" s="67">
        <v>0</v>
      </c>
      <c r="BH33" s="67">
        <v>1</v>
      </c>
      <c r="BI33" s="67">
        <v>1</v>
      </c>
      <c r="BJ33" s="67">
        <v>10</v>
      </c>
      <c r="BK33" s="67">
        <v>21</v>
      </c>
      <c r="BL33" s="18">
        <v>26</v>
      </c>
      <c r="BM33" s="18"/>
      <c r="BN33" s="18"/>
      <c r="BR33" s="167"/>
      <c r="BS33" s="167"/>
      <c r="BT33" s="167"/>
      <c r="BU33" s="167"/>
    </row>
    <row r="34" spans="1:73" x14ac:dyDescent="0.25">
      <c r="A34" s="18" t="s">
        <v>6</v>
      </c>
      <c r="B34" s="18">
        <v>2024</v>
      </c>
      <c r="C34" s="18" t="s">
        <v>138</v>
      </c>
      <c r="D34" s="18" t="s">
        <v>245</v>
      </c>
      <c r="E34" s="18">
        <v>50</v>
      </c>
      <c r="F34" s="18">
        <v>50</v>
      </c>
      <c r="G34" s="18" t="s">
        <v>154</v>
      </c>
      <c r="H34" s="18" t="s">
        <v>154</v>
      </c>
      <c r="I34" s="18" t="s">
        <v>292</v>
      </c>
      <c r="J34" s="4">
        <v>16</v>
      </c>
      <c r="K34" s="4">
        <v>16.5</v>
      </c>
      <c r="L34" s="4">
        <v>0.5</v>
      </c>
      <c r="M34" s="5">
        <v>0.3</v>
      </c>
      <c r="N34" s="31">
        <v>0.15</v>
      </c>
      <c r="O34" s="31">
        <v>0.15</v>
      </c>
      <c r="P34" s="31">
        <v>7.5</v>
      </c>
      <c r="Q34" s="31">
        <v>20</v>
      </c>
      <c r="R34" s="31">
        <v>0.14000000000000001</v>
      </c>
      <c r="S34" s="31">
        <v>0</v>
      </c>
      <c r="T34" s="65">
        <v>0</v>
      </c>
      <c r="U34" s="31">
        <v>4</v>
      </c>
      <c r="V34" s="31"/>
      <c r="W34" s="31">
        <v>4</v>
      </c>
      <c r="X34" s="31">
        <v>35</v>
      </c>
      <c r="Y34" s="18">
        <v>0</v>
      </c>
      <c r="Z34" s="18" t="s">
        <v>330</v>
      </c>
      <c r="AA34" s="18" t="s">
        <v>333</v>
      </c>
      <c r="AB34" s="18" t="s">
        <v>337</v>
      </c>
      <c r="AC34" s="18">
        <v>20</v>
      </c>
      <c r="AD34" s="18">
        <v>7.5</v>
      </c>
      <c r="AE34" s="18" t="s">
        <v>29</v>
      </c>
      <c r="AF34" s="18" t="s">
        <v>27</v>
      </c>
      <c r="AG34" s="18" t="s">
        <v>27</v>
      </c>
      <c r="AH34" s="18" t="s">
        <v>66</v>
      </c>
      <c r="AI34" s="18" t="s">
        <v>79</v>
      </c>
      <c r="AJ34" s="18" t="s">
        <v>96</v>
      </c>
      <c r="AK34" s="18" t="s">
        <v>109</v>
      </c>
      <c r="AL34" s="18" t="s">
        <v>122</v>
      </c>
      <c r="AM34" s="18" t="s">
        <v>198</v>
      </c>
      <c r="AN34" s="18" t="s">
        <v>237</v>
      </c>
      <c r="AO34" s="18"/>
      <c r="AP34" s="18">
        <v>1</v>
      </c>
      <c r="AQ34" s="18">
        <v>1</v>
      </c>
      <c r="AR34" s="18">
        <v>1</v>
      </c>
      <c r="AS34" s="18">
        <v>1</v>
      </c>
      <c r="AT34" s="18">
        <v>0</v>
      </c>
      <c r="AU34" s="18">
        <v>4</v>
      </c>
      <c r="AV34" s="49">
        <f t="shared" si="0"/>
        <v>0</v>
      </c>
      <c r="AW34" s="49">
        <v>2</v>
      </c>
      <c r="AX34" s="50">
        <v>5</v>
      </c>
      <c r="AY34" s="49">
        <v>4</v>
      </c>
      <c r="AZ34" s="49">
        <v>15</v>
      </c>
      <c r="BA34" s="67">
        <v>6</v>
      </c>
      <c r="BB34" s="67">
        <v>2</v>
      </c>
      <c r="BC34" s="67">
        <v>5</v>
      </c>
      <c r="BD34" s="67">
        <f t="shared" si="1"/>
        <v>0</v>
      </c>
      <c r="BE34" s="67">
        <v>1</v>
      </c>
      <c r="BF34" s="67">
        <v>1</v>
      </c>
      <c r="BG34" s="67">
        <v>0</v>
      </c>
      <c r="BH34" s="67">
        <v>1</v>
      </c>
      <c r="BI34" s="67">
        <v>1</v>
      </c>
      <c r="BJ34" s="67">
        <v>10</v>
      </c>
      <c r="BK34" s="67">
        <v>21</v>
      </c>
      <c r="BL34" s="18">
        <v>26</v>
      </c>
      <c r="BM34" s="18"/>
      <c r="BN34" s="18"/>
      <c r="BR34" s="167"/>
      <c r="BS34" s="167" t="s">
        <v>307</v>
      </c>
      <c r="BT34" s="167">
        <v>23.715328467153284</v>
      </c>
      <c r="BU34" s="167"/>
    </row>
    <row r="35" spans="1:73" x14ac:dyDescent="0.25">
      <c r="A35" s="18" t="s">
        <v>6</v>
      </c>
      <c r="B35" s="18">
        <v>2024</v>
      </c>
      <c r="C35" s="18" t="s">
        <v>138</v>
      </c>
      <c r="D35" s="18" t="s">
        <v>245</v>
      </c>
      <c r="E35" s="18">
        <v>50</v>
      </c>
      <c r="F35" s="18">
        <v>50</v>
      </c>
      <c r="G35" s="18" t="s">
        <v>154</v>
      </c>
      <c r="H35" s="18" t="s">
        <v>154</v>
      </c>
      <c r="I35" s="18" t="s">
        <v>292</v>
      </c>
      <c r="J35" s="4">
        <v>16.5</v>
      </c>
      <c r="K35" s="4">
        <v>17</v>
      </c>
      <c r="L35" s="4">
        <v>0.5</v>
      </c>
      <c r="M35" s="5">
        <v>0.28000000000000003</v>
      </c>
      <c r="N35" s="31">
        <v>0.14000000000000001</v>
      </c>
      <c r="O35" s="31">
        <v>0.14000000000000001</v>
      </c>
      <c r="P35" s="31">
        <v>28</v>
      </c>
      <c r="Q35" s="31">
        <v>5</v>
      </c>
      <c r="R35" s="31">
        <v>0.14000000000000001</v>
      </c>
      <c r="S35" s="31">
        <v>0</v>
      </c>
      <c r="T35" s="65">
        <v>0</v>
      </c>
      <c r="U35" s="31">
        <v>5</v>
      </c>
      <c r="V35" s="31"/>
      <c r="W35" s="31">
        <v>5</v>
      </c>
      <c r="X35" s="31">
        <v>28</v>
      </c>
      <c r="Y35" s="18">
        <v>0</v>
      </c>
      <c r="Z35" s="18" t="s">
        <v>330</v>
      </c>
      <c r="AA35" s="18" t="s">
        <v>118</v>
      </c>
      <c r="AB35" s="18" t="s">
        <v>337</v>
      </c>
      <c r="AC35" s="18">
        <v>5</v>
      </c>
      <c r="AD35" s="18">
        <v>28</v>
      </c>
      <c r="AE35" s="18" t="s">
        <v>29</v>
      </c>
      <c r="AF35" s="18" t="s">
        <v>27</v>
      </c>
      <c r="AG35" s="18" t="s">
        <v>27</v>
      </c>
      <c r="AH35" s="18" t="s">
        <v>66</v>
      </c>
      <c r="AI35" s="18" t="s">
        <v>79</v>
      </c>
      <c r="AJ35" s="18" t="s">
        <v>96</v>
      </c>
      <c r="AK35" s="18" t="s">
        <v>109</v>
      </c>
      <c r="AL35" s="18" t="s">
        <v>122</v>
      </c>
      <c r="AM35" s="18" t="s">
        <v>198</v>
      </c>
      <c r="AN35" s="18" t="s">
        <v>237</v>
      </c>
      <c r="AO35" s="18"/>
      <c r="AP35" s="18">
        <v>1</v>
      </c>
      <c r="AQ35" s="18">
        <v>1</v>
      </c>
      <c r="AR35" s="18">
        <v>1</v>
      </c>
      <c r="AS35" s="18">
        <v>1</v>
      </c>
      <c r="AT35" s="18">
        <v>0</v>
      </c>
      <c r="AU35" s="18">
        <v>4</v>
      </c>
      <c r="AV35" s="49">
        <f t="shared" si="0"/>
        <v>0</v>
      </c>
      <c r="AW35" s="49">
        <v>2</v>
      </c>
      <c r="AX35" s="50">
        <v>5</v>
      </c>
      <c r="AY35" s="49">
        <v>4</v>
      </c>
      <c r="AZ35" s="49">
        <v>15</v>
      </c>
      <c r="BA35" s="67">
        <v>6</v>
      </c>
      <c r="BB35" s="67">
        <v>2</v>
      </c>
      <c r="BC35" s="67">
        <v>5</v>
      </c>
      <c r="BD35" s="67">
        <f t="shared" si="1"/>
        <v>0</v>
      </c>
      <c r="BE35" s="67">
        <v>1</v>
      </c>
      <c r="BF35" s="67">
        <v>1</v>
      </c>
      <c r="BG35" s="67">
        <v>0</v>
      </c>
      <c r="BH35" s="67">
        <v>1</v>
      </c>
      <c r="BI35" s="67">
        <v>1</v>
      </c>
      <c r="BJ35" s="67">
        <v>10</v>
      </c>
      <c r="BK35" s="67">
        <v>21</v>
      </c>
      <c r="BL35" s="18">
        <v>26</v>
      </c>
      <c r="BM35" s="18"/>
      <c r="BN35" s="18"/>
      <c r="BR35" s="167"/>
      <c r="BS35" s="167" t="s">
        <v>308</v>
      </c>
      <c r="BT35" s="167">
        <v>0.65419255154301703</v>
      </c>
      <c r="BU35" s="167"/>
    </row>
    <row r="36" spans="1:73" x14ac:dyDescent="0.25">
      <c r="A36" s="18" t="s">
        <v>6</v>
      </c>
      <c r="B36" s="18">
        <v>2024</v>
      </c>
      <c r="C36" s="18" t="s">
        <v>138</v>
      </c>
      <c r="D36" s="18" t="s">
        <v>245</v>
      </c>
      <c r="E36" s="18">
        <v>50</v>
      </c>
      <c r="F36" s="18">
        <v>50</v>
      </c>
      <c r="G36" s="18" t="s">
        <v>154</v>
      </c>
      <c r="H36" s="18" t="s">
        <v>154</v>
      </c>
      <c r="I36" s="18" t="s">
        <v>292</v>
      </c>
      <c r="J36" s="4">
        <v>17</v>
      </c>
      <c r="K36" s="4">
        <v>17.5</v>
      </c>
      <c r="L36" s="4">
        <v>0.5</v>
      </c>
      <c r="M36" s="5">
        <v>0.22</v>
      </c>
      <c r="N36" s="31">
        <v>0.11</v>
      </c>
      <c r="O36" s="31">
        <v>0.11</v>
      </c>
      <c r="P36" s="31">
        <v>5.5</v>
      </c>
      <c r="Q36" s="31">
        <v>20</v>
      </c>
      <c r="R36" s="31">
        <v>0.11</v>
      </c>
      <c r="S36" s="31">
        <v>0</v>
      </c>
      <c r="T36" s="65">
        <v>0</v>
      </c>
      <c r="U36" s="31">
        <v>3</v>
      </c>
      <c r="V36" s="31"/>
      <c r="W36" s="31">
        <v>3</v>
      </c>
      <c r="X36" s="31">
        <v>36.666666666666664</v>
      </c>
      <c r="Y36" s="18">
        <v>0</v>
      </c>
      <c r="Z36" s="18" t="s">
        <v>330</v>
      </c>
      <c r="AA36" s="18" t="s">
        <v>333</v>
      </c>
      <c r="AB36" s="18" t="s">
        <v>337</v>
      </c>
      <c r="AC36" s="18">
        <v>20</v>
      </c>
      <c r="AD36" s="18">
        <v>5.5</v>
      </c>
      <c r="AE36" s="18" t="s">
        <v>29</v>
      </c>
      <c r="AF36" s="18" t="s">
        <v>27</v>
      </c>
      <c r="AG36" s="18" t="s">
        <v>27</v>
      </c>
      <c r="AH36" s="18" t="s">
        <v>66</v>
      </c>
      <c r="AI36" s="18" t="s">
        <v>79</v>
      </c>
      <c r="AJ36" s="18" t="s">
        <v>96</v>
      </c>
      <c r="AK36" s="18" t="s">
        <v>109</v>
      </c>
      <c r="AL36" s="18" t="s">
        <v>122</v>
      </c>
      <c r="AM36" s="18" t="s">
        <v>198</v>
      </c>
      <c r="AN36" s="18" t="s">
        <v>237</v>
      </c>
      <c r="AO36" s="18"/>
      <c r="AP36" s="18">
        <v>1</v>
      </c>
      <c r="AQ36" s="18">
        <v>1</v>
      </c>
      <c r="AR36" s="18">
        <v>1</v>
      </c>
      <c r="AS36" s="18">
        <v>1</v>
      </c>
      <c r="AT36" s="18">
        <v>0</v>
      </c>
      <c r="AU36" s="18">
        <v>4</v>
      </c>
      <c r="AV36" s="49">
        <f t="shared" si="0"/>
        <v>0</v>
      </c>
      <c r="AW36" s="49">
        <v>2</v>
      </c>
      <c r="AX36" s="50">
        <v>5</v>
      </c>
      <c r="AY36" s="49">
        <v>4</v>
      </c>
      <c r="AZ36" s="49">
        <v>15</v>
      </c>
      <c r="BA36" s="67">
        <v>6</v>
      </c>
      <c r="BB36" s="67">
        <v>2</v>
      </c>
      <c r="BC36" s="67">
        <v>5</v>
      </c>
      <c r="BD36" s="67">
        <f t="shared" si="1"/>
        <v>0</v>
      </c>
      <c r="BE36" s="67">
        <v>1</v>
      </c>
      <c r="BF36" s="67">
        <v>1</v>
      </c>
      <c r="BG36" s="67">
        <v>0</v>
      </c>
      <c r="BH36" s="67">
        <v>1</v>
      </c>
      <c r="BI36" s="67">
        <v>1</v>
      </c>
      <c r="BJ36" s="67">
        <v>10</v>
      </c>
      <c r="BK36" s="67">
        <v>21</v>
      </c>
      <c r="BL36" s="18">
        <v>26</v>
      </c>
      <c r="BM36" s="18"/>
      <c r="BN36" s="18"/>
      <c r="BR36" s="167"/>
      <c r="BS36" s="167" t="s">
        <v>309</v>
      </c>
      <c r="BT36" s="167">
        <v>21</v>
      </c>
      <c r="BU36" s="167"/>
    </row>
    <row r="37" spans="1:73" x14ac:dyDescent="0.25">
      <c r="A37" s="18" t="s">
        <v>6</v>
      </c>
      <c r="B37" s="18">
        <v>2024</v>
      </c>
      <c r="C37" s="18" t="s">
        <v>138</v>
      </c>
      <c r="D37" s="18" t="s">
        <v>245</v>
      </c>
      <c r="E37" s="18">
        <v>50</v>
      </c>
      <c r="F37" s="18">
        <v>50</v>
      </c>
      <c r="G37" s="18" t="s">
        <v>154</v>
      </c>
      <c r="H37" s="18" t="s">
        <v>154</v>
      </c>
      <c r="I37" s="18" t="s">
        <v>292</v>
      </c>
      <c r="J37" s="4">
        <v>17.5</v>
      </c>
      <c r="K37" s="4">
        <v>18</v>
      </c>
      <c r="L37" s="4">
        <v>0.5</v>
      </c>
      <c r="M37" s="5">
        <v>0.22</v>
      </c>
      <c r="N37" s="31">
        <v>0.11</v>
      </c>
      <c r="O37" s="31">
        <v>0.11</v>
      </c>
      <c r="P37" s="31">
        <v>22</v>
      </c>
      <c r="Q37" s="31">
        <v>5</v>
      </c>
      <c r="R37" s="31">
        <v>0.11</v>
      </c>
      <c r="S37" s="31">
        <v>0</v>
      </c>
      <c r="T37" s="65">
        <v>0</v>
      </c>
      <c r="U37" s="31">
        <v>5</v>
      </c>
      <c r="V37" s="31"/>
      <c r="W37" s="31">
        <v>5</v>
      </c>
      <c r="X37" s="31">
        <v>22</v>
      </c>
      <c r="Y37" s="18">
        <v>0</v>
      </c>
      <c r="Z37" s="18" t="s">
        <v>330</v>
      </c>
      <c r="AA37" s="18" t="s">
        <v>118</v>
      </c>
      <c r="AB37" s="18" t="s">
        <v>337</v>
      </c>
      <c r="AC37" s="18">
        <v>5</v>
      </c>
      <c r="AD37" s="18">
        <v>22</v>
      </c>
      <c r="AE37" s="18" t="s">
        <v>29</v>
      </c>
      <c r="AF37" s="18" t="s">
        <v>27</v>
      </c>
      <c r="AG37" s="18" t="s">
        <v>27</v>
      </c>
      <c r="AH37" s="18" t="s">
        <v>66</v>
      </c>
      <c r="AI37" s="18" t="s">
        <v>79</v>
      </c>
      <c r="AJ37" s="18" t="s">
        <v>96</v>
      </c>
      <c r="AK37" s="18" t="s">
        <v>109</v>
      </c>
      <c r="AL37" s="18" t="s">
        <v>122</v>
      </c>
      <c r="AM37" s="18" t="s">
        <v>198</v>
      </c>
      <c r="AN37" s="18" t="s">
        <v>237</v>
      </c>
      <c r="AO37" s="18"/>
      <c r="AP37" s="18">
        <v>1</v>
      </c>
      <c r="AQ37" s="18">
        <v>1</v>
      </c>
      <c r="AR37" s="18">
        <v>1</v>
      </c>
      <c r="AS37" s="18">
        <v>1</v>
      </c>
      <c r="AT37" s="18">
        <v>0</v>
      </c>
      <c r="AU37" s="18">
        <v>4</v>
      </c>
      <c r="AV37" s="49">
        <f t="shared" si="0"/>
        <v>0</v>
      </c>
      <c r="AW37" s="49">
        <v>2</v>
      </c>
      <c r="AX37" s="50">
        <v>4</v>
      </c>
      <c r="AY37" s="49">
        <v>4</v>
      </c>
      <c r="AZ37" s="49">
        <v>15</v>
      </c>
      <c r="BA37" s="67">
        <v>6</v>
      </c>
      <c r="BB37" s="67">
        <v>2</v>
      </c>
      <c r="BC37" s="67">
        <v>5</v>
      </c>
      <c r="BD37" s="67">
        <f t="shared" si="1"/>
        <v>0</v>
      </c>
      <c r="BE37" s="67">
        <v>1</v>
      </c>
      <c r="BF37" s="67">
        <v>1</v>
      </c>
      <c r="BG37" s="67">
        <v>0</v>
      </c>
      <c r="BH37" s="67">
        <v>1</v>
      </c>
      <c r="BI37" s="67">
        <v>1</v>
      </c>
      <c r="BJ37" s="67">
        <v>10</v>
      </c>
      <c r="BK37" s="67">
        <v>21</v>
      </c>
      <c r="BL37" s="18">
        <v>25</v>
      </c>
      <c r="BM37" s="18"/>
      <c r="BN37" s="18"/>
      <c r="BR37" s="167"/>
      <c r="BS37" s="167" t="s">
        <v>310</v>
      </c>
      <c r="BT37" s="167">
        <v>17</v>
      </c>
      <c r="BU37" s="167"/>
    </row>
    <row r="38" spans="1:73" x14ac:dyDescent="0.25">
      <c r="A38" s="18" t="s">
        <v>6</v>
      </c>
      <c r="B38" s="18">
        <v>2024</v>
      </c>
      <c r="C38" s="18" t="s">
        <v>138</v>
      </c>
      <c r="D38" s="18" t="s">
        <v>245</v>
      </c>
      <c r="E38" s="18">
        <v>50</v>
      </c>
      <c r="F38" s="18">
        <v>50</v>
      </c>
      <c r="G38" s="18" t="s">
        <v>154</v>
      </c>
      <c r="H38" s="18" t="s">
        <v>154</v>
      </c>
      <c r="I38" s="18"/>
      <c r="J38" s="4">
        <v>18</v>
      </c>
      <c r="K38" s="4">
        <v>18.5</v>
      </c>
      <c r="L38" s="4">
        <v>0.5</v>
      </c>
      <c r="M38" s="5">
        <v>0</v>
      </c>
      <c r="N38" s="31">
        <v>0</v>
      </c>
      <c r="O38" s="31">
        <v>0</v>
      </c>
      <c r="P38" s="31" t="s">
        <v>348</v>
      </c>
      <c r="Q38" s="31">
        <v>20</v>
      </c>
      <c r="R38" s="31">
        <v>0</v>
      </c>
      <c r="S38" s="31">
        <v>0</v>
      </c>
      <c r="T38" s="65">
        <v>0</v>
      </c>
      <c r="U38" s="31">
        <v>10</v>
      </c>
      <c r="V38" s="31"/>
      <c r="W38" s="31">
        <v>10</v>
      </c>
      <c r="X38" s="31">
        <v>10</v>
      </c>
      <c r="Y38" s="18">
        <v>0</v>
      </c>
      <c r="Z38" s="18" t="s">
        <v>330</v>
      </c>
      <c r="AA38" s="18" t="s">
        <v>333</v>
      </c>
      <c r="AB38" s="18" t="s">
        <v>337</v>
      </c>
      <c r="AC38" s="18">
        <v>20</v>
      </c>
      <c r="AD38" s="18" t="s">
        <v>348</v>
      </c>
      <c r="AE38" s="18" t="s">
        <v>29</v>
      </c>
      <c r="AF38" s="18" t="s">
        <v>27</v>
      </c>
      <c r="AG38" s="18" t="s">
        <v>27</v>
      </c>
      <c r="AH38" s="18" t="s">
        <v>66</v>
      </c>
      <c r="AI38" s="18" t="s">
        <v>79</v>
      </c>
      <c r="AJ38" s="18" t="s">
        <v>96</v>
      </c>
      <c r="AK38" s="18" t="s">
        <v>109</v>
      </c>
      <c r="AL38" s="18" t="s">
        <v>122</v>
      </c>
      <c r="AM38" s="18" t="s">
        <v>198</v>
      </c>
      <c r="AN38" s="18"/>
      <c r="AO38" s="18"/>
      <c r="AP38" s="18">
        <v>1</v>
      </c>
      <c r="AQ38" s="18">
        <v>1</v>
      </c>
      <c r="AR38" s="18">
        <v>1</v>
      </c>
      <c r="AS38" s="18">
        <v>1</v>
      </c>
      <c r="AT38" s="18">
        <v>0</v>
      </c>
      <c r="AU38" s="18">
        <v>4</v>
      </c>
      <c r="AV38" s="49">
        <f t="shared" si="0"/>
        <v>0</v>
      </c>
      <c r="AW38" s="49">
        <v>2</v>
      </c>
      <c r="AX38" s="50">
        <v>3</v>
      </c>
      <c r="AY38" s="49">
        <v>4</v>
      </c>
      <c r="AZ38" s="49">
        <v>15</v>
      </c>
      <c r="BA38" s="67">
        <v>6</v>
      </c>
      <c r="BB38" s="67">
        <v>2</v>
      </c>
      <c r="BC38" s="67">
        <v>5</v>
      </c>
      <c r="BD38" s="67">
        <f t="shared" si="1"/>
        <v>0</v>
      </c>
      <c r="BE38" s="67">
        <v>1</v>
      </c>
      <c r="BF38" s="67">
        <v>1</v>
      </c>
      <c r="BG38" s="67">
        <v>0</v>
      </c>
      <c r="BH38" s="67">
        <v>1</v>
      </c>
      <c r="BI38" s="67">
        <v>1</v>
      </c>
      <c r="BJ38" s="67">
        <v>10</v>
      </c>
      <c r="BK38" s="67">
        <v>21</v>
      </c>
      <c r="BL38" s="18">
        <v>24</v>
      </c>
      <c r="BM38" s="18"/>
      <c r="BN38" s="18"/>
      <c r="BR38" s="167"/>
      <c r="BS38" s="167" t="s">
        <v>311</v>
      </c>
      <c r="BT38" s="167">
        <v>7.6571274996389951</v>
      </c>
      <c r="BU38" s="167"/>
    </row>
    <row r="39" spans="1:73" x14ac:dyDescent="0.25">
      <c r="A39" s="18" t="s">
        <v>6</v>
      </c>
      <c r="B39" s="18">
        <v>2024</v>
      </c>
      <c r="C39" s="18" t="s">
        <v>138</v>
      </c>
      <c r="D39" s="18" t="s">
        <v>245</v>
      </c>
      <c r="E39" s="18">
        <v>50</v>
      </c>
      <c r="F39" s="18">
        <v>50</v>
      </c>
      <c r="G39" s="18" t="s">
        <v>154</v>
      </c>
      <c r="H39" s="18" t="s">
        <v>154</v>
      </c>
      <c r="I39" s="18" t="s">
        <v>293</v>
      </c>
      <c r="J39" s="4">
        <v>18.5</v>
      </c>
      <c r="K39" s="4">
        <v>19</v>
      </c>
      <c r="L39" s="4">
        <v>0.5</v>
      </c>
      <c r="M39" s="5">
        <v>0.14000000000000001</v>
      </c>
      <c r="N39" s="31">
        <v>7.0000000000000007E-2</v>
      </c>
      <c r="O39" s="31">
        <v>7.0000000000000007E-2</v>
      </c>
      <c r="P39" s="31">
        <v>3.5</v>
      </c>
      <c r="Q39" s="31">
        <v>20</v>
      </c>
      <c r="R39" s="31">
        <v>0.1</v>
      </c>
      <c r="S39" s="31">
        <v>0</v>
      </c>
      <c r="T39" s="65">
        <v>0</v>
      </c>
      <c r="U39" s="31">
        <v>10</v>
      </c>
      <c r="V39" s="31"/>
      <c r="W39" s="31">
        <v>10</v>
      </c>
      <c r="X39" s="31">
        <v>10</v>
      </c>
      <c r="Y39" s="18">
        <v>0</v>
      </c>
      <c r="Z39" s="18" t="s">
        <v>330</v>
      </c>
      <c r="AA39" s="18" t="s">
        <v>333</v>
      </c>
      <c r="AB39" s="18" t="s">
        <v>337</v>
      </c>
      <c r="AC39" s="18">
        <v>20</v>
      </c>
      <c r="AD39" s="18">
        <v>3.5</v>
      </c>
      <c r="AE39" s="18" t="s">
        <v>29</v>
      </c>
      <c r="AF39" s="18" t="s">
        <v>239</v>
      </c>
      <c r="AG39" s="18" t="s">
        <v>239</v>
      </c>
      <c r="AH39" s="18" t="s">
        <v>69</v>
      </c>
      <c r="AI39" s="18" t="s">
        <v>81</v>
      </c>
      <c r="AJ39" s="18" t="s">
        <v>100</v>
      </c>
      <c r="AK39" s="18" t="s">
        <v>109</v>
      </c>
      <c r="AL39" s="18" t="s">
        <v>122</v>
      </c>
      <c r="AM39" s="18" t="s">
        <v>198</v>
      </c>
      <c r="AN39" s="18" t="s">
        <v>238</v>
      </c>
      <c r="AO39" s="18"/>
      <c r="AP39" s="18">
        <v>0</v>
      </c>
      <c r="AQ39" s="18">
        <v>0</v>
      </c>
      <c r="AR39" s="18">
        <v>0</v>
      </c>
      <c r="AS39" s="18">
        <v>1</v>
      </c>
      <c r="AT39" s="18">
        <v>0</v>
      </c>
      <c r="AU39" s="18">
        <v>1</v>
      </c>
      <c r="AV39" s="49">
        <f t="shared" si="0"/>
        <v>0</v>
      </c>
      <c r="AW39" s="49">
        <v>2</v>
      </c>
      <c r="AX39" s="50">
        <v>3</v>
      </c>
      <c r="AY39" s="49">
        <v>1</v>
      </c>
      <c r="AZ39" s="49">
        <v>15</v>
      </c>
      <c r="BA39" s="67">
        <v>1.5</v>
      </c>
      <c r="BB39" s="67">
        <v>2</v>
      </c>
      <c r="BC39" s="67">
        <v>5</v>
      </c>
      <c r="BD39" s="67">
        <f t="shared" si="1"/>
        <v>0</v>
      </c>
      <c r="BE39" s="67">
        <v>0</v>
      </c>
      <c r="BF39" s="67">
        <v>1</v>
      </c>
      <c r="BG39" s="67">
        <v>0</v>
      </c>
      <c r="BH39" s="67">
        <v>0</v>
      </c>
      <c r="BI39" s="67">
        <v>0</v>
      </c>
      <c r="BJ39" s="67">
        <v>10</v>
      </c>
      <c r="BK39" s="67">
        <v>18</v>
      </c>
      <c r="BL39" s="18">
        <v>21</v>
      </c>
      <c r="BM39" s="18"/>
      <c r="BN39" s="18"/>
      <c r="BR39" s="167"/>
      <c r="BS39" s="167" t="s">
        <v>312</v>
      </c>
      <c r="BT39" s="167">
        <v>58.631601545727733</v>
      </c>
      <c r="BU39" s="167"/>
    </row>
    <row r="40" spans="1:73" x14ac:dyDescent="0.25">
      <c r="A40" s="18" t="s">
        <v>6</v>
      </c>
      <c r="B40" s="18">
        <v>2024</v>
      </c>
      <c r="C40" s="18" t="s">
        <v>138</v>
      </c>
      <c r="D40" s="18" t="s">
        <v>245</v>
      </c>
      <c r="E40" s="18">
        <v>50</v>
      </c>
      <c r="F40" s="18">
        <v>50</v>
      </c>
      <c r="G40" s="18" t="s">
        <v>154</v>
      </c>
      <c r="H40" s="18" t="s">
        <v>154</v>
      </c>
      <c r="I40" s="18" t="s">
        <v>293</v>
      </c>
      <c r="J40" s="4">
        <v>19</v>
      </c>
      <c r="K40" s="4">
        <v>19.5</v>
      </c>
      <c r="L40" s="4">
        <v>0.5</v>
      </c>
      <c r="M40" s="5">
        <v>0.38</v>
      </c>
      <c r="N40" s="31">
        <v>0.19</v>
      </c>
      <c r="O40" s="31">
        <v>0.19</v>
      </c>
      <c r="P40" s="31">
        <v>9.5</v>
      </c>
      <c r="Q40" s="31">
        <v>20</v>
      </c>
      <c r="R40" s="31">
        <v>0.18</v>
      </c>
      <c r="S40" s="31">
        <v>0</v>
      </c>
      <c r="T40" s="65">
        <v>0</v>
      </c>
      <c r="U40" s="31">
        <v>5</v>
      </c>
      <c r="V40" s="31"/>
      <c r="W40" s="31">
        <v>5</v>
      </c>
      <c r="X40" s="31">
        <v>36</v>
      </c>
      <c r="Y40" s="18">
        <v>0</v>
      </c>
      <c r="Z40" s="18" t="s">
        <v>330</v>
      </c>
      <c r="AA40" s="18" t="s">
        <v>333</v>
      </c>
      <c r="AB40" s="18" t="s">
        <v>337</v>
      </c>
      <c r="AC40" s="18">
        <v>20</v>
      </c>
      <c r="AD40" s="18">
        <v>9.5</v>
      </c>
      <c r="AE40" s="18" t="s">
        <v>29</v>
      </c>
      <c r="AF40" s="18" t="s">
        <v>239</v>
      </c>
      <c r="AG40" s="18" t="s">
        <v>239</v>
      </c>
      <c r="AH40" s="18" t="s">
        <v>69</v>
      </c>
      <c r="AI40" s="18" t="s">
        <v>81</v>
      </c>
      <c r="AJ40" s="18" t="s">
        <v>100</v>
      </c>
      <c r="AK40" s="18" t="s">
        <v>109</v>
      </c>
      <c r="AL40" s="18" t="s">
        <v>122</v>
      </c>
      <c r="AM40" s="18" t="s">
        <v>198</v>
      </c>
      <c r="AN40" s="18" t="s">
        <v>238</v>
      </c>
      <c r="AO40" s="18"/>
      <c r="AP40" s="18">
        <v>0</v>
      </c>
      <c r="AQ40" s="18">
        <v>0</v>
      </c>
      <c r="AR40" s="18">
        <v>0</v>
      </c>
      <c r="AS40" s="18">
        <v>1</v>
      </c>
      <c r="AT40" s="18">
        <v>0</v>
      </c>
      <c r="AU40" s="18">
        <v>1</v>
      </c>
      <c r="AV40" s="49">
        <f t="shared" si="0"/>
        <v>0</v>
      </c>
      <c r="AW40" s="49">
        <v>2</v>
      </c>
      <c r="AX40" s="50">
        <v>5</v>
      </c>
      <c r="AY40" s="49">
        <v>1</v>
      </c>
      <c r="AZ40" s="49">
        <v>15</v>
      </c>
      <c r="BA40" s="67">
        <v>1.5</v>
      </c>
      <c r="BB40" s="67">
        <v>2</v>
      </c>
      <c r="BC40" s="67">
        <v>5</v>
      </c>
      <c r="BD40" s="67">
        <f t="shared" si="1"/>
        <v>0</v>
      </c>
      <c r="BE40" s="67">
        <v>0</v>
      </c>
      <c r="BF40" s="67">
        <v>1</v>
      </c>
      <c r="BG40" s="67">
        <v>0</v>
      </c>
      <c r="BH40" s="67">
        <v>0</v>
      </c>
      <c r="BI40" s="67">
        <v>0</v>
      </c>
      <c r="BJ40" s="67">
        <v>10</v>
      </c>
      <c r="BK40" s="67">
        <v>18</v>
      </c>
      <c r="BL40" s="18">
        <v>23</v>
      </c>
      <c r="BM40" s="18"/>
      <c r="BN40" s="18"/>
      <c r="BR40" s="167"/>
      <c r="BS40" s="167" t="s">
        <v>313</v>
      </c>
      <c r="BT40" s="167">
        <v>1.3342142835851032</v>
      </c>
      <c r="BU40" s="167"/>
    </row>
    <row r="41" spans="1:73" x14ac:dyDescent="0.25">
      <c r="A41" s="18" t="s">
        <v>6</v>
      </c>
      <c r="B41" s="18">
        <v>2024</v>
      </c>
      <c r="C41" s="18" t="s">
        <v>138</v>
      </c>
      <c r="D41" s="18" t="s">
        <v>245</v>
      </c>
      <c r="E41" s="18">
        <v>50</v>
      </c>
      <c r="F41" s="18">
        <v>50</v>
      </c>
      <c r="G41" s="18" t="s">
        <v>154</v>
      </c>
      <c r="H41" s="18" t="s">
        <v>154</v>
      </c>
      <c r="I41" s="18" t="s">
        <v>293</v>
      </c>
      <c r="J41" s="4">
        <v>19.5</v>
      </c>
      <c r="K41" s="4">
        <v>20</v>
      </c>
      <c r="L41" s="4">
        <v>0.5</v>
      </c>
      <c r="M41" s="5">
        <v>0.62</v>
      </c>
      <c r="N41" s="31">
        <v>0.31</v>
      </c>
      <c r="O41" s="31">
        <v>0.31</v>
      </c>
      <c r="P41" s="31">
        <v>15.5</v>
      </c>
      <c r="Q41" s="31">
        <v>20</v>
      </c>
      <c r="R41" s="31">
        <v>0.31</v>
      </c>
      <c r="S41" s="31">
        <v>0</v>
      </c>
      <c r="T41" s="65">
        <v>0</v>
      </c>
      <c r="U41" s="31">
        <v>6</v>
      </c>
      <c r="V41" s="31"/>
      <c r="W41" s="31">
        <v>6</v>
      </c>
      <c r="X41" s="31">
        <v>51.666666666666664</v>
      </c>
      <c r="Y41" s="18">
        <v>0</v>
      </c>
      <c r="Z41" s="18" t="s">
        <v>330</v>
      </c>
      <c r="AA41" s="18" t="s">
        <v>333</v>
      </c>
      <c r="AB41" s="18" t="s">
        <v>337</v>
      </c>
      <c r="AC41" s="18">
        <v>20</v>
      </c>
      <c r="AD41" s="18">
        <v>15.5</v>
      </c>
      <c r="AE41" s="18" t="s">
        <v>29</v>
      </c>
      <c r="AF41" s="18" t="s">
        <v>239</v>
      </c>
      <c r="AG41" s="18" t="s">
        <v>239</v>
      </c>
      <c r="AH41" s="18" t="s">
        <v>69</v>
      </c>
      <c r="AI41" s="18" t="s">
        <v>81</v>
      </c>
      <c r="AJ41" s="18" t="s">
        <v>100</v>
      </c>
      <c r="AK41" s="18" t="s">
        <v>109</v>
      </c>
      <c r="AL41" s="18" t="s">
        <v>122</v>
      </c>
      <c r="AM41" s="18" t="s">
        <v>198</v>
      </c>
      <c r="AN41" s="18" t="s">
        <v>238</v>
      </c>
      <c r="AO41" s="18"/>
      <c r="AP41" s="18">
        <v>0</v>
      </c>
      <c r="AQ41" s="18">
        <v>0</v>
      </c>
      <c r="AR41" s="18">
        <v>0</v>
      </c>
      <c r="AS41" s="18">
        <v>1</v>
      </c>
      <c r="AT41" s="18">
        <v>0</v>
      </c>
      <c r="AU41" s="18">
        <v>1</v>
      </c>
      <c r="AV41" s="49">
        <f t="shared" si="0"/>
        <v>0</v>
      </c>
      <c r="AW41" s="49">
        <v>2</v>
      </c>
      <c r="AX41" s="50">
        <v>6</v>
      </c>
      <c r="AY41" s="49">
        <v>1</v>
      </c>
      <c r="AZ41" s="49">
        <v>15</v>
      </c>
      <c r="BA41" s="67">
        <v>1.5</v>
      </c>
      <c r="BB41" s="67">
        <v>2</v>
      </c>
      <c r="BC41" s="67">
        <v>4</v>
      </c>
      <c r="BD41" s="67">
        <f t="shared" si="1"/>
        <v>0</v>
      </c>
      <c r="BE41" s="67">
        <v>0</v>
      </c>
      <c r="BF41" s="67">
        <v>1</v>
      </c>
      <c r="BG41" s="67">
        <v>0</v>
      </c>
      <c r="BH41" s="67">
        <v>0</v>
      </c>
      <c r="BI41" s="67">
        <v>0</v>
      </c>
      <c r="BJ41" s="67">
        <v>10</v>
      </c>
      <c r="BK41" s="67">
        <v>17</v>
      </c>
      <c r="BL41" s="18">
        <v>24</v>
      </c>
      <c r="BM41" s="18"/>
      <c r="BN41" s="18"/>
      <c r="BR41" s="167"/>
      <c r="BS41" s="167" t="s">
        <v>314</v>
      </c>
      <c r="BT41" s="167">
        <v>1.2674970971996962</v>
      </c>
      <c r="BU41" s="167"/>
    </row>
    <row r="42" spans="1:73" x14ac:dyDescent="0.25">
      <c r="A42" s="18" t="s">
        <v>6</v>
      </c>
      <c r="B42" s="18">
        <v>2024</v>
      </c>
      <c r="C42" s="18" t="s">
        <v>138</v>
      </c>
      <c r="D42" s="18" t="s">
        <v>245</v>
      </c>
      <c r="E42" s="18">
        <v>50</v>
      </c>
      <c r="F42" s="18">
        <v>50</v>
      </c>
      <c r="G42" s="18" t="s">
        <v>154</v>
      </c>
      <c r="H42" s="18" t="s">
        <v>154</v>
      </c>
      <c r="I42" s="18" t="s">
        <v>293</v>
      </c>
      <c r="J42" s="4">
        <v>20</v>
      </c>
      <c r="K42" s="4">
        <v>20.5</v>
      </c>
      <c r="L42" s="4">
        <v>0.5</v>
      </c>
      <c r="M42" s="5">
        <v>0.5</v>
      </c>
      <c r="N42" s="31">
        <v>0.25</v>
      </c>
      <c r="O42" s="31">
        <v>0.25</v>
      </c>
      <c r="P42" s="31">
        <v>12.5</v>
      </c>
      <c r="Q42" s="31">
        <v>20</v>
      </c>
      <c r="R42" s="31">
        <v>0.24</v>
      </c>
      <c r="S42" s="31">
        <v>0</v>
      </c>
      <c r="T42" s="65">
        <v>0</v>
      </c>
      <c r="U42" s="31">
        <v>4</v>
      </c>
      <c r="V42" s="31"/>
      <c r="W42" s="31">
        <v>4</v>
      </c>
      <c r="X42" s="31">
        <v>60</v>
      </c>
      <c r="Y42" s="18">
        <v>0</v>
      </c>
      <c r="Z42" s="18" t="s">
        <v>330</v>
      </c>
      <c r="AA42" s="18" t="s">
        <v>333</v>
      </c>
      <c r="AB42" s="18" t="s">
        <v>337</v>
      </c>
      <c r="AC42" s="18">
        <v>20</v>
      </c>
      <c r="AD42" s="18">
        <v>12.5</v>
      </c>
      <c r="AE42" s="18" t="s">
        <v>29</v>
      </c>
      <c r="AF42" s="18" t="s">
        <v>239</v>
      </c>
      <c r="AG42" s="18" t="s">
        <v>239</v>
      </c>
      <c r="AH42" s="18" t="s">
        <v>69</v>
      </c>
      <c r="AI42" s="18" t="s">
        <v>81</v>
      </c>
      <c r="AJ42" s="18" t="s">
        <v>100</v>
      </c>
      <c r="AK42" s="18" t="s">
        <v>109</v>
      </c>
      <c r="AL42" s="18" t="s">
        <v>122</v>
      </c>
      <c r="AM42" s="18" t="s">
        <v>198</v>
      </c>
      <c r="AN42" s="18" t="s">
        <v>238</v>
      </c>
      <c r="AO42" s="18"/>
      <c r="AP42" s="18">
        <v>0</v>
      </c>
      <c r="AQ42" s="18">
        <v>0</v>
      </c>
      <c r="AR42" s="18">
        <v>0</v>
      </c>
      <c r="AS42" s="18">
        <v>1</v>
      </c>
      <c r="AT42" s="18">
        <v>0</v>
      </c>
      <c r="AU42" s="18">
        <v>1</v>
      </c>
      <c r="AV42" s="49">
        <f t="shared" si="0"/>
        <v>0</v>
      </c>
      <c r="AW42" s="49">
        <v>2</v>
      </c>
      <c r="AX42" s="50">
        <v>6</v>
      </c>
      <c r="AY42" s="49">
        <v>1</v>
      </c>
      <c r="AZ42" s="49">
        <v>15</v>
      </c>
      <c r="BA42" s="67">
        <v>1.5</v>
      </c>
      <c r="BB42" s="67">
        <v>2</v>
      </c>
      <c r="BC42" s="67">
        <v>5</v>
      </c>
      <c r="BD42" s="67">
        <f t="shared" si="1"/>
        <v>0</v>
      </c>
      <c r="BE42" s="67">
        <v>0</v>
      </c>
      <c r="BF42" s="67">
        <v>1</v>
      </c>
      <c r="BG42" s="67">
        <v>0</v>
      </c>
      <c r="BH42" s="67">
        <v>0</v>
      </c>
      <c r="BI42" s="67">
        <v>0</v>
      </c>
      <c r="BJ42" s="67">
        <v>10</v>
      </c>
      <c r="BK42" s="67">
        <v>18</v>
      </c>
      <c r="BL42" s="18">
        <v>24</v>
      </c>
      <c r="BM42" s="18"/>
      <c r="BN42" s="18"/>
      <c r="BR42" s="167"/>
      <c r="BS42" s="167" t="s">
        <v>315</v>
      </c>
      <c r="BT42" s="167">
        <v>35</v>
      </c>
      <c r="BU42" s="167"/>
    </row>
    <row r="43" spans="1:73" x14ac:dyDescent="0.25">
      <c r="A43" s="18" t="s">
        <v>6</v>
      </c>
      <c r="B43" s="18">
        <v>2024</v>
      </c>
      <c r="C43" s="18" t="s">
        <v>138</v>
      </c>
      <c r="D43" s="18" t="s">
        <v>245</v>
      </c>
      <c r="E43" s="18">
        <v>50</v>
      </c>
      <c r="F43" s="18">
        <v>50</v>
      </c>
      <c r="G43" s="18" t="s">
        <v>154</v>
      </c>
      <c r="H43" s="18" t="s">
        <v>154</v>
      </c>
      <c r="I43" s="18" t="s">
        <v>293</v>
      </c>
      <c r="J43" s="4">
        <v>20.5</v>
      </c>
      <c r="K43" s="4">
        <v>21</v>
      </c>
      <c r="L43" s="4">
        <v>0.5</v>
      </c>
      <c r="M43" s="5">
        <v>0.48</v>
      </c>
      <c r="N43" s="31">
        <v>0.24</v>
      </c>
      <c r="O43" s="31">
        <v>0.24</v>
      </c>
      <c r="P43" s="31">
        <v>12</v>
      </c>
      <c r="Q43" s="31">
        <v>20</v>
      </c>
      <c r="R43" s="31">
        <v>0.22</v>
      </c>
      <c r="S43" s="31">
        <v>0</v>
      </c>
      <c r="T43" s="65">
        <v>0</v>
      </c>
      <c r="U43" s="31">
        <v>6</v>
      </c>
      <c r="V43" s="31"/>
      <c r="W43" s="31">
        <v>6</v>
      </c>
      <c r="X43" s="31">
        <v>36.666666666666664</v>
      </c>
      <c r="Y43" s="18">
        <v>0</v>
      </c>
      <c r="Z43" s="18" t="s">
        <v>330</v>
      </c>
      <c r="AA43" s="18" t="s">
        <v>333</v>
      </c>
      <c r="AB43" s="18" t="s">
        <v>337</v>
      </c>
      <c r="AC43" s="18">
        <v>20</v>
      </c>
      <c r="AD43" s="18">
        <v>12</v>
      </c>
      <c r="AE43" s="18" t="s">
        <v>29</v>
      </c>
      <c r="AF43" s="18" t="s">
        <v>239</v>
      </c>
      <c r="AG43" s="18" t="s">
        <v>239</v>
      </c>
      <c r="AH43" s="18" t="s">
        <v>69</v>
      </c>
      <c r="AI43" s="18" t="s">
        <v>81</v>
      </c>
      <c r="AJ43" s="18" t="s">
        <v>100</v>
      </c>
      <c r="AK43" s="18" t="s">
        <v>109</v>
      </c>
      <c r="AL43" s="18" t="s">
        <v>122</v>
      </c>
      <c r="AM43" s="18" t="s">
        <v>198</v>
      </c>
      <c r="AN43" s="18" t="s">
        <v>238</v>
      </c>
      <c r="AO43" s="18"/>
      <c r="AP43" s="18">
        <v>0</v>
      </c>
      <c r="AQ43" s="18">
        <v>0</v>
      </c>
      <c r="AR43" s="18">
        <v>0</v>
      </c>
      <c r="AS43" s="18">
        <v>1</v>
      </c>
      <c r="AT43" s="18">
        <v>0</v>
      </c>
      <c r="AU43" s="18">
        <v>1</v>
      </c>
      <c r="AV43" s="49">
        <f t="shared" si="0"/>
        <v>0</v>
      </c>
      <c r="AW43" s="49">
        <v>2</v>
      </c>
      <c r="AX43" s="50">
        <v>5</v>
      </c>
      <c r="AY43" s="49">
        <v>1</v>
      </c>
      <c r="AZ43" s="49">
        <v>15</v>
      </c>
      <c r="BA43" s="67">
        <v>1.5</v>
      </c>
      <c r="BB43" s="67">
        <v>2</v>
      </c>
      <c r="BC43" s="67">
        <v>5</v>
      </c>
      <c r="BD43" s="67">
        <f t="shared" si="1"/>
        <v>0</v>
      </c>
      <c r="BE43" s="67">
        <v>0</v>
      </c>
      <c r="BF43" s="67">
        <v>1</v>
      </c>
      <c r="BG43" s="67">
        <v>0</v>
      </c>
      <c r="BH43" s="67">
        <v>0</v>
      </c>
      <c r="BI43" s="67">
        <v>0</v>
      </c>
      <c r="BJ43" s="67">
        <v>10</v>
      </c>
      <c r="BK43" s="67">
        <v>18</v>
      </c>
      <c r="BL43" s="18">
        <v>23</v>
      </c>
      <c r="BM43" s="18"/>
      <c r="BN43" s="18"/>
      <c r="BR43" s="167"/>
      <c r="BS43" s="167" t="s">
        <v>316</v>
      </c>
      <c r="BT43" s="167">
        <v>14</v>
      </c>
      <c r="BU43" s="167"/>
    </row>
    <row r="44" spans="1:73" x14ac:dyDescent="0.25">
      <c r="A44" s="18" t="s">
        <v>6</v>
      </c>
      <c r="B44" s="18">
        <v>2024</v>
      </c>
      <c r="C44" s="18" t="s">
        <v>138</v>
      </c>
      <c r="D44" s="18" t="s">
        <v>245</v>
      </c>
      <c r="E44" s="18">
        <v>50</v>
      </c>
      <c r="F44" s="18">
        <v>50</v>
      </c>
      <c r="G44" s="18" t="s">
        <v>154</v>
      </c>
      <c r="H44" s="18" t="s">
        <v>154</v>
      </c>
      <c r="I44" s="18" t="s">
        <v>293</v>
      </c>
      <c r="J44" s="4">
        <v>21</v>
      </c>
      <c r="K44" s="4">
        <v>21.5</v>
      </c>
      <c r="L44" s="4">
        <v>0.5</v>
      </c>
      <c r="M44" s="5">
        <v>0.5</v>
      </c>
      <c r="N44" s="31">
        <v>0.25</v>
      </c>
      <c r="O44" s="31">
        <v>0.25</v>
      </c>
      <c r="P44" s="31">
        <v>12.5</v>
      </c>
      <c r="Q44" s="31">
        <v>20</v>
      </c>
      <c r="R44" s="84">
        <v>0.23</v>
      </c>
      <c r="S44" s="31">
        <v>0</v>
      </c>
      <c r="T44" s="65">
        <v>0</v>
      </c>
      <c r="U44" s="31">
        <v>5</v>
      </c>
      <c r="V44" s="31"/>
      <c r="W44" s="31">
        <v>5</v>
      </c>
      <c r="X44" s="31">
        <v>46</v>
      </c>
      <c r="Y44" s="18">
        <v>0</v>
      </c>
      <c r="Z44" s="18" t="s">
        <v>330</v>
      </c>
      <c r="AA44" s="18" t="s">
        <v>333</v>
      </c>
      <c r="AB44" s="18" t="s">
        <v>337</v>
      </c>
      <c r="AC44" s="18">
        <v>20</v>
      </c>
      <c r="AD44" s="18">
        <v>12.5</v>
      </c>
      <c r="AE44" s="18" t="s">
        <v>29</v>
      </c>
      <c r="AF44" s="18" t="s">
        <v>239</v>
      </c>
      <c r="AG44" s="18" t="s">
        <v>239</v>
      </c>
      <c r="AH44" s="18" t="s">
        <v>69</v>
      </c>
      <c r="AI44" s="18" t="s">
        <v>81</v>
      </c>
      <c r="AJ44" s="18" t="s">
        <v>100</v>
      </c>
      <c r="AK44" s="18" t="s">
        <v>109</v>
      </c>
      <c r="AL44" s="18" t="s">
        <v>122</v>
      </c>
      <c r="AM44" s="18" t="s">
        <v>198</v>
      </c>
      <c r="AN44" s="18" t="s">
        <v>238</v>
      </c>
      <c r="AO44" s="18"/>
      <c r="AP44" s="18">
        <v>0</v>
      </c>
      <c r="AQ44" s="18">
        <v>0</v>
      </c>
      <c r="AR44" s="18">
        <v>0</v>
      </c>
      <c r="AS44" s="18">
        <v>1</v>
      </c>
      <c r="AT44" s="18">
        <v>0</v>
      </c>
      <c r="AU44" s="18">
        <v>1</v>
      </c>
      <c r="AV44" s="49">
        <f t="shared" si="0"/>
        <v>0</v>
      </c>
      <c r="AW44" s="49">
        <v>2</v>
      </c>
      <c r="AX44" s="50">
        <v>6</v>
      </c>
      <c r="AY44" s="49">
        <v>1</v>
      </c>
      <c r="AZ44" s="49">
        <v>15</v>
      </c>
      <c r="BA44" s="67">
        <v>1.5</v>
      </c>
      <c r="BB44" s="67">
        <v>2</v>
      </c>
      <c r="BC44" s="67">
        <v>5</v>
      </c>
      <c r="BD44" s="67">
        <f t="shared" si="1"/>
        <v>0</v>
      </c>
      <c r="BE44" s="67">
        <v>0</v>
      </c>
      <c r="BF44" s="67">
        <v>1</v>
      </c>
      <c r="BG44" s="67">
        <v>0</v>
      </c>
      <c r="BH44" s="67">
        <v>0</v>
      </c>
      <c r="BI44" s="67">
        <v>0</v>
      </c>
      <c r="BJ44" s="67">
        <v>10</v>
      </c>
      <c r="BK44" s="67">
        <v>18</v>
      </c>
      <c r="BL44" s="18">
        <v>24</v>
      </c>
      <c r="BM44" s="18"/>
      <c r="BN44" s="18"/>
      <c r="BR44" s="167"/>
      <c r="BS44" s="167" t="s">
        <v>317</v>
      </c>
      <c r="BT44" s="167">
        <v>49</v>
      </c>
      <c r="BU44" s="167"/>
    </row>
    <row r="45" spans="1:73" x14ac:dyDescent="0.25">
      <c r="A45" s="18" t="s">
        <v>6</v>
      </c>
      <c r="B45" s="18">
        <v>2024</v>
      </c>
      <c r="C45" s="18" t="s">
        <v>138</v>
      </c>
      <c r="D45" s="18" t="s">
        <v>245</v>
      </c>
      <c r="E45" s="18">
        <v>50</v>
      </c>
      <c r="F45" s="18">
        <v>50</v>
      </c>
      <c r="G45" s="18" t="s">
        <v>154</v>
      </c>
      <c r="H45" s="18" t="s">
        <v>154</v>
      </c>
      <c r="I45" s="18" t="s">
        <v>293</v>
      </c>
      <c r="J45" s="4">
        <v>21.5</v>
      </c>
      <c r="K45" s="4">
        <v>22</v>
      </c>
      <c r="L45" s="4">
        <v>0.5</v>
      </c>
      <c r="M45" s="5">
        <v>0.42</v>
      </c>
      <c r="N45" s="31">
        <v>0.21</v>
      </c>
      <c r="O45" s="31">
        <v>0.21</v>
      </c>
      <c r="P45" s="31">
        <v>10.5</v>
      </c>
      <c r="Q45" s="31">
        <v>20</v>
      </c>
      <c r="R45" s="31">
        <v>0.17</v>
      </c>
      <c r="S45" s="31">
        <v>0</v>
      </c>
      <c r="T45" s="65">
        <v>0</v>
      </c>
      <c r="U45" s="31">
        <v>5</v>
      </c>
      <c r="V45" s="31"/>
      <c r="W45" s="31">
        <v>5</v>
      </c>
      <c r="X45" s="31">
        <v>34</v>
      </c>
      <c r="Y45" s="18">
        <v>0</v>
      </c>
      <c r="Z45" s="18" t="s">
        <v>330</v>
      </c>
      <c r="AA45" s="18" t="s">
        <v>333</v>
      </c>
      <c r="AB45" s="18" t="s">
        <v>337</v>
      </c>
      <c r="AC45" s="18">
        <v>20</v>
      </c>
      <c r="AD45" s="18">
        <v>10.5</v>
      </c>
      <c r="AE45" s="18" t="s">
        <v>29</v>
      </c>
      <c r="AF45" s="18" t="s">
        <v>239</v>
      </c>
      <c r="AG45" s="18" t="s">
        <v>239</v>
      </c>
      <c r="AH45" s="18" t="s">
        <v>69</v>
      </c>
      <c r="AI45" s="18" t="s">
        <v>81</v>
      </c>
      <c r="AJ45" s="18" t="s">
        <v>100</v>
      </c>
      <c r="AK45" s="18" t="s">
        <v>109</v>
      </c>
      <c r="AL45" s="18" t="s">
        <v>122</v>
      </c>
      <c r="AM45" s="18" t="s">
        <v>198</v>
      </c>
      <c r="AN45" s="18" t="s">
        <v>238</v>
      </c>
      <c r="AO45" s="18"/>
      <c r="AP45" s="18">
        <v>0</v>
      </c>
      <c r="AQ45" s="18">
        <v>0</v>
      </c>
      <c r="AR45" s="18">
        <v>0</v>
      </c>
      <c r="AS45" s="18">
        <v>1</v>
      </c>
      <c r="AT45" s="18">
        <v>0</v>
      </c>
      <c r="AU45" s="18">
        <v>1</v>
      </c>
      <c r="AV45" s="49">
        <f t="shared" si="0"/>
        <v>0</v>
      </c>
      <c r="AW45" s="49">
        <v>2</v>
      </c>
      <c r="AX45" s="50">
        <v>5</v>
      </c>
      <c r="AY45" s="49">
        <v>1</v>
      </c>
      <c r="AZ45" s="49">
        <v>15</v>
      </c>
      <c r="BA45" s="67">
        <v>1.5</v>
      </c>
      <c r="BB45" s="67">
        <v>2</v>
      </c>
      <c r="BC45" s="67">
        <v>5</v>
      </c>
      <c r="BD45" s="67">
        <f t="shared" si="1"/>
        <v>0</v>
      </c>
      <c r="BE45" s="67">
        <v>0</v>
      </c>
      <c r="BF45" s="67">
        <v>1</v>
      </c>
      <c r="BG45" s="67">
        <v>0</v>
      </c>
      <c r="BH45" s="67">
        <v>0</v>
      </c>
      <c r="BI45" s="67">
        <v>0</v>
      </c>
      <c r="BJ45" s="67">
        <v>10</v>
      </c>
      <c r="BK45" s="67">
        <v>18</v>
      </c>
      <c r="BL45" s="18">
        <v>23</v>
      </c>
      <c r="BM45" s="18"/>
      <c r="BN45" s="18"/>
      <c r="BR45" s="167"/>
      <c r="BS45" s="167" t="s">
        <v>318</v>
      </c>
      <c r="BT45" s="167">
        <v>3249</v>
      </c>
      <c r="BU45" s="167"/>
    </row>
    <row r="46" spans="1:73" x14ac:dyDescent="0.25">
      <c r="A46" s="18" t="s">
        <v>6</v>
      </c>
      <c r="B46" s="18">
        <v>2024</v>
      </c>
      <c r="C46" s="18" t="s">
        <v>138</v>
      </c>
      <c r="D46" s="18" t="s">
        <v>245</v>
      </c>
      <c r="E46" s="18">
        <v>50</v>
      </c>
      <c r="F46" s="18">
        <v>50</v>
      </c>
      <c r="G46" s="18" t="s">
        <v>154</v>
      </c>
      <c r="H46" s="18" t="s">
        <v>154</v>
      </c>
      <c r="I46" s="18" t="s">
        <v>293</v>
      </c>
      <c r="J46" s="4">
        <v>22</v>
      </c>
      <c r="K46" s="4">
        <v>22.5</v>
      </c>
      <c r="L46" s="4">
        <v>0.5</v>
      </c>
      <c r="M46" s="5">
        <v>0.34</v>
      </c>
      <c r="N46" s="31">
        <v>0.17</v>
      </c>
      <c r="O46" s="31">
        <v>0.17</v>
      </c>
      <c r="P46" s="31">
        <v>34</v>
      </c>
      <c r="Q46" s="31">
        <v>5</v>
      </c>
      <c r="R46" s="31">
        <v>0.15</v>
      </c>
      <c r="S46" s="31">
        <v>0</v>
      </c>
      <c r="T46" s="65">
        <v>0</v>
      </c>
      <c r="U46" s="31">
        <v>5</v>
      </c>
      <c r="V46" s="31"/>
      <c r="W46" s="31">
        <v>5</v>
      </c>
      <c r="X46" s="31">
        <v>30</v>
      </c>
      <c r="Y46" s="18">
        <v>0</v>
      </c>
      <c r="Z46" s="18" t="s">
        <v>330</v>
      </c>
      <c r="AA46" s="18" t="s">
        <v>118</v>
      </c>
      <c r="AB46" s="18" t="s">
        <v>334</v>
      </c>
      <c r="AC46" s="18">
        <v>5</v>
      </c>
      <c r="AD46" s="18">
        <v>34</v>
      </c>
      <c r="AE46" s="18" t="s">
        <v>27</v>
      </c>
      <c r="AF46" s="18" t="s">
        <v>239</v>
      </c>
      <c r="AG46" s="128" t="s">
        <v>239</v>
      </c>
      <c r="AH46" s="18" t="s">
        <v>69</v>
      </c>
      <c r="AI46" s="18" t="s">
        <v>81</v>
      </c>
      <c r="AJ46" s="18" t="s">
        <v>100</v>
      </c>
      <c r="AK46" s="18" t="s">
        <v>109</v>
      </c>
      <c r="AL46" s="18" t="s">
        <v>122</v>
      </c>
      <c r="AM46" s="18" t="s">
        <v>198</v>
      </c>
      <c r="AN46" s="18" t="s">
        <v>238</v>
      </c>
      <c r="AO46" s="18"/>
      <c r="AP46" s="18">
        <v>0</v>
      </c>
      <c r="AQ46" s="18">
        <v>0</v>
      </c>
      <c r="AR46" s="18">
        <v>0</v>
      </c>
      <c r="AS46" s="18">
        <v>1</v>
      </c>
      <c r="AT46" s="18">
        <v>0</v>
      </c>
      <c r="AU46" s="18">
        <v>1</v>
      </c>
      <c r="AV46" s="49">
        <f t="shared" si="0"/>
        <v>0</v>
      </c>
      <c r="AW46" s="49">
        <v>4</v>
      </c>
      <c r="AX46" s="50">
        <v>5</v>
      </c>
      <c r="AY46" s="49">
        <v>1</v>
      </c>
      <c r="AZ46" s="49">
        <v>15</v>
      </c>
      <c r="BA46" s="67">
        <v>1.5</v>
      </c>
      <c r="BB46" s="67">
        <v>4</v>
      </c>
      <c r="BC46" s="67">
        <v>5</v>
      </c>
      <c r="BD46" s="67">
        <f t="shared" si="1"/>
        <v>0</v>
      </c>
      <c r="BE46" s="67">
        <v>0</v>
      </c>
      <c r="BF46" s="67">
        <v>1</v>
      </c>
      <c r="BG46" s="67">
        <v>0</v>
      </c>
      <c r="BH46" s="67">
        <v>0</v>
      </c>
      <c r="BI46" s="67">
        <v>0</v>
      </c>
      <c r="BJ46" s="67">
        <v>10</v>
      </c>
      <c r="BK46" s="67">
        <v>20</v>
      </c>
      <c r="BL46" s="18">
        <v>25</v>
      </c>
      <c r="BM46" s="18"/>
      <c r="BN46" s="18"/>
      <c r="BR46" s="167"/>
      <c r="BS46" s="167" t="s">
        <v>319</v>
      </c>
      <c r="BT46" s="167">
        <v>137</v>
      </c>
      <c r="BU46" s="167"/>
    </row>
    <row r="47" spans="1:73" x14ac:dyDescent="0.25">
      <c r="A47" s="18" t="s">
        <v>6</v>
      </c>
      <c r="B47" s="18">
        <v>2024</v>
      </c>
      <c r="C47" s="18" t="s">
        <v>138</v>
      </c>
      <c r="D47" s="18" t="s">
        <v>245</v>
      </c>
      <c r="E47" s="18">
        <v>50</v>
      </c>
      <c r="F47" s="18">
        <v>50</v>
      </c>
      <c r="G47" s="18" t="s">
        <v>154</v>
      </c>
      <c r="H47" s="18" t="s">
        <v>154</v>
      </c>
      <c r="I47" s="18" t="s">
        <v>293</v>
      </c>
      <c r="J47" s="4">
        <v>22.5</v>
      </c>
      <c r="K47" s="4">
        <v>23</v>
      </c>
      <c r="L47" s="4">
        <v>0.5</v>
      </c>
      <c r="M47" s="5">
        <v>0.4</v>
      </c>
      <c r="N47" s="31">
        <v>0.2</v>
      </c>
      <c r="O47" s="31">
        <v>0.2</v>
      </c>
      <c r="P47" s="31">
        <v>200</v>
      </c>
      <c r="Q47" s="31">
        <v>1</v>
      </c>
      <c r="R47" s="31">
        <v>0.19</v>
      </c>
      <c r="S47" s="31">
        <v>0</v>
      </c>
      <c r="T47" s="65">
        <v>0</v>
      </c>
      <c r="U47" s="31">
        <v>10</v>
      </c>
      <c r="V47" s="31"/>
      <c r="W47" s="31">
        <v>10</v>
      </c>
      <c r="X47" s="31">
        <v>19</v>
      </c>
      <c r="Y47" s="18">
        <v>0</v>
      </c>
      <c r="Z47" s="18" t="s">
        <v>96</v>
      </c>
      <c r="AA47" s="18" t="s">
        <v>116</v>
      </c>
      <c r="AB47" s="18" t="s">
        <v>334</v>
      </c>
      <c r="AC47" s="18">
        <v>1</v>
      </c>
      <c r="AD47" s="18">
        <v>200</v>
      </c>
      <c r="AE47" s="18" t="s">
        <v>27</v>
      </c>
      <c r="AF47" s="18" t="s">
        <v>239</v>
      </c>
      <c r="AG47" s="18" t="s">
        <v>239</v>
      </c>
      <c r="AH47" s="18" t="s">
        <v>69</v>
      </c>
      <c r="AI47" s="18" t="s">
        <v>81</v>
      </c>
      <c r="AJ47" s="18" t="s">
        <v>100</v>
      </c>
      <c r="AK47" s="18" t="s">
        <v>109</v>
      </c>
      <c r="AL47" s="18" t="s">
        <v>122</v>
      </c>
      <c r="AM47" s="18" t="s">
        <v>198</v>
      </c>
      <c r="AN47" s="18" t="s">
        <v>238</v>
      </c>
      <c r="AO47" s="18"/>
      <c r="AP47" s="18">
        <v>0</v>
      </c>
      <c r="AQ47" s="18">
        <v>0</v>
      </c>
      <c r="AR47" s="18">
        <v>0</v>
      </c>
      <c r="AS47" s="18">
        <v>1</v>
      </c>
      <c r="AT47" s="18">
        <v>0</v>
      </c>
      <c r="AU47" s="18">
        <v>1</v>
      </c>
      <c r="AV47" s="49">
        <f t="shared" si="0"/>
        <v>0</v>
      </c>
      <c r="AW47" s="49">
        <v>4</v>
      </c>
      <c r="AX47" s="50">
        <v>4</v>
      </c>
      <c r="AY47" s="49">
        <v>1</v>
      </c>
      <c r="AZ47" s="49">
        <v>15</v>
      </c>
      <c r="BA47" s="67">
        <v>1.5</v>
      </c>
      <c r="BB47" s="67">
        <v>4</v>
      </c>
      <c r="BC47" s="67">
        <v>5</v>
      </c>
      <c r="BD47" s="67">
        <f t="shared" si="1"/>
        <v>0</v>
      </c>
      <c r="BE47" s="67">
        <v>0</v>
      </c>
      <c r="BF47" s="67">
        <v>1</v>
      </c>
      <c r="BG47" s="67">
        <v>0</v>
      </c>
      <c r="BH47" s="67">
        <v>0</v>
      </c>
      <c r="BI47" s="67">
        <v>0</v>
      </c>
      <c r="BJ47" s="67">
        <v>10</v>
      </c>
      <c r="BK47" s="67">
        <v>20</v>
      </c>
      <c r="BL47" s="18">
        <v>24</v>
      </c>
      <c r="BM47" s="18"/>
      <c r="BN47" s="18"/>
      <c r="BR47" s="167"/>
      <c r="BS47" s="167" t="s">
        <v>320</v>
      </c>
      <c r="BT47" s="167">
        <v>49</v>
      </c>
      <c r="BU47" s="167"/>
    </row>
    <row r="48" spans="1:73" x14ac:dyDescent="0.25">
      <c r="A48" s="18" t="s">
        <v>6</v>
      </c>
      <c r="B48" s="18">
        <v>2024</v>
      </c>
      <c r="C48" s="18" t="s">
        <v>138</v>
      </c>
      <c r="D48" s="18" t="s">
        <v>245</v>
      </c>
      <c r="E48" s="18">
        <v>50</v>
      </c>
      <c r="F48" s="18">
        <v>50</v>
      </c>
      <c r="G48" s="18" t="s">
        <v>154</v>
      </c>
      <c r="H48" s="18" t="s">
        <v>154</v>
      </c>
      <c r="I48" s="18" t="s">
        <v>293</v>
      </c>
      <c r="J48" s="4">
        <v>23</v>
      </c>
      <c r="K48" s="4">
        <v>23.5</v>
      </c>
      <c r="L48" s="4">
        <v>0.5</v>
      </c>
      <c r="M48" s="5">
        <v>0.28000000000000003</v>
      </c>
      <c r="N48" s="31">
        <v>0.14000000000000001</v>
      </c>
      <c r="O48" s="31">
        <v>0.14000000000000001</v>
      </c>
      <c r="P48" s="31">
        <v>28</v>
      </c>
      <c r="Q48" s="31">
        <v>5</v>
      </c>
      <c r="R48" s="31">
        <v>0.12</v>
      </c>
      <c r="S48" s="31">
        <v>0</v>
      </c>
      <c r="T48" s="65">
        <v>0</v>
      </c>
      <c r="U48" s="31">
        <v>5</v>
      </c>
      <c r="V48" s="31"/>
      <c r="W48" s="31">
        <v>5</v>
      </c>
      <c r="X48" s="31">
        <v>24</v>
      </c>
      <c r="Y48" s="18">
        <v>0</v>
      </c>
      <c r="Z48" s="18" t="s">
        <v>96</v>
      </c>
      <c r="AA48" s="18" t="s">
        <v>118</v>
      </c>
      <c r="AB48" s="18" t="s">
        <v>334</v>
      </c>
      <c r="AC48" s="18">
        <v>5</v>
      </c>
      <c r="AD48" s="18">
        <v>28</v>
      </c>
      <c r="AE48" s="18" t="s">
        <v>27</v>
      </c>
      <c r="AF48" s="18" t="s">
        <v>239</v>
      </c>
      <c r="AG48" s="18" t="s">
        <v>239</v>
      </c>
      <c r="AH48" s="18" t="s">
        <v>69</v>
      </c>
      <c r="AI48" s="18" t="s">
        <v>81</v>
      </c>
      <c r="AJ48" s="18" t="s">
        <v>100</v>
      </c>
      <c r="AK48" s="18" t="s">
        <v>109</v>
      </c>
      <c r="AL48" s="18" t="s">
        <v>122</v>
      </c>
      <c r="AM48" s="18" t="s">
        <v>198</v>
      </c>
      <c r="AN48" s="18" t="s">
        <v>238</v>
      </c>
      <c r="AO48" s="18"/>
      <c r="AP48" s="18">
        <v>0</v>
      </c>
      <c r="AQ48" s="18">
        <v>0</v>
      </c>
      <c r="AR48" s="18">
        <v>0</v>
      </c>
      <c r="AS48" s="18">
        <v>1</v>
      </c>
      <c r="AT48" s="18">
        <v>0</v>
      </c>
      <c r="AU48" s="18">
        <v>1</v>
      </c>
      <c r="AV48" s="49">
        <f t="shared" si="0"/>
        <v>0</v>
      </c>
      <c r="AW48" s="49">
        <v>4</v>
      </c>
      <c r="AX48" s="50">
        <v>4</v>
      </c>
      <c r="AY48" s="49">
        <v>1</v>
      </c>
      <c r="AZ48" s="49">
        <v>15</v>
      </c>
      <c r="BA48" s="67">
        <v>1.5</v>
      </c>
      <c r="BB48" s="67">
        <v>4</v>
      </c>
      <c r="BC48" s="67">
        <v>5</v>
      </c>
      <c r="BD48" s="67">
        <f t="shared" si="1"/>
        <v>0</v>
      </c>
      <c r="BE48" s="67">
        <v>0</v>
      </c>
      <c r="BF48" s="67">
        <v>1</v>
      </c>
      <c r="BG48" s="67">
        <v>0</v>
      </c>
      <c r="BH48" s="67">
        <v>0</v>
      </c>
      <c r="BI48" s="67">
        <v>0</v>
      </c>
      <c r="BJ48" s="67">
        <v>10</v>
      </c>
      <c r="BK48" s="67">
        <v>20</v>
      </c>
      <c r="BL48" s="18">
        <v>24</v>
      </c>
      <c r="BM48" s="18"/>
      <c r="BN48" s="18"/>
      <c r="BR48" s="167"/>
      <c r="BS48" s="167" t="s">
        <v>321</v>
      </c>
      <c r="BT48" s="167">
        <v>14</v>
      </c>
      <c r="BU48" s="167"/>
    </row>
    <row r="49" spans="1:94" ht="15.75" thickBot="1" x14ac:dyDescent="0.3">
      <c r="A49" s="18" t="s">
        <v>6</v>
      </c>
      <c r="B49" s="18">
        <v>2024</v>
      </c>
      <c r="C49" s="18" t="s">
        <v>138</v>
      </c>
      <c r="D49" s="18" t="s">
        <v>245</v>
      </c>
      <c r="E49" s="18">
        <v>50</v>
      </c>
      <c r="F49" s="18">
        <v>50</v>
      </c>
      <c r="G49" s="18" t="s">
        <v>154</v>
      </c>
      <c r="H49" s="18" t="s">
        <v>154</v>
      </c>
      <c r="I49" s="18" t="s">
        <v>293</v>
      </c>
      <c r="J49" s="4">
        <v>23.5</v>
      </c>
      <c r="K49" s="4">
        <v>24</v>
      </c>
      <c r="L49" s="4">
        <v>0.5</v>
      </c>
      <c r="M49" s="5">
        <v>0.4</v>
      </c>
      <c r="N49" s="31">
        <v>0.2</v>
      </c>
      <c r="O49" s="31">
        <v>0.2</v>
      </c>
      <c r="P49" s="31">
        <v>200</v>
      </c>
      <c r="Q49" s="31">
        <v>1</v>
      </c>
      <c r="R49" s="31">
        <v>0.19</v>
      </c>
      <c r="S49" s="31">
        <v>0</v>
      </c>
      <c r="T49" s="65">
        <v>0</v>
      </c>
      <c r="U49" s="31">
        <v>10</v>
      </c>
      <c r="V49" s="31"/>
      <c r="W49" s="31">
        <v>10</v>
      </c>
      <c r="X49" s="31">
        <v>19</v>
      </c>
      <c r="Y49" s="18">
        <v>0</v>
      </c>
      <c r="Z49" s="18" t="s">
        <v>96</v>
      </c>
      <c r="AA49" s="18" t="s">
        <v>116</v>
      </c>
      <c r="AB49" s="18" t="s">
        <v>334</v>
      </c>
      <c r="AC49" s="18">
        <v>1</v>
      </c>
      <c r="AD49" s="18">
        <v>200</v>
      </c>
      <c r="AE49" s="18" t="s">
        <v>27</v>
      </c>
      <c r="AF49" s="18" t="s">
        <v>239</v>
      </c>
      <c r="AG49" s="18" t="s">
        <v>239</v>
      </c>
      <c r="AH49" s="18" t="s">
        <v>69</v>
      </c>
      <c r="AI49" s="18" t="s">
        <v>81</v>
      </c>
      <c r="AJ49" s="18" t="s">
        <v>100</v>
      </c>
      <c r="AK49" s="18" t="s">
        <v>109</v>
      </c>
      <c r="AL49" s="18" t="s">
        <v>122</v>
      </c>
      <c r="AM49" s="18" t="s">
        <v>198</v>
      </c>
      <c r="AN49" s="18" t="s">
        <v>238</v>
      </c>
      <c r="AO49" s="18"/>
      <c r="AP49" s="18">
        <v>0</v>
      </c>
      <c r="AQ49" s="18">
        <v>0</v>
      </c>
      <c r="AR49" s="18">
        <v>0</v>
      </c>
      <c r="AS49" s="18">
        <v>1</v>
      </c>
      <c r="AT49" s="18">
        <v>0</v>
      </c>
      <c r="AU49" s="18">
        <v>1</v>
      </c>
      <c r="AV49" s="49">
        <f t="shared" si="0"/>
        <v>0</v>
      </c>
      <c r="AW49" s="49">
        <v>4</v>
      </c>
      <c r="AX49" s="50">
        <v>4</v>
      </c>
      <c r="AY49" s="49">
        <v>1</v>
      </c>
      <c r="AZ49" s="49">
        <v>15</v>
      </c>
      <c r="BA49" s="67">
        <v>1.5</v>
      </c>
      <c r="BB49" s="67">
        <v>4</v>
      </c>
      <c r="BC49" s="67">
        <v>5</v>
      </c>
      <c r="BD49" s="67">
        <f t="shared" si="1"/>
        <v>0</v>
      </c>
      <c r="BE49" s="67">
        <v>0</v>
      </c>
      <c r="BF49" s="67">
        <v>1</v>
      </c>
      <c r="BG49" s="67">
        <v>0</v>
      </c>
      <c r="BH49" s="67">
        <v>0</v>
      </c>
      <c r="BI49" s="67">
        <v>0</v>
      </c>
      <c r="BJ49" s="67">
        <v>10</v>
      </c>
      <c r="BK49" s="67">
        <v>20</v>
      </c>
      <c r="BL49" s="18">
        <v>24</v>
      </c>
      <c r="BM49" s="18"/>
      <c r="BN49" s="18"/>
      <c r="BR49" s="167"/>
      <c r="BS49" s="172" t="s">
        <v>322</v>
      </c>
      <c r="BT49" s="172">
        <v>1.293705530248479</v>
      </c>
      <c r="BU49" s="167"/>
    </row>
    <row r="50" spans="1:94" x14ac:dyDescent="0.25">
      <c r="A50" s="18" t="s">
        <v>6</v>
      </c>
      <c r="B50" s="18">
        <v>2024</v>
      </c>
      <c r="C50" s="18" t="s">
        <v>138</v>
      </c>
      <c r="D50" s="18" t="s">
        <v>245</v>
      </c>
      <c r="E50" s="18">
        <v>50</v>
      </c>
      <c r="F50" s="18">
        <v>50</v>
      </c>
      <c r="G50" s="18" t="s">
        <v>154</v>
      </c>
      <c r="H50" s="18" t="s">
        <v>154</v>
      </c>
      <c r="I50" s="18" t="s">
        <v>293</v>
      </c>
      <c r="J50" s="4">
        <v>24</v>
      </c>
      <c r="K50" s="4">
        <v>24.5</v>
      </c>
      <c r="L50" s="4">
        <v>0.5</v>
      </c>
      <c r="M50" s="5">
        <v>0.42</v>
      </c>
      <c r="N50" s="31">
        <v>0.21</v>
      </c>
      <c r="O50" s="31">
        <v>0.21</v>
      </c>
      <c r="P50" s="31">
        <v>42</v>
      </c>
      <c r="Q50" s="31">
        <v>5</v>
      </c>
      <c r="R50" s="31">
        <v>0.21</v>
      </c>
      <c r="S50" s="31">
        <v>0</v>
      </c>
      <c r="T50" s="65">
        <v>0</v>
      </c>
      <c r="U50" s="31">
        <v>0</v>
      </c>
      <c r="V50" s="31"/>
      <c r="W50" s="31">
        <v>0</v>
      </c>
      <c r="X50" s="31"/>
      <c r="Y50" s="18">
        <v>0</v>
      </c>
      <c r="Z50" s="18" t="s">
        <v>96</v>
      </c>
      <c r="AA50" s="18" t="s">
        <v>118</v>
      </c>
      <c r="AB50" s="18" t="s">
        <v>334</v>
      </c>
      <c r="AC50" s="18">
        <v>5</v>
      </c>
      <c r="AD50" s="18">
        <v>42</v>
      </c>
      <c r="AE50" s="18" t="s">
        <v>27</v>
      </c>
      <c r="AF50" s="18" t="s">
        <v>239</v>
      </c>
      <c r="AG50" s="18" t="s">
        <v>239</v>
      </c>
      <c r="AH50" s="18" t="s">
        <v>69</v>
      </c>
      <c r="AI50" s="18" t="s">
        <v>81</v>
      </c>
      <c r="AJ50" s="18" t="s">
        <v>100</v>
      </c>
      <c r="AK50" s="18" t="s">
        <v>109</v>
      </c>
      <c r="AL50" s="18" t="s">
        <v>122</v>
      </c>
      <c r="AM50" s="18" t="s">
        <v>198</v>
      </c>
      <c r="AN50" s="18" t="s">
        <v>238</v>
      </c>
      <c r="AO50" s="18"/>
      <c r="AP50" s="18">
        <v>0</v>
      </c>
      <c r="AQ50" s="18">
        <v>0</v>
      </c>
      <c r="AR50" s="18">
        <v>0</v>
      </c>
      <c r="AS50" s="18">
        <v>1</v>
      </c>
      <c r="AT50" s="18">
        <v>0</v>
      </c>
      <c r="AU50" s="18">
        <v>1</v>
      </c>
      <c r="AV50" s="49">
        <f t="shared" si="0"/>
        <v>0</v>
      </c>
      <c r="AW50" s="49">
        <v>4</v>
      </c>
      <c r="AX50" s="50">
        <v>0</v>
      </c>
      <c r="AY50" s="49">
        <v>1</v>
      </c>
      <c r="AZ50" s="49">
        <v>15</v>
      </c>
      <c r="BA50" s="67">
        <v>1.5</v>
      </c>
      <c r="BB50" s="67">
        <v>4</v>
      </c>
      <c r="BC50" s="67">
        <v>5</v>
      </c>
      <c r="BD50" s="67">
        <f t="shared" si="1"/>
        <v>0</v>
      </c>
      <c r="BE50" s="67">
        <v>0</v>
      </c>
      <c r="BF50" s="67">
        <v>1</v>
      </c>
      <c r="BG50" s="67">
        <v>0</v>
      </c>
      <c r="BH50" s="67">
        <v>0</v>
      </c>
      <c r="BI50" s="67">
        <v>0</v>
      </c>
      <c r="BJ50" s="67">
        <v>10</v>
      </c>
      <c r="BK50" s="67">
        <v>20</v>
      </c>
      <c r="BL50" s="18">
        <v>20</v>
      </c>
      <c r="BM50" s="18"/>
      <c r="BN50" s="18"/>
      <c r="BR50" s="167"/>
      <c r="BS50" s="167"/>
      <c r="BT50" s="167"/>
      <c r="BU50" s="167"/>
    </row>
    <row r="51" spans="1:94" x14ac:dyDescent="0.25">
      <c r="A51" s="18" t="s">
        <v>6</v>
      </c>
      <c r="B51" s="18">
        <v>2024</v>
      </c>
      <c r="C51" s="18" t="s">
        <v>138</v>
      </c>
      <c r="D51" s="18" t="s">
        <v>245</v>
      </c>
      <c r="E51" s="18">
        <v>50</v>
      </c>
      <c r="F51" s="18">
        <v>50</v>
      </c>
      <c r="G51" s="18" t="s">
        <v>154</v>
      </c>
      <c r="H51" s="18" t="s">
        <v>154</v>
      </c>
      <c r="I51" s="18" t="s">
        <v>293</v>
      </c>
      <c r="J51" s="4">
        <v>24.5</v>
      </c>
      <c r="K51" s="4">
        <v>25</v>
      </c>
      <c r="L51" s="4">
        <v>0.5</v>
      </c>
      <c r="M51" s="5">
        <v>0.52</v>
      </c>
      <c r="N51" s="31">
        <v>0.26</v>
      </c>
      <c r="O51" s="31">
        <v>0.26</v>
      </c>
      <c r="P51" s="31">
        <v>52</v>
      </c>
      <c r="Q51" s="31">
        <v>5</v>
      </c>
      <c r="R51" s="31">
        <v>0.2</v>
      </c>
      <c r="S51" s="31">
        <v>0</v>
      </c>
      <c r="T51" s="65">
        <v>0</v>
      </c>
      <c r="U51" s="31">
        <v>10</v>
      </c>
      <c r="V51" s="31"/>
      <c r="W51" s="31">
        <v>10</v>
      </c>
      <c r="X51" s="31">
        <v>20</v>
      </c>
      <c r="Y51" s="18">
        <v>0</v>
      </c>
      <c r="Z51" s="18" t="s">
        <v>96</v>
      </c>
      <c r="AA51" s="18" t="s">
        <v>118</v>
      </c>
      <c r="AB51" s="18" t="s">
        <v>334</v>
      </c>
      <c r="AC51" s="18">
        <v>5</v>
      </c>
      <c r="AD51" s="18">
        <v>52</v>
      </c>
      <c r="AE51" s="18" t="s">
        <v>27</v>
      </c>
      <c r="AF51" s="18" t="s">
        <v>239</v>
      </c>
      <c r="AG51" s="18" t="s">
        <v>239</v>
      </c>
      <c r="AH51" s="18" t="s">
        <v>69</v>
      </c>
      <c r="AI51" s="18" t="s">
        <v>81</v>
      </c>
      <c r="AJ51" s="18" t="s">
        <v>100</v>
      </c>
      <c r="AK51" s="18" t="s">
        <v>109</v>
      </c>
      <c r="AL51" s="18" t="s">
        <v>122</v>
      </c>
      <c r="AM51" s="18" t="s">
        <v>198</v>
      </c>
      <c r="AN51" s="18" t="s">
        <v>238</v>
      </c>
      <c r="AO51" s="18"/>
      <c r="AP51" s="18">
        <v>0</v>
      </c>
      <c r="AQ51" s="18">
        <v>0</v>
      </c>
      <c r="AR51" s="18">
        <v>0</v>
      </c>
      <c r="AS51" s="18">
        <v>1</v>
      </c>
      <c r="AT51" s="18">
        <v>0</v>
      </c>
      <c r="AU51" s="18">
        <v>1</v>
      </c>
      <c r="AV51" s="49">
        <f t="shared" si="0"/>
        <v>0</v>
      </c>
      <c r="AW51" s="49">
        <v>4</v>
      </c>
      <c r="AX51" s="50">
        <v>4</v>
      </c>
      <c r="AY51" s="49">
        <v>1</v>
      </c>
      <c r="AZ51" s="49">
        <v>15</v>
      </c>
      <c r="BA51" s="67">
        <v>1.5</v>
      </c>
      <c r="BB51" s="67">
        <v>4</v>
      </c>
      <c r="BC51" s="67">
        <v>5</v>
      </c>
      <c r="BD51" s="67">
        <f t="shared" si="1"/>
        <v>0</v>
      </c>
      <c r="BE51" s="67">
        <v>0</v>
      </c>
      <c r="BF51" s="67">
        <v>1</v>
      </c>
      <c r="BG51" s="67">
        <v>0</v>
      </c>
      <c r="BH51" s="67">
        <v>0</v>
      </c>
      <c r="BI51" s="67">
        <v>0</v>
      </c>
      <c r="BJ51" s="67">
        <v>10</v>
      </c>
      <c r="BK51" s="67">
        <v>20</v>
      </c>
      <c r="BL51" s="18">
        <v>24</v>
      </c>
      <c r="BM51" s="18"/>
      <c r="BN51" s="18"/>
    </row>
    <row r="52" spans="1:94" x14ac:dyDescent="0.25">
      <c r="A52" s="18" t="s">
        <v>6</v>
      </c>
      <c r="B52" s="18">
        <v>2024</v>
      </c>
      <c r="C52" s="18" t="s">
        <v>138</v>
      </c>
      <c r="D52" s="18" t="s">
        <v>245</v>
      </c>
      <c r="E52" s="18">
        <v>50</v>
      </c>
      <c r="F52" s="18">
        <v>50</v>
      </c>
      <c r="G52" s="18" t="s">
        <v>154</v>
      </c>
      <c r="H52" s="18" t="s">
        <v>154</v>
      </c>
      <c r="I52" s="18" t="s">
        <v>293</v>
      </c>
      <c r="J52" s="4">
        <v>25</v>
      </c>
      <c r="K52" s="4">
        <v>25.5</v>
      </c>
      <c r="L52" s="4">
        <v>0.5</v>
      </c>
      <c r="M52" s="5">
        <v>0.5</v>
      </c>
      <c r="N52" s="31">
        <v>0.25</v>
      </c>
      <c r="O52" s="31">
        <v>0.25</v>
      </c>
      <c r="P52" s="31">
        <v>50</v>
      </c>
      <c r="Q52" s="31">
        <v>5</v>
      </c>
      <c r="R52" s="31">
        <v>0.23</v>
      </c>
      <c r="S52" s="31">
        <v>0</v>
      </c>
      <c r="T52" s="65">
        <v>0</v>
      </c>
      <c r="U52" s="31">
        <v>10</v>
      </c>
      <c r="V52" s="31"/>
      <c r="W52" s="31">
        <v>10</v>
      </c>
      <c r="X52" s="31">
        <v>23</v>
      </c>
      <c r="Y52" s="18">
        <v>0</v>
      </c>
      <c r="Z52" s="18" t="s">
        <v>96</v>
      </c>
      <c r="AA52" s="18" t="s">
        <v>118</v>
      </c>
      <c r="AB52" s="18" t="s">
        <v>334</v>
      </c>
      <c r="AC52" s="18">
        <v>5</v>
      </c>
      <c r="AD52" s="18">
        <v>50</v>
      </c>
      <c r="AE52" s="18" t="s">
        <v>27</v>
      </c>
      <c r="AF52" s="18" t="s">
        <v>239</v>
      </c>
      <c r="AG52" s="18" t="s">
        <v>239</v>
      </c>
      <c r="AH52" s="18" t="s">
        <v>69</v>
      </c>
      <c r="AI52" s="18" t="s">
        <v>81</v>
      </c>
      <c r="AJ52" s="18" t="s">
        <v>100</v>
      </c>
      <c r="AK52" s="18" t="s">
        <v>109</v>
      </c>
      <c r="AL52" s="18" t="s">
        <v>122</v>
      </c>
      <c r="AM52" s="18" t="s">
        <v>198</v>
      </c>
      <c r="AN52" s="18" t="s">
        <v>238</v>
      </c>
      <c r="AO52" s="18"/>
      <c r="AP52" s="18">
        <v>0</v>
      </c>
      <c r="AQ52" s="18">
        <v>0</v>
      </c>
      <c r="AR52" s="18">
        <v>0</v>
      </c>
      <c r="AS52" s="18">
        <v>1</v>
      </c>
      <c r="AT52" s="18">
        <v>0</v>
      </c>
      <c r="AU52" s="18">
        <v>1</v>
      </c>
      <c r="AV52" s="49">
        <f t="shared" si="0"/>
        <v>0</v>
      </c>
      <c r="AW52" s="49">
        <v>4</v>
      </c>
      <c r="AX52" s="50">
        <v>4</v>
      </c>
      <c r="AY52" s="49">
        <v>1</v>
      </c>
      <c r="AZ52" s="49">
        <v>15</v>
      </c>
      <c r="BA52" s="67">
        <v>1.5</v>
      </c>
      <c r="BB52" s="67">
        <v>4</v>
      </c>
      <c r="BC52" s="67">
        <v>5</v>
      </c>
      <c r="BD52" s="67">
        <f t="shared" si="1"/>
        <v>0</v>
      </c>
      <c r="BE52" s="67">
        <v>0</v>
      </c>
      <c r="BF52" s="67">
        <v>1</v>
      </c>
      <c r="BG52" s="67">
        <v>0</v>
      </c>
      <c r="BH52" s="67">
        <v>0</v>
      </c>
      <c r="BI52" s="67">
        <v>0</v>
      </c>
      <c r="BJ52" s="67">
        <v>10</v>
      </c>
      <c r="BK52" s="67">
        <v>20</v>
      </c>
      <c r="BL52" s="18">
        <v>24</v>
      </c>
      <c r="BM52" s="18"/>
      <c r="BN52" s="18"/>
    </row>
    <row r="53" spans="1:94" x14ac:dyDescent="0.25">
      <c r="A53" s="18" t="s">
        <v>6</v>
      </c>
      <c r="B53" s="18">
        <v>2024</v>
      </c>
      <c r="C53" s="18" t="s">
        <v>138</v>
      </c>
      <c r="D53" s="18" t="s">
        <v>245</v>
      </c>
      <c r="E53" s="18">
        <v>50</v>
      </c>
      <c r="F53" s="18">
        <v>50</v>
      </c>
      <c r="G53" s="18" t="s">
        <v>154</v>
      </c>
      <c r="H53" s="18" t="s">
        <v>154</v>
      </c>
      <c r="I53" s="18" t="s">
        <v>293</v>
      </c>
      <c r="J53" s="4">
        <v>25.5</v>
      </c>
      <c r="K53" s="4">
        <v>26</v>
      </c>
      <c r="L53" s="4">
        <v>0.5</v>
      </c>
      <c r="M53" s="5">
        <v>0.5</v>
      </c>
      <c r="N53" s="31">
        <v>0.25</v>
      </c>
      <c r="O53" s="31">
        <v>0.25</v>
      </c>
      <c r="P53" s="31">
        <v>50</v>
      </c>
      <c r="Q53" s="31">
        <v>5</v>
      </c>
      <c r="R53" s="31">
        <v>0.25</v>
      </c>
      <c r="S53" s="31">
        <v>0</v>
      </c>
      <c r="T53" s="65">
        <v>0</v>
      </c>
      <c r="U53" s="31">
        <v>10</v>
      </c>
      <c r="V53" s="31"/>
      <c r="W53" s="31">
        <v>10</v>
      </c>
      <c r="X53" s="31">
        <v>25</v>
      </c>
      <c r="Y53" s="18">
        <v>0</v>
      </c>
      <c r="Z53" s="18" t="s">
        <v>96</v>
      </c>
      <c r="AA53" s="18" t="s">
        <v>118</v>
      </c>
      <c r="AB53" s="18" t="s">
        <v>334</v>
      </c>
      <c r="AC53" s="18">
        <v>5</v>
      </c>
      <c r="AD53" s="18">
        <v>50</v>
      </c>
      <c r="AE53" s="18" t="s">
        <v>27</v>
      </c>
      <c r="AF53" s="18" t="s">
        <v>239</v>
      </c>
      <c r="AG53" s="18" t="s">
        <v>239</v>
      </c>
      <c r="AH53" s="18" t="s">
        <v>69</v>
      </c>
      <c r="AI53" s="18" t="s">
        <v>81</v>
      </c>
      <c r="AJ53" s="18" t="s">
        <v>100</v>
      </c>
      <c r="AK53" s="18" t="s">
        <v>109</v>
      </c>
      <c r="AL53" s="18" t="s">
        <v>122</v>
      </c>
      <c r="AM53" s="18" t="s">
        <v>198</v>
      </c>
      <c r="AN53" s="18" t="s">
        <v>238</v>
      </c>
      <c r="AO53" s="18"/>
      <c r="AP53" s="18">
        <v>0</v>
      </c>
      <c r="AQ53" s="18">
        <v>0</v>
      </c>
      <c r="AR53" s="18">
        <v>0</v>
      </c>
      <c r="AS53" s="18">
        <v>1</v>
      </c>
      <c r="AT53" s="18">
        <v>0</v>
      </c>
      <c r="AU53" s="18">
        <v>1</v>
      </c>
      <c r="AV53" s="49">
        <f t="shared" si="0"/>
        <v>0</v>
      </c>
      <c r="AW53" s="49">
        <v>4</v>
      </c>
      <c r="AX53" s="50">
        <v>5</v>
      </c>
      <c r="AY53" s="49">
        <v>1</v>
      </c>
      <c r="AZ53" s="49">
        <v>15</v>
      </c>
      <c r="BA53" s="67">
        <v>1.5</v>
      </c>
      <c r="BB53" s="67">
        <v>4</v>
      </c>
      <c r="BC53" s="67">
        <v>5</v>
      </c>
      <c r="BD53" s="67">
        <f t="shared" si="1"/>
        <v>0</v>
      </c>
      <c r="BE53" s="67">
        <v>0</v>
      </c>
      <c r="BF53" s="67">
        <v>1</v>
      </c>
      <c r="BG53" s="67">
        <v>0</v>
      </c>
      <c r="BH53" s="67">
        <v>0</v>
      </c>
      <c r="BI53" s="67">
        <v>0</v>
      </c>
      <c r="BJ53" s="67">
        <v>10</v>
      </c>
      <c r="BK53" s="67">
        <v>20</v>
      </c>
      <c r="BL53" s="18">
        <v>25</v>
      </c>
      <c r="BM53" s="18"/>
      <c r="BN53" s="18"/>
    </row>
    <row r="54" spans="1:94" x14ac:dyDescent="0.25">
      <c r="A54" s="18" t="s">
        <v>6</v>
      </c>
      <c r="B54" s="18">
        <v>2024</v>
      </c>
      <c r="C54" s="18" t="s">
        <v>138</v>
      </c>
      <c r="D54" s="18" t="s">
        <v>132</v>
      </c>
      <c r="E54" s="18">
        <v>40</v>
      </c>
      <c r="F54" s="18">
        <v>50</v>
      </c>
      <c r="G54" s="18" t="s">
        <v>153</v>
      </c>
      <c r="H54" s="18"/>
      <c r="I54" s="18" t="s">
        <v>166</v>
      </c>
      <c r="J54" s="4">
        <v>5</v>
      </c>
      <c r="K54" s="18">
        <v>5.5</v>
      </c>
      <c r="L54" s="4">
        <v>0.5</v>
      </c>
      <c r="M54" s="5">
        <v>0.56000000000000005</v>
      </c>
      <c r="N54" s="31">
        <v>0.28000000000000003</v>
      </c>
      <c r="O54" s="31">
        <v>0.28000000000000003</v>
      </c>
      <c r="P54" s="31">
        <v>14</v>
      </c>
      <c r="Q54" s="31">
        <v>20</v>
      </c>
      <c r="R54" s="31">
        <v>0.26</v>
      </c>
      <c r="S54" s="31">
        <v>0</v>
      </c>
      <c r="T54" s="65">
        <v>0</v>
      </c>
      <c r="U54" s="31">
        <v>4</v>
      </c>
      <c r="V54" s="31"/>
      <c r="W54" s="31">
        <v>4</v>
      </c>
      <c r="X54" s="31">
        <v>65</v>
      </c>
      <c r="Y54" s="18">
        <v>0</v>
      </c>
      <c r="Z54" s="18" t="s">
        <v>100</v>
      </c>
      <c r="AA54" s="18" t="s">
        <v>333</v>
      </c>
      <c r="AB54" s="18" t="s">
        <v>335</v>
      </c>
      <c r="AC54" s="18">
        <v>20</v>
      </c>
      <c r="AD54" s="18">
        <v>14</v>
      </c>
      <c r="AE54" s="18" t="s">
        <v>34</v>
      </c>
      <c r="AF54" s="18"/>
      <c r="AG54" s="18" t="s">
        <v>34</v>
      </c>
      <c r="AH54" s="18" t="s">
        <v>69</v>
      </c>
      <c r="AI54" s="18" t="s">
        <v>81</v>
      </c>
      <c r="AJ54" s="18" t="s">
        <v>100</v>
      </c>
      <c r="AK54" s="18" t="s">
        <v>107</v>
      </c>
      <c r="AL54" s="18" t="s">
        <v>120</v>
      </c>
      <c r="AM54" s="18" t="s">
        <v>247</v>
      </c>
      <c r="AN54" s="18"/>
      <c r="AO54" s="18"/>
      <c r="AP54" s="18">
        <v>0</v>
      </c>
      <c r="AQ54" s="18">
        <v>0</v>
      </c>
      <c r="AR54" s="18">
        <v>0</v>
      </c>
      <c r="AS54" s="18">
        <v>3</v>
      </c>
      <c r="AT54" s="18">
        <v>2</v>
      </c>
      <c r="AU54" s="18">
        <v>5</v>
      </c>
      <c r="AV54" s="49">
        <f t="shared" si="0"/>
        <v>0</v>
      </c>
      <c r="AW54" s="49">
        <v>0</v>
      </c>
      <c r="AX54" s="50">
        <v>4</v>
      </c>
      <c r="AY54" s="49">
        <v>5</v>
      </c>
      <c r="AZ54" s="49">
        <v>10</v>
      </c>
      <c r="BA54" s="67">
        <v>7.5</v>
      </c>
      <c r="BB54" s="67">
        <v>0</v>
      </c>
      <c r="BC54" s="67">
        <v>6</v>
      </c>
      <c r="BD54" s="67">
        <f t="shared" si="1"/>
        <v>0</v>
      </c>
      <c r="BE54" s="67">
        <v>0</v>
      </c>
      <c r="BF54" s="67">
        <v>3</v>
      </c>
      <c r="BG54" s="67">
        <v>2</v>
      </c>
      <c r="BH54" s="67">
        <v>0</v>
      </c>
      <c r="BI54" s="67">
        <v>0</v>
      </c>
      <c r="BJ54" s="67">
        <v>7</v>
      </c>
      <c r="BK54" s="67">
        <v>18</v>
      </c>
      <c r="BL54" s="18">
        <v>19</v>
      </c>
      <c r="BM54" s="18"/>
      <c r="BN54" s="18"/>
    </row>
    <row r="55" spans="1:94" x14ac:dyDescent="0.25">
      <c r="A55" s="18" t="s">
        <v>6</v>
      </c>
      <c r="B55" s="18">
        <v>2024</v>
      </c>
      <c r="C55" s="18" t="s">
        <v>138</v>
      </c>
      <c r="D55" s="18" t="s">
        <v>132</v>
      </c>
      <c r="E55" s="18">
        <v>40</v>
      </c>
      <c r="F55" s="18">
        <v>50</v>
      </c>
      <c r="G55" s="18" t="s">
        <v>153</v>
      </c>
      <c r="H55" s="18"/>
      <c r="I55" s="18" t="s">
        <v>166</v>
      </c>
      <c r="J55" s="4">
        <v>5.5</v>
      </c>
      <c r="K55" s="18">
        <v>6</v>
      </c>
      <c r="L55" s="4">
        <v>0.5</v>
      </c>
      <c r="M55" s="5">
        <v>0.52</v>
      </c>
      <c r="N55" s="31">
        <v>0.26</v>
      </c>
      <c r="O55" s="31">
        <v>0.26</v>
      </c>
      <c r="P55" s="31">
        <v>13</v>
      </c>
      <c r="Q55" s="31">
        <v>20</v>
      </c>
      <c r="R55" s="31">
        <v>0.25</v>
      </c>
      <c r="S55" s="31">
        <v>0</v>
      </c>
      <c r="T55" s="65">
        <v>0</v>
      </c>
      <c r="U55" s="31">
        <v>4</v>
      </c>
      <c r="V55" s="31"/>
      <c r="W55" s="31">
        <v>4</v>
      </c>
      <c r="X55" s="31">
        <v>62.5</v>
      </c>
      <c r="Y55" s="18">
        <v>0</v>
      </c>
      <c r="Z55" s="18" t="s">
        <v>100</v>
      </c>
      <c r="AA55" s="18" t="s">
        <v>333</v>
      </c>
      <c r="AB55" s="18" t="s">
        <v>335</v>
      </c>
      <c r="AC55" s="18">
        <v>20</v>
      </c>
      <c r="AD55" s="18">
        <v>13</v>
      </c>
      <c r="AE55" s="18" t="s">
        <v>34</v>
      </c>
      <c r="AF55" s="18"/>
      <c r="AG55" s="18" t="s">
        <v>34</v>
      </c>
      <c r="AH55" s="18" t="s">
        <v>69</v>
      </c>
      <c r="AI55" s="18" t="s">
        <v>81</v>
      </c>
      <c r="AJ55" s="18" t="s">
        <v>100</v>
      </c>
      <c r="AK55" s="18" t="s">
        <v>107</v>
      </c>
      <c r="AL55" s="18" t="s">
        <v>120</v>
      </c>
      <c r="AM55" s="18" t="s">
        <v>247</v>
      </c>
      <c r="AN55" s="18"/>
      <c r="AO55" s="18"/>
      <c r="AP55" s="18">
        <v>0</v>
      </c>
      <c r="AQ55" s="18">
        <v>0</v>
      </c>
      <c r="AR55" s="18">
        <v>0</v>
      </c>
      <c r="AS55" s="18">
        <v>3</v>
      </c>
      <c r="AT55" s="18">
        <v>2</v>
      </c>
      <c r="AU55" s="18">
        <v>5</v>
      </c>
      <c r="AV55" s="49">
        <f t="shared" si="0"/>
        <v>0</v>
      </c>
      <c r="AW55" s="49">
        <v>0</v>
      </c>
      <c r="AX55" s="50">
        <v>4</v>
      </c>
      <c r="AY55" s="49">
        <v>5</v>
      </c>
      <c r="AZ55" s="49">
        <v>10</v>
      </c>
      <c r="BA55" s="67">
        <v>7.5</v>
      </c>
      <c r="BB55" s="67">
        <v>0</v>
      </c>
      <c r="BC55" s="67">
        <v>5</v>
      </c>
      <c r="BD55" s="67">
        <f t="shared" si="1"/>
        <v>0</v>
      </c>
      <c r="BE55" s="67">
        <v>0</v>
      </c>
      <c r="BF55" s="67">
        <v>3</v>
      </c>
      <c r="BG55" s="67">
        <v>2</v>
      </c>
      <c r="BH55" s="67">
        <v>0</v>
      </c>
      <c r="BI55" s="67">
        <v>0</v>
      </c>
      <c r="BJ55" s="67">
        <v>7</v>
      </c>
      <c r="BK55" s="67">
        <v>17</v>
      </c>
      <c r="BL55" s="18">
        <v>19</v>
      </c>
      <c r="BM55" s="18"/>
      <c r="BN55" s="18"/>
    </row>
    <row r="56" spans="1:94" x14ac:dyDescent="0.25">
      <c r="A56" s="18" t="s">
        <v>6</v>
      </c>
      <c r="B56" s="18">
        <v>2024</v>
      </c>
      <c r="C56" s="18" t="s">
        <v>138</v>
      </c>
      <c r="D56" s="18" t="s">
        <v>132</v>
      </c>
      <c r="E56" s="18">
        <v>40</v>
      </c>
      <c r="F56" s="18">
        <v>50</v>
      </c>
      <c r="G56" s="18" t="s">
        <v>153</v>
      </c>
      <c r="H56" s="18"/>
      <c r="I56" s="18" t="s">
        <v>166</v>
      </c>
      <c r="J56" s="4">
        <v>6</v>
      </c>
      <c r="K56" s="18">
        <v>6.5</v>
      </c>
      <c r="L56" s="4">
        <v>0.5</v>
      </c>
      <c r="M56" s="5">
        <v>0.74</v>
      </c>
      <c r="N56" s="31">
        <v>0.37</v>
      </c>
      <c r="O56" s="31">
        <v>0.37</v>
      </c>
      <c r="P56" s="31">
        <v>18.5</v>
      </c>
      <c r="Q56" s="31">
        <v>20</v>
      </c>
      <c r="R56" s="31">
        <v>0.28000000000000003</v>
      </c>
      <c r="S56" s="31">
        <v>0</v>
      </c>
      <c r="T56" s="65">
        <v>0</v>
      </c>
      <c r="U56" s="31">
        <v>3</v>
      </c>
      <c r="V56" s="31"/>
      <c r="W56" s="31">
        <v>3</v>
      </c>
      <c r="X56" s="31">
        <v>83.333333333333329</v>
      </c>
      <c r="Y56" s="18">
        <v>0</v>
      </c>
      <c r="Z56" s="18" t="s">
        <v>100</v>
      </c>
      <c r="AA56" s="18" t="s">
        <v>333</v>
      </c>
      <c r="AB56" s="18" t="s">
        <v>335</v>
      </c>
      <c r="AC56" s="18">
        <v>20</v>
      </c>
      <c r="AD56" s="18">
        <v>18.5</v>
      </c>
      <c r="AE56" s="18" t="s">
        <v>34</v>
      </c>
      <c r="AF56" s="18"/>
      <c r="AG56" s="18" t="s">
        <v>34</v>
      </c>
      <c r="AH56" s="18" t="s">
        <v>69</v>
      </c>
      <c r="AI56" s="18" t="s">
        <v>81</v>
      </c>
      <c r="AJ56" s="18" t="s">
        <v>100</v>
      </c>
      <c r="AK56" s="18" t="s">
        <v>107</v>
      </c>
      <c r="AL56" s="18" t="s">
        <v>120</v>
      </c>
      <c r="AM56" s="18" t="s">
        <v>247</v>
      </c>
      <c r="AN56" s="18"/>
      <c r="AO56" s="18"/>
      <c r="AP56" s="18">
        <v>0</v>
      </c>
      <c r="AQ56" s="18">
        <v>0</v>
      </c>
      <c r="AR56" s="18">
        <v>0</v>
      </c>
      <c r="AS56" s="18">
        <v>3</v>
      </c>
      <c r="AT56" s="18">
        <v>2</v>
      </c>
      <c r="AU56" s="18">
        <v>5</v>
      </c>
      <c r="AV56" s="49">
        <f t="shared" si="0"/>
        <v>0</v>
      </c>
      <c r="AW56" s="49">
        <v>0</v>
      </c>
      <c r="AX56" s="50">
        <v>4</v>
      </c>
      <c r="AY56" s="49">
        <v>5</v>
      </c>
      <c r="AZ56" s="49">
        <v>10</v>
      </c>
      <c r="BA56" s="67">
        <v>7.5</v>
      </c>
      <c r="BB56" s="67">
        <v>0</v>
      </c>
      <c r="BC56" s="67">
        <v>7</v>
      </c>
      <c r="BD56" s="67">
        <f t="shared" si="1"/>
        <v>0</v>
      </c>
      <c r="BE56" s="67">
        <v>0</v>
      </c>
      <c r="BF56" s="67">
        <v>3</v>
      </c>
      <c r="BG56" s="67">
        <v>2</v>
      </c>
      <c r="BH56" s="67">
        <v>0</v>
      </c>
      <c r="BI56" s="67">
        <v>0</v>
      </c>
      <c r="BJ56" s="67">
        <v>7</v>
      </c>
      <c r="BK56" s="67">
        <v>19</v>
      </c>
      <c r="BL56" s="18">
        <v>19</v>
      </c>
      <c r="BM56" s="18"/>
      <c r="BN56" s="18"/>
    </row>
    <row r="57" spans="1:94" x14ac:dyDescent="0.25">
      <c r="A57" s="18" t="s">
        <v>6</v>
      </c>
      <c r="B57" s="18">
        <v>2024</v>
      </c>
      <c r="C57" s="18" t="s">
        <v>138</v>
      </c>
      <c r="D57" s="18" t="s">
        <v>132</v>
      </c>
      <c r="E57" s="18">
        <v>40</v>
      </c>
      <c r="F57" s="18">
        <v>50</v>
      </c>
      <c r="G57" s="18" t="s">
        <v>153</v>
      </c>
      <c r="H57" s="18"/>
      <c r="I57" s="18" t="s">
        <v>166</v>
      </c>
      <c r="J57" s="4">
        <v>6.5</v>
      </c>
      <c r="K57" s="18">
        <v>7</v>
      </c>
      <c r="L57" s="4">
        <v>0.5</v>
      </c>
      <c r="M57" s="5">
        <v>0.4</v>
      </c>
      <c r="N57" s="31">
        <v>0.2</v>
      </c>
      <c r="O57" s="31">
        <v>0.2</v>
      </c>
      <c r="P57" s="31">
        <v>10</v>
      </c>
      <c r="Q57" s="31">
        <v>20</v>
      </c>
      <c r="R57" s="31">
        <v>0.19</v>
      </c>
      <c r="S57" s="31">
        <v>0</v>
      </c>
      <c r="T57" s="65">
        <v>0</v>
      </c>
      <c r="U57" s="31">
        <v>5</v>
      </c>
      <c r="V57" s="31"/>
      <c r="W57" s="31">
        <v>5</v>
      </c>
      <c r="X57" s="31">
        <v>56</v>
      </c>
      <c r="Y57" s="18">
        <v>0</v>
      </c>
      <c r="Z57" s="18" t="s">
        <v>330</v>
      </c>
      <c r="AA57" s="18" t="s">
        <v>333</v>
      </c>
      <c r="AB57" s="18" t="s">
        <v>335</v>
      </c>
      <c r="AC57" s="18">
        <v>20</v>
      </c>
      <c r="AD57" s="18">
        <v>10</v>
      </c>
      <c r="AE57" s="18" t="s">
        <v>34</v>
      </c>
      <c r="AF57" s="18"/>
      <c r="AG57" s="18" t="s">
        <v>34</v>
      </c>
      <c r="AH57" s="18" t="s">
        <v>69</v>
      </c>
      <c r="AI57" s="18" t="s">
        <v>81</v>
      </c>
      <c r="AJ57" s="18" t="s">
        <v>100</v>
      </c>
      <c r="AK57" s="18" t="s">
        <v>107</v>
      </c>
      <c r="AL57" s="18" t="s">
        <v>120</v>
      </c>
      <c r="AM57" s="18" t="s">
        <v>247</v>
      </c>
      <c r="AN57" s="18"/>
      <c r="AO57" s="18"/>
      <c r="AP57" s="18">
        <v>0</v>
      </c>
      <c r="AQ57" s="18">
        <v>0</v>
      </c>
      <c r="AR57" s="18">
        <v>0</v>
      </c>
      <c r="AS57" s="18">
        <v>3</v>
      </c>
      <c r="AT57" s="18">
        <v>2</v>
      </c>
      <c r="AU57" s="18">
        <v>5</v>
      </c>
      <c r="AV57" s="49">
        <f t="shared" si="0"/>
        <v>0</v>
      </c>
      <c r="AW57" s="49">
        <v>0</v>
      </c>
      <c r="AX57" s="50">
        <v>3</v>
      </c>
      <c r="AY57" s="49">
        <v>5</v>
      </c>
      <c r="AZ57" s="49">
        <v>10</v>
      </c>
      <c r="BA57" s="67">
        <v>7.5</v>
      </c>
      <c r="BB57" s="67">
        <v>0</v>
      </c>
      <c r="BC57" s="67">
        <v>5</v>
      </c>
      <c r="BD57" s="67">
        <f t="shared" si="1"/>
        <v>0</v>
      </c>
      <c r="BE57" s="67">
        <v>0</v>
      </c>
      <c r="BF57" s="67">
        <v>3</v>
      </c>
      <c r="BG57" s="67">
        <v>2</v>
      </c>
      <c r="BH57" s="67">
        <v>0</v>
      </c>
      <c r="BI57" s="67">
        <v>0</v>
      </c>
      <c r="BJ57" s="67">
        <v>7</v>
      </c>
      <c r="BK57" s="67">
        <v>17</v>
      </c>
      <c r="BL57" s="18">
        <v>18</v>
      </c>
      <c r="BM57" s="18"/>
      <c r="BN57" s="18"/>
    </row>
    <row r="58" spans="1:94" x14ac:dyDescent="0.25">
      <c r="A58" s="18" t="s">
        <v>6</v>
      </c>
      <c r="B58" s="18">
        <v>2024</v>
      </c>
      <c r="C58" s="18" t="s">
        <v>138</v>
      </c>
      <c r="D58" s="18" t="s">
        <v>132</v>
      </c>
      <c r="E58" s="18">
        <v>40</v>
      </c>
      <c r="F58" s="18">
        <v>50</v>
      </c>
      <c r="G58" s="18" t="s">
        <v>153</v>
      </c>
      <c r="H58" s="18"/>
      <c r="I58" s="18" t="s">
        <v>166</v>
      </c>
      <c r="J58" s="4">
        <v>7</v>
      </c>
      <c r="K58" s="18">
        <v>7.5</v>
      </c>
      <c r="L58" s="4">
        <v>0.5</v>
      </c>
      <c r="M58" s="5">
        <v>0.48</v>
      </c>
      <c r="N58" s="31">
        <v>0.24</v>
      </c>
      <c r="O58" s="31">
        <v>0.24</v>
      </c>
      <c r="P58" s="31">
        <v>12</v>
      </c>
      <c r="Q58" s="31">
        <v>20</v>
      </c>
      <c r="R58" s="31">
        <v>0.23</v>
      </c>
      <c r="S58" s="31">
        <v>0</v>
      </c>
      <c r="T58" s="65">
        <v>0</v>
      </c>
      <c r="U58" s="31">
        <v>5</v>
      </c>
      <c r="V58" s="31"/>
      <c r="W58" s="31">
        <v>5</v>
      </c>
      <c r="X58" s="31">
        <v>38</v>
      </c>
      <c r="Y58" s="18">
        <v>0</v>
      </c>
      <c r="Z58" s="18" t="s">
        <v>330</v>
      </c>
      <c r="AA58" s="18" t="s">
        <v>333</v>
      </c>
      <c r="AB58" s="18" t="s">
        <v>335</v>
      </c>
      <c r="AC58" s="18">
        <v>20</v>
      </c>
      <c r="AD58" s="18">
        <v>12</v>
      </c>
      <c r="AE58" s="18" t="s">
        <v>34</v>
      </c>
      <c r="AF58" s="18"/>
      <c r="AG58" s="18" t="s">
        <v>34</v>
      </c>
      <c r="AH58" s="18" t="s">
        <v>69</v>
      </c>
      <c r="AI58" s="18" t="s">
        <v>81</v>
      </c>
      <c r="AJ58" s="18" t="s">
        <v>100</v>
      </c>
      <c r="AK58" s="18" t="s">
        <v>107</v>
      </c>
      <c r="AL58" s="18" t="s">
        <v>120</v>
      </c>
      <c r="AM58" s="18" t="s">
        <v>247</v>
      </c>
      <c r="AN58" s="18"/>
      <c r="AO58" s="18"/>
      <c r="AP58" s="18">
        <v>0</v>
      </c>
      <c r="AQ58" s="18">
        <v>0</v>
      </c>
      <c r="AR58" s="18">
        <v>0</v>
      </c>
      <c r="AS58" s="18">
        <v>3</v>
      </c>
      <c r="AT58" s="18">
        <v>2</v>
      </c>
      <c r="AU58" s="18">
        <v>5</v>
      </c>
      <c r="AV58" s="49">
        <f t="shared" si="0"/>
        <v>0</v>
      </c>
      <c r="AW58" s="49">
        <v>0</v>
      </c>
      <c r="AX58" s="50">
        <v>4</v>
      </c>
      <c r="AY58" s="49">
        <v>5</v>
      </c>
      <c r="AZ58" s="49">
        <v>10</v>
      </c>
      <c r="BA58" s="67">
        <v>7.5</v>
      </c>
      <c r="BB58" s="67">
        <v>0</v>
      </c>
      <c r="BC58" s="67">
        <v>5</v>
      </c>
      <c r="BD58" s="67">
        <f t="shared" si="1"/>
        <v>0</v>
      </c>
      <c r="BE58" s="67">
        <v>0</v>
      </c>
      <c r="BF58" s="67">
        <v>3</v>
      </c>
      <c r="BG58" s="67">
        <v>2</v>
      </c>
      <c r="BH58" s="67">
        <v>0</v>
      </c>
      <c r="BI58" s="67">
        <v>0</v>
      </c>
      <c r="BJ58" s="67">
        <v>7</v>
      </c>
      <c r="BK58" s="67">
        <v>17</v>
      </c>
      <c r="BL58" s="18">
        <v>19</v>
      </c>
      <c r="BM58" s="18"/>
      <c r="BN58" s="18"/>
      <c r="CD58" s="167"/>
      <c r="CE58" s="167"/>
      <c r="CF58" s="167"/>
      <c r="CG58" s="167"/>
      <c r="CH58" s="167"/>
      <c r="CI58" s="167"/>
      <c r="CJ58" s="167"/>
      <c r="CK58" s="167"/>
      <c r="CL58" s="167"/>
      <c r="CM58" s="167"/>
      <c r="CN58" s="167"/>
      <c r="CO58" s="167"/>
      <c r="CP58" s="167"/>
    </row>
    <row r="59" spans="1:94" ht="15.75" thickBot="1" x14ac:dyDescent="0.3">
      <c r="A59" s="18" t="s">
        <v>6</v>
      </c>
      <c r="B59" s="18">
        <v>2024</v>
      </c>
      <c r="C59" s="18" t="s">
        <v>138</v>
      </c>
      <c r="D59" s="18" t="s">
        <v>132</v>
      </c>
      <c r="E59" s="18">
        <v>40</v>
      </c>
      <c r="F59" s="18">
        <v>50</v>
      </c>
      <c r="G59" s="18" t="s">
        <v>153</v>
      </c>
      <c r="H59" s="18"/>
      <c r="I59" s="18" t="s">
        <v>166</v>
      </c>
      <c r="J59" s="4">
        <v>7.5</v>
      </c>
      <c r="K59" s="18">
        <v>8</v>
      </c>
      <c r="L59" s="4">
        <v>0.5</v>
      </c>
      <c r="M59" s="5">
        <v>0.46</v>
      </c>
      <c r="N59" s="31">
        <v>0.23</v>
      </c>
      <c r="O59" s="31">
        <v>0.23</v>
      </c>
      <c r="P59" s="31">
        <v>11.5</v>
      </c>
      <c r="Q59" s="31">
        <v>20</v>
      </c>
      <c r="R59" s="31">
        <v>0.21</v>
      </c>
      <c r="S59" s="31">
        <v>0</v>
      </c>
      <c r="T59" s="65">
        <v>0</v>
      </c>
      <c r="U59" s="31">
        <v>5</v>
      </c>
      <c r="V59" s="31"/>
      <c r="W59" s="31">
        <v>5</v>
      </c>
      <c r="X59" s="31">
        <v>46</v>
      </c>
      <c r="Y59" s="18">
        <v>0</v>
      </c>
      <c r="Z59" s="18" t="s">
        <v>330</v>
      </c>
      <c r="AA59" s="18" t="s">
        <v>333</v>
      </c>
      <c r="AB59" s="18" t="s">
        <v>335</v>
      </c>
      <c r="AC59" s="18">
        <v>20</v>
      </c>
      <c r="AD59" s="18">
        <v>11.5</v>
      </c>
      <c r="AE59" s="18" t="s">
        <v>34</v>
      </c>
      <c r="AF59" s="18"/>
      <c r="AG59" s="18" t="s">
        <v>34</v>
      </c>
      <c r="AH59" s="18" t="s">
        <v>69</v>
      </c>
      <c r="AI59" s="18" t="s">
        <v>81</v>
      </c>
      <c r="AJ59" s="18" t="s">
        <v>100</v>
      </c>
      <c r="AK59" s="18" t="s">
        <v>107</v>
      </c>
      <c r="AL59" s="18" t="s">
        <v>120</v>
      </c>
      <c r="AM59" s="18" t="s">
        <v>247</v>
      </c>
      <c r="AN59" s="18"/>
      <c r="AO59" s="18"/>
      <c r="AP59" s="18">
        <v>0</v>
      </c>
      <c r="AQ59" s="18">
        <v>0</v>
      </c>
      <c r="AR59" s="18">
        <v>0</v>
      </c>
      <c r="AS59" s="18">
        <v>3</v>
      </c>
      <c r="AT59" s="18">
        <v>2</v>
      </c>
      <c r="AU59" s="18">
        <v>5</v>
      </c>
      <c r="AV59" s="49">
        <f t="shared" si="0"/>
        <v>0</v>
      </c>
      <c r="AW59" s="49">
        <v>0</v>
      </c>
      <c r="AX59" s="50">
        <v>4</v>
      </c>
      <c r="AY59" s="49">
        <v>5</v>
      </c>
      <c r="AZ59" s="49">
        <v>10</v>
      </c>
      <c r="BA59" s="67">
        <v>7.5</v>
      </c>
      <c r="BB59" s="67">
        <v>0</v>
      </c>
      <c r="BC59" s="67">
        <v>5</v>
      </c>
      <c r="BD59" s="67">
        <f t="shared" si="1"/>
        <v>0</v>
      </c>
      <c r="BE59" s="67">
        <v>0</v>
      </c>
      <c r="BF59" s="67">
        <v>3</v>
      </c>
      <c r="BG59" s="67">
        <v>2</v>
      </c>
      <c r="BH59" s="67">
        <v>0</v>
      </c>
      <c r="BI59" s="67">
        <v>0</v>
      </c>
      <c r="BJ59" s="67">
        <v>7</v>
      </c>
      <c r="BK59" s="67">
        <v>17</v>
      </c>
      <c r="BL59" s="18">
        <v>19</v>
      </c>
      <c r="BM59" s="18"/>
      <c r="BN59" s="18"/>
      <c r="CD59" s="167"/>
      <c r="CE59" s="167"/>
      <c r="CF59" s="167"/>
      <c r="CG59" s="167"/>
      <c r="CH59" s="167"/>
      <c r="CI59" s="167"/>
      <c r="CJ59" s="167"/>
      <c r="CK59" s="167"/>
      <c r="CL59" s="167"/>
      <c r="CM59" s="167"/>
      <c r="CN59" s="167"/>
      <c r="CO59" s="167"/>
      <c r="CP59" s="167"/>
    </row>
    <row r="60" spans="1:94" x14ac:dyDescent="0.25">
      <c r="A60" s="18" t="s">
        <v>6</v>
      </c>
      <c r="B60" s="18">
        <v>2024</v>
      </c>
      <c r="C60" s="18" t="s">
        <v>138</v>
      </c>
      <c r="D60" s="18" t="s">
        <v>132</v>
      </c>
      <c r="E60" s="18">
        <v>40</v>
      </c>
      <c r="F60" s="18">
        <v>50</v>
      </c>
      <c r="G60" s="18" t="s">
        <v>153</v>
      </c>
      <c r="H60" s="18"/>
      <c r="I60" s="18" t="s">
        <v>166</v>
      </c>
      <c r="J60" s="4">
        <v>8</v>
      </c>
      <c r="K60" s="18">
        <v>8.5</v>
      </c>
      <c r="L60" s="4">
        <v>0.5</v>
      </c>
      <c r="M60" s="5">
        <v>0.38</v>
      </c>
      <c r="N60" s="31">
        <v>0.19</v>
      </c>
      <c r="O60" s="31">
        <v>0.19</v>
      </c>
      <c r="P60" s="31">
        <v>12.666666666666666</v>
      </c>
      <c r="Q60" s="31">
        <v>15</v>
      </c>
      <c r="R60" s="84">
        <v>0.15</v>
      </c>
      <c r="S60" s="31">
        <v>0.13</v>
      </c>
      <c r="T60" s="65">
        <v>26</v>
      </c>
      <c r="U60" s="31">
        <v>3</v>
      </c>
      <c r="V60" s="31"/>
      <c r="W60" s="31">
        <v>3</v>
      </c>
      <c r="X60" s="31">
        <v>70</v>
      </c>
      <c r="Y60" s="18">
        <v>0</v>
      </c>
      <c r="Z60" s="18" t="s">
        <v>100</v>
      </c>
      <c r="AA60" s="18" t="s">
        <v>122</v>
      </c>
      <c r="AB60" s="18" t="s">
        <v>337</v>
      </c>
      <c r="AC60" s="18">
        <v>15</v>
      </c>
      <c r="AD60" s="18">
        <v>12.666666666666666</v>
      </c>
      <c r="AE60" s="18" t="s">
        <v>29</v>
      </c>
      <c r="AF60" s="18"/>
      <c r="AG60" s="18" t="s">
        <v>29</v>
      </c>
      <c r="AH60" s="18" t="s">
        <v>69</v>
      </c>
      <c r="AI60" s="18" t="s">
        <v>81</v>
      </c>
      <c r="AJ60" s="18" t="s">
        <v>100</v>
      </c>
      <c r="AK60" s="18" t="s">
        <v>107</v>
      </c>
      <c r="AL60" s="18" t="s">
        <v>120</v>
      </c>
      <c r="AM60" s="18" t="s">
        <v>247</v>
      </c>
      <c r="AN60" s="18"/>
      <c r="AO60" s="18"/>
      <c r="AP60" s="18">
        <v>0</v>
      </c>
      <c r="AQ60" s="18">
        <v>0</v>
      </c>
      <c r="AR60" s="18">
        <v>0</v>
      </c>
      <c r="AS60" s="18">
        <v>3</v>
      </c>
      <c r="AT60" s="18">
        <v>2</v>
      </c>
      <c r="AU60" s="18">
        <v>5</v>
      </c>
      <c r="AV60" s="49">
        <f t="shared" si="0"/>
        <v>6</v>
      </c>
      <c r="AW60" s="49">
        <v>2</v>
      </c>
      <c r="AX60" s="50">
        <v>4</v>
      </c>
      <c r="AY60" s="49">
        <v>5</v>
      </c>
      <c r="AZ60" s="49">
        <v>10</v>
      </c>
      <c r="BA60" s="67">
        <v>20.5</v>
      </c>
      <c r="BB60" s="67">
        <v>2</v>
      </c>
      <c r="BC60" s="67">
        <v>6</v>
      </c>
      <c r="BD60" s="67">
        <f t="shared" si="1"/>
        <v>6</v>
      </c>
      <c r="BE60" s="67">
        <v>0</v>
      </c>
      <c r="BF60" s="67">
        <v>3</v>
      </c>
      <c r="BG60" s="67">
        <v>2</v>
      </c>
      <c r="BH60" s="67">
        <v>0</v>
      </c>
      <c r="BI60" s="67">
        <v>0</v>
      </c>
      <c r="BJ60" s="67">
        <v>7</v>
      </c>
      <c r="BK60" s="67">
        <v>26</v>
      </c>
      <c r="BL60" s="18">
        <v>27</v>
      </c>
      <c r="BM60" s="18"/>
      <c r="BN60" s="18"/>
      <c r="CD60" s="167"/>
      <c r="CE60" s="167" t="s">
        <v>587</v>
      </c>
      <c r="CF60" s="167">
        <v>20</v>
      </c>
      <c r="CG60" s="167"/>
      <c r="CH60" s="167"/>
      <c r="CI60" s="168" t="s">
        <v>287</v>
      </c>
      <c r="CJ60" s="168" t="s">
        <v>288</v>
      </c>
      <c r="CK60" s="168" t="s">
        <v>582</v>
      </c>
      <c r="CL60" s="168" t="s">
        <v>287</v>
      </c>
      <c r="CM60" s="168" t="s">
        <v>288</v>
      </c>
      <c r="CN60" s="168" t="s">
        <v>582</v>
      </c>
      <c r="CO60" s="169" t="s">
        <v>636</v>
      </c>
      <c r="CP60" s="167"/>
    </row>
    <row r="61" spans="1:94" x14ac:dyDescent="0.25">
      <c r="A61" s="18" t="s">
        <v>6</v>
      </c>
      <c r="B61" s="18">
        <v>2024</v>
      </c>
      <c r="C61" s="18" t="s">
        <v>138</v>
      </c>
      <c r="D61" s="18" t="s">
        <v>132</v>
      </c>
      <c r="E61" s="18">
        <v>40</v>
      </c>
      <c r="F61" s="18">
        <v>50</v>
      </c>
      <c r="G61" s="18" t="s">
        <v>153</v>
      </c>
      <c r="H61" s="18"/>
      <c r="I61" s="18" t="s">
        <v>166</v>
      </c>
      <c r="J61" s="4">
        <v>8.5</v>
      </c>
      <c r="K61" s="18">
        <v>9</v>
      </c>
      <c r="L61" s="4">
        <v>0.5</v>
      </c>
      <c r="M61" s="5">
        <v>0.36</v>
      </c>
      <c r="N61" s="31">
        <v>0.18</v>
      </c>
      <c r="O61" s="31">
        <v>0.18</v>
      </c>
      <c r="P61" s="31">
        <v>36</v>
      </c>
      <c r="Q61" s="31">
        <v>5</v>
      </c>
      <c r="R61" s="31">
        <v>0.16</v>
      </c>
      <c r="S61" s="31">
        <v>0.11</v>
      </c>
      <c r="T61" s="65">
        <v>22</v>
      </c>
      <c r="U61" s="31">
        <v>3</v>
      </c>
      <c r="V61" s="31"/>
      <c r="W61" s="31">
        <v>3</v>
      </c>
      <c r="X61" s="31">
        <v>53.333333333333336</v>
      </c>
      <c r="Y61" s="18">
        <v>24</v>
      </c>
      <c r="Z61" s="18" t="s">
        <v>100</v>
      </c>
      <c r="AA61" s="18" t="s">
        <v>118</v>
      </c>
      <c r="AB61" s="18" t="s">
        <v>337</v>
      </c>
      <c r="AC61" s="18">
        <v>5</v>
      </c>
      <c r="AD61" s="18">
        <v>36</v>
      </c>
      <c r="AE61" s="18" t="s">
        <v>29</v>
      </c>
      <c r="AF61" s="18"/>
      <c r="AG61" s="18" t="s">
        <v>29</v>
      </c>
      <c r="AH61" s="18" t="s">
        <v>69</v>
      </c>
      <c r="AI61" s="18" t="s">
        <v>81</v>
      </c>
      <c r="AJ61" s="18" t="s">
        <v>100</v>
      </c>
      <c r="AK61" s="18" t="s">
        <v>107</v>
      </c>
      <c r="AL61" s="18" t="s">
        <v>120</v>
      </c>
      <c r="AM61" s="18" t="s">
        <v>247</v>
      </c>
      <c r="AN61" s="18"/>
      <c r="AO61" s="18"/>
      <c r="AP61" s="18">
        <v>0</v>
      </c>
      <c r="AQ61" s="18">
        <v>0</v>
      </c>
      <c r="AR61" s="18">
        <v>0</v>
      </c>
      <c r="AS61" s="18">
        <v>3</v>
      </c>
      <c r="AT61" s="18">
        <v>2</v>
      </c>
      <c r="AU61" s="18">
        <v>5</v>
      </c>
      <c r="AV61" s="49">
        <f t="shared" si="0"/>
        <v>5</v>
      </c>
      <c r="AW61" s="49">
        <v>2</v>
      </c>
      <c r="AX61" s="50">
        <v>5</v>
      </c>
      <c r="AY61" s="49">
        <v>5</v>
      </c>
      <c r="AZ61" s="49">
        <v>10</v>
      </c>
      <c r="BA61" s="67">
        <v>18.5</v>
      </c>
      <c r="BB61" s="67">
        <v>2</v>
      </c>
      <c r="BC61" s="67">
        <v>4</v>
      </c>
      <c r="BD61" s="67">
        <f t="shared" si="1"/>
        <v>5</v>
      </c>
      <c r="BE61" s="67">
        <v>0</v>
      </c>
      <c r="BF61" s="67">
        <v>3</v>
      </c>
      <c r="BG61" s="67">
        <v>2</v>
      </c>
      <c r="BH61" s="67">
        <v>0</v>
      </c>
      <c r="BI61" s="67">
        <v>0</v>
      </c>
      <c r="BJ61" s="67">
        <v>7</v>
      </c>
      <c r="BK61" s="67">
        <v>23</v>
      </c>
      <c r="BL61" s="18">
        <v>27</v>
      </c>
      <c r="BM61" s="18"/>
      <c r="BN61" s="18"/>
      <c r="CD61" s="167"/>
      <c r="CE61" s="167" t="s">
        <v>588</v>
      </c>
      <c r="CF61" s="167">
        <v>40</v>
      </c>
      <c r="CG61" s="167"/>
      <c r="CH61" s="167" t="s">
        <v>587</v>
      </c>
      <c r="CI61" s="167">
        <v>20</v>
      </c>
      <c r="CJ61" s="167">
        <v>61</v>
      </c>
      <c r="CK61" s="170">
        <v>0.44525547445255476</v>
      </c>
      <c r="CL61" s="167">
        <v>40</v>
      </c>
      <c r="CM61" s="167">
        <v>69</v>
      </c>
      <c r="CN61" s="170">
        <v>0.5036496350364964</v>
      </c>
      <c r="CO61" s="171">
        <f>+CJ61/$CJ$66</f>
        <v>0.44525547445255476</v>
      </c>
      <c r="CP61" s="167"/>
    </row>
    <row r="62" spans="1:94" x14ac:dyDescent="0.25">
      <c r="A62" s="18" t="s">
        <v>6</v>
      </c>
      <c r="B62" s="18">
        <v>2024</v>
      </c>
      <c r="C62" s="18" t="s">
        <v>138</v>
      </c>
      <c r="D62" s="18" t="s">
        <v>132</v>
      </c>
      <c r="E62" s="18">
        <v>40</v>
      </c>
      <c r="F62" s="18">
        <v>50</v>
      </c>
      <c r="G62" s="18" t="s">
        <v>153</v>
      </c>
      <c r="H62" s="18"/>
      <c r="I62" s="18" t="s">
        <v>166</v>
      </c>
      <c r="J62" s="4">
        <v>9</v>
      </c>
      <c r="K62" s="18">
        <v>9.5</v>
      </c>
      <c r="L62" s="4">
        <v>0.5</v>
      </c>
      <c r="M62" s="5">
        <v>0.4</v>
      </c>
      <c r="N62" s="31">
        <v>0.2</v>
      </c>
      <c r="O62" s="31">
        <v>0.2</v>
      </c>
      <c r="P62" s="31">
        <v>10</v>
      </c>
      <c r="Q62" s="31">
        <v>20</v>
      </c>
      <c r="R62" s="31">
        <v>0.18</v>
      </c>
      <c r="S62" s="31">
        <v>0</v>
      </c>
      <c r="T62" s="65">
        <v>0</v>
      </c>
      <c r="U62" s="31">
        <v>5</v>
      </c>
      <c r="V62" s="31"/>
      <c r="W62" s="31">
        <v>5</v>
      </c>
      <c r="X62" s="31">
        <v>36</v>
      </c>
      <c r="Y62" s="18">
        <v>0</v>
      </c>
      <c r="Z62" s="18" t="s">
        <v>100</v>
      </c>
      <c r="AA62" s="18" t="s">
        <v>333</v>
      </c>
      <c r="AB62" s="18" t="s">
        <v>336</v>
      </c>
      <c r="AC62" s="18">
        <v>20</v>
      </c>
      <c r="AD62" s="18">
        <v>10</v>
      </c>
      <c r="AE62" s="18" t="s">
        <v>32</v>
      </c>
      <c r="AF62" s="18"/>
      <c r="AG62" s="18" t="s">
        <v>32</v>
      </c>
      <c r="AH62" s="18" t="s">
        <v>69</v>
      </c>
      <c r="AI62" s="18" t="s">
        <v>81</v>
      </c>
      <c r="AJ62" s="18" t="s">
        <v>100</v>
      </c>
      <c r="AK62" s="18" t="s">
        <v>107</v>
      </c>
      <c r="AL62" s="18" t="s">
        <v>120</v>
      </c>
      <c r="AM62" s="18" t="s">
        <v>247</v>
      </c>
      <c r="AN62" s="18"/>
      <c r="AO62" s="18"/>
      <c r="AP62" s="18">
        <v>0</v>
      </c>
      <c r="AQ62" s="18">
        <v>0</v>
      </c>
      <c r="AR62" s="18">
        <v>0</v>
      </c>
      <c r="AS62" s="18">
        <v>3</v>
      </c>
      <c r="AT62" s="18">
        <v>2</v>
      </c>
      <c r="AU62" s="18">
        <v>5</v>
      </c>
      <c r="AV62" s="49">
        <f t="shared" si="0"/>
        <v>0</v>
      </c>
      <c r="AW62" s="49">
        <v>1</v>
      </c>
      <c r="AX62" s="50">
        <v>3</v>
      </c>
      <c r="AY62" s="49">
        <v>5</v>
      </c>
      <c r="AZ62" s="49">
        <v>10</v>
      </c>
      <c r="BA62" s="67">
        <v>7.5</v>
      </c>
      <c r="BB62" s="67">
        <v>1</v>
      </c>
      <c r="BC62" s="67">
        <v>5</v>
      </c>
      <c r="BD62" s="67">
        <f t="shared" si="1"/>
        <v>0</v>
      </c>
      <c r="BE62" s="67">
        <v>0</v>
      </c>
      <c r="BF62" s="67">
        <v>3</v>
      </c>
      <c r="BG62" s="67">
        <v>2</v>
      </c>
      <c r="BH62" s="67">
        <v>0</v>
      </c>
      <c r="BI62" s="67">
        <v>0</v>
      </c>
      <c r="BJ62" s="67">
        <v>7</v>
      </c>
      <c r="BK62" s="67">
        <v>18</v>
      </c>
      <c r="BL62" s="18">
        <v>19</v>
      </c>
      <c r="BM62" s="18"/>
      <c r="BN62" s="18"/>
      <c r="CD62" s="167"/>
      <c r="CE62" s="167" t="s">
        <v>589</v>
      </c>
      <c r="CF62" s="167">
        <v>60</v>
      </c>
      <c r="CG62" s="167"/>
      <c r="CH62" s="167" t="s">
        <v>588</v>
      </c>
      <c r="CI62" s="167">
        <v>40</v>
      </c>
      <c r="CJ62" s="167">
        <v>69</v>
      </c>
      <c r="CK62" s="170">
        <v>0.94890510948905105</v>
      </c>
      <c r="CL62" s="167">
        <v>20</v>
      </c>
      <c r="CM62" s="167">
        <v>61</v>
      </c>
      <c r="CN62" s="170">
        <v>0.94890510948905105</v>
      </c>
      <c r="CO62" s="171">
        <f t="shared" ref="CO62:CO65" si="8">+CJ62/$CJ$66</f>
        <v>0.5036496350364964</v>
      </c>
      <c r="CP62" s="167"/>
    </row>
    <row r="63" spans="1:94" x14ac:dyDescent="0.25">
      <c r="A63" s="18" t="s">
        <v>6</v>
      </c>
      <c r="B63" s="18">
        <v>2024</v>
      </c>
      <c r="C63" s="18" t="s">
        <v>138</v>
      </c>
      <c r="D63" s="18" t="s">
        <v>132</v>
      </c>
      <c r="E63" s="18">
        <v>40</v>
      </c>
      <c r="F63" s="18">
        <v>50</v>
      </c>
      <c r="G63" s="18" t="s">
        <v>153</v>
      </c>
      <c r="H63" s="18"/>
      <c r="I63" s="18" t="s">
        <v>166</v>
      </c>
      <c r="J63" s="4">
        <v>9.5</v>
      </c>
      <c r="K63" s="18">
        <v>10</v>
      </c>
      <c r="L63" s="4">
        <v>0.5</v>
      </c>
      <c r="M63" s="5">
        <v>0.42</v>
      </c>
      <c r="N63" s="31">
        <v>0.21</v>
      </c>
      <c r="O63" s="31">
        <v>0.21</v>
      </c>
      <c r="P63" s="31">
        <v>210</v>
      </c>
      <c r="Q63" s="31">
        <v>1</v>
      </c>
      <c r="R63" s="31">
        <v>0.19</v>
      </c>
      <c r="S63" s="31">
        <v>0.11</v>
      </c>
      <c r="T63" s="65">
        <v>22</v>
      </c>
      <c r="U63" s="31">
        <v>3</v>
      </c>
      <c r="V63" s="31"/>
      <c r="W63" s="31">
        <v>3</v>
      </c>
      <c r="X63" s="31">
        <v>63.333333333333336</v>
      </c>
      <c r="Y63" s="18">
        <v>24</v>
      </c>
      <c r="Z63" s="18" t="s">
        <v>96</v>
      </c>
      <c r="AA63" s="18" t="s">
        <v>116</v>
      </c>
      <c r="AB63" s="18" t="s">
        <v>337</v>
      </c>
      <c r="AC63" s="18">
        <v>1</v>
      </c>
      <c r="AD63" s="18">
        <v>210</v>
      </c>
      <c r="AE63" s="18" t="s">
        <v>29</v>
      </c>
      <c r="AF63" s="18"/>
      <c r="AG63" s="18" t="s">
        <v>29</v>
      </c>
      <c r="AH63" s="18" t="s">
        <v>69</v>
      </c>
      <c r="AI63" s="18" t="s">
        <v>81</v>
      </c>
      <c r="AJ63" s="18" t="s">
        <v>100</v>
      </c>
      <c r="AK63" s="18" t="s">
        <v>107</v>
      </c>
      <c r="AL63" s="18" t="s">
        <v>120</v>
      </c>
      <c r="AM63" s="18" t="s">
        <v>247</v>
      </c>
      <c r="AN63" s="18"/>
      <c r="AO63" s="18"/>
      <c r="AP63" s="18">
        <v>0</v>
      </c>
      <c r="AQ63" s="18">
        <v>0</v>
      </c>
      <c r="AR63" s="18">
        <v>0</v>
      </c>
      <c r="AS63" s="18">
        <v>3</v>
      </c>
      <c r="AT63" s="18">
        <v>2</v>
      </c>
      <c r="AU63" s="18">
        <v>5</v>
      </c>
      <c r="AV63" s="49">
        <f t="shared" si="0"/>
        <v>5</v>
      </c>
      <c r="AW63" s="49">
        <v>2</v>
      </c>
      <c r="AX63" s="50">
        <v>9</v>
      </c>
      <c r="AY63" s="49">
        <v>5</v>
      </c>
      <c r="AZ63" s="49">
        <v>10</v>
      </c>
      <c r="BA63" s="67">
        <v>18.5</v>
      </c>
      <c r="BB63" s="67">
        <v>2</v>
      </c>
      <c r="BC63" s="67">
        <v>5</v>
      </c>
      <c r="BD63" s="67">
        <f t="shared" si="1"/>
        <v>5</v>
      </c>
      <c r="BE63" s="67">
        <v>0</v>
      </c>
      <c r="BF63" s="67">
        <v>3</v>
      </c>
      <c r="BG63" s="67">
        <v>2</v>
      </c>
      <c r="BH63" s="67">
        <v>0</v>
      </c>
      <c r="BI63" s="67">
        <v>0</v>
      </c>
      <c r="BJ63" s="67">
        <v>7</v>
      </c>
      <c r="BK63" s="67">
        <v>24</v>
      </c>
      <c r="BL63" s="18">
        <v>31</v>
      </c>
      <c r="BM63" s="18"/>
      <c r="BN63" s="18"/>
      <c r="CD63" s="167"/>
      <c r="CE63" s="167" t="s">
        <v>590</v>
      </c>
      <c r="CF63" s="167">
        <v>80</v>
      </c>
      <c r="CG63" s="167"/>
      <c r="CH63" s="167" t="s">
        <v>589</v>
      </c>
      <c r="CI63" s="167">
        <v>60</v>
      </c>
      <c r="CJ63" s="167">
        <v>7</v>
      </c>
      <c r="CK63" s="170">
        <v>1</v>
      </c>
      <c r="CL63" s="167">
        <v>60</v>
      </c>
      <c r="CM63" s="167">
        <v>7</v>
      </c>
      <c r="CN63" s="170">
        <v>1</v>
      </c>
      <c r="CO63" s="171">
        <f t="shared" si="8"/>
        <v>5.1094890510948905E-2</v>
      </c>
      <c r="CP63" s="167"/>
    </row>
    <row r="64" spans="1:94" x14ac:dyDescent="0.25">
      <c r="A64" s="18" t="s">
        <v>6</v>
      </c>
      <c r="B64" s="18">
        <v>2024</v>
      </c>
      <c r="C64" s="18" t="s">
        <v>138</v>
      </c>
      <c r="D64" s="18" t="s">
        <v>132</v>
      </c>
      <c r="E64" s="18">
        <v>40</v>
      </c>
      <c r="F64" s="18">
        <v>50</v>
      </c>
      <c r="G64" s="18" t="s">
        <v>153</v>
      </c>
      <c r="H64" s="18"/>
      <c r="I64" s="18" t="s">
        <v>166</v>
      </c>
      <c r="J64" s="4">
        <v>10</v>
      </c>
      <c r="K64" s="18">
        <v>10.5</v>
      </c>
      <c r="L64" s="4">
        <v>0.5</v>
      </c>
      <c r="M64" s="5">
        <v>0.48</v>
      </c>
      <c r="N64" s="31">
        <v>0.24</v>
      </c>
      <c r="O64" s="31">
        <v>0.24</v>
      </c>
      <c r="P64" s="31">
        <v>12</v>
      </c>
      <c r="Q64" s="31">
        <v>20</v>
      </c>
      <c r="R64" s="31">
        <v>0.19</v>
      </c>
      <c r="S64" s="31">
        <v>0.11</v>
      </c>
      <c r="T64" s="65">
        <v>22</v>
      </c>
      <c r="U64" s="31">
        <v>3</v>
      </c>
      <c r="V64" s="31"/>
      <c r="W64" s="31">
        <v>3</v>
      </c>
      <c r="X64" s="31">
        <v>63.333333333333336</v>
      </c>
      <c r="Y64" s="18">
        <v>0</v>
      </c>
      <c r="Z64" s="18" t="s">
        <v>100</v>
      </c>
      <c r="AA64" s="18" t="s">
        <v>333</v>
      </c>
      <c r="AB64" s="18" t="s">
        <v>336</v>
      </c>
      <c r="AC64" s="18">
        <v>20</v>
      </c>
      <c r="AD64" s="18">
        <v>12</v>
      </c>
      <c r="AE64" s="18" t="s">
        <v>32</v>
      </c>
      <c r="AF64" s="18"/>
      <c r="AG64" s="18" t="s">
        <v>32</v>
      </c>
      <c r="AH64" s="18" t="s">
        <v>69</v>
      </c>
      <c r="AI64" s="18" t="s">
        <v>81</v>
      </c>
      <c r="AJ64" s="18" t="s">
        <v>100</v>
      </c>
      <c r="AK64" s="18" t="s">
        <v>107</v>
      </c>
      <c r="AL64" s="18" t="s">
        <v>120</v>
      </c>
      <c r="AM64" s="18" t="s">
        <v>247</v>
      </c>
      <c r="AN64" s="18"/>
      <c r="AO64" s="18"/>
      <c r="AP64" s="18">
        <v>0</v>
      </c>
      <c r="AQ64" s="18">
        <v>0</v>
      </c>
      <c r="AR64" s="18">
        <v>0</v>
      </c>
      <c r="AS64" s="18">
        <v>3</v>
      </c>
      <c r="AT64" s="18">
        <v>2</v>
      </c>
      <c r="AU64" s="18">
        <v>5</v>
      </c>
      <c r="AV64" s="49">
        <f t="shared" si="0"/>
        <v>5</v>
      </c>
      <c r="AW64" s="49">
        <v>1</v>
      </c>
      <c r="AX64" s="50">
        <v>4</v>
      </c>
      <c r="AY64" s="49">
        <v>5</v>
      </c>
      <c r="AZ64" s="49">
        <v>10</v>
      </c>
      <c r="BA64" s="67">
        <v>18.5</v>
      </c>
      <c r="BB64" s="67">
        <v>1</v>
      </c>
      <c r="BC64" s="67">
        <v>5</v>
      </c>
      <c r="BD64" s="67">
        <f t="shared" si="1"/>
        <v>5</v>
      </c>
      <c r="BE64" s="67">
        <v>0</v>
      </c>
      <c r="BF64" s="67">
        <v>3</v>
      </c>
      <c r="BG64" s="67">
        <v>2</v>
      </c>
      <c r="BH64" s="67">
        <v>0</v>
      </c>
      <c r="BI64" s="67">
        <v>0</v>
      </c>
      <c r="BJ64" s="67">
        <v>7</v>
      </c>
      <c r="BK64" s="67">
        <v>23</v>
      </c>
      <c r="BL64" s="18">
        <v>25</v>
      </c>
      <c r="BM64" s="18"/>
      <c r="BN64" s="18"/>
      <c r="CD64" s="167"/>
      <c r="CE64" s="167" t="s">
        <v>591</v>
      </c>
      <c r="CF64" s="167"/>
      <c r="CG64" s="167"/>
      <c r="CH64" s="167" t="s">
        <v>590</v>
      </c>
      <c r="CI64" s="167">
        <v>80</v>
      </c>
      <c r="CJ64" s="167">
        <v>0</v>
      </c>
      <c r="CK64" s="170">
        <v>1</v>
      </c>
      <c r="CL64" s="167">
        <v>80</v>
      </c>
      <c r="CM64" s="167">
        <v>0</v>
      </c>
      <c r="CN64" s="170">
        <v>1</v>
      </c>
      <c r="CO64" s="171">
        <f t="shared" si="8"/>
        <v>0</v>
      </c>
      <c r="CP64" s="167"/>
    </row>
    <row r="65" spans="1:94" ht="15.75" thickBot="1" x14ac:dyDescent="0.3">
      <c r="A65" s="18" t="s">
        <v>6</v>
      </c>
      <c r="B65" s="18">
        <v>2024</v>
      </c>
      <c r="C65" s="18" t="s">
        <v>138</v>
      </c>
      <c r="D65" s="18" t="s">
        <v>132</v>
      </c>
      <c r="E65" s="18">
        <v>40</v>
      </c>
      <c r="F65" s="18">
        <v>50</v>
      </c>
      <c r="G65" s="18" t="s">
        <v>153</v>
      </c>
      <c r="H65" s="18"/>
      <c r="I65" s="18" t="s">
        <v>166</v>
      </c>
      <c r="J65" s="4">
        <v>10.5</v>
      </c>
      <c r="K65" s="18">
        <v>11</v>
      </c>
      <c r="L65" s="4">
        <v>0.5</v>
      </c>
      <c r="M65" s="5">
        <v>0.4</v>
      </c>
      <c r="N65" s="31">
        <v>0.2</v>
      </c>
      <c r="O65" s="31">
        <v>0.2</v>
      </c>
      <c r="P65" s="31">
        <v>10</v>
      </c>
      <c r="Q65" s="31">
        <v>20</v>
      </c>
      <c r="R65" s="31">
        <v>0.15</v>
      </c>
      <c r="S65" s="31">
        <v>0</v>
      </c>
      <c r="T65" s="65">
        <v>0</v>
      </c>
      <c r="U65" s="31">
        <v>4</v>
      </c>
      <c r="V65" s="31"/>
      <c r="W65" s="31">
        <v>4</v>
      </c>
      <c r="X65" s="31">
        <v>37.5</v>
      </c>
      <c r="Y65" s="18">
        <v>0</v>
      </c>
      <c r="Z65" s="18" t="s">
        <v>100</v>
      </c>
      <c r="AA65" s="18" t="s">
        <v>333</v>
      </c>
      <c r="AB65" s="18" t="s">
        <v>336</v>
      </c>
      <c r="AC65" s="18">
        <v>20</v>
      </c>
      <c r="AD65" s="18">
        <v>10</v>
      </c>
      <c r="AE65" s="18" t="s">
        <v>32</v>
      </c>
      <c r="AF65" s="18"/>
      <c r="AG65" s="18" t="s">
        <v>32</v>
      </c>
      <c r="AH65" s="18" t="s">
        <v>69</v>
      </c>
      <c r="AI65" s="18" t="s">
        <v>81</v>
      </c>
      <c r="AJ65" s="18" t="s">
        <v>100</v>
      </c>
      <c r="AK65" s="18" t="s">
        <v>107</v>
      </c>
      <c r="AL65" s="18" t="s">
        <v>120</v>
      </c>
      <c r="AM65" s="18" t="s">
        <v>247</v>
      </c>
      <c r="AN65" s="18"/>
      <c r="AO65" s="18"/>
      <c r="AP65" s="18">
        <v>0</v>
      </c>
      <c r="AQ65" s="18">
        <v>0</v>
      </c>
      <c r="AR65" s="18">
        <v>0</v>
      </c>
      <c r="AS65" s="18">
        <v>3</v>
      </c>
      <c r="AT65" s="18">
        <v>2</v>
      </c>
      <c r="AU65" s="18">
        <v>5</v>
      </c>
      <c r="AV65" s="49">
        <f t="shared" si="0"/>
        <v>0</v>
      </c>
      <c r="AW65" s="49">
        <v>1</v>
      </c>
      <c r="AX65" s="50">
        <v>3</v>
      </c>
      <c r="AY65" s="49">
        <v>5</v>
      </c>
      <c r="AZ65" s="49">
        <v>10</v>
      </c>
      <c r="BA65" s="67">
        <v>7.5</v>
      </c>
      <c r="BB65" s="67">
        <v>1</v>
      </c>
      <c r="BC65" s="67">
        <v>5</v>
      </c>
      <c r="BD65" s="67">
        <f t="shared" si="1"/>
        <v>0</v>
      </c>
      <c r="BE65" s="67">
        <v>0</v>
      </c>
      <c r="BF65" s="67">
        <v>3</v>
      </c>
      <c r="BG65" s="67">
        <v>2</v>
      </c>
      <c r="BH65" s="67">
        <v>0</v>
      </c>
      <c r="BI65" s="67">
        <v>0</v>
      </c>
      <c r="BJ65" s="67">
        <v>7</v>
      </c>
      <c r="BK65" s="67">
        <v>18</v>
      </c>
      <c r="BL65" s="18">
        <v>19</v>
      </c>
      <c r="BM65" s="18"/>
      <c r="BN65" s="18"/>
      <c r="CD65" s="167"/>
      <c r="CE65" s="167"/>
      <c r="CF65" s="167"/>
      <c r="CG65" s="167"/>
      <c r="CH65" s="167" t="s">
        <v>591</v>
      </c>
      <c r="CI65" s="172" t="s">
        <v>581</v>
      </c>
      <c r="CJ65" s="172">
        <v>0</v>
      </c>
      <c r="CK65" s="173">
        <v>1</v>
      </c>
      <c r="CL65" s="172" t="s">
        <v>581</v>
      </c>
      <c r="CM65" s="172">
        <v>0</v>
      </c>
      <c r="CN65" s="173">
        <v>1</v>
      </c>
      <c r="CO65" s="171">
        <f t="shared" si="8"/>
        <v>0</v>
      </c>
      <c r="CP65" s="167"/>
    </row>
    <row r="66" spans="1:94" x14ac:dyDescent="0.25">
      <c r="A66" s="18" t="s">
        <v>6</v>
      </c>
      <c r="B66" s="18">
        <v>2024</v>
      </c>
      <c r="C66" s="18" t="s">
        <v>138</v>
      </c>
      <c r="D66" s="18" t="s">
        <v>132</v>
      </c>
      <c r="E66" s="18">
        <v>40</v>
      </c>
      <c r="F66" s="18">
        <v>50</v>
      </c>
      <c r="G66" s="18" t="s">
        <v>153</v>
      </c>
      <c r="H66" s="18"/>
      <c r="I66" s="18" t="s">
        <v>166</v>
      </c>
      <c r="J66" s="4">
        <v>11</v>
      </c>
      <c r="K66" s="18">
        <v>11.5</v>
      </c>
      <c r="L66" s="4">
        <v>0.5</v>
      </c>
      <c r="M66" s="5">
        <v>0.54</v>
      </c>
      <c r="N66" s="31">
        <v>0.27</v>
      </c>
      <c r="O66" s="31">
        <v>0.27</v>
      </c>
      <c r="P66" s="31">
        <v>270</v>
      </c>
      <c r="Q66" s="31">
        <v>1</v>
      </c>
      <c r="R66" s="31">
        <v>0.18</v>
      </c>
      <c r="S66" s="31">
        <v>0.13</v>
      </c>
      <c r="T66" s="65">
        <v>26</v>
      </c>
      <c r="U66" s="31">
        <v>2</v>
      </c>
      <c r="V66" s="31"/>
      <c r="W66" s="31">
        <v>2</v>
      </c>
      <c r="X66" s="31">
        <v>90</v>
      </c>
      <c r="Y66" s="18">
        <v>26</v>
      </c>
      <c r="Z66" s="18" t="s">
        <v>100</v>
      </c>
      <c r="AA66" s="18" t="s">
        <v>116</v>
      </c>
      <c r="AB66" s="18" t="s">
        <v>337</v>
      </c>
      <c r="AC66" s="18">
        <v>1</v>
      </c>
      <c r="AD66" s="18">
        <v>270</v>
      </c>
      <c r="AE66" s="18" t="s">
        <v>29</v>
      </c>
      <c r="AF66" s="18"/>
      <c r="AG66" s="18" t="s">
        <v>29</v>
      </c>
      <c r="AH66" s="18" t="s">
        <v>69</v>
      </c>
      <c r="AI66" s="18" t="s">
        <v>81</v>
      </c>
      <c r="AJ66" s="18" t="s">
        <v>100</v>
      </c>
      <c r="AK66" s="18" t="s">
        <v>107</v>
      </c>
      <c r="AL66" s="18" t="s">
        <v>120</v>
      </c>
      <c r="AM66" s="18" t="s">
        <v>247</v>
      </c>
      <c r="AN66" s="18"/>
      <c r="AO66" s="18"/>
      <c r="AP66" s="18">
        <v>0</v>
      </c>
      <c r="AQ66" s="18">
        <v>0</v>
      </c>
      <c r="AR66" s="18">
        <v>0</v>
      </c>
      <c r="AS66" s="18">
        <v>3</v>
      </c>
      <c r="AT66" s="18">
        <v>2</v>
      </c>
      <c r="AU66" s="18">
        <v>5</v>
      </c>
      <c r="AV66" s="49">
        <f t="shared" si="0"/>
        <v>6</v>
      </c>
      <c r="AW66" s="49">
        <v>2</v>
      </c>
      <c r="AX66" s="50">
        <v>10</v>
      </c>
      <c r="AY66" s="49">
        <v>5</v>
      </c>
      <c r="AZ66" s="49">
        <v>10</v>
      </c>
      <c r="BA66" s="67">
        <v>20.5</v>
      </c>
      <c r="BB66" s="67">
        <v>2</v>
      </c>
      <c r="BC66" s="67">
        <v>8</v>
      </c>
      <c r="BD66" s="67">
        <f t="shared" si="1"/>
        <v>6</v>
      </c>
      <c r="BE66" s="67">
        <v>0</v>
      </c>
      <c r="BF66" s="67">
        <v>3</v>
      </c>
      <c r="BG66" s="67">
        <v>2</v>
      </c>
      <c r="BH66" s="67">
        <v>0</v>
      </c>
      <c r="BI66" s="67">
        <v>0</v>
      </c>
      <c r="BJ66" s="67">
        <v>7</v>
      </c>
      <c r="BK66" s="67">
        <v>28</v>
      </c>
      <c r="BL66" s="18">
        <v>33</v>
      </c>
      <c r="BM66" s="18"/>
      <c r="BN66" s="18"/>
      <c r="CD66" s="167"/>
      <c r="CE66" s="167"/>
      <c r="CF66" s="167"/>
      <c r="CG66" s="167"/>
      <c r="CH66" s="167"/>
      <c r="CI66" s="167"/>
      <c r="CJ66" s="167">
        <f>+SUM(CJ61:CJ64)</f>
        <v>137</v>
      </c>
      <c r="CK66" s="167"/>
      <c r="CL66" s="167"/>
      <c r="CM66" s="167"/>
      <c r="CN66" s="167"/>
      <c r="CO66" s="167"/>
      <c r="CP66" s="167"/>
    </row>
    <row r="67" spans="1:94" x14ac:dyDescent="0.25">
      <c r="A67" s="18" t="s">
        <v>6</v>
      </c>
      <c r="B67" s="18">
        <v>2024</v>
      </c>
      <c r="C67" s="18" t="s">
        <v>138</v>
      </c>
      <c r="D67" s="18" t="s">
        <v>132</v>
      </c>
      <c r="E67" s="18">
        <v>50</v>
      </c>
      <c r="F67" s="18">
        <v>50</v>
      </c>
      <c r="G67" s="18" t="s">
        <v>154</v>
      </c>
      <c r="H67" s="18"/>
      <c r="I67" s="18" t="s">
        <v>166</v>
      </c>
      <c r="J67" s="4">
        <v>11.5</v>
      </c>
      <c r="K67" s="18">
        <v>12</v>
      </c>
      <c r="L67" s="4">
        <v>0.5</v>
      </c>
      <c r="M67" s="5">
        <v>0.42</v>
      </c>
      <c r="N67" s="31">
        <v>0.21</v>
      </c>
      <c r="O67" s="31">
        <v>0.21</v>
      </c>
      <c r="P67" s="31">
        <v>10.5</v>
      </c>
      <c r="Q67" s="31">
        <v>20</v>
      </c>
      <c r="R67" s="31">
        <v>0.14000000000000001</v>
      </c>
      <c r="S67" s="31">
        <v>0</v>
      </c>
      <c r="T67" s="65">
        <v>0</v>
      </c>
      <c r="U67" s="31">
        <v>3</v>
      </c>
      <c r="V67" s="31"/>
      <c r="W67" s="31">
        <v>3</v>
      </c>
      <c r="X67" s="31">
        <v>46.666666666666664</v>
      </c>
      <c r="Y67" s="18">
        <v>0</v>
      </c>
      <c r="Z67" s="18" t="s">
        <v>330</v>
      </c>
      <c r="AA67" s="18" t="s">
        <v>333</v>
      </c>
      <c r="AB67" s="18" t="s">
        <v>335</v>
      </c>
      <c r="AC67" s="18">
        <v>20</v>
      </c>
      <c r="AD67" s="18">
        <v>10.5</v>
      </c>
      <c r="AE67" s="18" t="s">
        <v>34</v>
      </c>
      <c r="AF67" s="18"/>
      <c r="AG67" s="18" t="s">
        <v>34</v>
      </c>
      <c r="AH67" s="18" t="s">
        <v>69</v>
      </c>
      <c r="AI67" s="18" t="s">
        <v>81</v>
      </c>
      <c r="AJ67" s="18" t="s">
        <v>100</v>
      </c>
      <c r="AK67" s="18" t="s">
        <v>109</v>
      </c>
      <c r="AL67" s="18" t="s">
        <v>122</v>
      </c>
      <c r="AM67" s="18" t="s">
        <v>198</v>
      </c>
      <c r="AN67" s="18"/>
      <c r="AO67" s="18"/>
      <c r="AP67" s="18">
        <v>0</v>
      </c>
      <c r="AQ67" s="18">
        <v>0</v>
      </c>
      <c r="AR67" s="18">
        <v>0</v>
      </c>
      <c r="AS67" s="18">
        <v>1</v>
      </c>
      <c r="AT67" s="18">
        <v>0</v>
      </c>
      <c r="AU67" s="18">
        <v>1</v>
      </c>
      <c r="AV67" s="49">
        <f t="shared" si="0"/>
        <v>0</v>
      </c>
      <c r="AW67" s="49">
        <v>0</v>
      </c>
      <c r="AX67" s="50">
        <v>3</v>
      </c>
      <c r="AY67" s="49">
        <v>1</v>
      </c>
      <c r="AZ67" s="49">
        <v>15</v>
      </c>
      <c r="BA67" s="67">
        <v>1.5</v>
      </c>
      <c r="BB67" s="67">
        <v>0</v>
      </c>
      <c r="BC67" s="67">
        <v>5</v>
      </c>
      <c r="BD67" s="67">
        <f t="shared" si="1"/>
        <v>0</v>
      </c>
      <c r="BE67" s="67">
        <v>0</v>
      </c>
      <c r="BF67" s="67">
        <v>1</v>
      </c>
      <c r="BG67" s="67">
        <v>0</v>
      </c>
      <c r="BH67" s="67">
        <v>0</v>
      </c>
      <c r="BI67" s="67">
        <v>0</v>
      </c>
      <c r="BJ67" s="67">
        <v>10</v>
      </c>
      <c r="BK67" s="67">
        <v>16</v>
      </c>
      <c r="BL67" s="18">
        <v>19</v>
      </c>
      <c r="BM67" s="18"/>
      <c r="BN67" s="18"/>
      <c r="CD67" s="167"/>
      <c r="CE67" s="167"/>
      <c r="CF67" s="167"/>
      <c r="CG67" s="167"/>
      <c r="CH67" s="167"/>
      <c r="CI67" s="167"/>
      <c r="CJ67" s="167"/>
      <c r="CK67" s="167"/>
      <c r="CL67" s="167"/>
      <c r="CM67" s="167"/>
      <c r="CN67" s="167"/>
      <c r="CO67" s="167"/>
      <c r="CP67" s="167"/>
    </row>
    <row r="68" spans="1:94" x14ac:dyDescent="0.25">
      <c r="A68" s="18" t="s">
        <v>6</v>
      </c>
      <c r="B68" s="18">
        <v>2024</v>
      </c>
      <c r="C68" s="18" t="s">
        <v>138</v>
      </c>
      <c r="D68" s="18" t="s">
        <v>132</v>
      </c>
      <c r="E68" s="18">
        <v>50</v>
      </c>
      <c r="F68" s="18">
        <v>50</v>
      </c>
      <c r="G68" s="18" t="s">
        <v>154</v>
      </c>
      <c r="H68" s="18"/>
      <c r="I68" s="18" t="s">
        <v>166</v>
      </c>
      <c r="J68" s="4">
        <v>12</v>
      </c>
      <c r="K68" s="18">
        <v>12.5</v>
      </c>
      <c r="L68" s="4">
        <v>0.5</v>
      </c>
      <c r="M68" s="5">
        <v>0.52</v>
      </c>
      <c r="N68" s="31">
        <v>0.26</v>
      </c>
      <c r="O68" s="31">
        <v>0.26</v>
      </c>
      <c r="P68" s="31">
        <v>13</v>
      </c>
      <c r="Q68" s="31">
        <v>20</v>
      </c>
      <c r="R68" s="31">
        <v>0.19</v>
      </c>
      <c r="S68" s="31">
        <v>0.21</v>
      </c>
      <c r="T68" s="65">
        <v>42</v>
      </c>
      <c r="U68" s="31">
        <v>2</v>
      </c>
      <c r="V68" s="31"/>
      <c r="W68" s="31">
        <v>2</v>
      </c>
      <c r="X68" s="31">
        <v>95</v>
      </c>
      <c r="Y68" s="18">
        <v>0</v>
      </c>
      <c r="Z68" s="18" t="s">
        <v>330</v>
      </c>
      <c r="AA68" s="18" t="s">
        <v>333</v>
      </c>
      <c r="AB68" s="18" t="s">
        <v>335</v>
      </c>
      <c r="AC68" s="18">
        <v>20</v>
      </c>
      <c r="AD68" s="18">
        <v>13</v>
      </c>
      <c r="AE68" s="18" t="s">
        <v>34</v>
      </c>
      <c r="AF68" s="18"/>
      <c r="AG68" s="18" t="s">
        <v>34</v>
      </c>
      <c r="AH68" s="18" t="s">
        <v>69</v>
      </c>
      <c r="AI68" s="18" t="s">
        <v>81</v>
      </c>
      <c r="AJ68" s="18" t="s">
        <v>100</v>
      </c>
      <c r="AK68" s="18" t="s">
        <v>109</v>
      </c>
      <c r="AL68" s="18" t="s">
        <v>122</v>
      </c>
      <c r="AM68" s="18" t="s">
        <v>198</v>
      </c>
      <c r="AN68" s="18"/>
      <c r="AO68" s="18"/>
      <c r="AP68" s="18">
        <v>0</v>
      </c>
      <c r="AQ68" s="18">
        <v>0</v>
      </c>
      <c r="AR68" s="18">
        <v>0</v>
      </c>
      <c r="AS68" s="18">
        <v>1</v>
      </c>
      <c r="AT68" s="18">
        <v>0</v>
      </c>
      <c r="AU68" s="18">
        <v>1</v>
      </c>
      <c r="AV68" s="49">
        <f t="shared" ref="AV68:AV131" si="9">ROUND(-0.0002*POWER(T68,2)+0.2197*T68,0)</f>
        <v>9</v>
      </c>
      <c r="AW68" s="49">
        <v>0</v>
      </c>
      <c r="AX68" s="50">
        <v>4</v>
      </c>
      <c r="AY68" s="49">
        <v>1</v>
      </c>
      <c r="AZ68" s="49">
        <v>15</v>
      </c>
      <c r="BA68" s="67">
        <v>22.5</v>
      </c>
      <c r="BB68" s="67">
        <v>0</v>
      </c>
      <c r="BC68" s="67">
        <v>8</v>
      </c>
      <c r="BD68" s="67">
        <f t="shared" ref="BD68:BD131" si="10">ROUND(-0.0002*POWER(T68,2)+0.2197*T68,0)</f>
        <v>9</v>
      </c>
      <c r="BE68" s="67">
        <v>0</v>
      </c>
      <c r="BF68" s="67">
        <v>1</v>
      </c>
      <c r="BG68" s="67">
        <v>0</v>
      </c>
      <c r="BH68" s="67">
        <v>0</v>
      </c>
      <c r="BI68" s="67">
        <v>0</v>
      </c>
      <c r="BJ68" s="67">
        <v>10</v>
      </c>
      <c r="BK68" s="67">
        <v>28</v>
      </c>
      <c r="BL68" s="18">
        <v>29</v>
      </c>
      <c r="BM68" s="18"/>
      <c r="BN68" s="18"/>
      <c r="CD68" s="167"/>
      <c r="CE68" s="167"/>
      <c r="CF68" s="167"/>
      <c r="CG68" s="167"/>
      <c r="CH68" s="167"/>
      <c r="CI68" s="167"/>
      <c r="CJ68" s="167"/>
      <c r="CK68" s="167"/>
      <c r="CL68" s="167"/>
      <c r="CM68" s="167"/>
      <c r="CN68" s="167"/>
      <c r="CO68" s="167"/>
      <c r="CP68" s="167"/>
    </row>
    <row r="69" spans="1:94" x14ac:dyDescent="0.25">
      <c r="A69" s="18" t="s">
        <v>6</v>
      </c>
      <c r="B69" s="18">
        <v>2024</v>
      </c>
      <c r="C69" s="18" t="s">
        <v>138</v>
      </c>
      <c r="D69" s="18" t="s">
        <v>132</v>
      </c>
      <c r="E69" s="18">
        <v>50</v>
      </c>
      <c r="F69" s="18">
        <v>50</v>
      </c>
      <c r="G69" s="18" t="s">
        <v>154</v>
      </c>
      <c r="H69" s="18"/>
      <c r="I69" s="18" t="s">
        <v>166</v>
      </c>
      <c r="J69" s="4">
        <v>12.5</v>
      </c>
      <c r="K69" s="18">
        <v>13</v>
      </c>
      <c r="L69" s="4">
        <v>0.5</v>
      </c>
      <c r="M69" s="5">
        <v>0.5</v>
      </c>
      <c r="N69" s="31">
        <v>0.25</v>
      </c>
      <c r="O69" s="31">
        <v>0.25</v>
      </c>
      <c r="P69" s="31">
        <v>250</v>
      </c>
      <c r="Q69" s="31">
        <v>1</v>
      </c>
      <c r="R69" s="31">
        <v>0.17</v>
      </c>
      <c r="S69" s="31">
        <v>0.11</v>
      </c>
      <c r="T69" s="65">
        <v>22</v>
      </c>
      <c r="U69" s="31">
        <v>3</v>
      </c>
      <c r="V69" s="31"/>
      <c r="W69" s="31">
        <v>3</v>
      </c>
      <c r="X69" s="31">
        <v>56.666666666666664</v>
      </c>
      <c r="Y69" s="18">
        <v>26</v>
      </c>
      <c r="Z69" s="18" t="s">
        <v>100</v>
      </c>
      <c r="AA69" s="18" t="s">
        <v>116</v>
      </c>
      <c r="AB69" s="18" t="s">
        <v>337</v>
      </c>
      <c r="AC69" s="18">
        <v>1</v>
      </c>
      <c r="AD69" s="18">
        <v>250</v>
      </c>
      <c r="AE69" s="18" t="s">
        <v>29</v>
      </c>
      <c r="AF69" s="18"/>
      <c r="AG69" s="18" t="s">
        <v>29</v>
      </c>
      <c r="AH69" s="18" t="s">
        <v>69</v>
      </c>
      <c r="AI69" s="18" t="s">
        <v>81</v>
      </c>
      <c r="AJ69" s="18" t="s">
        <v>100</v>
      </c>
      <c r="AK69" s="18" t="s">
        <v>109</v>
      </c>
      <c r="AL69" s="18" t="s">
        <v>122</v>
      </c>
      <c r="AM69" s="18" t="s">
        <v>198</v>
      </c>
      <c r="AN69" s="18"/>
      <c r="AO69" s="18"/>
      <c r="AP69" s="18">
        <v>0</v>
      </c>
      <c r="AQ69" s="18">
        <v>0</v>
      </c>
      <c r="AR69" s="18">
        <v>0</v>
      </c>
      <c r="AS69" s="18">
        <v>1</v>
      </c>
      <c r="AT69" s="18">
        <v>0</v>
      </c>
      <c r="AU69" s="18">
        <v>1</v>
      </c>
      <c r="AV69" s="49">
        <f t="shared" si="9"/>
        <v>5</v>
      </c>
      <c r="AW69" s="49">
        <v>2</v>
      </c>
      <c r="AX69" s="50">
        <v>10</v>
      </c>
      <c r="AY69" s="49">
        <v>1</v>
      </c>
      <c r="AZ69" s="49">
        <v>15</v>
      </c>
      <c r="BA69" s="67">
        <v>12.5</v>
      </c>
      <c r="BB69" s="67">
        <v>2</v>
      </c>
      <c r="BC69" s="67">
        <v>5</v>
      </c>
      <c r="BD69" s="67">
        <f t="shared" si="10"/>
        <v>5</v>
      </c>
      <c r="BE69" s="67">
        <v>0</v>
      </c>
      <c r="BF69" s="67">
        <v>1</v>
      </c>
      <c r="BG69" s="67">
        <v>0</v>
      </c>
      <c r="BH69" s="67">
        <v>0</v>
      </c>
      <c r="BI69" s="67">
        <v>0</v>
      </c>
      <c r="BJ69" s="67">
        <v>10</v>
      </c>
      <c r="BK69" s="67">
        <v>23</v>
      </c>
      <c r="BL69" s="18">
        <v>33</v>
      </c>
      <c r="BM69" s="18"/>
      <c r="BN69" s="18"/>
    </row>
    <row r="70" spans="1:94" x14ac:dyDescent="0.25">
      <c r="A70" s="18" t="s">
        <v>6</v>
      </c>
      <c r="B70" s="18">
        <v>2024</v>
      </c>
      <c r="C70" s="18" t="s">
        <v>138</v>
      </c>
      <c r="D70" s="18" t="s">
        <v>132</v>
      </c>
      <c r="E70" s="18">
        <v>50</v>
      </c>
      <c r="F70" s="18">
        <v>50</v>
      </c>
      <c r="G70" s="18" t="s">
        <v>154</v>
      </c>
      <c r="H70" s="18"/>
      <c r="I70" s="18" t="s">
        <v>166</v>
      </c>
      <c r="J70" s="4">
        <v>13</v>
      </c>
      <c r="K70" s="18">
        <v>13.5</v>
      </c>
      <c r="L70" s="4">
        <v>0.5</v>
      </c>
      <c r="M70" s="5">
        <v>0.42</v>
      </c>
      <c r="N70" s="31">
        <v>0.21</v>
      </c>
      <c r="O70" s="31">
        <v>0.21</v>
      </c>
      <c r="P70" s="31">
        <v>10.5</v>
      </c>
      <c r="Q70" s="31">
        <v>20</v>
      </c>
      <c r="R70" s="31">
        <v>0.12</v>
      </c>
      <c r="S70" s="31">
        <v>0</v>
      </c>
      <c r="T70" s="65">
        <v>0</v>
      </c>
      <c r="U70" s="31">
        <v>4</v>
      </c>
      <c r="V70" s="31"/>
      <c r="W70" s="31">
        <v>4</v>
      </c>
      <c r="X70" s="31">
        <v>30</v>
      </c>
      <c r="Y70" s="18">
        <v>0</v>
      </c>
      <c r="Z70" s="18" t="s">
        <v>100</v>
      </c>
      <c r="AA70" s="18" t="s">
        <v>333</v>
      </c>
      <c r="AB70" s="18" t="s">
        <v>336</v>
      </c>
      <c r="AC70" s="18">
        <v>20</v>
      </c>
      <c r="AD70" s="18">
        <v>10.5</v>
      </c>
      <c r="AE70" s="18" t="s">
        <v>32</v>
      </c>
      <c r="AF70" s="18"/>
      <c r="AG70" s="18" t="s">
        <v>32</v>
      </c>
      <c r="AH70" s="18" t="s">
        <v>69</v>
      </c>
      <c r="AI70" s="18" t="s">
        <v>81</v>
      </c>
      <c r="AJ70" s="18" t="s">
        <v>100</v>
      </c>
      <c r="AK70" s="18" t="s">
        <v>109</v>
      </c>
      <c r="AL70" s="18" t="s">
        <v>122</v>
      </c>
      <c r="AM70" s="18" t="s">
        <v>198</v>
      </c>
      <c r="AN70" s="18"/>
      <c r="AO70" s="18"/>
      <c r="AP70" s="18">
        <v>0</v>
      </c>
      <c r="AQ70" s="18">
        <v>0</v>
      </c>
      <c r="AR70" s="18">
        <v>0</v>
      </c>
      <c r="AS70" s="18">
        <v>1</v>
      </c>
      <c r="AT70" s="18">
        <v>0</v>
      </c>
      <c r="AU70" s="18">
        <v>1</v>
      </c>
      <c r="AV70" s="49">
        <f t="shared" si="9"/>
        <v>0</v>
      </c>
      <c r="AW70" s="49">
        <v>1</v>
      </c>
      <c r="AX70" s="50">
        <v>3</v>
      </c>
      <c r="AY70" s="49">
        <v>1</v>
      </c>
      <c r="AZ70" s="49">
        <v>15</v>
      </c>
      <c r="BA70" s="67">
        <v>1.5</v>
      </c>
      <c r="BB70" s="67">
        <v>1</v>
      </c>
      <c r="BC70" s="67">
        <v>5</v>
      </c>
      <c r="BD70" s="67">
        <f t="shared" si="10"/>
        <v>0</v>
      </c>
      <c r="BE70" s="67">
        <v>0</v>
      </c>
      <c r="BF70" s="67">
        <v>1</v>
      </c>
      <c r="BG70" s="67">
        <v>0</v>
      </c>
      <c r="BH70" s="67">
        <v>0</v>
      </c>
      <c r="BI70" s="67">
        <v>0</v>
      </c>
      <c r="BJ70" s="67">
        <v>10</v>
      </c>
      <c r="BK70" s="67">
        <v>17</v>
      </c>
      <c r="BL70" s="18">
        <v>20</v>
      </c>
      <c r="BM70" s="18"/>
      <c r="BN70" s="18"/>
    </row>
    <row r="71" spans="1:94" x14ac:dyDescent="0.25">
      <c r="A71" s="18" t="s">
        <v>6</v>
      </c>
      <c r="B71" s="18">
        <v>2024</v>
      </c>
      <c r="C71" s="18" t="s">
        <v>138</v>
      </c>
      <c r="D71" s="18" t="s">
        <v>132</v>
      </c>
      <c r="E71" s="18">
        <v>50</v>
      </c>
      <c r="F71" s="18">
        <v>50</v>
      </c>
      <c r="G71" s="18" t="s">
        <v>154</v>
      </c>
      <c r="H71" s="18"/>
      <c r="I71" s="18" t="s">
        <v>166</v>
      </c>
      <c r="J71" s="4">
        <v>13.5</v>
      </c>
      <c r="K71" s="18">
        <v>14</v>
      </c>
      <c r="L71" s="4">
        <v>0.5</v>
      </c>
      <c r="M71" s="5">
        <v>0.66</v>
      </c>
      <c r="N71" s="31">
        <v>0.33</v>
      </c>
      <c r="O71" s="31">
        <v>0.33</v>
      </c>
      <c r="P71" s="31">
        <v>16.5</v>
      </c>
      <c r="Q71" s="31">
        <v>20</v>
      </c>
      <c r="R71" s="31">
        <v>0.21</v>
      </c>
      <c r="S71" s="31">
        <v>0.1</v>
      </c>
      <c r="T71" s="65">
        <v>20</v>
      </c>
      <c r="U71" s="31">
        <v>4</v>
      </c>
      <c r="V71" s="31"/>
      <c r="W71" s="31">
        <v>4</v>
      </c>
      <c r="X71" s="31">
        <v>52.5</v>
      </c>
      <c r="Y71" s="18">
        <v>0</v>
      </c>
      <c r="Z71" s="18" t="s">
        <v>330</v>
      </c>
      <c r="AA71" s="18" t="s">
        <v>333</v>
      </c>
      <c r="AB71" s="18" t="s">
        <v>335</v>
      </c>
      <c r="AC71" s="18">
        <v>20</v>
      </c>
      <c r="AD71" s="18">
        <v>16.5</v>
      </c>
      <c r="AE71" s="18" t="s">
        <v>34</v>
      </c>
      <c r="AF71" s="18"/>
      <c r="AG71" s="18" t="s">
        <v>34</v>
      </c>
      <c r="AH71" s="18" t="s">
        <v>69</v>
      </c>
      <c r="AI71" s="18" t="s">
        <v>81</v>
      </c>
      <c r="AJ71" s="18" t="s">
        <v>100</v>
      </c>
      <c r="AK71" s="18" t="s">
        <v>109</v>
      </c>
      <c r="AL71" s="18" t="s">
        <v>122</v>
      </c>
      <c r="AM71" s="18" t="s">
        <v>198</v>
      </c>
      <c r="AN71" s="18"/>
      <c r="AO71" s="18"/>
      <c r="AP71" s="18">
        <v>0</v>
      </c>
      <c r="AQ71" s="18">
        <v>0</v>
      </c>
      <c r="AR71" s="18">
        <v>0</v>
      </c>
      <c r="AS71" s="18">
        <v>1</v>
      </c>
      <c r="AT71" s="18">
        <v>0</v>
      </c>
      <c r="AU71" s="18">
        <v>1</v>
      </c>
      <c r="AV71" s="49">
        <f t="shared" si="9"/>
        <v>4</v>
      </c>
      <c r="AW71" s="49">
        <v>0</v>
      </c>
      <c r="AX71" s="50">
        <v>4</v>
      </c>
      <c r="AY71" s="49">
        <v>1</v>
      </c>
      <c r="AZ71" s="49">
        <v>15</v>
      </c>
      <c r="BA71" s="67">
        <v>11.5</v>
      </c>
      <c r="BB71" s="67">
        <v>0</v>
      </c>
      <c r="BC71" s="67">
        <v>4</v>
      </c>
      <c r="BD71" s="67">
        <f t="shared" si="10"/>
        <v>4</v>
      </c>
      <c r="BE71" s="67">
        <v>0</v>
      </c>
      <c r="BF71" s="67">
        <v>1</v>
      </c>
      <c r="BG71" s="67">
        <v>0</v>
      </c>
      <c r="BH71" s="67">
        <v>0</v>
      </c>
      <c r="BI71" s="67">
        <v>0</v>
      </c>
      <c r="BJ71" s="67">
        <v>10</v>
      </c>
      <c r="BK71" s="67">
        <v>19</v>
      </c>
      <c r="BL71" s="18">
        <v>24</v>
      </c>
      <c r="BM71" s="18"/>
      <c r="BN71" s="18"/>
    </row>
    <row r="72" spans="1:94" x14ac:dyDescent="0.25">
      <c r="A72" s="18" t="s">
        <v>6</v>
      </c>
      <c r="B72" s="18">
        <v>2024</v>
      </c>
      <c r="C72" s="18" t="s">
        <v>138</v>
      </c>
      <c r="D72" s="18" t="s">
        <v>132</v>
      </c>
      <c r="E72" s="18">
        <v>50</v>
      </c>
      <c r="F72" s="18">
        <v>50</v>
      </c>
      <c r="G72" s="18" t="s">
        <v>154</v>
      </c>
      <c r="H72" s="18"/>
      <c r="I72" s="18" t="s">
        <v>166</v>
      </c>
      <c r="J72" s="4">
        <v>14</v>
      </c>
      <c r="K72" s="18">
        <v>14.5</v>
      </c>
      <c r="L72" s="4">
        <v>0.5</v>
      </c>
      <c r="M72" s="5">
        <v>0.54</v>
      </c>
      <c r="N72" s="31">
        <v>0.27</v>
      </c>
      <c r="O72" s="31">
        <v>0.27</v>
      </c>
      <c r="P72" s="31">
        <v>13.5</v>
      </c>
      <c r="Q72" s="31">
        <v>20</v>
      </c>
      <c r="R72" s="31">
        <v>0.16</v>
      </c>
      <c r="S72" s="31">
        <v>0</v>
      </c>
      <c r="T72" s="65">
        <v>0</v>
      </c>
      <c r="U72" s="31">
        <v>3</v>
      </c>
      <c r="V72" s="31"/>
      <c r="W72" s="31">
        <v>3</v>
      </c>
      <c r="X72" s="31">
        <v>53.333333333333336</v>
      </c>
      <c r="Y72" s="18">
        <v>0</v>
      </c>
      <c r="Z72" s="18" t="s">
        <v>330</v>
      </c>
      <c r="AA72" s="18" t="s">
        <v>333</v>
      </c>
      <c r="AB72" s="18" t="s">
        <v>335</v>
      </c>
      <c r="AC72" s="18">
        <v>20</v>
      </c>
      <c r="AD72" s="18">
        <v>13.5</v>
      </c>
      <c r="AE72" s="18" t="s">
        <v>34</v>
      </c>
      <c r="AF72" s="18"/>
      <c r="AG72" s="18" t="s">
        <v>34</v>
      </c>
      <c r="AH72" s="18" t="s">
        <v>69</v>
      </c>
      <c r="AI72" s="18" t="s">
        <v>81</v>
      </c>
      <c r="AJ72" s="18" t="s">
        <v>100</v>
      </c>
      <c r="AK72" s="18" t="s">
        <v>109</v>
      </c>
      <c r="AL72" s="18" t="s">
        <v>122</v>
      </c>
      <c r="AM72" s="18" t="s">
        <v>198</v>
      </c>
      <c r="AN72" s="18"/>
      <c r="AO72" s="18"/>
      <c r="AP72" s="18">
        <v>0</v>
      </c>
      <c r="AQ72" s="18">
        <v>0</v>
      </c>
      <c r="AR72" s="18">
        <v>0</v>
      </c>
      <c r="AS72" s="18">
        <v>1</v>
      </c>
      <c r="AT72" s="18">
        <v>0</v>
      </c>
      <c r="AU72" s="18">
        <v>1</v>
      </c>
      <c r="AV72" s="49">
        <f t="shared" si="9"/>
        <v>0</v>
      </c>
      <c r="AW72" s="49">
        <v>0</v>
      </c>
      <c r="AX72" s="50">
        <v>4</v>
      </c>
      <c r="AY72" s="49">
        <v>1</v>
      </c>
      <c r="AZ72" s="49">
        <v>15</v>
      </c>
      <c r="BA72" s="67">
        <v>1.5</v>
      </c>
      <c r="BB72" s="67">
        <v>0</v>
      </c>
      <c r="BC72" s="67">
        <v>4</v>
      </c>
      <c r="BD72" s="67">
        <f t="shared" si="10"/>
        <v>0</v>
      </c>
      <c r="BE72" s="67">
        <v>0</v>
      </c>
      <c r="BF72" s="67">
        <v>1</v>
      </c>
      <c r="BG72" s="67">
        <v>0</v>
      </c>
      <c r="BH72" s="67">
        <v>0</v>
      </c>
      <c r="BI72" s="67">
        <v>0</v>
      </c>
      <c r="BJ72" s="67">
        <v>10</v>
      </c>
      <c r="BK72" s="67">
        <v>15</v>
      </c>
      <c r="BL72" s="18">
        <v>20</v>
      </c>
      <c r="BM72" s="18"/>
      <c r="BN72" s="18"/>
    </row>
    <row r="73" spans="1:94" x14ac:dyDescent="0.25">
      <c r="A73" s="18" t="s">
        <v>6</v>
      </c>
      <c r="B73" s="18">
        <v>2024</v>
      </c>
      <c r="C73" s="18" t="s">
        <v>138</v>
      </c>
      <c r="D73" s="18" t="s">
        <v>132</v>
      </c>
      <c r="E73" s="18">
        <v>50</v>
      </c>
      <c r="F73" s="18">
        <v>50</v>
      </c>
      <c r="G73" s="18" t="s">
        <v>154</v>
      </c>
      <c r="H73" s="18"/>
      <c r="I73" s="18" t="s">
        <v>166</v>
      </c>
      <c r="J73" s="4">
        <v>14.5</v>
      </c>
      <c r="K73" s="18">
        <v>15</v>
      </c>
      <c r="L73" s="4">
        <v>0.5</v>
      </c>
      <c r="M73" s="5">
        <v>0.5</v>
      </c>
      <c r="N73" s="31">
        <v>0.25</v>
      </c>
      <c r="O73" s="31">
        <v>0.25</v>
      </c>
      <c r="P73" s="31">
        <v>12.5</v>
      </c>
      <c r="Q73" s="31">
        <v>20</v>
      </c>
      <c r="R73" s="31">
        <v>0.17</v>
      </c>
      <c r="S73" s="31">
        <v>0</v>
      </c>
      <c r="T73" s="65">
        <v>0</v>
      </c>
      <c r="U73" s="31">
        <v>3</v>
      </c>
      <c r="V73" s="31"/>
      <c r="W73" s="31">
        <v>3</v>
      </c>
      <c r="X73" s="31">
        <v>56.666666666666664</v>
      </c>
      <c r="Y73" s="18">
        <v>0</v>
      </c>
      <c r="Z73" s="18" t="s">
        <v>330</v>
      </c>
      <c r="AA73" s="18" t="s">
        <v>333</v>
      </c>
      <c r="AB73" s="18" t="s">
        <v>335</v>
      </c>
      <c r="AC73" s="18">
        <v>20</v>
      </c>
      <c r="AD73" s="18">
        <v>12.5</v>
      </c>
      <c r="AE73" s="18" t="s">
        <v>34</v>
      </c>
      <c r="AF73" s="18"/>
      <c r="AG73" s="18" t="s">
        <v>34</v>
      </c>
      <c r="AH73" s="18" t="s">
        <v>69</v>
      </c>
      <c r="AI73" s="18" t="s">
        <v>81</v>
      </c>
      <c r="AJ73" s="18" t="s">
        <v>100</v>
      </c>
      <c r="AK73" s="18" t="s">
        <v>109</v>
      </c>
      <c r="AL73" s="18" t="s">
        <v>122</v>
      </c>
      <c r="AM73" s="18" t="s">
        <v>198</v>
      </c>
      <c r="AN73" s="18"/>
      <c r="AO73" s="18"/>
      <c r="AP73" s="18">
        <v>0</v>
      </c>
      <c r="AQ73" s="18">
        <v>0</v>
      </c>
      <c r="AR73" s="18">
        <v>0</v>
      </c>
      <c r="AS73" s="18">
        <v>1</v>
      </c>
      <c r="AT73" s="18">
        <v>0</v>
      </c>
      <c r="AU73" s="18">
        <v>1</v>
      </c>
      <c r="AV73" s="49">
        <f t="shared" si="9"/>
        <v>0</v>
      </c>
      <c r="AW73" s="49">
        <v>0</v>
      </c>
      <c r="AX73" s="50">
        <v>4</v>
      </c>
      <c r="AY73" s="49">
        <v>1</v>
      </c>
      <c r="AZ73" s="49">
        <v>15</v>
      </c>
      <c r="BA73" s="67">
        <v>1.5</v>
      </c>
      <c r="BB73" s="67">
        <v>0</v>
      </c>
      <c r="BC73" s="67">
        <v>5</v>
      </c>
      <c r="BD73" s="67">
        <f t="shared" si="10"/>
        <v>0</v>
      </c>
      <c r="BE73" s="67">
        <v>0</v>
      </c>
      <c r="BF73" s="67">
        <v>1</v>
      </c>
      <c r="BG73" s="67">
        <v>0</v>
      </c>
      <c r="BH73" s="67">
        <v>0</v>
      </c>
      <c r="BI73" s="67">
        <v>0</v>
      </c>
      <c r="BJ73" s="67">
        <v>10</v>
      </c>
      <c r="BK73" s="67">
        <v>16</v>
      </c>
      <c r="BL73" s="18">
        <v>20</v>
      </c>
      <c r="BM73" s="18"/>
      <c r="BN73" s="18"/>
    </row>
    <row r="74" spans="1:94" x14ac:dyDescent="0.25">
      <c r="A74" s="18" t="s">
        <v>6</v>
      </c>
      <c r="B74" s="18">
        <v>2024</v>
      </c>
      <c r="C74" s="18" t="s">
        <v>138</v>
      </c>
      <c r="D74" s="18" t="s">
        <v>132</v>
      </c>
      <c r="E74" s="18">
        <v>50</v>
      </c>
      <c r="F74" s="18">
        <v>50</v>
      </c>
      <c r="G74" s="18" t="s">
        <v>154</v>
      </c>
      <c r="H74" s="18"/>
      <c r="I74" s="18" t="s">
        <v>166</v>
      </c>
      <c r="J74" s="4">
        <v>15</v>
      </c>
      <c r="K74" s="18">
        <v>15.5</v>
      </c>
      <c r="L74" s="4">
        <v>0.5</v>
      </c>
      <c r="M74" s="5">
        <v>0.38</v>
      </c>
      <c r="N74" s="31">
        <v>0.19</v>
      </c>
      <c r="O74" s="31">
        <v>0.19</v>
      </c>
      <c r="P74" s="31">
        <v>9.5</v>
      </c>
      <c r="Q74" s="31">
        <v>20</v>
      </c>
      <c r="R74" s="31">
        <v>0.12</v>
      </c>
      <c r="S74" s="31">
        <v>0</v>
      </c>
      <c r="T74" s="65">
        <v>0</v>
      </c>
      <c r="U74" s="31">
        <v>4</v>
      </c>
      <c r="V74" s="31"/>
      <c r="W74" s="31">
        <v>4</v>
      </c>
      <c r="X74" s="31">
        <v>30</v>
      </c>
      <c r="Y74" s="18">
        <v>0</v>
      </c>
      <c r="Z74" s="18" t="s">
        <v>330</v>
      </c>
      <c r="AA74" s="18" t="s">
        <v>333</v>
      </c>
      <c r="AB74" s="18" t="s">
        <v>335</v>
      </c>
      <c r="AC74" s="18">
        <v>20</v>
      </c>
      <c r="AD74" s="18">
        <v>9.5</v>
      </c>
      <c r="AE74" s="18" t="s">
        <v>34</v>
      </c>
      <c r="AF74" s="18"/>
      <c r="AG74" s="18" t="s">
        <v>34</v>
      </c>
      <c r="AH74" s="18" t="s">
        <v>69</v>
      </c>
      <c r="AI74" s="18" t="s">
        <v>81</v>
      </c>
      <c r="AJ74" s="18" t="s">
        <v>100</v>
      </c>
      <c r="AK74" s="18" t="s">
        <v>109</v>
      </c>
      <c r="AL74" s="18" t="s">
        <v>122</v>
      </c>
      <c r="AM74" s="18" t="s">
        <v>198</v>
      </c>
      <c r="AN74" s="18"/>
      <c r="AO74" s="18"/>
      <c r="AP74" s="18">
        <v>0</v>
      </c>
      <c r="AQ74" s="18">
        <v>0</v>
      </c>
      <c r="AR74" s="18">
        <v>0</v>
      </c>
      <c r="AS74" s="18">
        <v>1</v>
      </c>
      <c r="AT74" s="18">
        <v>0</v>
      </c>
      <c r="AU74" s="18">
        <v>1</v>
      </c>
      <c r="AV74" s="49">
        <f t="shared" si="9"/>
        <v>0</v>
      </c>
      <c r="AW74" s="49">
        <v>0</v>
      </c>
      <c r="AX74" s="50">
        <v>3</v>
      </c>
      <c r="AY74" s="49">
        <v>1</v>
      </c>
      <c r="AZ74" s="49">
        <v>15</v>
      </c>
      <c r="BA74" s="67">
        <v>1.5</v>
      </c>
      <c r="BB74" s="67">
        <v>0</v>
      </c>
      <c r="BC74" s="67">
        <v>5</v>
      </c>
      <c r="BD74" s="67">
        <f t="shared" si="10"/>
        <v>0</v>
      </c>
      <c r="BE74" s="67">
        <v>0</v>
      </c>
      <c r="BF74" s="67">
        <v>1</v>
      </c>
      <c r="BG74" s="67">
        <v>0</v>
      </c>
      <c r="BH74" s="67">
        <v>0</v>
      </c>
      <c r="BI74" s="67">
        <v>0</v>
      </c>
      <c r="BJ74" s="67">
        <v>10</v>
      </c>
      <c r="BK74" s="67">
        <v>16</v>
      </c>
      <c r="BL74" s="18">
        <v>19</v>
      </c>
      <c r="BM74" s="18"/>
      <c r="BN74" s="18"/>
    </row>
    <row r="75" spans="1:94" x14ac:dyDescent="0.25">
      <c r="A75" s="18" t="s">
        <v>6</v>
      </c>
      <c r="B75" s="18">
        <v>2024</v>
      </c>
      <c r="C75" s="18" t="s">
        <v>138</v>
      </c>
      <c r="D75" s="18" t="s">
        <v>132</v>
      </c>
      <c r="E75" s="18">
        <v>50</v>
      </c>
      <c r="F75" s="18">
        <v>50</v>
      </c>
      <c r="G75" s="18" t="s">
        <v>154</v>
      </c>
      <c r="H75" s="18"/>
      <c r="I75" s="18" t="s">
        <v>166</v>
      </c>
      <c r="J75" s="4">
        <v>15.5</v>
      </c>
      <c r="K75" s="18">
        <v>16</v>
      </c>
      <c r="L75" s="4">
        <v>0.5</v>
      </c>
      <c r="M75" s="5">
        <v>0.9</v>
      </c>
      <c r="N75" s="31">
        <v>0.45</v>
      </c>
      <c r="O75" s="31">
        <v>0.45</v>
      </c>
      <c r="P75" s="31">
        <v>22.5</v>
      </c>
      <c r="Q75" s="31">
        <v>20</v>
      </c>
      <c r="R75" s="31">
        <v>0.37</v>
      </c>
      <c r="S75" s="31">
        <v>0</v>
      </c>
      <c r="T75" s="65">
        <v>0</v>
      </c>
      <c r="U75" s="31">
        <v>10</v>
      </c>
      <c r="V75" s="31"/>
      <c r="W75" s="31">
        <v>10</v>
      </c>
      <c r="X75" s="31">
        <v>37</v>
      </c>
      <c r="Y75" s="18">
        <v>0</v>
      </c>
      <c r="Z75" s="18" t="s">
        <v>330</v>
      </c>
      <c r="AA75" s="18" t="s">
        <v>333</v>
      </c>
      <c r="AB75" s="18" t="s">
        <v>335</v>
      </c>
      <c r="AC75" s="18">
        <v>20</v>
      </c>
      <c r="AD75" s="18">
        <v>22.5</v>
      </c>
      <c r="AE75" s="18" t="s">
        <v>34</v>
      </c>
      <c r="AF75" s="18"/>
      <c r="AG75" s="18" t="s">
        <v>34</v>
      </c>
      <c r="AH75" s="18" t="s">
        <v>69</v>
      </c>
      <c r="AI75" s="18" t="s">
        <v>81</v>
      </c>
      <c r="AJ75" s="18" t="s">
        <v>100</v>
      </c>
      <c r="AK75" s="18" t="s">
        <v>109</v>
      </c>
      <c r="AL75" s="18" t="s">
        <v>122</v>
      </c>
      <c r="AM75" s="18" t="s">
        <v>198</v>
      </c>
      <c r="AN75" s="18"/>
      <c r="AO75" s="18"/>
      <c r="AP75" s="18">
        <v>0</v>
      </c>
      <c r="AQ75" s="18">
        <v>0</v>
      </c>
      <c r="AR75" s="18">
        <v>0</v>
      </c>
      <c r="AS75" s="18">
        <v>1</v>
      </c>
      <c r="AT75" s="18">
        <v>0</v>
      </c>
      <c r="AU75" s="18">
        <v>1</v>
      </c>
      <c r="AV75" s="49">
        <f t="shared" si="9"/>
        <v>0</v>
      </c>
      <c r="AW75" s="49">
        <v>0</v>
      </c>
      <c r="AX75" s="50">
        <v>4</v>
      </c>
      <c r="AY75" s="49">
        <v>1</v>
      </c>
      <c r="AZ75" s="49">
        <v>15</v>
      </c>
      <c r="BA75" s="67">
        <v>1.5</v>
      </c>
      <c r="BB75" s="67">
        <v>0</v>
      </c>
      <c r="BC75" s="67">
        <v>5</v>
      </c>
      <c r="BD75" s="67">
        <f t="shared" si="10"/>
        <v>0</v>
      </c>
      <c r="BE75" s="67">
        <v>0</v>
      </c>
      <c r="BF75" s="67">
        <v>1</v>
      </c>
      <c r="BG75" s="67">
        <v>0</v>
      </c>
      <c r="BH75" s="67">
        <v>0</v>
      </c>
      <c r="BI75" s="67">
        <v>0</v>
      </c>
      <c r="BJ75" s="67">
        <v>10</v>
      </c>
      <c r="BK75" s="67">
        <v>16</v>
      </c>
      <c r="BL75" s="18">
        <v>20</v>
      </c>
      <c r="BM75" s="18"/>
      <c r="BN75" s="18"/>
    </row>
    <row r="76" spans="1:94" x14ac:dyDescent="0.25">
      <c r="A76" s="18" t="s">
        <v>6</v>
      </c>
      <c r="B76" s="18">
        <v>2024</v>
      </c>
      <c r="C76" s="18" t="s">
        <v>138</v>
      </c>
      <c r="D76" s="18" t="s">
        <v>132</v>
      </c>
      <c r="E76" s="18">
        <v>50</v>
      </c>
      <c r="F76" s="18">
        <v>50</v>
      </c>
      <c r="G76" s="18" t="s">
        <v>154</v>
      </c>
      <c r="H76" s="18"/>
      <c r="I76" s="18" t="s">
        <v>166</v>
      </c>
      <c r="J76" s="4">
        <v>16</v>
      </c>
      <c r="K76" s="18">
        <v>16.5</v>
      </c>
      <c r="L76" s="4">
        <v>0.5</v>
      </c>
      <c r="M76" s="5">
        <v>0.56000000000000005</v>
      </c>
      <c r="N76" s="31">
        <v>0.28000000000000003</v>
      </c>
      <c r="O76" s="31">
        <v>0.28000000000000003</v>
      </c>
      <c r="P76" s="31">
        <v>14</v>
      </c>
      <c r="Q76" s="31">
        <v>20</v>
      </c>
      <c r="R76" s="31">
        <v>0.24</v>
      </c>
      <c r="S76" s="31">
        <v>0</v>
      </c>
      <c r="T76" s="65">
        <v>0</v>
      </c>
      <c r="U76" s="31">
        <v>10</v>
      </c>
      <c r="V76" s="31"/>
      <c r="W76" s="31">
        <v>10</v>
      </c>
      <c r="X76" s="31">
        <v>24</v>
      </c>
      <c r="Y76" s="18">
        <v>0</v>
      </c>
      <c r="Z76" s="18" t="s">
        <v>100</v>
      </c>
      <c r="AA76" s="18" t="s">
        <v>333</v>
      </c>
      <c r="AB76" s="18" t="s">
        <v>336</v>
      </c>
      <c r="AC76" s="18">
        <v>20</v>
      </c>
      <c r="AD76" s="18">
        <v>14</v>
      </c>
      <c r="AE76" s="18" t="s">
        <v>32</v>
      </c>
      <c r="AF76" s="18"/>
      <c r="AG76" s="18" t="s">
        <v>32</v>
      </c>
      <c r="AH76" s="18" t="s">
        <v>69</v>
      </c>
      <c r="AI76" s="18" t="s">
        <v>81</v>
      </c>
      <c r="AJ76" s="18" t="s">
        <v>100</v>
      </c>
      <c r="AK76" s="18" t="s">
        <v>109</v>
      </c>
      <c r="AL76" s="18" t="s">
        <v>122</v>
      </c>
      <c r="AM76" s="18" t="s">
        <v>198</v>
      </c>
      <c r="AN76" s="18"/>
      <c r="AO76" s="18"/>
      <c r="AP76" s="18">
        <v>0</v>
      </c>
      <c r="AQ76" s="18">
        <v>0</v>
      </c>
      <c r="AR76" s="18">
        <v>0</v>
      </c>
      <c r="AS76" s="18">
        <v>1</v>
      </c>
      <c r="AT76" s="18">
        <v>0</v>
      </c>
      <c r="AU76" s="18">
        <v>1</v>
      </c>
      <c r="AV76" s="49">
        <f t="shared" si="9"/>
        <v>0</v>
      </c>
      <c r="AW76" s="49">
        <v>1</v>
      </c>
      <c r="AX76" s="50">
        <v>4</v>
      </c>
      <c r="AY76" s="49">
        <v>1</v>
      </c>
      <c r="AZ76" s="49">
        <v>15</v>
      </c>
      <c r="BA76" s="67">
        <v>1.5</v>
      </c>
      <c r="BB76" s="67">
        <v>1</v>
      </c>
      <c r="BC76" s="67">
        <v>5</v>
      </c>
      <c r="BD76" s="67">
        <f t="shared" si="10"/>
        <v>0</v>
      </c>
      <c r="BE76" s="67">
        <v>0</v>
      </c>
      <c r="BF76" s="67">
        <v>1</v>
      </c>
      <c r="BG76" s="67">
        <v>0</v>
      </c>
      <c r="BH76" s="67">
        <v>0</v>
      </c>
      <c r="BI76" s="67">
        <v>0</v>
      </c>
      <c r="BJ76" s="67">
        <v>10</v>
      </c>
      <c r="BK76" s="67">
        <v>17</v>
      </c>
      <c r="BL76" s="18">
        <v>21</v>
      </c>
      <c r="BM76" s="18"/>
      <c r="BN76" s="18"/>
    </row>
    <row r="77" spans="1:94" x14ac:dyDescent="0.25">
      <c r="A77" s="18" t="s">
        <v>6</v>
      </c>
      <c r="B77" s="18">
        <v>2024</v>
      </c>
      <c r="C77" s="18" t="s">
        <v>138</v>
      </c>
      <c r="D77" s="18" t="s">
        <v>132</v>
      </c>
      <c r="E77" s="18">
        <v>50</v>
      </c>
      <c r="F77" s="18">
        <v>50</v>
      </c>
      <c r="G77" s="18" t="s">
        <v>154</v>
      </c>
      <c r="H77" s="18"/>
      <c r="I77" s="18" t="s">
        <v>166</v>
      </c>
      <c r="J77" s="4">
        <v>16.5</v>
      </c>
      <c r="K77" s="18">
        <v>17</v>
      </c>
      <c r="L77" s="4">
        <v>0.5</v>
      </c>
      <c r="M77" s="5">
        <v>0.6</v>
      </c>
      <c r="N77" s="31">
        <v>0.3</v>
      </c>
      <c r="O77" s="31">
        <v>0.3</v>
      </c>
      <c r="P77" s="31">
        <v>15</v>
      </c>
      <c r="Q77" s="31">
        <v>20</v>
      </c>
      <c r="R77" s="31">
        <v>0.27</v>
      </c>
      <c r="S77" s="31">
        <v>0</v>
      </c>
      <c r="T77" s="65">
        <v>0</v>
      </c>
      <c r="U77" s="31">
        <v>10</v>
      </c>
      <c r="V77" s="31"/>
      <c r="W77" s="31">
        <v>10</v>
      </c>
      <c r="X77" s="31">
        <v>27</v>
      </c>
      <c r="Y77" s="18">
        <v>0</v>
      </c>
      <c r="Z77" s="18" t="s">
        <v>330</v>
      </c>
      <c r="AA77" s="18" t="s">
        <v>333</v>
      </c>
      <c r="AB77" s="18" t="s">
        <v>335</v>
      </c>
      <c r="AC77" s="18">
        <v>20</v>
      </c>
      <c r="AD77" s="18">
        <v>15</v>
      </c>
      <c r="AE77" s="18" t="s">
        <v>34</v>
      </c>
      <c r="AF77" s="18"/>
      <c r="AG77" s="18" t="s">
        <v>34</v>
      </c>
      <c r="AH77" s="18" t="s">
        <v>69</v>
      </c>
      <c r="AI77" s="18" t="s">
        <v>81</v>
      </c>
      <c r="AJ77" s="18" t="s">
        <v>100</v>
      </c>
      <c r="AK77" s="18" t="s">
        <v>109</v>
      </c>
      <c r="AL77" s="18" t="s">
        <v>122</v>
      </c>
      <c r="AM77" s="18" t="s">
        <v>198</v>
      </c>
      <c r="AN77" s="18"/>
      <c r="AO77" s="18"/>
      <c r="AP77" s="18">
        <v>0</v>
      </c>
      <c r="AQ77" s="18">
        <v>0</v>
      </c>
      <c r="AR77" s="18">
        <v>0</v>
      </c>
      <c r="AS77" s="18">
        <v>1</v>
      </c>
      <c r="AT77" s="18">
        <v>0</v>
      </c>
      <c r="AU77" s="18">
        <v>1</v>
      </c>
      <c r="AV77" s="49">
        <f t="shared" si="9"/>
        <v>0</v>
      </c>
      <c r="AW77" s="49">
        <v>0</v>
      </c>
      <c r="AX77" s="50">
        <v>4</v>
      </c>
      <c r="AY77" s="49">
        <v>1</v>
      </c>
      <c r="AZ77" s="49">
        <v>15</v>
      </c>
      <c r="BA77" s="67">
        <v>1.5</v>
      </c>
      <c r="BB77" s="67">
        <v>0</v>
      </c>
      <c r="BC77" s="67">
        <v>5</v>
      </c>
      <c r="BD77" s="67">
        <f t="shared" si="10"/>
        <v>0</v>
      </c>
      <c r="BE77" s="67">
        <v>0</v>
      </c>
      <c r="BF77" s="67">
        <v>1</v>
      </c>
      <c r="BG77" s="67">
        <v>0</v>
      </c>
      <c r="BH77" s="67">
        <v>0</v>
      </c>
      <c r="BI77" s="67">
        <v>0</v>
      </c>
      <c r="BJ77" s="67">
        <v>10</v>
      </c>
      <c r="BK77" s="67">
        <v>16</v>
      </c>
      <c r="BL77" s="18">
        <v>20</v>
      </c>
      <c r="BM77" s="18"/>
      <c r="BN77" s="18"/>
    </row>
    <row r="78" spans="1:94" x14ac:dyDescent="0.25">
      <c r="A78" s="18" t="s">
        <v>6</v>
      </c>
      <c r="B78" s="18">
        <v>2024</v>
      </c>
      <c r="C78" s="18" t="s">
        <v>138</v>
      </c>
      <c r="D78" s="18" t="s">
        <v>132</v>
      </c>
      <c r="E78" s="18">
        <v>50</v>
      </c>
      <c r="F78" s="18">
        <v>50</v>
      </c>
      <c r="G78" s="18" t="s">
        <v>154</v>
      </c>
      <c r="H78" s="18"/>
      <c r="I78" s="18" t="s">
        <v>166</v>
      </c>
      <c r="J78" s="4">
        <v>17</v>
      </c>
      <c r="K78" s="18">
        <v>17.5</v>
      </c>
      <c r="L78" s="4">
        <v>0.5</v>
      </c>
      <c r="M78" s="5">
        <v>0.5</v>
      </c>
      <c r="N78" s="31">
        <v>0.25</v>
      </c>
      <c r="O78" s="31">
        <v>0.25</v>
      </c>
      <c r="P78" s="31">
        <v>12.5</v>
      </c>
      <c r="Q78" s="31">
        <v>20</v>
      </c>
      <c r="R78" s="31">
        <v>0.22</v>
      </c>
      <c r="S78" s="31">
        <v>0</v>
      </c>
      <c r="T78" s="65">
        <v>0</v>
      </c>
      <c r="U78" s="31">
        <v>10</v>
      </c>
      <c r="V78" s="31"/>
      <c r="W78" s="31">
        <v>10</v>
      </c>
      <c r="X78" s="31">
        <v>22</v>
      </c>
      <c r="Y78" s="18">
        <v>0</v>
      </c>
      <c r="Z78" s="18" t="s">
        <v>330</v>
      </c>
      <c r="AA78" s="18" t="s">
        <v>333</v>
      </c>
      <c r="AB78" s="18" t="s">
        <v>335</v>
      </c>
      <c r="AC78" s="18">
        <v>20</v>
      </c>
      <c r="AD78" s="18">
        <v>12.5</v>
      </c>
      <c r="AE78" s="18" t="s">
        <v>34</v>
      </c>
      <c r="AF78" s="18"/>
      <c r="AG78" s="18" t="s">
        <v>34</v>
      </c>
      <c r="AH78" s="18" t="s">
        <v>69</v>
      </c>
      <c r="AI78" s="18" t="s">
        <v>81</v>
      </c>
      <c r="AJ78" s="18" t="s">
        <v>100</v>
      </c>
      <c r="AK78" s="18" t="s">
        <v>109</v>
      </c>
      <c r="AL78" s="18" t="s">
        <v>122</v>
      </c>
      <c r="AM78" s="18" t="s">
        <v>198</v>
      </c>
      <c r="AN78" s="18"/>
      <c r="AO78" s="18"/>
      <c r="AP78" s="18">
        <v>0</v>
      </c>
      <c r="AQ78" s="18">
        <v>0</v>
      </c>
      <c r="AR78" s="18">
        <v>0</v>
      </c>
      <c r="AS78" s="18">
        <v>1</v>
      </c>
      <c r="AT78" s="18">
        <v>0</v>
      </c>
      <c r="AU78" s="18">
        <v>1</v>
      </c>
      <c r="AV78" s="49">
        <f t="shared" si="9"/>
        <v>0</v>
      </c>
      <c r="AW78" s="49">
        <v>0</v>
      </c>
      <c r="AX78" s="50">
        <v>4</v>
      </c>
      <c r="AY78" s="49">
        <v>1</v>
      </c>
      <c r="AZ78" s="49">
        <v>15</v>
      </c>
      <c r="BA78" s="67">
        <v>1.5</v>
      </c>
      <c r="BB78" s="67">
        <v>0</v>
      </c>
      <c r="BC78" s="67">
        <v>5</v>
      </c>
      <c r="BD78" s="67">
        <f t="shared" si="10"/>
        <v>0</v>
      </c>
      <c r="BE78" s="67">
        <v>0</v>
      </c>
      <c r="BF78" s="67">
        <v>1</v>
      </c>
      <c r="BG78" s="67">
        <v>0</v>
      </c>
      <c r="BH78" s="67">
        <v>0</v>
      </c>
      <c r="BI78" s="67">
        <v>0</v>
      </c>
      <c r="BJ78" s="67">
        <v>10</v>
      </c>
      <c r="BK78" s="67">
        <v>16</v>
      </c>
      <c r="BL78" s="18">
        <v>20</v>
      </c>
      <c r="BM78" s="18"/>
      <c r="BN78" s="18"/>
    </row>
    <row r="79" spans="1:94" x14ac:dyDescent="0.25">
      <c r="A79" s="18" t="s">
        <v>6</v>
      </c>
      <c r="B79" s="18">
        <v>2024</v>
      </c>
      <c r="C79" s="18" t="s">
        <v>138</v>
      </c>
      <c r="D79" s="18" t="s">
        <v>132</v>
      </c>
      <c r="E79" s="18">
        <v>40</v>
      </c>
      <c r="F79" s="18">
        <v>50</v>
      </c>
      <c r="G79" s="18" t="s">
        <v>153</v>
      </c>
      <c r="H79" s="18"/>
      <c r="I79" s="18" t="s">
        <v>166</v>
      </c>
      <c r="J79" s="4">
        <v>17.5</v>
      </c>
      <c r="K79" s="18">
        <v>18</v>
      </c>
      <c r="L79" s="4">
        <v>0.5</v>
      </c>
      <c r="M79" s="5">
        <v>0.28000000000000003</v>
      </c>
      <c r="N79" s="31">
        <v>0.14000000000000001</v>
      </c>
      <c r="O79" s="31">
        <v>0.14000000000000001</v>
      </c>
      <c r="P79" s="31">
        <v>7</v>
      </c>
      <c r="Q79" s="31">
        <v>20</v>
      </c>
      <c r="R79" s="31">
        <v>0.13</v>
      </c>
      <c r="S79" s="31">
        <v>0</v>
      </c>
      <c r="T79" s="65">
        <v>0</v>
      </c>
      <c r="U79" s="31">
        <v>5</v>
      </c>
      <c r="V79" s="31"/>
      <c r="W79" s="31">
        <v>5</v>
      </c>
      <c r="X79" s="31">
        <v>26</v>
      </c>
      <c r="Y79" s="18">
        <v>0</v>
      </c>
      <c r="Z79" s="18" t="s">
        <v>330</v>
      </c>
      <c r="AA79" s="18" t="s">
        <v>333</v>
      </c>
      <c r="AB79" s="18" t="s">
        <v>335</v>
      </c>
      <c r="AC79" s="18">
        <v>20</v>
      </c>
      <c r="AD79" s="18">
        <v>7</v>
      </c>
      <c r="AE79" s="18" t="s">
        <v>34</v>
      </c>
      <c r="AF79" s="18"/>
      <c r="AG79" s="18" t="s">
        <v>34</v>
      </c>
      <c r="AH79" s="18" t="s">
        <v>69</v>
      </c>
      <c r="AI79" s="18" t="s">
        <v>81</v>
      </c>
      <c r="AJ79" s="18" t="s">
        <v>100</v>
      </c>
      <c r="AK79" s="18" t="s">
        <v>107</v>
      </c>
      <c r="AL79" s="18" t="s">
        <v>120</v>
      </c>
      <c r="AM79" s="18" t="s">
        <v>247</v>
      </c>
      <c r="AN79" s="18"/>
      <c r="AO79" s="18"/>
      <c r="AP79" s="18">
        <v>0</v>
      </c>
      <c r="AQ79" s="18">
        <v>0</v>
      </c>
      <c r="AR79" s="18">
        <v>0</v>
      </c>
      <c r="AS79" s="18">
        <v>3</v>
      </c>
      <c r="AT79" s="18">
        <v>2</v>
      </c>
      <c r="AU79" s="18">
        <v>5</v>
      </c>
      <c r="AV79" s="49">
        <f t="shared" si="9"/>
        <v>0</v>
      </c>
      <c r="AW79" s="49">
        <v>0</v>
      </c>
      <c r="AX79" s="50">
        <v>3</v>
      </c>
      <c r="AY79" s="49">
        <v>5</v>
      </c>
      <c r="AZ79" s="49">
        <v>10</v>
      </c>
      <c r="BA79" s="67">
        <v>7.5</v>
      </c>
      <c r="BB79" s="67">
        <v>0</v>
      </c>
      <c r="BC79" s="67">
        <v>5</v>
      </c>
      <c r="BD79" s="67">
        <f t="shared" si="10"/>
        <v>0</v>
      </c>
      <c r="BE79" s="67">
        <v>0</v>
      </c>
      <c r="BF79" s="67">
        <v>3</v>
      </c>
      <c r="BG79" s="67">
        <v>2</v>
      </c>
      <c r="BH79" s="67">
        <v>0</v>
      </c>
      <c r="BI79" s="67">
        <v>0</v>
      </c>
      <c r="BJ79" s="67">
        <v>7</v>
      </c>
      <c r="BK79" s="67">
        <v>17</v>
      </c>
      <c r="BL79" s="18">
        <v>18</v>
      </c>
      <c r="BM79" s="18"/>
      <c r="BN79" s="18"/>
    </row>
    <row r="80" spans="1:94" x14ac:dyDescent="0.25">
      <c r="A80" s="18" t="s">
        <v>6</v>
      </c>
      <c r="B80" s="18">
        <v>2024</v>
      </c>
      <c r="C80" s="18" t="s">
        <v>138</v>
      </c>
      <c r="D80" s="18" t="s">
        <v>132</v>
      </c>
      <c r="E80" s="18">
        <v>40</v>
      </c>
      <c r="F80" s="18">
        <v>50</v>
      </c>
      <c r="G80" s="18" t="s">
        <v>153</v>
      </c>
      <c r="H80" s="18"/>
      <c r="I80" s="18" t="s">
        <v>166</v>
      </c>
      <c r="J80" s="4">
        <v>18</v>
      </c>
      <c r="K80" s="18">
        <v>18.5</v>
      </c>
      <c r="L80" s="4">
        <v>0.5</v>
      </c>
      <c r="M80" s="5">
        <v>0.62</v>
      </c>
      <c r="N80" s="31">
        <v>0.31</v>
      </c>
      <c r="O80" s="31">
        <v>0.31</v>
      </c>
      <c r="P80" s="31">
        <v>15.5</v>
      </c>
      <c r="Q80" s="31">
        <v>20</v>
      </c>
      <c r="R80" s="31">
        <v>0.28999999999999998</v>
      </c>
      <c r="S80" s="31">
        <v>0</v>
      </c>
      <c r="T80" s="65">
        <v>0</v>
      </c>
      <c r="U80" s="31">
        <v>5</v>
      </c>
      <c r="V80" s="31"/>
      <c r="W80" s="31">
        <v>5</v>
      </c>
      <c r="X80" s="31">
        <v>58</v>
      </c>
      <c r="Y80" s="18">
        <v>0</v>
      </c>
      <c r="Z80" s="18" t="s">
        <v>330</v>
      </c>
      <c r="AA80" s="18" t="s">
        <v>333</v>
      </c>
      <c r="AB80" s="18" t="s">
        <v>335</v>
      </c>
      <c r="AC80" s="18">
        <v>20</v>
      </c>
      <c r="AD80" s="18">
        <v>15.5</v>
      </c>
      <c r="AE80" s="18" t="s">
        <v>34</v>
      </c>
      <c r="AF80" s="18"/>
      <c r="AG80" s="18" t="s">
        <v>34</v>
      </c>
      <c r="AH80" s="18" t="s">
        <v>69</v>
      </c>
      <c r="AI80" s="18" t="s">
        <v>81</v>
      </c>
      <c r="AJ80" s="18" t="s">
        <v>100</v>
      </c>
      <c r="AK80" s="18" t="s">
        <v>107</v>
      </c>
      <c r="AL80" s="18" t="s">
        <v>120</v>
      </c>
      <c r="AM80" s="18" t="s">
        <v>247</v>
      </c>
      <c r="AN80" s="18"/>
      <c r="AO80" s="18"/>
      <c r="AP80" s="18">
        <v>0</v>
      </c>
      <c r="AQ80" s="18">
        <v>0</v>
      </c>
      <c r="AR80" s="18">
        <v>0</v>
      </c>
      <c r="AS80" s="18">
        <v>3</v>
      </c>
      <c r="AT80" s="18">
        <v>2</v>
      </c>
      <c r="AU80" s="18">
        <v>5</v>
      </c>
      <c r="AV80" s="49">
        <f t="shared" si="9"/>
        <v>0</v>
      </c>
      <c r="AW80" s="49">
        <v>0</v>
      </c>
      <c r="AX80" s="50">
        <v>4</v>
      </c>
      <c r="AY80" s="49">
        <v>5</v>
      </c>
      <c r="AZ80" s="49">
        <v>10</v>
      </c>
      <c r="BA80" s="67">
        <v>7.5</v>
      </c>
      <c r="BB80" s="67">
        <v>0</v>
      </c>
      <c r="BC80" s="67">
        <v>5</v>
      </c>
      <c r="BD80" s="67">
        <f t="shared" si="10"/>
        <v>0</v>
      </c>
      <c r="BE80" s="67">
        <v>0</v>
      </c>
      <c r="BF80" s="67">
        <v>3</v>
      </c>
      <c r="BG80" s="67">
        <v>2</v>
      </c>
      <c r="BH80" s="67">
        <v>0</v>
      </c>
      <c r="BI80" s="67">
        <v>0</v>
      </c>
      <c r="BJ80" s="67">
        <v>7</v>
      </c>
      <c r="BK80" s="67">
        <v>17</v>
      </c>
      <c r="BL80" s="18">
        <v>19</v>
      </c>
      <c r="BM80" s="18"/>
      <c r="BN80" s="18"/>
    </row>
    <row r="81" spans="1:93" x14ac:dyDescent="0.25">
      <c r="A81" s="18" t="s">
        <v>6</v>
      </c>
      <c r="B81" s="18">
        <v>2024</v>
      </c>
      <c r="C81" s="18" t="s">
        <v>138</v>
      </c>
      <c r="D81" s="18" t="s">
        <v>132</v>
      </c>
      <c r="E81" s="18">
        <v>40</v>
      </c>
      <c r="F81" s="18">
        <v>50</v>
      </c>
      <c r="G81" s="18" t="s">
        <v>153</v>
      </c>
      <c r="H81" s="18"/>
      <c r="I81" s="18" t="s">
        <v>166</v>
      </c>
      <c r="J81" s="4">
        <v>18.5</v>
      </c>
      <c r="K81" s="18">
        <v>19</v>
      </c>
      <c r="L81" s="4">
        <v>0.5</v>
      </c>
      <c r="M81" s="5">
        <v>0.22</v>
      </c>
      <c r="N81" s="31">
        <v>0.11</v>
      </c>
      <c r="O81" s="31">
        <v>0.11</v>
      </c>
      <c r="P81" s="31">
        <v>5.5</v>
      </c>
      <c r="Q81" s="31">
        <v>20</v>
      </c>
      <c r="R81" s="31">
        <v>0.1</v>
      </c>
      <c r="S81" s="31">
        <v>0</v>
      </c>
      <c r="T81" s="65">
        <v>0</v>
      </c>
      <c r="U81" s="31">
        <v>5</v>
      </c>
      <c r="V81" s="31"/>
      <c r="W81" s="31">
        <v>5</v>
      </c>
      <c r="X81" s="31">
        <v>20</v>
      </c>
      <c r="Y81" s="18">
        <v>0</v>
      </c>
      <c r="Z81" s="18" t="s">
        <v>100</v>
      </c>
      <c r="AA81" s="18" t="s">
        <v>333</v>
      </c>
      <c r="AB81" s="18" t="s">
        <v>336</v>
      </c>
      <c r="AC81" s="18">
        <v>20</v>
      </c>
      <c r="AD81" s="18">
        <v>5.5</v>
      </c>
      <c r="AE81" s="18" t="s">
        <v>32</v>
      </c>
      <c r="AF81" s="18"/>
      <c r="AG81" s="18" t="s">
        <v>32</v>
      </c>
      <c r="AH81" s="18" t="s">
        <v>69</v>
      </c>
      <c r="AI81" s="18" t="s">
        <v>81</v>
      </c>
      <c r="AJ81" s="18" t="s">
        <v>100</v>
      </c>
      <c r="AK81" s="18" t="s">
        <v>107</v>
      </c>
      <c r="AL81" s="18" t="s">
        <v>120</v>
      </c>
      <c r="AM81" s="18" t="s">
        <v>247</v>
      </c>
      <c r="AN81" s="18"/>
      <c r="AO81" s="18"/>
      <c r="AP81" s="18">
        <v>0</v>
      </c>
      <c r="AQ81" s="18">
        <v>0</v>
      </c>
      <c r="AR81" s="18">
        <v>0</v>
      </c>
      <c r="AS81" s="18">
        <v>3</v>
      </c>
      <c r="AT81" s="18">
        <v>2</v>
      </c>
      <c r="AU81" s="18">
        <v>5</v>
      </c>
      <c r="AV81" s="49">
        <f t="shared" si="9"/>
        <v>0</v>
      </c>
      <c r="AW81" s="49">
        <v>1</v>
      </c>
      <c r="AX81" s="50">
        <v>3</v>
      </c>
      <c r="AY81" s="49">
        <v>5</v>
      </c>
      <c r="AZ81" s="49">
        <v>10</v>
      </c>
      <c r="BA81" s="67">
        <v>7.5</v>
      </c>
      <c r="BB81" s="67">
        <v>1</v>
      </c>
      <c r="BC81" s="67">
        <v>5</v>
      </c>
      <c r="BD81" s="67">
        <f t="shared" si="10"/>
        <v>0</v>
      </c>
      <c r="BE81" s="67">
        <v>0</v>
      </c>
      <c r="BF81" s="67">
        <v>3</v>
      </c>
      <c r="BG81" s="67">
        <v>2</v>
      </c>
      <c r="BH81" s="67">
        <v>0</v>
      </c>
      <c r="BI81" s="67">
        <v>0</v>
      </c>
      <c r="BJ81" s="67">
        <v>7</v>
      </c>
      <c r="BK81" s="67">
        <v>18</v>
      </c>
      <c r="BL81" s="18">
        <v>19</v>
      </c>
      <c r="BM81" s="18"/>
      <c r="BN81" s="18"/>
    </row>
    <row r="82" spans="1:93" x14ac:dyDescent="0.25">
      <c r="A82" s="18" t="s">
        <v>6</v>
      </c>
      <c r="B82" s="18">
        <v>2024</v>
      </c>
      <c r="C82" s="18" t="s">
        <v>138</v>
      </c>
      <c r="D82" s="18" t="s">
        <v>132</v>
      </c>
      <c r="E82" s="18">
        <v>40</v>
      </c>
      <c r="F82" s="18">
        <v>50</v>
      </c>
      <c r="G82" s="18" t="s">
        <v>153</v>
      </c>
      <c r="H82" s="18"/>
      <c r="I82" s="18" t="s">
        <v>166</v>
      </c>
      <c r="J82" s="4">
        <v>19</v>
      </c>
      <c r="K82" s="18">
        <v>19.5</v>
      </c>
      <c r="L82" s="4">
        <v>0.5</v>
      </c>
      <c r="M82" s="5">
        <v>0.44</v>
      </c>
      <c r="N82" s="31">
        <v>0.22</v>
      </c>
      <c r="O82" s="31">
        <v>0.22</v>
      </c>
      <c r="P82" s="31">
        <v>11</v>
      </c>
      <c r="Q82" s="31">
        <v>20</v>
      </c>
      <c r="R82" s="31">
        <v>0.16</v>
      </c>
      <c r="S82" s="31">
        <v>0</v>
      </c>
      <c r="T82" s="65">
        <v>0</v>
      </c>
      <c r="U82" s="31">
        <v>10</v>
      </c>
      <c r="V82" s="31"/>
      <c r="W82" s="31">
        <v>10</v>
      </c>
      <c r="X82" s="31">
        <v>16</v>
      </c>
      <c r="Y82" s="18">
        <v>0</v>
      </c>
      <c r="Z82" s="18" t="s">
        <v>100</v>
      </c>
      <c r="AA82" s="18" t="s">
        <v>333</v>
      </c>
      <c r="AB82" s="18" t="s">
        <v>336</v>
      </c>
      <c r="AC82" s="18">
        <v>20</v>
      </c>
      <c r="AD82" s="18">
        <v>11</v>
      </c>
      <c r="AE82" s="18" t="s">
        <v>32</v>
      </c>
      <c r="AF82" s="18"/>
      <c r="AG82" s="18" t="s">
        <v>32</v>
      </c>
      <c r="AH82" s="18" t="s">
        <v>69</v>
      </c>
      <c r="AI82" s="18" t="s">
        <v>81</v>
      </c>
      <c r="AJ82" s="18" t="s">
        <v>100</v>
      </c>
      <c r="AK82" s="18" t="s">
        <v>107</v>
      </c>
      <c r="AL82" s="18" t="s">
        <v>120</v>
      </c>
      <c r="AM82" s="18" t="s">
        <v>247</v>
      </c>
      <c r="AN82" s="18"/>
      <c r="AO82" s="18"/>
      <c r="AP82" s="18">
        <v>0</v>
      </c>
      <c r="AQ82" s="18">
        <v>0</v>
      </c>
      <c r="AR82" s="18">
        <v>0</v>
      </c>
      <c r="AS82" s="18">
        <v>3</v>
      </c>
      <c r="AT82" s="18">
        <v>2</v>
      </c>
      <c r="AU82" s="18">
        <v>5</v>
      </c>
      <c r="AV82" s="49">
        <f t="shared" si="9"/>
        <v>0</v>
      </c>
      <c r="AW82" s="49">
        <v>1</v>
      </c>
      <c r="AX82" s="50">
        <v>3</v>
      </c>
      <c r="AY82" s="49">
        <v>5</v>
      </c>
      <c r="AZ82" s="49">
        <v>10</v>
      </c>
      <c r="BA82" s="67">
        <v>7.5</v>
      </c>
      <c r="BB82" s="67">
        <v>1</v>
      </c>
      <c r="BC82" s="67">
        <v>5</v>
      </c>
      <c r="BD82" s="67">
        <f t="shared" si="10"/>
        <v>0</v>
      </c>
      <c r="BE82" s="67">
        <v>0</v>
      </c>
      <c r="BF82" s="67">
        <v>3</v>
      </c>
      <c r="BG82" s="67">
        <v>2</v>
      </c>
      <c r="BH82" s="67">
        <v>0</v>
      </c>
      <c r="BI82" s="67">
        <v>0</v>
      </c>
      <c r="BJ82" s="67">
        <v>7</v>
      </c>
      <c r="BK82" s="67">
        <v>18</v>
      </c>
      <c r="BL82" s="18">
        <v>19</v>
      </c>
      <c r="BM82" s="18"/>
      <c r="BN82" s="18"/>
    </row>
    <row r="83" spans="1:93" x14ac:dyDescent="0.25">
      <c r="A83" s="18" t="s">
        <v>6</v>
      </c>
      <c r="B83" s="18">
        <v>2024</v>
      </c>
      <c r="C83" s="18" t="s">
        <v>138</v>
      </c>
      <c r="D83" s="18" t="s">
        <v>134</v>
      </c>
      <c r="E83" s="18">
        <v>50</v>
      </c>
      <c r="F83" s="18">
        <v>50</v>
      </c>
      <c r="G83" s="18" t="s">
        <v>154</v>
      </c>
      <c r="H83" s="18"/>
      <c r="I83" s="18" t="s">
        <v>170</v>
      </c>
      <c r="J83" s="31">
        <v>8.5</v>
      </c>
      <c r="K83" s="31">
        <v>9</v>
      </c>
      <c r="L83" s="4">
        <v>0.5</v>
      </c>
      <c r="M83" s="5">
        <v>0.66</v>
      </c>
      <c r="N83" s="31">
        <v>0.33</v>
      </c>
      <c r="O83" s="18">
        <v>0.33</v>
      </c>
      <c r="P83" s="18">
        <v>16.5</v>
      </c>
      <c r="Q83" s="18">
        <v>20</v>
      </c>
      <c r="R83" s="18">
        <v>0.2</v>
      </c>
      <c r="S83" s="18">
        <v>0.1</v>
      </c>
      <c r="T83" s="65">
        <v>20</v>
      </c>
      <c r="U83" s="18">
        <v>4</v>
      </c>
      <c r="V83" s="18"/>
      <c r="W83" s="18">
        <v>4</v>
      </c>
      <c r="X83" s="18">
        <v>50</v>
      </c>
      <c r="Y83" s="18">
        <v>0</v>
      </c>
      <c r="Z83" s="18" t="s">
        <v>92</v>
      </c>
      <c r="AA83" s="18" t="s">
        <v>333</v>
      </c>
      <c r="AB83" s="18" t="s">
        <v>337</v>
      </c>
      <c r="AC83" s="18">
        <v>20</v>
      </c>
      <c r="AD83" s="18">
        <v>16.5</v>
      </c>
      <c r="AE83" s="18" t="s">
        <v>29</v>
      </c>
      <c r="AF83" s="18"/>
      <c r="AG83" s="18" t="s">
        <v>29</v>
      </c>
      <c r="AH83" s="18" t="s">
        <v>69</v>
      </c>
      <c r="AI83" s="18" t="s">
        <v>81</v>
      </c>
      <c r="AJ83" s="18" t="s">
        <v>100</v>
      </c>
      <c r="AK83" s="18" t="s">
        <v>109</v>
      </c>
      <c r="AL83" s="18" t="s">
        <v>122</v>
      </c>
      <c r="AM83" s="18" t="s">
        <v>198</v>
      </c>
      <c r="AN83" s="18"/>
      <c r="AO83" s="18"/>
      <c r="AP83" s="18">
        <v>0</v>
      </c>
      <c r="AQ83" s="18">
        <v>0</v>
      </c>
      <c r="AR83" s="18">
        <v>0</v>
      </c>
      <c r="AS83" s="18">
        <v>1</v>
      </c>
      <c r="AT83" s="18">
        <v>0</v>
      </c>
      <c r="AU83" s="18">
        <v>1</v>
      </c>
      <c r="AV83" s="49">
        <f t="shared" si="9"/>
        <v>4</v>
      </c>
      <c r="AW83" s="49">
        <v>2</v>
      </c>
      <c r="AX83" s="50">
        <v>4</v>
      </c>
      <c r="AY83" s="49">
        <v>1</v>
      </c>
      <c r="AZ83" s="49">
        <v>15</v>
      </c>
      <c r="BA83" s="67">
        <v>11.5</v>
      </c>
      <c r="BB83" s="67">
        <v>2</v>
      </c>
      <c r="BC83" s="67">
        <v>5</v>
      </c>
      <c r="BD83" s="67">
        <f t="shared" si="10"/>
        <v>4</v>
      </c>
      <c r="BE83" s="67">
        <v>0</v>
      </c>
      <c r="BF83" s="67">
        <v>1</v>
      </c>
      <c r="BG83" s="67">
        <v>0</v>
      </c>
      <c r="BH83" s="67">
        <v>0</v>
      </c>
      <c r="BI83" s="67">
        <v>0</v>
      </c>
      <c r="BJ83" s="67">
        <v>10</v>
      </c>
      <c r="BK83" s="67">
        <v>22</v>
      </c>
      <c r="BL83" s="18">
        <v>26</v>
      </c>
      <c r="BM83" s="18"/>
      <c r="BN83" s="18"/>
    </row>
    <row r="84" spans="1:93" x14ac:dyDescent="0.25">
      <c r="A84" s="18" t="s">
        <v>6</v>
      </c>
      <c r="B84" s="18">
        <v>2024</v>
      </c>
      <c r="C84" s="18" t="s">
        <v>138</v>
      </c>
      <c r="D84" s="18" t="s">
        <v>134</v>
      </c>
      <c r="E84" s="18">
        <v>50</v>
      </c>
      <c r="F84" s="18">
        <v>50</v>
      </c>
      <c r="G84" s="18" t="s">
        <v>154</v>
      </c>
      <c r="H84" s="18"/>
      <c r="I84" s="18" t="s">
        <v>170</v>
      </c>
      <c r="J84" s="31">
        <v>9</v>
      </c>
      <c r="K84" s="31">
        <v>9.5</v>
      </c>
      <c r="L84" s="4">
        <v>0.5</v>
      </c>
      <c r="M84" s="5">
        <v>0.9</v>
      </c>
      <c r="N84" s="31">
        <v>0.45</v>
      </c>
      <c r="O84" s="18">
        <v>0.45</v>
      </c>
      <c r="P84" s="18">
        <v>22.5</v>
      </c>
      <c r="Q84" s="18">
        <v>20</v>
      </c>
      <c r="R84" s="18">
        <v>0.29000000000000004</v>
      </c>
      <c r="S84" s="18">
        <v>0</v>
      </c>
      <c r="T84" s="65">
        <v>0</v>
      </c>
      <c r="U84" s="18">
        <v>5</v>
      </c>
      <c r="V84" s="18"/>
      <c r="W84" s="18">
        <v>5</v>
      </c>
      <c r="X84" s="18">
        <v>58.000000000000014</v>
      </c>
      <c r="Y84" s="18">
        <v>0</v>
      </c>
      <c r="Z84" s="18" t="s">
        <v>330</v>
      </c>
      <c r="AA84" s="18" t="s">
        <v>333</v>
      </c>
      <c r="AB84" s="18" t="s">
        <v>334</v>
      </c>
      <c r="AC84" s="18">
        <v>20</v>
      </c>
      <c r="AD84" s="18">
        <v>22.5</v>
      </c>
      <c r="AE84" s="18" t="s">
        <v>27</v>
      </c>
      <c r="AF84" s="18"/>
      <c r="AG84" s="18" t="s">
        <v>27</v>
      </c>
      <c r="AH84" s="18" t="s">
        <v>69</v>
      </c>
      <c r="AI84" s="18" t="s">
        <v>81</v>
      </c>
      <c r="AJ84" s="18" t="s">
        <v>100</v>
      </c>
      <c r="AK84" s="18" t="s">
        <v>109</v>
      </c>
      <c r="AL84" s="18" t="s">
        <v>122</v>
      </c>
      <c r="AM84" s="18" t="s">
        <v>198</v>
      </c>
      <c r="AN84" s="18"/>
      <c r="AO84" s="18"/>
      <c r="AP84" s="18">
        <v>0</v>
      </c>
      <c r="AQ84" s="18">
        <v>0</v>
      </c>
      <c r="AR84" s="18">
        <v>0</v>
      </c>
      <c r="AS84" s="18">
        <v>1</v>
      </c>
      <c r="AT84" s="18">
        <v>0</v>
      </c>
      <c r="AU84" s="18">
        <v>1</v>
      </c>
      <c r="AV84" s="49">
        <f t="shared" si="9"/>
        <v>0</v>
      </c>
      <c r="AW84" s="49">
        <v>4</v>
      </c>
      <c r="AX84" s="50">
        <v>4</v>
      </c>
      <c r="AY84" s="49">
        <v>1</v>
      </c>
      <c r="AZ84" s="49">
        <v>15</v>
      </c>
      <c r="BA84" s="67">
        <v>1.5</v>
      </c>
      <c r="BB84" s="67">
        <v>4</v>
      </c>
      <c r="BC84" s="67">
        <v>5</v>
      </c>
      <c r="BD84" s="67">
        <f t="shared" si="10"/>
        <v>0</v>
      </c>
      <c r="BE84" s="67">
        <v>0</v>
      </c>
      <c r="BF84" s="67">
        <v>1</v>
      </c>
      <c r="BG84" s="67">
        <v>0</v>
      </c>
      <c r="BH84" s="67">
        <v>0</v>
      </c>
      <c r="BI84" s="67">
        <v>0</v>
      </c>
      <c r="BJ84" s="67">
        <v>10</v>
      </c>
      <c r="BK84" s="67">
        <v>20</v>
      </c>
      <c r="BL84" s="18">
        <v>24</v>
      </c>
      <c r="BM84" s="18"/>
      <c r="BN84" s="18"/>
    </row>
    <row r="85" spans="1:93" x14ac:dyDescent="0.25">
      <c r="A85" s="18" t="s">
        <v>6</v>
      </c>
      <c r="B85" s="18">
        <v>2024</v>
      </c>
      <c r="C85" s="18" t="s">
        <v>138</v>
      </c>
      <c r="D85" s="18" t="s">
        <v>134</v>
      </c>
      <c r="E85" s="18">
        <v>50</v>
      </c>
      <c r="F85" s="18">
        <v>50</v>
      </c>
      <c r="G85" s="18" t="s">
        <v>154</v>
      </c>
      <c r="H85" s="18"/>
      <c r="I85" s="18" t="s">
        <v>170</v>
      </c>
      <c r="J85" s="31">
        <v>9.5</v>
      </c>
      <c r="K85" s="31">
        <v>10</v>
      </c>
      <c r="L85" s="4">
        <v>0.5</v>
      </c>
      <c r="M85" s="5">
        <v>1</v>
      </c>
      <c r="N85" s="31">
        <v>0.5</v>
      </c>
      <c r="O85" s="18">
        <v>0.5</v>
      </c>
      <c r="P85" s="18">
        <v>25</v>
      </c>
      <c r="Q85" s="18">
        <v>20</v>
      </c>
      <c r="R85" s="18">
        <v>0.32</v>
      </c>
      <c r="S85" s="18">
        <v>0.11</v>
      </c>
      <c r="T85" s="65">
        <v>22</v>
      </c>
      <c r="U85" s="18">
        <v>4</v>
      </c>
      <c r="V85" s="18"/>
      <c r="W85" s="18">
        <v>4</v>
      </c>
      <c r="X85" s="18">
        <v>80</v>
      </c>
      <c r="Y85" s="18">
        <v>0</v>
      </c>
      <c r="Z85" s="18" t="s">
        <v>330</v>
      </c>
      <c r="AA85" s="18" t="s">
        <v>333</v>
      </c>
      <c r="AB85" s="18" t="s">
        <v>334</v>
      </c>
      <c r="AC85" s="18">
        <v>20</v>
      </c>
      <c r="AD85" s="18">
        <v>25</v>
      </c>
      <c r="AE85" s="18" t="s">
        <v>27</v>
      </c>
      <c r="AF85" s="18"/>
      <c r="AG85" s="18" t="s">
        <v>27</v>
      </c>
      <c r="AH85" s="18" t="s">
        <v>69</v>
      </c>
      <c r="AI85" s="18" t="s">
        <v>81</v>
      </c>
      <c r="AJ85" s="18" t="s">
        <v>100</v>
      </c>
      <c r="AK85" s="18" t="s">
        <v>109</v>
      </c>
      <c r="AL85" s="18" t="s">
        <v>122</v>
      </c>
      <c r="AM85" s="18" t="s">
        <v>198</v>
      </c>
      <c r="AN85" s="18"/>
      <c r="AO85" s="18"/>
      <c r="AP85" s="18">
        <v>0</v>
      </c>
      <c r="AQ85" s="18">
        <v>0</v>
      </c>
      <c r="AR85" s="18">
        <v>0</v>
      </c>
      <c r="AS85" s="18">
        <v>1</v>
      </c>
      <c r="AT85" s="18">
        <v>0</v>
      </c>
      <c r="AU85" s="18">
        <v>1</v>
      </c>
      <c r="AV85" s="49">
        <f t="shared" si="9"/>
        <v>5</v>
      </c>
      <c r="AW85" s="49">
        <v>4</v>
      </c>
      <c r="AX85" s="50">
        <v>5</v>
      </c>
      <c r="AY85" s="49">
        <v>1</v>
      </c>
      <c r="AZ85" s="49">
        <v>15</v>
      </c>
      <c r="BA85" s="67">
        <v>12.5</v>
      </c>
      <c r="BB85" s="67">
        <v>4</v>
      </c>
      <c r="BC85" s="67">
        <v>7</v>
      </c>
      <c r="BD85" s="67">
        <f t="shared" si="10"/>
        <v>5</v>
      </c>
      <c r="BE85" s="67">
        <v>0</v>
      </c>
      <c r="BF85" s="67">
        <v>1</v>
      </c>
      <c r="BG85" s="67">
        <v>0</v>
      </c>
      <c r="BH85" s="67">
        <v>0</v>
      </c>
      <c r="BI85" s="67">
        <v>0</v>
      </c>
      <c r="BJ85" s="67">
        <v>10</v>
      </c>
      <c r="BK85" s="67">
        <v>27</v>
      </c>
      <c r="BL85" s="18">
        <v>30</v>
      </c>
      <c r="BM85" s="18"/>
      <c r="BN85" s="18"/>
    </row>
    <row r="86" spans="1:93" x14ac:dyDescent="0.25">
      <c r="A86" s="18" t="s">
        <v>6</v>
      </c>
      <c r="B86" s="18">
        <v>2024</v>
      </c>
      <c r="C86" s="18" t="s">
        <v>138</v>
      </c>
      <c r="D86" s="18" t="s">
        <v>134</v>
      </c>
      <c r="E86" s="18">
        <v>40</v>
      </c>
      <c r="F86" s="18">
        <v>50</v>
      </c>
      <c r="G86" s="18" t="s">
        <v>153</v>
      </c>
      <c r="H86" s="18"/>
      <c r="I86" s="18" t="s">
        <v>170</v>
      </c>
      <c r="J86" s="31">
        <v>10</v>
      </c>
      <c r="K86" s="31">
        <v>10.5</v>
      </c>
      <c r="L86" s="4">
        <v>0.5</v>
      </c>
      <c r="M86" s="5">
        <v>0.96</v>
      </c>
      <c r="N86" s="31">
        <v>0.48</v>
      </c>
      <c r="O86" s="18">
        <v>0.48</v>
      </c>
      <c r="P86" s="18">
        <v>96</v>
      </c>
      <c r="Q86" s="18">
        <v>5</v>
      </c>
      <c r="R86" s="18">
        <v>0.37</v>
      </c>
      <c r="S86" s="18">
        <v>0.15</v>
      </c>
      <c r="T86" s="65">
        <v>30</v>
      </c>
      <c r="U86" s="18">
        <v>4</v>
      </c>
      <c r="V86" s="18"/>
      <c r="W86" s="18">
        <v>4</v>
      </c>
      <c r="X86" s="18">
        <v>92.5</v>
      </c>
      <c r="Y86" s="18">
        <v>0</v>
      </c>
      <c r="Z86" s="18" t="s">
        <v>96</v>
      </c>
      <c r="AA86" s="18" t="s">
        <v>118</v>
      </c>
      <c r="AB86" s="18" t="s">
        <v>334</v>
      </c>
      <c r="AC86" s="18">
        <v>5</v>
      </c>
      <c r="AD86" s="18">
        <v>96</v>
      </c>
      <c r="AE86" s="18" t="s">
        <v>27</v>
      </c>
      <c r="AF86" s="18"/>
      <c r="AG86" s="18" t="s">
        <v>27</v>
      </c>
      <c r="AH86" s="18" t="s">
        <v>69</v>
      </c>
      <c r="AI86" s="18" t="s">
        <v>81</v>
      </c>
      <c r="AJ86" s="18" t="s">
        <v>100</v>
      </c>
      <c r="AK86" s="18" t="s">
        <v>107</v>
      </c>
      <c r="AL86" s="18" t="s">
        <v>120</v>
      </c>
      <c r="AM86" s="18" t="s">
        <v>247</v>
      </c>
      <c r="AN86" s="18"/>
      <c r="AO86" s="18"/>
      <c r="AP86" s="18">
        <v>0</v>
      </c>
      <c r="AQ86" s="18">
        <v>0</v>
      </c>
      <c r="AR86" s="18">
        <v>0</v>
      </c>
      <c r="AS86" s="18">
        <v>3</v>
      </c>
      <c r="AT86" s="18">
        <v>2</v>
      </c>
      <c r="AU86" s="18">
        <v>5</v>
      </c>
      <c r="AV86" s="49">
        <f t="shared" si="9"/>
        <v>6</v>
      </c>
      <c r="AW86" s="49">
        <v>4</v>
      </c>
      <c r="AX86" s="50">
        <v>7</v>
      </c>
      <c r="AY86" s="49">
        <v>5</v>
      </c>
      <c r="AZ86" s="49">
        <v>10</v>
      </c>
      <c r="BA86" s="67">
        <v>22.5</v>
      </c>
      <c r="BB86" s="67">
        <v>4</v>
      </c>
      <c r="BC86" s="67">
        <v>8</v>
      </c>
      <c r="BD86" s="67">
        <f t="shared" si="10"/>
        <v>6</v>
      </c>
      <c r="BE86" s="67">
        <v>0</v>
      </c>
      <c r="BF86" s="67">
        <v>3</v>
      </c>
      <c r="BG86" s="67">
        <v>2</v>
      </c>
      <c r="BH86" s="67">
        <v>0</v>
      </c>
      <c r="BI86" s="67">
        <v>0</v>
      </c>
      <c r="BJ86" s="67">
        <v>7</v>
      </c>
      <c r="BK86" s="67">
        <v>30</v>
      </c>
      <c r="BL86" s="18">
        <v>32</v>
      </c>
      <c r="BM86" s="18"/>
      <c r="BN86" s="18"/>
    </row>
    <row r="87" spans="1:93" x14ac:dyDescent="0.25">
      <c r="A87" s="18" t="s">
        <v>6</v>
      </c>
      <c r="B87" s="18">
        <v>2024</v>
      </c>
      <c r="C87" s="18" t="s">
        <v>138</v>
      </c>
      <c r="D87" s="18" t="s">
        <v>134</v>
      </c>
      <c r="E87" s="18">
        <v>40</v>
      </c>
      <c r="F87" s="18">
        <v>50</v>
      </c>
      <c r="G87" s="18" t="s">
        <v>153</v>
      </c>
      <c r="H87" s="18"/>
      <c r="I87" s="18" t="s">
        <v>170</v>
      </c>
      <c r="J87" s="31">
        <v>10.5</v>
      </c>
      <c r="K87" s="31">
        <v>11</v>
      </c>
      <c r="L87" s="4">
        <v>0.5</v>
      </c>
      <c r="M87" s="5">
        <v>0.96</v>
      </c>
      <c r="N87" s="31">
        <v>0.48</v>
      </c>
      <c r="O87" s="18">
        <v>0.48</v>
      </c>
      <c r="P87" s="18">
        <v>480</v>
      </c>
      <c r="Q87" s="18">
        <v>1</v>
      </c>
      <c r="R87" s="18">
        <v>0.45</v>
      </c>
      <c r="S87" s="18">
        <v>0.15</v>
      </c>
      <c r="T87" s="65">
        <v>30</v>
      </c>
      <c r="U87" s="18">
        <v>4</v>
      </c>
      <c r="V87" s="18"/>
      <c r="W87" s="18">
        <v>4</v>
      </c>
      <c r="X87" s="18">
        <v>112.5</v>
      </c>
      <c r="Y87" s="18">
        <v>0</v>
      </c>
      <c r="Z87" s="18" t="s">
        <v>92</v>
      </c>
      <c r="AA87" s="18" t="s">
        <v>116</v>
      </c>
      <c r="AB87" s="18" t="s">
        <v>334</v>
      </c>
      <c r="AC87" s="18">
        <v>1</v>
      </c>
      <c r="AD87" s="18">
        <v>480</v>
      </c>
      <c r="AE87" s="18" t="s">
        <v>27</v>
      </c>
      <c r="AF87" s="18"/>
      <c r="AG87" s="18" t="s">
        <v>27</v>
      </c>
      <c r="AH87" s="18" t="s">
        <v>69</v>
      </c>
      <c r="AI87" s="18" t="s">
        <v>81</v>
      </c>
      <c r="AJ87" s="18" t="s">
        <v>100</v>
      </c>
      <c r="AK87" s="18" t="s">
        <v>107</v>
      </c>
      <c r="AL87" s="18" t="s">
        <v>120</v>
      </c>
      <c r="AM87" s="18" t="s">
        <v>247</v>
      </c>
      <c r="AN87" s="18"/>
      <c r="AO87" s="18"/>
      <c r="AP87" s="18">
        <v>0</v>
      </c>
      <c r="AQ87" s="18">
        <v>0</v>
      </c>
      <c r="AR87" s="18">
        <v>0</v>
      </c>
      <c r="AS87" s="18">
        <v>3</v>
      </c>
      <c r="AT87" s="18">
        <v>2</v>
      </c>
      <c r="AU87" s="18">
        <v>5</v>
      </c>
      <c r="AV87" s="49">
        <f t="shared" si="9"/>
        <v>6</v>
      </c>
      <c r="AW87" s="49">
        <v>4</v>
      </c>
      <c r="AX87" s="50">
        <v>12</v>
      </c>
      <c r="AY87" s="49">
        <v>5</v>
      </c>
      <c r="AZ87" s="49">
        <v>10</v>
      </c>
      <c r="BA87" s="67">
        <v>22.5</v>
      </c>
      <c r="BB87" s="67">
        <v>4</v>
      </c>
      <c r="BC87" s="67">
        <v>9</v>
      </c>
      <c r="BD87" s="67">
        <f t="shared" si="10"/>
        <v>6</v>
      </c>
      <c r="BE87" s="67">
        <v>0</v>
      </c>
      <c r="BF87" s="67">
        <v>3</v>
      </c>
      <c r="BG87" s="67">
        <v>2</v>
      </c>
      <c r="BH87" s="67">
        <v>0</v>
      </c>
      <c r="BI87" s="67">
        <v>0</v>
      </c>
      <c r="BJ87" s="67">
        <v>7</v>
      </c>
      <c r="BK87" s="67">
        <v>31</v>
      </c>
      <c r="BL87" s="18">
        <v>37</v>
      </c>
      <c r="BM87" s="18"/>
      <c r="BN87" s="18"/>
    </row>
    <row r="88" spans="1:93" x14ac:dyDescent="0.25">
      <c r="A88" s="18" t="s">
        <v>6</v>
      </c>
      <c r="B88" s="18">
        <v>2024</v>
      </c>
      <c r="C88" s="18" t="s">
        <v>138</v>
      </c>
      <c r="D88" s="18" t="s">
        <v>134</v>
      </c>
      <c r="E88" s="18">
        <v>40</v>
      </c>
      <c r="F88" s="18">
        <v>50</v>
      </c>
      <c r="G88" s="18" t="s">
        <v>153</v>
      </c>
      <c r="H88" s="18"/>
      <c r="I88" s="18" t="s">
        <v>170</v>
      </c>
      <c r="J88" s="31">
        <v>11</v>
      </c>
      <c r="K88" s="31">
        <v>11.5</v>
      </c>
      <c r="L88" s="4">
        <v>0.5</v>
      </c>
      <c r="M88" s="5">
        <v>0.52</v>
      </c>
      <c r="N88" s="31">
        <v>0.26</v>
      </c>
      <c r="O88" s="18">
        <v>0.26</v>
      </c>
      <c r="P88" s="18">
        <v>260</v>
      </c>
      <c r="Q88" s="18">
        <v>1</v>
      </c>
      <c r="R88" s="18">
        <v>0.19</v>
      </c>
      <c r="S88" s="18">
        <v>0</v>
      </c>
      <c r="T88" s="65">
        <v>0</v>
      </c>
      <c r="U88" s="18">
        <v>3</v>
      </c>
      <c r="V88" s="18"/>
      <c r="W88" s="18">
        <v>3</v>
      </c>
      <c r="X88" s="18">
        <v>63.333333333333336</v>
      </c>
      <c r="Y88" s="18">
        <v>0</v>
      </c>
      <c r="Z88" s="18" t="s">
        <v>92</v>
      </c>
      <c r="AA88" s="18" t="s">
        <v>116</v>
      </c>
      <c r="AB88" s="18" t="s">
        <v>334</v>
      </c>
      <c r="AC88" s="18">
        <v>1</v>
      </c>
      <c r="AD88" s="18">
        <v>260</v>
      </c>
      <c r="AE88" s="18" t="s">
        <v>27</v>
      </c>
      <c r="AF88" s="18"/>
      <c r="AG88" s="18" t="s">
        <v>27</v>
      </c>
      <c r="AH88" s="18" t="s">
        <v>69</v>
      </c>
      <c r="AI88" s="18" t="s">
        <v>81</v>
      </c>
      <c r="AJ88" s="18" t="s">
        <v>100</v>
      </c>
      <c r="AK88" s="18" t="s">
        <v>107</v>
      </c>
      <c r="AL88" s="18" t="s">
        <v>120</v>
      </c>
      <c r="AM88" s="18" t="s">
        <v>247</v>
      </c>
      <c r="AN88" s="18"/>
      <c r="AO88" s="18"/>
      <c r="AP88" s="18">
        <v>0</v>
      </c>
      <c r="AQ88" s="18">
        <v>0</v>
      </c>
      <c r="AR88" s="18">
        <v>0</v>
      </c>
      <c r="AS88" s="18">
        <v>3</v>
      </c>
      <c r="AT88" s="18">
        <v>2</v>
      </c>
      <c r="AU88" s="18">
        <v>5</v>
      </c>
      <c r="AV88" s="49">
        <f t="shared" si="9"/>
        <v>0</v>
      </c>
      <c r="AW88" s="49">
        <v>4</v>
      </c>
      <c r="AX88" s="50">
        <v>10</v>
      </c>
      <c r="AY88" s="49">
        <v>5</v>
      </c>
      <c r="AZ88" s="49">
        <v>10</v>
      </c>
      <c r="BA88" s="67">
        <v>7.5</v>
      </c>
      <c r="BB88" s="67">
        <v>4</v>
      </c>
      <c r="BC88" s="67">
        <v>5</v>
      </c>
      <c r="BD88" s="67">
        <f t="shared" si="10"/>
        <v>0</v>
      </c>
      <c r="BE88" s="67">
        <v>0</v>
      </c>
      <c r="BF88" s="67">
        <v>3</v>
      </c>
      <c r="BG88" s="67">
        <v>2</v>
      </c>
      <c r="BH88" s="67">
        <v>0</v>
      </c>
      <c r="BI88" s="67">
        <v>0</v>
      </c>
      <c r="BJ88" s="67">
        <v>7</v>
      </c>
      <c r="BK88" s="67">
        <v>21</v>
      </c>
      <c r="BL88" s="18">
        <v>29</v>
      </c>
      <c r="BM88" s="18"/>
      <c r="BN88" s="18"/>
    </row>
    <row r="89" spans="1:93" x14ac:dyDescent="0.25">
      <c r="A89" s="18" t="s">
        <v>6</v>
      </c>
      <c r="B89" s="18">
        <v>2024</v>
      </c>
      <c r="C89" s="18" t="s">
        <v>138</v>
      </c>
      <c r="D89" s="18" t="s">
        <v>134</v>
      </c>
      <c r="E89" s="18">
        <v>40</v>
      </c>
      <c r="F89" s="18">
        <v>50</v>
      </c>
      <c r="G89" s="18" t="s">
        <v>153</v>
      </c>
      <c r="H89" s="18"/>
      <c r="I89" s="18" t="s">
        <v>171</v>
      </c>
      <c r="J89" s="31">
        <v>11.5</v>
      </c>
      <c r="K89" s="31">
        <v>12</v>
      </c>
      <c r="L89" s="4">
        <v>0.5</v>
      </c>
      <c r="M89" s="5">
        <v>0.62</v>
      </c>
      <c r="N89" s="31">
        <v>0.31</v>
      </c>
      <c r="O89" s="18">
        <v>0.31</v>
      </c>
      <c r="P89" s="18">
        <v>20.666666666666668</v>
      </c>
      <c r="Q89" s="18">
        <v>15</v>
      </c>
      <c r="R89" s="18">
        <v>0.24</v>
      </c>
      <c r="S89" s="18">
        <v>0.11</v>
      </c>
      <c r="T89" s="65">
        <v>22</v>
      </c>
      <c r="U89" s="18">
        <v>3</v>
      </c>
      <c r="V89" s="18"/>
      <c r="W89" s="18">
        <v>3</v>
      </c>
      <c r="X89" s="18">
        <v>80</v>
      </c>
      <c r="Y89" s="18">
        <v>0</v>
      </c>
      <c r="Z89" s="18" t="s">
        <v>96</v>
      </c>
      <c r="AA89" s="18" t="s">
        <v>122</v>
      </c>
      <c r="AB89" s="18" t="s">
        <v>337</v>
      </c>
      <c r="AC89" s="18">
        <v>15</v>
      </c>
      <c r="AD89" s="18">
        <v>20.666666666666668</v>
      </c>
      <c r="AE89" s="18" t="s">
        <v>29</v>
      </c>
      <c r="AF89" s="18"/>
      <c r="AG89" s="18" t="s">
        <v>29</v>
      </c>
      <c r="AH89" s="18" t="s">
        <v>69</v>
      </c>
      <c r="AI89" s="18" t="s">
        <v>81</v>
      </c>
      <c r="AJ89" s="18" t="s">
        <v>100</v>
      </c>
      <c r="AK89" s="18" t="s">
        <v>107</v>
      </c>
      <c r="AL89" s="18" t="s">
        <v>120</v>
      </c>
      <c r="AM89" s="18" t="s">
        <v>247</v>
      </c>
      <c r="AN89" s="18"/>
      <c r="AO89" s="18"/>
      <c r="AP89" s="18">
        <v>0</v>
      </c>
      <c r="AQ89" s="18">
        <v>0</v>
      </c>
      <c r="AR89" s="18">
        <v>0</v>
      </c>
      <c r="AS89" s="18">
        <v>3</v>
      </c>
      <c r="AT89" s="18">
        <v>2</v>
      </c>
      <c r="AU89" s="18">
        <v>5</v>
      </c>
      <c r="AV89" s="49">
        <f t="shared" si="9"/>
        <v>5</v>
      </c>
      <c r="AW89" s="49">
        <v>2</v>
      </c>
      <c r="AX89" s="50">
        <v>4</v>
      </c>
      <c r="AY89" s="49">
        <v>5</v>
      </c>
      <c r="AZ89" s="49">
        <v>10</v>
      </c>
      <c r="BA89" s="67">
        <v>18.5</v>
      </c>
      <c r="BB89" s="67">
        <v>2</v>
      </c>
      <c r="BC89" s="67">
        <v>7</v>
      </c>
      <c r="BD89" s="67">
        <f t="shared" si="10"/>
        <v>5</v>
      </c>
      <c r="BE89" s="67">
        <v>0</v>
      </c>
      <c r="BF89" s="67">
        <v>3</v>
      </c>
      <c r="BG89" s="67">
        <v>2</v>
      </c>
      <c r="BH89" s="67">
        <v>0</v>
      </c>
      <c r="BI89" s="67">
        <v>0</v>
      </c>
      <c r="BJ89" s="67">
        <v>7</v>
      </c>
      <c r="BK89" s="67">
        <v>26</v>
      </c>
      <c r="BL89" s="18">
        <v>26</v>
      </c>
      <c r="BM89" s="18"/>
      <c r="BN89" s="18"/>
    </row>
    <row r="90" spans="1:93" x14ac:dyDescent="0.25">
      <c r="A90" s="18" t="s">
        <v>6</v>
      </c>
      <c r="B90" s="18">
        <v>2024</v>
      </c>
      <c r="C90" s="18" t="s">
        <v>138</v>
      </c>
      <c r="D90" s="18" t="s">
        <v>134</v>
      </c>
      <c r="E90" s="18">
        <v>40</v>
      </c>
      <c r="F90" s="18">
        <v>50</v>
      </c>
      <c r="G90" s="18" t="s">
        <v>153</v>
      </c>
      <c r="H90" s="18"/>
      <c r="I90" s="18" t="s">
        <v>171</v>
      </c>
      <c r="J90" s="31">
        <v>12</v>
      </c>
      <c r="K90" s="31">
        <v>12.5</v>
      </c>
      <c r="L90" s="4">
        <v>0.5</v>
      </c>
      <c r="M90" s="5">
        <v>0.76</v>
      </c>
      <c r="N90" s="31">
        <v>0.38</v>
      </c>
      <c r="O90" s="18">
        <v>0.38</v>
      </c>
      <c r="P90" s="18">
        <v>19</v>
      </c>
      <c r="Q90" s="18">
        <v>20</v>
      </c>
      <c r="R90" s="18">
        <v>0.3</v>
      </c>
      <c r="S90" s="18">
        <v>0.1</v>
      </c>
      <c r="T90" s="65">
        <v>20</v>
      </c>
      <c r="U90" s="18">
        <v>6</v>
      </c>
      <c r="V90" s="18"/>
      <c r="W90" s="18">
        <v>6</v>
      </c>
      <c r="X90" s="18">
        <v>50</v>
      </c>
      <c r="Y90" s="18">
        <v>0</v>
      </c>
      <c r="Z90" s="18" t="s">
        <v>100</v>
      </c>
      <c r="AA90" s="18" t="s">
        <v>333</v>
      </c>
      <c r="AB90" s="18" t="s">
        <v>336</v>
      </c>
      <c r="AC90" s="18">
        <v>20</v>
      </c>
      <c r="AD90" s="18">
        <v>19</v>
      </c>
      <c r="AE90" s="18" t="s">
        <v>32</v>
      </c>
      <c r="AF90" s="18"/>
      <c r="AG90" s="18" t="s">
        <v>32</v>
      </c>
      <c r="AH90" s="18" t="s">
        <v>69</v>
      </c>
      <c r="AI90" s="18" t="s">
        <v>81</v>
      </c>
      <c r="AJ90" s="18" t="s">
        <v>100</v>
      </c>
      <c r="AK90" s="18" t="s">
        <v>107</v>
      </c>
      <c r="AL90" s="18" t="s">
        <v>120</v>
      </c>
      <c r="AM90" s="18" t="s">
        <v>247</v>
      </c>
      <c r="AN90" s="18"/>
      <c r="AO90" s="18"/>
      <c r="AP90" s="18">
        <v>0</v>
      </c>
      <c r="AQ90" s="18">
        <v>0</v>
      </c>
      <c r="AR90" s="18">
        <v>0</v>
      </c>
      <c r="AS90" s="18">
        <v>3</v>
      </c>
      <c r="AT90" s="18">
        <v>2</v>
      </c>
      <c r="AU90" s="18">
        <v>5</v>
      </c>
      <c r="AV90" s="49">
        <f t="shared" si="9"/>
        <v>4</v>
      </c>
      <c r="AW90" s="49">
        <v>1</v>
      </c>
      <c r="AX90" s="50">
        <v>4</v>
      </c>
      <c r="AY90" s="49">
        <v>5</v>
      </c>
      <c r="AZ90" s="49">
        <v>10</v>
      </c>
      <c r="BA90" s="67">
        <v>17.5</v>
      </c>
      <c r="BB90" s="67">
        <v>1</v>
      </c>
      <c r="BC90" s="67">
        <v>5</v>
      </c>
      <c r="BD90" s="67">
        <f t="shared" si="10"/>
        <v>4</v>
      </c>
      <c r="BE90" s="67">
        <v>0</v>
      </c>
      <c r="BF90" s="67">
        <v>3</v>
      </c>
      <c r="BG90" s="67">
        <v>2</v>
      </c>
      <c r="BH90" s="67">
        <v>0</v>
      </c>
      <c r="BI90" s="67">
        <v>0</v>
      </c>
      <c r="BJ90" s="67">
        <v>7</v>
      </c>
      <c r="BK90" s="67">
        <v>22</v>
      </c>
      <c r="BL90" s="18">
        <v>24</v>
      </c>
      <c r="BM90" s="18"/>
      <c r="BN90" s="18"/>
    </row>
    <row r="91" spans="1:93" x14ac:dyDescent="0.25">
      <c r="A91" s="18" t="s">
        <v>6</v>
      </c>
      <c r="B91" s="18">
        <v>2024</v>
      </c>
      <c r="C91" s="18" t="s">
        <v>138</v>
      </c>
      <c r="D91" s="18" t="s">
        <v>134</v>
      </c>
      <c r="E91" s="18">
        <v>40</v>
      </c>
      <c r="F91" s="18">
        <v>50</v>
      </c>
      <c r="G91" s="18" t="s">
        <v>153</v>
      </c>
      <c r="H91" s="18"/>
      <c r="I91" s="18" t="s">
        <v>172</v>
      </c>
      <c r="J91" s="31">
        <v>12.5</v>
      </c>
      <c r="K91" s="31">
        <v>13</v>
      </c>
      <c r="L91" s="4">
        <v>0.5</v>
      </c>
      <c r="M91" s="5">
        <v>0.86</v>
      </c>
      <c r="N91" s="31">
        <v>0.43</v>
      </c>
      <c r="O91" s="18">
        <v>0.43</v>
      </c>
      <c r="P91" s="18">
        <v>21.5</v>
      </c>
      <c r="Q91" s="18">
        <v>20</v>
      </c>
      <c r="R91" s="18">
        <v>0.36</v>
      </c>
      <c r="S91" s="18">
        <v>0.12</v>
      </c>
      <c r="T91" s="65">
        <v>24</v>
      </c>
      <c r="U91" s="18">
        <v>4</v>
      </c>
      <c r="V91" s="18"/>
      <c r="W91" s="18">
        <v>4</v>
      </c>
      <c r="X91" s="18">
        <v>90</v>
      </c>
      <c r="Y91" s="18">
        <v>0</v>
      </c>
      <c r="Z91" s="18" t="s">
        <v>96</v>
      </c>
      <c r="AA91" s="18" t="s">
        <v>333</v>
      </c>
      <c r="AB91" s="18" t="s">
        <v>337</v>
      </c>
      <c r="AC91" s="18">
        <v>20</v>
      </c>
      <c r="AD91" s="18">
        <v>21.5</v>
      </c>
      <c r="AE91" s="18" t="s">
        <v>29</v>
      </c>
      <c r="AF91" s="18"/>
      <c r="AG91" s="18" t="s">
        <v>29</v>
      </c>
      <c r="AH91" s="18" t="s">
        <v>69</v>
      </c>
      <c r="AI91" s="18" t="s">
        <v>81</v>
      </c>
      <c r="AJ91" s="18" t="s">
        <v>100</v>
      </c>
      <c r="AK91" s="18" t="s">
        <v>107</v>
      </c>
      <c r="AL91" s="18" t="s">
        <v>120</v>
      </c>
      <c r="AM91" s="18" t="s">
        <v>247</v>
      </c>
      <c r="AN91" s="18"/>
      <c r="AO91" s="18"/>
      <c r="AP91" s="18">
        <v>0</v>
      </c>
      <c r="AQ91" s="18">
        <v>0</v>
      </c>
      <c r="AR91" s="18">
        <v>0</v>
      </c>
      <c r="AS91" s="18">
        <v>3</v>
      </c>
      <c r="AT91" s="18">
        <v>2</v>
      </c>
      <c r="AU91" s="18">
        <v>5</v>
      </c>
      <c r="AV91" s="49">
        <f t="shared" si="9"/>
        <v>5</v>
      </c>
      <c r="AW91" s="49">
        <v>2</v>
      </c>
      <c r="AX91" s="50">
        <v>4</v>
      </c>
      <c r="AY91" s="49">
        <v>5</v>
      </c>
      <c r="AZ91" s="49">
        <v>10</v>
      </c>
      <c r="BA91" s="67">
        <v>19.5</v>
      </c>
      <c r="BB91" s="67">
        <v>2</v>
      </c>
      <c r="BC91" s="67">
        <v>8</v>
      </c>
      <c r="BD91" s="67">
        <f t="shared" si="10"/>
        <v>5</v>
      </c>
      <c r="BE91" s="67">
        <v>0</v>
      </c>
      <c r="BF91" s="67">
        <v>3</v>
      </c>
      <c r="BG91" s="67">
        <v>2</v>
      </c>
      <c r="BH91" s="67">
        <v>0</v>
      </c>
      <c r="BI91" s="67">
        <v>0</v>
      </c>
      <c r="BJ91" s="67">
        <v>7</v>
      </c>
      <c r="BK91" s="67">
        <v>27</v>
      </c>
      <c r="BL91" s="18">
        <v>26</v>
      </c>
      <c r="BM91" s="18"/>
      <c r="BN91" s="18"/>
      <c r="CH91" s="167"/>
      <c r="CI91" s="167"/>
      <c r="CJ91" s="167"/>
      <c r="CK91" s="167"/>
      <c r="CL91" s="167"/>
      <c r="CM91" s="167"/>
      <c r="CN91" s="167"/>
      <c r="CO91" s="167"/>
    </row>
    <row r="92" spans="1:93" ht="15.75" thickBot="1" x14ac:dyDescent="0.3">
      <c r="A92" s="18" t="s">
        <v>6</v>
      </c>
      <c r="B92" s="18">
        <v>2024</v>
      </c>
      <c r="C92" s="18" t="s">
        <v>138</v>
      </c>
      <c r="D92" s="18" t="s">
        <v>134</v>
      </c>
      <c r="E92" s="18">
        <v>50</v>
      </c>
      <c r="F92" s="18">
        <v>50</v>
      </c>
      <c r="G92" s="18" t="s">
        <v>154</v>
      </c>
      <c r="H92" s="18"/>
      <c r="I92" s="18" t="s">
        <v>172</v>
      </c>
      <c r="J92" s="31">
        <v>13</v>
      </c>
      <c r="K92" s="31">
        <v>13.5</v>
      </c>
      <c r="L92" s="4">
        <v>0.5</v>
      </c>
      <c r="M92" s="5">
        <v>0.48</v>
      </c>
      <c r="N92" s="31">
        <v>0.24</v>
      </c>
      <c r="O92" s="18">
        <v>0.24</v>
      </c>
      <c r="P92" s="18">
        <v>12</v>
      </c>
      <c r="Q92" s="18">
        <v>20</v>
      </c>
      <c r="R92" s="18">
        <v>0.21</v>
      </c>
      <c r="S92" s="18">
        <v>0</v>
      </c>
      <c r="T92" s="65">
        <v>0</v>
      </c>
      <c r="U92" s="18">
        <v>4</v>
      </c>
      <c r="V92" s="18"/>
      <c r="W92" s="18">
        <v>4</v>
      </c>
      <c r="X92" s="18">
        <v>52.5</v>
      </c>
      <c r="Y92" s="18">
        <v>0</v>
      </c>
      <c r="Z92" s="18" t="s">
        <v>96</v>
      </c>
      <c r="AA92" s="18" t="s">
        <v>333</v>
      </c>
      <c r="AB92" s="18" t="s">
        <v>337</v>
      </c>
      <c r="AC92" s="18">
        <v>20</v>
      </c>
      <c r="AD92" s="18">
        <v>12</v>
      </c>
      <c r="AE92" s="18" t="s">
        <v>29</v>
      </c>
      <c r="AF92" s="18"/>
      <c r="AG92" s="18" t="s">
        <v>29</v>
      </c>
      <c r="AH92" s="18" t="s">
        <v>69</v>
      </c>
      <c r="AI92" s="18" t="s">
        <v>81</v>
      </c>
      <c r="AJ92" s="18" t="s">
        <v>100</v>
      </c>
      <c r="AK92" s="18" t="s">
        <v>109</v>
      </c>
      <c r="AL92" s="18" t="s">
        <v>122</v>
      </c>
      <c r="AM92" s="18" t="s">
        <v>198</v>
      </c>
      <c r="AN92" s="18"/>
      <c r="AO92" s="18"/>
      <c r="AP92" s="18">
        <v>0</v>
      </c>
      <c r="AQ92" s="18">
        <v>0</v>
      </c>
      <c r="AR92" s="18">
        <v>0</v>
      </c>
      <c r="AS92" s="18">
        <v>1</v>
      </c>
      <c r="AT92" s="18">
        <v>0</v>
      </c>
      <c r="AU92" s="18">
        <v>1</v>
      </c>
      <c r="AV92" s="49">
        <f t="shared" si="9"/>
        <v>0</v>
      </c>
      <c r="AW92" s="49">
        <v>2</v>
      </c>
      <c r="AX92" s="50">
        <v>4</v>
      </c>
      <c r="AY92" s="49">
        <v>1</v>
      </c>
      <c r="AZ92" s="49">
        <v>15</v>
      </c>
      <c r="BA92" s="67">
        <v>1.5</v>
      </c>
      <c r="BB92" s="67">
        <v>2</v>
      </c>
      <c r="BC92" s="67">
        <v>4</v>
      </c>
      <c r="BD92" s="67">
        <f t="shared" si="10"/>
        <v>0</v>
      </c>
      <c r="BE92" s="67">
        <v>0</v>
      </c>
      <c r="BF92" s="67">
        <v>1</v>
      </c>
      <c r="BG92" s="67">
        <v>0</v>
      </c>
      <c r="BH92" s="67">
        <v>0</v>
      </c>
      <c r="BI92" s="67">
        <v>0</v>
      </c>
      <c r="BJ92" s="67">
        <v>10</v>
      </c>
      <c r="BK92" s="67">
        <v>17</v>
      </c>
      <c r="BL92" s="18">
        <v>22</v>
      </c>
      <c r="BM92" s="18"/>
      <c r="BN92" s="18"/>
      <c r="CH92" s="167"/>
      <c r="CI92" s="167"/>
      <c r="CJ92" s="167"/>
      <c r="CK92" s="167"/>
      <c r="CL92" s="167"/>
      <c r="CM92" s="167"/>
      <c r="CN92" s="167"/>
      <c r="CO92" s="167"/>
    </row>
    <row r="93" spans="1:93" x14ac:dyDescent="0.25">
      <c r="A93" s="18" t="s">
        <v>6</v>
      </c>
      <c r="B93" s="18">
        <v>2024</v>
      </c>
      <c r="C93" s="18" t="s">
        <v>138</v>
      </c>
      <c r="D93" s="18" t="s">
        <v>134</v>
      </c>
      <c r="E93" s="18">
        <v>50</v>
      </c>
      <c r="F93" s="18">
        <v>50</v>
      </c>
      <c r="G93" s="18" t="s">
        <v>154</v>
      </c>
      <c r="H93" s="18"/>
      <c r="I93" s="18" t="s">
        <v>172</v>
      </c>
      <c r="J93" s="31">
        <v>13.5</v>
      </c>
      <c r="K93" s="31">
        <v>14</v>
      </c>
      <c r="L93" s="4">
        <v>0.5</v>
      </c>
      <c r="M93" s="5">
        <v>0.52</v>
      </c>
      <c r="N93" s="31">
        <v>0.26</v>
      </c>
      <c r="O93" s="18">
        <v>0.26</v>
      </c>
      <c r="P93" s="18">
        <v>13</v>
      </c>
      <c r="Q93" s="18">
        <v>20</v>
      </c>
      <c r="R93" s="18">
        <v>0.22</v>
      </c>
      <c r="S93" s="18">
        <v>0.1</v>
      </c>
      <c r="T93" s="65">
        <v>20</v>
      </c>
      <c r="U93" s="18">
        <v>3</v>
      </c>
      <c r="V93" s="18"/>
      <c r="W93" s="18">
        <v>3</v>
      </c>
      <c r="X93" s="18">
        <v>73.333333333333329</v>
      </c>
      <c r="Y93" s="18">
        <v>0</v>
      </c>
      <c r="Z93" s="18" t="s">
        <v>100</v>
      </c>
      <c r="AA93" s="18" t="s">
        <v>333</v>
      </c>
      <c r="AB93" s="18" t="s">
        <v>336</v>
      </c>
      <c r="AC93" s="18">
        <v>20</v>
      </c>
      <c r="AD93" s="18">
        <v>13</v>
      </c>
      <c r="AE93" s="18" t="s">
        <v>32</v>
      </c>
      <c r="AF93" s="18"/>
      <c r="AG93" s="18" t="s">
        <v>32</v>
      </c>
      <c r="AH93" s="18" t="s">
        <v>69</v>
      </c>
      <c r="AI93" s="18" t="s">
        <v>81</v>
      </c>
      <c r="AJ93" s="18" t="s">
        <v>100</v>
      </c>
      <c r="AK93" s="18" t="s">
        <v>109</v>
      </c>
      <c r="AL93" s="18" t="s">
        <v>122</v>
      </c>
      <c r="AM93" s="18" t="s">
        <v>198</v>
      </c>
      <c r="AN93" s="18"/>
      <c r="AO93" s="18"/>
      <c r="AP93" s="18">
        <v>0</v>
      </c>
      <c r="AQ93" s="18">
        <v>0</v>
      </c>
      <c r="AR93" s="18">
        <v>0</v>
      </c>
      <c r="AS93" s="18">
        <v>1</v>
      </c>
      <c r="AT93" s="18">
        <v>0</v>
      </c>
      <c r="AU93" s="18">
        <v>1</v>
      </c>
      <c r="AV93" s="49">
        <f t="shared" si="9"/>
        <v>4</v>
      </c>
      <c r="AW93" s="49">
        <v>1</v>
      </c>
      <c r="AX93" s="50">
        <v>4</v>
      </c>
      <c r="AY93" s="49">
        <v>1</v>
      </c>
      <c r="AZ93" s="49">
        <v>15</v>
      </c>
      <c r="BA93" s="67">
        <v>11.5</v>
      </c>
      <c r="BB93" s="67">
        <v>1</v>
      </c>
      <c r="BC93" s="67">
        <v>6</v>
      </c>
      <c r="BD93" s="67">
        <f t="shared" si="10"/>
        <v>4</v>
      </c>
      <c r="BE93" s="67">
        <v>0</v>
      </c>
      <c r="BF93" s="67">
        <v>1</v>
      </c>
      <c r="BG93" s="67">
        <v>0</v>
      </c>
      <c r="BH93" s="67">
        <v>0</v>
      </c>
      <c r="BI93" s="67">
        <v>0</v>
      </c>
      <c r="BJ93" s="67">
        <v>10</v>
      </c>
      <c r="BK93" s="67">
        <v>22</v>
      </c>
      <c r="BL93" s="18">
        <v>25</v>
      </c>
      <c r="BM93" s="18"/>
      <c r="BN93" s="18"/>
      <c r="CH93" s="167"/>
      <c r="CI93" s="168" t="s">
        <v>287</v>
      </c>
      <c r="CJ93" s="168" t="s">
        <v>288</v>
      </c>
      <c r="CK93" s="168" t="s">
        <v>582</v>
      </c>
      <c r="CL93" s="168" t="s">
        <v>287</v>
      </c>
      <c r="CM93" s="168" t="s">
        <v>288</v>
      </c>
      <c r="CN93" s="168" t="s">
        <v>582</v>
      </c>
      <c r="CO93" s="167" t="s">
        <v>642</v>
      </c>
    </row>
    <row r="94" spans="1:93" x14ac:dyDescent="0.25">
      <c r="A94" s="18" t="s">
        <v>6</v>
      </c>
      <c r="B94" s="18">
        <v>2024</v>
      </c>
      <c r="C94" s="18" t="s">
        <v>138</v>
      </c>
      <c r="D94" s="18" t="s">
        <v>134</v>
      </c>
      <c r="E94" s="18">
        <v>50</v>
      </c>
      <c r="F94" s="18">
        <v>50</v>
      </c>
      <c r="G94" s="18" t="s">
        <v>154</v>
      </c>
      <c r="H94" s="18"/>
      <c r="I94" s="18" t="s">
        <v>172</v>
      </c>
      <c r="J94" s="31">
        <v>14</v>
      </c>
      <c r="K94" s="31">
        <v>14.5</v>
      </c>
      <c r="L94" s="4">
        <v>0.5</v>
      </c>
      <c r="M94" s="5">
        <v>0.7</v>
      </c>
      <c r="N94" s="31">
        <v>0.35</v>
      </c>
      <c r="O94" s="18">
        <v>0.35</v>
      </c>
      <c r="P94" s="18">
        <v>350</v>
      </c>
      <c r="Q94" s="18">
        <v>1</v>
      </c>
      <c r="R94" s="18">
        <v>0.31</v>
      </c>
      <c r="S94" s="18">
        <v>0.14000000000000001</v>
      </c>
      <c r="T94" s="65">
        <v>28.000000000000004</v>
      </c>
      <c r="U94" s="18">
        <v>4</v>
      </c>
      <c r="V94" s="18"/>
      <c r="W94" s="18">
        <v>4</v>
      </c>
      <c r="X94" s="18">
        <v>77.5</v>
      </c>
      <c r="Y94" s="18">
        <v>0</v>
      </c>
      <c r="Z94" s="18" t="s">
        <v>96</v>
      </c>
      <c r="AA94" s="18" t="s">
        <v>116</v>
      </c>
      <c r="AB94" s="18" t="s">
        <v>337</v>
      </c>
      <c r="AC94" s="18">
        <v>1</v>
      </c>
      <c r="AD94" s="18">
        <v>350</v>
      </c>
      <c r="AE94" s="18" t="s">
        <v>29</v>
      </c>
      <c r="AF94" s="18"/>
      <c r="AG94" s="18" t="s">
        <v>29</v>
      </c>
      <c r="AH94" s="18" t="s">
        <v>69</v>
      </c>
      <c r="AI94" s="18" t="s">
        <v>81</v>
      </c>
      <c r="AJ94" s="18" t="s">
        <v>100</v>
      </c>
      <c r="AK94" s="18" t="s">
        <v>109</v>
      </c>
      <c r="AL94" s="18" t="s">
        <v>122</v>
      </c>
      <c r="AM94" s="18" t="s">
        <v>198</v>
      </c>
      <c r="AN94" s="18"/>
      <c r="AO94" s="18"/>
      <c r="AP94" s="18">
        <v>0</v>
      </c>
      <c r="AQ94" s="18">
        <v>0</v>
      </c>
      <c r="AR94" s="18">
        <v>0</v>
      </c>
      <c r="AS94" s="18">
        <v>1</v>
      </c>
      <c r="AT94" s="18">
        <v>0</v>
      </c>
      <c r="AU94" s="18">
        <v>1</v>
      </c>
      <c r="AV94" s="49">
        <f t="shared" si="9"/>
        <v>6</v>
      </c>
      <c r="AW94" s="49">
        <v>2</v>
      </c>
      <c r="AX94" s="50">
        <v>11</v>
      </c>
      <c r="AY94" s="49">
        <v>1</v>
      </c>
      <c r="AZ94" s="49">
        <v>15</v>
      </c>
      <c r="BA94" s="67">
        <v>15.500000000000002</v>
      </c>
      <c r="BB94" s="67">
        <v>2</v>
      </c>
      <c r="BC94" s="67">
        <v>7</v>
      </c>
      <c r="BD94" s="67">
        <f t="shared" si="10"/>
        <v>6</v>
      </c>
      <c r="BE94" s="67">
        <v>0</v>
      </c>
      <c r="BF94" s="67">
        <v>1</v>
      </c>
      <c r="BG94" s="67">
        <v>0</v>
      </c>
      <c r="BH94" s="67">
        <v>0</v>
      </c>
      <c r="BI94" s="67">
        <v>0</v>
      </c>
      <c r="BJ94" s="67">
        <v>10</v>
      </c>
      <c r="BK94" s="67">
        <v>26</v>
      </c>
      <c r="BL94" s="18">
        <v>35</v>
      </c>
      <c r="BM94" s="18"/>
      <c r="BN94" s="18"/>
      <c r="CH94" s="167" t="s">
        <v>587</v>
      </c>
      <c r="CI94" s="167">
        <v>20</v>
      </c>
      <c r="CJ94" s="167">
        <v>35</v>
      </c>
      <c r="CK94" s="170">
        <v>0.25547445255474455</v>
      </c>
      <c r="CL94" s="167">
        <v>40</v>
      </c>
      <c r="CM94" s="167">
        <v>96</v>
      </c>
      <c r="CN94" s="170">
        <v>0.7007299270072993</v>
      </c>
      <c r="CO94" s="174">
        <f>+CJ94/$CJ$99</f>
        <v>0.25547445255474455</v>
      </c>
    </row>
    <row r="95" spans="1:93" x14ac:dyDescent="0.25">
      <c r="A95" s="18" t="s">
        <v>6</v>
      </c>
      <c r="B95" s="18">
        <v>2024</v>
      </c>
      <c r="C95" s="18" t="s">
        <v>138</v>
      </c>
      <c r="D95" s="18" t="s">
        <v>134</v>
      </c>
      <c r="E95" s="18">
        <v>50</v>
      </c>
      <c r="F95" s="18">
        <v>50</v>
      </c>
      <c r="G95" s="18" t="s">
        <v>154</v>
      </c>
      <c r="H95" s="18"/>
      <c r="I95" s="18" t="s">
        <v>172</v>
      </c>
      <c r="J95" s="31">
        <v>14.5</v>
      </c>
      <c r="K95" s="31">
        <v>15</v>
      </c>
      <c r="L95" s="4">
        <v>0.5</v>
      </c>
      <c r="M95" s="5">
        <v>0.6</v>
      </c>
      <c r="N95" s="31">
        <v>0.3</v>
      </c>
      <c r="O95" s="18">
        <v>0.3</v>
      </c>
      <c r="P95" s="18">
        <v>300</v>
      </c>
      <c r="Q95" s="18">
        <v>1</v>
      </c>
      <c r="R95" s="18">
        <v>0.26</v>
      </c>
      <c r="S95" s="18">
        <v>0.12</v>
      </c>
      <c r="T95" s="65">
        <v>24</v>
      </c>
      <c r="U95" s="18">
        <v>3</v>
      </c>
      <c r="V95" s="18"/>
      <c r="W95" s="18">
        <v>3</v>
      </c>
      <c r="X95" s="18">
        <v>86.666666666666671</v>
      </c>
      <c r="Y95" s="18">
        <v>0</v>
      </c>
      <c r="Z95" s="18" t="s">
        <v>96</v>
      </c>
      <c r="AA95" s="18" t="s">
        <v>116</v>
      </c>
      <c r="AB95" s="18" t="s">
        <v>337</v>
      </c>
      <c r="AC95" s="18">
        <v>1</v>
      </c>
      <c r="AD95" s="18">
        <v>300</v>
      </c>
      <c r="AE95" s="18" t="s">
        <v>29</v>
      </c>
      <c r="AF95" s="18"/>
      <c r="AG95" s="18" t="s">
        <v>29</v>
      </c>
      <c r="AH95" s="18" t="s">
        <v>69</v>
      </c>
      <c r="AI95" s="18" t="s">
        <v>81</v>
      </c>
      <c r="AJ95" s="18" t="s">
        <v>100</v>
      </c>
      <c r="AK95" s="18" t="s">
        <v>109</v>
      </c>
      <c r="AL95" s="18" t="s">
        <v>122</v>
      </c>
      <c r="AM95" s="18" t="s">
        <v>198</v>
      </c>
      <c r="AN95" s="18"/>
      <c r="AO95" s="18"/>
      <c r="AP95" s="18">
        <v>0</v>
      </c>
      <c r="AQ95" s="18">
        <v>0</v>
      </c>
      <c r="AR95" s="18">
        <v>0</v>
      </c>
      <c r="AS95" s="18">
        <v>1</v>
      </c>
      <c r="AT95" s="18">
        <v>0</v>
      </c>
      <c r="AU95" s="18">
        <v>1</v>
      </c>
      <c r="AV95" s="49">
        <f t="shared" si="9"/>
        <v>5</v>
      </c>
      <c r="AW95" s="49">
        <v>2</v>
      </c>
      <c r="AX95" s="50">
        <v>10</v>
      </c>
      <c r="AY95" s="49">
        <v>1</v>
      </c>
      <c r="AZ95" s="49">
        <v>15</v>
      </c>
      <c r="BA95" s="67">
        <v>13.5</v>
      </c>
      <c r="BB95" s="67">
        <v>2</v>
      </c>
      <c r="BC95" s="67">
        <v>7</v>
      </c>
      <c r="BD95" s="67">
        <f t="shared" si="10"/>
        <v>5</v>
      </c>
      <c r="BE95" s="67">
        <v>0</v>
      </c>
      <c r="BF95" s="67">
        <v>1</v>
      </c>
      <c r="BG95" s="67">
        <v>0</v>
      </c>
      <c r="BH95" s="67">
        <v>0</v>
      </c>
      <c r="BI95" s="67">
        <v>0</v>
      </c>
      <c r="BJ95" s="67">
        <v>10</v>
      </c>
      <c r="BK95" s="67">
        <v>25</v>
      </c>
      <c r="BL95" s="18">
        <v>33</v>
      </c>
      <c r="BM95" s="18"/>
      <c r="BN95" s="18"/>
      <c r="CH95" s="167" t="s">
        <v>588</v>
      </c>
      <c r="CI95" s="167">
        <v>40</v>
      </c>
      <c r="CJ95" s="167">
        <v>96</v>
      </c>
      <c r="CK95" s="170">
        <v>0.95620437956204385</v>
      </c>
      <c r="CL95" s="167">
        <v>20</v>
      </c>
      <c r="CM95" s="167">
        <v>35</v>
      </c>
      <c r="CN95" s="170">
        <v>0.95620437956204385</v>
      </c>
      <c r="CO95" s="174">
        <f t="shared" ref="CO95:CO98" si="11">+CJ95/$CJ$99</f>
        <v>0.7007299270072993</v>
      </c>
    </row>
    <row r="96" spans="1:93" x14ac:dyDescent="0.25">
      <c r="A96" s="18" t="s">
        <v>6</v>
      </c>
      <c r="B96" s="18">
        <v>2024</v>
      </c>
      <c r="C96" s="18" t="s">
        <v>138</v>
      </c>
      <c r="D96" s="18" t="s">
        <v>134</v>
      </c>
      <c r="E96" s="18">
        <v>50</v>
      </c>
      <c r="F96" s="18">
        <v>50</v>
      </c>
      <c r="G96" s="18" t="s">
        <v>154</v>
      </c>
      <c r="H96" s="18"/>
      <c r="I96" s="18" t="s">
        <v>172</v>
      </c>
      <c r="J96" s="31">
        <v>15</v>
      </c>
      <c r="K96" s="31">
        <v>15.5</v>
      </c>
      <c r="L96" s="4">
        <v>0.5</v>
      </c>
      <c r="M96" s="5">
        <v>0.68</v>
      </c>
      <c r="N96" s="31">
        <v>0.34</v>
      </c>
      <c r="O96" s="18">
        <v>0.34</v>
      </c>
      <c r="P96" s="18">
        <v>17</v>
      </c>
      <c r="Q96" s="18">
        <v>20</v>
      </c>
      <c r="R96" s="18">
        <v>0.27</v>
      </c>
      <c r="S96" s="18">
        <v>0</v>
      </c>
      <c r="T96" s="65">
        <v>0</v>
      </c>
      <c r="U96" s="18">
        <v>5</v>
      </c>
      <c r="V96" s="18"/>
      <c r="W96" s="18">
        <v>5</v>
      </c>
      <c r="X96" s="18">
        <v>54</v>
      </c>
      <c r="Y96" s="18">
        <v>0</v>
      </c>
      <c r="Z96" s="18" t="s">
        <v>100</v>
      </c>
      <c r="AA96" s="18" t="s">
        <v>333</v>
      </c>
      <c r="AB96" s="18" t="s">
        <v>336</v>
      </c>
      <c r="AC96" s="18">
        <v>20</v>
      </c>
      <c r="AD96" s="18">
        <v>17</v>
      </c>
      <c r="AE96" s="18" t="s">
        <v>32</v>
      </c>
      <c r="AF96" s="18"/>
      <c r="AG96" s="18" t="s">
        <v>32</v>
      </c>
      <c r="AH96" s="18" t="s">
        <v>69</v>
      </c>
      <c r="AI96" s="18" t="s">
        <v>81</v>
      </c>
      <c r="AJ96" s="18" t="s">
        <v>100</v>
      </c>
      <c r="AK96" s="18" t="s">
        <v>109</v>
      </c>
      <c r="AL96" s="18" t="s">
        <v>122</v>
      </c>
      <c r="AM96" s="18" t="s">
        <v>198</v>
      </c>
      <c r="AN96" s="18"/>
      <c r="AO96" s="18"/>
      <c r="AP96" s="18">
        <v>0</v>
      </c>
      <c r="AQ96" s="18">
        <v>0</v>
      </c>
      <c r="AR96" s="18">
        <v>0</v>
      </c>
      <c r="AS96" s="18">
        <v>1</v>
      </c>
      <c r="AT96" s="18">
        <v>0</v>
      </c>
      <c r="AU96" s="18">
        <v>1</v>
      </c>
      <c r="AV96" s="49">
        <f t="shared" si="9"/>
        <v>0</v>
      </c>
      <c r="AW96" s="49">
        <v>1</v>
      </c>
      <c r="AX96" s="50">
        <v>4</v>
      </c>
      <c r="AY96" s="49">
        <v>1</v>
      </c>
      <c r="AZ96" s="49">
        <v>15</v>
      </c>
      <c r="BA96" s="67">
        <v>1.5</v>
      </c>
      <c r="BB96" s="67">
        <v>1</v>
      </c>
      <c r="BC96" s="67">
        <v>4</v>
      </c>
      <c r="BD96" s="67">
        <f t="shared" si="10"/>
        <v>0</v>
      </c>
      <c r="BE96" s="67">
        <v>0</v>
      </c>
      <c r="BF96" s="67">
        <v>1</v>
      </c>
      <c r="BG96" s="67">
        <v>0</v>
      </c>
      <c r="BH96" s="67">
        <v>0</v>
      </c>
      <c r="BI96" s="67">
        <v>0</v>
      </c>
      <c r="BJ96" s="67">
        <v>10</v>
      </c>
      <c r="BK96" s="67">
        <v>16</v>
      </c>
      <c r="BL96" s="18">
        <v>21</v>
      </c>
      <c r="BM96" s="18"/>
      <c r="BN96" s="18"/>
      <c r="CH96" s="167" t="s">
        <v>589</v>
      </c>
      <c r="CI96" s="167">
        <v>60</v>
      </c>
      <c r="CJ96" s="167">
        <v>6</v>
      </c>
      <c r="CK96" s="170">
        <v>1</v>
      </c>
      <c r="CL96" s="167">
        <v>60</v>
      </c>
      <c r="CM96" s="167">
        <v>6</v>
      </c>
      <c r="CN96" s="170">
        <v>1</v>
      </c>
      <c r="CO96" s="174">
        <f t="shared" si="11"/>
        <v>4.3795620437956206E-2</v>
      </c>
    </row>
    <row r="97" spans="1:93" x14ac:dyDescent="0.25">
      <c r="A97" s="18" t="s">
        <v>6</v>
      </c>
      <c r="B97" s="18">
        <v>2024</v>
      </c>
      <c r="C97" s="18" t="s">
        <v>138</v>
      </c>
      <c r="D97" s="18" t="s">
        <v>134</v>
      </c>
      <c r="E97" s="18">
        <v>50</v>
      </c>
      <c r="F97" s="18">
        <v>50</v>
      </c>
      <c r="G97" s="18" t="s">
        <v>154</v>
      </c>
      <c r="H97" s="18"/>
      <c r="I97" s="18" t="s">
        <v>172</v>
      </c>
      <c r="J97" s="31">
        <v>15.5</v>
      </c>
      <c r="K97" s="31">
        <v>16</v>
      </c>
      <c r="L97" s="4">
        <v>0.5</v>
      </c>
      <c r="M97" s="5">
        <v>0.7</v>
      </c>
      <c r="N97" s="31">
        <v>0.35</v>
      </c>
      <c r="O97" s="18">
        <v>0.35</v>
      </c>
      <c r="P97" s="18">
        <v>17.5</v>
      </c>
      <c r="Q97" s="18">
        <v>20</v>
      </c>
      <c r="R97" s="18">
        <v>0.33</v>
      </c>
      <c r="S97" s="18">
        <v>0</v>
      </c>
      <c r="T97" s="65">
        <v>0</v>
      </c>
      <c r="U97" s="18">
        <v>4</v>
      </c>
      <c r="V97" s="18"/>
      <c r="W97" s="18">
        <v>4</v>
      </c>
      <c r="X97" s="18">
        <v>82.5</v>
      </c>
      <c r="Y97" s="18">
        <v>0</v>
      </c>
      <c r="Z97" s="18" t="s">
        <v>100</v>
      </c>
      <c r="AA97" s="18" t="s">
        <v>333</v>
      </c>
      <c r="AB97" s="18" t="s">
        <v>336</v>
      </c>
      <c r="AC97" s="18">
        <v>20</v>
      </c>
      <c r="AD97" s="18">
        <v>17.5</v>
      </c>
      <c r="AE97" s="18" t="s">
        <v>32</v>
      </c>
      <c r="AF97" s="18"/>
      <c r="AG97" s="18" t="s">
        <v>32</v>
      </c>
      <c r="AH97" s="18" t="s">
        <v>69</v>
      </c>
      <c r="AI97" s="18" t="s">
        <v>81</v>
      </c>
      <c r="AJ97" s="18" t="s">
        <v>100</v>
      </c>
      <c r="AK97" s="18" t="s">
        <v>109</v>
      </c>
      <c r="AL97" s="18" t="s">
        <v>122</v>
      </c>
      <c r="AM97" s="18" t="s">
        <v>198</v>
      </c>
      <c r="AN97" s="18"/>
      <c r="AO97" s="18"/>
      <c r="AP97" s="18">
        <v>0</v>
      </c>
      <c r="AQ97" s="18">
        <v>0</v>
      </c>
      <c r="AR97" s="18">
        <v>0</v>
      </c>
      <c r="AS97" s="18">
        <v>1</v>
      </c>
      <c r="AT97" s="18">
        <v>0</v>
      </c>
      <c r="AU97" s="18">
        <v>1</v>
      </c>
      <c r="AV97" s="49">
        <f t="shared" si="9"/>
        <v>0</v>
      </c>
      <c r="AW97" s="49">
        <v>1</v>
      </c>
      <c r="AX97" s="50">
        <v>4</v>
      </c>
      <c r="AY97" s="49">
        <v>1</v>
      </c>
      <c r="AZ97" s="49">
        <v>15</v>
      </c>
      <c r="BA97" s="67">
        <v>1.5</v>
      </c>
      <c r="BB97" s="67">
        <v>1</v>
      </c>
      <c r="BC97" s="67">
        <v>7</v>
      </c>
      <c r="BD97" s="67">
        <f t="shared" si="10"/>
        <v>0</v>
      </c>
      <c r="BE97" s="67">
        <v>0</v>
      </c>
      <c r="BF97" s="67">
        <v>1</v>
      </c>
      <c r="BG97" s="67">
        <v>0</v>
      </c>
      <c r="BH97" s="67">
        <v>0</v>
      </c>
      <c r="BI97" s="67">
        <v>0</v>
      </c>
      <c r="BJ97" s="67">
        <v>10</v>
      </c>
      <c r="BK97" s="67">
        <v>19</v>
      </c>
      <c r="BL97" s="18">
        <v>21</v>
      </c>
      <c r="BM97" s="18"/>
      <c r="BN97" s="18"/>
      <c r="CH97" s="167" t="s">
        <v>590</v>
      </c>
      <c r="CI97" s="167">
        <v>80</v>
      </c>
      <c r="CJ97" s="167">
        <v>0</v>
      </c>
      <c r="CK97" s="170">
        <v>1</v>
      </c>
      <c r="CL97" s="167">
        <v>80</v>
      </c>
      <c r="CM97" s="167">
        <v>0</v>
      </c>
      <c r="CN97" s="170">
        <v>1</v>
      </c>
      <c r="CO97" s="174">
        <f t="shared" si="11"/>
        <v>0</v>
      </c>
    </row>
    <row r="98" spans="1:93" ht="15.75" thickBot="1" x14ac:dyDescent="0.3">
      <c r="A98" s="18" t="s">
        <v>6</v>
      </c>
      <c r="B98" s="18">
        <v>2024</v>
      </c>
      <c r="C98" s="18" t="s">
        <v>138</v>
      </c>
      <c r="D98" s="18" t="s">
        <v>134</v>
      </c>
      <c r="E98" s="18">
        <v>50</v>
      </c>
      <c r="F98" s="18">
        <v>50</v>
      </c>
      <c r="G98" s="18" t="s">
        <v>154</v>
      </c>
      <c r="H98" s="18"/>
      <c r="I98" s="18" t="s">
        <v>172</v>
      </c>
      <c r="J98" s="31">
        <v>16</v>
      </c>
      <c r="K98" s="31">
        <v>16.5</v>
      </c>
      <c r="L98" s="4">
        <v>0.5</v>
      </c>
      <c r="M98" s="5">
        <v>0.62</v>
      </c>
      <c r="N98" s="31">
        <v>0.31</v>
      </c>
      <c r="O98" s="18">
        <v>0.31</v>
      </c>
      <c r="P98" s="18">
        <v>15.5</v>
      </c>
      <c r="Q98" s="18">
        <v>20</v>
      </c>
      <c r="R98" s="18">
        <v>0.28000000000000003</v>
      </c>
      <c r="S98" s="18">
        <v>0</v>
      </c>
      <c r="T98" s="65">
        <v>0</v>
      </c>
      <c r="U98" s="18">
        <v>5</v>
      </c>
      <c r="V98" s="18"/>
      <c r="W98" s="18">
        <v>5</v>
      </c>
      <c r="X98" s="18">
        <v>56</v>
      </c>
      <c r="Y98" s="18">
        <v>0</v>
      </c>
      <c r="Z98" s="18" t="s">
        <v>100</v>
      </c>
      <c r="AA98" s="18" t="s">
        <v>333</v>
      </c>
      <c r="AB98" s="18" t="s">
        <v>336</v>
      </c>
      <c r="AC98" s="18">
        <v>20</v>
      </c>
      <c r="AD98" s="18">
        <v>15.5</v>
      </c>
      <c r="AE98" s="18" t="s">
        <v>32</v>
      </c>
      <c r="AF98" s="18"/>
      <c r="AG98" s="18" t="s">
        <v>32</v>
      </c>
      <c r="AH98" s="18" t="s">
        <v>69</v>
      </c>
      <c r="AI98" s="18" t="s">
        <v>81</v>
      </c>
      <c r="AJ98" s="18" t="s">
        <v>100</v>
      </c>
      <c r="AK98" s="18" t="s">
        <v>109</v>
      </c>
      <c r="AL98" s="18" t="s">
        <v>122</v>
      </c>
      <c r="AM98" s="18" t="s">
        <v>198</v>
      </c>
      <c r="AN98" s="18"/>
      <c r="AO98" s="18"/>
      <c r="AP98" s="18">
        <v>0</v>
      </c>
      <c r="AQ98" s="18">
        <v>0</v>
      </c>
      <c r="AR98" s="18">
        <v>0</v>
      </c>
      <c r="AS98" s="18">
        <v>1</v>
      </c>
      <c r="AT98" s="18">
        <v>0</v>
      </c>
      <c r="AU98" s="18">
        <v>1</v>
      </c>
      <c r="AV98" s="49">
        <f t="shared" si="9"/>
        <v>0</v>
      </c>
      <c r="AW98" s="49">
        <v>1</v>
      </c>
      <c r="AX98" s="50">
        <v>4</v>
      </c>
      <c r="AY98" s="49">
        <v>1</v>
      </c>
      <c r="AZ98" s="49">
        <v>15</v>
      </c>
      <c r="BA98" s="67">
        <v>1.5</v>
      </c>
      <c r="BB98" s="67">
        <v>1</v>
      </c>
      <c r="BC98" s="67">
        <v>5</v>
      </c>
      <c r="BD98" s="67">
        <f t="shared" si="10"/>
        <v>0</v>
      </c>
      <c r="BE98" s="67">
        <v>0</v>
      </c>
      <c r="BF98" s="67">
        <v>1</v>
      </c>
      <c r="BG98" s="67">
        <v>0</v>
      </c>
      <c r="BH98" s="67">
        <v>0</v>
      </c>
      <c r="BI98" s="67">
        <v>0</v>
      </c>
      <c r="BJ98" s="67">
        <v>10</v>
      </c>
      <c r="BK98" s="67">
        <v>17</v>
      </c>
      <c r="BL98" s="18">
        <v>21</v>
      </c>
      <c r="BM98" s="18"/>
      <c r="BN98" s="18"/>
      <c r="CH98" s="167" t="s">
        <v>591</v>
      </c>
      <c r="CI98" s="172" t="s">
        <v>581</v>
      </c>
      <c r="CJ98" s="172">
        <v>0</v>
      </c>
      <c r="CK98" s="173">
        <v>1</v>
      </c>
      <c r="CL98" s="172" t="s">
        <v>581</v>
      </c>
      <c r="CM98" s="172">
        <v>0</v>
      </c>
      <c r="CN98" s="173">
        <v>1</v>
      </c>
      <c r="CO98" s="174">
        <f t="shared" si="11"/>
        <v>0</v>
      </c>
    </row>
    <row r="99" spans="1:93" x14ac:dyDescent="0.25">
      <c r="A99" s="18" t="s">
        <v>6</v>
      </c>
      <c r="B99" s="18">
        <v>2024</v>
      </c>
      <c r="C99" s="18" t="s">
        <v>138</v>
      </c>
      <c r="D99" s="18" t="s">
        <v>134</v>
      </c>
      <c r="E99" s="18">
        <v>50</v>
      </c>
      <c r="F99" s="18">
        <v>50</v>
      </c>
      <c r="G99" s="18" t="s">
        <v>154</v>
      </c>
      <c r="H99" s="18"/>
      <c r="I99" s="18" t="s">
        <v>172</v>
      </c>
      <c r="J99" s="31">
        <v>16.5</v>
      </c>
      <c r="K99" s="31">
        <v>17</v>
      </c>
      <c r="L99" s="4">
        <v>0.5</v>
      </c>
      <c r="M99" s="5">
        <v>0.6</v>
      </c>
      <c r="N99" s="31">
        <v>0.3</v>
      </c>
      <c r="O99" s="18">
        <v>0.3</v>
      </c>
      <c r="P99" s="18">
        <v>15</v>
      </c>
      <c r="Q99" s="18">
        <v>20</v>
      </c>
      <c r="R99" s="18">
        <v>0.25</v>
      </c>
      <c r="S99" s="18">
        <v>0.14000000000000001</v>
      </c>
      <c r="T99" s="65">
        <v>28.000000000000004</v>
      </c>
      <c r="U99" s="18">
        <v>3</v>
      </c>
      <c r="V99" s="18"/>
      <c r="W99" s="18">
        <v>3</v>
      </c>
      <c r="X99" s="18">
        <v>83.333333333333329</v>
      </c>
      <c r="Y99" s="18">
        <v>0</v>
      </c>
      <c r="Z99" s="18" t="s">
        <v>100</v>
      </c>
      <c r="AA99" s="18" t="s">
        <v>333</v>
      </c>
      <c r="AB99" s="18" t="s">
        <v>336</v>
      </c>
      <c r="AC99" s="18">
        <v>20</v>
      </c>
      <c r="AD99" s="18">
        <v>15</v>
      </c>
      <c r="AE99" s="18" t="s">
        <v>32</v>
      </c>
      <c r="AF99" s="18"/>
      <c r="AG99" s="18" t="s">
        <v>32</v>
      </c>
      <c r="AH99" s="18" t="s">
        <v>69</v>
      </c>
      <c r="AI99" s="18" t="s">
        <v>81</v>
      </c>
      <c r="AJ99" s="18" t="s">
        <v>100</v>
      </c>
      <c r="AK99" s="18" t="s">
        <v>109</v>
      </c>
      <c r="AL99" s="18" t="s">
        <v>122</v>
      </c>
      <c r="AM99" s="18" t="s">
        <v>198</v>
      </c>
      <c r="AN99" s="18"/>
      <c r="AO99" s="18"/>
      <c r="AP99" s="18">
        <v>0</v>
      </c>
      <c r="AQ99" s="18">
        <v>0</v>
      </c>
      <c r="AR99" s="18">
        <v>0</v>
      </c>
      <c r="AS99" s="18">
        <v>1</v>
      </c>
      <c r="AT99" s="18">
        <v>0</v>
      </c>
      <c r="AU99" s="18">
        <v>1</v>
      </c>
      <c r="AV99" s="49">
        <f t="shared" si="9"/>
        <v>6</v>
      </c>
      <c r="AW99" s="49">
        <v>1</v>
      </c>
      <c r="AX99" s="50">
        <v>4</v>
      </c>
      <c r="AY99" s="49">
        <v>1</v>
      </c>
      <c r="AZ99" s="49">
        <v>15</v>
      </c>
      <c r="BA99" s="67">
        <v>15.500000000000002</v>
      </c>
      <c r="BB99" s="67">
        <v>1</v>
      </c>
      <c r="BC99" s="67">
        <v>7</v>
      </c>
      <c r="BD99" s="67">
        <f t="shared" si="10"/>
        <v>6</v>
      </c>
      <c r="BE99" s="67">
        <v>0</v>
      </c>
      <c r="BF99" s="67">
        <v>1</v>
      </c>
      <c r="BG99" s="67">
        <v>0</v>
      </c>
      <c r="BH99" s="67">
        <v>0</v>
      </c>
      <c r="BI99" s="67">
        <v>0</v>
      </c>
      <c r="BJ99" s="67">
        <v>10</v>
      </c>
      <c r="BK99" s="67">
        <v>25</v>
      </c>
      <c r="BL99" s="18">
        <v>27</v>
      </c>
      <c r="BM99" s="18"/>
      <c r="BN99" s="18"/>
      <c r="CH99" s="167"/>
      <c r="CI99" s="167"/>
      <c r="CJ99" s="167">
        <f>+SUM(CJ94:CJ98)</f>
        <v>137</v>
      </c>
      <c r="CK99" s="167"/>
      <c r="CL99" s="167"/>
      <c r="CM99" s="167"/>
      <c r="CN99" s="167"/>
      <c r="CO99" s="167"/>
    </row>
    <row r="100" spans="1:93" x14ac:dyDescent="0.25">
      <c r="A100" s="18" t="s">
        <v>6</v>
      </c>
      <c r="B100" s="18">
        <v>2024</v>
      </c>
      <c r="C100" s="18" t="s">
        <v>138</v>
      </c>
      <c r="D100" s="18" t="s">
        <v>134</v>
      </c>
      <c r="E100" s="18">
        <v>50</v>
      </c>
      <c r="F100" s="18">
        <v>50</v>
      </c>
      <c r="G100" s="18" t="s">
        <v>154</v>
      </c>
      <c r="H100" s="18"/>
      <c r="I100" s="18" t="s">
        <v>172</v>
      </c>
      <c r="J100" s="31">
        <v>17</v>
      </c>
      <c r="K100" s="31">
        <v>17.5</v>
      </c>
      <c r="L100" s="4">
        <v>0.5</v>
      </c>
      <c r="M100" s="5">
        <v>0.7</v>
      </c>
      <c r="N100" s="31">
        <v>0.35</v>
      </c>
      <c r="O100" s="18">
        <v>0.35</v>
      </c>
      <c r="P100" s="18">
        <v>17.5</v>
      </c>
      <c r="Q100" s="18">
        <v>20</v>
      </c>
      <c r="R100" s="18">
        <v>0.34</v>
      </c>
      <c r="S100" s="18">
        <v>0.17</v>
      </c>
      <c r="T100" s="65">
        <v>34</v>
      </c>
      <c r="U100" s="18">
        <v>4</v>
      </c>
      <c r="V100" s="18"/>
      <c r="W100" s="18">
        <v>4</v>
      </c>
      <c r="X100" s="18">
        <v>85</v>
      </c>
      <c r="Y100" s="18">
        <v>0</v>
      </c>
      <c r="Z100" s="18" t="s">
        <v>96</v>
      </c>
      <c r="AA100" s="18" t="s">
        <v>333</v>
      </c>
      <c r="AB100" s="18" t="s">
        <v>336</v>
      </c>
      <c r="AC100" s="18">
        <v>20</v>
      </c>
      <c r="AD100" s="18">
        <v>17.5</v>
      </c>
      <c r="AE100" s="18" t="s">
        <v>32</v>
      </c>
      <c r="AF100" s="18"/>
      <c r="AG100" s="18" t="s">
        <v>32</v>
      </c>
      <c r="AH100" s="18" t="s">
        <v>69</v>
      </c>
      <c r="AI100" s="18" t="s">
        <v>81</v>
      </c>
      <c r="AJ100" s="18" t="s">
        <v>100</v>
      </c>
      <c r="AK100" s="18" t="s">
        <v>109</v>
      </c>
      <c r="AL100" s="18" t="s">
        <v>122</v>
      </c>
      <c r="AM100" s="18" t="s">
        <v>198</v>
      </c>
      <c r="AN100" s="18"/>
      <c r="AO100" s="18"/>
      <c r="AP100" s="18">
        <v>0</v>
      </c>
      <c r="AQ100" s="18">
        <v>0</v>
      </c>
      <c r="AR100" s="18">
        <v>0</v>
      </c>
      <c r="AS100" s="18">
        <v>1</v>
      </c>
      <c r="AT100" s="18">
        <v>0</v>
      </c>
      <c r="AU100" s="18">
        <v>1</v>
      </c>
      <c r="AV100" s="49">
        <f t="shared" si="9"/>
        <v>7</v>
      </c>
      <c r="AW100" s="49">
        <v>1</v>
      </c>
      <c r="AX100" s="50">
        <v>4</v>
      </c>
      <c r="AY100" s="49">
        <v>1</v>
      </c>
      <c r="AZ100" s="49">
        <v>15</v>
      </c>
      <c r="BA100" s="67">
        <v>18.5</v>
      </c>
      <c r="BB100" s="67">
        <v>1</v>
      </c>
      <c r="BC100" s="67">
        <v>7</v>
      </c>
      <c r="BD100" s="67">
        <f t="shared" si="10"/>
        <v>7</v>
      </c>
      <c r="BE100" s="67">
        <v>0</v>
      </c>
      <c r="BF100" s="67">
        <v>1</v>
      </c>
      <c r="BG100" s="67">
        <v>0</v>
      </c>
      <c r="BH100" s="67">
        <v>0</v>
      </c>
      <c r="BI100" s="67">
        <v>0</v>
      </c>
      <c r="BJ100" s="67">
        <v>10</v>
      </c>
      <c r="BK100" s="67">
        <v>26</v>
      </c>
      <c r="BL100" s="18">
        <v>28</v>
      </c>
      <c r="BM100" s="18"/>
      <c r="BN100" s="18"/>
      <c r="CH100" s="167"/>
      <c r="CI100" s="167"/>
      <c r="CJ100" s="167"/>
      <c r="CK100" s="167"/>
      <c r="CL100" s="167"/>
      <c r="CM100" s="167"/>
      <c r="CN100" s="167"/>
      <c r="CO100" s="167"/>
    </row>
    <row r="101" spans="1:93" x14ac:dyDescent="0.25">
      <c r="A101" s="18" t="s">
        <v>6</v>
      </c>
      <c r="B101" s="18">
        <v>2024</v>
      </c>
      <c r="C101" s="18" t="s">
        <v>138</v>
      </c>
      <c r="D101" s="18" t="s">
        <v>134</v>
      </c>
      <c r="E101" s="18">
        <v>50</v>
      </c>
      <c r="F101" s="18">
        <v>50</v>
      </c>
      <c r="G101" s="18" t="s">
        <v>154</v>
      </c>
      <c r="H101" s="18"/>
      <c r="I101" s="18" t="s">
        <v>173</v>
      </c>
      <c r="J101" s="31">
        <v>17.5</v>
      </c>
      <c r="K101" s="31">
        <v>18</v>
      </c>
      <c r="L101" s="4">
        <v>0.5</v>
      </c>
      <c r="M101" s="5">
        <v>0.84</v>
      </c>
      <c r="N101" s="31">
        <v>0.42</v>
      </c>
      <c r="O101" s="18">
        <v>0.42</v>
      </c>
      <c r="P101" s="18">
        <v>21</v>
      </c>
      <c r="Q101" s="18">
        <v>20</v>
      </c>
      <c r="R101" s="18">
        <v>0.41</v>
      </c>
      <c r="S101" s="18">
        <v>0</v>
      </c>
      <c r="T101" s="65">
        <v>0</v>
      </c>
      <c r="U101" s="18">
        <v>7</v>
      </c>
      <c r="V101" s="18"/>
      <c r="W101" s="18">
        <v>7</v>
      </c>
      <c r="X101" s="18">
        <v>58.571428571428569</v>
      </c>
      <c r="Y101" s="18">
        <v>0</v>
      </c>
      <c r="Z101" s="18" t="s">
        <v>330</v>
      </c>
      <c r="AA101" s="18" t="s">
        <v>333</v>
      </c>
      <c r="AB101" s="18" t="s">
        <v>335</v>
      </c>
      <c r="AC101" s="18">
        <v>20</v>
      </c>
      <c r="AD101" s="18">
        <v>21</v>
      </c>
      <c r="AE101" s="18" t="s">
        <v>34</v>
      </c>
      <c r="AF101" s="18"/>
      <c r="AG101" s="18" t="s">
        <v>34</v>
      </c>
      <c r="AH101" s="18" t="s">
        <v>69</v>
      </c>
      <c r="AI101" s="18" t="s">
        <v>81</v>
      </c>
      <c r="AJ101" s="18" t="s">
        <v>100</v>
      </c>
      <c r="AK101" s="18" t="s">
        <v>109</v>
      </c>
      <c r="AL101" s="18" t="s">
        <v>122</v>
      </c>
      <c r="AM101" s="18" t="s">
        <v>198</v>
      </c>
      <c r="AN101" s="18"/>
      <c r="AO101" s="18"/>
      <c r="AP101" s="18">
        <v>0</v>
      </c>
      <c r="AQ101" s="18">
        <v>0</v>
      </c>
      <c r="AR101" s="18">
        <v>0</v>
      </c>
      <c r="AS101" s="18">
        <v>1</v>
      </c>
      <c r="AT101" s="18">
        <v>0</v>
      </c>
      <c r="AU101" s="18">
        <v>1</v>
      </c>
      <c r="AV101" s="49">
        <f t="shared" si="9"/>
        <v>0</v>
      </c>
      <c r="AW101" s="49">
        <v>0</v>
      </c>
      <c r="AX101" s="50">
        <v>4</v>
      </c>
      <c r="AY101" s="49">
        <v>1</v>
      </c>
      <c r="AZ101" s="49">
        <v>15</v>
      </c>
      <c r="BA101" s="67">
        <v>1.5</v>
      </c>
      <c r="BB101" s="67">
        <v>0</v>
      </c>
      <c r="BC101" s="67">
        <v>5</v>
      </c>
      <c r="BD101" s="67">
        <f t="shared" si="10"/>
        <v>0</v>
      </c>
      <c r="BE101" s="67">
        <v>0</v>
      </c>
      <c r="BF101" s="67">
        <v>1</v>
      </c>
      <c r="BG101" s="67">
        <v>0</v>
      </c>
      <c r="BH101" s="67">
        <v>0</v>
      </c>
      <c r="BI101" s="67">
        <v>0</v>
      </c>
      <c r="BJ101" s="67">
        <v>10</v>
      </c>
      <c r="BK101" s="67">
        <v>16</v>
      </c>
      <c r="BL101" s="18">
        <v>20</v>
      </c>
      <c r="BM101" s="18"/>
      <c r="BN101" s="18"/>
      <c r="CH101" s="167"/>
      <c r="CI101" s="167"/>
      <c r="CJ101" s="167"/>
      <c r="CK101" s="167"/>
      <c r="CL101" s="167"/>
      <c r="CM101" s="167"/>
      <c r="CN101" s="167"/>
      <c r="CO101" s="167"/>
    </row>
    <row r="102" spans="1:93" x14ac:dyDescent="0.25">
      <c r="A102" s="18" t="s">
        <v>6</v>
      </c>
      <c r="B102" s="18">
        <v>2024</v>
      </c>
      <c r="C102" s="18" t="s">
        <v>138</v>
      </c>
      <c r="D102" s="18" t="s">
        <v>134</v>
      </c>
      <c r="E102" s="18">
        <v>50</v>
      </c>
      <c r="F102" s="18">
        <v>50</v>
      </c>
      <c r="G102" s="18" t="s">
        <v>154</v>
      </c>
      <c r="H102" s="18"/>
      <c r="I102" s="18" t="s">
        <v>173</v>
      </c>
      <c r="J102" s="31">
        <v>18</v>
      </c>
      <c r="K102" s="31">
        <v>18.5</v>
      </c>
      <c r="L102" s="4">
        <v>0.5</v>
      </c>
      <c r="M102" s="5">
        <v>0.9</v>
      </c>
      <c r="N102" s="31">
        <v>0.45</v>
      </c>
      <c r="O102" s="18">
        <v>0.45</v>
      </c>
      <c r="P102" s="18">
        <v>22.5</v>
      </c>
      <c r="Q102" s="18">
        <v>20</v>
      </c>
      <c r="R102" s="18">
        <v>0.46</v>
      </c>
      <c r="S102" s="18">
        <v>0</v>
      </c>
      <c r="T102" s="65">
        <v>0</v>
      </c>
      <c r="U102" s="18">
        <v>7</v>
      </c>
      <c r="V102" s="18"/>
      <c r="W102" s="18">
        <v>7</v>
      </c>
      <c r="X102" s="18">
        <v>65.714285714285708</v>
      </c>
      <c r="Y102" s="18">
        <v>0</v>
      </c>
      <c r="Z102" s="18" t="s">
        <v>330</v>
      </c>
      <c r="AA102" s="18" t="s">
        <v>333</v>
      </c>
      <c r="AB102" s="18" t="s">
        <v>335</v>
      </c>
      <c r="AC102" s="18">
        <v>20</v>
      </c>
      <c r="AD102" s="18">
        <v>22.5</v>
      </c>
      <c r="AE102" s="18" t="s">
        <v>34</v>
      </c>
      <c r="AF102" s="18"/>
      <c r="AG102" s="18" t="s">
        <v>34</v>
      </c>
      <c r="AH102" s="18" t="s">
        <v>69</v>
      </c>
      <c r="AI102" s="18" t="s">
        <v>81</v>
      </c>
      <c r="AJ102" s="18" t="s">
        <v>100</v>
      </c>
      <c r="AK102" s="18" t="s">
        <v>109</v>
      </c>
      <c r="AL102" s="18" t="s">
        <v>122</v>
      </c>
      <c r="AM102" s="18" t="s">
        <v>198</v>
      </c>
      <c r="AN102" s="18"/>
      <c r="AO102" s="18"/>
      <c r="AP102" s="18">
        <v>0</v>
      </c>
      <c r="AQ102" s="18">
        <v>0</v>
      </c>
      <c r="AR102" s="18">
        <v>0</v>
      </c>
      <c r="AS102" s="18">
        <v>1</v>
      </c>
      <c r="AT102" s="18">
        <v>0</v>
      </c>
      <c r="AU102" s="18">
        <v>1</v>
      </c>
      <c r="AV102" s="49">
        <f t="shared" si="9"/>
        <v>0</v>
      </c>
      <c r="AW102" s="49">
        <v>0</v>
      </c>
      <c r="AX102" s="50">
        <v>4</v>
      </c>
      <c r="AY102" s="49">
        <v>1</v>
      </c>
      <c r="AZ102" s="49">
        <v>15</v>
      </c>
      <c r="BA102" s="67">
        <v>1.5</v>
      </c>
      <c r="BB102" s="67">
        <v>0</v>
      </c>
      <c r="BC102" s="67">
        <v>6</v>
      </c>
      <c r="BD102" s="67">
        <f t="shared" si="10"/>
        <v>0</v>
      </c>
      <c r="BE102" s="67">
        <v>0</v>
      </c>
      <c r="BF102" s="67">
        <v>1</v>
      </c>
      <c r="BG102" s="67">
        <v>0</v>
      </c>
      <c r="BH102" s="67">
        <v>0</v>
      </c>
      <c r="BI102" s="67">
        <v>0</v>
      </c>
      <c r="BJ102" s="67">
        <v>10</v>
      </c>
      <c r="BK102" s="67">
        <v>17</v>
      </c>
      <c r="BL102" s="18">
        <v>20</v>
      </c>
      <c r="BM102" s="18"/>
      <c r="BN102" s="18"/>
    </row>
    <row r="103" spans="1:93" x14ac:dyDescent="0.25">
      <c r="A103" s="18" t="s">
        <v>6</v>
      </c>
      <c r="B103" s="18">
        <v>2024</v>
      </c>
      <c r="C103" s="18" t="s">
        <v>138</v>
      </c>
      <c r="D103" s="18" t="s">
        <v>134</v>
      </c>
      <c r="E103" s="18">
        <v>50</v>
      </c>
      <c r="F103" s="18">
        <v>50</v>
      </c>
      <c r="G103" s="18" t="s">
        <v>154</v>
      </c>
      <c r="H103" s="18"/>
      <c r="I103" s="18" t="s">
        <v>173</v>
      </c>
      <c r="J103" s="31">
        <v>18.5</v>
      </c>
      <c r="K103" s="31">
        <v>19</v>
      </c>
      <c r="L103" s="4">
        <v>0.5</v>
      </c>
      <c r="M103" s="5">
        <v>0.74</v>
      </c>
      <c r="N103" s="31">
        <v>0.37</v>
      </c>
      <c r="O103" s="18">
        <v>0.37</v>
      </c>
      <c r="P103" s="18">
        <v>18.5</v>
      </c>
      <c r="Q103" s="18">
        <v>20</v>
      </c>
      <c r="R103" s="18">
        <v>0.36</v>
      </c>
      <c r="S103" s="18">
        <v>0</v>
      </c>
      <c r="T103" s="65">
        <v>0</v>
      </c>
      <c r="U103" s="18">
        <v>7</v>
      </c>
      <c r="V103" s="18"/>
      <c r="W103" s="18">
        <v>7</v>
      </c>
      <c r="X103" s="18">
        <v>51.428571428571431</v>
      </c>
      <c r="Y103" s="18">
        <v>0</v>
      </c>
      <c r="Z103" s="18" t="s">
        <v>330</v>
      </c>
      <c r="AA103" s="18" t="s">
        <v>333</v>
      </c>
      <c r="AB103" s="18" t="s">
        <v>335</v>
      </c>
      <c r="AC103" s="18">
        <v>20</v>
      </c>
      <c r="AD103" s="18">
        <v>18.5</v>
      </c>
      <c r="AE103" s="18" t="s">
        <v>34</v>
      </c>
      <c r="AF103" s="18"/>
      <c r="AG103" s="18" t="s">
        <v>34</v>
      </c>
      <c r="AH103" s="18" t="s">
        <v>69</v>
      </c>
      <c r="AI103" s="18" t="s">
        <v>81</v>
      </c>
      <c r="AJ103" s="18" t="s">
        <v>100</v>
      </c>
      <c r="AK103" s="18" t="s">
        <v>109</v>
      </c>
      <c r="AL103" s="18" t="s">
        <v>122</v>
      </c>
      <c r="AM103" s="18" t="s">
        <v>198</v>
      </c>
      <c r="AN103" s="18"/>
      <c r="AO103" s="18"/>
      <c r="AP103" s="18">
        <v>0</v>
      </c>
      <c r="AQ103" s="18">
        <v>0</v>
      </c>
      <c r="AR103" s="18">
        <v>0</v>
      </c>
      <c r="AS103" s="18">
        <v>1</v>
      </c>
      <c r="AT103" s="18">
        <v>0</v>
      </c>
      <c r="AU103" s="18">
        <v>1</v>
      </c>
      <c r="AV103" s="49">
        <f t="shared" si="9"/>
        <v>0</v>
      </c>
      <c r="AW103" s="49">
        <v>0</v>
      </c>
      <c r="AX103" s="50">
        <v>4</v>
      </c>
      <c r="AY103" s="49">
        <v>1</v>
      </c>
      <c r="AZ103" s="49">
        <v>15</v>
      </c>
      <c r="BA103" s="67">
        <v>1.5</v>
      </c>
      <c r="BB103" s="67">
        <v>0</v>
      </c>
      <c r="BC103" s="67">
        <v>4</v>
      </c>
      <c r="BD103" s="67">
        <f t="shared" si="10"/>
        <v>0</v>
      </c>
      <c r="BE103" s="67">
        <v>0</v>
      </c>
      <c r="BF103" s="67">
        <v>1</v>
      </c>
      <c r="BG103" s="67">
        <v>0</v>
      </c>
      <c r="BH103" s="67">
        <v>0</v>
      </c>
      <c r="BI103" s="67">
        <v>0</v>
      </c>
      <c r="BJ103" s="67">
        <v>10</v>
      </c>
      <c r="BK103" s="67">
        <v>15</v>
      </c>
      <c r="BL103" s="18">
        <v>20</v>
      </c>
      <c r="BM103" s="18"/>
      <c r="BN103" s="18"/>
    </row>
    <row r="104" spans="1:93" x14ac:dyDescent="0.25">
      <c r="A104" s="18" t="s">
        <v>6</v>
      </c>
      <c r="B104" s="18">
        <v>2024</v>
      </c>
      <c r="C104" s="18" t="s">
        <v>138</v>
      </c>
      <c r="D104" s="18" t="s">
        <v>134</v>
      </c>
      <c r="E104" s="18">
        <v>50</v>
      </c>
      <c r="F104" s="18">
        <v>50</v>
      </c>
      <c r="G104" s="18" t="s">
        <v>154</v>
      </c>
      <c r="H104" s="18"/>
      <c r="I104" s="18" t="s">
        <v>174</v>
      </c>
      <c r="J104" s="31">
        <v>19</v>
      </c>
      <c r="K104" s="31">
        <v>19.5</v>
      </c>
      <c r="L104" s="4">
        <v>0.5</v>
      </c>
      <c r="M104" s="5">
        <v>0.68</v>
      </c>
      <c r="N104" s="31">
        <v>0.34</v>
      </c>
      <c r="O104" s="18">
        <v>0.34</v>
      </c>
      <c r="P104" s="18">
        <v>17</v>
      </c>
      <c r="Q104" s="18">
        <v>20</v>
      </c>
      <c r="R104" s="18">
        <v>0.3</v>
      </c>
      <c r="S104" s="18">
        <v>0</v>
      </c>
      <c r="T104" s="65">
        <v>0</v>
      </c>
      <c r="U104" s="18">
        <v>7</v>
      </c>
      <c r="V104" s="18"/>
      <c r="W104" s="18">
        <v>7</v>
      </c>
      <c r="X104" s="18">
        <v>42.857142857142854</v>
      </c>
      <c r="Y104" s="18">
        <v>0</v>
      </c>
      <c r="Z104" s="18" t="s">
        <v>330</v>
      </c>
      <c r="AA104" s="18" t="s">
        <v>333</v>
      </c>
      <c r="AB104" s="18" t="s">
        <v>335</v>
      </c>
      <c r="AC104" s="18">
        <v>20</v>
      </c>
      <c r="AD104" s="18">
        <v>17</v>
      </c>
      <c r="AE104" s="18" t="s">
        <v>34</v>
      </c>
      <c r="AF104" s="18"/>
      <c r="AG104" s="18" t="s">
        <v>34</v>
      </c>
      <c r="AH104" s="18" t="s">
        <v>69</v>
      </c>
      <c r="AI104" s="18" t="s">
        <v>81</v>
      </c>
      <c r="AJ104" s="18" t="s">
        <v>100</v>
      </c>
      <c r="AK104" s="18" t="s">
        <v>109</v>
      </c>
      <c r="AL104" s="18" t="s">
        <v>122</v>
      </c>
      <c r="AM104" s="18" t="s">
        <v>198</v>
      </c>
      <c r="AN104" s="18"/>
      <c r="AO104" s="18"/>
      <c r="AP104" s="18">
        <v>0</v>
      </c>
      <c r="AQ104" s="18">
        <v>0</v>
      </c>
      <c r="AR104" s="18">
        <v>0</v>
      </c>
      <c r="AS104" s="18">
        <v>1</v>
      </c>
      <c r="AT104" s="18">
        <v>0</v>
      </c>
      <c r="AU104" s="18">
        <v>1</v>
      </c>
      <c r="AV104" s="49">
        <f t="shared" si="9"/>
        <v>0</v>
      </c>
      <c r="AW104" s="49">
        <v>0</v>
      </c>
      <c r="AX104" s="50">
        <v>4</v>
      </c>
      <c r="AY104" s="49">
        <v>1</v>
      </c>
      <c r="AZ104" s="49">
        <v>15</v>
      </c>
      <c r="BA104" s="67">
        <v>1.5</v>
      </c>
      <c r="BB104" s="67">
        <v>0</v>
      </c>
      <c r="BC104" s="67">
        <v>5</v>
      </c>
      <c r="BD104" s="67">
        <f t="shared" si="10"/>
        <v>0</v>
      </c>
      <c r="BE104" s="67">
        <v>0</v>
      </c>
      <c r="BF104" s="67">
        <v>1</v>
      </c>
      <c r="BG104" s="67">
        <v>0</v>
      </c>
      <c r="BH104" s="67">
        <v>0</v>
      </c>
      <c r="BI104" s="67">
        <v>0</v>
      </c>
      <c r="BJ104" s="67">
        <v>10</v>
      </c>
      <c r="BK104" s="67">
        <v>16</v>
      </c>
      <c r="BL104" s="18">
        <v>20</v>
      </c>
      <c r="BM104" s="18"/>
      <c r="BN104" s="18"/>
    </row>
    <row r="105" spans="1:93" x14ac:dyDescent="0.25">
      <c r="A105" s="18" t="s">
        <v>6</v>
      </c>
      <c r="B105" s="18">
        <v>2024</v>
      </c>
      <c r="C105" s="18" t="s">
        <v>138</v>
      </c>
      <c r="D105" s="18" t="s">
        <v>134</v>
      </c>
      <c r="E105" s="18">
        <v>40</v>
      </c>
      <c r="F105" s="18">
        <v>50</v>
      </c>
      <c r="G105" s="18" t="s">
        <v>153</v>
      </c>
      <c r="H105" s="18"/>
      <c r="I105" s="18" t="s">
        <v>174</v>
      </c>
      <c r="J105" s="31">
        <v>19.5</v>
      </c>
      <c r="K105" s="31">
        <v>20</v>
      </c>
      <c r="L105" s="4">
        <v>0.5</v>
      </c>
      <c r="M105" s="5">
        <v>0.7</v>
      </c>
      <c r="N105" s="31">
        <v>0.35</v>
      </c>
      <c r="O105" s="18">
        <v>0.35</v>
      </c>
      <c r="P105" s="18">
        <v>17.5</v>
      </c>
      <c r="Q105" s="18">
        <v>20</v>
      </c>
      <c r="R105" s="18">
        <v>0.33</v>
      </c>
      <c r="S105" s="18">
        <v>0</v>
      </c>
      <c r="T105" s="65">
        <v>0</v>
      </c>
      <c r="U105" s="18">
        <v>4</v>
      </c>
      <c r="V105" s="18"/>
      <c r="W105" s="18">
        <v>4</v>
      </c>
      <c r="X105" s="18">
        <v>82.5</v>
      </c>
      <c r="Y105" s="18">
        <v>0</v>
      </c>
      <c r="Z105" s="18" t="s">
        <v>330</v>
      </c>
      <c r="AA105" s="18" t="s">
        <v>333</v>
      </c>
      <c r="AB105" s="18" t="s">
        <v>335</v>
      </c>
      <c r="AC105" s="18">
        <v>20</v>
      </c>
      <c r="AD105" s="18">
        <v>17.5</v>
      </c>
      <c r="AE105" s="18" t="s">
        <v>34</v>
      </c>
      <c r="AF105" s="18"/>
      <c r="AG105" s="18" t="s">
        <v>34</v>
      </c>
      <c r="AH105" s="18" t="s">
        <v>69</v>
      </c>
      <c r="AI105" s="18" t="s">
        <v>81</v>
      </c>
      <c r="AJ105" s="18" t="s">
        <v>100</v>
      </c>
      <c r="AK105" s="18" t="s">
        <v>107</v>
      </c>
      <c r="AL105" s="18" t="s">
        <v>120</v>
      </c>
      <c r="AM105" s="18" t="s">
        <v>247</v>
      </c>
      <c r="AN105" s="18"/>
      <c r="AO105" s="18"/>
      <c r="AP105" s="18">
        <v>0</v>
      </c>
      <c r="AQ105" s="18">
        <v>0</v>
      </c>
      <c r="AR105" s="18">
        <v>0</v>
      </c>
      <c r="AS105" s="18">
        <v>3</v>
      </c>
      <c r="AT105" s="18">
        <v>2</v>
      </c>
      <c r="AU105" s="18">
        <v>5</v>
      </c>
      <c r="AV105" s="49">
        <f t="shared" si="9"/>
        <v>0</v>
      </c>
      <c r="AW105" s="49">
        <v>0</v>
      </c>
      <c r="AX105" s="50">
        <v>4</v>
      </c>
      <c r="AY105" s="49">
        <v>5</v>
      </c>
      <c r="AZ105" s="49">
        <v>10</v>
      </c>
      <c r="BA105" s="67">
        <v>7.5</v>
      </c>
      <c r="BB105" s="67">
        <v>0</v>
      </c>
      <c r="BC105" s="67">
        <v>7</v>
      </c>
      <c r="BD105" s="67">
        <f t="shared" si="10"/>
        <v>0</v>
      </c>
      <c r="BE105" s="67">
        <v>0</v>
      </c>
      <c r="BF105" s="67">
        <v>3</v>
      </c>
      <c r="BG105" s="67">
        <v>2</v>
      </c>
      <c r="BH105" s="67">
        <v>0</v>
      </c>
      <c r="BI105" s="67">
        <v>0</v>
      </c>
      <c r="BJ105" s="67">
        <v>7</v>
      </c>
      <c r="BK105" s="67">
        <v>19</v>
      </c>
      <c r="BL105" s="18">
        <v>19</v>
      </c>
      <c r="BM105" s="18"/>
      <c r="BN105" s="18"/>
    </row>
    <row r="106" spans="1:93" x14ac:dyDescent="0.25">
      <c r="A106" s="18" t="s">
        <v>6</v>
      </c>
      <c r="B106" s="18">
        <v>2024</v>
      </c>
      <c r="C106" s="18" t="s">
        <v>138</v>
      </c>
      <c r="D106" s="18" t="s">
        <v>134</v>
      </c>
      <c r="E106" s="18">
        <v>40</v>
      </c>
      <c r="F106" s="18">
        <v>50</v>
      </c>
      <c r="G106" s="18" t="s">
        <v>153</v>
      </c>
      <c r="H106" s="18"/>
      <c r="I106" s="18" t="s">
        <v>175</v>
      </c>
      <c r="J106" s="31">
        <v>20</v>
      </c>
      <c r="K106" s="31">
        <v>20.5</v>
      </c>
      <c r="L106" s="4">
        <v>0.5</v>
      </c>
      <c r="M106" s="5">
        <v>1</v>
      </c>
      <c r="N106" s="31">
        <v>0.5</v>
      </c>
      <c r="O106" s="18">
        <v>0.5</v>
      </c>
      <c r="P106" s="18">
        <v>25</v>
      </c>
      <c r="Q106" s="18">
        <v>20</v>
      </c>
      <c r="R106" s="18">
        <v>0.46</v>
      </c>
      <c r="S106" s="18">
        <v>0.27</v>
      </c>
      <c r="T106" s="65">
        <v>54</v>
      </c>
      <c r="U106" s="18">
        <v>4</v>
      </c>
      <c r="V106" s="18"/>
      <c r="W106" s="18">
        <v>4</v>
      </c>
      <c r="X106" s="18">
        <v>115</v>
      </c>
      <c r="Y106" s="18">
        <v>0</v>
      </c>
      <c r="Z106" s="18" t="s">
        <v>330</v>
      </c>
      <c r="AA106" s="18" t="s">
        <v>333</v>
      </c>
      <c r="AB106" s="18" t="s">
        <v>335</v>
      </c>
      <c r="AC106" s="18">
        <v>20</v>
      </c>
      <c r="AD106" s="18">
        <v>25</v>
      </c>
      <c r="AE106" s="18" t="s">
        <v>34</v>
      </c>
      <c r="AF106" s="18"/>
      <c r="AG106" s="18" t="s">
        <v>34</v>
      </c>
      <c r="AH106" s="18" t="s">
        <v>69</v>
      </c>
      <c r="AI106" s="18" t="s">
        <v>81</v>
      </c>
      <c r="AJ106" s="18" t="s">
        <v>100</v>
      </c>
      <c r="AK106" s="18" t="s">
        <v>107</v>
      </c>
      <c r="AL106" s="18" t="s">
        <v>120</v>
      </c>
      <c r="AM106" s="18" t="s">
        <v>247</v>
      </c>
      <c r="AN106" s="18"/>
      <c r="AO106" s="18"/>
      <c r="AP106" s="18">
        <v>0</v>
      </c>
      <c r="AQ106" s="18">
        <v>0</v>
      </c>
      <c r="AR106" s="18">
        <v>0</v>
      </c>
      <c r="AS106" s="18">
        <v>3</v>
      </c>
      <c r="AT106" s="18">
        <v>2</v>
      </c>
      <c r="AU106" s="18">
        <v>5</v>
      </c>
      <c r="AV106" s="49">
        <f t="shared" si="9"/>
        <v>11</v>
      </c>
      <c r="AW106" s="49">
        <v>0</v>
      </c>
      <c r="AX106" s="50">
        <v>5</v>
      </c>
      <c r="AY106" s="49">
        <v>5</v>
      </c>
      <c r="AZ106" s="49">
        <v>10</v>
      </c>
      <c r="BA106" s="67">
        <v>34.5</v>
      </c>
      <c r="BB106" s="67">
        <v>0</v>
      </c>
      <c r="BC106" s="67">
        <v>9</v>
      </c>
      <c r="BD106" s="67">
        <f t="shared" si="10"/>
        <v>11</v>
      </c>
      <c r="BE106" s="67">
        <v>0</v>
      </c>
      <c r="BF106" s="67">
        <v>3</v>
      </c>
      <c r="BG106" s="67">
        <v>2</v>
      </c>
      <c r="BH106" s="67">
        <v>0</v>
      </c>
      <c r="BI106" s="67">
        <v>0</v>
      </c>
      <c r="BJ106" s="67">
        <v>7</v>
      </c>
      <c r="BK106" s="67">
        <v>32</v>
      </c>
      <c r="BL106" s="18">
        <v>31</v>
      </c>
      <c r="BM106" s="18"/>
      <c r="BN106" s="18"/>
    </row>
    <row r="107" spans="1:93" x14ac:dyDescent="0.25">
      <c r="A107" s="18" t="s">
        <v>6</v>
      </c>
      <c r="B107" s="18">
        <v>2024</v>
      </c>
      <c r="C107" s="18" t="s">
        <v>138</v>
      </c>
      <c r="D107" s="18" t="s">
        <v>134</v>
      </c>
      <c r="E107" s="18">
        <v>40</v>
      </c>
      <c r="F107" s="18">
        <v>50</v>
      </c>
      <c r="G107" s="18" t="s">
        <v>153</v>
      </c>
      <c r="H107" s="18"/>
      <c r="I107" s="18" t="s">
        <v>175</v>
      </c>
      <c r="J107" s="31">
        <v>20.5</v>
      </c>
      <c r="K107" s="31">
        <v>21</v>
      </c>
      <c r="L107" s="4">
        <v>0.5</v>
      </c>
      <c r="M107" s="5">
        <v>0.96</v>
      </c>
      <c r="N107" s="31">
        <v>0.48</v>
      </c>
      <c r="O107" s="18">
        <v>0.48</v>
      </c>
      <c r="P107" s="18">
        <v>24</v>
      </c>
      <c r="Q107" s="18">
        <v>20</v>
      </c>
      <c r="R107" s="18">
        <v>0.36</v>
      </c>
      <c r="S107" s="18">
        <v>0.26</v>
      </c>
      <c r="T107" s="65">
        <v>52</v>
      </c>
      <c r="U107" s="18">
        <v>4</v>
      </c>
      <c r="V107" s="18"/>
      <c r="W107" s="18">
        <v>4</v>
      </c>
      <c r="X107" s="18">
        <v>90</v>
      </c>
      <c r="Y107" s="18">
        <v>0</v>
      </c>
      <c r="Z107" s="18" t="s">
        <v>330</v>
      </c>
      <c r="AA107" s="18" t="s">
        <v>333</v>
      </c>
      <c r="AB107" s="18" t="s">
        <v>335</v>
      </c>
      <c r="AC107" s="18">
        <v>20</v>
      </c>
      <c r="AD107" s="18">
        <v>24</v>
      </c>
      <c r="AE107" s="18" t="s">
        <v>34</v>
      </c>
      <c r="AF107" s="18"/>
      <c r="AG107" s="18" t="s">
        <v>34</v>
      </c>
      <c r="AH107" s="18" t="s">
        <v>69</v>
      </c>
      <c r="AI107" s="18" t="s">
        <v>81</v>
      </c>
      <c r="AJ107" s="18" t="s">
        <v>100</v>
      </c>
      <c r="AK107" s="18" t="s">
        <v>107</v>
      </c>
      <c r="AL107" s="18" t="s">
        <v>120</v>
      </c>
      <c r="AM107" s="18" t="s">
        <v>247</v>
      </c>
      <c r="AN107" s="18"/>
      <c r="AO107" s="18"/>
      <c r="AP107" s="18">
        <v>0</v>
      </c>
      <c r="AQ107" s="18">
        <v>0</v>
      </c>
      <c r="AR107" s="18">
        <v>0</v>
      </c>
      <c r="AS107" s="18">
        <v>3</v>
      </c>
      <c r="AT107" s="18">
        <v>2</v>
      </c>
      <c r="AU107" s="18">
        <v>5</v>
      </c>
      <c r="AV107" s="49">
        <f t="shared" si="9"/>
        <v>11</v>
      </c>
      <c r="AW107" s="49">
        <v>0</v>
      </c>
      <c r="AX107" s="50">
        <v>4</v>
      </c>
      <c r="AY107" s="49">
        <v>5</v>
      </c>
      <c r="AZ107" s="49">
        <v>10</v>
      </c>
      <c r="BA107" s="67">
        <v>33.5</v>
      </c>
      <c r="BB107" s="67">
        <v>0</v>
      </c>
      <c r="BC107" s="67">
        <v>8</v>
      </c>
      <c r="BD107" s="67">
        <f t="shared" si="10"/>
        <v>11</v>
      </c>
      <c r="BE107" s="67">
        <v>0</v>
      </c>
      <c r="BF107" s="67">
        <v>3</v>
      </c>
      <c r="BG107" s="67">
        <v>2</v>
      </c>
      <c r="BH107" s="67">
        <v>0</v>
      </c>
      <c r="BI107" s="67">
        <v>0</v>
      </c>
      <c r="BJ107" s="67">
        <v>7</v>
      </c>
      <c r="BK107" s="67">
        <v>31</v>
      </c>
      <c r="BL107" s="18">
        <v>30</v>
      </c>
      <c r="BM107" s="18"/>
      <c r="BN107" s="18"/>
    </row>
    <row r="108" spans="1:93" x14ac:dyDescent="0.25">
      <c r="A108" s="18" t="s">
        <v>6</v>
      </c>
      <c r="B108" s="18">
        <v>2024</v>
      </c>
      <c r="C108" s="18" t="s">
        <v>138</v>
      </c>
      <c r="D108" s="18" t="s">
        <v>134</v>
      </c>
      <c r="E108" s="18">
        <v>40</v>
      </c>
      <c r="F108" s="18">
        <v>50</v>
      </c>
      <c r="G108" s="18" t="s">
        <v>153</v>
      </c>
      <c r="H108" s="18"/>
      <c r="I108" s="18" t="s">
        <v>175</v>
      </c>
      <c r="J108" s="31">
        <v>21</v>
      </c>
      <c r="K108" s="31">
        <v>21.5</v>
      </c>
      <c r="L108" s="4">
        <v>0.5</v>
      </c>
      <c r="M108" s="5">
        <v>0.88</v>
      </c>
      <c r="N108" s="31">
        <v>0.44</v>
      </c>
      <c r="O108" s="18">
        <v>0.44</v>
      </c>
      <c r="P108" s="18">
        <v>22</v>
      </c>
      <c r="Q108" s="18">
        <v>20</v>
      </c>
      <c r="R108" s="18">
        <v>0.39</v>
      </c>
      <c r="S108" s="18">
        <v>0.17</v>
      </c>
      <c r="T108" s="65">
        <v>34</v>
      </c>
      <c r="U108" s="18">
        <v>4</v>
      </c>
      <c r="V108" s="18"/>
      <c r="W108" s="18">
        <v>4</v>
      </c>
      <c r="X108" s="18">
        <v>97.5</v>
      </c>
      <c r="Y108" s="18">
        <v>0</v>
      </c>
      <c r="Z108" s="18" t="s">
        <v>330</v>
      </c>
      <c r="AA108" s="18" t="s">
        <v>333</v>
      </c>
      <c r="AB108" s="18" t="s">
        <v>335</v>
      </c>
      <c r="AC108" s="18">
        <v>20</v>
      </c>
      <c r="AD108" s="18">
        <v>22</v>
      </c>
      <c r="AE108" s="18" t="s">
        <v>34</v>
      </c>
      <c r="AF108" s="18"/>
      <c r="AG108" s="18" t="s">
        <v>34</v>
      </c>
      <c r="AH108" s="18" t="s">
        <v>69</v>
      </c>
      <c r="AI108" s="18" t="s">
        <v>81</v>
      </c>
      <c r="AJ108" s="18" t="s">
        <v>100</v>
      </c>
      <c r="AK108" s="18" t="s">
        <v>107</v>
      </c>
      <c r="AL108" s="18" t="s">
        <v>120</v>
      </c>
      <c r="AM108" s="18" t="s">
        <v>247</v>
      </c>
      <c r="AN108" s="18"/>
      <c r="AO108" s="18"/>
      <c r="AP108" s="18">
        <v>0</v>
      </c>
      <c r="AQ108" s="18">
        <v>0</v>
      </c>
      <c r="AR108" s="18">
        <v>0</v>
      </c>
      <c r="AS108" s="18">
        <v>3</v>
      </c>
      <c r="AT108" s="18">
        <v>2</v>
      </c>
      <c r="AU108" s="18">
        <v>5</v>
      </c>
      <c r="AV108" s="49">
        <f t="shared" si="9"/>
        <v>7</v>
      </c>
      <c r="AW108" s="49">
        <v>0</v>
      </c>
      <c r="AX108" s="50">
        <v>4</v>
      </c>
      <c r="AY108" s="49">
        <v>5</v>
      </c>
      <c r="AZ108" s="49">
        <v>10</v>
      </c>
      <c r="BA108" s="67">
        <v>24.5</v>
      </c>
      <c r="BB108" s="67">
        <v>0</v>
      </c>
      <c r="BC108" s="67">
        <v>8</v>
      </c>
      <c r="BD108" s="67">
        <f t="shared" si="10"/>
        <v>7</v>
      </c>
      <c r="BE108" s="67">
        <v>0</v>
      </c>
      <c r="BF108" s="67">
        <v>3</v>
      </c>
      <c r="BG108" s="67">
        <v>2</v>
      </c>
      <c r="BH108" s="67">
        <v>0</v>
      </c>
      <c r="BI108" s="67">
        <v>0</v>
      </c>
      <c r="BJ108" s="67">
        <v>7</v>
      </c>
      <c r="BK108" s="67">
        <v>27</v>
      </c>
      <c r="BL108" s="18">
        <v>26</v>
      </c>
      <c r="BM108" s="18"/>
      <c r="BN108" s="18"/>
    </row>
    <row r="109" spans="1:93" x14ac:dyDescent="0.25">
      <c r="A109" s="18" t="s">
        <v>6</v>
      </c>
      <c r="B109" s="18">
        <v>2024</v>
      </c>
      <c r="C109" s="18" t="s">
        <v>138</v>
      </c>
      <c r="D109" s="18" t="s">
        <v>134</v>
      </c>
      <c r="E109" s="18">
        <v>40</v>
      </c>
      <c r="F109" s="18">
        <v>50</v>
      </c>
      <c r="G109" s="18" t="s">
        <v>153</v>
      </c>
      <c r="H109" s="18"/>
      <c r="I109" s="18" t="s">
        <v>175</v>
      </c>
      <c r="J109" s="31">
        <v>21.5</v>
      </c>
      <c r="K109" s="31">
        <v>22</v>
      </c>
      <c r="L109" s="4">
        <v>0.5</v>
      </c>
      <c r="M109" s="5">
        <v>1</v>
      </c>
      <c r="N109" s="31">
        <v>0.5</v>
      </c>
      <c r="O109" s="18">
        <v>0.5</v>
      </c>
      <c r="P109" s="18">
        <v>25</v>
      </c>
      <c r="Q109" s="18">
        <v>20</v>
      </c>
      <c r="R109" s="18">
        <v>0.48</v>
      </c>
      <c r="S109" s="18">
        <v>0.14000000000000001</v>
      </c>
      <c r="T109" s="65">
        <v>28.000000000000004</v>
      </c>
      <c r="U109" s="18">
        <v>8</v>
      </c>
      <c r="V109" s="18"/>
      <c r="W109" s="18">
        <v>8</v>
      </c>
      <c r="X109" s="18">
        <v>60</v>
      </c>
      <c r="Y109" s="18">
        <v>0</v>
      </c>
      <c r="Z109" s="18" t="s">
        <v>330</v>
      </c>
      <c r="AA109" s="18" t="s">
        <v>333</v>
      </c>
      <c r="AB109" s="18" t="s">
        <v>335</v>
      </c>
      <c r="AC109" s="18">
        <v>20</v>
      </c>
      <c r="AD109" s="18">
        <v>25</v>
      </c>
      <c r="AE109" s="18" t="s">
        <v>34</v>
      </c>
      <c r="AF109" s="18"/>
      <c r="AG109" s="18" t="s">
        <v>34</v>
      </c>
      <c r="AH109" s="18" t="s">
        <v>69</v>
      </c>
      <c r="AI109" s="18" t="s">
        <v>81</v>
      </c>
      <c r="AJ109" s="18" t="s">
        <v>100</v>
      </c>
      <c r="AK109" s="18" t="s">
        <v>107</v>
      </c>
      <c r="AL109" s="18" t="s">
        <v>120</v>
      </c>
      <c r="AM109" s="18" t="s">
        <v>247</v>
      </c>
      <c r="AN109" s="18"/>
      <c r="AO109" s="18"/>
      <c r="AP109" s="18">
        <v>0</v>
      </c>
      <c r="AQ109" s="18">
        <v>0</v>
      </c>
      <c r="AR109" s="18">
        <v>0</v>
      </c>
      <c r="AS109" s="18">
        <v>3</v>
      </c>
      <c r="AT109" s="18">
        <v>2</v>
      </c>
      <c r="AU109" s="18">
        <v>5</v>
      </c>
      <c r="AV109" s="49">
        <f t="shared" si="9"/>
        <v>6</v>
      </c>
      <c r="AW109" s="49">
        <v>0</v>
      </c>
      <c r="AX109" s="50">
        <v>5</v>
      </c>
      <c r="AY109" s="49">
        <v>5</v>
      </c>
      <c r="AZ109" s="49">
        <v>10</v>
      </c>
      <c r="BA109" s="67">
        <v>21.5</v>
      </c>
      <c r="BB109" s="67">
        <v>0</v>
      </c>
      <c r="BC109" s="67">
        <v>5</v>
      </c>
      <c r="BD109" s="67">
        <f t="shared" si="10"/>
        <v>6</v>
      </c>
      <c r="BE109" s="67">
        <v>0</v>
      </c>
      <c r="BF109" s="67">
        <v>3</v>
      </c>
      <c r="BG109" s="67">
        <v>2</v>
      </c>
      <c r="BH109" s="67">
        <v>0</v>
      </c>
      <c r="BI109" s="67">
        <v>0</v>
      </c>
      <c r="BJ109" s="67">
        <v>7</v>
      </c>
      <c r="BK109" s="67">
        <v>23</v>
      </c>
      <c r="BL109" s="18">
        <v>26</v>
      </c>
      <c r="BM109" s="18"/>
      <c r="BN109" s="18"/>
    </row>
    <row r="110" spans="1:93" x14ac:dyDescent="0.25">
      <c r="A110" s="18" t="s">
        <v>6</v>
      </c>
      <c r="B110" s="18">
        <v>2024</v>
      </c>
      <c r="C110" s="18" t="s">
        <v>138</v>
      </c>
      <c r="D110" s="18" t="s">
        <v>134</v>
      </c>
      <c r="E110" s="18">
        <v>40</v>
      </c>
      <c r="F110" s="18">
        <v>50</v>
      </c>
      <c r="G110" s="18" t="s">
        <v>153</v>
      </c>
      <c r="H110" s="18"/>
      <c r="I110" s="18" t="s">
        <v>175</v>
      </c>
      <c r="J110" s="31">
        <v>22</v>
      </c>
      <c r="K110" s="31">
        <v>22.5</v>
      </c>
      <c r="L110" s="4">
        <v>0.5</v>
      </c>
      <c r="M110" s="5">
        <v>0.94</v>
      </c>
      <c r="N110" s="31">
        <v>0.47</v>
      </c>
      <c r="O110" s="18">
        <v>0.47</v>
      </c>
      <c r="P110" s="18">
        <v>23.5</v>
      </c>
      <c r="Q110" s="18">
        <v>20</v>
      </c>
      <c r="R110" s="18">
        <v>0.39</v>
      </c>
      <c r="S110" s="18">
        <v>0</v>
      </c>
      <c r="T110" s="65">
        <v>0</v>
      </c>
      <c r="U110" s="18">
        <v>8</v>
      </c>
      <c r="V110" s="18"/>
      <c r="W110" s="18">
        <v>8</v>
      </c>
      <c r="X110" s="18">
        <v>48.75</v>
      </c>
      <c r="Y110" s="18">
        <v>0</v>
      </c>
      <c r="Z110" s="18" t="s">
        <v>330</v>
      </c>
      <c r="AA110" s="18" t="s">
        <v>333</v>
      </c>
      <c r="AB110" s="18" t="s">
        <v>335</v>
      </c>
      <c r="AC110" s="18">
        <v>20</v>
      </c>
      <c r="AD110" s="18">
        <v>23.5</v>
      </c>
      <c r="AE110" s="18" t="s">
        <v>34</v>
      </c>
      <c r="AF110" s="18"/>
      <c r="AG110" s="131" t="s">
        <v>34</v>
      </c>
      <c r="AH110" s="131" t="s">
        <v>69</v>
      </c>
      <c r="AI110" s="131" t="s">
        <v>81</v>
      </c>
      <c r="AJ110" s="131" t="s">
        <v>100</v>
      </c>
      <c r="AK110" s="131" t="s">
        <v>107</v>
      </c>
      <c r="AL110" s="131" t="s">
        <v>120</v>
      </c>
      <c r="AM110" s="18" t="s">
        <v>247</v>
      </c>
      <c r="AN110" s="18"/>
      <c r="AO110" s="18"/>
      <c r="AP110" s="18">
        <v>0</v>
      </c>
      <c r="AQ110" s="18">
        <v>0</v>
      </c>
      <c r="AR110" s="18">
        <v>0</v>
      </c>
      <c r="AS110" s="18">
        <v>3</v>
      </c>
      <c r="AT110" s="18">
        <v>2</v>
      </c>
      <c r="AU110" s="18">
        <v>5</v>
      </c>
      <c r="AV110" s="49">
        <f t="shared" si="9"/>
        <v>0</v>
      </c>
      <c r="AW110" s="49">
        <v>0</v>
      </c>
      <c r="AX110" s="50">
        <v>4</v>
      </c>
      <c r="AY110" s="49">
        <v>5</v>
      </c>
      <c r="AZ110" s="49">
        <v>10</v>
      </c>
      <c r="BA110" s="67">
        <v>7.5</v>
      </c>
      <c r="BB110" s="67">
        <v>0</v>
      </c>
      <c r="BC110" s="67">
        <v>5</v>
      </c>
      <c r="BD110" s="67">
        <f t="shared" si="10"/>
        <v>0</v>
      </c>
      <c r="BE110" s="67">
        <v>0</v>
      </c>
      <c r="BF110" s="67">
        <v>3</v>
      </c>
      <c r="BG110" s="67">
        <v>2</v>
      </c>
      <c r="BH110" s="67">
        <v>0</v>
      </c>
      <c r="BI110" s="67">
        <v>0</v>
      </c>
      <c r="BJ110" s="67">
        <v>7</v>
      </c>
      <c r="BK110" s="67">
        <v>17</v>
      </c>
      <c r="BL110" s="18">
        <v>19</v>
      </c>
      <c r="BM110" s="18"/>
      <c r="BN110" s="18"/>
    </row>
    <row r="111" spans="1:93" x14ac:dyDescent="0.25">
      <c r="A111" s="18" t="s">
        <v>6</v>
      </c>
      <c r="B111" s="18">
        <v>2024</v>
      </c>
      <c r="C111" s="18" t="s">
        <v>138</v>
      </c>
      <c r="D111" s="18" t="s">
        <v>134</v>
      </c>
      <c r="E111" s="18">
        <v>40</v>
      </c>
      <c r="F111" s="18">
        <v>50</v>
      </c>
      <c r="G111" s="18" t="s">
        <v>153</v>
      </c>
      <c r="H111" s="18"/>
      <c r="I111" s="18" t="s">
        <v>175</v>
      </c>
      <c r="J111" s="31">
        <v>22.5</v>
      </c>
      <c r="K111" s="31">
        <v>23</v>
      </c>
      <c r="L111" s="4">
        <v>0.5</v>
      </c>
      <c r="M111" s="5">
        <v>0.9</v>
      </c>
      <c r="N111" s="31">
        <v>0.45</v>
      </c>
      <c r="O111" s="18">
        <v>0.45</v>
      </c>
      <c r="P111" s="18">
        <v>45</v>
      </c>
      <c r="Q111" s="18">
        <v>20</v>
      </c>
      <c r="R111" s="18">
        <v>0.38</v>
      </c>
      <c r="S111" s="18">
        <v>0.25</v>
      </c>
      <c r="T111" s="65">
        <v>50</v>
      </c>
      <c r="U111" s="18">
        <v>4</v>
      </c>
      <c r="V111" s="18"/>
      <c r="W111" s="18">
        <v>4</v>
      </c>
      <c r="X111" s="18">
        <v>95</v>
      </c>
      <c r="Y111" s="18">
        <v>0</v>
      </c>
      <c r="Z111" s="18" t="s">
        <v>330</v>
      </c>
      <c r="AA111" s="18" t="s">
        <v>333</v>
      </c>
      <c r="AB111" s="18" t="s">
        <v>335</v>
      </c>
      <c r="AC111" s="18">
        <v>20</v>
      </c>
      <c r="AD111" s="18">
        <v>45</v>
      </c>
      <c r="AE111" s="18" t="s">
        <v>34</v>
      </c>
      <c r="AF111" s="18"/>
      <c r="AG111" s="18" t="s">
        <v>34</v>
      </c>
      <c r="AH111" s="18" t="s">
        <v>69</v>
      </c>
      <c r="AI111" s="18" t="s">
        <v>81</v>
      </c>
      <c r="AJ111" s="18" t="s">
        <v>100</v>
      </c>
      <c r="AK111" s="18" t="s">
        <v>107</v>
      </c>
      <c r="AL111" s="18" t="s">
        <v>120</v>
      </c>
      <c r="AM111" s="18" t="s">
        <v>247</v>
      </c>
      <c r="AN111" s="18"/>
      <c r="AO111" s="18"/>
      <c r="AP111" s="18">
        <v>0</v>
      </c>
      <c r="AQ111" s="18">
        <v>0</v>
      </c>
      <c r="AR111" s="18">
        <v>0</v>
      </c>
      <c r="AS111" s="18">
        <v>3</v>
      </c>
      <c r="AT111" s="18">
        <v>2</v>
      </c>
      <c r="AU111" s="18">
        <v>5</v>
      </c>
      <c r="AV111" s="49">
        <f t="shared" si="9"/>
        <v>10</v>
      </c>
      <c r="AW111" s="49">
        <v>0</v>
      </c>
      <c r="AX111" s="50">
        <v>6</v>
      </c>
      <c r="AY111" s="49">
        <v>5</v>
      </c>
      <c r="AZ111" s="49">
        <v>10</v>
      </c>
      <c r="BA111" s="67">
        <v>32.5</v>
      </c>
      <c r="BB111" s="67">
        <v>0</v>
      </c>
      <c r="BC111" s="67">
        <v>8</v>
      </c>
      <c r="BD111" s="67">
        <f t="shared" si="10"/>
        <v>10</v>
      </c>
      <c r="BE111" s="67">
        <v>0</v>
      </c>
      <c r="BF111" s="67">
        <v>3</v>
      </c>
      <c r="BG111" s="67">
        <v>2</v>
      </c>
      <c r="BH111" s="67">
        <v>0</v>
      </c>
      <c r="BI111" s="67">
        <v>0</v>
      </c>
      <c r="BJ111" s="67">
        <v>7</v>
      </c>
      <c r="BK111" s="67">
        <v>30</v>
      </c>
      <c r="BL111" s="18">
        <v>31</v>
      </c>
      <c r="BM111" s="18"/>
      <c r="BN111" s="18"/>
    </row>
    <row r="112" spans="1:93" x14ac:dyDescent="0.25">
      <c r="A112" s="18" t="s">
        <v>6</v>
      </c>
      <c r="B112" s="18">
        <v>2024</v>
      </c>
      <c r="C112" s="18" t="s">
        <v>138</v>
      </c>
      <c r="D112" s="18" t="s">
        <v>266</v>
      </c>
      <c r="E112" s="18">
        <v>50</v>
      </c>
      <c r="F112" s="18">
        <v>50</v>
      </c>
      <c r="G112" s="18" t="s">
        <v>154</v>
      </c>
      <c r="H112" s="18"/>
      <c r="I112" s="18" t="s">
        <v>297</v>
      </c>
      <c r="J112" s="31">
        <v>12</v>
      </c>
      <c r="K112" s="31">
        <v>12.5</v>
      </c>
      <c r="L112" s="4">
        <v>0.5</v>
      </c>
      <c r="M112" s="32">
        <v>0.76</v>
      </c>
      <c r="N112" s="31">
        <v>0.38</v>
      </c>
      <c r="O112" s="18">
        <v>0.38</v>
      </c>
      <c r="P112" s="18">
        <v>19</v>
      </c>
      <c r="Q112" s="18">
        <v>20</v>
      </c>
      <c r="R112" s="18">
        <v>0.35</v>
      </c>
      <c r="S112" s="18">
        <v>0</v>
      </c>
      <c r="T112" s="65">
        <v>0</v>
      </c>
      <c r="U112" s="18">
        <v>3</v>
      </c>
      <c r="V112" s="18"/>
      <c r="W112" s="18">
        <v>3</v>
      </c>
      <c r="X112" s="18">
        <v>116.66666666666667</v>
      </c>
      <c r="Y112" s="18">
        <v>0</v>
      </c>
      <c r="Z112" s="18" t="s">
        <v>330</v>
      </c>
      <c r="AA112" s="18" t="s">
        <v>333</v>
      </c>
      <c r="AB112" s="18" t="s">
        <v>335</v>
      </c>
      <c r="AC112" s="18">
        <v>20</v>
      </c>
      <c r="AD112" s="18">
        <v>19</v>
      </c>
      <c r="AE112" s="18" t="s">
        <v>34</v>
      </c>
      <c r="AF112" s="18" t="s">
        <v>34</v>
      </c>
      <c r="AG112" s="18" t="s">
        <v>34</v>
      </c>
      <c r="AH112" s="18" t="s">
        <v>69</v>
      </c>
      <c r="AI112" s="18" t="s">
        <v>81</v>
      </c>
      <c r="AJ112" s="18" t="s">
        <v>100</v>
      </c>
      <c r="AK112" s="18" t="s">
        <v>109</v>
      </c>
      <c r="AL112" s="18" t="s">
        <v>120</v>
      </c>
      <c r="AM112" s="18" t="s">
        <v>267</v>
      </c>
      <c r="AN112" s="18"/>
      <c r="AO112" s="18"/>
      <c r="AP112" s="18">
        <v>0</v>
      </c>
      <c r="AQ112" s="36">
        <v>0</v>
      </c>
      <c r="AR112" s="36">
        <v>0</v>
      </c>
      <c r="AS112" s="36">
        <v>1</v>
      </c>
      <c r="AT112" s="36">
        <v>2</v>
      </c>
      <c r="AU112" s="36">
        <v>3</v>
      </c>
      <c r="AV112" s="49">
        <f t="shared" si="9"/>
        <v>0</v>
      </c>
      <c r="AW112" s="49">
        <v>0</v>
      </c>
      <c r="AX112" s="50">
        <v>4</v>
      </c>
      <c r="AY112" s="49">
        <v>3</v>
      </c>
      <c r="AZ112" s="49">
        <v>15</v>
      </c>
      <c r="BA112" s="67">
        <v>4.5</v>
      </c>
      <c r="BB112" s="67">
        <v>0</v>
      </c>
      <c r="BC112" s="67">
        <v>9</v>
      </c>
      <c r="BD112" s="67">
        <f t="shared" si="10"/>
        <v>0</v>
      </c>
      <c r="BE112" s="67">
        <v>0</v>
      </c>
      <c r="BF112" s="67">
        <v>1</v>
      </c>
      <c r="BG112" s="67">
        <v>2</v>
      </c>
      <c r="BH112" s="67">
        <v>0</v>
      </c>
      <c r="BI112" s="67">
        <v>0</v>
      </c>
      <c r="BJ112" s="67">
        <v>10</v>
      </c>
      <c r="BK112" s="67">
        <v>22</v>
      </c>
      <c r="BL112" s="18">
        <v>22</v>
      </c>
      <c r="BM112" s="18"/>
      <c r="BN112" s="18"/>
    </row>
    <row r="113" spans="1:66" x14ac:dyDescent="0.25">
      <c r="A113" s="18" t="s">
        <v>6</v>
      </c>
      <c r="B113" s="18">
        <v>2024</v>
      </c>
      <c r="C113" s="18" t="s">
        <v>138</v>
      </c>
      <c r="D113" s="18" t="s">
        <v>266</v>
      </c>
      <c r="E113" s="18">
        <v>50</v>
      </c>
      <c r="F113" s="18">
        <v>50</v>
      </c>
      <c r="G113" s="18" t="s">
        <v>154</v>
      </c>
      <c r="H113" s="18"/>
      <c r="I113" s="18" t="s">
        <v>297</v>
      </c>
      <c r="J113" s="31">
        <v>12.5</v>
      </c>
      <c r="K113" s="31">
        <v>13</v>
      </c>
      <c r="L113" s="4">
        <v>0.5</v>
      </c>
      <c r="M113" s="32">
        <v>0.8</v>
      </c>
      <c r="N113" s="31">
        <v>0.4</v>
      </c>
      <c r="O113" s="18">
        <v>0.4</v>
      </c>
      <c r="P113" s="18">
        <v>20</v>
      </c>
      <c r="Q113" s="18">
        <v>20</v>
      </c>
      <c r="R113" s="18">
        <v>0.36</v>
      </c>
      <c r="S113" s="18">
        <v>0</v>
      </c>
      <c r="T113" s="65">
        <v>0</v>
      </c>
      <c r="U113" s="18">
        <v>5</v>
      </c>
      <c r="V113" s="18"/>
      <c r="W113" s="18">
        <v>5</v>
      </c>
      <c r="X113" s="18">
        <v>72</v>
      </c>
      <c r="Y113" s="18">
        <v>0</v>
      </c>
      <c r="Z113" s="18" t="s">
        <v>330</v>
      </c>
      <c r="AA113" s="18" t="s">
        <v>333</v>
      </c>
      <c r="AB113" s="18" t="s">
        <v>335</v>
      </c>
      <c r="AC113" s="18">
        <v>20</v>
      </c>
      <c r="AD113" s="18">
        <v>20</v>
      </c>
      <c r="AE113" s="18" t="s">
        <v>34</v>
      </c>
      <c r="AF113" s="18" t="s">
        <v>24</v>
      </c>
      <c r="AG113" s="18" t="s">
        <v>24</v>
      </c>
      <c r="AH113" s="18" t="s">
        <v>64</v>
      </c>
      <c r="AI113" s="18" t="s">
        <v>77</v>
      </c>
      <c r="AJ113" s="18" t="s">
        <v>96</v>
      </c>
      <c r="AK113" s="18" t="s">
        <v>107</v>
      </c>
      <c r="AL113" s="18" t="s">
        <v>118</v>
      </c>
      <c r="AM113" s="18" t="s">
        <v>267</v>
      </c>
      <c r="AN113" s="18"/>
      <c r="AO113" s="18"/>
      <c r="AP113" s="18">
        <v>2</v>
      </c>
      <c r="AQ113" s="36">
        <v>3</v>
      </c>
      <c r="AR113" s="36">
        <v>1</v>
      </c>
      <c r="AS113" s="36">
        <v>3</v>
      </c>
      <c r="AT113" s="36">
        <v>2</v>
      </c>
      <c r="AU113" s="36">
        <v>11</v>
      </c>
      <c r="AV113" s="49">
        <f t="shared" si="9"/>
        <v>0</v>
      </c>
      <c r="AW113" s="49">
        <v>0</v>
      </c>
      <c r="AX113" s="50">
        <v>4</v>
      </c>
      <c r="AY113" s="49">
        <v>11</v>
      </c>
      <c r="AZ113" s="49">
        <v>15</v>
      </c>
      <c r="BA113" s="67">
        <v>16.5</v>
      </c>
      <c r="BB113" s="67">
        <v>0</v>
      </c>
      <c r="BC113" s="67">
        <v>6</v>
      </c>
      <c r="BD113" s="67">
        <f t="shared" si="10"/>
        <v>0</v>
      </c>
      <c r="BE113" s="67">
        <v>1</v>
      </c>
      <c r="BF113" s="67">
        <v>3</v>
      </c>
      <c r="BG113" s="67">
        <v>2</v>
      </c>
      <c r="BH113" s="67">
        <v>3</v>
      </c>
      <c r="BI113" s="67">
        <v>3</v>
      </c>
      <c r="BJ113" s="67">
        <v>10</v>
      </c>
      <c r="BK113" s="67">
        <v>28</v>
      </c>
      <c r="BL113" s="18">
        <v>30</v>
      </c>
      <c r="BM113" s="18"/>
      <c r="BN113" s="18"/>
    </row>
    <row r="114" spans="1:66" x14ac:dyDescent="0.25">
      <c r="A114" s="18" t="s">
        <v>6</v>
      </c>
      <c r="B114" s="18">
        <v>2024</v>
      </c>
      <c r="C114" s="18" t="s">
        <v>138</v>
      </c>
      <c r="D114" s="18" t="s">
        <v>266</v>
      </c>
      <c r="E114" s="18">
        <v>50</v>
      </c>
      <c r="F114" s="18">
        <v>50</v>
      </c>
      <c r="G114" s="18" t="s">
        <v>154</v>
      </c>
      <c r="H114" s="18"/>
      <c r="I114" s="18" t="s">
        <v>297</v>
      </c>
      <c r="J114" s="31">
        <v>13</v>
      </c>
      <c r="K114" s="31">
        <v>13.5</v>
      </c>
      <c r="L114" s="4">
        <v>0.5</v>
      </c>
      <c r="M114" s="32">
        <v>1</v>
      </c>
      <c r="N114" s="31">
        <v>0.5</v>
      </c>
      <c r="O114" s="18">
        <v>0.5</v>
      </c>
      <c r="P114" s="18">
        <v>25</v>
      </c>
      <c r="Q114" s="18">
        <v>20</v>
      </c>
      <c r="R114" s="18">
        <v>0.46</v>
      </c>
      <c r="S114" s="18">
        <v>0.44</v>
      </c>
      <c r="T114" s="65">
        <v>88</v>
      </c>
      <c r="U114" s="18">
        <v>3</v>
      </c>
      <c r="V114" s="18"/>
      <c r="W114" s="18">
        <v>3</v>
      </c>
      <c r="X114" s="18">
        <v>153.33333333333334</v>
      </c>
      <c r="Y114" s="18">
        <v>0</v>
      </c>
      <c r="Z114" s="18" t="s">
        <v>330</v>
      </c>
      <c r="AA114" s="18" t="s">
        <v>333</v>
      </c>
      <c r="AB114" s="18" t="s">
        <v>335</v>
      </c>
      <c r="AC114" s="18">
        <v>20</v>
      </c>
      <c r="AD114" s="18">
        <v>25</v>
      </c>
      <c r="AE114" s="18" t="s">
        <v>34</v>
      </c>
      <c r="AF114" s="18" t="s">
        <v>24</v>
      </c>
      <c r="AG114" s="18" t="s">
        <v>24</v>
      </c>
      <c r="AH114" s="18" t="s">
        <v>64</v>
      </c>
      <c r="AI114" s="18" t="s">
        <v>79</v>
      </c>
      <c r="AJ114" s="18" t="s">
        <v>96</v>
      </c>
      <c r="AK114" s="18" t="s">
        <v>107</v>
      </c>
      <c r="AL114" s="18" t="s">
        <v>118</v>
      </c>
      <c r="AM114" s="18" t="s">
        <v>267</v>
      </c>
      <c r="AN114" s="18" t="s">
        <v>270</v>
      </c>
      <c r="AO114" s="18"/>
      <c r="AP114" s="18">
        <v>2</v>
      </c>
      <c r="AQ114" s="36">
        <v>1</v>
      </c>
      <c r="AR114" s="36">
        <v>1</v>
      </c>
      <c r="AS114" s="36">
        <v>3</v>
      </c>
      <c r="AT114" s="36">
        <v>2</v>
      </c>
      <c r="AU114" s="36">
        <v>9</v>
      </c>
      <c r="AV114" s="49">
        <f t="shared" si="9"/>
        <v>18</v>
      </c>
      <c r="AW114" s="49">
        <v>0</v>
      </c>
      <c r="AX114" s="50">
        <v>5</v>
      </c>
      <c r="AY114" s="49">
        <v>9</v>
      </c>
      <c r="AZ114" s="49">
        <v>15</v>
      </c>
      <c r="BA114" s="67">
        <v>57.5</v>
      </c>
      <c r="BB114" s="67">
        <v>0</v>
      </c>
      <c r="BC114" s="67">
        <v>11</v>
      </c>
      <c r="BD114" s="67">
        <f t="shared" si="10"/>
        <v>18</v>
      </c>
      <c r="BE114" s="67">
        <v>1</v>
      </c>
      <c r="BF114" s="67">
        <v>3</v>
      </c>
      <c r="BG114" s="67">
        <v>2</v>
      </c>
      <c r="BH114" s="67">
        <v>1</v>
      </c>
      <c r="BI114" s="67">
        <v>3</v>
      </c>
      <c r="BJ114" s="67">
        <v>10</v>
      </c>
      <c r="BK114" s="67">
        <v>49</v>
      </c>
      <c r="BL114" s="18">
        <v>47</v>
      </c>
      <c r="BM114" s="18"/>
      <c r="BN114" s="18"/>
    </row>
    <row r="115" spans="1:66" x14ac:dyDescent="0.25">
      <c r="A115" s="18" t="s">
        <v>6</v>
      </c>
      <c r="B115" s="18">
        <v>2024</v>
      </c>
      <c r="C115" s="18" t="s">
        <v>138</v>
      </c>
      <c r="D115" s="18" t="s">
        <v>266</v>
      </c>
      <c r="E115" s="18">
        <v>50</v>
      </c>
      <c r="F115" s="18">
        <v>50</v>
      </c>
      <c r="G115" s="18" t="s">
        <v>154</v>
      </c>
      <c r="H115" s="18"/>
      <c r="I115" s="18" t="s">
        <v>297</v>
      </c>
      <c r="J115" s="31">
        <v>13.5</v>
      </c>
      <c r="K115" s="31">
        <v>14</v>
      </c>
      <c r="L115" s="4">
        <v>0.5</v>
      </c>
      <c r="M115" s="32">
        <v>0.36</v>
      </c>
      <c r="N115" s="31">
        <v>0.18</v>
      </c>
      <c r="O115" s="18">
        <v>0.18</v>
      </c>
      <c r="P115" s="18">
        <v>9</v>
      </c>
      <c r="Q115" s="18">
        <v>20</v>
      </c>
      <c r="R115" s="18">
        <v>0.14000000000000001</v>
      </c>
      <c r="S115" s="18">
        <v>0.1</v>
      </c>
      <c r="T115" s="65">
        <v>20</v>
      </c>
      <c r="U115" s="18">
        <v>2</v>
      </c>
      <c r="V115" s="18"/>
      <c r="W115" s="18">
        <v>2</v>
      </c>
      <c r="X115" s="18">
        <v>70</v>
      </c>
      <c r="Y115" s="18">
        <v>0</v>
      </c>
      <c r="Z115" s="18" t="s">
        <v>330</v>
      </c>
      <c r="AA115" s="18" t="s">
        <v>333</v>
      </c>
      <c r="AB115" s="18" t="s">
        <v>335</v>
      </c>
      <c r="AC115" s="18">
        <v>20</v>
      </c>
      <c r="AD115" s="18">
        <v>9</v>
      </c>
      <c r="AE115" s="18" t="s">
        <v>34</v>
      </c>
      <c r="AF115" s="18" t="s">
        <v>24</v>
      </c>
      <c r="AG115" s="18" t="s">
        <v>24</v>
      </c>
      <c r="AH115" s="18" t="s">
        <v>64</v>
      </c>
      <c r="AI115" s="18" t="s">
        <v>81</v>
      </c>
      <c r="AJ115" s="18" t="s">
        <v>96</v>
      </c>
      <c r="AK115" s="18" t="s">
        <v>107</v>
      </c>
      <c r="AL115" s="18" t="s">
        <v>118</v>
      </c>
      <c r="AM115" s="18" t="s">
        <v>267</v>
      </c>
      <c r="AN115" s="18" t="s">
        <v>272</v>
      </c>
      <c r="AO115" s="18"/>
      <c r="AP115" s="18">
        <v>2</v>
      </c>
      <c r="AQ115" s="36">
        <v>0</v>
      </c>
      <c r="AR115" s="36">
        <v>1</v>
      </c>
      <c r="AS115" s="36">
        <v>3</v>
      </c>
      <c r="AT115" s="36">
        <v>2</v>
      </c>
      <c r="AU115" s="36">
        <v>8</v>
      </c>
      <c r="AV115" s="49">
        <f t="shared" si="9"/>
        <v>4</v>
      </c>
      <c r="AW115" s="49">
        <v>0</v>
      </c>
      <c r="AX115" s="50">
        <v>3</v>
      </c>
      <c r="AY115" s="49">
        <v>8</v>
      </c>
      <c r="AZ115" s="49">
        <v>15</v>
      </c>
      <c r="BA115" s="67">
        <v>22</v>
      </c>
      <c r="BB115" s="67">
        <v>0</v>
      </c>
      <c r="BC115" s="67">
        <v>6</v>
      </c>
      <c r="BD115" s="67">
        <f t="shared" si="10"/>
        <v>4</v>
      </c>
      <c r="BE115" s="67">
        <v>1</v>
      </c>
      <c r="BF115" s="67">
        <v>3</v>
      </c>
      <c r="BG115" s="67">
        <v>2</v>
      </c>
      <c r="BH115" s="67">
        <v>0</v>
      </c>
      <c r="BI115" s="67">
        <v>3</v>
      </c>
      <c r="BJ115" s="67">
        <v>10</v>
      </c>
      <c r="BK115" s="67">
        <v>29</v>
      </c>
      <c r="BL115" s="18">
        <v>30</v>
      </c>
      <c r="BM115" s="18"/>
      <c r="BN115" s="18"/>
    </row>
    <row r="116" spans="1:66" x14ac:dyDescent="0.25">
      <c r="A116" s="18" t="s">
        <v>6</v>
      </c>
      <c r="B116" s="18">
        <v>2024</v>
      </c>
      <c r="C116" s="18" t="s">
        <v>138</v>
      </c>
      <c r="D116" s="18" t="s">
        <v>266</v>
      </c>
      <c r="E116" s="18">
        <v>50</v>
      </c>
      <c r="F116" s="18">
        <v>50</v>
      </c>
      <c r="G116" s="18" t="s">
        <v>154</v>
      </c>
      <c r="H116" s="18"/>
      <c r="I116" s="18" t="s">
        <v>297</v>
      </c>
      <c r="J116" s="31">
        <v>14</v>
      </c>
      <c r="K116" s="31">
        <v>14.5</v>
      </c>
      <c r="L116" s="4">
        <v>0.5</v>
      </c>
      <c r="M116" s="32">
        <v>1</v>
      </c>
      <c r="N116" s="31">
        <v>0.5</v>
      </c>
      <c r="O116" s="18">
        <v>0.5</v>
      </c>
      <c r="P116" s="18">
        <v>25</v>
      </c>
      <c r="Q116" s="18">
        <v>20</v>
      </c>
      <c r="R116" s="18">
        <v>0.49</v>
      </c>
      <c r="S116" s="18">
        <v>0.44</v>
      </c>
      <c r="T116" s="65">
        <v>88</v>
      </c>
      <c r="U116" s="18">
        <v>2</v>
      </c>
      <c r="V116" s="18"/>
      <c r="W116" s="18">
        <v>2</v>
      </c>
      <c r="X116" s="18">
        <v>245</v>
      </c>
      <c r="Y116" s="18">
        <v>0</v>
      </c>
      <c r="Z116" s="18" t="s">
        <v>330</v>
      </c>
      <c r="AA116" s="18" t="s">
        <v>333</v>
      </c>
      <c r="AB116" s="18" t="s">
        <v>335</v>
      </c>
      <c r="AC116" s="18">
        <v>20</v>
      </c>
      <c r="AD116" s="18">
        <v>25</v>
      </c>
      <c r="AE116" s="18" t="s">
        <v>34</v>
      </c>
      <c r="AF116" s="18" t="s">
        <v>32</v>
      </c>
      <c r="AG116" s="18" t="s">
        <v>32</v>
      </c>
      <c r="AH116" s="18" t="s">
        <v>66</v>
      </c>
      <c r="AI116" s="18" t="s">
        <v>81</v>
      </c>
      <c r="AJ116" s="18" t="s">
        <v>96</v>
      </c>
      <c r="AK116" s="18" t="s">
        <v>109</v>
      </c>
      <c r="AL116" s="18" t="s">
        <v>120</v>
      </c>
      <c r="AM116" s="18" t="s">
        <v>267</v>
      </c>
      <c r="AN116" s="18"/>
      <c r="AO116" s="18"/>
      <c r="AP116" s="18">
        <v>1</v>
      </c>
      <c r="AQ116" s="36">
        <v>0</v>
      </c>
      <c r="AR116" s="36">
        <v>1</v>
      </c>
      <c r="AS116" s="36">
        <v>1</v>
      </c>
      <c r="AT116" s="36">
        <v>2</v>
      </c>
      <c r="AU116" s="36">
        <v>5</v>
      </c>
      <c r="AV116" s="49">
        <f t="shared" si="9"/>
        <v>18</v>
      </c>
      <c r="AW116" s="49">
        <v>0</v>
      </c>
      <c r="AX116" s="50">
        <v>5</v>
      </c>
      <c r="AY116" s="49">
        <v>5</v>
      </c>
      <c r="AZ116" s="49">
        <v>15</v>
      </c>
      <c r="BA116" s="67">
        <v>51.5</v>
      </c>
      <c r="BB116" s="67">
        <v>0</v>
      </c>
      <c r="BC116" s="67">
        <v>14</v>
      </c>
      <c r="BD116" s="67">
        <f t="shared" si="10"/>
        <v>18</v>
      </c>
      <c r="BE116" s="67">
        <v>1</v>
      </c>
      <c r="BF116" s="67">
        <v>1</v>
      </c>
      <c r="BG116" s="67">
        <v>2</v>
      </c>
      <c r="BH116" s="67">
        <v>0</v>
      </c>
      <c r="BI116" s="67">
        <v>1</v>
      </c>
      <c r="BJ116" s="67">
        <v>10</v>
      </c>
      <c r="BK116" s="67">
        <v>47</v>
      </c>
      <c r="BL116" s="18">
        <v>43</v>
      </c>
      <c r="BM116" s="18"/>
      <c r="BN116" s="18"/>
    </row>
    <row r="117" spans="1:66" x14ac:dyDescent="0.25">
      <c r="A117" s="18" t="s">
        <v>6</v>
      </c>
      <c r="B117" s="18">
        <v>2024</v>
      </c>
      <c r="C117" s="18" t="s">
        <v>138</v>
      </c>
      <c r="D117" s="18" t="s">
        <v>266</v>
      </c>
      <c r="E117" s="18">
        <v>50</v>
      </c>
      <c r="F117" s="18">
        <v>50</v>
      </c>
      <c r="G117" s="18" t="s">
        <v>154</v>
      </c>
      <c r="H117" s="18"/>
      <c r="I117" s="18" t="s">
        <v>298</v>
      </c>
      <c r="J117" s="31">
        <v>14.5</v>
      </c>
      <c r="K117" s="31">
        <v>15</v>
      </c>
      <c r="L117" s="4">
        <v>0.5</v>
      </c>
      <c r="M117" s="32">
        <v>0.9</v>
      </c>
      <c r="N117" s="31">
        <v>0.45</v>
      </c>
      <c r="O117" s="18">
        <v>0.45</v>
      </c>
      <c r="P117" s="18">
        <v>22.5</v>
      </c>
      <c r="Q117" s="18">
        <v>20</v>
      </c>
      <c r="R117" s="18">
        <v>0.1</v>
      </c>
      <c r="S117" s="18">
        <v>0.1</v>
      </c>
      <c r="T117" s="65">
        <v>20</v>
      </c>
      <c r="U117" s="18">
        <v>4</v>
      </c>
      <c r="V117" s="18"/>
      <c r="W117" s="18">
        <v>4</v>
      </c>
      <c r="X117" s="18">
        <v>25</v>
      </c>
      <c r="Y117" s="18">
        <v>0</v>
      </c>
      <c r="Z117" s="18" t="s">
        <v>330</v>
      </c>
      <c r="AA117" s="18" t="s">
        <v>333</v>
      </c>
      <c r="AB117" s="18" t="s">
        <v>335</v>
      </c>
      <c r="AC117" s="18">
        <v>20</v>
      </c>
      <c r="AD117" s="18">
        <v>22.5</v>
      </c>
      <c r="AE117" s="18" t="s">
        <v>34</v>
      </c>
      <c r="AF117" s="18" t="s">
        <v>34</v>
      </c>
      <c r="AG117" s="18" t="s">
        <v>34</v>
      </c>
      <c r="AH117" s="18" t="s">
        <v>69</v>
      </c>
      <c r="AI117" s="18" t="s">
        <v>81</v>
      </c>
      <c r="AJ117" s="18" t="s">
        <v>100</v>
      </c>
      <c r="AK117" s="18" t="s">
        <v>109</v>
      </c>
      <c r="AL117" s="18" t="s">
        <v>122</v>
      </c>
      <c r="AM117" s="18" t="s">
        <v>267</v>
      </c>
      <c r="AN117" s="18"/>
      <c r="AO117" s="18"/>
      <c r="AP117" s="18">
        <v>0</v>
      </c>
      <c r="AQ117" s="36">
        <v>0</v>
      </c>
      <c r="AR117" s="36">
        <v>0</v>
      </c>
      <c r="AS117" s="36">
        <v>1</v>
      </c>
      <c r="AT117" s="36">
        <v>0</v>
      </c>
      <c r="AU117" s="36">
        <v>1</v>
      </c>
      <c r="AV117" s="49">
        <f t="shared" si="9"/>
        <v>4</v>
      </c>
      <c r="AW117" s="49">
        <v>0</v>
      </c>
      <c r="AX117" s="50">
        <v>4</v>
      </c>
      <c r="AY117" s="49">
        <v>1</v>
      </c>
      <c r="AZ117" s="49">
        <v>15</v>
      </c>
      <c r="BA117" s="67">
        <v>11.5</v>
      </c>
      <c r="BB117" s="67">
        <v>0</v>
      </c>
      <c r="BC117" s="67">
        <v>5</v>
      </c>
      <c r="BD117" s="67">
        <f t="shared" si="10"/>
        <v>4</v>
      </c>
      <c r="BE117" s="67">
        <v>0</v>
      </c>
      <c r="BF117" s="67">
        <v>1</v>
      </c>
      <c r="BG117" s="67">
        <v>0</v>
      </c>
      <c r="BH117" s="67">
        <v>0</v>
      </c>
      <c r="BI117" s="67">
        <v>0</v>
      </c>
      <c r="BJ117" s="67">
        <v>10</v>
      </c>
      <c r="BK117" s="67">
        <v>20</v>
      </c>
      <c r="BL117" s="18">
        <v>24</v>
      </c>
      <c r="BM117" s="18"/>
      <c r="BN117" s="18"/>
    </row>
    <row r="118" spans="1:66" x14ac:dyDescent="0.25">
      <c r="A118" s="18" t="s">
        <v>6</v>
      </c>
      <c r="B118" s="18">
        <v>2024</v>
      </c>
      <c r="C118" s="18" t="s">
        <v>138</v>
      </c>
      <c r="D118" s="18" t="s">
        <v>266</v>
      </c>
      <c r="E118" s="18">
        <v>50</v>
      </c>
      <c r="F118" s="18">
        <v>50</v>
      </c>
      <c r="G118" s="18" t="s">
        <v>154</v>
      </c>
      <c r="H118" s="18"/>
      <c r="I118" s="18" t="s">
        <v>298</v>
      </c>
      <c r="J118" s="31">
        <v>15</v>
      </c>
      <c r="K118" s="31">
        <v>15.5</v>
      </c>
      <c r="L118" s="4">
        <v>0.5</v>
      </c>
      <c r="M118" s="32">
        <v>0.64</v>
      </c>
      <c r="N118" s="31">
        <v>0.32</v>
      </c>
      <c r="O118" s="18">
        <v>0.32</v>
      </c>
      <c r="P118" s="18">
        <v>16</v>
      </c>
      <c r="Q118" s="18">
        <v>20</v>
      </c>
      <c r="R118" s="18">
        <v>0.32</v>
      </c>
      <c r="S118" s="18">
        <v>0</v>
      </c>
      <c r="T118" s="65">
        <v>0</v>
      </c>
      <c r="U118" s="18">
        <v>10</v>
      </c>
      <c r="V118" s="18"/>
      <c r="W118" s="18">
        <v>10</v>
      </c>
      <c r="X118" s="18">
        <v>32</v>
      </c>
      <c r="Y118" s="18">
        <v>0</v>
      </c>
      <c r="Z118" s="18" t="s">
        <v>330</v>
      </c>
      <c r="AA118" s="18" t="s">
        <v>333</v>
      </c>
      <c r="AB118" s="18" t="s">
        <v>335</v>
      </c>
      <c r="AC118" s="18">
        <v>20</v>
      </c>
      <c r="AD118" s="18">
        <v>16</v>
      </c>
      <c r="AE118" s="18" t="s">
        <v>34</v>
      </c>
      <c r="AF118" s="18" t="s">
        <v>199</v>
      </c>
      <c r="AG118" s="18" t="s">
        <v>199</v>
      </c>
      <c r="AH118" s="18" t="s">
        <v>66</v>
      </c>
      <c r="AI118" s="18" t="s">
        <v>81</v>
      </c>
      <c r="AJ118" s="18" t="s">
        <v>96</v>
      </c>
      <c r="AK118" s="18" t="s">
        <v>107</v>
      </c>
      <c r="AL118" s="18" t="s">
        <v>122</v>
      </c>
      <c r="AM118" s="18" t="s">
        <v>126</v>
      </c>
      <c r="AN118" s="18" t="s">
        <v>271</v>
      </c>
      <c r="AO118" s="18"/>
      <c r="AP118" s="18">
        <v>1</v>
      </c>
      <c r="AQ118" s="36">
        <v>0</v>
      </c>
      <c r="AR118" s="36">
        <v>1</v>
      </c>
      <c r="AS118" s="36">
        <v>3</v>
      </c>
      <c r="AT118" s="36">
        <v>0</v>
      </c>
      <c r="AU118" s="36">
        <v>5</v>
      </c>
      <c r="AV118" s="49">
        <f t="shared" si="9"/>
        <v>0</v>
      </c>
      <c r="AW118" s="49">
        <v>0</v>
      </c>
      <c r="AX118" s="50">
        <v>4</v>
      </c>
      <c r="AY118" s="49">
        <v>5</v>
      </c>
      <c r="AZ118" s="49">
        <v>10</v>
      </c>
      <c r="BA118" s="67">
        <v>7.5</v>
      </c>
      <c r="BB118" s="67">
        <v>0</v>
      </c>
      <c r="BC118" s="67">
        <v>5</v>
      </c>
      <c r="BD118" s="67">
        <f t="shared" si="10"/>
        <v>0</v>
      </c>
      <c r="BE118" s="67">
        <v>1</v>
      </c>
      <c r="BF118" s="67">
        <v>3</v>
      </c>
      <c r="BG118" s="67">
        <v>0</v>
      </c>
      <c r="BH118" s="67">
        <v>0</v>
      </c>
      <c r="BI118" s="67">
        <v>1</v>
      </c>
      <c r="BJ118" s="67">
        <v>7</v>
      </c>
      <c r="BK118" s="67">
        <v>17</v>
      </c>
      <c r="BL118" s="18">
        <v>19</v>
      </c>
      <c r="BM118" s="18"/>
      <c r="BN118" s="18"/>
    </row>
    <row r="119" spans="1:66" x14ac:dyDescent="0.25">
      <c r="A119" s="18" t="s">
        <v>6</v>
      </c>
      <c r="B119" s="18">
        <v>2024</v>
      </c>
      <c r="C119" s="18" t="s">
        <v>138</v>
      </c>
      <c r="D119" s="18" t="s">
        <v>266</v>
      </c>
      <c r="E119" s="18">
        <v>50</v>
      </c>
      <c r="F119" s="18">
        <v>50</v>
      </c>
      <c r="G119" s="18" t="s">
        <v>154</v>
      </c>
      <c r="H119" s="18"/>
      <c r="I119" s="18" t="s">
        <v>298</v>
      </c>
      <c r="J119" s="31">
        <v>15.5</v>
      </c>
      <c r="K119" s="31">
        <v>16</v>
      </c>
      <c r="L119" s="4">
        <v>0.5</v>
      </c>
      <c r="M119" s="32">
        <v>1</v>
      </c>
      <c r="N119" s="31">
        <v>0.5</v>
      </c>
      <c r="O119" s="18">
        <v>0.5</v>
      </c>
      <c r="P119" s="18">
        <v>25</v>
      </c>
      <c r="Q119" s="18">
        <v>20</v>
      </c>
      <c r="R119" s="18">
        <v>0.5</v>
      </c>
      <c r="S119" s="18">
        <v>0.36</v>
      </c>
      <c r="T119" s="65">
        <v>72</v>
      </c>
      <c r="U119" s="18">
        <v>3</v>
      </c>
      <c r="V119" s="18"/>
      <c r="W119" s="18">
        <v>3</v>
      </c>
      <c r="X119" s="18">
        <v>166.66666666666666</v>
      </c>
      <c r="Y119" s="18">
        <v>0</v>
      </c>
      <c r="Z119" s="18" t="s">
        <v>330</v>
      </c>
      <c r="AA119" s="18" t="s">
        <v>333</v>
      </c>
      <c r="AB119" s="18" t="s">
        <v>335</v>
      </c>
      <c r="AC119" s="18">
        <v>20</v>
      </c>
      <c r="AD119" s="18">
        <v>25</v>
      </c>
      <c r="AE119" s="18" t="s">
        <v>34</v>
      </c>
      <c r="AF119" s="18" t="s">
        <v>34</v>
      </c>
      <c r="AG119" s="18" t="s">
        <v>34</v>
      </c>
      <c r="AH119" s="18" t="s">
        <v>66</v>
      </c>
      <c r="AI119" s="18" t="s">
        <v>81</v>
      </c>
      <c r="AJ119" s="18" t="s">
        <v>100</v>
      </c>
      <c r="AK119" s="18" t="s">
        <v>109</v>
      </c>
      <c r="AL119" s="18" t="s">
        <v>122</v>
      </c>
      <c r="AM119" s="18" t="s">
        <v>126</v>
      </c>
      <c r="AN119" s="18" t="s">
        <v>271</v>
      </c>
      <c r="AO119" s="18"/>
      <c r="AP119" s="18">
        <v>1</v>
      </c>
      <c r="AQ119" s="36">
        <v>0</v>
      </c>
      <c r="AR119" s="36">
        <v>0</v>
      </c>
      <c r="AS119" s="36">
        <v>1</v>
      </c>
      <c r="AT119" s="36">
        <v>0</v>
      </c>
      <c r="AU119" s="36">
        <v>2</v>
      </c>
      <c r="AV119" s="49">
        <f t="shared" si="9"/>
        <v>15</v>
      </c>
      <c r="AW119" s="49">
        <v>0</v>
      </c>
      <c r="AX119" s="50">
        <v>5</v>
      </c>
      <c r="AY119" s="49">
        <v>2</v>
      </c>
      <c r="AZ119" s="49">
        <v>10</v>
      </c>
      <c r="BA119" s="67">
        <v>39</v>
      </c>
      <c r="BB119" s="67">
        <v>0</v>
      </c>
      <c r="BC119" s="67">
        <v>11</v>
      </c>
      <c r="BD119" s="67">
        <f t="shared" si="10"/>
        <v>15</v>
      </c>
      <c r="BE119" s="67">
        <v>0</v>
      </c>
      <c r="BF119" s="67">
        <v>1</v>
      </c>
      <c r="BG119" s="67">
        <v>0</v>
      </c>
      <c r="BH119" s="67">
        <v>0</v>
      </c>
      <c r="BI119" s="67">
        <v>1</v>
      </c>
      <c r="BJ119" s="67">
        <v>7</v>
      </c>
      <c r="BK119" s="67">
        <v>35</v>
      </c>
      <c r="BL119" s="18">
        <v>32</v>
      </c>
      <c r="BM119" s="18"/>
      <c r="BN119" s="18"/>
    </row>
    <row r="120" spans="1:66" x14ac:dyDescent="0.25">
      <c r="A120" s="18" t="s">
        <v>6</v>
      </c>
      <c r="B120" s="18">
        <v>2024</v>
      </c>
      <c r="C120" s="18" t="s">
        <v>138</v>
      </c>
      <c r="D120" s="18" t="s">
        <v>266</v>
      </c>
      <c r="E120" s="18">
        <v>50</v>
      </c>
      <c r="F120" s="18">
        <v>50</v>
      </c>
      <c r="G120" s="18" t="s">
        <v>154</v>
      </c>
      <c r="H120" s="18"/>
      <c r="I120" s="18" t="s">
        <v>298</v>
      </c>
      <c r="J120" s="31">
        <v>16</v>
      </c>
      <c r="K120" s="31">
        <v>16.5</v>
      </c>
      <c r="L120" s="4">
        <v>0.5</v>
      </c>
      <c r="M120" s="32">
        <v>1</v>
      </c>
      <c r="N120" s="31">
        <v>0.5</v>
      </c>
      <c r="O120" s="18">
        <v>0.5</v>
      </c>
      <c r="P120" s="18">
        <v>25</v>
      </c>
      <c r="Q120" s="18">
        <v>20</v>
      </c>
      <c r="R120" s="18">
        <v>0.46</v>
      </c>
      <c r="S120" s="18">
        <v>0</v>
      </c>
      <c r="T120" s="65">
        <v>0</v>
      </c>
      <c r="U120" s="18">
        <v>5</v>
      </c>
      <c r="V120" s="18"/>
      <c r="W120" s="18">
        <v>5</v>
      </c>
      <c r="X120" s="18">
        <v>92</v>
      </c>
      <c r="Y120" s="18">
        <v>0</v>
      </c>
      <c r="Z120" s="18" t="s">
        <v>330</v>
      </c>
      <c r="AA120" s="18" t="s">
        <v>333</v>
      </c>
      <c r="AB120" s="18" t="s">
        <v>335</v>
      </c>
      <c r="AC120" s="18">
        <v>20</v>
      </c>
      <c r="AD120" s="18">
        <v>25</v>
      </c>
      <c r="AE120" s="18" t="s">
        <v>34</v>
      </c>
      <c r="AF120" s="18" t="s">
        <v>34</v>
      </c>
      <c r="AG120" s="18" t="s">
        <v>34</v>
      </c>
      <c r="AH120" s="18" t="s">
        <v>66</v>
      </c>
      <c r="AI120" s="18" t="s">
        <v>81</v>
      </c>
      <c r="AJ120" s="18" t="s">
        <v>100</v>
      </c>
      <c r="AK120" s="18" t="s">
        <v>109</v>
      </c>
      <c r="AL120" s="18" t="s">
        <v>122</v>
      </c>
      <c r="AM120" s="18" t="s">
        <v>126</v>
      </c>
      <c r="AN120" s="18" t="s">
        <v>271</v>
      </c>
      <c r="AO120" s="18"/>
      <c r="AP120" s="18">
        <v>1</v>
      </c>
      <c r="AQ120" s="36">
        <v>0</v>
      </c>
      <c r="AR120" s="36">
        <v>0</v>
      </c>
      <c r="AS120" s="36">
        <v>1</v>
      </c>
      <c r="AT120" s="36">
        <v>0</v>
      </c>
      <c r="AU120" s="36">
        <v>2</v>
      </c>
      <c r="AV120" s="49">
        <f t="shared" si="9"/>
        <v>0</v>
      </c>
      <c r="AW120" s="49">
        <v>0</v>
      </c>
      <c r="AX120" s="50">
        <v>5</v>
      </c>
      <c r="AY120" s="49">
        <v>2</v>
      </c>
      <c r="AZ120" s="49">
        <v>10</v>
      </c>
      <c r="BA120" s="67">
        <v>3</v>
      </c>
      <c r="BB120" s="67">
        <v>0</v>
      </c>
      <c r="BC120" s="67">
        <v>8</v>
      </c>
      <c r="BD120" s="67">
        <f t="shared" si="10"/>
        <v>0</v>
      </c>
      <c r="BE120" s="67">
        <v>0</v>
      </c>
      <c r="BF120" s="67">
        <v>1</v>
      </c>
      <c r="BG120" s="67">
        <v>0</v>
      </c>
      <c r="BH120" s="67">
        <v>0</v>
      </c>
      <c r="BI120" s="67">
        <v>1</v>
      </c>
      <c r="BJ120" s="67">
        <v>7</v>
      </c>
      <c r="BK120" s="67">
        <v>17</v>
      </c>
      <c r="BL120" s="18">
        <v>17</v>
      </c>
      <c r="BM120" s="18"/>
      <c r="BN120" s="18"/>
    </row>
    <row r="121" spans="1:66" x14ac:dyDescent="0.25">
      <c r="A121" s="18" t="s">
        <v>6</v>
      </c>
      <c r="B121" s="18">
        <v>2024</v>
      </c>
      <c r="C121" s="18" t="s">
        <v>138</v>
      </c>
      <c r="D121" s="18" t="s">
        <v>266</v>
      </c>
      <c r="E121" s="18">
        <v>50</v>
      </c>
      <c r="F121" s="18">
        <v>50</v>
      </c>
      <c r="G121" s="18" t="s">
        <v>154</v>
      </c>
      <c r="H121" s="18"/>
      <c r="I121" s="18" t="s">
        <v>298</v>
      </c>
      <c r="J121" s="31">
        <v>16.5</v>
      </c>
      <c r="K121" s="31">
        <v>17</v>
      </c>
      <c r="L121" s="4">
        <v>0.5</v>
      </c>
      <c r="M121" s="32">
        <v>1</v>
      </c>
      <c r="N121" s="31">
        <v>0.5</v>
      </c>
      <c r="O121" s="18">
        <v>0.5</v>
      </c>
      <c r="P121" s="18">
        <v>25</v>
      </c>
      <c r="Q121" s="18">
        <v>20</v>
      </c>
      <c r="R121" s="18">
        <v>0.49</v>
      </c>
      <c r="S121" s="18">
        <v>0</v>
      </c>
      <c r="T121" s="65">
        <v>0</v>
      </c>
      <c r="U121" s="18">
        <v>8</v>
      </c>
      <c r="V121" s="18"/>
      <c r="W121" s="18">
        <v>8</v>
      </c>
      <c r="X121" s="18">
        <v>61.25</v>
      </c>
      <c r="Y121" s="18">
        <v>0</v>
      </c>
      <c r="Z121" s="18" t="s">
        <v>330</v>
      </c>
      <c r="AA121" s="18" t="s">
        <v>333</v>
      </c>
      <c r="AB121" s="18" t="s">
        <v>335</v>
      </c>
      <c r="AC121" s="18">
        <v>20</v>
      </c>
      <c r="AD121" s="18">
        <v>25</v>
      </c>
      <c r="AE121" s="18" t="s">
        <v>34</v>
      </c>
      <c r="AF121" s="18" t="s">
        <v>34</v>
      </c>
      <c r="AG121" s="18" t="s">
        <v>34</v>
      </c>
      <c r="AH121" s="18" t="s">
        <v>66</v>
      </c>
      <c r="AI121" s="18" t="s">
        <v>81</v>
      </c>
      <c r="AJ121" s="18" t="s">
        <v>100</v>
      </c>
      <c r="AK121" s="18" t="s">
        <v>109</v>
      </c>
      <c r="AL121" s="18" t="s">
        <v>122</v>
      </c>
      <c r="AM121" s="18" t="s">
        <v>126</v>
      </c>
      <c r="AN121" s="18" t="s">
        <v>271</v>
      </c>
      <c r="AO121" s="18"/>
      <c r="AP121" s="18">
        <v>1</v>
      </c>
      <c r="AQ121" s="36">
        <v>0</v>
      </c>
      <c r="AR121" s="36">
        <v>0</v>
      </c>
      <c r="AS121" s="36">
        <v>1</v>
      </c>
      <c r="AT121" s="36">
        <v>0</v>
      </c>
      <c r="AU121" s="36">
        <v>2</v>
      </c>
      <c r="AV121" s="49">
        <f t="shared" si="9"/>
        <v>0</v>
      </c>
      <c r="AW121" s="49">
        <v>0</v>
      </c>
      <c r="AX121" s="50">
        <v>5</v>
      </c>
      <c r="AY121" s="49">
        <v>2</v>
      </c>
      <c r="AZ121" s="49">
        <v>10</v>
      </c>
      <c r="BA121" s="67">
        <v>3</v>
      </c>
      <c r="BB121" s="67">
        <v>0</v>
      </c>
      <c r="BC121" s="67">
        <v>5</v>
      </c>
      <c r="BD121" s="67">
        <f t="shared" si="10"/>
        <v>0</v>
      </c>
      <c r="BE121" s="67">
        <v>0</v>
      </c>
      <c r="BF121" s="67">
        <v>1</v>
      </c>
      <c r="BG121" s="67">
        <v>0</v>
      </c>
      <c r="BH121" s="67">
        <v>0</v>
      </c>
      <c r="BI121" s="67">
        <v>1</v>
      </c>
      <c r="BJ121" s="67">
        <v>7</v>
      </c>
      <c r="BK121" s="67">
        <v>14</v>
      </c>
      <c r="BL121" s="18">
        <v>17</v>
      </c>
      <c r="BM121" s="18"/>
      <c r="BN121" s="18"/>
    </row>
    <row r="122" spans="1:66" x14ac:dyDescent="0.25">
      <c r="A122" s="18" t="s">
        <v>6</v>
      </c>
      <c r="B122" s="18">
        <v>2024</v>
      </c>
      <c r="C122" s="18" t="s">
        <v>138</v>
      </c>
      <c r="D122" s="18" t="s">
        <v>266</v>
      </c>
      <c r="E122" s="18">
        <v>50</v>
      </c>
      <c r="F122" s="18">
        <v>50</v>
      </c>
      <c r="G122" s="18" t="s">
        <v>154</v>
      </c>
      <c r="H122" s="18"/>
      <c r="I122" s="18" t="s">
        <v>298</v>
      </c>
      <c r="J122" s="31">
        <v>17</v>
      </c>
      <c r="K122" s="31">
        <v>17.5</v>
      </c>
      <c r="L122" s="4">
        <v>0.5</v>
      </c>
      <c r="M122" s="32">
        <v>0.96</v>
      </c>
      <c r="N122" s="31">
        <v>0.48</v>
      </c>
      <c r="O122" s="18">
        <v>0.48</v>
      </c>
      <c r="P122" s="18">
        <v>24</v>
      </c>
      <c r="Q122" s="18">
        <v>20</v>
      </c>
      <c r="R122" s="18">
        <v>0.31</v>
      </c>
      <c r="S122" s="18">
        <v>0</v>
      </c>
      <c r="T122" s="65">
        <v>0</v>
      </c>
      <c r="U122" s="18">
        <v>3</v>
      </c>
      <c r="V122" s="18"/>
      <c r="W122" s="18">
        <v>3</v>
      </c>
      <c r="X122" s="18">
        <v>103.33333333333333</v>
      </c>
      <c r="Y122" s="18">
        <v>0</v>
      </c>
      <c r="Z122" s="18" t="s">
        <v>330</v>
      </c>
      <c r="AA122" s="18" t="s">
        <v>333</v>
      </c>
      <c r="AB122" s="18" t="s">
        <v>335</v>
      </c>
      <c r="AC122" s="18">
        <v>20</v>
      </c>
      <c r="AD122" s="18">
        <v>24</v>
      </c>
      <c r="AE122" s="18" t="s">
        <v>34</v>
      </c>
      <c r="AF122" s="18" t="s">
        <v>34</v>
      </c>
      <c r="AG122" s="18" t="s">
        <v>34</v>
      </c>
      <c r="AH122" s="18" t="s">
        <v>66</v>
      </c>
      <c r="AI122" s="18" t="s">
        <v>79</v>
      </c>
      <c r="AJ122" s="18" t="s">
        <v>100</v>
      </c>
      <c r="AK122" s="18" t="s">
        <v>111</v>
      </c>
      <c r="AL122" s="18" t="s">
        <v>122</v>
      </c>
      <c r="AM122" s="18" t="s">
        <v>126</v>
      </c>
      <c r="AN122" s="18" t="s">
        <v>273</v>
      </c>
      <c r="AO122" s="18"/>
      <c r="AP122" s="18">
        <v>1</v>
      </c>
      <c r="AQ122" s="36">
        <v>1</v>
      </c>
      <c r="AR122" s="36">
        <v>0</v>
      </c>
      <c r="AS122" s="36">
        <v>0</v>
      </c>
      <c r="AT122" s="36">
        <v>0</v>
      </c>
      <c r="AU122" s="36">
        <v>2</v>
      </c>
      <c r="AV122" s="49">
        <f t="shared" si="9"/>
        <v>0</v>
      </c>
      <c r="AW122" s="49">
        <v>0</v>
      </c>
      <c r="AX122" s="50">
        <v>4</v>
      </c>
      <c r="AY122" s="49">
        <v>2</v>
      </c>
      <c r="AZ122" s="49">
        <v>10</v>
      </c>
      <c r="BA122" s="67">
        <v>3</v>
      </c>
      <c r="BB122" s="67">
        <v>0</v>
      </c>
      <c r="BC122" s="67">
        <v>8</v>
      </c>
      <c r="BD122" s="67">
        <f t="shared" si="10"/>
        <v>0</v>
      </c>
      <c r="BE122" s="67">
        <v>0</v>
      </c>
      <c r="BF122" s="67">
        <v>0</v>
      </c>
      <c r="BG122" s="67">
        <v>0</v>
      </c>
      <c r="BH122" s="67">
        <v>1</v>
      </c>
      <c r="BI122" s="67">
        <v>1</v>
      </c>
      <c r="BJ122" s="67">
        <v>7</v>
      </c>
      <c r="BK122" s="67">
        <v>17</v>
      </c>
      <c r="BL122" s="18">
        <v>16</v>
      </c>
      <c r="BM122" s="18"/>
      <c r="BN122" s="18"/>
    </row>
    <row r="123" spans="1:66" x14ac:dyDescent="0.25">
      <c r="A123" s="18" t="s">
        <v>6</v>
      </c>
      <c r="B123" s="18">
        <v>2024</v>
      </c>
      <c r="C123" s="18" t="s">
        <v>138</v>
      </c>
      <c r="D123" s="18" t="s">
        <v>266</v>
      </c>
      <c r="E123" s="18">
        <v>50</v>
      </c>
      <c r="F123" s="18">
        <v>50</v>
      </c>
      <c r="G123" s="18" t="s">
        <v>154</v>
      </c>
      <c r="H123" s="18"/>
      <c r="I123" s="18" t="s">
        <v>298</v>
      </c>
      <c r="J123" s="31">
        <v>17.5</v>
      </c>
      <c r="K123" s="31">
        <v>18</v>
      </c>
      <c r="L123" s="4">
        <v>0.5</v>
      </c>
      <c r="M123" s="32">
        <v>0.76</v>
      </c>
      <c r="N123" s="31">
        <v>0.38</v>
      </c>
      <c r="O123" s="18">
        <v>0.38</v>
      </c>
      <c r="P123" s="18">
        <v>19</v>
      </c>
      <c r="Q123" s="18">
        <v>20</v>
      </c>
      <c r="R123" s="18">
        <v>0.31</v>
      </c>
      <c r="S123" s="18">
        <v>0.18</v>
      </c>
      <c r="T123" s="65">
        <v>36</v>
      </c>
      <c r="U123" s="18">
        <v>4</v>
      </c>
      <c r="V123" s="18"/>
      <c r="W123" s="18">
        <v>4</v>
      </c>
      <c r="X123" s="18">
        <v>77.5</v>
      </c>
      <c r="Y123" s="18">
        <v>0</v>
      </c>
      <c r="Z123" s="18" t="s">
        <v>330</v>
      </c>
      <c r="AA123" s="18" t="s">
        <v>333</v>
      </c>
      <c r="AB123" s="18" t="s">
        <v>335</v>
      </c>
      <c r="AC123" s="18">
        <v>20</v>
      </c>
      <c r="AD123" s="18">
        <v>19</v>
      </c>
      <c r="AE123" s="18" t="s">
        <v>34</v>
      </c>
      <c r="AF123" s="18" t="s">
        <v>34</v>
      </c>
      <c r="AG123" s="18" t="s">
        <v>34</v>
      </c>
      <c r="AH123" s="18" t="s">
        <v>66</v>
      </c>
      <c r="AI123" s="18" t="s">
        <v>79</v>
      </c>
      <c r="AJ123" s="18" t="s">
        <v>100</v>
      </c>
      <c r="AK123" s="18" t="s">
        <v>111</v>
      </c>
      <c r="AL123" s="18" t="s">
        <v>122</v>
      </c>
      <c r="AM123" s="18" t="s">
        <v>126</v>
      </c>
      <c r="AN123" s="36" t="s">
        <v>273</v>
      </c>
      <c r="AO123" s="36"/>
      <c r="AP123" s="18">
        <v>1</v>
      </c>
      <c r="AQ123" s="36">
        <v>1</v>
      </c>
      <c r="AR123" s="36">
        <v>0</v>
      </c>
      <c r="AS123" s="36">
        <v>0</v>
      </c>
      <c r="AT123" s="36">
        <v>0</v>
      </c>
      <c r="AU123" s="36">
        <v>2</v>
      </c>
      <c r="AV123" s="49">
        <f t="shared" si="9"/>
        <v>8</v>
      </c>
      <c r="AW123" s="49">
        <v>0</v>
      </c>
      <c r="AX123" s="50">
        <v>4</v>
      </c>
      <c r="AY123" s="49">
        <v>2</v>
      </c>
      <c r="AZ123" s="49">
        <v>10</v>
      </c>
      <c r="BA123" s="67">
        <v>21</v>
      </c>
      <c r="BB123" s="67">
        <v>0</v>
      </c>
      <c r="BC123" s="67">
        <v>7</v>
      </c>
      <c r="BD123" s="67">
        <f t="shared" si="10"/>
        <v>8</v>
      </c>
      <c r="BE123" s="67">
        <v>0</v>
      </c>
      <c r="BF123" s="67">
        <v>0</v>
      </c>
      <c r="BG123" s="67">
        <v>0</v>
      </c>
      <c r="BH123" s="67">
        <v>1</v>
      </c>
      <c r="BI123" s="67">
        <v>1</v>
      </c>
      <c r="BJ123" s="67">
        <v>7</v>
      </c>
      <c r="BK123" s="67">
        <v>24</v>
      </c>
      <c r="BL123" s="18">
        <v>24</v>
      </c>
      <c r="BM123" s="18"/>
      <c r="BN123" s="18"/>
    </row>
    <row r="124" spans="1:66" x14ac:dyDescent="0.25">
      <c r="A124" s="18" t="s">
        <v>6</v>
      </c>
      <c r="B124" s="18">
        <v>2024</v>
      </c>
      <c r="C124" s="18" t="s">
        <v>138</v>
      </c>
      <c r="D124" s="18" t="s">
        <v>266</v>
      </c>
      <c r="E124" s="18">
        <v>50</v>
      </c>
      <c r="F124" s="18">
        <v>50</v>
      </c>
      <c r="G124" s="18" t="s">
        <v>154</v>
      </c>
      <c r="H124" s="18"/>
      <c r="I124" s="18" t="s">
        <v>298</v>
      </c>
      <c r="J124" s="31">
        <v>18</v>
      </c>
      <c r="K124" s="31">
        <v>18.5</v>
      </c>
      <c r="L124" s="4">
        <v>0.5</v>
      </c>
      <c r="M124" s="32">
        <v>0.84</v>
      </c>
      <c r="N124" s="31">
        <v>0.42</v>
      </c>
      <c r="O124" s="18">
        <v>0.42</v>
      </c>
      <c r="P124" s="18">
        <v>21</v>
      </c>
      <c r="Q124" s="18">
        <v>20</v>
      </c>
      <c r="R124" s="18">
        <v>0.39</v>
      </c>
      <c r="S124" s="18">
        <v>0.16</v>
      </c>
      <c r="T124" s="65">
        <v>32</v>
      </c>
      <c r="U124" s="18">
        <v>3</v>
      </c>
      <c r="V124" s="18"/>
      <c r="W124" s="18">
        <v>3</v>
      </c>
      <c r="X124" s="18">
        <v>130</v>
      </c>
      <c r="Y124" s="18">
        <v>0</v>
      </c>
      <c r="Z124" s="18" t="s">
        <v>330</v>
      </c>
      <c r="AA124" s="18" t="s">
        <v>333</v>
      </c>
      <c r="AB124" s="18" t="s">
        <v>335</v>
      </c>
      <c r="AC124" s="18">
        <v>20</v>
      </c>
      <c r="AD124" s="18">
        <v>21</v>
      </c>
      <c r="AE124" s="18" t="s">
        <v>34</v>
      </c>
      <c r="AF124" s="18" t="s">
        <v>34</v>
      </c>
      <c r="AG124" s="18" t="s">
        <v>34</v>
      </c>
      <c r="AH124" s="18" t="s">
        <v>66</v>
      </c>
      <c r="AI124" s="18" t="s">
        <v>79</v>
      </c>
      <c r="AJ124" s="18" t="s">
        <v>100</v>
      </c>
      <c r="AK124" s="18" t="s">
        <v>111</v>
      </c>
      <c r="AL124" s="18" t="s">
        <v>122</v>
      </c>
      <c r="AM124" s="18" t="s">
        <v>126</v>
      </c>
      <c r="AN124" s="18" t="s">
        <v>274</v>
      </c>
      <c r="AO124" s="18"/>
      <c r="AP124" s="18">
        <v>1</v>
      </c>
      <c r="AQ124" s="36">
        <v>1</v>
      </c>
      <c r="AR124" s="36">
        <v>0</v>
      </c>
      <c r="AS124" s="36">
        <v>0</v>
      </c>
      <c r="AT124" s="36">
        <v>0</v>
      </c>
      <c r="AU124" s="36">
        <v>2</v>
      </c>
      <c r="AV124" s="49">
        <f t="shared" si="9"/>
        <v>7</v>
      </c>
      <c r="AW124" s="49">
        <v>0</v>
      </c>
      <c r="AX124" s="50">
        <v>4</v>
      </c>
      <c r="AY124" s="49">
        <v>2</v>
      </c>
      <c r="AZ124" s="49">
        <v>10</v>
      </c>
      <c r="BA124" s="67">
        <v>19</v>
      </c>
      <c r="BB124" s="67">
        <v>0</v>
      </c>
      <c r="BC124" s="67">
        <v>10</v>
      </c>
      <c r="BD124" s="67">
        <f t="shared" si="10"/>
        <v>7</v>
      </c>
      <c r="BE124" s="67">
        <v>0</v>
      </c>
      <c r="BF124" s="67">
        <v>0</v>
      </c>
      <c r="BG124" s="67">
        <v>0</v>
      </c>
      <c r="BH124" s="67">
        <v>1</v>
      </c>
      <c r="BI124" s="67">
        <v>1</v>
      </c>
      <c r="BJ124" s="67">
        <v>7</v>
      </c>
      <c r="BK124" s="67">
        <v>26</v>
      </c>
      <c r="BL124" s="18">
        <v>23</v>
      </c>
      <c r="BM124" s="18"/>
      <c r="BN124" s="18"/>
    </row>
    <row r="125" spans="1:66" x14ac:dyDescent="0.25">
      <c r="A125" s="18" t="s">
        <v>6</v>
      </c>
      <c r="B125" s="18">
        <v>2024</v>
      </c>
      <c r="C125" s="18" t="s">
        <v>138</v>
      </c>
      <c r="D125" s="18" t="s">
        <v>266</v>
      </c>
      <c r="E125" s="18">
        <v>50</v>
      </c>
      <c r="F125" s="18">
        <v>50</v>
      </c>
      <c r="G125" s="18" t="s">
        <v>154</v>
      </c>
      <c r="H125" s="18"/>
      <c r="I125" s="18" t="s">
        <v>298</v>
      </c>
      <c r="J125" s="31">
        <v>18.5</v>
      </c>
      <c r="K125" s="31">
        <v>19</v>
      </c>
      <c r="L125" s="4">
        <v>0.5</v>
      </c>
      <c r="M125" s="32">
        <v>0.9</v>
      </c>
      <c r="N125" s="31">
        <v>0.45</v>
      </c>
      <c r="O125" s="18">
        <v>0.45</v>
      </c>
      <c r="P125" s="18">
        <v>22.5</v>
      </c>
      <c r="Q125" s="18">
        <v>20</v>
      </c>
      <c r="R125" s="18">
        <v>0.35</v>
      </c>
      <c r="S125" s="18">
        <v>0.15</v>
      </c>
      <c r="T125" s="65">
        <v>30</v>
      </c>
      <c r="U125" s="18">
        <v>4</v>
      </c>
      <c r="V125" s="18"/>
      <c r="W125" s="18">
        <v>4</v>
      </c>
      <c r="X125" s="18">
        <v>87.5</v>
      </c>
      <c r="Y125" s="18">
        <v>0</v>
      </c>
      <c r="Z125" s="18" t="s">
        <v>330</v>
      </c>
      <c r="AA125" s="18" t="s">
        <v>333</v>
      </c>
      <c r="AB125" s="18" t="s">
        <v>335</v>
      </c>
      <c r="AC125" s="18">
        <v>20</v>
      </c>
      <c r="AD125" s="18">
        <v>22.5</v>
      </c>
      <c r="AE125" s="18" t="s">
        <v>34</v>
      </c>
      <c r="AF125" s="18" t="s">
        <v>34</v>
      </c>
      <c r="AG125" s="18" t="s">
        <v>34</v>
      </c>
      <c r="AH125" s="18" t="s">
        <v>66</v>
      </c>
      <c r="AI125" s="18" t="s">
        <v>79</v>
      </c>
      <c r="AJ125" s="18" t="s">
        <v>100</v>
      </c>
      <c r="AK125" s="18" t="s">
        <v>111</v>
      </c>
      <c r="AL125" s="18" t="s">
        <v>122</v>
      </c>
      <c r="AM125" s="18" t="s">
        <v>573</v>
      </c>
      <c r="AN125" s="18" t="s">
        <v>273</v>
      </c>
      <c r="AO125" s="18"/>
      <c r="AP125" s="18">
        <v>1</v>
      </c>
      <c r="AQ125" s="36">
        <v>1</v>
      </c>
      <c r="AR125" s="36">
        <v>0</v>
      </c>
      <c r="AS125" s="36">
        <v>0</v>
      </c>
      <c r="AT125" s="36">
        <v>0</v>
      </c>
      <c r="AU125" s="36">
        <v>2</v>
      </c>
      <c r="AV125" s="49">
        <f t="shared" si="9"/>
        <v>6</v>
      </c>
      <c r="AW125" s="49">
        <v>0</v>
      </c>
      <c r="AX125" s="50">
        <v>4</v>
      </c>
      <c r="AY125" s="49">
        <v>2</v>
      </c>
      <c r="AZ125" s="49">
        <v>7</v>
      </c>
      <c r="BA125" s="67">
        <v>18</v>
      </c>
      <c r="BB125" s="67">
        <v>0</v>
      </c>
      <c r="BC125" s="67">
        <v>7</v>
      </c>
      <c r="BD125" s="67">
        <f t="shared" si="10"/>
        <v>6</v>
      </c>
      <c r="BE125" s="67">
        <v>0</v>
      </c>
      <c r="BF125" s="67">
        <v>0</v>
      </c>
      <c r="BG125" s="67">
        <v>0</v>
      </c>
      <c r="BH125" s="67">
        <v>1</v>
      </c>
      <c r="BI125" s="67">
        <v>1</v>
      </c>
      <c r="BJ125" s="67">
        <v>5</v>
      </c>
      <c r="BK125" s="67">
        <v>20</v>
      </c>
      <c r="BL125" s="18">
        <v>19</v>
      </c>
      <c r="BM125" s="18"/>
      <c r="BN125" s="18"/>
    </row>
    <row r="126" spans="1:66" x14ac:dyDescent="0.25">
      <c r="A126" s="18" t="s">
        <v>6</v>
      </c>
      <c r="B126" s="18">
        <v>2024</v>
      </c>
      <c r="C126" s="18" t="s">
        <v>138</v>
      </c>
      <c r="D126" s="18" t="s">
        <v>266</v>
      </c>
      <c r="E126" s="18">
        <v>50</v>
      </c>
      <c r="F126" s="18">
        <v>50</v>
      </c>
      <c r="G126" s="18" t="s">
        <v>154</v>
      </c>
      <c r="H126" s="18"/>
      <c r="I126" s="18" t="s">
        <v>298</v>
      </c>
      <c r="J126" s="31">
        <v>19</v>
      </c>
      <c r="K126" s="31">
        <v>19.5</v>
      </c>
      <c r="L126" s="4">
        <v>0.5</v>
      </c>
      <c r="M126" s="32">
        <v>0.84</v>
      </c>
      <c r="N126" s="31">
        <v>0.42</v>
      </c>
      <c r="O126" s="18">
        <v>0.42</v>
      </c>
      <c r="P126" s="18">
        <v>21</v>
      </c>
      <c r="Q126" s="18">
        <v>20</v>
      </c>
      <c r="R126" s="18">
        <v>0.41</v>
      </c>
      <c r="S126" s="18">
        <v>0.34</v>
      </c>
      <c r="T126" s="65">
        <v>68</v>
      </c>
      <c r="U126" s="18">
        <v>2</v>
      </c>
      <c r="V126" s="18"/>
      <c r="W126" s="18">
        <v>2</v>
      </c>
      <c r="X126" s="18">
        <v>205</v>
      </c>
      <c r="Y126" s="18">
        <v>0</v>
      </c>
      <c r="Z126" s="18" t="s">
        <v>330</v>
      </c>
      <c r="AA126" s="18" t="s">
        <v>333</v>
      </c>
      <c r="AB126" s="18" t="s">
        <v>335</v>
      </c>
      <c r="AC126" s="18">
        <v>20</v>
      </c>
      <c r="AD126" s="18">
        <v>21</v>
      </c>
      <c r="AE126" s="18" t="s">
        <v>34</v>
      </c>
      <c r="AF126" s="18" t="s">
        <v>34</v>
      </c>
      <c r="AG126" s="18" t="s">
        <v>34</v>
      </c>
      <c r="AH126" s="18" t="s">
        <v>66</v>
      </c>
      <c r="AI126" s="18" t="s">
        <v>79</v>
      </c>
      <c r="AJ126" s="18" t="s">
        <v>100</v>
      </c>
      <c r="AK126" s="18" t="s">
        <v>111</v>
      </c>
      <c r="AL126" s="18" t="s">
        <v>122</v>
      </c>
      <c r="AM126" s="18" t="s">
        <v>573</v>
      </c>
      <c r="AN126" s="18" t="s">
        <v>273</v>
      </c>
      <c r="AO126" s="18"/>
      <c r="AP126" s="18">
        <v>1</v>
      </c>
      <c r="AQ126" s="36">
        <v>1</v>
      </c>
      <c r="AR126" s="36">
        <v>0</v>
      </c>
      <c r="AS126" s="36">
        <v>0</v>
      </c>
      <c r="AT126" s="36">
        <v>0</v>
      </c>
      <c r="AU126" s="36">
        <v>2</v>
      </c>
      <c r="AV126" s="49">
        <f t="shared" si="9"/>
        <v>14</v>
      </c>
      <c r="AW126" s="49">
        <v>0</v>
      </c>
      <c r="AX126" s="50">
        <v>4</v>
      </c>
      <c r="AY126" s="49">
        <v>2</v>
      </c>
      <c r="AZ126" s="49">
        <v>7</v>
      </c>
      <c r="BA126" s="67">
        <v>37</v>
      </c>
      <c r="BB126" s="67">
        <v>0</v>
      </c>
      <c r="BC126" s="67">
        <v>13</v>
      </c>
      <c r="BD126" s="67">
        <f t="shared" si="10"/>
        <v>14</v>
      </c>
      <c r="BE126" s="67">
        <v>0</v>
      </c>
      <c r="BF126" s="67">
        <v>0</v>
      </c>
      <c r="BG126" s="67">
        <v>0</v>
      </c>
      <c r="BH126" s="67">
        <v>1</v>
      </c>
      <c r="BI126" s="67">
        <v>1</v>
      </c>
      <c r="BJ126" s="67">
        <v>5</v>
      </c>
      <c r="BK126" s="67">
        <v>34</v>
      </c>
      <c r="BL126" s="18">
        <v>27</v>
      </c>
      <c r="BM126" s="18"/>
      <c r="BN126" s="18"/>
    </row>
    <row r="127" spans="1:66" x14ac:dyDescent="0.25">
      <c r="A127" s="18" t="s">
        <v>6</v>
      </c>
      <c r="B127" s="18">
        <v>2024</v>
      </c>
      <c r="C127" s="18" t="s">
        <v>138</v>
      </c>
      <c r="D127" s="18" t="s">
        <v>266</v>
      </c>
      <c r="E127" s="18">
        <v>50</v>
      </c>
      <c r="F127" s="18">
        <v>50</v>
      </c>
      <c r="G127" s="18" t="s">
        <v>154</v>
      </c>
      <c r="H127" s="18"/>
      <c r="I127" s="18" t="s">
        <v>298</v>
      </c>
      <c r="J127" s="31">
        <v>19.5</v>
      </c>
      <c r="K127" s="31">
        <v>20</v>
      </c>
      <c r="L127" s="4">
        <v>0.5</v>
      </c>
      <c r="M127" s="32">
        <v>0.72</v>
      </c>
      <c r="N127" s="31">
        <v>0.36</v>
      </c>
      <c r="O127" s="18">
        <v>0.36</v>
      </c>
      <c r="P127" s="18">
        <v>18</v>
      </c>
      <c r="Q127" s="18">
        <v>20</v>
      </c>
      <c r="R127" s="18">
        <v>0.31</v>
      </c>
      <c r="S127" s="18">
        <v>0</v>
      </c>
      <c r="T127" s="65">
        <v>0</v>
      </c>
      <c r="U127" s="18">
        <v>4</v>
      </c>
      <c r="V127" s="18"/>
      <c r="W127" s="18">
        <v>4</v>
      </c>
      <c r="X127" s="18">
        <v>77.5</v>
      </c>
      <c r="Y127" s="18">
        <v>0</v>
      </c>
      <c r="Z127" s="18" t="s">
        <v>330</v>
      </c>
      <c r="AA127" s="18" t="s">
        <v>333</v>
      </c>
      <c r="AB127" s="18" t="s">
        <v>335</v>
      </c>
      <c r="AC127" s="18">
        <v>20</v>
      </c>
      <c r="AD127" s="18">
        <v>18</v>
      </c>
      <c r="AE127" s="18" t="s">
        <v>34</v>
      </c>
      <c r="AF127" s="18" t="s">
        <v>34</v>
      </c>
      <c r="AG127" s="18" t="s">
        <v>34</v>
      </c>
      <c r="AH127" s="18" t="s">
        <v>66</v>
      </c>
      <c r="AI127" s="18" t="s">
        <v>79</v>
      </c>
      <c r="AJ127" s="18" t="s">
        <v>100</v>
      </c>
      <c r="AK127" s="18" t="s">
        <v>111</v>
      </c>
      <c r="AL127" s="18" t="s">
        <v>122</v>
      </c>
      <c r="AM127" s="18" t="s">
        <v>573</v>
      </c>
      <c r="AN127" s="18" t="s">
        <v>273</v>
      </c>
      <c r="AO127" s="18"/>
      <c r="AP127" s="18">
        <v>1</v>
      </c>
      <c r="AQ127" s="36">
        <v>1</v>
      </c>
      <c r="AR127" s="36">
        <v>0</v>
      </c>
      <c r="AS127" s="36">
        <v>0</v>
      </c>
      <c r="AT127" s="36">
        <v>0</v>
      </c>
      <c r="AU127" s="36">
        <v>2</v>
      </c>
      <c r="AV127" s="49">
        <f t="shared" si="9"/>
        <v>0</v>
      </c>
      <c r="AW127" s="49">
        <v>0</v>
      </c>
      <c r="AX127" s="50">
        <v>4</v>
      </c>
      <c r="AY127" s="49">
        <v>2</v>
      </c>
      <c r="AZ127" s="49">
        <v>7</v>
      </c>
      <c r="BA127" s="67">
        <v>3</v>
      </c>
      <c r="BB127" s="67">
        <v>0</v>
      </c>
      <c r="BC127" s="67">
        <v>7</v>
      </c>
      <c r="BD127" s="67">
        <f t="shared" si="10"/>
        <v>0</v>
      </c>
      <c r="BE127" s="67">
        <v>0</v>
      </c>
      <c r="BF127" s="67">
        <v>0</v>
      </c>
      <c r="BG127" s="67">
        <v>0</v>
      </c>
      <c r="BH127" s="67">
        <v>1</v>
      </c>
      <c r="BI127" s="67">
        <v>1</v>
      </c>
      <c r="BJ127" s="67">
        <v>5</v>
      </c>
      <c r="BK127" s="67">
        <v>14</v>
      </c>
      <c r="BL127" s="18">
        <v>13</v>
      </c>
      <c r="BM127" s="18"/>
      <c r="BN127" s="18"/>
    </row>
    <row r="128" spans="1:66" x14ac:dyDescent="0.25">
      <c r="A128" s="18" t="s">
        <v>6</v>
      </c>
      <c r="B128" s="18">
        <v>2024</v>
      </c>
      <c r="C128" s="18" t="s">
        <v>138</v>
      </c>
      <c r="D128" s="18" t="s">
        <v>266</v>
      </c>
      <c r="E128" s="18">
        <v>50</v>
      </c>
      <c r="F128" s="18">
        <v>50</v>
      </c>
      <c r="G128" s="18" t="s">
        <v>154</v>
      </c>
      <c r="H128" s="18"/>
      <c r="I128" s="18" t="s">
        <v>298</v>
      </c>
      <c r="J128" s="31">
        <v>20</v>
      </c>
      <c r="K128" s="31">
        <v>20.5</v>
      </c>
      <c r="L128" s="4">
        <v>0.5</v>
      </c>
      <c r="M128" s="32">
        <v>0.74</v>
      </c>
      <c r="N128" s="31">
        <v>0.37</v>
      </c>
      <c r="O128" s="18">
        <v>0.37</v>
      </c>
      <c r="P128" s="18">
        <v>18.5</v>
      </c>
      <c r="Q128" s="18">
        <v>20</v>
      </c>
      <c r="R128" s="18">
        <v>0.33</v>
      </c>
      <c r="S128" s="18">
        <v>0.2</v>
      </c>
      <c r="T128" s="65">
        <v>40</v>
      </c>
      <c r="U128" s="18">
        <v>3</v>
      </c>
      <c r="V128" s="18"/>
      <c r="W128" s="18">
        <v>3</v>
      </c>
      <c r="X128" s="18">
        <v>110</v>
      </c>
      <c r="Y128" s="18">
        <v>0</v>
      </c>
      <c r="Z128" s="18" t="s">
        <v>330</v>
      </c>
      <c r="AA128" s="18" t="s">
        <v>333</v>
      </c>
      <c r="AB128" s="18" t="s">
        <v>335</v>
      </c>
      <c r="AC128" s="18">
        <v>20</v>
      </c>
      <c r="AD128" s="18">
        <v>18.5</v>
      </c>
      <c r="AE128" s="18" t="s">
        <v>34</v>
      </c>
      <c r="AF128" s="18" t="s">
        <v>34</v>
      </c>
      <c r="AG128" s="18" t="s">
        <v>34</v>
      </c>
      <c r="AH128" s="18" t="s">
        <v>66</v>
      </c>
      <c r="AI128" s="18" t="s">
        <v>79</v>
      </c>
      <c r="AJ128" s="18" t="s">
        <v>100</v>
      </c>
      <c r="AK128" s="18" t="s">
        <v>111</v>
      </c>
      <c r="AL128" s="18" t="s">
        <v>122</v>
      </c>
      <c r="AM128" s="18" t="s">
        <v>573</v>
      </c>
      <c r="AN128" s="18" t="s">
        <v>273</v>
      </c>
      <c r="AO128" s="18"/>
      <c r="AP128" s="18">
        <v>1</v>
      </c>
      <c r="AQ128" s="36">
        <v>1</v>
      </c>
      <c r="AR128" s="36">
        <v>0</v>
      </c>
      <c r="AS128" s="36">
        <v>0</v>
      </c>
      <c r="AT128" s="36">
        <v>0</v>
      </c>
      <c r="AU128" s="36">
        <v>2</v>
      </c>
      <c r="AV128" s="49">
        <f t="shared" si="9"/>
        <v>8</v>
      </c>
      <c r="AW128" s="49">
        <v>0</v>
      </c>
      <c r="AX128" s="50">
        <v>4</v>
      </c>
      <c r="AY128" s="49">
        <v>2</v>
      </c>
      <c r="AZ128" s="49">
        <v>7</v>
      </c>
      <c r="BA128" s="67">
        <v>23</v>
      </c>
      <c r="BB128" s="67">
        <v>0</v>
      </c>
      <c r="BC128" s="67">
        <v>9</v>
      </c>
      <c r="BD128" s="67">
        <f t="shared" si="10"/>
        <v>8</v>
      </c>
      <c r="BE128" s="67">
        <v>0</v>
      </c>
      <c r="BF128" s="67">
        <v>0</v>
      </c>
      <c r="BG128" s="67">
        <v>0</v>
      </c>
      <c r="BH128" s="67">
        <v>1</v>
      </c>
      <c r="BI128" s="67">
        <v>1</v>
      </c>
      <c r="BJ128" s="67">
        <v>5</v>
      </c>
      <c r="BK128" s="67">
        <v>24</v>
      </c>
      <c r="BL128" s="18">
        <v>21</v>
      </c>
      <c r="BM128" s="18"/>
      <c r="BN128" s="18"/>
    </row>
    <row r="129" spans="1:66" x14ac:dyDescent="0.25">
      <c r="A129" s="18" t="s">
        <v>6</v>
      </c>
      <c r="B129" s="18">
        <v>2024</v>
      </c>
      <c r="C129" s="18" t="s">
        <v>138</v>
      </c>
      <c r="D129" s="18" t="s">
        <v>266</v>
      </c>
      <c r="E129" s="18">
        <v>50</v>
      </c>
      <c r="F129" s="18">
        <v>50</v>
      </c>
      <c r="G129" s="18" t="s">
        <v>154</v>
      </c>
      <c r="H129" s="18"/>
      <c r="I129" s="18" t="s">
        <v>298</v>
      </c>
      <c r="J129" s="31">
        <v>20.5</v>
      </c>
      <c r="K129" s="31">
        <v>21</v>
      </c>
      <c r="L129" s="4">
        <v>0.5</v>
      </c>
      <c r="M129" s="32">
        <v>0.78</v>
      </c>
      <c r="N129" s="31">
        <v>0.39</v>
      </c>
      <c r="O129" s="18">
        <v>0.39</v>
      </c>
      <c r="P129" s="18">
        <v>19.5</v>
      </c>
      <c r="Q129" s="18">
        <v>20</v>
      </c>
      <c r="R129" s="18">
        <v>0.35</v>
      </c>
      <c r="S129" s="18">
        <v>0.23</v>
      </c>
      <c r="T129" s="65">
        <v>46</v>
      </c>
      <c r="U129" s="18">
        <v>2</v>
      </c>
      <c r="V129" s="18"/>
      <c r="W129" s="18">
        <v>2</v>
      </c>
      <c r="X129" s="18">
        <v>175</v>
      </c>
      <c r="Y129" s="18">
        <v>0</v>
      </c>
      <c r="Z129" s="18" t="s">
        <v>330</v>
      </c>
      <c r="AA129" s="18" t="s">
        <v>333</v>
      </c>
      <c r="AB129" s="18" t="s">
        <v>335</v>
      </c>
      <c r="AC129" s="18">
        <v>20</v>
      </c>
      <c r="AD129" s="18">
        <v>19.5</v>
      </c>
      <c r="AE129" s="18" t="s">
        <v>34</v>
      </c>
      <c r="AF129" s="18" t="s">
        <v>196</v>
      </c>
      <c r="AG129" s="18" t="s">
        <v>196</v>
      </c>
      <c r="AH129" s="18" t="s">
        <v>66</v>
      </c>
      <c r="AI129" s="18" t="s">
        <v>79</v>
      </c>
      <c r="AJ129" s="18" t="s">
        <v>96</v>
      </c>
      <c r="AK129" s="18" t="s">
        <v>109</v>
      </c>
      <c r="AL129" s="18" t="s">
        <v>120</v>
      </c>
      <c r="AM129" s="18" t="s">
        <v>267</v>
      </c>
      <c r="AN129" s="18" t="s">
        <v>273</v>
      </c>
      <c r="AO129" s="18"/>
      <c r="AP129" s="18">
        <v>1</v>
      </c>
      <c r="AQ129" s="36">
        <v>1</v>
      </c>
      <c r="AR129" s="36">
        <v>1</v>
      </c>
      <c r="AS129" s="36">
        <v>1</v>
      </c>
      <c r="AT129" s="36">
        <v>2</v>
      </c>
      <c r="AU129" s="36">
        <v>6</v>
      </c>
      <c r="AV129" s="49">
        <f t="shared" si="9"/>
        <v>10</v>
      </c>
      <c r="AW129" s="49">
        <v>0</v>
      </c>
      <c r="AX129" s="50">
        <v>4</v>
      </c>
      <c r="AY129" s="49">
        <v>6</v>
      </c>
      <c r="AZ129" s="49">
        <v>15</v>
      </c>
      <c r="BA129" s="67">
        <v>32</v>
      </c>
      <c r="BB129" s="67">
        <v>0</v>
      </c>
      <c r="BC129" s="67">
        <v>12</v>
      </c>
      <c r="BD129" s="67">
        <f t="shared" si="10"/>
        <v>10</v>
      </c>
      <c r="BE129" s="67">
        <v>1</v>
      </c>
      <c r="BF129" s="67">
        <v>1</v>
      </c>
      <c r="BG129" s="67">
        <v>2</v>
      </c>
      <c r="BH129" s="67">
        <v>1</v>
      </c>
      <c r="BI129" s="67">
        <v>1</v>
      </c>
      <c r="BJ129" s="67">
        <v>10</v>
      </c>
      <c r="BK129" s="67">
        <v>38</v>
      </c>
      <c r="BL129" s="18">
        <v>35</v>
      </c>
      <c r="BM129" s="18"/>
      <c r="BN129" s="18"/>
    </row>
    <row r="130" spans="1:66" x14ac:dyDescent="0.25">
      <c r="A130" s="18" t="s">
        <v>6</v>
      </c>
      <c r="B130" s="18">
        <v>2024</v>
      </c>
      <c r="C130" s="18" t="s">
        <v>138</v>
      </c>
      <c r="D130" s="18" t="s">
        <v>266</v>
      </c>
      <c r="E130" s="18">
        <v>50</v>
      </c>
      <c r="F130" s="18">
        <v>50</v>
      </c>
      <c r="G130" s="18" t="s">
        <v>154</v>
      </c>
      <c r="H130" s="18"/>
      <c r="I130" s="18" t="s">
        <v>298</v>
      </c>
      <c r="J130" s="31">
        <v>21</v>
      </c>
      <c r="K130" s="31">
        <v>21.5</v>
      </c>
      <c r="L130" s="4">
        <v>0.5</v>
      </c>
      <c r="M130" s="32">
        <v>0.62</v>
      </c>
      <c r="N130" s="31">
        <v>0.31</v>
      </c>
      <c r="O130" s="18">
        <v>0.31</v>
      </c>
      <c r="P130" s="18">
        <v>15.5</v>
      </c>
      <c r="Q130" s="18">
        <v>20</v>
      </c>
      <c r="R130" s="18">
        <v>0.3</v>
      </c>
      <c r="S130" s="18">
        <v>0.2</v>
      </c>
      <c r="T130" s="65">
        <v>40</v>
      </c>
      <c r="U130" s="18">
        <v>2</v>
      </c>
      <c r="V130" s="18"/>
      <c r="W130" s="18">
        <v>2</v>
      </c>
      <c r="X130" s="18">
        <v>150</v>
      </c>
      <c r="Y130" s="18">
        <v>0</v>
      </c>
      <c r="Z130" s="18" t="s">
        <v>330</v>
      </c>
      <c r="AA130" s="18" t="s">
        <v>333</v>
      </c>
      <c r="AB130" s="18" t="s">
        <v>335</v>
      </c>
      <c r="AC130" s="18">
        <v>20</v>
      </c>
      <c r="AD130" s="18">
        <v>15.5</v>
      </c>
      <c r="AE130" s="18" t="s">
        <v>34</v>
      </c>
      <c r="AF130" s="18" t="s">
        <v>196</v>
      </c>
      <c r="AG130" s="18" t="s">
        <v>196</v>
      </c>
      <c r="AH130" s="18" t="s">
        <v>66</v>
      </c>
      <c r="AI130" s="18" t="s">
        <v>79</v>
      </c>
      <c r="AJ130" s="18" t="s">
        <v>96</v>
      </c>
      <c r="AK130" s="18" t="s">
        <v>109</v>
      </c>
      <c r="AL130" s="18" t="s">
        <v>120</v>
      </c>
      <c r="AM130" s="18" t="s">
        <v>267</v>
      </c>
      <c r="AN130" s="18"/>
      <c r="AO130" s="18"/>
      <c r="AP130" s="18">
        <v>1</v>
      </c>
      <c r="AQ130" s="36">
        <v>1</v>
      </c>
      <c r="AR130" s="36">
        <v>1</v>
      </c>
      <c r="AS130" s="36">
        <v>1</v>
      </c>
      <c r="AT130" s="36">
        <v>2</v>
      </c>
      <c r="AU130" s="36">
        <v>6</v>
      </c>
      <c r="AV130" s="49">
        <f t="shared" si="9"/>
        <v>8</v>
      </c>
      <c r="AW130" s="49">
        <v>0</v>
      </c>
      <c r="AX130" s="50">
        <v>4</v>
      </c>
      <c r="AY130" s="49">
        <v>6</v>
      </c>
      <c r="AZ130" s="49">
        <v>15</v>
      </c>
      <c r="BA130" s="67">
        <v>29</v>
      </c>
      <c r="BB130" s="67">
        <v>0</v>
      </c>
      <c r="BC130" s="67">
        <v>11</v>
      </c>
      <c r="BD130" s="67">
        <f t="shared" si="10"/>
        <v>8</v>
      </c>
      <c r="BE130" s="67">
        <v>1</v>
      </c>
      <c r="BF130" s="67">
        <v>1</v>
      </c>
      <c r="BG130" s="67">
        <v>2</v>
      </c>
      <c r="BH130" s="67">
        <v>1</v>
      </c>
      <c r="BI130" s="67">
        <v>1</v>
      </c>
      <c r="BJ130" s="67">
        <v>10</v>
      </c>
      <c r="BK130" s="67">
        <v>35</v>
      </c>
      <c r="BL130" s="18">
        <v>33</v>
      </c>
      <c r="BM130" s="18"/>
      <c r="BN130" s="18"/>
    </row>
    <row r="131" spans="1:66" x14ac:dyDescent="0.25">
      <c r="A131" s="18" t="s">
        <v>6</v>
      </c>
      <c r="B131" s="18">
        <v>2024</v>
      </c>
      <c r="C131" s="18" t="s">
        <v>138</v>
      </c>
      <c r="D131" s="18" t="s">
        <v>266</v>
      </c>
      <c r="E131" s="18">
        <v>50</v>
      </c>
      <c r="F131" s="18">
        <v>50</v>
      </c>
      <c r="G131" s="18" t="s">
        <v>154</v>
      </c>
      <c r="H131" s="18"/>
      <c r="I131" s="18" t="s">
        <v>298</v>
      </c>
      <c r="J131" s="31">
        <v>21.5</v>
      </c>
      <c r="K131" s="31">
        <v>22</v>
      </c>
      <c r="L131" s="4">
        <v>0.5</v>
      </c>
      <c r="M131" s="32">
        <v>0.82</v>
      </c>
      <c r="N131" s="31">
        <v>0.41</v>
      </c>
      <c r="O131" s="18">
        <v>0.41</v>
      </c>
      <c r="P131" s="18">
        <v>20.5</v>
      </c>
      <c r="Q131" s="18">
        <v>20</v>
      </c>
      <c r="R131" s="18">
        <v>0.36</v>
      </c>
      <c r="S131" s="18">
        <v>0.26</v>
      </c>
      <c r="T131" s="65">
        <v>52</v>
      </c>
      <c r="U131" s="18">
        <v>3</v>
      </c>
      <c r="V131" s="18"/>
      <c r="W131" s="18">
        <v>3</v>
      </c>
      <c r="X131" s="18">
        <v>120</v>
      </c>
      <c r="Y131" s="18">
        <v>0</v>
      </c>
      <c r="Z131" s="18" t="s">
        <v>330</v>
      </c>
      <c r="AA131" s="18" t="s">
        <v>333</v>
      </c>
      <c r="AB131" s="18" t="s">
        <v>335</v>
      </c>
      <c r="AC131" s="18">
        <v>20</v>
      </c>
      <c r="AD131" s="18">
        <v>20.5</v>
      </c>
      <c r="AE131" s="18" t="s">
        <v>34</v>
      </c>
      <c r="AF131" s="18" t="s">
        <v>196</v>
      </c>
      <c r="AG131" s="18" t="s">
        <v>196</v>
      </c>
      <c r="AH131" s="18" t="s">
        <v>66</v>
      </c>
      <c r="AI131" s="18" t="s">
        <v>79</v>
      </c>
      <c r="AJ131" s="18" t="s">
        <v>96</v>
      </c>
      <c r="AK131" s="18" t="s">
        <v>109</v>
      </c>
      <c r="AL131" s="18" t="s">
        <v>120</v>
      </c>
      <c r="AM131" s="18" t="s">
        <v>267</v>
      </c>
      <c r="AN131" s="18"/>
      <c r="AO131" s="18"/>
      <c r="AP131" s="18">
        <v>1</v>
      </c>
      <c r="AQ131" s="36">
        <v>1</v>
      </c>
      <c r="AR131" s="36">
        <v>1</v>
      </c>
      <c r="AS131" s="36">
        <v>1</v>
      </c>
      <c r="AT131" s="36">
        <v>2</v>
      </c>
      <c r="AU131" s="36">
        <v>6</v>
      </c>
      <c r="AV131" s="49">
        <f t="shared" si="9"/>
        <v>11</v>
      </c>
      <c r="AW131" s="49">
        <v>0</v>
      </c>
      <c r="AX131" s="50">
        <v>4</v>
      </c>
      <c r="AY131" s="49">
        <v>6</v>
      </c>
      <c r="AZ131" s="49">
        <v>15</v>
      </c>
      <c r="BA131" s="67">
        <v>35</v>
      </c>
      <c r="BB131" s="67">
        <v>0</v>
      </c>
      <c r="BC131" s="67">
        <v>9</v>
      </c>
      <c r="BD131" s="67">
        <f t="shared" si="10"/>
        <v>11</v>
      </c>
      <c r="BE131" s="67">
        <v>1</v>
      </c>
      <c r="BF131" s="67">
        <v>1</v>
      </c>
      <c r="BG131" s="67">
        <v>2</v>
      </c>
      <c r="BH131" s="67">
        <v>1</v>
      </c>
      <c r="BI131" s="67">
        <v>1</v>
      </c>
      <c r="BJ131" s="67">
        <v>10</v>
      </c>
      <c r="BK131" s="67">
        <v>36</v>
      </c>
      <c r="BL131" s="18">
        <v>36</v>
      </c>
      <c r="BM131" s="18"/>
      <c r="BN131" s="18"/>
    </row>
    <row r="132" spans="1:66" x14ac:dyDescent="0.25">
      <c r="A132" s="18" t="s">
        <v>6</v>
      </c>
      <c r="B132" s="18">
        <v>2024</v>
      </c>
      <c r="C132" s="18" t="s">
        <v>138</v>
      </c>
      <c r="D132" s="18" t="s">
        <v>266</v>
      </c>
      <c r="E132" s="18">
        <v>50</v>
      </c>
      <c r="F132" s="18">
        <v>50</v>
      </c>
      <c r="G132" s="18" t="s">
        <v>154</v>
      </c>
      <c r="H132" s="18"/>
      <c r="I132" s="18" t="s">
        <v>298</v>
      </c>
      <c r="J132" s="31">
        <v>22</v>
      </c>
      <c r="K132" s="31">
        <v>22.5</v>
      </c>
      <c r="L132" s="4">
        <v>0.5</v>
      </c>
      <c r="M132" s="32">
        <v>0.78</v>
      </c>
      <c r="N132" s="31">
        <v>0.39</v>
      </c>
      <c r="O132" s="18">
        <v>0.39</v>
      </c>
      <c r="P132" s="18">
        <v>19.5</v>
      </c>
      <c r="Q132" s="18">
        <v>20</v>
      </c>
      <c r="R132" s="18">
        <v>0.33</v>
      </c>
      <c r="S132" s="18">
        <v>0.19</v>
      </c>
      <c r="T132" s="65">
        <v>38</v>
      </c>
      <c r="U132" s="18">
        <v>3</v>
      </c>
      <c r="V132" s="18"/>
      <c r="W132" s="131">
        <v>3</v>
      </c>
      <c r="X132" s="18">
        <v>110</v>
      </c>
      <c r="Y132" s="18">
        <v>0</v>
      </c>
      <c r="Z132" s="18" t="s">
        <v>330</v>
      </c>
      <c r="AA132" s="18" t="s">
        <v>333</v>
      </c>
      <c r="AB132" s="18" t="s">
        <v>335</v>
      </c>
      <c r="AC132" s="18">
        <v>20</v>
      </c>
      <c r="AD132" s="18">
        <v>19.5</v>
      </c>
      <c r="AE132" s="18" t="s">
        <v>34</v>
      </c>
      <c r="AF132" s="18" t="s">
        <v>196</v>
      </c>
      <c r="AG132" s="131" t="s">
        <v>196</v>
      </c>
      <c r="AH132" s="131" t="s">
        <v>66</v>
      </c>
      <c r="AI132" s="131" t="s">
        <v>79</v>
      </c>
      <c r="AJ132" s="131" t="s">
        <v>96</v>
      </c>
      <c r="AK132" s="131" t="s">
        <v>109</v>
      </c>
      <c r="AL132" s="131" t="s">
        <v>122</v>
      </c>
      <c r="AM132" s="131" t="s">
        <v>267</v>
      </c>
      <c r="AN132" s="18" t="s">
        <v>275</v>
      </c>
      <c r="AO132" s="18"/>
      <c r="AP132" s="18">
        <v>1</v>
      </c>
      <c r="AQ132" s="36">
        <v>1</v>
      </c>
      <c r="AR132" s="36">
        <v>1</v>
      </c>
      <c r="AS132" s="36">
        <v>1</v>
      </c>
      <c r="AT132" s="36">
        <v>0</v>
      </c>
      <c r="AU132" s="36">
        <v>4</v>
      </c>
      <c r="AV132" s="49">
        <f t="shared" ref="AV132:AV139" si="12">ROUND(-0.0002*POWER(T132,2)+0.2197*T132,0)</f>
        <v>8</v>
      </c>
      <c r="AW132" s="49">
        <v>0</v>
      </c>
      <c r="AX132" s="50">
        <v>4</v>
      </c>
      <c r="AY132" s="49">
        <v>4</v>
      </c>
      <c r="AZ132" s="49">
        <v>15</v>
      </c>
      <c r="BA132" s="67">
        <v>25</v>
      </c>
      <c r="BB132" s="67">
        <v>0</v>
      </c>
      <c r="BC132" s="67">
        <v>9</v>
      </c>
      <c r="BD132" s="67">
        <f t="shared" ref="BD132:BD139" si="13">ROUND(-0.0002*POWER(T132,2)+0.2197*T132,0)</f>
        <v>8</v>
      </c>
      <c r="BE132" s="67">
        <v>1</v>
      </c>
      <c r="BF132" s="67">
        <v>1</v>
      </c>
      <c r="BG132" s="67">
        <v>0</v>
      </c>
      <c r="BH132" s="67">
        <v>1</v>
      </c>
      <c r="BI132" s="67">
        <v>1</v>
      </c>
      <c r="BJ132" s="67">
        <v>10</v>
      </c>
      <c r="BK132" s="67">
        <v>31</v>
      </c>
      <c r="BL132" s="18">
        <v>31</v>
      </c>
      <c r="BM132" s="18"/>
      <c r="BN132" s="18"/>
    </row>
    <row r="133" spans="1:66" x14ac:dyDescent="0.25">
      <c r="A133" s="18" t="s">
        <v>6</v>
      </c>
      <c r="B133" s="18">
        <v>2024</v>
      </c>
      <c r="C133" s="18" t="s">
        <v>138</v>
      </c>
      <c r="D133" s="18" t="s">
        <v>266</v>
      </c>
      <c r="E133" s="18">
        <v>50</v>
      </c>
      <c r="F133" s="18">
        <v>50</v>
      </c>
      <c r="G133" s="18" t="s">
        <v>154</v>
      </c>
      <c r="H133" s="18"/>
      <c r="I133" s="18" t="s">
        <v>298</v>
      </c>
      <c r="J133" s="31">
        <v>22.5</v>
      </c>
      <c r="K133" s="31">
        <v>23</v>
      </c>
      <c r="L133" s="4">
        <v>0.5</v>
      </c>
      <c r="M133" s="32">
        <v>0.74</v>
      </c>
      <c r="N133" s="31">
        <v>0.37</v>
      </c>
      <c r="O133" s="18">
        <v>0.37</v>
      </c>
      <c r="P133" s="18">
        <v>18.5</v>
      </c>
      <c r="Q133" s="18">
        <v>20</v>
      </c>
      <c r="R133" s="18">
        <v>0.28000000000000003</v>
      </c>
      <c r="S133" s="18">
        <v>0.26</v>
      </c>
      <c r="T133" s="65">
        <v>52</v>
      </c>
      <c r="U133" s="18">
        <v>3</v>
      </c>
      <c r="V133" s="18"/>
      <c r="W133" s="18">
        <v>3</v>
      </c>
      <c r="X133" s="18">
        <v>93.333333333333329</v>
      </c>
      <c r="Y133" s="18">
        <v>0</v>
      </c>
      <c r="Z133" s="18" t="s">
        <v>330</v>
      </c>
      <c r="AA133" s="18" t="s">
        <v>333</v>
      </c>
      <c r="AB133" s="18" t="s">
        <v>335</v>
      </c>
      <c r="AC133" s="18">
        <v>20</v>
      </c>
      <c r="AD133" s="18">
        <v>18.5</v>
      </c>
      <c r="AE133" s="18" t="s">
        <v>34</v>
      </c>
      <c r="AF133" s="18" t="s">
        <v>196</v>
      </c>
      <c r="AG133" s="18" t="s">
        <v>196</v>
      </c>
      <c r="AH133" s="18" t="s">
        <v>66</v>
      </c>
      <c r="AI133" s="18" t="s">
        <v>79</v>
      </c>
      <c r="AJ133" s="18" t="s">
        <v>96</v>
      </c>
      <c r="AK133" s="18" t="s">
        <v>109</v>
      </c>
      <c r="AL133" s="18" t="s">
        <v>122</v>
      </c>
      <c r="AM133" s="18" t="s">
        <v>267</v>
      </c>
      <c r="AN133" s="18" t="s">
        <v>205</v>
      </c>
      <c r="AO133" s="18"/>
      <c r="AP133" s="18">
        <v>1</v>
      </c>
      <c r="AQ133" s="36">
        <v>1</v>
      </c>
      <c r="AR133" s="36">
        <v>1</v>
      </c>
      <c r="AS133" s="36">
        <v>1</v>
      </c>
      <c r="AT133" s="36">
        <v>0</v>
      </c>
      <c r="AU133" s="36">
        <v>4</v>
      </c>
      <c r="AV133" s="49">
        <f t="shared" si="12"/>
        <v>11</v>
      </c>
      <c r="AW133" s="49">
        <v>0</v>
      </c>
      <c r="AX133" s="50">
        <v>4</v>
      </c>
      <c r="AY133" s="49">
        <v>4</v>
      </c>
      <c r="AZ133" s="49">
        <v>15</v>
      </c>
      <c r="BA133" s="67">
        <v>32</v>
      </c>
      <c r="BB133" s="67">
        <v>0</v>
      </c>
      <c r="BC133" s="67">
        <v>8</v>
      </c>
      <c r="BD133" s="67">
        <f t="shared" si="13"/>
        <v>11</v>
      </c>
      <c r="BE133" s="67">
        <v>1</v>
      </c>
      <c r="BF133" s="67">
        <v>1</v>
      </c>
      <c r="BG133" s="67">
        <v>0</v>
      </c>
      <c r="BH133" s="67">
        <v>1</v>
      </c>
      <c r="BI133" s="67">
        <v>1</v>
      </c>
      <c r="BJ133" s="67">
        <v>10</v>
      </c>
      <c r="BK133" s="67">
        <v>33</v>
      </c>
      <c r="BL133" s="18">
        <v>34</v>
      </c>
      <c r="BM133" s="18"/>
      <c r="BN133" s="18"/>
    </row>
    <row r="134" spans="1:66" x14ac:dyDescent="0.25">
      <c r="A134" s="18" t="s">
        <v>6</v>
      </c>
      <c r="B134" s="18">
        <v>2024</v>
      </c>
      <c r="C134" s="18" t="s">
        <v>138</v>
      </c>
      <c r="D134" s="18" t="s">
        <v>266</v>
      </c>
      <c r="E134" s="18">
        <v>50</v>
      </c>
      <c r="F134" s="18">
        <v>50</v>
      </c>
      <c r="G134" s="18" t="s">
        <v>154</v>
      </c>
      <c r="H134" s="18"/>
      <c r="I134" s="18" t="s">
        <v>298</v>
      </c>
      <c r="J134" s="31">
        <v>23</v>
      </c>
      <c r="K134" s="31">
        <v>23.5</v>
      </c>
      <c r="L134" s="4">
        <v>0.5</v>
      </c>
      <c r="M134" s="32">
        <v>0.74</v>
      </c>
      <c r="N134" s="31">
        <v>0.37</v>
      </c>
      <c r="O134" s="18">
        <v>0.37</v>
      </c>
      <c r="P134" s="18">
        <v>18.5</v>
      </c>
      <c r="Q134" s="18">
        <v>20</v>
      </c>
      <c r="R134" s="18">
        <v>0.3</v>
      </c>
      <c r="S134" s="18">
        <v>0.17</v>
      </c>
      <c r="T134" s="65">
        <v>34</v>
      </c>
      <c r="U134" s="18">
        <v>3</v>
      </c>
      <c r="V134" s="18"/>
      <c r="W134" s="18">
        <v>3</v>
      </c>
      <c r="X134" s="18">
        <v>100</v>
      </c>
      <c r="Y134" s="18">
        <v>0</v>
      </c>
      <c r="Z134" s="18" t="s">
        <v>330</v>
      </c>
      <c r="AA134" s="18" t="s">
        <v>333</v>
      </c>
      <c r="AB134" s="18" t="s">
        <v>335</v>
      </c>
      <c r="AC134" s="18">
        <v>20</v>
      </c>
      <c r="AD134" s="18">
        <v>18.5</v>
      </c>
      <c r="AE134" s="18" t="s">
        <v>34</v>
      </c>
      <c r="AF134" s="18" t="s">
        <v>34</v>
      </c>
      <c r="AG134" s="18" t="s">
        <v>34</v>
      </c>
      <c r="AH134" s="18" t="s">
        <v>66</v>
      </c>
      <c r="AI134" s="18" t="s">
        <v>81</v>
      </c>
      <c r="AJ134" s="18" t="s">
        <v>96</v>
      </c>
      <c r="AK134" s="18" t="s">
        <v>109</v>
      </c>
      <c r="AL134" s="18" t="s">
        <v>122</v>
      </c>
      <c r="AM134" s="18" t="s">
        <v>267</v>
      </c>
      <c r="AN134" s="18" t="s">
        <v>276</v>
      </c>
      <c r="AO134" s="18"/>
      <c r="AP134" s="18">
        <v>1</v>
      </c>
      <c r="AQ134" s="36">
        <v>0</v>
      </c>
      <c r="AR134" s="36">
        <v>1</v>
      </c>
      <c r="AS134" s="36">
        <v>1</v>
      </c>
      <c r="AT134" s="36">
        <v>0</v>
      </c>
      <c r="AU134" s="36">
        <v>3</v>
      </c>
      <c r="AV134" s="49">
        <f t="shared" si="12"/>
        <v>7</v>
      </c>
      <c r="AW134" s="49">
        <v>0</v>
      </c>
      <c r="AX134" s="50">
        <v>4</v>
      </c>
      <c r="AY134" s="49">
        <v>3</v>
      </c>
      <c r="AZ134" s="49">
        <v>15</v>
      </c>
      <c r="BA134" s="67">
        <v>21.5</v>
      </c>
      <c r="BB134" s="67">
        <v>0</v>
      </c>
      <c r="BC134" s="67">
        <v>8</v>
      </c>
      <c r="BD134" s="67">
        <f t="shared" si="13"/>
        <v>7</v>
      </c>
      <c r="BE134" s="67">
        <v>1</v>
      </c>
      <c r="BF134" s="67">
        <v>1</v>
      </c>
      <c r="BG134" s="67">
        <v>0</v>
      </c>
      <c r="BH134" s="67">
        <v>0</v>
      </c>
      <c r="BI134" s="67">
        <v>1</v>
      </c>
      <c r="BJ134" s="67">
        <v>10</v>
      </c>
      <c r="BK134" s="67">
        <v>28</v>
      </c>
      <c r="BL134" s="18">
        <v>29</v>
      </c>
      <c r="BM134" s="18"/>
      <c r="BN134" s="18"/>
    </row>
    <row r="135" spans="1:66" x14ac:dyDescent="0.25">
      <c r="A135" s="18" t="s">
        <v>6</v>
      </c>
      <c r="B135" s="18">
        <v>2024</v>
      </c>
      <c r="C135" s="18" t="s">
        <v>138</v>
      </c>
      <c r="D135" s="18" t="s">
        <v>266</v>
      </c>
      <c r="E135" s="18">
        <v>50</v>
      </c>
      <c r="F135" s="18">
        <v>50</v>
      </c>
      <c r="G135" s="18" t="s">
        <v>154</v>
      </c>
      <c r="H135" s="18"/>
      <c r="I135" s="18" t="s">
        <v>298</v>
      </c>
      <c r="J135" s="31">
        <v>23.5</v>
      </c>
      <c r="K135" s="31">
        <v>24</v>
      </c>
      <c r="L135" s="4">
        <v>0.5</v>
      </c>
      <c r="M135" s="32">
        <v>0.6</v>
      </c>
      <c r="N135" s="31">
        <v>0.3</v>
      </c>
      <c r="O135" s="18">
        <v>0.3</v>
      </c>
      <c r="P135" s="18">
        <v>15</v>
      </c>
      <c r="Q135" s="18">
        <v>20</v>
      </c>
      <c r="R135" s="93">
        <v>0.26</v>
      </c>
      <c r="S135" s="18">
        <v>0.11</v>
      </c>
      <c r="T135" s="65">
        <v>22</v>
      </c>
      <c r="U135" s="18">
        <v>3</v>
      </c>
      <c r="V135" s="18"/>
      <c r="W135" s="18">
        <v>3</v>
      </c>
      <c r="X135" s="18">
        <v>86.666666666666671</v>
      </c>
      <c r="Y135" s="18">
        <v>0</v>
      </c>
      <c r="Z135" s="18" t="s">
        <v>330</v>
      </c>
      <c r="AA135" s="18" t="s">
        <v>333</v>
      </c>
      <c r="AB135" s="18" t="s">
        <v>336</v>
      </c>
      <c r="AC135" s="18">
        <v>20</v>
      </c>
      <c r="AD135" s="18">
        <v>15</v>
      </c>
      <c r="AE135" s="18" t="s">
        <v>32</v>
      </c>
      <c r="AF135" s="18" t="s">
        <v>32</v>
      </c>
      <c r="AG135" s="18" t="s">
        <v>32</v>
      </c>
      <c r="AH135" s="18" t="s">
        <v>64</v>
      </c>
      <c r="AI135" s="18" t="s">
        <v>79</v>
      </c>
      <c r="AJ135" s="18" t="s">
        <v>96</v>
      </c>
      <c r="AK135" s="18" t="s">
        <v>109</v>
      </c>
      <c r="AL135" s="18" t="s">
        <v>120</v>
      </c>
      <c r="AM135" s="18" t="s">
        <v>267</v>
      </c>
      <c r="AN135" s="18" t="s">
        <v>277</v>
      </c>
      <c r="AO135" s="18"/>
      <c r="AP135" s="18">
        <v>2</v>
      </c>
      <c r="AQ135" s="36">
        <v>1</v>
      </c>
      <c r="AR135" s="36">
        <v>1</v>
      </c>
      <c r="AS135" s="36">
        <v>1</v>
      </c>
      <c r="AT135" s="36">
        <v>2</v>
      </c>
      <c r="AU135" s="36">
        <v>7</v>
      </c>
      <c r="AV135" s="49">
        <f t="shared" si="12"/>
        <v>5</v>
      </c>
      <c r="AW135" s="49">
        <v>1</v>
      </c>
      <c r="AX135" s="50">
        <v>4</v>
      </c>
      <c r="AY135" s="49">
        <v>7</v>
      </c>
      <c r="AZ135" s="49">
        <v>15</v>
      </c>
      <c r="BA135" s="67">
        <v>21.5</v>
      </c>
      <c r="BB135" s="67">
        <v>1</v>
      </c>
      <c r="BC135" s="67">
        <v>7</v>
      </c>
      <c r="BD135" s="67">
        <f t="shared" si="13"/>
        <v>5</v>
      </c>
      <c r="BE135" s="67">
        <v>1</v>
      </c>
      <c r="BF135" s="67">
        <v>1</v>
      </c>
      <c r="BG135" s="67">
        <v>2</v>
      </c>
      <c r="BH135" s="67">
        <v>1</v>
      </c>
      <c r="BI135" s="67">
        <v>3</v>
      </c>
      <c r="BJ135" s="67">
        <v>10</v>
      </c>
      <c r="BK135" s="67">
        <v>31</v>
      </c>
      <c r="BL135" s="18">
        <v>32</v>
      </c>
      <c r="BM135" s="18"/>
      <c r="BN135" s="18"/>
    </row>
    <row r="136" spans="1:66" x14ac:dyDescent="0.25">
      <c r="A136" s="18" t="s">
        <v>6</v>
      </c>
      <c r="B136" s="18">
        <v>2024</v>
      </c>
      <c r="C136" s="18" t="s">
        <v>138</v>
      </c>
      <c r="D136" s="18" t="s">
        <v>266</v>
      </c>
      <c r="E136" s="18">
        <v>50</v>
      </c>
      <c r="F136" s="18">
        <v>50</v>
      </c>
      <c r="G136" s="18" t="s">
        <v>154</v>
      </c>
      <c r="H136" s="18"/>
      <c r="I136" s="18" t="s">
        <v>298</v>
      </c>
      <c r="J136" s="31">
        <v>24</v>
      </c>
      <c r="K136" s="31">
        <v>24.5</v>
      </c>
      <c r="L136" s="4">
        <v>0.5</v>
      </c>
      <c r="M136" s="32">
        <v>0.7</v>
      </c>
      <c r="N136" s="31">
        <v>0.35</v>
      </c>
      <c r="O136" s="18">
        <v>0.35</v>
      </c>
      <c r="P136" s="18">
        <v>17.5</v>
      </c>
      <c r="Q136" s="18">
        <v>20</v>
      </c>
      <c r="R136" s="18">
        <v>0.36</v>
      </c>
      <c r="S136" s="18">
        <v>0.33</v>
      </c>
      <c r="T136" s="65">
        <v>66</v>
      </c>
      <c r="U136" s="18">
        <v>2</v>
      </c>
      <c r="V136" s="18"/>
      <c r="W136" s="18">
        <v>2</v>
      </c>
      <c r="X136" s="18">
        <v>180</v>
      </c>
      <c r="Y136" s="18">
        <v>0</v>
      </c>
      <c r="Z136" s="18" t="s">
        <v>330</v>
      </c>
      <c r="AA136" s="18" t="s">
        <v>333</v>
      </c>
      <c r="AB136" s="18" t="s">
        <v>336</v>
      </c>
      <c r="AC136" s="18">
        <v>20</v>
      </c>
      <c r="AD136" s="18">
        <v>17.5</v>
      </c>
      <c r="AE136" s="18" t="s">
        <v>32</v>
      </c>
      <c r="AF136" s="18" t="s">
        <v>34</v>
      </c>
      <c r="AG136" s="18" t="s">
        <v>34</v>
      </c>
      <c r="AH136" s="18" t="s">
        <v>66</v>
      </c>
      <c r="AI136" s="18" t="s">
        <v>81</v>
      </c>
      <c r="AJ136" s="18" t="s">
        <v>100</v>
      </c>
      <c r="AK136" s="18" t="s">
        <v>107</v>
      </c>
      <c r="AL136" s="18" t="s">
        <v>120</v>
      </c>
      <c r="AM136" s="18" t="s">
        <v>267</v>
      </c>
      <c r="AN136" s="18" t="s">
        <v>275</v>
      </c>
      <c r="AO136" s="18"/>
      <c r="AP136" s="18">
        <v>1</v>
      </c>
      <c r="AQ136" s="36">
        <v>0</v>
      </c>
      <c r="AR136" s="36">
        <v>0</v>
      </c>
      <c r="AS136" s="36">
        <v>3</v>
      </c>
      <c r="AT136" s="36">
        <v>2</v>
      </c>
      <c r="AU136" s="36">
        <v>6</v>
      </c>
      <c r="AV136" s="49">
        <f t="shared" si="12"/>
        <v>14</v>
      </c>
      <c r="AW136" s="49">
        <v>1</v>
      </c>
      <c r="AX136" s="50">
        <v>4</v>
      </c>
      <c r="AY136" s="49">
        <v>6</v>
      </c>
      <c r="AZ136" s="49">
        <v>15</v>
      </c>
      <c r="BA136" s="67">
        <v>42</v>
      </c>
      <c r="BB136" s="67">
        <v>1</v>
      </c>
      <c r="BC136" s="67">
        <v>12</v>
      </c>
      <c r="BD136" s="67">
        <f t="shared" si="13"/>
        <v>14</v>
      </c>
      <c r="BE136" s="67">
        <v>0</v>
      </c>
      <c r="BF136" s="67">
        <v>3</v>
      </c>
      <c r="BG136" s="67">
        <v>2</v>
      </c>
      <c r="BH136" s="67">
        <v>0</v>
      </c>
      <c r="BI136" s="67">
        <v>1</v>
      </c>
      <c r="BJ136" s="67">
        <v>10</v>
      </c>
      <c r="BK136" s="67">
        <v>43</v>
      </c>
      <c r="BL136" s="18">
        <v>40</v>
      </c>
      <c r="BM136" s="18"/>
      <c r="BN136" s="18"/>
    </row>
    <row r="137" spans="1:66" x14ac:dyDescent="0.25">
      <c r="A137" s="18" t="s">
        <v>6</v>
      </c>
      <c r="B137" s="18">
        <v>2024</v>
      </c>
      <c r="C137" s="18" t="s">
        <v>138</v>
      </c>
      <c r="D137" s="18" t="s">
        <v>266</v>
      </c>
      <c r="E137" s="18">
        <v>50</v>
      </c>
      <c r="F137" s="18">
        <v>50</v>
      </c>
      <c r="G137" s="18" t="s">
        <v>154</v>
      </c>
      <c r="H137" s="18"/>
      <c r="I137" s="18" t="s">
        <v>298</v>
      </c>
      <c r="J137" s="31">
        <v>24.5</v>
      </c>
      <c r="K137" s="31">
        <v>25</v>
      </c>
      <c r="L137" s="4">
        <v>0.5</v>
      </c>
      <c r="M137" s="32">
        <v>0.88</v>
      </c>
      <c r="N137" s="31">
        <v>0.44</v>
      </c>
      <c r="O137" s="18">
        <v>0.44</v>
      </c>
      <c r="P137" s="18">
        <v>22</v>
      </c>
      <c r="Q137" s="18">
        <v>20</v>
      </c>
      <c r="R137" s="18">
        <v>0.37</v>
      </c>
      <c r="S137" s="18">
        <v>0.1</v>
      </c>
      <c r="T137" s="65">
        <v>20</v>
      </c>
      <c r="U137" s="18">
        <v>3</v>
      </c>
      <c r="V137" s="18"/>
      <c r="W137" s="18">
        <v>3</v>
      </c>
      <c r="X137" s="18">
        <v>123.33333333333333</v>
      </c>
      <c r="Y137" s="18">
        <v>0</v>
      </c>
      <c r="Z137" s="18" t="s">
        <v>330</v>
      </c>
      <c r="AA137" s="18" t="s">
        <v>333</v>
      </c>
      <c r="AB137" s="18" t="s">
        <v>336</v>
      </c>
      <c r="AC137" s="18">
        <v>20</v>
      </c>
      <c r="AD137" s="18">
        <v>22</v>
      </c>
      <c r="AE137" s="18" t="s">
        <v>32</v>
      </c>
      <c r="AF137" s="18" t="s">
        <v>34</v>
      </c>
      <c r="AG137" s="18" t="s">
        <v>34</v>
      </c>
      <c r="AH137" s="18" t="s">
        <v>66</v>
      </c>
      <c r="AI137" s="18" t="s">
        <v>81</v>
      </c>
      <c r="AJ137" s="18" t="s">
        <v>96</v>
      </c>
      <c r="AK137" s="18" t="s">
        <v>109</v>
      </c>
      <c r="AL137" s="18" t="s">
        <v>120</v>
      </c>
      <c r="AM137" s="18" t="s">
        <v>267</v>
      </c>
      <c r="AN137" s="18" t="s">
        <v>278</v>
      </c>
      <c r="AO137" s="18"/>
      <c r="AP137" s="18">
        <v>1</v>
      </c>
      <c r="AQ137" s="36">
        <v>0</v>
      </c>
      <c r="AR137" s="36">
        <v>1</v>
      </c>
      <c r="AS137" s="36">
        <v>1</v>
      </c>
      <c r="AT137" s="36">
        <v>2</v>
      </c>
      <c r="AU137" s="36">
        <v>5</v>
      </c>
      <c r="AV137" s="49">
        <f t="shared" si="12"/>
        <v>4</v>
      </c>
      <c r="AW137" s="49">
        <v>1</v>
      </c>
      <c r="AX137" s="50">
        <v>4</v>
      </c>
      <c r="AY137" s="49">
        <v>5</v>
      </c>
      <c r="AZ137" s="49">
        <v>15</v>
      </c>
      <c r="BA137" s="67">
        <v>17.5</v>
      </c>
      <c r="BB137" s="67">
        <v>1</v>
      </c>
      <c r="BC137" s="67">
        <v>9</v>
      </c>
      <c r="BD137" s="67">
        <f t="shared" si="13"/>
        <v>4</v>
      </c>
      <c r="BE137" s="67">
        <v>1</v>
      </c>
      <c r="BF137" s="67">
        <v>1</v>
      </c>
      <c r="BG137" s="67">
        <v>2</v>
      </c>
      <c r="BH137" s="67">
        <v>0</v>
      </c>
      <c r="BI137" s="67">
        <v>1</v>
      </c>
      <c r="BJ137" s="67">
        <v>10</v>
      </c>
      <c r="BK137" s="67">
        <v>29</v>
      </c>
      <c r="BL137" s="18">
        <v>29</v>
      </c>
      <c r="BM137" s="18"/>
      <c r="BN137" s="18"/>
    </row>
    <row r="138" spans="1:66" x14ac:dyDescent="0.25">
      <c r="A138" s="18" t="s">
        <v>6</v>
      </c>
      <c r="B138" s="18">
        <v>2024</v>
      </c>
      <c r="C138" s="18" t="s">
        <v>138</v>
      </c>
      <c r="D138" s="18" t="s">
        <v>266</v>
      </c>
      <c r="E138" s="18">
        <v>50</v>
      </c>
      <c r="F138" s="18">
        <v>50</v>
      </c>
      <c r="G138" s="18" t="s">
        <v>154</v>
      </c>
      <c r="H138" s="18"/>
      <c r="I138" s="18" t="s">
        <v>298</v>
      </c>
      <c r="J138" s="31">
        <v>25</v>
      </c>
      <c r="K138" s="31">
        <v>25.5</v>
      </c>
      <c r="L138" s="4">
        <v>0.5</v>
      </c>
      <c r="M138" s="32">
        <v>0.81</v>
      </c>
      <c r="N138" s="31">
        <v>0.40500000000000003</v>
      </c>
      <c r="O138" s="18">
        <v>0.40500000000000003</v>
      </c>
      <c r="P138" s="18">
        <v>20.25</v>
      </c>
      <c r="Q138" s="18">
        <v>20</v>
      </c>
      <c r="R138" s="18">
        <v>0.39</v>
      </c>
      <c r="S138" s="18">
        <v>0.21</v>
      </c>
      <c r="T138" s="65">
        <v>42</v>
      </c>
      <c r="U138" s="18">
        <v>4</v>
      </c>
      <c r="V138" s="18"/>
      <c r="W138" s="18">
        <v>4</v>
      </c>
      <c r="X138" s="18">
        <v>97.5</v>
      </c>
      <c r="Y138" s="18">
        <v>0</v>
      </c>
      <c r="Z138" s="18" t="s">
        <v>330</v>
      </c>
      <c r="AA138" s="18" t="s">
        <v>333</v>
      </c>
      <c r="AB138" s="18" t="s">
        <v>336</v>
      </c>
      <c r="AC138" s="18">
        <v>20</v>
      </c>
      <c r="AD138" s="18">
        <v>20.25</v>
      </c>
      <c r="AE138" s="18" t="s">
        <v>32</v>
      </c>
      <c r="AF138" s="18" t="s">
        <v>34</v>
      </c>
      <c r="AG138" s="18" t="s">
        <v>34</v>
      </c>
      <c r="AH138" s="18" t="s">
        <v>66</v>
      </c>
      <c r="AI138" s="18" t="s">
        <v>81</v>
      </c>
      <c r="AJ138" s="18" t="s">
        <v>96</v>
      </c>
      <c r="AK138" s="18" t="s">
        <v>109</v>
      </c>
      <c r="AL138" s="18" t="s">
        <v>120</v>
      </c>
      <c r="AM138" s="18" t="s">
        <v>267</v>
      </c>
      <c r="AN138" s="18" t="s">
        <v>279</v>
      </c>
      <c r="AO138" s="18"/>
      <c r="AP138" s="18">
        <v>1</v>
      </c>
      <c r="AQ138" s="36">
        <v>0</v>
      </c>
      <c r="AR138" s="36">
        <v>1</v>
      </c>
      <c r="AS138" s="36">
        <v>1</v>
      </c>
      <c r="AT138" s="36">
        <v>2</v>
      </c>
      <c r="AU138" s="36">
        <v>5</v>
      </c>
      <c r="AV138" s="49">
        <f t="shared" si="12"/>
        <v>9</v>
      </c>
      <c r="AW138" s="49">
        <v>1</v>
      </c>
      <c r="AX138" s="50">
        <v>4</v>
      </c>
      <c r="AY138" s="49">
        <v>5</v>
      </c>
      <c r="AZ138" s="49">
        <v>15</v>
      </c>
      <c r="BA138" s="67">
        <v>28.5</v>
      </c>
      <c r="BB138" s="67">
        <v>1</v>
      </c>
      <c r="BC138" s="67">
        <v>8</v>
      </c>
      <c r="BD138" s="67">
        <f t="shared" si="13"/>
        <v>9</v>
      </c>
      <c r="BE138" s="67">
        <v>1</v>
      </c>
      <c r="BF138" s="67">
        <v>1</v>
      </c>
      <c r="BG138" s="67">
        <v>2</v>
      </c>
      <c r="BH138" s="67">
        <v>0</v>
      </c>
      <c r="BI138" s="67">
        <v>1</v>
      </c>
      <c r="BJ138" s="67">
        <v>10</v>
      </c>
      <c r="BK138" s="67">
        <v>33</v>
      </c>
      <c r="BL138" s="18">
        <v>34</v>
      </c>
      <c r="BM138" s="18"/>
      <c r="BN138" s="18"/>
    </row>
    <row r="139" spans="1:66" x14ac:dyDescent="0.25">
      <c r="A139" s="18" t="s">
        <v>6</v>
      </c>
      <c r="B139" s="18">
        <v>2024</v>
      </c>
      <c r="C139" s="18" t="s">
        <v>138</v>
      </c>
      <c r="D139" s="18" t="s">
        <v>266</v>
      </c>
      <c r="E139" s="18">
        <v>50</v>
      </c>
      <c r="F139" s="18">
        <v>50</v>
      </c>
      <c r="G139" s="18" t="s">
        <v>154</v>
      </c>
      <c r="H139" s="18"/>
      <c r="I139" s="18" t="s">
        <v>298</v>
      </c>
      <c r="J139" s="31">
        <v>25.5</v>
      </c>
      <c r="K139" s="31">
        <v>26</v>
      </c>
      <c r="L139" s="4">
        <v>0.5</v>
      </c>
      <c r="M139" s="32">
        <v>0.94</v>
      </c>
      <c r="N139" s="31">
        <v>0.47</v>
      </c>
      <c r="O139" s="18">
        <v>0.47</v>
      </c>
      <c r="P139" s="18">
        <v>23.5</v>
      </c>
      <c r="Q139" s="18">
        <v>20</v>
      </c>
      <c r="R139" s="18">
        <v>0.38</v>
      </c>
      <c r="S139" s="18">
        <v>0.12</v>
      </c>
      <c r="T139" s="65">
        <v>24</v>
      </c>
      <c r="U139" s="18">
        <v>6</v>
      </c>
      <c r="V139" s="18"/>
      <c r="W139" s="18">
        <v>6</v>
      </c>
      <c r="X139" s="18">
        <v>63.333333333333336</v>
      </c>
      <c r="Y139" s="18">
        <v>0</v>
      </c>
      <c r="Z139" s="18" t="s">
        <v>330</v>
      </c>
      <c r="AA139" s="18" t="s">
        <v>333</v>
      </c>
      <c r="AB139" s="18" t="s">
        <v>336</v>
      </c>
      <c r="AC139" s="18">
        <v>20</v>
      </c>
      <c r="AD139" s="18">
        <v>23.5</v>
      </c>
      <c r="AE139" s="18" t="s">
        <v>32</v>
      </c>
      <c r="AF139" s="18" t="s">
        <v>34</v>
      </c>
      <c r="AG139" s="18" t="s">
        <v>34</v>
      </c>
      <c r="AH139" s="18" t="s">
        <v>69</v>
      </c>
      <c r="AI139" s="18" t="s">
        <v>81</v>
      </c>
      <c r="AJ139" s="18" t="s">
        <v>100</v>
      </c>
      <c r="AK139" s="18" t="s">
        <v>109</v>
      </c>
      <c r="AL139" s="18" t="s">
        <v>122</v>
      </c>
      <c r="AM139" s="18" t="s">
        <v>267</v>
      </c>
      <c r="AN139" s="18" t="s">
        <v>280</v>
      </c>
      <c r="AO139" s="18"/>
      <c r="AP139" s="18">
        <v>0</v>
      </c>
      <c r="AQ139" s="36">
        <v>0</v>
      </c>
      <c r="AR139" s="36">
        <v>0</v>
      </c>
      <c r="AS139" s="36">
        <v>1</v>
      </c>
      <c r="AT139" s="36">
        <v>0</v>
      </c>
      <c r="AU139" s="36">
        <v>1</v>
      </c>
      <c r="AV139" s="49">
        <f t="shared" si="12"/>
        <v>5</v>
      </c>
      <c r="AW139" s="49">
        <v>1</v>
      </c>
      <c r="AX139" s="50">
        <v>4</v>
      </c>
      <c r="AY139" s="49">
        <v>1</v>
      </c>
      <c r="AZ139" s="49">
        <v>15</v>
      </c>
      <c r="BA139" s="67">
        <v>13.5</v>
      </c>
      <c r="BB139" s="67">
        <v>1</v>
      </c>
      <c r="BC139" s="67">
        <v>5</v>
      </c>
      <c r="BD139" s="67">
        <f t="shared" si="13"/>
        <v>5</v>
      </c>
      <c r="BE139" s="67">
        <v>0</v>
      </c>
      <c r="BF139" s="67">
        <v>1</v>
      </c>
      <c r="BG139" s="67">
        <v>0</v>
      </c>
      <c r="BH139" s="67">
        <v>0</v>
      </c>
      <c r="BI139" s="67">
        <v>0</v>
      </c>
      <c r="BJ139" s="67">
        <v>10</v>
      </c>
      <c r="BK139" s="67">
        <v>22</v>
      </c>
      <c r="BL139" s="18">
        <v>26</v>
      </c>
      <c r="BM139" s="18"/>
      <c r="BN139" s="18"/>
    </row>
  </sheetData>
  <sortState xmlns:xlrd2="http://schemas.microsoft.com/office/spreadsheetml/2017/richdata2" ref="CL94:CM98">
    <sortCondition descending="1" ref="CM94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F3B7-9D2F-4668-A8BF-CAC96D6468FC}">
  <sheetPr>
    <tabColor rgb="FF00FF00"/>
  </sheetPr>
  <dimension ref="A1:EY82"/>
  <sheetViews>
    <sheetView topLeftCell="I23" zoomScale="70" zoomScaleNormal="70" workbookViewId="0">
      <selection activeCell="AK73" sqref="AK73"/>
    </sheetView>
  </sheetViews>
  <sheetFormatPr defaultColWidth="8.85546875" defaultRowHeight="15" x14ac:dyDescent="0.25"/>
  <sheetData>
    <row r="1" spans="1:155" ht="90" x14ac:dyDescent="0.25">
      <c r="A1" s="2" t="s">
        <v>0</v>
      </c>
      <c r="B1" s="46" t="s">
        <v>1</v>
      </c>
      <c r="C1" s="46" t="s">
        <v>137</v>
      </c>
      <c r="D1" s="46" t="s">
        <v>2</v>
      </c>
      <c r="E1" s="46" t="s">
        <v>131</v>
      </c>
      <c r="F1" s="134" t="s">
        <v>635</v>
      </c>
      <c r="G1" s="30" t="s">
        <v>633</v>
      </c>
      <c r="H1" s="134" t="s">
        <v>632</v>
      </c>
      <c r="I1" s="33" t="s">
        <v>129</v>
      </c>
      <c r="J1" s="48" t="s">
        <v>3</v>
      </c>
      <c r="K1" s="48" t="s">
        <v>4</v>
      </c>
      <c r="L1" s="46" t="s">
        <v>5</v>
      </c>
      <c r="M1" s="46" t="s">
        <v>133</v>
      </c>
      <c r="N1" s="46" t="s">
        <v>345</v>
      </c>
      <c r="O1" s="45" t="s">
        <v>339</v>
      </c>
      <c r="P1" s="45" t="s">
        <v>285</v>
      </c>
      <c r="Q1" s="45" t="s">
        <v>286</v>
      </c>
      <c r="R1" s="83" t="s">
        <v>576</v>
      </c>
      <c r="S1" s="83" t="s">
        <v>575</v>
      </c>
      <c r="T1" s="83" t="s">
        <v>11</v>
      </c>
      <c r="U1" s="83" t="s">
        <v>577</v>
      </c>
      <c r="V1" s="83" t="s">
        <v>578</v>
      </c>
      <c r="W1" s="83" t="s">
        <v>579</v>
      </c>
      <c r="X1" s="83" t="s">
        <v>285</v>
      </c>
      <c r="Y1" s="45" t="s">
        <v>340</v>
      </c>
      <c r="Z1" s="45" t="s">
        <v>7</v>
      </c>
      <c r="AA1" s="45" t="s">
        <v>8</v>
      </c>
      <c r="AB1" s="45" t="s">
        <v>9</v>
      </c>
      <c r="AC1" s="46" t="s">
        <v>188</v>
      </c>
      <c r="AD1" s="46" t="s">
        <v>347</v>
      </c>
      <c r="AE1" s="46" t="s">
        <v>350</v>
      </c>
      <c r="AF1" s="30" t="s">
        <v>305</v>
      </c>
      <c r="AG1" s="46" t="s">
        <v>344</v>
      </c>
      <c r="AH1" s="46" t="s">
        <v>644</v>
      </c>
      <c r="AI1" s="46" t="s">
        <v>645</v>
      </c>
      <c r="AJ1" s="46" t="s">
        <v>189</v>
      </c>
      <c r="AK1" s="46" t="s">
        <v>190</v>
      </c>
      <c r="AL1" s="46" t="s">
        <v>191</v>
      </c>
      <c r="AM1" s="46" t="s">
        <v>192</v>
      </c>
      <c r="AN1" s="46" t="s">
        <v>113</v>
      </c>
      <c r="AO1" s="46" t="s">
        <v>193</v>
      </c>
      <c r="AP1" s="47" t="s">
        <v>226</v>
      </c>
      <c r="AQ1" s="46"/>
      <c r="AR1" s="46" t="s">
        <v>189</v>
      </c>
      <c r="AS1" s="46" t="s">
        <v>190</v>
      </c>
      <c r="AT1" s="46" t="s">
        <v>191</v>
      </c>
      <c r="AU1" s="46" t="s">
        <v>192</v>
      </c>
      <c r="AV1" s="46" t="s">
        <v>572</v>
      </c>
      <c r="AW1" s="46" t="s">
        <v>649</v>
      </c>
      <c r="AX1" s="51" t="s">
        <v>300</v>
      </c>
      <c r="AY1" s="51" t="s">
        <v>301</v>
      </c>
      <c r="AZ1" s="51" t="s">
        <v>302</v>
      </c>
      <c r="BA1" s="51" t="s">
        <v>303</v>
      </c>
      <c r="BB1" s="52" t="s">
        <v>304</v>
      </c>
      <c r="BC1" s="46" t="s">
        <v>346</v>
      </c>
      <c r="BD1" s="74" t="s">
        <v>565</v>
      </c>
      <c r="BE1" s="74" t="s">
        <v>566</v>
      </c>
      <c r="BF1" s="74" t="s">
        <v>564</v>
      </c>
      <c r="BG1" s="74" t="s">
        <v>567</v>
      </c>
      <c r="BH1" s="74" t="s">
        <v>568</v>
      </c>
      <c r="BI1" s="74" t="s">
        <v>569</v>
      </c>
      <c r="BJ1" s="74" t="s">
        <v>570</v>
      </c>
      <c r="BK1" s="74" t="s">
        <v>571</v>
      </c>
      <c r="BL1" s="74" t="s">
        <v>304</v>
      </c>
      <c r="BM1" s="46" t="s">
        <v>194</v>
      </c>
      <c r="BN1" s="46" t="s">
        <v>12</v>
      </c>
      <c r="BO1" s="46"/>
      <c r="BP1" s="46" t="s">
        <v>327</v>
      </c>
    </row>
    <row r="2" spans="1:155" x14ac:dyDescent="0.25">
      <c r="A2" s="18" t="s">
        <v>6</v>
      </c>
      <c r="B2" s="18">
        <v>2024</v>
      </c>
      <c r="C2" s="18" t="s">
        <v>138</v>
      </c>
      <c r="D2" s="18" t="s">
        <v>245</v>
      </c>
      <c r="E2" s="18">
        <v>20</v>
      </c>
      <c r="F2" s="18">
        <v>20</v>
      </c>
      <c r="G2" s="18" t="s">
        <v>156</v>
      </c>
      <c r="H2" s="18" t="s">
        <v>156</v>
      </c>
      <c r="I2" s="18" t="s">
        <v>296</v>
      </c>
      <c r="J2" s="4">
        <v>43</v>
      </c>
      <c r="K2" s="4">
        <v>43.5</v>
      </c>
      <c r="L2" s="4">
        <v>0.5</v>
      </c>
      <c r="M2" s="5">
        <v>0.22</v>
      </c>
      <c r="N2" s="31">
        <v>0.11</v>
      </c>
      <c r="O2" s="31">
        <v>0.11</v>
      </c>
      <c r="P2" s="31">
        <v>5.5</v>
      </c>
      <c r="Q2" s="31">
        <v>20</v>
      </c>
      <c r="R2" s="31">
        <v>0.1</v>
      </c>
      <c r="S2" s="31">
        <v>0</v>
      </c>
      <c r="T2" s="65">
        <v>0</v>
      </c>
      <c r="U2" s="31">
        <v>3</v>
      </c>
      <c r="V2" s="31"/>
      <c r="W2" s="31">
        <v>3</v>
      </c>
      <c r="X2" s="31">
        <v>33.333333333333336</v>
      </c>
      <c r="Y2" s="18">
        <v>0</v>
      </c>
      <c r="Z2" s="18" t="s">
        <v>330</v>
      </c>
      <c r="AA2" s="18" t="s">
        <v>333</v>
      </c>
      <c r="AB2" s="18" t="s">
        <v>335</v>
      </c>
      <c r="AC2" s="18">
        <v>20</v>
      </c>
      <c r="AD2" s="18">
        <v>5.5</v>
      </c>
      <c r="AE2" s="18" t="s">
        <v>34</v>
      </c>
      <c r="AF2" s="18" t="s">
        <v>29</v>
      </c>
      <c r="AG2" s="18" t="s">
        <v>29</v>
      </c>
      <c r="AH2" s="18">
        <v>8.6999999999999993</v>
      </c>
      <c r="AI2" s="18" t="s">
        <v>29</v>
      </c>
      <c r="AJ2" s="18" t="s">
        <v>66</v>
      </c>
      <c r="AK2" s="18" t="s">
        <v>79</v>
      </c>
      <c r="AL2" s="18" t="s">
        <v>96</v>
      </c>
      <c r="AM2" s="18" t="s">
        <v>107</v>
      </c>
      <c r="AN2" s="18" t="s">
        <v>120</v>
      </c>
      <c r="AO2" s="18" t="s">
        <v>198</v>
      </c>
      <c r="AP2" s="18" t="s">
        <v>240</v>
      </c>
      <c r="AQ2" s="18"/>
      <c r="AR2" s="18">
        <v>1</v>
      </c>
      <c r="AS2" s="18">
        <v>1</v>
      </c>
      <c r="AT2" s="18">
        <v>1</v>
      </c>
      <c r="AU2" s="18">
        <v>3</v>
      </c>
      <c r="AV2" s="18">
        <v>2</v>
      </c>
      <c r="AW2" s="18">
        <v>8</v>
      </c>
      <c r="AX2" s="49">
        <v>0</v>
      </c>
      <c r="AY2" s="49">
        <f>VLOOKUP(AI2,Leyenda!$B$4:$E$10,4,FALSE)</f>
        <v>2</v>
      </c>
      <c r="AZ2" s="50">
        <v>5</v>
      </c>
      <c r="BA2" s="49">
        <v>8</v>
      </c>
      <c r="BB2" s="49">
        <v>15</v>
      </c>
      <c r="BC2" s="67">
        <v>12</v>
      </c>
      <c r="BD2" s="67">
        <f>VLOOKUP(AI2,Leyenda!$B$4:$E$10,4,FALSE)</f>
        <v>2</v>
      </c>
      <c r="BE2" s="67">
        <v>5</v>
      </c>
      <c r="BF2" s="67">
        <v>0</v>
      </c>
      <c r="BG2" s="67">
        <v>1</v>
      </c>
      <c r="BH2" s="67">
        <v>3</v>
      </c>
      <c r="BI2" s="67">
        <v>2</v>
      </c>
      <c r="BJ2" s="67">
        <v>1</v>
      </c>
      <c r="BK2" s="67">
        <v>1</v>
      </c>
      <c r="BL2" s="67">
        <v>10</v>
      </c>
      <c r="BM2" s="67">
        <f>+BD2+BE2+BF2+BG2+BH2+BI2+BJ2+BK2+BL2</f>
        <v>25</v>
      </c>
      <c r="BN2" s="18">
        <f>+AX2+AY2+AZ2+BA2+BB2</f>
        <v>30</v>
      </c>
      <c r="BO2" s="18"/>
      <c r="BP2" s="18"/>
    </row>
    <row r="3" spans="1:155" x14ac:dyDescent="0.25">
      <c r="A3" s="18" t="s">
        <v>6</v>
      </c>
      <c r="B3" s="18">
        <v>2024</v>
      </c>
      <c r="C3" s="18" t="s">
        <v>138</v>
      </c>
      <c r="D3" s="18" t="s">
        <v>245</v>
      </c>
      <c r="E3" s="18">
        <v>20</v>
      </c>
      <c r="F3" s="18">
        <v>20</v>
      </c>
      <c r="G3" s="18" t="s">
        <v>156</v>
      </c>
      <c r="H3" s="18" t="s">
        <v>156</v>
      </c>
      <c r="I3" s="18" t="s">
        <v>296</v>
      </c>
      <c r="J3" s="4">
        <v>43.5</v>
      </c>
      <c r="K3" s="4">
        <v>44</v>
      </c>
      <c r="L3" s="4">
        <v>0.5</v>
      </c>
      <c r="M3" s="5">
        <v>0.3</v>
      </c>
      <c r="N3" s="31">
        <v>0.15</v>
      </c>
      <c r="O3" s="31">
        <v>0.15</v>
      </c>
      <c r="P3" s="31">
        <v>7.5</v>
      </c>
      <c r="Q3" s="31">
        <v>20</v>
      </c>
      <c r="R3" s="31">
        <v>0.15</v>
      </c>
      <c r="S3" s="31">
        <v>0</v>
      </c>
      <c r="T3" s="65">
        <v>0</v>
      </c>
      <c r="U3" s="31">
        <v>7</v>
      </c>
      <c r="V3" s="31"/>
      <c r="W3" s="31">
        <v>7</v>
      </c>
      <c r="X3" s="31">
        <v>21.428571428571427</v>
      </c>
      <c r="Y3" s="18">
        <v>0</v>
      </c>
      <c r="Z3" s="18" t="s">
        <v>330</v>
      </c>
      <c r="AA3" s="18" t="s">
        <v>333</v>
      </c>
      <c r="AB3" s="18" t="s">
        <v>335</v>
      </c>
      <c r="AC3" s="18">
        <v>20</v>
      </c>
      <c r="AD3" s="18">
        <v>7.5</v>
      </c>
      <c r="AE3" s="18" t="s">
        <v>34</v>
      </c>
      <c r="AF3" s="18" t="s">
        <v>29</v>
      </c>
      <c r="AG3" s="18" t="s">
        <v>29</v>
      </c>
      <c r="AH3" s="18">
        <v>8.6999999999999993</v>
      </c>
      <c r="AI3" s="18" t="s">
        <v>29</v>
      </c>
      <c r="AJ3" s="18" t="s">
        <v>66</v>
      </c>
      <c r="AK3" s="18" t="s">
        <v>79</v>
      </c>
      <c r="AL3" s="18" t="s">
        <v>96</v>
      </c>
      <c r="AM3" s="18" t="s">
        <v>107</v>
      </c>
      <c r="AN3" s="18" t="s">
        <v>120</v>
      </c>
      <c r="AO3" s="18" t="s">
        <v>198</v>
      </c>
      <c r="AP3" s="18" t="s">
        <v>240</v>
      </c>
      <c r="AQ3" s="18"/>
      <c r="AR3" s="18">
        <v>1</v>
      </c>
      <c r="AS3" s="18">
        <v>1</v>
      </c>
      <c r="AT3" s="18">
        <v>1</v>
      </c>
      <c r="AU3" s="18">
        <v>3</v>
      </c>
      <c r="AV3" s="18">
        <v>2</v>
      </c>
      <c r="AW3" s="18">
        <v>8</v>
      </c>
      <c r="AX3" s="49">
        <v>0</v>
      </c>
      <c r="AY3" s="49">
        <f>VLOOKUP(AI3,Leyenda!$B$4:$E$10,4,FALSE)</f>
        <v>2</v>
      </c>
      <c r="AZ3" s="50">
        <v>4</v>
      </c>
      <c r="BA3" s="49">
        <v>8</v>
      </c>
      <c r="BB3" s="49">
        <v>15</v>
      </c>
      <c r="BC3" s="67">
        <v>12</v>
      </c>
      <c r="BD3" s="67">
        <f>VLOOKUP(AI3,Leyenda!$B$4:$E$10,4,FALSE)</f>
        <v>2</v>
      </c>
      <c r="BE3" s="67">
        <v>5</v>
      </c>
      <c r="BF3" s="67">
        <v>0</v>
      </c>
      <c r="BG3" s="67">
        <v>1</v>
      </c>
      <c r="BH3" s="67">
        <v>3</v>
      </c>
      <c r="BI3" s="67">
        <v>2</v>
      </c>
      <c r="BJ3" s="67">
        <v>1</v>
      </c>
      <c r="BK3" s="67">
        <v>1</v>
      </c>
      <c r="BL3" s="67">
        <v>10</v>
      </c>
      <c r="BM3" s="67">
        <f t="shared" ref="BM3:BM66" si="0">+BD3+BE3+BF3+BG3+BH3+BI3+BJ3+BK3+BL3</f>
        <v>25</v>
      </c>
      <c r="BN3" s="18">
        <f t="shared" ref="BN3:BN66" si="1">+AX3+AY3+AZ3+BA3+BB3</f>
        <v>29</v>
      </c>
      <c r="BO3" s="18"/>
      <c r="BP3" s="18"/>
    </row>
    <row r="4" spans="1:155" x14ac:dyDescent="0.25">
      <c r="A4" s="18" t="s">
        <v>6</v>
      </c>
      <c r="B4" s="18">
        <v>2024</v>
      </c>
      <c r="C4" s="18" t="s">
        <v>138</v>
      </c>
      <c r="D4" s="18" t="s">
        <v>245</v>
      </c>
      <c r="E4" s="18">
        <v>20</v>
      </c>
      <c r="F4" s="18">
        <v>20</v>
      </c>
      <c r="G4" s="18" t="s">
        <v>156</v>
      </c>
      <c r="H4" s="18" t="s">
        <v>156</v>
      </c>
      <c r="I4" s="18" t="s">
        <v>296</v>
      </c>
      <c r="J4" s="38">
        <v>44</v>
      </c>
      <c r="K4" s="38">
        <v>44.5</v>
      </c>
      <c r="L4" s="4">
        <v>0.5</v>
      </c>
      <c r="M4" s="5">
        <v>0.26</v>
      </c>
      <c r="N4" s="31">
        <v>0.13</v>
      </c>
      <c r="O4" s="31">
        <v>0.13</v>
      </c>
      <c r="P4" s="31">
        <v>6.5</v>
      </c>
      <c r="Q4" s="31">
        <v>20</v>
      </c>
      <c r="R4" s="31">
        <v>0.12</v>
      </c>
      <c r="S4" s="31">
        <v>0</v>
      </c>
      <c r="T4" s="65">
        <v>0</v>
      </c>
      <c r="U4" s="31">
        <v>3</v>
      </c>
      <c r="V4" s="31"/>
      <c r="W4" s="31">
        <v>3</v>
      </c>
      <c r="X4" s="31">
        <v>40</v>
      </c>
      <c r="Y4" s="18">
        <v>0</v>
      </c>
      <c r="Z4" s="18" t="s">
        <v>330</v>
      </c>
      <c r="AA4" s="18" t="s">
        <v>333</v>
      </c>
      <c r="AB4" s="18" t="s">
        <v>335</v>
      </c>
      <c r="AC4" s="18">
        <v>20</v>
      </c>
      <c r="AD4" s="18">
        <v>6.5</v>
      </c>
      <c r="AE4" s="128" t="s">
        <v>34</v>
      </c>
      <c r="AF4" s="128" t="s">
        <v>29</v>
      </c>
      <c r="AG4" s="128" t="s">
        <v>29</v>
      </c>
      <c r="AH4" s="18">
        <v>8.6999999999999993</v>
      </c>
      <c r="AI4" s="18" t="s">
        <v>29</v>
      </c>
      <c r="AJ4" s="128" t="s">
        <v>66</v>
      </c>
      <c r="AK4" s="128" t="s">
        <v>79</v>
      </c>
      <c r="AL4" s="128" t="s">
        <v>96</v>
      </c>
      <c r="AM4" s="128" t="s">
        <v>107</v>
      </c>
      <c r="AN4" s="128" t="s">
        <v>120</v>
      </c>
      <c r="AO4" s="128" t="s">
        <v>198</v>
      </c>
      <c r="AP4" s="18" t="s">
        <v>240</v>
      </c>
      <c r="AQ4" s="18"/>
      <c r="AR4" s="18">
        <v>1</v>
      </c>
      <c r="AS4" s="18">
        <v>1</v>
      </c>
      <c r="AT4" s="18">
        <v>1</v>
      </c>
      <c r="AU4" s="18">
        <v>3</v>
      </c>
      <c r="AV4" s="18">
        <v>2</v>
      </c>
      <c r="AW4" s="18">
        <v>8</v>
      </c>
      <c r="AX4" s="49">
        <v>0</v>
      </c>
      <c r="AY4" s="49">
        <f>VLOOKUP(AI4,Leyenda!$B$4:$E$10,4,FALSE)</f>
        <v>2</v>
      </c>
      <c r="AZ4" s="50">
        <v>5</v>
      </c>
      <c r="BA4" s="49">
        <v>8</v>
      </c>
      <c r="BB4" s="49">
        <v>15</v>
      </c>
      <c r="BC4" s="67">
        <v>12</v>
      </c>
      <c r="BD4" s="67">
        <f>VLOOKUP(AI4,Leyenda!$B$4:$E$10,4,FALSE)</f>
        <v>2</v>
      </c>
      <c r="BE4" s="67">
        <v>5</v>
      </c>
      <c r="BF4" s="67">
        <v>0</v>
      </c>
      <c r="BG4" s="67">
        <v>1</v>
      </c>
      <c r="BH4" s="67">
        <v>3</v>
      </c>
      <c r="BI4" s="67">
        <v>2</v>
      </c>
      <c r="BJ4" s="67">
        <v>1</v>
      </c>
      <c r="BK4" s="67">
        <v>1</v>
      </c>
      <c r="BL4" s="67">
        <v>10</v>
      </c>
      <c r="BM4" s="67">
        <f t="shared" si="0"/>
        <v>25</v>
      </c>
      <c r="BN4" s="18">
        <f t="shared" si="1"/>
        <v>30</v>
      </c>
      <c r="BO4" s="18"/>
      <c r="BP4" s="18"/>
    </row>
    <row r="5" spans="1:155" x14ac:dyDescent="0.25">
      <c r="A5" s="18" t="s">
        <v>6</v>
      </c>
      <c r="B5" s="18">
        <v>2024</v>
      </c>
      <c r="C5" s="18" t="s">
        <v>138</v>
      </c>
      <c r="D5" s="18" t="s">
        <v>245</v>
      </c>
      <c r="E5" s="18">
        <v>20</v>
      </c>
      <c r="F5" s="18">
        <v>20</v>
      </c>
      <c r="G5" s="18" t="s">
        <v>156</v>
      </c>
      <c r="H5" s="18" t="s">
        <v>156</v>
      </c>
      <c r="I5" s="18" t="s">
        <v>296</v>
      </c>
      <c r="J5" s="4">
        <v>44.5</v>
      </c>
      <c r="K5" s="4">
        <v>45</v>
      </c>
      <c r="L5" s="4">
        <v>0.5</v>
      </c>
      <c r="M5" s="5">
        <v>0.32</v>
      </c>
      <c r="N5" s="31">
        <v>0.16</v>
      </c>
      <c r="O5" s="31">
        <v>0.16</v>
      </c>
      <c r="P5" s="31">
        <v>8</v>
      </c>
      <c r="Q5" s="31">
        <v>20</v>
      </c>
      <c r="R5" s="31">
        <v>0.15</v>
      </c>
      <c r="S5" s="31">
        <v>0</v>
      </c>
      <c r="T5" s="65">
        <v>0</v>
      </c>
      <c r="U5" s="31">
        <v>5</v>
      </c>
      <c r="V5" s="31"/>
      <c r="W5" s="31">
        <v>5</v>
      </c>
      <c r="X5" s="31">
        <v>30</v>
      </c>
      <c r="Y5" s="18">
        <v>0</v>
      </c>
      <c r="Z5" s="18" t="s">
        <v>330</v>
      </c>
      <c r="AA5" s="18" t="s">
        <v>333</v>
      </c>
      <c r="AB5" s="18" t="s">
        <v>335</v>
      </c>
      <c r="AC5" s="18">
        <v>20</v>
      </c>
      <c r="AD5" s="18">
        <v>8</v>
      </c>
      <c r="AE5" s="18" t="s">
        <v>34</v>
      </c>
      <c r="AF5" s="18" t="s">
        <v>29</v>
      </c>
      <c r="AG5" s="18" t="s">
        <v>29</v>
      </c>
      <c r="AH5" s="18">
        <v>8.6999999999999993</v>
      </c>
      <c r="AI5" s="18" t="s">
        <v>29</v>
      </c>
      <c r="AJ5" s="18" t="s">
        <v>66</v>
      </c>
      <c r="AK5" s="18" t="s">
        <v>79</v>
      </c>
      <c r="AL5" s="18" t="s">
        <v>96</v>
      </c>
      <c r="AM5" s="18" t="s">
        <v>107</v>
      </c>
      <c r="AN5" s="18" t="s">
        <v>120</v>
      </c>
      <c r="AO5" s="18" t="s">
        <v>198</v>
      </c>
      <c r="AP5" s="18" t="s">
        <v>240</v>
      </c>
      <c r="AQ5" s="18"/>
      <c r="AR5" s="18">
        <v>1</v>
      </c>
      <c r="AS5" s="18">
        <v>1</v>
      </c>
      <c r="AT5" s="18">
        <v>1</v>
      </c>
      <c r="AU5" s="18">
        <v>3</v>
      </c>
      <c r="AV5" s="18">
        <v>2</v>
      </c>
      <c r="AW5" s="18">
        <v>8</v>
      </c>
      <c r="AX5" s="49">
        <v>0</v>
      </c>
      <c r="AY5" s="49">
        <f>VLOOKUP(AI5,Leyenda!$B$4:$E$10,4,FALSE)</f>
        <v>2</v>
      </c>
      <c r="AZ5" s="50">
        <v>5</v>
      </c>
      <c r="BA5" s="49">
        <v>8</v>
      </c>
      <c r="BB5" s="49">
        <v>15</v>
      </c>
      <c r="BC5" s="67">
        <v>12</v>
      </c>
      <c r="BD5" s="67">
        <f>VLOOKUP(AI5,Leyenda!$B$4:$E$10,4,FALSE)</f>
        <v>2</v>
      </c>
      <c r="BE5" s="67">
        <v>5</v>
      </c>
      <c r="BF5" s="67">
        <v>0</v>
      </c>
      <c r="BG5" s="67">
        <v>1</v>
      </c>
      <c r="BH5" s="67">
        <v>3</v>
      </c>
      <c r="BI5" s="67">
        <v>2</v>
      </c>
      <c r="BJ5" s="67">
        <v>1</v>
      </c>
      <c r="BK5" s="67">
        <v>1</v>
      </c>
      <c r="BL5" s="67">
        <v>10</v>
      </c>
      <c r="BM5" s="67">
        <f t="shared" si="0"/>
        <v>25</v>
      </c>
      <c r="BN5" s="18">
        <f t="shared" si="1"/>
        <v>30</v>
      </c>
      <c r="BO5" s="18"/>
      <c r="BP5" s="18"/>
      <c r="CH5" s="80" t="s">
        <v>58</v>
      </c>
      <c r="CI5" s="80"/>
      <c r="CJ5" s="80" t="s">
        <v>17</v>
      </c>
      <c r="CV5" s="80" t="s">
        <v>584</v>
      </c>
      <c r="CW5" s="80" t="s">
        <v>261</v>
      </c>
      <c r="CX5" s="80" t="s">
        <v>17</v>
      </c>
      <c r="DK5" s="80" t="s">
        <v>11</v>
      </c>
      <c r="DL5" s="80" t="s">
        <v>16</v>
      </c>
      <c r="DM5" s="81" t="s">
        <v>17</v>
      </c>
      <c r="DT5" s="80" t="s">
        <v>290</v>
      </c>
      <c r="DU5" s="80" t="s">
        <v>261</v>
      </c>
      <c r="DV5" s="80" t="s">
        <v>17</v>
      </c>
      <c r="EF5" s="80" t="s">
        <v>572</v>
      </c>
      <c r="EG5" s="80" t="s">
        <v>261</v>
      </c>
      <c r="EH5" s="81" t="s">
        <v>16</v>
      </c>
      <c r="EI5" s="80" t="s">
        <v>17</v>
      </c>
      <c r="ET5" s="80" t="s">
        <v>586</v>
      </c>
      <c r="EU5" s="80" t="s">
        <v>261</v>
      </c>
      <c r="EV5" s="81" t="s">
        <v>16</v>
      </c>
      <c r="EW5" s="80" t="s">
        <v>17</v>
      </c>
    </row>
    <row r="6" spans="1:155" ht="25.5" x14ac:dyDescent="0.25">
      <c r="A6" s="18" t="s">
        <v>6</v>
      </c>
      <c r="B6" s="18">
        <v>2024</v>
      </c>
      <c r="C6" s="18" t="s">
        <v>138</v>
      </c>
      <c r="D6" s="18" t="s">
        <v>245</v>
      </c>
      <c r="E6" s="18">
        <v>20</v>
      </c>
      <c r="F6" s="18">
        <v>20</v>
      </c>
      <c r="G6" s="18" t="s">
        <v>156</v>
      </c>
      <c r="H6" s="18" t="s">
        <v>156</v>
      </c>
      <c r="I6" s="18" t="s">
        <v>296</v>
      </c>
      <c r="J6" s="4">
        <v>45</v>
      </c>
      <c r="K6" s="4">
        <v>45.5</v>
      </c>
      <c r="L6" s="4">
        <v>0.5</v>
      </c>
      <c r="M6" s="5">
        <v>0.34</v>
      </c>
      <c r="N6" s="31">
        <v>0.17</v>
      </c>
      <c r="O6" s="31">
        <v>0.17</v>
      </c>
      <c r="P6" s="31">
        <v>8.5</v>
      </c>
      <c r="Q6" s="31">
        <v>20</v>
      </c>
      <c r="R6" s="31">
        <v>0.17</v>
      </c>
      <c r="S6" s="31">
        <v>0</v>
      </c>
      <c r="T6" s="65">
        <v>0</v>
      </c>
      <c r="U6" s="31">
        <v>5</v>
      </c>
      <c r="V6" s="31"/>
      <c r="W6" s="31">
        <v>5</v>
      </c>
      <c r="X6" s="31">
        <v>34</v>
      </c>
      <c r="Y6" s="18">
        <v>0</v>
      </c>
      <c r="Z6" s="18" t="s">
        <v>330</v>
      </c>
      <c r="AA6" s="18" t="s">
        <v>333</v>
      </c>
      <c r="AB6" s="18" t="s">
        <v>337</v>
      </c>
      <c r="AC6" s="18">
        <v>20</v>
      </c>
      <c r="AD6" s="18">
        <v>8.5</v>
      </c>
      <c r="AE6" s="18" t="s">
        <v>29</v>
      </c>
      <c r="AF6" s="18" t="s">
        <v>29</v>
      </c>
      <c r="AG6" s="18" t="s">
        <v>29</v>
      </c>
      <c r="AH6" s="18">
        <v>8.6999999999999993</v>
      </c>
      <c r="AI6" s="18" t="s">
        <v>29</v>
      </c>
      <c r="AJ6" s="18" t="s">
        <v>66</v>
      </c>
      <c r="AK6" s="18" t="s">
        <v>79</v>
      </c>
      <c r="AL6" s="18" t="s">
        <v>96</v>
      </c>
      <c r="AM6" s="18" t="s">
        <v>107</v>
      </c>
      <c r="AN6" s="18" t="s">
        <v>120</v>
      </c>
      <c r="AO6" s="18" t="s">
        <v>198</v>
      </c>
      <c r="AP6" s="18" t="s">
        <v>240</v>
      </c>
      <c r="AQ6" s="18"/>
      <c r="AR6" s="18">
        <v>1</v>
      </c>
      <c r="AS6" s="18">
        <v>1</v>
      </c>
      <c r="AT6" s="18">
        <v>1</v>
      </c>
      <c r="AU6" s="18">
        <v>3</v>
      </c>
      <c r="AV6" s="18">
        <v>2</v>
      </c>
      <c r="AW6" s="18">
        <v>8</v>
      </c>
      <c r="AX6" s="49">
        <v>0</v>
      </c>
      <c r="AY6" s="49">
        <f>VLOOKUP(AI6,Leyenda!$B$4:$E$10,4,FALSE)</f>
        <v>2</v>
      </c>
      <c r="AZ6" s="50">
        <v>5</v>
      </c>
      <c r="BA6" s="49">
        <v>8</v>
      </c>
      <c r="BB6" s="49">
        <v>15</v>
      </c>
      <c r="BC6" s="67">
        <v>12</v>
      </c>
      <c r="BD6" s="67">
        <f>VLOOKUP(AI6,Leyenda!$B$4:$E$10,4,FALSE)</f>
        <v>2</v>
      </c>
      <c r="BE6" s="67">
        <v>5</v>
      </c>
      <c r="BF6" s="67">
        <v>0</v>
      </c>
      <c r="BG6" s="67">
        <v>1</v>
      </c>
      <c r="BH6" s="67">
        <v>3</v>
      </c>
      <c r="BI6" s="67">
        <v>2</v>
      </c>
      <c r="BJ6" s="67">
        <v>1</v>
      </c>
      <c r="BK6" s="67">
        <v>1</v>
      </c>
      <c r="BL6" s="67">
        <v>10</v>
      </c>
      <c r="BM6" s="67">
        <f t="shared" si="0"/>
        <v>25</v>
      </c>
      <c r="BN6" s="18">
        <f t="shared" si="1"/>
        <v>30</v>
      </c>
      <c r="BO6" s="18"/>
      <c r="BP6" s="18"/>
      <c r="CH6" s="61" t="s">
        <v>60</v>
      </c>
      <c r="CI6" s="76" t="s">
        <v>59</v>
      </c>
      <c r="CJ6" s="77">
        <v>5</v>
      </c>
      <c r="CV6" s="75" t="s">
        <v>85</v>
      </c>
      <c r="CW6" s="75">
        <v>0</v>
      </c>
      <c r="CX6" s="77">
        <v>5</v>
      </c>
      <c r="DK6" s="15" t="s">
        <v>38</v>
      </c>
      <c r="DL6" s="9">
        <v>3</v>
      </c>
      <c r="DM6" s="16">
        <v>3</v>
      </c>
      <c r="DT6" s="75" t="s">
        <v>103</v>
      </c>
      <c r="DU6" s="75" t="s">
        <v>104</v>
      </c>
      <c r="DV6" s="77">
        <v>5</v>
      </c>
      <c r="EF6" s="75" t="s">
        <v>114</v>
      </c>
      <c r="EG6" s="78" t="s">
        <v>115</v>
      </c>
      <c r="EH6" s="75">
        <v>6</v>
      </c>
      <c r="EI6" s="77">
        <v>5</v>
      </c>
      <c r="ET6" s="75" t="s">
        <v>73</v>
      </c>
      <c r="EU6" s="75" t="s">
        <v>74</v>
      </c>
      <c r="EV6" s="75">
        <v>6</v>
      </c>
      <c r="EW6" s="77">
        <v>5</v>
      </c>
    </row>
    <row r="7" spans="1:155" ht="25.5" x14ac:dyDescent="0.25">
      <c r="A7" s="18" t="s">
        <v>6</v>
      </c>
      <c r="B7" s="18">
        <v>2024</v>
      </c>
      <c r="C7" s="18" t="s">
        <v>138</v>
      </c>
      <c r="D7" s="18" t="s">
        <v>245</v>
      </c>
      <c r="E7" s="18">
        <v>20</v>
      </c>
      <c r="F7" s="18">
        <v>20</v>
      </c>
      <c r="G7" s="18" t="s">
        <v>156</v>
      </c>
      <c r="H7" s="18" t="s">
        <v>156</v>
      </c>
      <c r="I7" s="18" t="s">
        <v>296</v>
      </c>
      <c r="J7" s="4">
        <v>45.5</v>
      </c>
      <c r="K7" s="4">
        <v>46</v>
      </c>
      <c r="L7" s="4">
        <v>0.5</v>
      </c>
      <c r="M7" s="5">
        <v>0.32</v>
      </c>
      <c r="N7" s="31">
        <v>0.16</v>
      </c>
      <c r="O7" s="31">
        <v>0.16</v>
      </c>
      <c r="P7" s="31">
        <v>8</v>
      </c>
      <c r="Q7" s="31">
        <v>20</v>
      </c>
      <c r="R7" s="31">
        <v>0.14000000000000001</v>
      </c>
      <c r="S7" s="31">
        <v>0</v>
      </c>
      <c r="T7" s="65">
        <v>0</v>
      </c>
      <c r="U7" s="31">
        <v>5</v>
      </c>
      <c r="V7" s="31"/>
      <c r="W7" s="31">
        <v>5</v>
      </c>
      <c r="X7" s="31">
        <v>28</v>
      </c>
      <c r="Y7" s="18">
        <v>0</v>
      </c>
      <c r="Z7" s="18" t="s">
        <v>330</v>
      </c>
      <c r="AA7" s="18" t="s">
        <v>333</v>
      </c>
      <c r="AB7" s="18" t="s">
        <v>337</v>
      </c>
      <c r="AC7" s="18">
        <v>20</v>
      </c>
      <c r="AD7" s="18">
        <v>8</v>
      </c>
      <c r="AE7" s="18" t="s">
        <v>29</v>
      </c>
      <c r="AF7" s="18" t="s">
        <v>29</v>
      </c>
      <c r="AG7" s="18" t="s">
        <v>29</v>
      </c>
      <c r="AH7" s="18">
        <v>8.6999999999999993</v>
      </c>
      <c r="AI7" s="18" t="s">
        <v>29</v>
      </c>
      <c r="AJ7" s="18" t="s">
        <v>66</v>
      </c>
      <c r="AK7" s="18" t="s">
        <v>79</v>
      </c>
      <c r="AL7" s="18" t="s">
        <v>96</v>
      </c>
      <c r="AM7" s="18" t="s">
        <v>107</v>
      </c>
      <c r="AN7" s="18" t="s">
        <v>120</v>
      </c>
      <c r="AO7" s="18" t="s">
        <v>198</v>
      </c>
      <c r="AP7" s="18" t="s">
        <v>240</v>
      </c>
      <c r="AQ7" s="18"/>
      <c r="AR7" s="18">
        <v>1</v>
      </c>
      <c r="AS7" s="18">
        <v>1</v>
      </c>
      <c r="AT7" s="18">
        <v>1</v>
      </c>
      <c r="AU7" s="18">
        <v>3</v>
      </c>
      <c r="AV7" s="18">
        <v>2</v>
      </c>
      <c r="AW7" s="18">
        <v>8</v>
      </c>
      <c r="AX7" s="49">
        <v>0</v>
      </c>
      <c r="AY7" s="49">
        <f>VLOOKUP(AI7,Leyenda!$B$4:$E$10,4,FALSE)</f>
        <v>2</v>
      </c>
      <c r="AZ7" s="50">
        <v>5</v>
      </c>
      <c r="BA7" s="49">
        <v>8</v>
      </c>
      <c r="BB7" s="49">
        <v>15</v>
      </c>
      <c r="BC7" s="67">
        <v>12</v>
      </c>
      <c r="BD7" s="67">
        <f>VLOOKUP(AI7,Leyenda!$B$4:$E$10,4,FALSE)</f>
        <v>2</v>
      </c>
      <c r="BE7" s="67">
        <v>5</v>
      </c>
      <c r="BF7" s="67">
        <v>0</v>
      </c>
      <c r="BG7" s="67">
        <v>1</v>
      </c>
      <c r="BH7" s="67">
        <v>3</v>
      </c>
      <c r="BI7" s="67">
        <v>2</v>
      </c>
      <c r="BJ7" s="67">
        <v>1</v>
      </c>
      <c r="BK7" s="67">
        <v>1</v>
      </c>
      <c r="BL7" s="67">
        <v>10</v>
      </c>
      <c r="BM7" s="67">
        <f t="shared" si="0"/>
        <v>25</v>
      </c>
      <c r="BN7" s="18">
        <f t="shared" si="1"/>
        <v>30</v>
      </c>
      <c r="BO7" s="18"/>
      <c r="BP7" s="18"/>
      <c r="CH7" s="61" t="s">
        <v>62</v>
      </c>
      <c r="CI7" s="62" t="s">
        <v>61</v>
      </c>
      <c r="CJ7" s="77">
        <v>4</v>
      </c>
      <c r="CV7" s="75" t="s">
        <v>88</v>
      </c>
      <c r="CW7" s="75" t="s">
        <v>87</v>
      </c>
      <c r="CX7" s="77">
        <v>4</v>
      </c>
      <c r="DK7" s="14" t="s">
        <v>40</v>
      </c>
      <c r="DL7" s="14">
        <v>8</v>
      </c>
      <c r="DM7" s="3">
        <v>8</v>
      </c>
      <c r="DT7" s="75" t="s">
        <v>105</v>
      </c>
      <c r="DU7" s="75" t="s">
        <v>106</v>
      </c>
      <c r="DV7" s="77">
        <v>4</v>
      </c>
      <c r="EF7" s="75" t="s">
        <v>116</v>
      </c>
      <c r="EG7" s="78" t="s">
        <v>117</v>
      </c>
      <c r="EH7" s="75">
        <v>4</v>
      </c>
      <c r="EI7" s="77">
        <v>4</v>
      </c>
      <c r="ET7" s="75" t="s">
        <v>75</v>
      </c>
      <c r="EU7" s="75" t="s">
        <v>76</v>
      </c>
      <c r="EV7" s="75">
        <v>5</v>
      </c>
      <c r="EW7" s="77">
        <v>4</v>
      </c>
    </row>
    <row r="8" spans="1:155" ht="25.5" x14ac:dyDescent="0.25">
      <c r="A8" s="18" t="s">
        <v>6</v>
      </c>
      <c r="B8" s="18">
        <v>2024</v>
      </c>
      <c r="C8" s="18" t="s">
        <v>138</v>
      </c>
      <c r="D8" s="18" t="s">
        <v>245</v>
      </c>
      <c r="E8" s="18">
        <v>20</v>
      </c>
      <c r="F8" s="18">
        <v>20</v>
      </c>
      <c r="G8" s="18" t="s">
        <v>156</v>
      </c>
      <c r="H8" s="18" t="s">
        <v>156</v>
      </c>
      <c r="I8" s="18" t="s">
        <v>296</v>
      </c>
      <c r="J8" s="4">
        <v>46</v>
      </c>
      <c r="K8" s="4">
        <v>46.5</v>
      </c>
      <c r="L8" s="4">
        <v>0.5</v>
      </c>
      <c r="M8" s="5">
        <v>0.22</v>
      </c>
      <c r="N8" s="31">
        <v>0.11</v>
      </c>
      <c r="O8" s="31">
        <v>0.11</v>
      </c>
      <c r="P8" s="31">
        <v>5.5</v>
      </c>
      <c r="Q8" s="31">
        <v>20</v>
      </c>
      <c r="R8" s="31">
        <v>0.11</v>
      </c>
      <c r="S8" s="31">
        <v>0</v>
      </c>
      <c r="T8" s="65">
        <v>0</v>
      </c>
      <c r="U8" s="31">
        <v>5</v>
      </c>
      <c r="V8" s="31"/>
      <c r="W8" s="31">
        <v>5</v>
      </c>
      <c r="X8" s="31">
        <v>22</v>
      </c>
      <c r="Y8" s="18">
        <v>0</v>
      </c>
      <c r="Z8" s="18" t="s">
        <v>330</v>
      </c>
      <c r="AA8" s="18" t="s">
        <v>333</v>
      </c>
      <c r="AB8" s="18" t="s">
        <v>337</v>
      </c>
      <c r="AC8" s="18">
        <v>20</v>
      </c>
      <c r="AD8" s="18">
        <v>5.5</v>
      </c>
      <c r="AE8" s="18" t="s">
        <v>29</v>
      </c>
      <c r="AF8" s="18" t="s">
        <v>29</v>
      </c>
      <c r="AG8" s="18" t="s">
        <v>29</v>
      </c>
      <c r="AH8" s="18">
        <v>8.6999999999999993</v>
      </c>
      <c r="AI8" s="18" t="s">
        <v>29</v>
      </c>
      <c r="AJ8" s="18" t="s">
        <v>66</v>
      </c>
      <c r="AK8" s="18" t="s">
        <v>79</v>
      </c>
      <c r="AL8" s="18" t="s">
        <v>96</v>
      </c>
      <c r="AM8" s="18" t="s">
        <v>107</v>
      </c>
      <c r="AN8" s="18" t="s">
        <v>120</v>
      </c>
      <c r="AO8" s="18" t="s">
        <v>198</v>
      </c>
      <c r="AP8" s="18" t="s">
        <v>240</v>
      </c>
      <c r="AQ8" s="18"/>
      <c r="AR8" s="18">
        <v>1</v>
      </c>
      <c r="AS8" s="18">
        <v>1</v>
      </c>
      <c r="AT8" s="18">
        <v>1</v>
      </c>
      <c r="AU8" s="18">
        <v>3</v>
      </c>
      <c r="AV8" s="18">
        <v>2</v>
      </c>
      <c r="AW8" s="18">
        <v>8</v>
      </c>
      <c r="AX8" s="49">
        <v>0</v>
      </c>
      <c r="AY8" s="49">
        <f>VLOOKUP(AI8,Leyenda!$B$4:$E$10,4,FALSE)</f>
        <v>2</v>
      </c>
      <c r="AZ8" s="50">
        <v>4</v>
      </c>
      <c r="BA8" s="49">
        <v>8</v>
      </c>
      <c r="BB8" s="49">
        <v>15</v>
      </c>
      <c r="BC8" s="67">
        <v>12</v>
      </c>
      <c r="BD8" s="67">
        <f>VLOOKUP(AI8,Leyenda!$B$4:$E$10,4,FALSE)</f>
        <v>2</v>
      </c>
      <c r="BE8" s="67">
        <v>5</v>
      </c>
      <c r="BF8" s="67">
        <v>0</v>
      </c>
      <c r="BG8" s="67">
        <v>1</v>
      </c>
      <c r="BH8" s="67">
        <v>3</v>
      </c>
      <c r="BI8" s="67">
        <v>2</v>
      </c>
      <c r="BJ8" s="67">
        <v>1</v>
      </c>
      <c r="BK8" s="67">
        <v>1</v>
      </c>
      <c r="BL8" s="67">
        <v>10</v>
      </c>
      <c r="BM8" s="67">
        <f t="shared" si="0"/>
        <v>25</v>
      </c>
      <c r="BN8" s="18">
        <f t="shared" si="1"/>
        <v>29</v>
      </c>
      <c r="BO8" s="18"/>
      <c r="BP8" s="18"/>
      <c r="CH8" s="61" t="s">
        <v>64</v>
      </c>
      <c r="CI8" s="62" t="s">
        <v>63</v>
      </c>
      <c r="CJ8" s="77">
        <v>3</v>
      </c>
      <c r="CV8" s="75" t="s">
        <v>92</v>
      </c>
      <c r="CW8" s="79" t="s">
        <v>91</v>
      </c>
      <c r="CX8" s="77">
        <v>3</v>
      </c>
      <c r="DK8" s="14" t="s">
        <v>42</v>
      </c>
      <c r="DL8" s="14">
        <v>13</v>
      </c>
      <c r="DM8" s="3">
        <v>13</v>
      </c>
      <c r="DT8" s="75" t="s">
        <v>107</v>
      </c>
      <c r="DU8" s="75" t="s">
        <v>108</v>
      </c>
      <c r="DV8" s="77">
        <v>3</v>
      </c>
      <c r="EF8" s="75" t="s">
        <v>118</v>
      </c>
      <c r="EG8" s="78" t="s">
        <v>119</v>
      </c>
      <c r="EH8" s="75">
        <v>2</v>
      </c>
      <c r="EI8" s="77">
        <v>3</v>
      </c>
      <c r="ET8" s="75" t="s">
        <v>77</v>
      </c>
      <c r="EU8" s="75" t="s">
        <v>78</v>
      </c>
      <c r="EV8" s="75">
        <v>3</v>
      </c>
      <c r="EW8" s="77">
        <v>3</v>
      </c>
    </row>
    <row r="9" spans="1:155" ht="25.5" x14ac:dyDescent="0.25">
      <c r="A9" s="18" t="s">
        <v>6</v>
      </c>
      <c r="B9" s="18">
        <v>2024</v>
      </c>
      <c r="C9" s="18" t="s">
        <v>138</v>
      </c>
      <c r="D9" s="18" t="s">
        <v>245</v>
      </c>
      <c r="E9" s="18">
        <v>20</v>
      </c>
      <c r="F9" s="18">
        <v>20</v>
      </c>
      <c r="G9" s="18" t="s">
        <v>156</v>
      </c>
      <c r="H9" s="18" t="s">
        <v>156</v>
      </c>
      <c r="I9" s="18" t="s">
        <v>296</v>
      </c>
      <c r="J9" s="4">
        <v>46.5</v>
      </c>
      <c r="K9" s="4">
        <v>47</v>
      </c>
      <c r="L9" s="4">
        <v>0.5</v>
      </c>
      <c r="M9" s="5">
        <v>0.2</v>
      </c>
      <c r="N9" s="31">
        <v>0.1</v>
      </c>
      <c r="O9" s="31">
        <v>0.1</v>
      </c>
      <c r="P9" s="31">
        <v>5</v>
      </c>
      <c r="Q9" s="31">
        <v>20</v>
      </c>
      <c r="R9" s="31">
        <v>0.1</v>
      </c>
      <c r="S9" s="31">
        <v>0</v>
      </c>
      <c r="T9" s="65">
        <v>0</v>
      </c>
      <c r="U9" s="31">
        <v>5</v>
      </c>
      <c r="V9" s="31"/>
      <c r="W9" s="31">
        <v>5</v>
      </c>
      <c r="X9" s="31">
        <v>20</v>
      </c>
      <c r="Y9" s="18">
        <v>0</v>
      </c>
      <c r="Z9" s="18" t="s">
        <v>330</v>
      </c>
      <c r="AA9" s="18" t="s">
        <v>333</v>
      </c>
      <c r="AB9" s="18" t="s">
        <v>337</v>
      </c>
      <c r="AC9" s="18">
        <v>20</v>
      </c>
      <c r="AD9" s="18">
        <v>5</v>
      </c>
      <c r="AE9" s="18" t="s">
        <v>29</v>
      </c>
      <c r="AF9" s="18" t="s">
        <v>29</v>
      </c>
      <c r="AG9" s="18" t="s">
        <v>29</v>
      </c>
      <c r="AH9" s="18">
        <v>8.6999999999999993</v>
      </c>
      <c r="AI9" s="18" t="s">
        <v>29</v>
      </c>
      <c r="AJ9" s="18" t="s">
        <v>66</v>
      </c>
      <c r="AK9" s="18" t="s">
        <v>79</v>
      </c>
      <c r="AL9" s="18" t="s">
        <v>96</v>
      </c>
      <c r="AM9" s="18" t="s">
        <v>107</v>
      </c>
      <c r="AN9" s="18" t="s">
        <v>120</v>
      </c>
      <c r="AO9" s="18" t="s">
        <v>198</v>
      </c>
      <c r="AP9" s="18" t="s">
        <v>240</v>
      </c>
      <c r="AQ9" s="18"/>
      <c r="AR9" s="18">
        <v>1</v>
      </c>
      <c r="AS9" s="18">
        <v>1</v>
      </c>
      <c r="AT9" s="18">
        <v>1</v>
      </c>
      <c r="AU9" s="18">
        <v>3</v>
      </c>
      <c r="AV9" s="18">
        <v>2</v>
      </c>
      <c r="AW9" s="18">
        <v>8</v>
      </c>
      <c r="AX9" s="49">
        <v>0</v>
      </c>
      <c r="AY9" s="49">
        <f>VLOOKUP(AI9,Leyenda!$B$4:$E$10,4,FALSE)</f>
        <v>2</v>
      </c>
      <c r="AZ9" s="50">
        <v>4</v>
      </c>
      <c r="BA9" s="49">
        <v>8</v>
      </c>
      <c r="BB9" s="49">
        <v>15</v>
      </c>
      <c r="BC9" s="67">
        <v>12</v>
      </c>
      <c r="BD9" s="67">
        <f>VLOOKUP(AI9,Leyenda!$B$4:$E$10,4,FALSE)</f>
        <v>2</v>
      </c>
      <c r="BE9" s="67">
        <v>5</v>
      </c>
      <c r="BF9" s="67">
        <v>0</v>
      </c>
      <c r="BG9" s="67">
        <v>1</v>
      </c>
      <c r="BH9" s="67">
        <v>3</v>
      </c>
      <c r="BI9" s="67">
        <v>2</v>
      </c>
      <c r="BJ9" s="67">
        <v>1</v>
      </c>
      <c r="BK9" s="67">
        <v>1</v>
      </c>
      <c r="BL9" s="67">
        <v>10</v>
      </c>
      <c r="BM9" s="67">
        <f t="shared" si="0"/>
        <v>25</v>
      </c>
      <c r="BN9" s="18">
        <f t="shared" si="1"/>
        <v>29</v>
      </c>
      <c r="BO9" s="18"/>
      <c r="BP9" s="18"/>
      <c r="CH9" s="61" t="s">
        <v>66</v>
      </c>
      <c r="CI9" s="62" t="s">
        <v>65</v>
      </c>
      <c r="CJ9" s="77">
        <v>1</v>
      </c>
      <c r="CV9" s="75" t="s">
        <v>96</v>
      </c>
      <c r="CW9" s="75" t="s">
        <v>95</v>
      </c>
      <c r="CX9" s="77">
        <v>1</v>
      </c>
      <c r="DK9" s="14" t="s">
        <v>44</v>
      </c>
      <c r="DL9" s="14">
        <v>17</v>
      </c>
      <c r="DM9" s="3">
        <v>17</v>
      </c>
      <c r="DT9" s="75" t="s">
        <v>109</v>
      </c>
      <c r="DU9" s="75" t="s">
        <v>110</v>
      </c>
      <c r="DV9" s="77">
        <v>1</v>
      </c>
      <c r="EF9" s="75" t="s">
        <v>120</v>
      </c>
      <c r="EG9" s="78" t="s">
        <v>121</v>
      </c>
      <c r="EH9" s="75">
        <v>2</v>
      </c>
      <c r="EI9" s="77">
        <v>2</v>
      </c>
      <c r="ET9" s="75" t="s">
        <v>79</v>
      </c>
      <c r="EU9" s="75" t="s">
        <v>80</v>
      </c>
      <c r="EV9" s="75">
        <v>1</v>
      </c>
      <c r="EW9" s="77">
        <v>1</v>
      </c>
    </row>
    <row r="10" spans="1:155" ht="25.5" x14ac:dyDescent="0.25">
      <c r="A10" s="18" t="s">
        <v>6</v>
      </c>
      <c r="B10" s="18">
        <v>2024</v>
      </c>
      <c r="C10" s="18" t="s">
        <v>138</v>
      </c>
      <c r="D10" s="18" t="s">
        <v>245</v>
      </c>
      <c r="E10" s="18">
        <v>20</v>
      </c>
      <c r="F10" s="18">
        <v>20</v>
      </c>
      <c r="G10" s="18" t="s">
        <v>156</v>
      </c>
      <c r="H10" s="18" t="s">
        <v>156</v>
      </c>
      <c r="I10" s="18" t="s">
        <v>296</v>
      </c>
      <c r="J10" s="4">
        <v>47</v>
      </c>
      <c r="K10" s="4">
        <v>47.5</v>
      </c>
      <c r="L10" s="4">
        <v>0.5</v>
      </c>
      <c r="M10" s="5">
        <v>0.22</v>
      </c>
      <c r="N10" s="31">
        <v>0.11</v>
      </c>
      <c r="O10" s="31">
        <v>0.11</v>
      </c>
      <c r="P10" s="31">
        <v>5.5</v>
      </c>
      <c r="Q10" s="31">
        <v>20</v>
      </c>
      <c r="R10" s="31">
        <v>0.11</v>
      </c>
      <c r="S10" s="31">
        <v>0</v>
      </c>
      <c r="T10" s="65">
        <v>0</v>
      </c>
      <c r="U10" s="31">
        <v>5</v>
      </c>
      <c r="V10" s="31"/>
      <c r="W10" s="31">
        <v>5</v>
      </c>
      <c r="X10" s="31">
        <v>22</v>
      </c>
      <c r="Y10" s="18">
        <v>0</v>
      </c>
      <c r="Z10" s="18" t="s">
        <v>330</v>
      </c>
      <c r="AA10" s="18" t="s">
        <v>333</v>
      </c>
      <c r="AB10" s="18" t="s">
        <v>337</v>
      </c>
      <c r="AC10" s="18">
        <v>20</v>
      </c>
      <c r="AD10" s="18">
        <v>5.5</v>
      </c>
      <c r="AE10" s="18" t="s">
        <v>29</v>
      </c>
      <c r="AF10" s="18" t="s">
        <v>29</v>
      </c>
      <c r="AG10" s="18" t="s">
        <v>29</v>
      </c>
      <c r="AH10" s="18">
        <v>8.6999999999999993</v>
      </c>
      <c r="AI10" s="18" t="s">
        <v>29</v>
      </c>
      <c r="AJ10" s="18" t="s">
        <v>66</v>
      </c>
      <c r="AK10" s="18" t="s">
        <v>79</v>
      </c>
      <c r="AL10" s="18" t="s">
        <v>96</v>
      </c>
      <c r="AM10" s="18" t="s">
        <v>107</v>
      </c>
      <c r="AN10" s="18" t="s">
        <v>120</v>
      </c>
      <c r="AO10" s="18" t="s">
        <v>198</v>
      </c>
      <c r="AP10" s="18" t="s">
        <v>240</v>
      </c>
      <c r="AQ10" s="18"/>
      <c r="AR10" s="18">
        <v>1</v>
      </c>
      <c r="AS10" s="18">
        <v>1</v>
      </c>
      <c r="AT10" s="18">
        <v>1</v>
      </c>
      <c r="AU10" s="18">
        <v>3</v>
      </c>
      <c r="AV10" s="18">
        <v>2</v>
      </c>
      <c r="AW10" s="18">
        <v>8</v>
      </c>
      <c r="AX10" s="49">
        <v>0</v>
      </c>
      <c r="AY10" s="49">
        <f>VLOOKUP(AI10,Leyenda!$B$4:$E$10,4,FALSE)</f>
        <v>2</v>
      </c>
      <c r="AZ10" s="50">
        <v>4</v>
      </c>
      <c r="BA10" s="49">
        <v>8</v>
      </c>
      <c r="BB10" s="49">
        <v>15</v>
      </c>
      <c r="BC10" s="67">
        <v>12</v>
      </c>
      <c r="BD10" s="67">
        <f>VLOOKUP(AI10,Leyenda!$B$4:$E$10,4,FALSE)</f>
        <v>2</v>
      </c>
      <c r="BE10" s="67">
        <v>5</v>
      </c>
      <c r="BF10" s="67">
        <v>0</v>
      </c>
      <c r="BG10" s="67">
        <v>1</v>
      </c>
      <c r="BH10" s="67">
        <v>3</v>
      </c>
      <c r="BI10" s="67">
        <v>2</v>
      </c>
      <c r="BJ10" s="67">
        <v>1</v>
      </c>
      <c r="BK10" s="67">
        <v>1</v>
      </c>
      <c r="BL10" s="67">
        <v>10</v>
      </c>
      <c r="BM10" s="67">
        <f t="shared" si="0"/>
        <v>25</v>
      </c>
      <c r="BN10" s="18">
        <f t="shared" si="1"/>
        <v>29</v>
      </c>
      <c r="BO10" s="18"/>
      <c r="BP10" s="18"/>
      <c r="CH10" s="61" t="s">
        <v>69</v>
      </c>
      <c r="CI10" s="62" t="s">
        <v>68</v>
      </c>
      <c r="CJ10" s="77">
        <v>0</v>
      </c>
      <c r="CV10" s="75" t="s">
        <v>100</v>
      </c>
      <c r="CW10" s="75" t="s">
        <v>99</v>
      </c>
      <c r="CX10" s="77">
        <v>0</v>
      </c>
      <c r="DK10" s="14" t="s">
        <v>46</v>
      </c>
      <c r="DL10" s="14">
        <v>20</v>
      </c>
      <c r="DM10" s="3">
        <v>20</v>
      </c>
      <c r="DT10" s="75" t="s">
        <v>111</v>
      </c>
      <c r="DU10" s="75" t="s">
        <v>599</v>
      </c>
      <c r="DV10" s="77">
        <v>0</v>
      </c>
      <c r="EF10" s="75" t="s">
        <v>122</v>
      </c>
      <c r="EG10" s="78" t="s">
        <v>123</v>
      </c>
      <c r="EH10" s="75">
        <v>0</v>
      </c>
      <c r="EI10" s="77">
        <v>0</v>
      </c>
      <c r="ET10" s="75" t="s">
        <v>81</v>
      </c>
      <c r="EU10" s="75" t="s">
        <v>82</v>
      </c>
      <c r="EV10" s="75">
        <v>0</v>
      </c>
      <c r="EW10" s="77">
        <v>0</v>
      </c>
    </row>
    <row r="11" spans="1:155" x14ac:dyDescent="0.25">
      <c r="A11" s="18" t="s">
        <v>6</v>
      </c>
      <c r="B11" s="18">
        <v>2024</v>
      </c>
      <c r="C11" s="18" t="s">
        <v>138</v>
      </c>
      <c r="D11" s="18" t="s">
        <v>245</v>
      </c>
      <c r="E11" s="18">
        <v>20</v>
      </c>
      <c r="F11" s="18">
        <v>20</v>
      </c>
      <c r="G11" s="18" t="s">
        <v>156</v>
      </c>
      <c r="H11" s="18" t="s">
        <v>156</v>
      </c>
      <c r="I11" s="18" t="s">
        <v>296</v>
      </c>
      <c r="J11" s="4">
        <v>47.5</v>
      </c>
      <c r="K11" s="4">
        <v>48</v>
      </c>
      <c r="L11" s="4">
        <v>0.5</v>
      </c>
      <c r="M11" s="5">
        <v>0.34</v>
      </c>
      <c r="N11" s="31">
        <v>0.17</v>
      </c>
      <c r="O11" s="31">
        <v>0.17</v>
      </c>
      <c r="P11" s="31">
        <v>8.5</v>
      </c>
      <c r="Q11" s="31">
        <v>20</v>
      </c>
      <c r="R11" s="31">
        <v>0.14000000000000001</v>
      </c>
      <c r="S11" s="31">
        <v>0.1</v>
      </c>
      <c r="T11" s="65">
        <v>20</v>
      </c>
      <c r="U11" s="31">
        <v>3</v>
      </c>
      <c r="V11" s="31"/>
      <c r="W11" s="31">
        <v>3</v>
      </c>
      <c r="X11" s="31">
        <v>46.666666666666664</v>
      </c>
      <c r="Y11" s="18">
        <v>20</v>
      </c>
      <c r="Z11" s="18" t="s">
        <v>330</v>
      </c>
      <c r="AA11" s="18" t="s">
        <v>333</v>
      </c>
      <c r="AB11" s="18" t="s">
        <v>337</v>
      </c>
      <c r="AC11" s="18">
        <v>20</v>
      </c>
      <c r="AD11" s="18">
        <v>8.5</v>
      </c>
      <c r="AE11" s="18" t="s">
        <v>29</v>
      </c>
      <c r="AF11" s="18" t="s">
        <v>29</v>
      </c>
      <c r="AG11" s="18" t="s">
        <v>29</v>
      </c>
      <c r="AH11" s="18">
        <v>8.6999999999999993</v>
      </c>
      <c r="AI11" s="18" t="s">
        <v>29</v>
      </c>
      <c r="AJ11" s="18" t="s">
        <v>66</v>
      </c>
      <c r="AK11" s="18" t="s">
        <v>79</v>
      </c>
      <c r="AL11" s="18" t="s">
        <v>96</v>
      </c>
      <c r="AM11" s="18" t="s">
        <v>107</v>
      </c>
      <c r="AN11" s="18" t="s">
        <v>120</v>
      </c>
      <c r="AO11" s="18" t="s">
        <v>198</v>
      </c>
      <c r="AP11" s="18" t="s">
        <v>240</v>
      </c>
      <c r="AQ11" s="18"/>
      <c r="AR11" s="18">
        <v>1</v>
      </c>
      <c r="AS11" s="18">
        <v>1</v>
      </c>
      <c r="AT11" s="18">
        <v>1</v>
      </c>
      <c r="AU11" s="18">
        <v>3</v>
      </c>
      <c r="AV11" s="18">
        <v>2</v>
      </c>
      <c r="AW11" s="18">
        <v>8</v>
      </c>
      <c r="AX11" s="49">
        <v>4</v>
      </c>
      <c r="AY11" s="49">
        <f>VLOOKUP(AI11,Leyenda!$B$4:$E$10,4,FALSE)</f>
        <v>2</v>
      </c>
      <c r="AZ11" s="50">
        <v>6</v>
      </c>
      <c r="BA11" s="49">
        <v>8</v>
      </c>
      <c r="BB11" s="49">
        <v>15</v>
      </c>
      <c r="BC11" s="67">
        <v>22</v>
      </c>
      <c r="BD11" s="67">
        <f>VLOOKUP(AI11,Leyenda!$B$4:$E$10,4,FALSE)</f>
        <v>2</v>
      </c>
      <c r="BE11" s="67">
        <v>5</v>
      </c>
      <c r="BF11" s="67">
        <v>4</v>
      </c>
      <c r="BG11" s="67">
        <v>1</v>
      </c>
      <c r="BH11" s="67">
        <v>3</v>
      </c>
      <c r="BI11" s="67">
        <v>2</v>
      </c>
      <c r="BJ11" s="67">
        <v>1</v>
      </c>
      <c r="BK11" s="67">
        <v>1</v>
      </c>
      <c r="BL11" s="67">
        <v>10</v>
      </c>
      <c r="BM11" s="67">
        <f t="shared" si="0"/>
        <v>29</v>
      </c>
      <c r="BN11" s="18">
        <f t="shared" si="1"/>
        <v>35</v>
      </c>
      <c r="BO11" s="18"/>
      <c r="BP11" s="18"/>
    </row>
    <row r="12" spans="1:155" ht="15.75" thickBot="1" x14ac:dyDescent="0.3">
      <c r="A12" s="18" t="s">
        <v>6</v>
      </c>
      <c r="B12" s="18">
        <v>2024</v>
      </c>
      <c r="C12" s="18" t="s">
        <v>138</v>
      </c>
      <c r="D12" s="18" t="s">
        <v>245</v>
      </c>
      <c r="E12" s="18">
        <v>20</v>
      </c>
      <c r="F12" s="18">
        <v>20</v>
      </c>
      <c r="G12" s="18" t="s">
        <v>156</v>
      </c>
      <c r="H12" s="18" t="s">
        <v>156</v>
      </c>
      <c r="I12" s="18" t="s">
        <v>296</v>
      </c>
      <c r="J12" s="4">
        <v>48</v>
      </c>
      <c r="K12" s="4">
        <v>48.5</v>
      </c>
      <c r="L12" s="4">
        <v>0.5</v>
      </c>
      <c r="M12" s="5">
        <v>0.46</v>
      </c>
      <c r="N12" s="31">
        <v>0.23</v>
      </c>
      <c r="O12" s="31">
        <v>0.23</v>
      </c>
      <c r="P12" s="31">
        <v>11.5</v>
      </c>
      <c r="Q12" s="31">
        <v>20</v>
      </c>
      <c r="R12" s="31">
        <v>0.19</v>
      </c>
      <c r="S12" s="31">
        <v>0.1</v>
      </c>
      <c r="T12" s="65">
        <v>20</v>
      </c>
      <c r="U12" s="31">
        <v>3</v>
      </c>
      <c r="V12" s="31"/>
      <c r="W12" s="31">
        <v>3</v>
      </c>
      <c r="X12" s="31">
        <v>63.333333333333336</v>
      </c>
      <c r="Y12" s="18">
        <v>38</v>
      </c>
      <c r="Z12" s="18" t="s">
        <v>330</v>
      </c>
      <c r="AA12" s="18" t="s">
        <v>333</v>
      </c>
      <c r="AB12" s="18" t="s">
        <v>337</v>
      </c>
      <c r="AC12" s="18">
        <v>20</v>
      </c>
      <c r="AD12" s="18">
        <v>11.5</v>
      </c>
      <c r="AE12" s="18" t="s">
        <v>29</v>
      </c>
      <c r="AF12" s="18" t="s">
        <v>29</v>
      </c>
      <c r="AG12" s="18" t="s">
        <v>29</v>
      </c>
      <c r="AH12" s="18">
        <v>8.6999999999999993</v>
      </c>
      <c r="AI12" s="18" t="s">
        <v>29</v>
      </c>
      <c r="AJ12" s="18" t="s">
        <v>66</v>
      </c>
      <c r="AK12" s="18" t="s">
        <v>79</v>
      </c>
      <c r="AL12" s="18" t="s">
        <v>96</v>
      </c>
      <c r="AM12" s="18" t="s">
        <v>107</v>
      </c>
      <c r="AN12" s="18" t="s">
        <v>120</v>
      </c>
      <c r="AO12" s="18" t="s">
        <v>198</v>
      </c>
      <c r="AP12" s="18" t="s">
        <v>240</v>
      </c>
      <c r="AQ12" s="18"/>
      <c r="AR12" s="18">
        <v>1</v>
      </c>
      <c r="AS12" s="18">
        <v>1</v>
      </c>
      <c r="AT12" s="18">
        <v>1</v>
      </c>
      <c r="AU12" s="18">
        <v>3</v>
      </c>
      <c r="AV12" s="18">
        <v>2</v>
      </c>
      <c r="AW12" s="18">
        <v>8</v>
      </c>
      <c r="AX12" s="49">
        <v>4</v>
      </c>
      <c r="AY12" s="49">
        <f>VLOOKUP(AI12,Leyenda!$B$4:$E$10,4,FALSE)</f>
        <v>2</v>
      </c>
      <c r="AZ12" s="50">
        <v>6</v>
      </c>
      <c r="BA12" s="49">
        <v>8</v>
      </c>
      <c r="BB12" s="49">
        <v>15</v>
      </c>
      <c r="BC12" s="67">
        <v>22</v>
      </c>
      <c r="BD12" s="67">
        <f>VLOOKUP(AI12,Leyenda!$B$4:$E$10,4,FALSE)</f>
        <v>2</v>
      </c>
      <c r="BE12" s="67">
        <v>5</v>
      </c>
      <c r="BF12" s="67">
        <v>4</v>
      </c>
      <c r="BG12" s="67">
        <v>1</v>
      </c>
      <c r="BH12" s="67">
        <v>3</v>
      </c>
      <c r="BI12" s="67">
        <v>2</v>
      </c>
      <c r="BJ12" s="67">
        <v>1</v>
      </c>
      <c r="BK12" s="67">
        <v>1</v>
      </c>
      <c r="BL12" s="67">
        <v>10</v>
      </c>
      <c r="BM12" s="67">
        <f t="shared" si="0"/>
        <v>29</v>
      </c>
      <c r="BN12" s="18">
        <f t="shared" si="1"/>
        <v>35</v>
      </c>
      <c r="BO12" s="18"/>
      <c r="BP12" s="18"/>
      <c r="DG12" s="167"/>
      <c r="DH12" s="167"/>
      <c r="DI12" s="167"/>
      <c r="DJ12" s="167"/>
      <c r="DK12" s="167"/>
      <c r="DL12" s="167"/>
      <c r="DM12" s="167"/>
      <c r="DN12" s="167"/>
      <c r="DO12" s="167"/>
      <c r="DR12" s="167"/>
      <c r="DS12" s="167"/>
      <c r="DT12" s="167"/>
      <c r="DU12" s="167"/>
      <c r="DV12" s="167"/>
      <c r="DW12" s="167"/>
      <c r="DX12" s="167"/>
      <c r="DY12" s="167"/>
      <c r="EC12" s="167"/>
      <c r="ED12" s="167"/>
      <c r="EE12" s="167"/>
      <c r="EF12" s="167"/>
      <c r="EG12" s="167"/>
      <c r="EH12" s="167"/>
      <c r="EI12" s="167"/>
      <c r="EJ12" s="167"/>
      <c r="EK12" s="167"/>
      <c r="EP12" s="167"/>
      <c r="EQ12" s="167"/>
      <c r="ER12" s="167"/>
      <c r="ES12" s="167"/>
      <c r="ET12" s="167"/>
      <c r="EU12" s="167"/>
      <c r="EV12" s="167"/>
      <c r="EW12" s="167"/>
      <c r="EX12" s="167"/>
      <c r="EY12" s="167"/>
    </row>
    <row r="13" spans="1:155" ht="15.75" thickBot="1" x14ac:dyDescent="0.3">
      <c r="A13" s="18" t="s">
        <v>6</v>
      </c>
      <c r="B13" s="18">
        <v>2024</v>
      </c>
      <c r="C13" s="18" t="s">
        <v>138</v>
      </c>
      <c r="D13" s="18" t="s">
        <v>245</v>
      </c>
      <c r="E13" s="18">
        <v>20</v>
      </c>
      <c r="F13" s="18">
        <v>20</v>
      </c>
      <c r="G13" s="18" t="s">
        <v>156</v>
      </c>
      <c r="H13" s="18" t="s">
        <v>156</v>
      </c>
      <c r="I13" s="18" t="s">
        <v>296</v>
      </c>
      <c r="J13" s="4">
        <v>48.5</v>
      </c>
      <c r="K13" s="4">
        <v>49</v>
      </c>
      <c r="L13" s="4">
        <v>0.5</v>
      </c>
      <c r="M13" s="5">
        <v>0.26</v>
      </c>
      <c r="N13" s="31">
        <v>0.13</v>
      </c>
      <c r="O13" s="31">
        <v>0.13</v>
      </c>
      <c r="P13" s="31">
        <v>6.5</v>
      </c>
      <c r="Q13" s="31">
        <v>20</v>
      </c>
      <c r="R13" s="31">
        <v>0.12</v>
      </c>
      <c r="S13" s="31">
        <v>0</v>
      </c>
      <c r="T13" s="65">
        <v>0</v>
      </c>
      <c r="U13" s="31">
        <v>5</v>
      </c>
      <c r="V13" s="31"/>
      <c r="W13" s="31">
        <v>5</v>
      </c>
      <c r="X13" s="31">
        <v>24</v>
      </c>
      <c r="Y13" s="18">
        <v>0</v>
      </c>
      <c r="Z13" s="18" t="s">
        <v>330</v>
      </c>
      <c r="AA13" s="18" t="s">
        <v>333</v>
      </c>
      <c r="AB13" s="18" t="s">
        <v>337</v>
      </c>
      <c r="AC13" s="18">
        <v>20</v>
      </c>
      <c r="AD13" s="18">
        <v>6.5</v>
      </c>
      <c r="AE13" s="18" t="s">
        <v>29</v>
      </c>
      <c r="AF13" s="18" t="s">
        <v>29</v>
      </c>
      <c r="AG13" s="18" t="s">
        <v>29</v>
      </c>
      <c r="AH13" s="18">
        <v>8.6999999999999993</v>
      </c>
      <c r="AI13" s="18" t="s">
        <v>29</v>
      </c>
      <c r="AJ13" s="18" t="s">
        <v>66</v>
      </c>
      <c r="AK13" s="18" t="s">
        <v>79</v>
      </c>
      <c r="AL13" s="18" t="s">
        <v>96</v>
      </c>
      <c r="AM13" s="18" t="s">
        <v>107</v>
      </c>
      <c r="AN13" s="18" t="s">
        <v>120</v>
      </c>
      <c r="AO13" s="18" t="s">
        <v>198</v>
      </c>
      <c r="AP13" s="18" t="s">
        <v>240</v>
      </c>
      <c r="AQ13" s="18"/>
      <c r="AR13" s="18">
        <v>1</v>
      </c>
      <c r="AS13" s="18">
        <v>1</v>
      </c>
      <c r="AT13" s="18">
        <v>1</v>
      </c>
      <c r="AU13" s="18">
        <v>3</v>
      </c>
      <c r="AV13" s="18">
        <v>2</v>
      </c>
      <c r="AW13" s="18">
        <v>8</v>
      </c>
      <c r="AX13" s="49">
        <v>0</v>
      </c>
      <c r="AY13" s="49">
        <f>VLOOKUP(AI13,Leyenda!$B$4:$E$10,4,FALSE)</f>
        <v>2</v>
      </c>
      <c r="AZ13" s="50">
        <v>4</v>
      </c>
      <c r="BA13" s="49">
        <v>8</v>
      </c>
      <c r="BB13" s="49">
        <v>15</v>
      </c>
      <c r="BC13" s="67">
        <v>12</v>
      </c>
      <c r="BD13" s="67">
        <f>VLOOKUP(AI13,Leyenda!$B$4:$E$10,4,FALSE)</f>
        <v>2</v>
      </c>
      <c r="BE13" s="67">
        <v>5</v>
      </c>
      <c r="BF13" s="67">
        <v>0</v>
      </c>
      <c r="BG13" s="67">
        <v>1</v>
      </c>
      <c r="BH13" s="67">
        <v>3</v>
      </c>
      <c r="BI13" s="67">
        <v>2</v>
      </c>
      <c r="BJ13" s="67">
        <v>1</v>
      </c>
      <c r="BK13" s="67">
        <v>1</v>
      </c>
      <c r="BL13" s="67">
        <v>10</v>
      </c>
      <c r="BM13" s="67">
        <f t="shared" si="0"/>
        <v>25</v>
      </c>
      <c r="BN13" s="18">
        <f t="shared" si="1"/>
        <v>29</v>
      </c>
      <c r="BO13" s="18"/>
      <c r="BP13" s="18"/>
      <c r="CD13" s="167"/>
      <c r="CE13" s="167"/>
      <c r="CF13" s="167"/>
      <c r="CG13" s="167"/>
      <c r="CH13" s="167"/>
      <c r="CI13" s="167"/>
      <c r="CJ13" s="167"/>
      <c r="CK13" s="167"/>
      <c r="CL13" s="167"/>
      <c r="CM13" s="167"/>
      <c r="CQ13" s="167"/>
      <c r="CR13" s="167"/>
      <c r="CS13" s="167"/>
      <c r="CT13" s="167"/>
      <c r="CU13" s="167"/>
      <c r="CV13" s="167"/>
      <c r="CW13" s="167"/>
      <c r="CX13" s="167"/>
      <c r="CY13" s="167"/>
      <c r="CZ13" s="167"/>
      <c r="DG13" s="167"/>
      <c r="DH13" s="167"/>
      <c r="DI13" s="168" t="s">
        <v>287</v>
      </c>
      <c r="DJ13" s="168" t="s">
        <v>288</v>
      </c>
      <c r="DK13" s="168" t="s">
        <v>582</v>
      </c>
      <c r="DL13" s="168" t="s">
        <v>287</v>
      </c>
      <c r="DM13" s="168" t="s">
        <v>288</v>
      </c>
      <c r="DN13" s="168" t="s">
        <v>582</v>
      </c>
      <c r="DO13" s="169" t="s">
        <v>642</v>
      </c>
      <c r="DR13" s="167"/>
      <c r="DS13" s="168" t="s">
        <v>287</v>
      </c>
      <c r="DT13" s="168" t="s">
        <v>288</v>
      </c>
      <c r="DU13" s="168" t="s">
        <v>582</v>
      </c>
      <c r="DV13" s="168" t="s">
        <v>287</v>
      </c>
      <c r="DW13" s="168" t="s">
        <v>288</v>
      </c>
      <c r="DX13" s="168" t="s">
        <v>582</v>
      </c>
      <c r="DY13" s="169" t="s">
        <v>642</v>
      </c>
      <c r="EC13" s="167"/>
      <c r="ED13" s="168" t="s">
        <v>287</v>
      </c>
      <c r="EE13" s="168" t="s">
        <v>288</v>
      </c>
      <c r="EF13" s="168" t="s">
        <v>582</v>
      </c>
      <c r="EG13" s="168" t="s">
        <v>287</v>
      </c>
      <c r="EH13" s="168" t="s">
        <v>288</v>
      </c>
      <c r="EI13" s="168" t="s">
        <v>582</v>
      </c>
      <c r="EJ13" s="169" t="s">
        <v>642</v>
      </c>
      <c r="EK13" s="167"/>
      <c r="EP13" s="167"/>
      <c r="EQ13" s="167"/>
      <c r="ER13" s="168" t="s">
        <v>287</v>
      </c>
      <c r="ES13" s="168" t="s">
        <v>288</v>
      </c>
      <c r="ET13" s="168" t="s">
        <v>582</v>
      </c>
      <c r="EU13" s="168" t="s">
        <v>287</v>
      </c>
      <c r="EV13" s="168" t="s">
        <v>288</v>
      </c>
      <c r="EW13" s="168" t="s">
        <v>582</v>
      </c>
      <c r="EX13" s="169" t="s">
        <v>642</v>
      </c>
      <c r="EY13" s="167"/>
    </row>
    <row r="14" spans="1:155" x14ac:dyDescent="0.25">
      <c r="A14" s="18" t="s">
        <v>6</v>
      </c>
      <c r="B14" s="18">
        <v>2024</v>
      </c>
      <c r="C14" s="18" t="s">
        <v>138</v>
      </c>
      <c r="D14" s="18" t="s">
        <v>245</v>
      </c>
      <c r="E14" s="18">
        <v>20</v>
      </c>
      <c r="F14" s="18">
        <v>20</v>
      </c>
      <c r="G14" s="18" t="s">
        <v>156</v>
      </c>
      <c r="H14" s="18" t="s">
        <v>156</v>
      </c>
      <c r="I14" s="18" t="s">
        <v>296</v>
      </c>
      <c r="J14" s="4">
        <v>49</v>
      </c>
      <c r="K14" s="4">
        <v>49.5</v>
      </c>
      <c r="L14" s="4">
        <v>0.5</v>
      </c>
      <c r="M14" s="5">
        <v>0.2</v>
      </c>
      <c r="N14" s="31">
        <v>0.1</v>
      </c>
      <c r="O14" s="31">
        <v>0.1</v>
      </c>
      <c r="P14" s="31">
        <v>5</v>
      </c>
      <c r="Q14" s="31">
        <v>20</v>
      </c>
      <c r="R14" s="31">
        <v>0.1</v>
      </c>
      <c r="S14" s="31">
        <v>0</v>
      </c>
      <c r="T14" s="65">
        <v>0</v>
      </c>
      <c r="U14" s="31">
        <v>5</v>
      </c>
      <c r="V14" s="31"/>
      <c r="W14" s="31">
        <v>5</v>
      </c>
      <c r="X14" s="31">
        <v>20</v>
      </c>
      <c r="Y14" s="18">
        <v>0</v>
      </c>
      <c r="Z14" s="18" t="s">
        <v>330</v>
      </c>
      <c r="AA14" s="18" t="s">
        <v>333</v>
      </c>
      <c r="AB14" s="18" t="s">
        <v>337</v>
      </c>
      <c r="AC14" s="18">
        <v>20</v>
      </c>
      <c r="AD14" s="18">
        <v>5</v>
      </c>
      <c r="AE14" s="18" t="s">
        <v>29</v>
      </c>
      <c r="AF14" s="18" t="s">
        <v>242</v>
      </c>
      <c r="AG14" s="18" t="s">
        <v>242</v>
      </c>
      <c r="AH14" s="18">
        <v>8.6999999999999993</v>
      </c>
      <c r="AI14" s="18" t="s">
        <v>29</v>
      </c>
      <c r="AJ14" s="18" t="s">
        <v>69</v>
      </c>
      <c r="AK14" s="18" t="s">
        <v>81</v>
      </c>
      <c r="AL14" s="18" t="s">
        <v>100</v>
      </c>
      <c r="AM14" s="18" t="s">
        <v>109</v>
      </c>
      <c r="AN14" s="18" t="s">
        <v>120</v>
      </c>
      <c r="AO14" s="18" t="s">
        <v>198</v>
      </c>
      <c r="AP14" s="18" t="s">
        <v>243</v>
      </c>
      <c r="AQ14" s="18"/>
      <c r="AR14" s="18">
        <v>0</v>
      </c>
      <c r="AS14" s="18">
        <v>0</v>
      </c>
      <c r="AT14" s="18">
        <v>0</v>
      </c>
      <c r="AU14" s="18">
        <v>1</v>
      </c>
      <c r="AV14" s="18">
        <v>2</v>
      </c>
      <c r="AW14" s="18">
        <v>3</v>
      </c>
      <c r="AX14" s="49">
        <v>0</v>
      </c>
      <c r="AY14" s="49">
        <f>VLOOKUP(AI14,Leyenda!$B$4:$E$10,4,FALSE)</f>
        <v>2</v>
      </c>
      <c r="AZ14" s="50">
        <v>4</v>
      </c>
      <c r="BA14" s="49">
        <v>3</v>
      </c>
      <c r="BB14" s="49">
        <v>15</v>
      </c>
      <c r="BC14" s="67">
        <v>4.5</v>
      </c>
      <c r="BD14" s="67">
        <f>VLOOKUP(AI14,Leyenda!$B$4:$E$10,4,FALSE)</f>
        <v>2</v>
      </c>
      <c r="BE14" s="67">
        <v>5</v>
      </c>
      <c r="BF14" s="67">
        <v>0</v>
      </c>
      <c r="BG14" s="67">
        <v>0</v>
      </c>
      <c r="BH14" s="67">
        <v>1</v>
      </c>
      <c r="BI14" s="67">
        <v>2</v>
      </c>
      <c r="BJ14" s="67">
        <v>0</v>
      </c>
      <c r="BK14" s="67">
        <v>0</v>
      </c>
      <c r="BL14" s="67">
        <v>10</v>
      </c>
      <c r="BM14" s="67">
        <f t="shared" si="0"/>
        <v>20</v>
      </c>
      <c r="BN14" s="18">
        <f t="shared" si="1"/>
        <v>24</v>
      </c>
      <c r="BO14" s="18"/>
      <c r="BP14" s="18"/>
      <c r="CD14" s="167"/>
      <c r="CE14" s="167"/>
      <c r="CF14" s="168" t="s">
        <v>287</v>
      </c>
      <c r="CG14" s="168" t="s">
        <v>288</v>
      </c>
      <c r="CH14" s="168" t="s">
        <v>582</v>
      </c>
      <c r="CI14" s="168" t="s">
        <v>287</v>
      </c>
      <c r="CJ14" s="168" t="s">
        <v>288</v>
      </c>
      <c r="CK14" s="168" t="s">
        <v>582</v>
      </c>
      <c r="CL14" s="169" t="s">
        <v>642</v>
      </c>
      <c r="CM14" s="167"/>
      <c r="CQ14" s="167"/>
      <c r="CR14" s="167"/>
      <c r="CS14" s="168" t="s">
        <v>287</v>
      </c>
      <c r="CT14" s="168" t="s">
        <v>288</v>
      </c>
      <c r="CU14" s="168" t="s">
        <v>582</v>
      </c>
      <c r="CV14" s="168" t="s">
        <v>287</v>
      </c>
      <c r="CW14" s="168" t="s">
        <v>288</v>
      </c>
      <c r="CX14" s="168" t="s">
        <v>582</v>
      </c>
      <c r="CY14" s="169" t="s">
        <v>585</v>
      </c>
      <c r="CZ14" s="167"/>
      <c r="DG14" s="167"/>
      <c r="DH14" s="167" t="s">
        <v>637</v>
      </c>
      <c r="DI14" s="167">
        <v>3</v>
      </c>
      <c r="DJ14" s="167">
        <v>39</v>
      </c>
      <c r="DK14" s="170">
        <v>0.58208955223880599</v>
      </c>
      <c r="DL14" s="167">
        <v>3</v>
      </c>
      <c r="DM14" s="167">
        <v>39</v>
      </c>
      <c r="DN14" s="170">
        <v>0.58208955223880599</v>
      </c>
      <c r="DO14" s="171">
        <f>+DJ14/$DJ$20</f>
        <v>0.58208955223880599</v>
      </c>
      <c r="DR14" s="167" t="s">
        <v>111</v>
      </c>
      <c r="DS14" s="167">
        <v>0</v>
      </c>
      <c r="DT14" s="167">
        <v>0</v>
      </c>
      <c r="DU14" s="170">
        <v>0</v>
      </c>
      <c r="DV14" s="167">
        <v>3</v>
      </c>
      <c r="DW14" s="167">
        <v>38</v>
      </c>
      <c r="DX14" s="170">
        <v>0.56716417910447758</v>
      </c>
      <c r="DY14" s="171">
        <f>+DT14/$DT$20</f>
        <v>0</v>
      </c>
      <c r="EC14" s="167" t="s">
        <v>122</v>
      </c>
      <c r="ED14" s="167">
        <v>0</v>
      </c>
      <c r="EE14" s="167">
        <v>9</v>
      </c>
      <c r="EF14" s="170">
        <v>0.13432835820895522</v>
      </c>
      <c r="EG14" s="167">
        <v>2</v>
      </c>
      <c r="EH14" s="167">
        <v>58</v>
      </c>
      <c r="EI14" s="170">
        <v>0.86567164179104472</v>
      </c>
      <c r="EJ14" s="171">
        <f>+EE14/$EE$20</f>
        <v>0.13432835820895522</v>
      </c>
      <c r="EK14" s="167"/>
      <c r="EP14" s="167"/>
      <c r="EQ14" s="167" t="s">
        <v>81</v>
      </c>
      <c r="ER14" s="167">
        <v>0</v>
      </c>
      <c r="ES14" s="167">
        <v>27</v>
      </c>
      <c r="ET14" s="170">
        <v>0.40298507462686567</v>
      </c>
      <c r="EU14" s="167">
        <v>1</v>
      </c>
      <c r="EV14" s="167">
        <v>36</v>
      </c>
      <c r="EW14" s="170">
        <v>0.53731343283582089</v>
      </c>
      <c r="EX14" s="171">
        <f>+ES14/$ES$20</f>
        <v>0.40298507462686567</v>
      </c>
      <c r="EY14" s="167"/>
    </row>
    <row r="15" spans="1:155" x14ac:dyDescent="0.25">
      <c r="A15" s="18" t="s">
        <v>6</v>
      </c>
      <c r="B15" s="18">
        <v>2024</v>
      </c>
      <c r="C15" s="18" t="s">
        <v>138</v>
      </c>
      <c r="D15" s="18" t="s">
        <v>245</v>
      </c>
      <c r="E15" s="18">
        <v>20</v>
      </c>
      <c r="F15" s="18">
        <v>20</v>
      </c>
      <c r="G15" s="18" t="s">
        <v>156</v>
      </c>
      <c r="H15" s="18" t="s">
        <v>156</v>
      </c>
      <c r="I15" s="18" t="s">
        <v>296</v>
      </c>
      <c r="J15" s="4">
        <v>49.5</v>
      </c>
      <c r="K15" s="4">
        <v>50</v>
      </c>
      <c r="L15" s="4">
        <v>0.5</v>
      </c>
      <c r="M15" s="5">
        <v>0.34</v>
      </c>
      <c r="N15" s="31">
        <v>0.17</v>
      </c>
      <c r="O15" s="31">
        <v>0.17</v>
      </c>
      <c r="P15" s="31">
        <v>8.5</v>
      </c>
      <c r="Q15" s="31">
        <v>20</v>
      </c>
      <c r="R15" s="31">
        <v>0.16</v>
      </c>
      <c r="S15" s="31">
        <v>0</v>
      </c>
      <c r="T15" s="65">
        <v>0</v>
      </c>
      <c r="U15" s="31">
        <v>5</v>
      </c>
      <c r="V15" s="31"/>
      <c r="W15" s="31">
        <v>5</v>
      </c>
      <c r="X15" s="31">
        <v>32</v>
      </c>
      <c r="Y15" s="18">
        <v>0</v>
      </c>
      <c r="Z15" s="18" t="s">
        <v>330</v>
      </c>
      <c r="AA15" s="18" t="s">
        <v>333</v>
      </c>
      <c r="AB15" s="18" t="s">
        <v>337</v>
      </c>
      <c r="AC15" s="18">
        <v>20</v>
      </c>
      <c r="AD15" s="18">
        <v>8.5</v>
      </c>
      <c r="AE15" s="18" t="s">
        <v>29</v>
      </c>
      <c r="AF15" s="18" t="s">
        <v>242</v>
      </c>
      <c r="AG15" s="18" t="s">
        <v>242</v>
      </c>
      <c r="AH15" s="18">
        <v>8.6999999999999993</v>
      </c>
      <c r="AI15" s="18" t="s">
        <v>29</v>
      </c>
      <c r="AJ15" s="18" t="s">
        <v>69</v>
      </c>
      <c r="AK15" s="18" t="s">
        <v>81</v>
      </c>
      <c r="AL15" s="18" t="s">
        <v>100</v>
      </c>
      <c r="AM15" s="18" t="s">
        <v>109</v>
      </c>
      <c r="AN15" s="18" t="s">
        <v>120</v>
      </c>
      <c r="AO15" s="18" t="s">
        <v>198</v>
      </c>
      <c r="AP15" s="18" t="s">
        <v>243</v>
      </c>
      <c r="AQ15" s="18"/>
      <c r="AR15" s="18">
        <v>0</v>
      </c>
      <c r="AS15" s="18">
        <v>0</v>
      </c>
      <c r="AT15" s="18">
        <v>0</v>
      </c>
      <c r="AU15" s="18">
        <v>1</v>
      </c>
      <c r="AV15" s="18">
        <v>2</v>
      </c>
      <c r="AW15" s="18">
        <v>3</v>
      </c>
      <c r="AX15" s="49">
        <v>0</v>
      </c>
      <c r="AY15" s="49">
        <f>VLOOKUP(AI15,Leyenda!$B$4:$E$10,4,FALSE)</f>
        <v>2</v>
      </c>
      <c r="AZ15" s="50">
        <v>5</v>
      </c>
      <c r="BA15" s="49">
        <v>3</v>
      </c>
      <c r="BB15" s="49">
        <v>15</v>
      </c>
      <c r="BC15" s="67">
        <v>4.5</v>
      </c>
      <c r="BD15" s="67">
        <f>VLOOKUP(AI15,Leyenda!$B$4:$E$10,4,FALSE)</f>
        <v>2</v>
      </c>
      <c r="BE15" s="67">
        <v>5</v>
      </c>
      <c r="BF15" s="67">
        <v>0</v>
      </c>
      <c r="BG15" s="67">
        <v>0</v>
      </c>
      <c r="BH15" s="67">
        <v>1</v>
      </c>
      <c r="BI15" s="67">
        <v>2</v>
      </c>
      <c r="BJ15" s="67">
        <v>0</v>
      </c>
      <c r="BK15" s="67">
        <v>0</v>
      </c>
      <c r="BL15" s="67">
        <v>10</v>
      </c>
      <c r="BM15" s="67">
        <f t="shared" si="0"/>
        <v>20</v>
      </c>
      <c r="BN15" s="18">
        <f t="shared" si="1"/>
        <v>25</v>
      </c>
      <c r="BO15" s="18"/>
      <c r="BP15" s="18"/>
      <c r="CD15" s="167"/>
      <c r="CE15" s="167" t="s">
        <v>69</v>
      </c>
      <c r="CF15" s="167">
        <v>0</v>
      </c>
      <c r="CG15" s="167">
        <v>4</v>
      </c>
      <c r="CH15" s="170">
        <v>5.9701492537313432E-2</v>
      </c>
      <c r="CI15" s="167">
        <v>1</v>
      </c>
      <c r="CJ15" s="167">
        <v>59</v>
      </c>
      <c r="CK15" s="170">
        <v>0.88059701492537312</v>
      </c>
      <c r="CL15" s="175">
        <f>+CG15/$CG$21</f>
        <v>5.9701492537313432E-2</v>
      </c>
      <c r="CM15" s="167"/>
      <c r="CQ15" s="167"/>
      <c r="CR15" s="167" t="s">
        <v>100</v>
      </c>
      <c r="CS15" s="167">
        <v>0</v>
      </c>
      <c r="CT15" s="167">
        <v>5</v>
      </c>
      <c r="CU15" s="170">
        <v>7.4626865671641784E-2</v>
      </c>
      <c r="CV15" s="167">
        <v>1</v>
      </c>
      <c r="CW15" s="167">
        <v>61</v>
      </c>
      <c r="CX15" s="170">
        <v>0.91044776119402981</v>
      </c>
      <c r="CY15" s="171">
        <f>+CT15/$CT$21</f>
        <v>7.4626865671641784E-2</v>
      </c>
      <c r="CZ15" s="167"/>
      <c r="DG15" s="167"/>
      <c r="DH15" s="167" t="s">
        <v>638</v>
      </c>
      <c r="DI15" s="167">
        <v>8</v>
      </c>
      <c r="DJ15" s="167">
        <v>15</v>
      </c>
      <c r="DK15" s="170">
        <v>0.80597014925373134</v>
      </c>
      <c r="DL15" s="167">
        <v>8</v>
      </c>
      <c r="DM15" s="167">
        <v>15</v>
      </c>
      <c r="DN15" s="170">
        <v>0.80597014925373134</v>
      </c>
      <c r="DO15" s="171">
        <f t="shared" ref="DO15:DO18" si="2">+DJ15/$DJ$20</f>
        <v>0.22388059701492538</v>
      </c>
      <c r="DR15" s="167" t="s">
        <v>109</v>
      </c>
      <c r="DS15" s="167">
        <v>1</v>
      </c>
      <c r="DT15" s="167">
        <v>29</v>
      </c>
      <c r="DU15" s="170">
        <v>0.43283582089552236</v>
      </c>
      <c r="DV15" s="167">
        <v>1</v>
      </c>
      <c r="DW15" s="167">
        <v>29</v>
      </c>
      <c r="DX15" s="170">
        <v>1</v>
      </c>
      <c r="DY15" s="171">
        <f t="shared" ref="DY15:DY18" si="3">+DT15/$DT$20</f>
        <v>0.43283582089552236</v>
      </c>
      <c r="EC15" s="167" t="s">
        <v>120</v>
      </c>
      <c r="ED15" s="167">
        <v>2</v>
      </c>
      <c r="EE15" s="167">
        <v>58</v>
      </c>
      <c r="EF15" s="170">
        <v>1</v>
      </c>
      <c r="EG15" s="167">
        <v>0</v>
      </c>
      <c r="EH15" s="167">
        <v>9</v>
      </c>
      <c r="EI15" s="170">
        <v>1</v>
      </c>
      <c r="EJ15" s="171">
        <f t="shared" ref="EJ15:EJ18" si="4">+EE15/$EE$20</f>
        <v>0.86567164179104472</v>
      </c>
      <c r="EK15" s="167"/>
      <c r="EP15" s="167"/>
      <c r="EQ15" s="167" t="s">
        <v>79</v>
      </c>
      <c r="ER15" s="167">
        <v>1</v>
      </c>
      <c r="ES15" s="167">
        <v>36</v>
      </c>
      <c r="ET15" s="170">
        <v>0.94029850746268662</v>
      </c>
      <c r="EU15" s="167">
        <v>0</v>
      </c>
      <c r="EV15" s="167">
        <v>27</v>
      </c>
      <c r="EW15" s="170">
        <v>0.94029850746268662</v>
      </c>
      <c r="EX15" s="171">
        <f t="shared" ref="EX15:EX18" si="5">+ES15/$ES$20</f>
        <v>0.53731343283582089</v>
      </c>
      <c r="EY15" s="167"/>
    </row>
    <row r="16" spans="1:155" x14ac:dyDescent="0.25">
      <c r="A16" s="18" t="s">
        <v>6</v>
      </c>
      <c r="B16" s="18">
        <v>2024</v>
      </c>
      <c r="C16" s="18" t="s">
        <v>138</v>
      </c>
      <c r="D16" s="18" t="s">
        <v>245</v>
      </c>
      <c r="E16" s="18">
        <v>20</v>
      </c>
      <c r="F16" s="18">
        <v>20</v>
      </c>
      <c r="G16" s="18" t="s">
        <v>156</v>
      </c>
      <c r="H16" s="18" t="s">
        <v>156</v>
      </c>
      <c r="I16" s="18" t="s">
        <v>296</v>
      </c>
      <c r="J16" s="4">
        <v>50</v>
      </c>
      <c r="K16" s="4">
        <v>50.5</v>
      </c>
      <c r="L16" s="4">
        <v>0.5</v>
      </c>
      <c r="M16" s="5">
        <v>0.26</v>
      </c>
      <c r="N16" s="31">
        <v>0.13</v>
      </c>
      <c r="O16" s="31">
        <v>0.13</v>
      </c>
      <c r="P16" s="31">
        <v>6.5</v>
      </c>
      <c r="Q16" s="31">
        <v>20</v>
      </c>
      <c r="R16" s="31">
        <v>0.12</v>
      </c>
      <c r="S16" s="31">
        <v>0</v>
      </c>
      <c r="T16" s="65">
        <v>0</v>
      </c>
      <c r="U16" s="31">
        <v>5</v>
      </c>
      <c r="V16" s="31"/>
      <c r="W16" s="31">
        <v>5</v>
      </c>
      <c r="X16" s="31">
        <v>24</v>
      </c>
      <c r="Y16" s="18">
        <v>0</v>
      </c>
      <c r="Z16" s="18" t="s">
        <v>330</v>
      </c>
      <c r="AA16" s="18" t="s">
        <v>333</v>
      </c>
      <c r="AB16" s="18" t="s">
        <v>337</v>
      </c>
      <c r="AC16" s="18">
        <v>20</v>
      </c>
      <c r="AD16" s="18">
        <v>6.5</v>
      </c>
      <c r="AE16" s="18" t="s">
        <v>29</v>
      </c>
      <c r="AF16" s="18" t="s">
        <v>242</v>
      </c>
      <c r="AG16" s="18" t="s">
        <v>242</v>
      </c>
      <c r="AH16" s="18">
        <v>8.6999999999999993</v>
      </c>
      <c r="AI16" s="18" t="s">
        <v>29</v>
      </c>
      <c r="AJ16" s="18" t="s">
        <v>69</v>
      </c>
      <c r="AK16" s="18" t="s">
        <v>81</v>
      </c>
      <c r="AL16" s="18" t="s">
        <v>100</v>
      </c>
      <c r="AM16" s="18" t="s">
        <v>109</v>
      </c>
      <c r="AN16" s="18" t="s">
        <v>120</v>
      </c>
      <c r="AO16" s="18" t="s">
        <v>198</v>
      </c>
      <c r="AP16" s="18" t="s">
        <v>243</v>
      </c>
      <c r="AQ16" s="18"/>
      <c r="AR16" s="18">
        <v>0</v>
      </c>
      <c r="AS16" s="18">
        <v>0</v>
      </c>
      <c r="AT16" s="18">
        <v>0</v>
      </c>
      <c r="AU16" s="18">
        <v>1</v>
      </c>
      <c r="AV16" s="18">
        <v>2</v>
      </c>
      <c r="AW16" s="18">
        <v>3</v>
      </c>
      <c r="AX16" s="49">
        <v>0</v>
      </c>
      <c r="AY16" s="49">
        <f>VLOOKUP(AI16,Leyenda!$B$4:$E$10,4,FALSE)</f>
        <v>2</v>
      </c>
      <c r="AZ16" s="50">
        <v>4</v>
      </c>
      <c r="BA16" s="49">
        <v>3</v>
      </c>
      <c r="BB16" s="49">
        <v>15</v>
      </c>
      <c r="BC16" s="67">
        <v>4.5</v>
      </c>
      <c r="BD16" s="67">
        <f>VLOOKUP(AI16,Leyenda!$B$4:$E$10,4,FALSE)</f>
        <v>2</v>
      </c>
      <c r="BE16" s="67">
        <v>5</v>
      </c>
      <c r="BF16" s="67">
        <v>0</v>
      </c>
      <c r="BG16" s="67">
        <v>0</v>
      </c>
      <c r="BH16" s="67">
        <v>1</v>
      </c>
      <c r="BI16" s="67">
        <v>2</v>
      </c>
      <c r="BJ16" s="67">
        <v>0</v>
      </c>
      <c r="BK16" s="67">
        <v>0</v>
      </c>
      <c r="BL16" s="67">
        <v>10</v>
      </c>
      <c r="BM16" s="67">
        <f t="shared" si="0"/>
        <v>20</v>
      </c>
      <c r="BN16" s="18">
        <f t="shared" si="1"/>
        <v>24</v>
      </c>
      <c r="BO16" s="18"/>
      <c r="BP16" s="18"/>
      <c r="CD16" s="167"/>
      <c r="CE16" s="167" t="s">
        <v>66</v>
      </c>
      <c r="CF16" s="167">
        <v>1</v>
      </c>
      <c r="CG16" s="167">
        <v>59</v>
      </c>
      <c r="CH16" s="170">
        <v>0.94029850746268662</v>
      </c>
      <c r="CI16" s="167">
        <v>0</v>
      </c>
      <c r="CJ16" s="167">
        <v>4</v>
      </c>
      <c r="CK16" s="170">
        <v>0.94029850746268662</v>
      </c>
      <c r="CL16" s="175">
        <f t="shared" ref="CL16:CL19" si="6">+CG16/$CG$21</f>
        <v>0.88059701492537312</v>
      </c>
      <c r="CM16" s="167"/>
      <c r="CQ16" s="167"/>
      <c r="CR16" s="167" t="s">
        <v>96</v>
      </c>
      <c r="CS16" s="167">
        <v>1</v>
      </c>
      <c r="CT16" s="167">
        <v>61</v>
      </c>
      <c r="CU16" s="170">
        <v>0.9850746268656716</v>
      </c>
      <c r="CV16" s="167">
        <v>0</v>
      </c>
      <c r="CW16" s="167">
        <v>5</v>
      </c>
      <c r="CX16" s="170">
        <v>0.9850746268656716</v>
      </c>
      <c r="CY16" s="171">
        <f t="shared" ref="CY16:CY19" si="7">+CT16/$CT$21</f>
        <v>0.91044776119402981</v>
      </c>
      <c r="CZ16" s="167"/>
      <c r="DG16" s="167"/>
      <c r="DH16" s="167" t="s">
        <v>639</v>
      </c>
      <c r="DI16" s="167">
        <v>13</v>
      </c>
      <c r="DJ16" s="167">
        <v>10</v>
      </c>
      <c r="DK16" s="170">
        <v>0.95522388059701491</v>
      </c>
      <c r="DL16" s="167">
        <v>13</v>
      </c>
      <c r="DM16" s="167">
        <v>10</v>
      </c>
      <c r="DN16" s="170">
        <v>0.95522388059701491</v>
      </c>
      <c r="DO16" s="171">
        <f t="shared" si="2"/>
        <v>0.14925373134328357</v>
      </c>
      <c r="DR16" s="167" t="s">
        <v>107</v>
      </c>
      <c r="DS16" s="167">
        <v>3</v>
      </c>
      <c r="DT16" s="167">
        <v>38</v>
      </c>
      <c r="DU16" s="170">
        <v>1</v>
      </c>
      <c r="DV16" s="167">
        <v>0</v>
      </c>
      <c r="DW16" s="167">
        <v>0</v>
      </c>
      <c r="DX16" s="170">
        <v>1</v>
      </c>
      <c r="DY16" s="171">
        <f t="shared" si="3"/>
        <v>0.56716417910447758</v>
      </c>
      <c r="EC16" s="167" t="s">
        <v>118</v>
      </c>
      <c r="ED16" s="167">
        <v>3</v>
      </c>
      <c r="EE16" s="167">
        <v>0</v>
      </c>
      <c r="EF16" s="170">
        <v>1</v>
      </c>
      <c r="EG16" s="167">
        <v>3</v>
      </c>
      <c r="EH16" s="167">
        <v>0</v>
      </c>
      <c r="EI16" s="170">
        <v>1</v>
      </c>
      <c r="EJ16" s="171">
        <f t="shared" si="4"/>
        <v>0</v>
      </c>
      <c r="EK16" s="167"/>
      <c r="EP16" s="167"/>
      <c r="EQ16" s="167" t="s">
        <v>77</v>
      </c>
      <c r="ER16" s="167">
        <v>3</v>
      </c>
      <c r="ES16" s="167">
        <v>4</v>
      </c>
      <c r="ET16" s="170">
        <v>1</v>
      </c>
      <c r="EU16" s="167">
        <v>3</v>
      </c>
      <c r="EV16" s="167">
        <v>4</v>
      </c>
      <c r="EW16" s="170">
        <v>1</v>
      </c>
      <c r="EX16" s="171">
        <f t="shared" si="5"/>
        <v>5.9701492537313432E-2</v>
      </c>
      <c r="EY16" s="167"/>
    </row>
    <row r="17" spans="1:155" x14ac:dyDescent="0.25">
      <c r="A17" s="18" t="s">
        <v>6</v>
      </c>
      <c r="B17" s="18">
        <v>2024</v>
      </c>
      <c r="C17" s="18" t="s">
        <v>138</v>
      </c>
      <c r="D17" s="18" t="s">
        <v>245</v>
      </c>
      <c r="E17" s="18">
        <v>20</v>
      </c>
      <c r="F17" s="18">
        <v>20</v>
      </c>
      <c r="G17" s="18" t="s">
        <v>156</v>
      </c>
      <c r="H17" s="18" t="s">
        <v>156</v>
      </c>
      <c r="I17" s="18" t="s">
        <v>296</v>
      </c>
      <c r="J17" s="4">
        <v>50.5</v>
      </c>
      <c r="K17" s="4">
        <v>51</v>
      </c>
      <c r="L17" s="4">
        <v>0.5</v>
      </c>
      <c r="M17" s="5">
        <v>0.66</v>
      </c>
      <c r="N17" s="31">
        <v>0.33</v>
      </c>
      <c r="O17" s="31">
        <v>0.33</v>
      </c>
      <c r="P17" s="31">
        <v>16.5</v>
      </c>
      <c r="Q17" s="31">
        <v>20</v>
      </c>
      <c r="R17" s="31">
        <v>0.31</v>
      </c>
      <c r="S17" s="31">
        <v>0</v>
      </c>
      <c r="T17" s="65">
        <v>0</v>
      </c>
      <c r="U17" s="31">
        <v>6</v>
      </c>
      <c r="V17" s="31"/>
      <c r="W17" s="31">
        <v>6</v>
      </c>
      <c r="X17" s="31">
        <v>51.666666666666664</v>
      </c>
      <c r="Y17" s="18">
        <v>0</v>
      </c>
      <c r="Z17" s="18" t="s">
        <v>330</v>
      </c>
      <c r="AA17" s="18" t="s">
        <v>333</v>
      </c>
      <c r="AB17" s="18" t="s">
        <v>337</v>
      </c>
      <c r="AC17" s="18">
        <v>20</v>
      </c>
      <c r="AD17" s="18">
        <v>16.5</v>
      </c>
      <c r="AE17" s="18" t="s">
        <v>29</v>
      </c>
      <c r="AF17" s="18" t="s">
        <v>200</v>
      </c>
      <c r="AG17" s="18" t="s">
        <v>200</v>
      </c>
      <c r="AH17" s="18">
        <v>8.6999999999999993</v>
      </c>
      <c r="AI17" s="18" t="s">
        <v>29</v>
      </c>
      <c r="AJ17" s="18" t="s">
        <v>66</v>
      </c>
      <c r="AK17" s="18" t="s">
        <v>79</v>
      </c>
      <c r="AL17" s="18" t="s">
        <v>96</v>
      </c>
      <c r="AM17" s="18" t="s">
        <v>107</v>
      </c>
      <c r="AN17" s="18" t="s">
        <v>120</v>
      </c>
      <c r="AO17" s="18" t="s">
        <v>198</v>
      </c>
      <c r="AP17" s="18"/>
      <c r="AQ17" s="18"/>
      <c r="AR17" s="18">
        <v>1</v>
      </c>
      <c r="AS17" s="18">
        <v>1</v>
      </c>
      <c r="AT17" s="18">
        <v>1</v>
      </c>
      <c r="AU17" s="18">
        <v>3</v>
      </c>
      <c r="AV17" s="18">
        <v>2</v>
      </c>
      <c r="AW17" s="18">
        <v>8</v>
      </c>
      <c r="AX17" s="49">
        <v>0</v>
      </c>
      <c r="AY17" s="49">
        <f>VLOOKUP(AI17,Leyenda!$B$4:$E$10,4,FALSE)</f>
        <v>2</v>
      </c>
      <c r="AZ17" s="50">
        <v>6</v>
      </c>
      <c r="BA17" s="49">
        <v>8</v>
      </c>
      <c r="BB17" s="49">
        <v>15</v>
      </c>
      <c r="BC17" s="67">
        <v>12</v>
      </c>
      <c r="BD17" s="67">
        <f>VLOOKUP(AI17,Leyenda!$B$4:$E$10,4,FALSE)</f>
        <v>2</v>
      </c>
      <c r="BE17" s="67">
        <v>4</v>
      </c>
      <c r="BF17" s="67">
        <v>0</v>
      </c>
      <c r="BG17" s="67">
        <v>1</v>
      </c>
      <c r="BH17" s="67">
        <v>3</v>
      </c>
      <c r="BI17" s="67">
        <v>2</v>
      </c>
      <c r="BJ17" s="67">
        <v>1</v>
      </c>
      <c r="BK17" s="67">
        <v>1</v>
      </c>
      <c r="BL17" s="67">
        <v>10</v>
      </c>
      <c r="BM17" s="67">
        <f t="shared" si="0"/>
        <v>24</v>
      </c>
      <c r="BN17" s="18">
        <f t="shared" si="1"/>
        <v>31</v>
      </c>
      <c r="BO17" s="18"/>
      <c r="BP17" s="18"/>
      <c r="CD17" s="167"/>
      <c r="CE17" s="167" t="s">
        <v>64</v>
      </c>
      <c r="CF17" s="167">
        <v>3</v>
      </c>
      <c r="CG17" s="167">
        <v>4</v>
      </c>
      <c r="CH17" s="170">
        <v>1</v>
      </c>
      <c r="CI17" s="167">
        <v>3</v>
      </c>
      <c r="CJ17" s="167">
        <v>4</v>
      </c>
      <c r="CK17" s="170">
        <v>1</v>
      </c>
      <c r="CL17" s="175">
        <f t="shared" si="6"/>
        <v>5.9701492537313432E-2</v>
      </c>
      <c r="CM17" s="167"/>
      <c r="CQ17" s="167"/>
      <c r="CR17" s="167" t="s">
        <v>92</v>
      </c>
      <c r="CS17" s="167">
        <v>3</v>
      </c>
      <c r="CT17" s="167">
        <v>1</v>
      </c>
      <c r="CU17" s="170">
        <v>1</v>
      </c>
      <c r="CV17" s="167">
        <v>3</v>
      </c>
      <c r="CW17" s="167">
        <v>1</v>
      </c>
      <c r="CX17" s="170">
        <v>1</v>
      </c>
      <c r="CY17" s="171">
        <f t="shared" si="7"/>
        <v>1.4925373134328358E-2</v>
      </c>
      <c r="CZ17" s="167"/>
      <c r="DG17" s="167"/>
      <c r="DH17" s="167" t="s">
        <v>640</v>
      </c>
      <c r="DI17" s="167">
        <v>17</v>
      </c>
      <c r="DJ17" s="167">
        <v>2</v>
      </c>
      <c r="DK17" s="170">
        <v>0.9850746268656716</v>
      </c>
      <c r="DL17" s="167">
        <v>17</v>
      </c>
      <c r="DM17" s="167">
        <v>2</v>
      </c>
      <c r="DN17" s="170">
        <v>0.9850746268656716</v>
      </c>
      <c r="DO17" s="171">
        <f t="shared" si="2"/>
        <v>2.9850746268656716E-2</v>
      </c>
      <c r="DR17" s="167" t="s">
        <v>105</v>
      </c>
      <c r="DS17" s="167">
        <v>4</v>
      </c>
      <c r="DT17" s="167">
        <v>0</v>
      </c>
      <c r="DU17" s="170">
        <v>1</v>
      </c>
      <c r="DV17" s="167">
        <v>4</v>
      </c>
      <c r="DW17" s="167">
        <v>0</v>
      </c>
      <c r="DX17" s="170">
        <v>1</v>
      </c>
      <c r="DY17" s="171">
        <f t="shared" si="3"/>
        <v>0</v>
      </c>
      <c r="EC17" s="167" t="s">
        <v>116</v>
      </c>
      <c r="ED17" s="167">
        <v>4</v>
      </c>
      <c r="EE17" s="167">
        <v>0</v>
      </c>
      <c r="EF17" s="170">
        <v>1</v>
      </c>
      <c r="EG17" s="167">
        <v>4</v>
      </c>
      <c r="EH17" s="167">
        <v>0</v>
      </c>
      <c r="EI17" s="170">
        <v>1</v>
      </c>
      <c r="EJ17" s="171">
        <f t="shared" si="4"/>
        <v>0</v>
      </c>
      <c r="EK17" s="167"/>
      <c r="EP17" s="167"/>
      <c r="EQ17" s="167" t="s">
        <v>75</v>
      </c>
      <c r="ER17" s="167">
        <v>4</v>
      </c>
      <c r="ES17" s="167">
        <v>0</v>
      </c>
      <c r="ET17" s="170">
        <v>1</v>
      </c>
      <c r="EU17" s="167">
        <v>4</v>
      </c>
      <c r="EV17" s="167">
        <v>0</v>
      </c>
      <c r="EW17" s="170">
        <v>1</v>
      </c>
      <c r="EX17" s="171">
        <f t="shared" si="5"/>
        <v>0</v>
      </c>
      <c r="EY17" s="167"/>
    </row>
    <row r="18" spans="1:155" x14ac:dyDescent="0.25">
      <c r="A18" s="18" t="s">
        <v>6</v>
      </c>
      <c r="B18" s="18">
        <v>2024</v>
      </c>
      <c r="C18" s="18" t="s">
        <v>138</v>
      </c>
      <c r="D18" s="18" t="s">
        <v>245</v>
      </c>
      <c r="E18" s="18">
        <v>20</v>
      </c>
      <c r="F18" s="18">
        <v>20</v>
      </c>
      <c r="G18" s="18" t="s">
        <v>156</v>
      </c>
      <c r="H18" s="18" t="s">
        <v>156</v>
      </c>
      <c r="I18" s="18" t="s">
        <v>296</v>
      </c>
      <c r="J18" s="4">
        <v>51</v>
      </c>
      <c r="K18" s="4">
        <v>51.5</v>
      </c>
      <c r="L18" s="4">
        <v>0.5</v>
      </c>
      <c r="M18" s="5">
        <v>0.74</v>
      </c>
      <c r="N18" s="31">
        <v>0.37</v>
      </c>
      <c r="O18" s="31">
        <v>0.37</v>
      </c>
      <c r="P18" s="31">
        <v>18.5</v>
      </c>
      <c r="Q18" s="31">
        <v>20</v>
      </c>
      <c r="R18" s="31">
        <v>0.33</v>
      </c>
      <c r="S18" s="31">
        <v>0</v>
      </c>
      <c r="T18" s="65">
        <v>0</v>
      </c>
      <c r="U18" s="31">
        <v>10</v>
      </c>
      <c r="V18" s="31"/>
      <c r="W18" s="31">
        <v>10</v>
      </c>
      <c r="X18" s="31">
        <v>33</v>
      </c>
      <c r="Y18" s="18">
        <v>0</v>
      </c>
      <c r="Z18" s="18" t="s">
        <v>330</v>
      </c>
      <c r="AA18" s="18" t="s">
        <v>333</v>
      </c>
      <c r="AB18" s="18" t="s">
        <v>337</v>
      </c>
      <c r="AC18" s="18">
        <v>20</v>
      </c>
      <c r="AD18" s="18">
        <v>18.5</v>
      </c>
      <c r="AE18" s="18" t="s">
        <v>29</v>
      </c>
      <c r="AF18" s="18" t="s">
        <v>199</v>
      </c>
      <c r="AG18" s="18" t="s">
        <v>199</v>
      </c>
      <c r="AH18" s="18">
        <v>8.6999999999999993</v>
      </c>
      <c r="AI18" s="18" t="s">
        <v>29</v>
      </c>
      <c r="AJ18" s="18" t="s">
        <v>66</v>
      </c>
      <c r="AK18" s="18" t="s">
        <v>81</v>
      </c>
      <c r="AL18" s="18" t="s">
        <v>96</v>
      </c>
      <c r="AM18" s="18" t="s">
        <v>107</v>
      </c>
      <c r="AN18" s="18" t="s">
        <v>122</v>
      </c>
      <c r="AO18" s="18" t="s">
        <v>198</v>
      </c>
      <c r="AP18" s="18" t="s">
        <v>243</v>
      </c>
      <c r="AQ18" s="18"/>
      <c r="AR18" s="18">
        <v>1</v>
      </c>
      <c r="AS18" s="18">
        <v>0</v>
      </c>
      <c r="AT18" s="18">
        <v>1</v>
      </c>
      <c r="AU18" s="18">
        <v>3</v>
      </c>
      <c r="AV18" s="18">
        <v>0</v>
      </c>
      <c r="AW18" s="18">
        <v>5</v>
      </c>
      <c r="AX18" s="49">
        <v>0</v>
      </c>
      <c r="AY18" s="49">
        <f>VLOOKUP(AI18,Leyenda!$B$4:$E$10,4,FALSE)</f>
        <v>2</v>
      </c>
      <c r="AZ18" s="50">
        <v>5</v>
      </c>
      <c r="BA18" s="49">
        <v>5</v>
      </c>
      <c r="BB18" s="49">
        <v>15</v>
      </c>
      <c r="BC18" s="67">
        <v>7.5</v>
      </c>
      <c r="BD18" s="67">
        <f>VLOOKUP(AI18,Leyenda!$B$4:$E$10,4,FALSE)</f>
        <v>2</v>
      </c>
      <c r="BE18" s="67">
        <v>5</v>
      </c>
      <c r="BF18" s="67">
        <v>0</v>
      </c>
      <c r="BG18" s="67">
        <v>1</v>
      </c>
      <c r="BH18" s="67">
        <v>3</v>
      </c>
      <c r="BI18" s="67">
        <v>0</v>
      </c>
      <c r="BJ18" s="67">
        <v>0</v>
      </c>
      <c r="BK18" s="67">
        <v>1</v>
      </c>
      <c r="BL18" s="67">
        <v>10</v>
      </c>
      <c r="BM18" s="67">
        <f t="shared" si="0"/>
        <v>22</v>
      </c>
      <c r="BN18" s="18">
        <f t="shared" si="1"/>
        <v>27</v>
      </c>
      <c r="BO18" s="18"/>
      <c r="BP18" s="18"/>
      <c r="CD18" s="167"/>
      <c r="CE18" s="167" t="s">
        <v>62</v>
      </c>
      <c r="CF18" s="167">
        <v>4</v>
      </c>
      <c r="CG18" s="167">
        <v>0</v>
      </c>
      <c r="CH18" s="170">
        <v>1</v>
      </c>
      <c r="CI18" s="167">
        <v>4</v>
      </c>
      <c r="CJ18" s="167">
        <v>0</v>
      </c>
      <c r="CK18" s="170">
        <v>1</v>
      </c>
      <c r="CL18" s="175">
        <f t="shared" si="6"/>
        <v>0</v>
      </c>
      <c r="CM18" s="167"/>
      <c r="CQ18" s="167"/>
      <c r="CR18" s="167" t="s">
        <v>88</v>
      </c>
      <c r="CS18" s="167">
        <v>4</v>
      </c>
      <c r="CT18" s="167">
        <v>0</v>
      </c>
      <c r="CU18" s="170">
        <v>1</v>
      </c>
      <c r="CV18" s="167">
        <v>4</v>
      </c>
      <c r="CW18" s="167">
        <v>0</v>
      </c>
      <c r="CX18" s="170">
        <v>1</v>
      </c>
      <c r="CY18" s="171">
        <f t="shared" si="7"/>
        <v>0</v>
      </c>
      <c r="CZ18" s="167"/>
      <c r="DG18" s="167"/>
      <c r="DH18" s="167" t="s">
        <v>641</v>
      </c>
      <c r="DI18" s="167">
        <v>20</v>
      </c>
      <c r="DJ18" s="167">
        <v>1</v>
      </c>
      <c r="DK18" s="170">
        <v>1</v>
      </c>
      <c r="DL18" s="167">
        <v>20</v>
      </c>
      <c r="DM18" s="167">
        <v>1</v>
      </c>
      <c r="DN18" s="170">
        <v>1</v>
      </c>
      <c r="DO18" s="171">
        <f t="shared" si="2"/>
        <v>1.4925373134328358E-2</v>
      </c>
      <c r="DR18" s="167" t="s">
        <v>103</v>
      </c>
      <c r="DS18" s="167">
        <v>5</v>
      </c>
      <c r="DT18" s="167">
        <v>0</v>
      </c>
      <c r="DU18" s="170">
        <v>1</v>
      </c>
      <c r="DV18" s="167">
        <v>5</v>
      </c>
      <c r="DW18" s="167">
        <v>0</v>
      </c>
      <c r="DX18" s="170">
        <v>1</v>
      </c>
      <c r="DY18" s="171">
        <f t="shared" si="3"/>
        <v>0</v>
      </c>
      <c r="EC18" s="167" t="s">
        <v>114</v>
      </c>
      <c r="ED18" s="167">
        <v>5</v>
      </c>
      <c r="EE18" s="167">
        <v>0</v>
      </c>
      <c r="EF18" s="170">
        <v>1</v>
      </c>
      <c r="EG18" s="167">
        <v>5</v>
      </c>
      <c r="EH18" s="167">
        <v>0</v>
      </c>
      <c r="EI18" s="170">
        <v>1</v>
      </c>
      <c r="EJ18" s="171">
        <f t="shared" si="4"/>
        <v>0</v>
      </c>
      <c r="EK18" s="167"/>
      <c r="EP18" s="167"/>
      <c r="EQ18" s="167" t="s">
        <v>73</v>
      </c>
      <c r="ER18" s="167">
        <v>5</v>
      </c>
      <c r="ES18" s="167">
        <v>0</v>
      </c>
      <c r="ET18" s="170">
        <v>1</v>
      </c>
      <c r="EU18" s="167">
        <v>5</v>
      </c>
      <c r="EV18" s="167">
        <v>0</v>
      </c>
      <c r="EW18" s="170">
        <v>1</v>
      </c>
      <c r="EX18" s="171">
        <f t="shared" si="5"/>
        <v>0</v>
      </c>
      <c r="EY18" s="167"/>
    </row>
    <row r="19" spans="1:155" ht="15.75" thickBot="1" x14ac:dyDescent="0.3">
      <c r="A19" s="18" t="s">
        <v>6</v>
      </c>
      <c r="B19" s="18">
        <v>2024</v>
      </c>
      <c r="C19" s="18" t="s">
        <v>138</v>
      </c>
      <c r="D19" s="18" t="s">
        <v>245</v>
      </c>
      <c r="E19" s="18">
        <v>20</v>
      </c>
      <c r="F19" s="18">
        <v>20</v>
      </c>
      <c r="G19" s="18" t="s">
        <v>156</v>
      </c>
      <c r="H19" s="18" t="s">
        <v>156</v>
      </c>
      <c r="I19" s="18" t="s">
        <v>296</v>
      </c>
      <c r="J19" s="4">
        <v>51.5</v>
      </c>
      <c r="K19" s="4">
        <v>52</v>
      </c>
      <c r="L19" s="4">
        <v>0.5</v>
      </c>
      <c r="M19" s="5">
        <v>1</v>
      </c>
      <c r="N19" s="31">
        <v>0.5</v>
      </c>
      <c r="O19" s="31">
        <v>0.5</v>
      </c>
      <c r="P19" s="31">
        <v>25</v>
      </c>
      <c r="Q19" s="31">
        <v>20</v>
      </c>
      <c r="R19" s="31">
        <v>0.47</v>
      </c>
      <c r="S19" s="31">
        <v>0.25</v>
      </c>
      <c r="T19" s="65">
        <v>50</v>
      </c>
      <c r="U19" s="31">
        <v>5</v>
      </c>
      <c r="V19" s="31"/>
      <c r="W19" s="31">
        <v>5</v>
      </c>
      <c r="X19" s="31">
        <v>94</v>
      </c>
      <c r="Y19" s="18">
        <v>0</v>
      </c>
      <c r="Z19" s="18" t="s">
        <v>330</v>
      </c>
      <c r="AA19" s="18" t="s">
        <v>333</v>
      </c>
      <c r="AB19" s="18" t="s">
        <v>337</v>
      </c>
      <c r="AC19" s="18">
        <v>20</v>
      </c>
      <c r="AD19" s="18">
        <v>25</v>
      </c>
      <c r="AE19" s="18" t="s">
        <v>29</v>
      </c>
      <c r="AF19" s="18" t="s">
        <v>199</v>
      </c>
      <c r="AG19" s="18" t="s">
        <v>199</v>
      </c>
      <c r="AH19" s="18">
        <v>8.6999999999999993</v>
      </c>
      <c r="AI19" s="18" t="s">
        <v>29</v>
      </c>
      <c r="AJ19" s="18" t="s">
        <v>66</v>
      </c>
      <c r="AK19" s="18" t="s">
        <v>81</v>
      </c>
      <c r="AL19" s="18" t="s">
        <v>96</v>
      </c>
      <c r="AM19" s="18" t="s">
        <v>107</v>
      </c>
      <c r="AN19" s="18" t="s">
        <v>122</v>
      </c>
      <c r="AO19" s="18" t="s">
        <v>198</v>
      </c>
      <c r="AP19" s="18" t="s">
        <v>243</v>
      </c>
      <c r="AQ19" s="18"/>
      <c r="AR19" s="18">
        <v>1</v>
      </c>
      <c r="AS19" s="18">
        <v>0</v>
      </c>
      <c r="AT19" s="18">
        <v>1</v>
      </c>
      <c r="AU19" s="18">
        <v>3</v>
      </c>
      <c r="AV19" s="18">
        <v>0</v>
      </c>
      <c r="AW19" s="18">
        <v>5</v>
      </c>
      <c r="AX19" s="49">
        <v>10</v>
      </c>
      <c r="AY19" s="49">
        <f>VLOOKUP(AI19,Leyenda!$B$4:$E$10,4,FALSE)</f>
        <v>2</v>
      </c>
      <c r="AZ19" s="50">
        <v>7</v>
      </c>
      <c r="BA19" s="49">
        <v>5</v>
      </c>
      <c r="BB19" s="49">
        <v>15</v>
      </c>
      <c r="BC19" s="67">
        <v>32.5</v>
      </c>
      <c r="BD19" s="67">
        <f>VLOOKUP(AI19,Leyenda!$B$4:$E$10,4,FALSE)</f>
        <v>2</v>
      </c>
      <c r="BE19" s="67">
        <v>8</v>
      </c>
      <c r="BF19" s="67">
        <v>10</v>
      </c>
      <c r="BG19" s="67">
        <v>1</v>
      </c>
      <c r="BH19" s="67">
        <v>3</v>
      </c>
      <c r="BI19" s="67">
        <v>0</v>
      </c>
      <c r="BJ19" s="67">
        <v>0</v>
      </c>
      <c r="BK19" s="67">
        <v>1</v>
      </c>
      <c r="BL19" s="67">
        <v>10</v>
      </c>
      <c r="BM19" s="67">
        <f t="shared" si="0"/>
        <v>35</v>
      </c>
      <c r="BN19" s="18">
        <f t="shared" si="1"/>
        <v>39</v>
      </c>
      <c r="BO19" s="18"/>
      <c r="BP19" s="18"/>
      <c r="CD19" s="167"/>
      <c r="CE19" s="167" t="s">
        <v>60</v>
      </c>
      <c r="CF19" s="167">
        <v>5</v>
      </c>
      <c r="CG19" s="167">
        <v>0</v>
      </c>
      <c r="CH19" s="170">
        <v>1</v>
      </c>
      <c r="CI19" s="167">
        <v>5</v>
      </c>
      <c r="CJ19" s="167">
        <v>0</v>
      </c>
      <c r="CK19" s="170">
        <v>1</v>
      </c>
      <c r="CL19" s="175">
        <f t="shared" si="6"/>
        <v>0</v>
      </c>
      <c r="CM19" s="167"/>
      <c r="CQ19" s="167"/>
      <c r="CR19" s="167" t="s">
        <v>85</v>
      </c>
      <c r="CS19" s="167">
        <v>5</v>
      </c>
      <c r="CT19" s="167">
        <v>0</v>
      </c>
      <c r="CU19" s="170">
        <v>1</v>
      </c>
      <c r="CV19" s="167">
        <v>5</v>
      </c>
      <c r="CW19" s="167">
        <v>0</v>
      </c>
      <c r="CX19" s="170">
        <v>1</v>
      </c>
      <c r="CY19" s="171">
        <f t="shared" si="7"/>
        <v>0</v>
      </c>
      <c r="CZ19" s="167"/>
      <c r="DG19" s="167"/>
      <c r="DH19" s="167"/>
      <c r="DI19" s="172" t="s">
        <v>581</v>
      </c>
      <c r="DJ19" s="172">
        <v>0</v>
      </c>
      <c r="DK19" s="173">
        <v>1</v>
      </c>
      <c r="DL19" s="172" t="s">
        <v>581</v>
      </c>
      <c r="DM19" s="172">
        <v>0</v>
      </c>
      <c r="DN19" s="173">
        <v>1</v>
      </c>
      <c r="DO19" s="167"/>
      <c r="DR19" s="167"/>
      <c r="DS19" s="172" t="s">
        <v>581</v>
      </c>
      <c r="DT19" s="172">
        <v>0</v>
      </c>
      <c r="DU19" s="173">
        <v>1</v>
      </c>
      <c r="DV19" s="172" t="s">
        <v>581</v>
      </c>
      <c r="DW19" s="172">
        <v>0</v>
      </c>
      <c r="DX19" s="173">
        <v>1</v>
      </c>
      <c r="DY19" s="167"/>
      <c r="EC19" s="167"/>
      <c r="ED19" s="172" t="s">
        <v>581</v>
      </c>
      <c r="EE19" s="172">
        <v>0</v>
      </c>
      <c r="EF19" s="173">
        <v>1</v>
      </c>
      <c r="EG19" s="172" t="s">
        <v>581</v>
      </c>
      <c r="EH19" s="172">
        <v>0</v>
      </c>
      <c r="EI19" s="173">
        <v>1</v>
      </c>
      <c r="EJ19" s="167"/>
      <c r="EK19" s="167"/>
      <c r="EP19" s="167"/>
      <c r="EQ19" s="167"/>
      <c r="ER19" s="172" t="s">
        <v>581</v>
      </c>
      <c r="ES19" s="172">
        <v>0</v>
      </c>
      <c r="ET19" s="173">
        <v>1</v>
      </c>
      <c r="EU19" s="172" t="s">
        <v>581</v>
      </c>
      <c r="EV19" s="172">
        <v>0</v>
      </c>
      <c r="EW19" s="173">
        <v>1</v>
      </c>
      <c r="EX19" s="167"/>
      <c r="EY19" s="167"/>
    </row>
    <row r="20" spans="1:155" ht="15.75" thickBot="1" x14ac:dyDescent="0.3">
      <c r="A20" s="18" t="s">
        <v>6</v>
      </c>
      <c r="B20" s="18">
        <v>2024</v>
      </c>
      <c r="C20" s="18" t="s">
        <v>138</v>
      </c>
      <c r="D20" s="18" t="s">
        <v>245</v>
      </c>
      <c r="E20" s="18">
        <v>20</v>
      </c>
      <c r="F20" s="18">
        <v>20</v>
      </c>
      <c r="G20" s="18" t="s">
        <v>156</v>
      </c>
      <c r="H20" s="18" t="s">
        <v>156</v>
      </c>
      <c r="I20" s="18" t="s">
        <v>296</v>
      </c>
      <c r="J20" s="4">
        <v>52</v>
      </c>
      <c r="K20" s="4">
        <v>52.5</v>
      </c>
      <c r="L20" s="4">
        <v>0.5</v>
      </c>
      <c r="M20" s="5">
        <v>1</v>
      </c>
      <c r="N20" s="31">
        <v>0.5</v>
      </c>
      <c r="O20" s="31">
        <v>0.5</v>
      </c>
      <c r="P20" s="31">
        <v>25</v>
      </c>
      <c r="Q20" s="31">
        <v>20</v>
      </c>
      <c r="R20" s="31">
        <v>0.37</v>
      </c>
      <c r="S20" s="31">
        <v>0</v>
      </c>
      <c r="T20" s="65">
        <v>0</v>
      </c>
      <c r="U20" s="31">
        <v>8</v>
      </c>
      <c r="V20" s="31"/>
      <c r="W20" s="31">
        <v>8</v>
      </c>
      <c r="X20" s="31">
        <v>46.25</v>
      </c>
      <c r="Y20" s="18">
        <v>64</v>
      </c>
      <c r="Z20" s="18" t="s">
        <v>330</v>
      </c>
      <c r="AA20" s="18" t="s">
        <v>333</v>
      </c>
      <c r="AB20" s="18" t="s">
        <v>337</v>
      </c>
      <c r="AC20" s="18">
        <v>20</v>
      </c>
      <c r="AD20" s="18">
        <v>25</v>
      </c>
      <c r="AE20" s="18" t="s">
        <v>29</v>
      </c>
      <c r="AF20" s="18" t="s">
        <v>199</v>
      </c>
      <c r="AG20" s="18" t="s">
        <v>199</v>
      </c>
      <c r="AH20" s="18">
        <v>8.6999999999999993</v>
      </c>
      <c r="AI20" s="18" t="s">
        <v>29</v>
      </c>
      <c r="AJ20" s="18" t="s">
        <v>66</v>
      </c>
      <c r="AK20" s="18" t="s">
        <v>79</v>
      </c>
      <c r="AL20" s="18" t="s">
        <v>96</v>
      </c>
      <c r="AM20" s="18" t="s">
        <v>107</v>
      </c>
      <c r="AN20" s="18" t="s">
        <v>120</v>
      </c>
      <c r="AO20" s="18" t="s">
        <v>198</v>
      </c>
      <c r="AP20" s="18"/>
      <c r="AQ20" s="18"/>
      <c r="AR20" s="18">
        <v>1</v>
      </c>
      <c r="AS20" s="18">
        <v>1</v>
      </c>
      <c r="AT20" s="18">
        <v>1</v>
      </c>
      <c r="AU20" s="18">
        <v>3</v>
      </c>
      <c r="AV20" s="18">
        <v>2</v>
      </c>
      <c r="AW20" s="18">
        <v>8</v>
      </c>
      <c r="AX20" s="49">
        <v>0</v>
      </c>
      <c r="AY20" s="49">
        <f>VLOOKUP(AI20,Leyenda!$B$4:$E$10,4,FALSE)</f>
        <v>2</v>
      </c>
      <c r="AZ20" s="50">
        <v>6</v>
      </c>
      <c r="BA20" s="49">
        <v>8</v>
      </c>
      <c r="BB20" s="49">
        <v>15</v>
      </c>
      <c r="BC20" s="67">
        <v>12</v>
      </c>
      <c r="BD20" s="67">
        <f>VLOOKUP(AI20,Leyenda!$B$4:$E$10,4,FALSE)</f>
        <v>2</v>
      </c>
      <c r="BE20" s="67">
        <v>5</v>
      </c>
      <c r="BF20" s="67">
        <v>0</v>
      </c>
      <c r="BG20" s="67">
        <v>1</v>
      </c>
      <c r="BH20" s="67">
        <v>3</v>
      </c>
      <c r="BI20" s="67">
        <v>2</v>
      </c>
      <c r="BJ20" s="67">
        <v>1</v>
      </c>
      <c r="BK20" s="67">
        <v>1</v>
      </c>
      <c r="BL20" s="67">
        <v>10</v>
      </c>
      <c r="BM20" s="67">
        <f t="shared" si="0"/>
        <v>25</v>
      </c>
      <c r="BN20" s="18">
        <f t="shared" si="1"/>
        <v>31</v>
      </c>
      <c r="BO20" s="18"/>
      <c r="BP20" s="18"/>
      <c r="CD20" s="167"/>
      <c r="CE20" s="167"/>
      <c r="CF20" s="172" t="s">
        <v>581</v>
      </c>
      <c r="CG20" s="172">
        <v>0</v>
      </c>
      <c r="CH20" s="173">
        <v>1</v>
      </c>
      <c r="CI20" s="172" t="s">
        <v>581</v>
      </c>
      <c r="CJ20" s="172">
        <v>0</v>
      </c>
      <c r="CK20" s="173">
        <v>1</v>
      </c>
      <c r="CL20" s="167"/>
      <c r="CM20" s="167"/>
      <c r="CQ20" s="167"/>
      <c r="CR20" s="167"/>
      <c r="CS20" s="172" t="s">
        <v>581</v>
      </c>
      <c r="CT20" s="172">
        <v>0</v>
      </c>
      <c r="CU20" s="173">
        <v>1</v>
      </c>
      <c r="CV20" s="172" t="s">
        <v>581</v>
      </c>
      <c r="CW20" s="172">
        <v>0</v>
      </c>
      <c r="CX20" s="173">
        <v>1</v>
      </c>
      <c r="CY20" s="167"/>
      <c r="CZ20" s="167"/>
      <c r="DG20" s="167"/>
      <c r="DH20" s="167"/>
      <c r="DI20" s="167"/>
      <c r="DJ20" s="167">
        <f>+SUM(DJ14:DJ18)</f>
        <v>67</v>
      </c>
      <c r="DK20" s="167"/>
      <c r="DL20" s="167"/>
      <c r="DM20" s="167"/>
      <c r="DN20" s="167"/>
      <c r="DO20" s="167"/>
      <c r="DR20" s="167"/>
      <c r="DS20" s="167"/>
      <c r="DT20" s="167">
        <f>+SUM(DT14:DT18)</f>
        <v>67</v>
      </c>
      <c r="DU20" s="167"/>
      <c r="DV20" s="167"/>
      <c r="DW20" s="167"/>
      <c r="DX20" s="167"/>
      <c r="DY20" s="167"/>
      <c r="EC20" s="167"/>
      <c r="ED20" s="167"/>
      <c r="EE20" s="167">
        <f>+SUM(EE14:EE18)</f>
        <v>67</v>
      </c>
      <c r="EF20" s="167"/>
      <c r="EG20" s="167"/>
      <c r="EH20" s="167"/>
      <c r="EI20" s="167"/>
      <c r="EJ20" s="167"/>
      <c r="EK20" s="167"/>
      <c r="EP20" s="167"/>
      <c r="EQ20" s="167"/>
      <c r="ER20" s="167"/>
      <c r="ES20" s="167">
        <f>+SUM(ES14:ES18)</f>
        <v>67</v>
      </c>
      <c r="ET20" s="167"/>
      <c r="EU20" s="167"/>
      <c r="EV20" s="167"/>
      <c r="EW20" s="167"/>
      <c r="EX20" s="167"/>
      <c r="EY20" s="167"/>
    </row>
    <row r="21" spans="1:155" x14ac:dyDescent="0.25">
      <c r="A21" s="18" t="s">
        <v>6</v>
      </c>
      <c r="B21" s="18">
        <v>2024</v>
      </c>
      <c r="C21" s="18" t="s">
        <v>138</v>
      </c>
      <c r="D21" s="18" t="s">
        <v>245</v>
      </c>
      <c r="E21" s="18">
        <v>20</v>
      </c>
      <c r="F21" s="18">
        <v>20</v>
      </c>
      <c r="G21" s="18" t="s">
        <v>156</v>
      </c>
      <c r="H21" s="18" t="s">
        <v>156</v>
      </c>
      <c r="I21" s="18" t="s">
        <v>296</v>
      </c>
      <c r="J21" s="4">
        <v>52.5</v>
      </c>
      <c r="K21" s="4">
        <v>53</v>
      </c>
      <c r="L21" s="4">
        <v>0.5</v>
      </c>
      <c r="M21" s="5">
        <v>0.74</v>
      </c>
      <c r="N21" s="31">
        <v>0.37</v>
      </c>
      <c r="O21" s="31">
        <v>0.37</v>
      </c>
      <c r="P21" s="31">
        <v>18.5</v>
      </c>
      <c r="Q21" s="31">
        <v>20</v>
      </c>
      <c r="R21" s="31">
        <v>0.22</v>
      </c>
      <c r="S21" s="31">
        <v>0</v>
      </c>
      <c r="T21" s="65">
        <v>0</v>
      </c>
      <c r="U21" s="31">
        <v>5</v>
      </c>
      <c r="V21" s="31"/>
      <c r="W21" s="31">
        <v>5</v>
      </c>
      <c r="X21" s="31">
        <v>44</v>
      </c>
      <c r="Y21" s="18">
        <v>0</v>
      </c>
      <c r="Z21" s="18" t="s">
        <v>330</v>
      </c>
      <c r="AA21" s="18" t="s">
        <v>333</v>
      </c>
      <c r="AB21" s="18" t="s">
        <v>337</v>
      </c>
      <c r="AC21" s="18">
        <v>20</v>
      </c>
      <c r="AD21" s="18">
        <v>18.5</v>
      </c>
      <c r="AE21" s="18" t="s">
        <v>29</v>
      </c>
      <c r="AF21" s="18" t="s">
        <v>199</v>
      </c>
      <c r="AG21" s="18" t="s">
        <v>199</v>
      </c>
      <c r="AH21" s="18">
        <v>8.6999999999999993</v>
      </c>
      <c r="AI21" s="18" t="s">
        <v>29</v>
      </c>
      <c r="AJ21" s="18" t="s">
        <v>66</v>
      </c>
      <c r="AK21" s="18" t="s">
        <v>81</v>
      </c>
      <c r="AL21" s="18" t="s">
        <v>96</v>
      </c>
      <c r="AM21" s="18" t="s">
        <v>107</v>
      </c>
      <c r="AN21" s="18" t="s">
        <v>122</v>
      </c>
      <c r="AO21" s="18" t="s">
        <v>198</v>
      </c>
      <c r="AP21" s="18"/>
      <c r="AQ21" s="18"/>
      <c r="AR21" s="18">
        <v>1</v>
      </c>
      <c r="AS21" s="18">
        <v>0</v>
      </c>
      <c r="AT21" s="18">
        <v>1</v>
      </c>
      <c r="AU21" s="18">
        <v>3</v>
      </c>
      <c r="AV21" s="18">
        <v>0</v>
      </c>
      <c r="AW21" s="18">
        <v>5</v>
      </c>
      <c r="AX21" s="49">
        <v>0</v>
      </c>
      <c r="AY21" s="49">
        <f>VLOOKUP(AI21,Leyenda!$B$4:$E$10,4,FALSE)</f>
        <v>2</v>
      </c>
      <c r="AZ21" s="50">
        <v>6</v>
      </c>
      <c r="BA21" s="49">
        <v>5</v>
      </c>
      <c r="BB21" s="49">
        <v>15</v>
      </c>
      <c r="BC21" s="67">
        <v>7.5</v>
      </c>
      <c r="BD21" s="67">
        <f>VLOOKUP(AI21,Leyenda!$B$4:$E$10,4,FALSE)</f>
        <v>2</v>
      </c>
      <c r="BE21" s="67">
        <v>5</v>
      </c>
      <c r="BF21" s="67">
        <v>0</v>
      </c>
      <c r="BG21" s="67">
        <v>1</v>
      </c>
      <c r="BH21" s="67">
        <v>3</v>
      </c>
      <c r="BI21" s="67">
        <v>0</v>
      </c>
      <c r="BJ21" s="67">
        <v>0</v>
      </c>
      <c r="BK21" s="67">
        <v>1</v>
      </c>
      <c r="BL21" s="67">
        <v>10</v>
      </c>
      <c r="BM21" s="67">
        <f t="shared" si="0"/>
        <v>22</v>
      </c>
      <c r="BN21" s="18">
        <f t="shared" si="1"/>
        <v>28</v>
      </c>
      <c r="BO21" s="18"/>
      <c r="BP21" s="18"/>
      <c r="CD21" s="167"/>
      <c r="CE21" s="167"/>
      <c r="CF21" s="167"/>
      <c r="CG21" s="167">
        <f>+SUM(CG15:CG19)</f>
        <v>67</v>
      </c>
      <c r="CH21" s="167"/>
      <c r="CI21" s="167"/>
      <c r="CJ21" s="167"/>
      <c r="CK21" s="167"/>
      <c r="CL21" s="167"/>
      <c r="CM21" s="167"/>
      <c r="CQ21" s="167"/>
      <c r="CR21" s="167"/>
      <c r="CS21" s="167"/>
      <c r="CT21" s="167">
        <f>+SUM(CT15:CT19)</f>
        <v>67</v>
      </c>
      <c r="CU21" s="167"/>
      <c r="CV21" s="167"/>
      <c r="CW21" s="167"/>
      <c r="CX21" s="167"/>
      <c r="CY21" s="167"/>
      <c r="CZ21" s="167"/>
      <c r="DG21" s="167"/>
      <c r="DH21" s="167"/>
      <c r="DI21" s="167"/>
      <c r="DJ21" s="167"/>
      <c r="DK21" s="167"/>
      <c r="DL21" s="167"/>
      <c r="DM21" s="167"/>
      <c r="DN21" s="167"/>
      <c r="DO21" s="167"/>
      <c r="DR21" s="167"/>
      <c r="DS21" s="167"/>
      <c r="DT21" s="167"/>
      <c r="DU21" s="167"/>
      <c r="DV21" s="167"/>
      <c r="DW21" s="167"/>
      <c r="DX21" s="167"/>
      <c r="DY21" s="167"/>
      <c r="EC21" s="167"/>
      <c r="ED21" s="167"/>
      <c r="EE21" s="167"/>
      <c r="EF21" s="167"/>
      <c r="EG21" s="167"/>
      <c r="EH21" s="167"/>
      <c r="EI21" s="167"/>
      <c r="EJ21" s="167"/>
      <c r="EK21" s="167"/>
      <c r="EP21" s="167"/>
      <c r="EQ21" s="167"/>
      <c r="ER21" s="167"/>
      <c r="ES21" s="167"/>
      <c r="ET21" s="167"/>
      <c r="EU21" s="167"/>
      <c r="EV21" s="167"/>
      <c r="EW21" s="167"/>
      <c r="EX21" s="167"/>
      <c r="EY21" s="167"/>
    </row>
    <row r="22" spans="1:155" x14ac:dyDescent="0.25">
      <c r="A22" s="18" t="s">
        <v>6</v>
      </c>
      <c r="B22" s="18">
        <v>2024</v>
      </c>
      <c r="C22" s="18" t="s">
        <v>138</v>
      </c>
      <c r="D22" s="18" t="s">
        <v>245</v>
      </c>
      <c r="E22" s="18">
        <v>20</v>
      </c>
      <c r="F22" s="18">
        <v>20</v>
      </c>
      <c r="G22" s="18" t="s">
        <v>156</v>
      </c>
      <c r="H22" s="18" t="s">
        <v>156</v>
      </c>
      <c r="I22" s="18" t="s">
        <v>296</v>
      </c>
      <c r="J22" s="4">
        <v>53</v>
      </c>
      <c r="K22" s="4">
        <v>53.5</v>
      </c>
      <c r="L22" s="4">
        <v>0.5</v>
      </c>
      <c r="M22" s="5">
        <v>0.48</v>
      </c>
      <c r="N22" s="31">
        <v>0.24</v>
      </c>
      <c r="O22" s="31">
        <v>0.24</v>
      </c>
      <c r="P22" s="31">
        <v>12</v>
      </c>
      <c r="Q22" s="31">
        <v>20</v>
      </c>
      <c r="R22" s="31">
        <v>0.26</v>
      </c>
      <c r="S22" s="84">
        <v>0</v>
      </c>
      <c r="T22" s="65">
        <v>44</v>
      </c>
      <c r="U22" s="31">
        <v>6</v>
      </c>
      <c r="V22" s="31"/>
      <c r="W22" s="31">
        <v>6</v>
      </c>
      <c r="X22" s="31">
        <v>43.333333333333336</v>
      </c>
      <c r="Y22" s="18">
        <v>0</v>
      </c>
      <c r="Z22" s="18" t="s">
        <v>330</v>
      </c>
      <c r="AA22" s="18" t="s">
        <v>333</v>
      </c>
      <c r="AB22" s="18" t="s">
        <v>337</v>
      </c>
      <c r="AC22" s="18">
        <v>20</v>
      </c>
      <c r="AD22" s="18">
        <v>12</v>
      </c>
      <c r="AE22" s="18" t="s">
        <v>29</v>
      </c>
      <c r="AF22" s="18" t="s">
        <v>199</v>
      </c>
      <c r="AG22" s="18" t="s">
        <v>199</v>
      </c>
      <c r="AH22" s="18">
        <v>8.6999999999999993</v>
      </c>
      <c r="AI22" s="18" t="s">
        <v>29</v>
      </c>
      <c r="AJ22" s="18" t="s">
        <v>66</v>
      </c>
      <c r="AK22" s="18" t="s">
        <v>81</v>
      </c>
      <c r="AL22" s="18" t="s">
        <v>96</v>
      </c>
      <c r="AM22" s="18" t="s">
        <v>107</v>
      </c>
      <c r="AN22" s="18" t="s">
        <v>122</v>
      </c>
      <c r="AO22" s="18" t="s">
        <v>198</v>
      </c>
      <c r="AP22" s="18"/>
      <c r="AQ22" s="18"/>
      <c r="AR22" s="18">
        <v>1</v>
      </c>
      <c r="AS22" s="18">
        <v>0</v>
      </c>
      <c r="AT22" s="18">
        <v>1</v>
      </c>
      <c r="AU22" s="18">
        <v>3</v>
      </c>
      <c r="AV22" s="18">
        <v>0</v>
      </c>
      <c r="AW22" s="18">
        <v>5</v>
      </c>
      <c r="AX22" s="49">
        <v>9</v>
      </c>
      <c r="AY22" s="49">
        <f>VLOOKUP(AI22,Leyenda!$B$4:$E$10,4,FALSE)</f>
        <v>2</v>
      </c>
      <c r="AZ22" s="50">
        <v>5</v>
      </c>
      <c r="BA22" s="49">
        <v>5</v>
      </c>
      <c r="BB22" s="49">
        <v>15</v>
      </c>
      <c r="BC22" s="67">
        <v>29.5</v>
      </c>
      <c r="BD22" s="67">
        <f>VLOOKUP(AI22,Leyenda!$B$4:$E$10,4,FALSE)</f>
        <v>2</v>
      </c>
      <c r="BE22" s="67">
        <v>5</v>
      </c>
      <c r="BF22" s="67">
        <v>9</v>
      </c>
      <c r="BG22" s="67">
        <v>1</v>
      </c>
      <c r="BH22" s="67">
        <v>3</v>
      </c>
      <c r="BI22" s="67">
        <v>0</v>
      </c>
      <c r="BJ22" s="67">
        <v>0</v>
      </c>
      <c r="BK22" s="67">
        <v>1</v>
      </c>
      <c r="BL22" s="67">
        <v>10</v>
      </c>
      <c r="BM22" s="67">
        <f t="shared" si="0"/>
        <v>31</v>
      </c>
      <c r="BN22" s="18">
        <f t="shared" si="1"/>
        <v>36</v>
      </c>
      <c r="BO22" s="18"/>
      <c r="BP22" s="18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Q22" s="167"/>
      <c r="CR22" s="167"/>
      <c r="CS22" s="167"/>
      <c r="CT22" s="167"/>
      <c r="CU22" s="167"/>
      <c r="CV22" s="167"/>
      <c r="CW22" s="167"/>
      <c r="CX22" s="167"/>
      <c r="CY22" s="167"/>
      <c r="CZ22" s="167"/>
    </row>
    <row r="23" spans="1:155" x14ac:dyDescent="0.25">
      <c r="A23" s="18" t="s">
        <v>6</v>
      </c>
      <c r="B23" s="18">
        <v>2024</v>
      </c>
      <c r="C23" s="18" t="s">
        <v>138</v>
      </c>
      <c r="D23" s="18" t="s">
        <v>245</v>
      </c>
      <c r="E23" s="18">
        <v>20</v>
      </c>
      <c r="F23" s="18">
        <v>20</v>
      </c>
      <c r="G23" s="18" t="s">
        <v>156</v>
      </c>
      <c r="H23" s="18" t="s">
        <v>156</v>
      </c>
      <c r="I23" s="18" t="s">
        <v>296</v>
      </c>
      <c r="J23" s="4">
        <v>53.5</v>
      </c>
      <c r="K23" s="4">
        <v>54</v>
      </c>
      <c r="L23" s="4">
        <v>0.5</v>
      </c>
      <c r="M23" s="5">
        <v>0.54</v>
      </c>
      <c r="N23" s="31">
        <v>0.27</v>
      </c>
      <c r="O23" s="31">
        <v>0.27</v>
      </c>
      <c r="P23" s="31">
        <v>13.5</v>
      </c>
      <c r="Q23" s="31">
        <v>20</v>
      </c>
      <c r="R23" s="31">
        <v>0.27</v>
      </c>
      <c r="S23" s="31">
        <v>0</v>
      </c>
      <c r="T23" s="65">
        <v>0</v>
      </c>
      <c r="U23" s="31">
        <v>4</v>
      </c>
      <c r="V23" s="31"/>
      <c r="W23" s="31">
        <v>4</v>
      </c>
      <c r="X23" s="31">
        <v>67.5</v>
      </c>
      <c r="Y23" s="18">
        <v>0</v>
      </c>
      <c r="Z23" s="18" t="s">
        <v>330</v>
      </c>
      <c r="AA23" s="18" t="s">
        <v>333</v>
      </c>
      <c r="AB23" s="18" t="s">
        <v>337</v>
      </c>
      <c r="AC23" s="18">
        <v>20</v>
      </c>
      <c r="AD23" s="18">
        <v>13.5</v>
      </c>
      <c r="AE23" s="18" t="s">
        <v>29</v>
      </c>
      <c r="AF23" s="18" t="s">
        <v>199</v>
      </c>
      <c r="AG23" s="18" t="s">
        <v>199</v>
      </c>
      <c r="AH23" s="18">
        <v>8.6999999999999993</v>
      </c>
      <c r="AI23" s="18" t="s">
        <v>29</v>
      </c>
      <c r="AJ23" s="18" t="s">
        <v>66</v>
      </c>
      <c r="AK23" s="18" t="s">
        <v>81</v>
      </c>
      <c r="AL23" s="18" t="s">
        <v>96</v>
      </c>
      <c r="AM23" s="18" t="s">
        <v>107</v>
      </c>
      <c r="AN23" s="18" t="s">
        <v>122</v>
      </c>
      <c r="AO23" s="18" t="s">
        <v>198</v>
      </c>
      <c r="AP23" s="18"/>
      <c r="AQ23" s="18"/>
      <c r="AR23" s="18">
        <v>1</v>
      </c>
      <c r="AS23" s="18">
        <v>0</v>
      </c>
      <c r="AT23" s="18">
        <v>1</v>
      </c>
      <c r="AU23" s="18">
        <v>3</v>
      </c>
      <c r="AV23" s="18">
        <v>0</v>
      </c>
      <c r="AW23" s="18">
        <v>5</v>
      </c>
      <c r="AX23" s="49">
        <v>0</v>
      </c>
      <c r="AY23" s="49">
        <f>VLOOKUP(AI23,Leyenda!$B$4:$E$10,4,FALSE)</f>
        <v>2</v>
      </c>
      <c r="AZ23" s="50">
        <v>6</v>
      </c>
      <c r="BA23" s="49">
        <v>5</v>
      </c>
      <c r="BB23" s="49">
        <v>15</v>
      </c>
      <c r="BC23" s="67">
        <v>7.5</v>
      </c>
      <c r="BD23" s="67">
        <f>VLOOKUP(AI23,Leyenda!$B$4:$E$10,4,FALSE)</f>
        <v>2</v>
      </c>
      <c r="BE23" s="67">
        <v>6</v>
      </c>
      <c r="BF23" s="67">
        <v>0</v>
      </c>
      <c r="BG23" s="67">
        <v>1</v>
      </c>
      <c r="BH23" s="67">
        <v>3</v>
      </c>
      <c r="BI23" s="67">
        <v>0</v>
      </c>
      <c r="BJ23" s="67">
        <v>0</v>
      </c>
      <c r="BK23" s="67">
        <v>1</v>
      </c>
      <c r="BL23" s="67">
        <v>10</v>
      </c>
      <c r="BM23" s="67">
        <f t="shared" si="0"/>
        <v>23</v>
      </c>
      <c r="BN23" s="18">
        <f t="shared" si="1"/>
        <v>28</v>
      </c>
      <c r="BO23" s="18"/>
      <c r="BP23" s="18"/>
    </row>
    <row r="24" spans="1:155" x14ac:dyDescent="0.25">
      <c r="A24" s="18" t="s">
        <v>6</v>
      </c>
      <c r="B24" s="18">
        <v>2024</v>
      </c>
      <c r="C24" s="18" t="s">
        <v>138</v>
      </c>
      <c r="D24" s="18" t="s">
        <v>245</v>
      </c>
      <c r="E24" s="18">
        <v>20</v>
      </c>
      <c r="F24" s="18">
        <v>20</v>
      </c>
      <c r="G24" s="18" t="s">
        <v>156</v>
      </c>
      <c r="H24" s="18" t="s">
        <v>156</v>
      </c>
      <c r="I24" s="18" t="s">
        <v>296</v>
      </c>
      <c r="J24" s="4">
        <v>54</v>
      </c>
      <c r="K24" s="4">
        <v>54.5</v>
      </c>
      <c r="L24" s="4">
        <v>0.5</v>
      </c>
      <c r="M24" s="5">
        <v>1</v>
      </c>
      <c r="N24" s="31">
        <v>0.5</v>
      </c>
      <c r="O24" s="31">
        <v>0.5</v>
      </c>
      <c r="P24" s="31">
        <v>25</v>
      </c>
      <c r="Q24" s="31">
        <v>20</v>
      </c>
      <c r="R24" s="31">
        <v>0.5</v>
      </c>
      <c r="S24" s="31">
        <v>0.13</v>
      </c>
      <c r="T24" s="65">
        <v>26</v>
      </c>
      <c r="U24" s="31">
        <v>5</v>
      </c>
      <c r="V24" s="31"/>
      <c r="W24" s="31">
        <v>5</v>
      </c>
      <c r="X24" s="31">
        <v>100</v>
      </c>
      <c r="Y24" s="18">
        <v>40</v>
      </c>
      <c r="Z24" s="18" t="s">
        <v>330</v>
      </c>
      <c r="AA24" s="18" t="s">
        <v>333</v>
      </c>
      <c r="AB24" s="18" t="s">
        <v>337</v>
      </c>
      <c r="AC24" s="18">
        <v>20</v>
      </c>
      <c r="AD24" s="18">
        <v>25</v>
      </c>
      <c r="AE24" s="18" t="s">
        <v>29</v>
      </c>
      <c r="AF24" s="18" t="s">
        <v>199</v>
      </c>
      <c r="AG24" s="18" t="s">
        <v>199</v>
      </c>
      <c r="AH24" s="18">
        <v>8.6999999999999993</v>
      </c>
      <c r="AI24" s="18" t="s">
        <v>29</v>
      </c>
      <c r="AJ24" s="18" t="s">
        <v>66</v>
      </c>
      <c r="AK24" s="18" t="s">
        <v>81</v>
      </c>
      <c r="AL24" s="18" t="s">
        <v>96</v>
      </c>
      <c r="AM24" s="18" t="s">
        <v>107</v>
      </c>
      <c r="AN24" s="18" t="s">
        <v>122</v>
      </c>
      <c r="AO24" s="18" t="s">
        <v>198</v>
      </c>
      <c r="AP24" s="18" t="s">
        <v>244</v>
      </c>
      <c r="AQ24" s="18"/>
      <c r="AR24" s="18">
        <v>1</v>
      </c>
      <c r="AS24" s="18">
        <v>0</v>
      </c>
      <c r="AT24" s="18">
        <v>1</v>
      </c>
      <c r="AU24" s="18">
        <v>3</v>
      </c>
      <c r="AV24" s="18">
        <v>0</v>
      </c>
      <c r="AW24" s="18">
        <v>5</v>
      </c>
      <c r="AX24" s="49">
        <v>6</v>
      </c>
      <c r="AY24" s="49">
        <f>VLOOKUP(AI24,Leyenda!$B$4:$E$10,4,FALSE)</f>
        <v>2</v>
      </c>
      <c r="AZ24" s="50">
        <v>7</v>
      </c>
      <c r="BA24" s="49">
        <v>5</v>
      </c>
      <c r="BB24" s="49">
        <v>15</v>
      </c>
      <c r="BC24" s="67">
        <v>20.5</v>
      </c>
      <c r="BD24" s="67">
        <f>VLOOKUP(AI24,Leyenda!$B$4:$E$10,4,FALSE)</f>
        <v>2</v>
      </c>
      <c r="BE24" s="67">
        <v>8</v>
      </c>
      <c r="BF24" s="67">
        <v>6</v>
      </c>
      <c r="BG24" s="67">
        <v>1</v>
      </c>
      <c r="BH24" s="67">
        <v>3</v>
      </c>
      <c r="BI24" s="67">
        <v>0</v>
      </c>
      <c r="BJ24" s="67">
        <v>0</v>
      </c>
      <c r="BK24" s="67">
        <v>1</v>
      </c>
      <c r="BL24" s="67">
        <v>10</v>
      </c>
      <c r="BM24" s="67">
        <f t="shared" si="0"/>
        <v>31</v>
      </c>
      <c r="BN24" s="18">
        <f t="shared" si="1"/>
        <v>35</v>
      </c>
      <c r="BO24" s="18"/>
      <c r="BP24" s="18"/>
    </row>
    <row r="25" spans="1:155" x14ac:dyDescent="0.25">
      <c r="A25" s="18" t="s">
        <v>6</v>
      </c>
      <c r="B25" s="18">
        <v>2024</v>
      </c>
      <c r="C25" s="18" t="s">
        <v>138</v>
      </c>
      <c r="D25" s="18" t="s">
        <v>245</v>
      </c>
      <c r="E25" s="18">
        <v>20</v>
      </c>
      <c r="F25" s="18">
        <v>20</v>
      </c>
      <c r="G25" s="18" t="s">
        <v>156</v>
      </c>
      <c r="H25" s="18" t="s">
        <v>156</v>
      </c>
      <c r="I25" s="18" t="s">
        <v>296</v>
      </c>
      <c r="J25" s="4">
        <v>54.5</v>
      </c>
      <c r="K25" s="4">
        <v>55</v>
      </c>
      <c r="L25" s="4">
        <v>0.5</v>
      </c>
      <c r="M25" s="5">
        <v>1</v>
      </c>
      <c r="N25" s="31">
        <v>0.5</v>
      </c>
      <c r="O25" s="31">
        <v>0.5</v>
      </c>
      <c r="P25" s="31">
        <v>25</v>
      </c>
      <c r="Q25" s="31">
        <v>20</v>
      </c>
      <c r="R25" s="31">
        <v>0.5</v>
      </c>
      <c r="S25" s="31">
        <v>0.13</v>
      </c>
      <c r="T25" s="65">
        <v>26</v>
      </c>
      <c r="U25" s="31">
        <v>7</v>
      </c>
      <c r="V25" s="31"/>
      <c r="W25" s="31">
        <v>7</v>
      </c>
      <c r="X25" s="31">
        <v>71.428571428571431</v>
      </c>
      <c r="Y25" s="18">
        <v>0</v>
      </c>
      <c r="Z25" s="18" t="s">
        <v>330</v>
      </c>
      <c r="AA25" s="18" t="s">
        <v>333</v>
      </c>
      <c r="AB25" s="18" t="s">
        <v>337</v>
      </c>
      <c r="AC25" s="18">
        <v>20</v>
      </c>
      <c r="AD25" s="18">
        <v>25</v>
      </c>
      <c r="AE25" s="18" t="s">
        <v>29</v>
      </c>
      <c r="AF25" s="18" t="s">
        <v>199</v>
      </c>
      <c r="AG25" s="18" t="s">
        <v>199</v>
      </c>
      <c r="AH25" s="18">
        <v>8.6999999999999993</v>
      </c>
      <c r="AI25" s="18" t="s">
        <v>29</v>
      </c>
      <c r="AJ25" s="18" t="s">
        <v>66</v>
      </c>
      <c r="AK25" s="18" t="s">
        <v>81</v>
      </c>
      <c r="AL25" s="18" t="s">
        <v>96</v>
      </c>
      <c r="AM25" s="18" t="s">
        <v>107</v>
      </c>
      <c r="AN25" s="18" t="s">
        <v>120</v>
      </c>
      <c r="AO25" s="18" t="s">
        <v>198</v>
      </c>
      <c r="AP25" s="18" t="s">
        <v>244</v>
      </c>
      <c r="AQ25" s="18"/>
      <c r="AR25" s="18">
        <v>1</v>
      </c>
      <c r="AS25" s="18">
        <v>0</v>
      </c>
      <c r="AT25" s="18">
        <v>1</v>
      </c>
      <c r="AU25" s="18">
        <v>3</v>
      </c>
      <c r="AV25" s="18">
        <v>2</v>
      </c>
      <c r="AW25" s="18">
        <v>7</v>
      </c>
      <c r="AX25" s="49">
        <v>6</v>
      </c>
      <c r="AY25" s="49">
        <f>VLOOKUP(AI25,Leyenda!$B$4:$E$10,4,FALSE)</f>
        <v>2</v>
      </c>
      <c r="AZ25" s="50">
        <v>6</v>
      </c>
      <c r="BA25" s="49">
        <v>7</v>
      </c>
      <c r="BB25" s="49">
        <v>15</v>
      </c>
      <c r="BC25" s="67">
        <v>23.5</v>
      </c>
      <c r="BD25" s="67">
        <f>VLOOKUP(AI25,Leyenda!$B$4:$E$10,4,FALSE)</f>
        <v>2</v>
      </c>
      <c r="BE25" s="67">
        <v>6</v>
      </c>
      <c r="BF25" s="67">
        <v>6</v>
      </c>
      <c r="BG25" s="67">
        <v>1</v>
      </c>
      <c r="BH25" s="67">
        <v>3</v>
      </c>
      <c r="BI25" s="67">
        <v>2</v>
      </c>
      <c r="BJ25" s="67">
        <v>0</v>
      </c>
      <c r="BK25" s="67">
        <v>1</v>
      </c>
      <c r="BL25" s="67">
        <v>10</v>
      </c>
      <c r="BM25" s="67">
        <f t="shared" si="0"/>
        <v>31</v>
      </c>
      <c r="BN25" s="18">
        <f t="shared" si="1"/>
        <v>36</v>
      </c>
      <c r="BO25" s="18"/>
      <c r="BP25" s="18"/>
    </row>
    <row r="26" spans="1:155" x14ac:dyDescent="0.25">
      <c r="A26" s="18" t="s">
        <v>6</v>
      </c>
      <c r="B26" s="18">
        <v>2024</v>
      </c>
      <c r="C26" s="18" t="s">
        <v>138</v>
      </c>
      <c r="D26" s="18" t="s">
        <v>245</v>
      </c>
      <c r="E26" s="18">
        <v>20</v>
      </c>
      <c r="F26" s="18">
        <v>20</v>
      </c>
      <c r="G26" s="18" t="s">
        <v>156</v>
      </c>
      <c r="H26" s="18" t="s">
        <v>156</v>
      </c>
      <c r="I26" s="18" t="s">
        <v>296</v>
      </c>
      <c r="J26" s="4">
        <v>55</v>
      </c>
      <c r="K26" s="4">
        <v>55.5</v>
      </c>
      <c r="L26" s="4">
        <v>0.5</v>
      </c>
      <c r="M26" s="5">
        <v>1</v>
      </c>
      <c r="N26" s="31">
        <v>0.5</v>
      </c>
      <c r="O26" s="31">
        <v>0.5</v>
      </c>
      <c r="P26" s="31">
        <v>25</v>
      </c>
      <c r="Q26" s="31">
        <v>20</v>
      </c>
      <c r="R26" s="31">
        <v>0.42</v>
      </c>
      <c r="S26" s="31">
        <v>0.18</v>
      </c>
      <c r="T26" s="65">
        <v>36</v>
      </c>
      <c r="U26" s="31">
        <v>5</v>
      </c>
      <c r="V26" s="31"/>
      <c r="W26" s="31">
        <v>5</v>
      </c>
      <c r="X26" s="31">
        <v>84</v>
      </c>
      <c r="Y26" s="18">
        <v>0</v>
      </c>
      <c r="Z26" s="18" t="s">
        <v>330</v>
      </c>
      <c r="AA26" s="18" t="s">
        <v>333</v>
      </c>
      <c r="AB26" s="18" t="s">
        <v>337</v>
      </c>
      <c r="AC26" s="18">
        <v>20</v>
      </c>
      <c r="AD26" s="18">
        <v>25</v>
      </c>
      <c r="AE26" s="18" t="s">
        <v>29</v>
      </c>
      <c r="AF26" s="18" t="s">
        <v>199</v>
      </c>
      <c r="AG26" s="18" t="s">
        <v>199</v>
      </c>
      <c r="AH26" s="18">
        <v>8.6999999999999993</v>
      </c>
      <c r="AI26" s="18" t="s">
        <v>29</v>
      </c>
      <c r="AJ26" s="18" t="s">
        <v>66</v>
      </c>
      <c r="AK26" s="18" t="s">
        <v>81</v>
      </c>
      <c r="AL26" s="18" t="s">
        <v>96</v>
      </c>
      <c r="AM26" s="18" t="s">
        <v>107</v>
      </c>
      <c r="AN26" s="18" t="s">
        <v>120</v>
      </c>
      <c r="AO26" s="18" t="s">
        <v>198</v>
      </c>
      <c r="AP26" s="18" t="s">
        <v>244</v>
      </c>
      <c r="AQ26" s="18"/>
      <c r="AR26" s="18">
        <v>1</v>
      </c>
      <c r="AS26" s="18">
        <v>0</v>
      </c>
      <c r="AT26" s="18">
        <v>1</v>
      </c>
      <c r="AU26" s="18">
        <v>3</v>
      </c>
      <c r="AV26" s="18">
        <v>2</v>
      </c>
      <c r="AW26" s="18">
        <v>7</v>
      </c>
      <c r="AX26" s="49">
        <v>8</v>
      </c>
      <c r="AY26" s="49">
        <f>VLOOKUP(AI26,Leyenda!$B$4:$E$10,4,FALSE)</f>
        <v>2</v>
      </c>
      <c r="AZ26" s="50">
        <v>7</v>
      </c>
      <c r="BA26" s="49">
        <v>7</v>
      </c>
      <c r="BB26" s="49">
        <v>15</v>
      </c>
      <c r="BC26" s="67">
        <v>28.5</v>
      </c>
      <c r="BD26" s="67">
        <f>VLOOKUP(AI26,Leyenda!$B$4:$E$10,4,FALSE)</f>
        <v>2</v>
      </c>
      <c r="BE26" s="67">
        <v>7</v>
      </c>
      <c r="BF26" s="67">
        <v>8</v>
      </c>
      <c r="BG26" s="67">
        <v>1</v>
      </c>
      <c r="BH26" s="67">
        <v>3</v>
      </c>
      <c r="BI26" s="67">
        <v>2</v>
      </c>
      <c r="BJ26" s="67">
        <v>0</v>
      </c>
      <c r="BK26" s="67">
        <v>1</v>
      </c>
      <c r="BL26" s="67">
        <v>10</v>
      </c>
      <c r="BM26" s="67">
        <f t="shared" si="0"/>
        <v>34</v>
      </c>
      <c r="BN26" s="18">
        <f t="shared" si="1"/>
        <v>39</v>
      </c>
      <c r="BO26" s="18"/>
      <c r="BP26" s="18"/>
    </row>
    <row r="27" spans="1:155" x14ac:dyDescent="0.25">
      <c r="A27" s="18" t="s">
        <v>6</v>
      </c>
      <c r="B27" s="18">
        <v>2024</v>
      </c>
      <c r="C27" s="18" t="s">
        <v>138</v>
      </c>
      <c r="D27" s="18" t="s">
        <v>245</v>
      </c>
      <c r="E27" s="18">
        <v>20</v>
      </c>
      <c r="F27" s="18">
        <v>20</v>
      </c>
      <c r="G27" s="18" t="s">
        <v>156</v>
      </c>
      <c r="H27" s="18" t="s">
        <v>156</v>
      </c>
      <c r="I27" s="18" t="s">
        <v>296</v>
      </c>
      <c r="J27" s="4">
        <v>55.5</v>
      </c>
      <c r="K27" s="4">
        <v>56</v>
      </c>
      <c r="L27" s="4">
        <v>0.5</v>
      </c>
      <c r="M27" s="5">
        <v>0.54</v>
      </c>
      <c r="N27" s="31">
        <v>0.27</v>
      </c>
      <c r="O27" s="31">
        <v>0.27</v>
      </c>
      <c r="P27" s="31">
        <v>13.5</v>
      </c>
      <c r="Q27" s="31">
        <v>20</v>
      </c>
      <c r="R27" s="31">
        <v>0.25</v>
      </c>
      <c r="S27" s="31">
        <v>0</v>
      </c>
      <c r="T27" s="65">
        <v>0</v>
      </c>
      <c r="U27" s="31">
        <v>7</v>
      </c>
      <c r="V27" s="31"/>
      <c r="W27" s="31">
        <v>7</v>
      </c>
      <c r="X27" s="31">
        <v>35.714285714285715</v>
      </c>
      <c r="Y27" s="18">
        <v>0</v>
      </c>
      <c r="Z27" s="18" t="s">
        <v>330</v>
      </c>
      <c r="AA27" s="18" t="s">
        <v>333</v>
      </c>
      <c r="AB27" s="18" t="s">
        <v>337</v>
      </c>
      <c r="AC27" s="18">
        <v>20</v>
      </c>
      <c r="AD27" s="18">
        <v>13.5</v>
      </c>
      <c r="AE27" s="18" t="s">
        <v>29</v>
      </c>
      <c r="AF27" s="18" t="s">
        <v>199</v>
      </c>
      <c r="AG27" s="18" t="s">
        <v>199</v>
      </c>
      <c r="AH27" s="18">
        <v>8.6999999999999993</v>
      </c>
      <c r="AI27" s="18" t="s">
        <v>29</v>
      </c>
      <c r="AJ27" s="18" t="s">
        <v>66</v>
      </c>
      <c r="AK27" s="18" t="s">
        <v>81</v>
      </c>
      <c r="AL27" s="18" t="s">
        <v>96</v>
      </c>
      <c r="AM27" s="18" t="s">
        <v>107</v>
      </c>
      <c r="AN27" s="18" t="s">
        <v>120</v>
      </c>
      <c r="AO27" s="18" t="s">
        <v>198</v>
      </c>
      <c r="AP27" s="18" t="s">
        <v>244</v>
      </c>
      <c r="AQ27" s="18"/>
      <c r="AR27" s="18">
        <v>1</v>
      </c>
      <c r="AS27" s="18">
        <v>0</v>
      </c>
      <c r="AT27" s="18">
        <v>1</v>
      </c>
      <c r="AU27" s="18">
        <v>3</v>
      </c>
      <c r="AV27" s="18">
        <v>2</v>
      </c>
      <c r="AW27" s="18">
        <v>7</v>
      </c>
      <c r="AX27" s="49">
        <v>0</v>
      </c>
      <c r="AY27" s="49">
        <f>VLOOKUP(AI27,Leyenda!$B$4:$E$10,4,FALSE)</f>
        <v>2</v>
      </c>
      <c r="AZ27" s="50">
        <v>5</v>
      </c>
      <c r="BA27" s="49">
        <v>7</v>
      </c>
      <c r="BB27" s="49">
        <v>15</v>
      </c>
      <c r="BC27" s="67">
        <v>10.5</v>
      </c>
      <c r="BD27" s="67">
        <f>VLOOKUP(AI27,Leyenda!$B$4:$E$10,4,FALSE)</f>
        <v>2</v>
      </c>
      <c r="BE27" s="67">
        <v>5</v>
      </c>
      <c r="BF27" s="67">
        <v>0</v>
      </c>
      <c r="BG27" s="67">
        <v>1</v>
      </c>
      <c r="BH27" s="67">
        <v>3</v>
      </c>
      <c r="BI27" s="67">
        <v>2</v>
      </c>
      <c r="BJ27" s="67">
        <v>0</v>
      </c>
      <c r="BK27" s="67">
        <v>1</v>
      </c>
      <c r="BL27" s="67">
        <v>10</v>
      </c>
      <c r="BM27" s="67">
        <f t="shared" si="0"/>
        <v>24</v>
      </c>
      <c r="BN27" s="18">
        <f t="shared" si="1"/>
        <v>29</v>
      </c>
      <c r="BO27" s="18"/>
      <c r="BP27" s="18"/>
    </row>
    <row r="28" spans="1:155" x14ac:dyDescent="0.25">
      <c r="A28" s="18" t="s">
        <v>6</v>
      </c>
      <c r="B28" s="18">
        <v>2024</v>
      </c>
      <c r="C28" s="18" t="s">
        <v>138</v>
      </c>
      <c r="D28" s="18" t="s">
        <v>245</v>
      </c>
      <c r="E28" s="18">
        <v>20</v>
      </c>
      <c r="F28" s="18">
        <v>20</v>
      </c>
      <c r="G28" s="18" t="s">
        <v>156</v>
      </c>
      <c r="H28" s="18" t="s">
        <v>156</v>
      </c>
      <c r="I28" s="18" t="s">
        <v>296</v>
      </c>
      <c r="J28" s="4">
        <v>56</v>
      </c>
      <c r="K28" s="4">
        <v>56.5</v>
      </c>
      <c r="L28" s="4">
        <v>0.5</v>
      </c>
      <c r="M28" s="5">
        <v>0.46</v>
      </c>
      <c r="N28" s="31">
        <v>0.23</v>
      </c>
      <c r="O28" s="31">
        <v>0.23</v>
      </c>
      <c r="P28" s="31">
        <v>11.5</v>
      </c>
      <c r="Q28" s="31">
        <v>20</v>
      </c>
      <c r="R28" s="31">
        <v>0.21</v>
      </c>
      <c r="S28" s="31">
        <v>0</v>
      </c>
      <c r="T28" s="65">
        <v>0</v>
      </c>
      <c r="U28" s="31">
        <v>5</v>
      </c>
      <c r="V28" s="31"/>
      <c r="W28" s="31">
        <v>5</v>
      </c>
      <c r="X28" s="31">
        <v>42</v>
      </c>
      <c r="Y28" s="18">
        <v>0</v>
      </c>
      <c r="Z28" s="18" t="s">
        <v>330</v>
      </c>
      <c r="AA28" s="18" t="s">
        <v>333</v>
      </c>
      <c r="AB28" s="18" t="s">
        <v>337</v>
      </c>
      <c r="AC28" s="18">
        <v>20</v>
      </c>
      <c r="AD28" s="18">
        <v>11.5</v>
      </c>
      <c r="AE28" s="18" t="s">
        <v>29</v>
      </c>
      <c r="AF28" s="18" t="s">
        <v>199</v>
      </c>
      <c r="AG28" s="18" t="s">
        <v>199</v>
      </c>
      <c r="AH28" s="18">
        <v>8.6999999999999993</v>
      </c>
      <c r="AI28" s="18" t="s">
        <v>29</v>
      </c>
      <c r="AJ28" s="18" t="s">
        <v>66</v>
      </c>
      <c r="AK28" s="18" t="s">
        <v>81</v>
      </c>
      <c r="AL28" s="18" t="s">
        <v>96</v>
      </c>
      <c r="AM28" s="18" t="s">
        <v>107</v>
      </c>
      <c r="AN28" s="18" t="s">
        <v>120</v>
      </c>
      <c r="AO28" s="18" t="s">
        <v>198</v>
      </c>
      <c r="AP28" s="18" t="s">
        <v>244</v>
      </c>
      <c r="AQ28" s="18"/>
      <c r="AR28" s="18">
        <v>1</v>
      </c>
      <c r="AS28" s="18">
        <v>0</v>
      </c>
      <c r="AT28" s="18">
        <v>1</v>
      </c>
      <c r="AU28" s="18">
        <v>3</v>
      </c>
      <c r="AV28" s="18">
        <v>2</v>
      </c>
      <c r="AW28" s="18">
        <v>7</v>
      </c>
      <c r="AX28" s="49">
        <v>0</v>
      </c>
      <c r="AY28" s="49">
        <f>VLOOKUP(AI28,Leyenda!$B$4:$E$10,4,FALSE)</f>
        <v>2</v>
      </c>
      <c r="AZ28" s="50">
        <v>5</v>
      </c>
      <c r="BA28" s="49">
        <v>7</v>
      </c>
      <c r="BB28" s="49">
        <v>15</v>
      </c>
      <c r="BC28" s="67">
        <v>10.5</v>
      </c>
      <c r="BD28" s="67">
        <f>VLOOKUP(AI28,Leyenda!$B$4:$E$10,4,FALSE)</f>
        <v>2</v>
      </c>
      <c r="BE28" s="67">
        <v>5</v>
      </c>
      <c r="BF28" s="67">
        <v>0</v>
      </c>
      <c r="BG28" s="67">
        <v>1</v>
      </c>
      <c r="BH28" s="67">
        <v>3</v>
      </c>
      <c r="BI28" s="67">
        <v>2</v>
      </c>
      <c r="BJ28" s="67">
        <v>0</v>
      </c>
      <c r="BK28" s="67">
        <v>1</v>
      </c>
      <c r="BL28" s="67">
        <v>10</v>
      </c>
      <c r="BM28" s="67">
        <f t="shared" si="0"/>
        <v>24</v>
      </c>
      <c r="BN28" s="18">
        <f t="shared" si="1"/>
        <v>29</v>
      </c>
      <c r="BO28" s="18"/>
      <c r="BP28" s="18"/>
    </row>
    <row r="29" spans="1:155" x14ac:dyDescent="0.25">
      <c r="A29" s="18" t="s">
        <v>6</v>
      </c>
      <c r="B29" s="18">
        <v>2024</v>
      </c>
      <c r="C29" s="18" t="s">
        <v>138</v>
      </c>
      <c r="D29" s="18" t="s">
        <v>245</v>
      </c>
      <c r="E29" s="18">
        <v>20</v>
      </c>
      <c r="F29" s="18">
        <v>20</v>
      </c>
      <c r="G29" s="18" t="s">
        <v>156</v>
      </c>
      <c r="H29" s="18" t="s">
        <v>156</v>
      </c>
      <c r="I29" s="18" t="s">
        <v>296</v>
      </c>
      <c r="J29" s="4">
        <v>56.5</v>
      </c>
      <c r="K29" s="4">
        <v>57</v>
      </c>
      <c r="L29" s="4">
        <v>0.5</v>
      </c>
      <c r="M29" s="5">
        <v>0.34</v>
      </c>
      <c r="N29" s="31">
        <v>0.17</v>
      </c>
      <c r="O29" s="31">
        <v>0.17</v>
      </c>
      <c r="P29" s="31">
        <v>8.5</v>
      </c>
      <c r="Q29" s="31">
        <v>20</v>
      </c>
      <c r="R29" s="31">
        <v>0.18</v>
      </c>
      <c r="S29" s="31">
        <v>0</v>
      </c>
      <c r="T29" s="65">
        <v>0</v>
      </c>
      <c r="U29" s="31">
        <v>5</v>
      </c>
      <c r="V29" s="31"/>
      <c r="W29" s="31">
        <v>5</v>
      </c>
      <c r="X29" s="31">
        <v>36</v>
      </c>
      <c r="Y29" s="18">
        <v>0</v>
      </c>
      <c r="Z29" s="18" t="s">
        <v>330</v>
      </c>
      <c r="AA29" s="18" t="s">
        <v>333</v>
      </c>
      <c r="AB29" s="18" t="s">
        <v>337</v>
      </c>
      <c r="AC29" s="18">
        <v>20</v>
      </c>
      <c r="AD29" s="18">
        <v>8.5</v>
      </c>
      <c r="AE29" s="18" t="s">
        <v>29</v>
      </c>
      <c r="AF29" s="18" t="s">
        <v>199</v>
      </c>
      <c r="AG29" s="18" t="s">
        <v>199</v>
      </c>
      <c r="AH29" s="18">
        <v>8.6999999999999993</v>
      </c>
      <c r="AI29" s="18" t="s">
        <v>29</v>
      </c>
      <c r="AJ29" s="18" t="s">
        <v>66</v>
      </c>
      <c r="AK29" s="18" t="s">
        <v>81</v>
      </c>
      <c r="AL29" s="18" t="s">
        <v>96</v>
      </c>
      <c r="AM29" s="18" t="s">
        <v>107</v>
      </c>
      <c r="AN29" s="18" t="s">
        <v>120</v>
      </c>
      <c r="AO29" s="18" t="s">
        <v>198</v>
      </c>
      <c r="AP29" s="18" t="s">
        <v>244</v>
      </c>
      <c r="AQ29" s="18"/>
      <c r="AR29" s="18">
        <v>1</v>
      </c>
      <c r="AS29" s="18">
        <v>0</v>
      </c>
      <c r="AT29" s="18">
        <v>1</v>
      </c>
      <c r="AU29" s="18">
        <v>3</v>
      </c>
      <c r="AV29" s="18">
        <v>2</v>
      </c>
      <c r="AW29" s="18">
        <v>7</v>
      </c>
      <c r="AX29" s="49">
        <v>0</v>
      </c>
      <c r="AY29" s="49">
        <f>VLOOKUP(AI29,Leyenda!$B$4:$E$10,4,FALSE)</f>
        <v>2</v>
      </c>
      <c r="AZ29" s="50">
        <v>5</v>
      </c>
      <c r="BA29" s="49">
        <v>7</v>
      </c>
      <c r="BB29" s="49">
        <v>15</v>
      </c>
      <c r="BC29" s="67">
        <v>10.5</v>
      </c>
      <c r="BD29" s="67">
        <f>VLOOKUP(AI29,Leyenda!$B$4:$E$10,4,FALSE)</f>
        <v>2</v>
      </c>
      <c r="BE29" s="67">
        <v>5</v>
      </c>
      <c r="BF29" s="67">
        <v>0</v>
      </c>
      <c r="BG29" s="67">
        <v>1</v>
      </c>
      <c r="BH29" s="67">
        <v>3</v>
      </c>
      <c r="BI29" s="67">
        <v>2</v>
      </c>
      <c r="BJ29" s="67">
        <v>0</v>
      </c>
      <c r="BK29" s="67">
        <v>1</v>
      </c>
      <c r="BL29" s="67">
        <v>10</v>
      </c>
      <c r="BM29" s="67">
        <f t="shared" si="0"/>
        <v>24</v>
      </c>
      <c r="BN29" s="18">
        <f t="shared" si="1"/>
        <v>29</v>
      </c>
      <c r="BO29" s="18"/>
      <c r="BP29" s="18"/>
    </row>
    <row r="30" spans="1:155" x14ac:dyDescent="0.25">
      <c r="A30" s="18" t="s">
        <v>6</v>
      </c>
      <c r="B30" s="18">
        <v>2024</v>
      </c>
      <c r="C30" s="18" t="s">
        <v>138</v>
      </c>
      <c r="D30" s="18" t="s">
        <v>245</v>
      </c>
      <c r="E30" s="18">
        <v>20</v>
      </c>
      <c r="F30" s="18">
        <v>20</v>
      </c>
      <c r="G30" s="18" t="s">
        <v>156</v>
      </c>
      <c r="H30" s="18" t="s">
        <v>156</v>
      </c>
      <c r="I30" s="18" t="s">
        <v>296</v>
      </c>
      <c r="J30" s="4">
        <v>57</v>
      </c>
      <c r="K30" s="4">
        <v>57.5</v>
      </c>
      <c r="L30" s="4">
        <v>0.5</v>
      </c>
      <c r="M30" s="5">
        <v>0.4</v>
      </c>
      <c r="N30" s="31">
        <v>0.2</v>
      </c>
      <c r="O30" s="31">
        <v>0.2</v>
      </c>
      <c r="P30" s="31">
        <v>10</v>
      </c>
      <c r="Q30" s="31">
        <v>20</v>
      </c>
      <c r="R30" s="31">
        <v>0.17</v>
      </c>
      <c r="S30" s="31">
        <v>0</v>
      </c>
      <c r="T30" s="65">
        <v>0</v>
      </c>
      <c r="U30" s="31">
        <v>5</v>
      </c>
      <c r="V30" s="31"/>
      <c r="W30" s="31">
        <v>5</v>
      </c>
      <c r="X30" s="31">
        <v>34</v>
      </c>
      <c r="Y30" s="18">
        <v>0</v>
      </c>
      <c r="Z30" s="18" t="s">
        <v>330</v>
      </c>
      <c r="AA30" s="18" t="s">
        <v>333</v>
      </c>
      <c r="AB30" s="18" t="s">
        <v>337</v>
      </c>
      <c r="AC30" s="18">
        <v>20</v>
      </c>
      <c r="AD30" s="18">
        <v>10</v>
      </c>
      <c r="AE30" s="18" t="s">
        <v>29</v>
      </c>
      <c r="AF30" s="18" t="s">
        <v>199</v>
      </c>
      <c r="AG30" s="18" t="s">
        <v>199</v>
      </c>
      <c r="AH30" s="18">
        <v>8.6999999999999993</v>
      </c>
      <c r="AI30" s="18" t="s">
        <v>29</v>
      </c>
      <c r="AJ30" s="18" t="s">
        <v>66</v>
      </c>
      <c r="AK30" s="18" t="s">
        <v>81</v>
      </c>
      <c r="AL30" s="18" t="s">
        <v>96</v>
      </c>
      <c r="AM30" s="18" t="s">
        <v>107</v>
      </c>
      <c r="AN30" s="18" t="s">
        <v>120</v>
      </c>
      <c r="AO30" s="18" t="s">
        <v>198</v>
      </c>
      <c r="AP30" s="18" t="s">
        <v>244</v>
      </c>
      <c r="AQ30" s="18"/>
      <c r="AR30" s="18">
        <v>1</v>
      </c>
      <c r="AS30" s="18">
        <v>0</v>
      </c>
      <c r="AT30" s="18">
        <v>1</v>
      </c>
      <c r="AU30" s="18">
        <v>3</v>
      </c>
      <c r="AV30" s="18">
        <v>2</v>
      </c>
      <c r="AW30" s="18">
        <v>7</v>
      </c>
      <c r="AX30" s="49">
        <v>0</v>
      </c>
      <c r="AY30" s="49">
        <f>VLOOKUP(AI30,Leyenda!$B$4:$E$10,4,FALSE)</f>
        <v>2</v>
      </c>
      <c r="AZ30" s="50">
        <v>5</v>
      </c>
      <c r="BA30" s="49">
        <v>7</v>
      </c>
      <c r="BB30" s="49">
        <v>15</v>
      </c>
      <c r="BC30" s="67">
        <v>10.5</v>
      </c>
      <c r="BD30" s="67">
        <f>VLOOKUP(AI30,Leyenda!$B$4:$E$10,4,FALSE)</f>
        <v>2</v>
      </c>
      <c r="BE30" s="67">
        <v>5</v>
      </c>
      <c r="BF30" s="67">
        <v>0</v>
      </c>
      <c r="BG30" s="67">
        <v>1</v>
      </c>
      <c r="BH30" s="67">
        <v>3</v>
      </c>
      <c r="BI30" s="67">
        <v>2</v>
      </c>
      <c r="BJ30" s="67">
        <v>0</v>
      </c>
      <c r="BK30" s="67">
        <v>1</v>
      </c>
      <c r="BL30" s="67">
        <v>10</v>
      </c>
      <c r="BM30" s="67">
        <f t="shared" si="0"/>
        <v>24</v>
      </c>
      <c r="BN30" s="18">
        <f t="shared" si="1"/>
        <v>29</v>
      </c>
      <c r="BO30" s="18"/>
      <c r="BP30" s="18"/>
    </row>
    <row r="31" spans="1:155" x14ac:dyDescent="0.25">
      <c r="A31" s="18" t="s">
        <v>6</v>
      </c>
      <c r="B31" s="18">
        <v>2024</v>
      </c>
      <c r="C31" s="18" t="s">
        <v>138</v>
      </c>
      <c r="D31" s="18" t="s">
        <v>245</v>
      </c>
      <c r="E31" s="18">
        <v>20</v>
      </c>
      <c r="F31" s="18">
        <v>20</v>
      </c>
      <c r="G31" s="18" t="s">
        <v>156</v>
      </c>
      <c r="H31" s="18" t="s">
        <v>156</v>
      </c>
      <c r="I31" s="18" t="s">
        <v>296</v>
      </c>
      <c r="J31" s="4">
        <v>57.5</v>
      </c>
      <c r="K31" s="4">
        <v>58</v>
      </c>
      <c r="L31" s="4">
        <v>0.5</v>
      </c>
      <c r="M31" s="5">
        <v>0.5</v>
      </c>
      <c r="N31" s="31">
        <v>0.25</v>
      </c>
      <c r="O31" s="31">
        <v>0.25</v>
      </c>
      <c r="P31" s="31">
        <v>12.5</v>
      </c>
      <c r="Q31" s="31">
        <v>20</v>
      </c>
      <c r="R31" s="31">
        <v>0.24</v>
      </c>
      <c r="S31" s="31">
        <v>0</v>
      </c>
      <c r="T31" s="65">
        <v>0</v>
      </c>
      <c r="U31" s="31">
        <v>6</v>
      </c>
      <c r="V31" s="31"/>
      <c r="W31" s="31">
        <v>6</v>
      </c>
      <c r="X31" s="31">
        <v>40</v>
      </c>
      <c r="Y31" s="18">
        <v>0</v>
      </c>
      <c r="Z31" s="18" t="s">
        <v>330</v>
      </c>
      <c r="AA31" s="18" t="s">
        <v>333</v>
      </c>
      <c r="AB31" s="18" t="s">
        <v>337</v>
      </c>
      <c r="AC31" s="18">
        <v>20</v>
      </c>
      <c r="AD31" s="18">
        <v>12.5</v>
      </c>
      <c r="AE31" s="18" t="s">
        <v>29</v>
      </c>
      <c r="AF31" s="18" t="s">
        <v>199</v>
      </c>
      <c r="AG31" s="18" t="s">
        <v>199</v>
      </c>
      <c r="AH31" s="18">
        <v>8.6999999999999993</v>
      </c>
      <c r="AI31" s="18" t="s">
        <v>29</v>
      </c>
      <c r="AJ31" s="18" t="s">
        <v>66</v>
      </c>
      <c r="AK31" s="18" t="s">
        <v>81</v>
      </c>
      <c r="AL31" s="18" t="s">
        <v>96</v>
      </c>
      <c r="AM31" s="18" t="s">
        <v>107</v>
      </c>
      <c r="AN31" s="18" t="s">
        <v>120</v>
      </c>
      <c r="AO31" s="18" t="s">
        <v>198</v>
      </c>
      <c r="AP31" s="18" t="s">
        <v>244</v>
      </c>
      <c r="AQ31" s="18"/>
      <c r="AR31" s="18">
        <v>1</v>
      </c>
      <c r="AS31" s="18">
        <v>0</v>
      </c>
      <c r="AT31" s="18">
        <v>1</v>
      </c>
      <c r="AU31" s="18">
        <v>3</v>
      </c>
      <c r="AV31" s="18">
        <v>2</v>
      </c>
      <c r="AW31" s="18">
        <v>7</v>
      </c>
      <c r="AX31" s="49">
        <v>0</v>
      </c>
      <c r="AY31" s="49">
        <f>VLOOKUP(AI31,Leyenda!$B$4:$E$10,4,FALSE)</f>
        <v>2</v>
      </c>
      <c r="AZ31" s="50">
        <v>5</v>
      </c>
      <c r="BA31" s="49">
        <v>7</v>
      </c>
      <c r="BB31" s="49">
        <v>15</v>
      </c>
      <c r="BC31" s="67">
        <v>10.5</v>
      </c>
      <c r="BD31" s="67">
        <f>VLOOKUP(AI31,Leyenda!$B$4:$E$10,4,FALSE)</f>
        <v>2</v>
      </c>
      <c r="BE31" s="67">
        <v>5</v>
      </c>
      <c r="BF31" s="67">
        <v>0</v>
      </c>
      <c r="BG31" s="67">
        <v>1</v>
      </c>
      <c r="BH31" s="67">
        <v>3</v>
      </c>
      <c r="BI31" s="67">
        <v>2</v>
      </c>
      <c r="BJ31" s="67">
        <v>0</v>
      </c>
      <c r="BK31" s="67">
        <v>1</v>
      </c>
      <c r="BL31" s="67">
        <v>10</v>
      </c>
      <c r="BM31" s="67">
        <f t="shared" si="0"/>
        <v>24</v>
      </c>
      <c r="BN31" s="18">
        <f t="shared" si="1"/>
        <v>29</v>
      </c>
      <c r="BO31" s="18"/>
      <c r="BP31" s="18"/>
    </row>
    <row r="32" spans="1:155" x14ac:dyDescent="0.25">
      <c r="A32" s="18" t="s">
        <v>6</v>
      </c>
      <c r="B32" s="18">
        <v>2024</v>
      </c>
      <c r="C32" s="18" t="s">
        <v>138</v>
      </c>
      <c r="D32" s="18" t="s">
        <v>245</v>
      </c>
      <c r="E32" s="18">
        <v>20</v>
      </c>
      <c r="F32" s="18">
        <v>20</v>
      </c>
      <c r="G32" s="18" t="s">
        <v>156</v>
      </c>
      <c r="H32" s="18" t="s">
        <v>156</v>
      </c>
      <c r="I32" s="18" t="s">
        <v>296</v>
      </c>
      <c r="J32" s="4">
        <v>58</v>
      </c>
      <c r="K32" s="4">
        <v>58.5</v>
      </c>
      <c r="L32" s="4">
        <v>0.5</v>
      </c>
      <c r="M32" s="5">
        <v>0.42</v>
      </c>
      <c r="N32" s="31">
        <v>0.21</v>
      </c>
      <c r="O32" s="31">
        <v>0.21</v>
      </c>
      <c r="P32" s="31">
        <v>10.5</v>
      </c>
      <c r="Q32" s="31">
        <v>20</v>
      </c>
      <c r="R32" s="31">
        <v>0.2</v>
      </c>
      <c r="S32" s="31">
        <v>0</v>
      </c>
      <c r="T32" s="65">
        <v>0</v>
      </c>
      <c r="U32" s="31">
        <v>3</v>
      </c>
      <c r="V32" s="31"/>
      <c r="W32" s="31">
        <v>3</v>
      </c>
      <c r="X32" s="31">
        <v>66.666666666666671</v>
      </c>
      <c r="Y32" s="18">
        <v>0</v>
      </c>
      <c r="Z32" s="18" t="s">
        <v>330</v>
      </c>
      <c r="AA32" s="18" t="s">
        <v>333</v>
      </c>
      <c r="AB32" s="18" t="s">
        <v>337</v>
      </c>
      <c r="AC32" s="18">
        <v>20</v>
      </c>
      <c r="AD32" s="18">
        <v>10.5</v>
      </c>
      <c r="AE32" s="18" t="s">
        <v>29</v>
      </c>
      <c r="AF32" s="18" t="s">
        <v>199</v>
      </c>
      <c r="AG32" s="18" t="s">
        <v>199</v>
      </c>
      <c r="AH32" s="18">
        <v>8.6999999999999993</v>
      </c>
      <c r="AI32" s="18" t="s">
        <v>29</v>
      </c>
      <c r="AJ32" s="18" t="s">
        <v>66</v>
      </c>
      <c r="AK32" s="18" t="s">
        <v>81</v>
      </c>
      <c r="AL32" s="18" t="s">
        <v>96</v>
      </c>
      <c r="AM32" s="18" t="s">
        <v>107</v>
      </c>
      <c r="AN32" s="18" t="s">
        <v>120</v>
      </c>
      <c r="AO32" s="18" t="s">
        <v>198</v>
      </c>
      <c r="AP32" s="18" t="s">
        <v>244</v>
      </c>
      <c r="AQ32" s="18"/>
      <c r="AR32" s="18">
        <v>1</v>
      </c>
      <c r="AS32" s="18">
        <v>0</v>
      </c>
      <c r="AT32" s="18">
        <v>1</v>
      </c>
      <c r="AU32" s="18">
        <v>3</v>
      </c>
      <c r="AV32" s="18">
        <v>2</v>
      </c>
      <c r="AW32" s="18">
        <v>7</v>
      </c>
      <c r="AX32" s="49">
        <v>0</v>
      </c>
      <c r="AY32" s="49">
        <f>VLOOKUP(AI32,Leyenda!$B$4:$E$10,4,FALSE)</f>
        <v>2</v>
      </c>
      <c r="AZ32" s="50">
        <v>6</v>
      </c>
      <c r="BA32" s="49">
        <v>7</v>
      </c>
      <c r="BB32" s="49">
        <v>15</v>
      </c>
      <c r="BC32" s="67">
        <v>10.5</v>
      </c>
      <c r="BD32" s="67">
        <f>VLOOKUP(AI32,Leyenda!$B$4:$E$10,4,FALSE)</f>
        <v>2</v>
      </c>
      <c r="BE32" s="67">
        <v>6</v>
      </c>
      <c r="BF32" s="67">
        <v>0</v>
      </c>
      <c r="BG32" s="67">
        <v>1</v>
      </c>
      <c r="BH32" s="67">
        <v>3</v>
      </c>
      <c r="BI32" s="67">
        <v>2</v>
      </c>
      <c r="BJ32" s="67">
        <v>0</v>
      </c>
      <c r="BK32" s="67">
        <v>1</v>
      </c>
      <c r="BL32" s="67">
        <v>10</v>
      </c>
      <c r="BM32" s="67">
        <f t="shared" si="0"/>
        <v>25</v>
      </c>
      <c r="BN32" s="18">
        <f t="shared" si="1"/>
        <v>30</v>
      </c>
      <c r="BO32" s="18"/>
      <c r="BP32" s="18"/>
    </row>
    <row r="33" spans="1:74" x14ac:dyDescent="0.25">
      <c r="A33" s="18" t="s">
        <v>6</v>
      </c>
      <c r="B33" s="18">
        <v>2024</v>
      </c>
      <c r="C33" s="18" t="s">
        <v>138</v>
      </c>
      <c r="D33" s="18" t="s">
        <v>245</v>
      </c>
      <c r="E33" s="18">
        <v>20</v>
      </c>
      <c r="F33" s="18">
        <v>20</v>
      </c>
      <c r="G33" s="18" t="s">
        <v>156</v>
      </c>
      <c r="H33" s="18" t="s">
        <v>156</v>
      </c>
      <c r="I33" s="18" t="s">
        <v>296</v>
      </c>
      <c r="J33" s="4">
        <v>58.5</v>
      </c>
      <c r="K33" s="4">
        <v>59</v>
      </c>
      <c r="L33" s="4">
        <v>0.5</v>
      </c>
      <c r="M33" s="5">
        <v>0.46</v>
      </c>
      <c r="N33" s="31">
        <v>0.23</v>
      </c>
      <c r="O33" s="31">
        <v>0.23</v>
      </c>
      <c r="P33" s="31">
        <v>11.5</v>
      </c>
      <c r="Q33" s="31">
        <v>20</v>
      </c>
      <c r="R33" s="31">
        <v>0.2</v>
      </c>
      <c r="S33" s="31">
        <v>0</v>
      </c>
      <c r="T33" s="65">
        <v>0</v>
      </c>
      <c r="U33" s="31">
        <v>4</v>
      </c>
      <c r="V33" s="31"/>
      <c r="W33" s="31">
        <v>4</v>
      </c>
      <c r="X33" s="31">
        <v>50</v>
      </c>
      <c r="Y33" s="18">
        <v>0</v>
      </c>
      <c r="Z33" s="18" t="s">
        <v>330</v>
      </c>
      <c r="AA33" s="18" t="s">
        <v>333</v>
      </c>
      <c r="AB33" s="18" t="s">
        <v>337</v>
      </c>
      <c r="AC33" s="18">
        <v>20</v>
      </c>
      <c r="AD33" s="18">
        <v>11.5</v>
      </c>
      <c r="AE33" s="18" t="s">
        <v>29</v>
      </c>
      <c r="AF33" s="18" t="s">
        <v>199</v>
      </c>
      <c r="AG33" s="18" t="s">
        <v>199</v>
      </c>
      <c r="AH33" s="18">
        <v>8.6999999999999993</v>
      </c>
      <c r="AI33" s="18" t="s">
        <v>29</v>
      </c>
      <c r="AJ33" s="18" t="s">
        <v>66</v>
      </c>
      <c r="AK33" s="18" t="s">
        <v>81</v>
      </c>
      <c r="AL33" s="18" t="s">
        <v>96</v>
      </c>
      <c r="AM33" s="18" t="s">
        <v>107</v>
      </c>
      <c r="AN33" s="18" t="s">
        <v>120</v>
      </c>
      <c r="AO33" s="18" t="s">
        <v>198</v>
      </c>
      <c r="AP33" s="18" t="s">
        <v>244</v>
      </c>
      <c r="AQ33" s="18"/>
      <c r="AR33" s="18">
        <v>1</v>
      </c>
      <c r="AS33" s="18">
        <v>0</v>
      </c>
      <c r="AT33" s="18">
        <v>1</v>
      </c>
      <c r="AU33" s="18">
        <v>3</v>
      </c>
      <c r="AV33" s="18">
        <v>2</v>
      </c>
      <c r="AW33" s="18">
        <v>7</v>
      </c>
      <c r="AX33" s="49">
        <v>0</v>
      </c>
      <c r="AY33" s="49">
        <f>VLOOKUP(AI33,Leyenda!$B$4:$E$10,4,FALSE)</f>
        <v>2</v>
      </c>
      <c r="AZ33" s="50">
        <v>6</v>
      </c>
      <c r="BA33" s="49">
        <v>7</v>
      </c>
      <c r="BB33" s="49">
        <v>15</v>
      </c>
      <c r="BC33" s="67">
        <v>10.5</v>
      </c>
      <c r="BD33" s="67">
        <f>VLOOKUP(AI33,Leyenda!$B$4:$E$10,4,FALSE)</f>
        <v>2</v>
      </c>
      <c r="BE33" s="67">
        <v>5</v>
      </c>
      <c r="BF33" s="67">
        <v>0</v>
      </c>
      <c r="BG33" s="67">
        <v>1</v>
      </c>
      <c r="BH33" s="67">
        <v>3</v>
      </c>
      <c r="BI33" s="67">
        <v>2</v>
      </c>
      <c r="BJ33" s="67">
        <v>0</v>
      </c>
      <c r="BK33" s="67">
        <v>1</v>
      </c>
      <c r="BL33" s="67">
        <v>10</v>
      </c>
      <c r="BM33" s="67">
        <f t="shared" si="0"/>
        <v>24</v>
      </c>
      <c r="BN33" s="18">
        <f t="shared" si="1"/>
        <v>30</v>
      </c>
      <c r="BO33" s="18"/>
      <c r="BP33" s="18"/>
    </row>
    <row r="34" spans="1:74" x14ac:dyDescent="0.25">
      <c r="A34" s="18" t="s">
        <v>6</v>
      </c>
      <c r="B34" s="18">
        <v>2024</v>
      </c>
      <c r="C34" s="18" t="s">
        <v>138</v>
      </c>
      <c r="D34" s="18" t="s">
        <v>245</v>
      </c>
      <c r="E34" s="18">
        <v>20</v>
      </c>
      <c r="F34" s="18">
        <v>20</v>
      </c>
      <c r="G34" s="18" t="s">
        <v>156</v>
      </c>
      <c r="H34" s="18" t="s">
        <v>156</v>
      </c>
      <c r="I34" s="18" t="s">
        <v>296</v>
      </c>
      <c r="J34" s="4">
        <v>59</v>
      </c>
      <c r="K34" s="4">
        <v>59.5</v>
      </c>
      <c r="L34" s="4">
        <v>0.5</v>
      </c>
      <c r="M34" s="5">
        <v>0.6</v>
      </c>
      <c r="N34" s="31">
        <v>0.3</v>
      </c>
      <c r="O34" s="31">
        <v>0.3</v>
      </c>
      <c r="P34" s="31">
        <v>15</v>
      </c>
      <c r="Q34" s="31">
        <v>20</v>
      </c>
      <c r="R34" s="31">
        <v>0.22</v>
      </c>
      <c r="S34" s="31">
        <v>0</v>
      </c>
      <c r="T34" s="65">
        <v>0</v>
      </c>
      <c r="U34" s="31">
        <v>5</v>
      </c>
      <c r="V34" s="31"/>
      <c r="W34" s="31">
        <v>5</v>
      </c>
      <c r="X34" s="31">
        <v>44</v>
      </c>
      <c r="Y34" s="18">
        <v>0</v>
      </c>
      <c r="Z34" s="18" t="s">
        <v>330</v>
      </c>
      <c r="AA34" s="18" t="s">
        <v>333</v>
      </c>
      <c r="AB34" s="18" t="s">
        <v>337</v>
      </c>
      <c r="AC34" s="18">
        <v>20</v>
      </c>
      <c r="AD34" s="18">
        <v>15</v>
      </c>
      <c r="AE34" s="18" t="s">
        <v>29</v>
      </c>
      <c r="AF34" s="18" t="s">
        <v>199</v>
      </c>
      <c r="AG34" s="18" t="s">
        <v>199</v>
      </c>
      <c r="AH34" s="18">
        <v>8.6999999999999993</v>
      </c>
      <c r="AI34" s="18" t="s">
        <v>29</v>
      </c>
      <c r="AJ34" s="18" t="s">
        <v>66</v>
      </c>
      <c r="AK34" s="18" t="s">
        <v>81</v>
      </c>
      <c r="AL34" s="18" t="s">
        <v>96</v>
      </c>
      <c r="AM34" s="18" t="s">
        <v>107</v>
      </c>
      <c r="AN34" s="18" t="s">
        <v>120</v>
      </c>
      <c r="AO34" s="18" t="s">
        <v>198</v>
      </c>
      <c r="AP34" s="18" t="s">
        <v>244</v>
      </c>
      <c r="AQ34" s="18"/>
      <c r="AR34" s="18">
        <v>1</v>
      </c>
      <c r="AS34" s="18">
        <v>0</v>
      </c>
      <c r="AT34" s="18">
        <v>1</v>
      </c>
      <c r="AU34" s="18">
        <v>3</v>
      </c>
      <c r="AV34" s="18">
        <v>2</v>
      </c>
      <c r="AW34" s="18">
        <v>7</v>
      </c>
      <c r="AX34" s="49">
        <v>0</v>
      </c>
      <c r="AY34" s="49">
        <f>VLOOKUP(AI34,Leyenda!$B$4:$E$10,4,FALSE)</f>
        <v>2</v>
      </c>
      <c r="AZ34" s="50">
        <v>6</v>
      </c>
      <c r="BA34" s="49">
        <v>7</v>
      </c>
      <c r="BB34" s="49">
        <v>15</v>
      </c>
      <c r="BC34" s="67">
        <v>10.5</v>
      </c>
      <c r="BD34" s="67">
        <f>VLOOKUP(AI34,Leyenda!$B$4:$E$10,4,FALSE)</f>
        <v>2</v>
      </c>
      <c r="BE34" s="67">
        <v>5</v>
      </c>
      <c r="BF34" s="67">
        <v>0</v>
      </c>
      <c r="BG34" s="67">
        <v>1</v>
      </c>
      <c r="BH34" s="67">
        <v>3</v>
      </c>
      <c r="BI34" s="67">
        <v>2</v>
      </c>
      <c r="BJ34" s="67">
        <v>0</v>
      </c>
      <c r="BK34" s="67">
        <v>1</v>
      </c>
      <c r="BL34" s="67">
        <v>10</v>
      </c>
      <c r="BM34" s="67">
        <f t="shared" si="0"/>
        <v>24</v>
      </c>
      <c r="BN34" s="18">
        <f t="shared" si="1"/>
        <v>30</v>
      </c>
      <c r="BO34" s="18"/>
      <c r="BP34" s="18"/>
    </row>
    <row r="35" spans="1:74" x14ac:dyDescent="0.25">
      <c r="A35" s="18" t="s">
        <v>6</v>
      </c>
      <c r="B35" s="18">
        <v>2024</v>
      </c>
      <c r="C35" s="18" t="s">
        <v>138</v>
      </c>
      <c r="D35" s="18" t="s">
        <v>245</v>
      </c>
      <c r="E35" s="18">
        <v>20</v>
      </c>
      <c r="F35" s="18">
        <v>20</v>
      </c>
      <c r="G35" s="18" t="s">
        <v>156</v>
      </c>
      <c r="H35" s="18" t="s">
        <v>156</v>
      </c>
      <c r="I35" s="18" t="s">
        <v>296</v>
      </c>
      <c r="J35" s="4">
        <v>59.5</v>
      </c>
      <c r="K35" s="4">
        <v>60</v>
      </c>
      <c r="L35" s="4">
        <v>0.5</v>
      </c>
      <c r="M35" s="5">
        <v>0.54</v>
      </c>
      <c r="N35" s="31">
        <v>0.27</v>
      </c>
      <c r="O35" s="31">
        <v>0.27</v>
      </c>
      <c r="P35" s="31">
        <v>13.5</v>
      </c>
      <c r="Q35" s="31">
        <v>20</v>
      </c>
      <c r="R35" s="31">
        <v>0.26</v>
      </c>
      <c r="S35" s="31">
        <v>0</v>
      </c>
      <c r="T35" s="65">
        <v>0</v>
      </c>
      <c r="U35" s="31">
        <v>7</v>
      </c>
      <c r="V35" s="31"/>
      <c r="W35" s="31">
        <v>7</v>
      </c>
      <c r="X35" s="31">
        <v>37.142857142857146</v>
      </c>
      <c r="Y35" s="18">
        <v>0</v>
      </c>
      <c r="Z35" s="18" t="s">
        <v>330</v>
      </c>
      <c r="AA35" s="18" t="s">
        <v>333</v>
      </c>
      <c r="AB35" s="18" t="s">
        <v>337</v>
      </c>
      <c r="AC35" s="18">
        <v>20</v>
      </c>
      <c r="AD35" s="18">
        <v>13.5</v>
      </c>
      <c r="AE35" s="18" t="s">
        <v>29</v>
      </c>
      <c r="AF35" s="18" t="s">
        <v>27</v>
      </c>
      <c r="AG35" s="18" t="s">
        <v>27</v>
      </c>
      <c r="AH35" s="18">
        <v>8.6999999999999993</v>
      </c>
      <c r="AI35" s="18" t="s">
        <v>29</v>
      </c>
      <c r="AJ35" s="18" t="s">
        <v>64</v>
      </c>
      <c r="AK35" s="18" t="s">
        <v>77</v>
      </c>
      <c r="AL35" s="18" t="s">
        <v>92</v>
      </c>
      <c r="AM35" s="18" t="s">
        <v>107</v>
      </c>
      <c r="AN35" s="18" t="s">
        <v>118</v>
      </c>
      <c r="AO35" s="18" t="s">
        <v>198</v>
      </c>
      <c r="AP35" s="18" t="s">
        <v>235</v>
      </c>
      <c r="AQ35" s="18"/>
      <c r="AR35" s="18">
        <v>2</v>
      </c>
      <c r="AS35" s="18">
        <v>3</v>
      </c>
      <c r="AT35" s="18">
        <v>3</v>
      </c>
      <c r="AU35" s="18">
        <v>3</v>
      </c>
      <c r="AV35" s="18">
        <v>2</v>
      </c>
      <c r="AW35" s="18">
        <v>13</v>
      </c>
      <c r="AX35" s="49">
        <v>0</v>
      </c>
      <c r="AY35" s="49">
        <f>VLOOKUP(AI35,Leyenda!$B$4:$E$10,4,FALSE)</f>
        <v>2</v>
      </c>
      <c r="AZ35" s="50">
        <v>5</v>
      </c>
      <c r="BA35" s="49">
        <v>13</v>
      </c>
      <c r="BB35" s="49">
        <v>15</v>
      </c>
      <c r="BC35" s="67">
        <v>19.5</v>
      </c>
      <c r="BD35" s="67">
        <f>VLOOKUP(AI35,Leyenda!$B$4:$E$10,4,FALSE)</f>
        <v>2</v>
      </c>
      <c r="BE35" s="67">
        <v>5</v>
      </c>
      <c r="BF35" s="67">
        <v>0</v>
      </c>
      <c r="BG35" s="67">
        <v>3</v>
      </c>
      <c r="BH35" s="67">
        <v>3</v>
      </c>
      <c r="BI35" s="67">
        <v>2</v>
      </c>
      <c r="BJ35" s="67">
        <v>3</v>
      </c>
      <c r="BK35" s="67">
        <v>3</v>
      </c>
      <c r="BL35" s="67">
        <v>10</v>
      </c>
      <c r="BM35" s="67">
        <f t="shared" si="0"/>
        <v>31</v>
      </c>
      <c r="BN35" s="18">
        <f t="shared" si="1"/>
        <v>35</v>
      </c>
      <c r="BO35" s="18"/>
      <c r="BP35" s="18"/>
    </row>
    <row r="36" spans="1:74" x14ac:dyDescent="0.25">
      <c r="A36" s="18" t="s">
        <v>6</v>
      </c>
      <c r="B36" s="18">
        <v>2024</v>
      </c>
      <c r="C36" s="18" t="s">
        <v>138</v>
      </c>
      <c r="D36" s="18" t="s">
        <v>130</v>
      </c>
      <c r="E36" s="18">
        <v>30</v>
      </c>
      <c r="F36" s="18">
        <v>20</v>
      </c>
      <c r="G36" s="18" t="s">
        <v>152</v>
      </c>
      <c r="H36" s="18" t="s">
        <v>156</v>
      </c>
      <c r="I36" s="18" t="s">
        <v>159</v>
      </c>
      <c r="J36" s="4">
        <v>14.5</v>
      </c>
      <c r="K36" s="4">
        <v>15</v>
      </c>
      <c r="L36" s="4">
        <v>0.5</v>
      </c>
      <c r="M36" s="5">
        <v>1</v>
      </c>
      <c r="N36" s="31">
        <v>0.5</v>
      </c>
      <c r="O36" s="31">
        <v>0.5</v>
      </c>
      <c r="P36" s="31">
        <v>100</v>
      </c>
      <c r="Q36" s="31">
        <v>5</v>
      </c>
      <c r="R36" s="31">
        <v>0.4</v>
      </c>
      <c r="S36" s="31">
        <v>0.13</v>
      </c>
      <c r="T36" s="65">
        <v>26</v>
      </c>
      <c r="U36" s="31">
        <v>6</v>
      </c>
      <c r="V36" s="31"/>
      <c r="W36" s="31">
        <v>6</v>
      </c>
      <c r="X36" s="31">
        <v>66.666666666666671</v>
      </c>
      <c r="Y36" s="18">
        <v>28</v>
      </c>
      <c r="Z36" s="18" t="s">
        <v>330</v>
      </c>
      <c r="AA36" s="18" t="s">
        <v>118</v>
      </c>
      <c r="AB36" s="18" t="s">
        <v>337</v>
      </c>
      <c r="AC36" s="18">
        <v>5</v>
      </c>
      <c r="AD36" s="18">
        <v>100</v>
      </c>
      <c r="AE36" s="18" t="s">
        <v>29</v>
      </c>
      <c r="AF36" s="18" t="s">
        <v>196</v>
      </c>
      <c r="AG36" s="18" t="s">
        <v>196</v>
      </c>
      <c r="AH36" s="18">
        <v>8.6999999999999993</v>
      </c>
      <c r="AI36" s="18" t="s">
        <v>29</v>
      </c>
      <c r="AJ36" s="18" t="s">
        <v>66</v>
      </c>
      <c r="AK36" s="18" t="s">
        <v>79</v>
      </c>
      <c r="AL36" s="18" t="s">
        <v>96</v>
      </c>
      <c r="AM36" s="18" t="s">
        <v>109</v>
      </c>
      <c r="AN36" s="18" t="s">
        <v>120</v>
      </c>
      <c r="AO36" s="18" t="s">
        <v>198</v>
      </c>
      <c r="AP36" s="18" t="s">
        <v>255</v>
      </c>
      <c r="AQ36" s="18"/>
      <c r="AR36" s="18">
        <v>1</v>
      </c>
      <c r="AS36" s="18">
        <v>1</v>
      </c>
      <c r="AT36" s="18">
        <v>1</v>
      </c>
      <c r="AU36" s="18">
        <v>1</v>
      </c>
      <c r="AV36" s="18">
        <v>2</v>
      </c>
      <c r="AW36" s="18">
        <v>6</v>
      </c>
      <c r="AX36" s="49">
        <v>6</v>
      </c>
      <c r="AY36" s="49">
        <f>VLOOKUP(AI36,Leyenda!$B$4:$E$10,4,FALSE)</f>
        <v>2</v>
      </c>
      <c r="AZ36" s="50">
        <v>6</v>
      </c>
      <c r="BA36" s="49">
        <v>6</v>
      </c>
      <c r="BB36" s="49">
        <v>15</v>
      </c>
      <c r="BC36" s="67">
        <v>22</v>
      </c>
      <c r="BD36" s="67">
        <f>VLOOKUP(AI36,Leyenda!$B$4:$E$10,4,FALSE)</f>
        <v>2</v>
      </c>
      <c r="BE36" s="67">
        <v>6</v>
      </c>
      <c r="BF36" s="67">
        <v>6</v>
      </c>
      <c r="BG36" s="67">
        <v>1</v>
      </c>
      <c r="BH36" s="67">
        <v>1</v>
      </c>
      <c r="BI36" s="67">
        <v>2</v>
      </c>
      <c r="BJ36" s="67">
        <v>1</v>
      </c>
      <c r="BK36" s="67">
        <v>1</v>
      </c>
      <c r="BL36" s="67">
        <v>10</v>
      </c>
      <c r="BM36" s="67">
        <f t="shared" si="0"/>
        <v>30</v>
      </c>
      <c r="BN36" s="18">
        <f t="shared" si="1"/>
        <v>35</v>
      </c>
      <c r="BO36" s="18"/>
      <c r="BP36" s="18"/>
    </row>
    <row r="37" spans="1:74" x14ac:dyDescent="0.25">
      <c r="A37" s="18" t="s">
        <v>6</v>
      </c>
      <c r="B37" s="18">
        <v>2024</v>
      </c>
      <c r="C37" s="18" t="s">
        <v>138</v>
      </c>
      <c r="D37" s="18" t="s">
        <v>130</v>
      </c>
      <c r="E37" s="18">
        <v>30</v>
      </c>
      <c r="F37" s="18">
        <v>20</v>
      </c>
      <c r="G37" s="18" t="s">
        <v>152</v>
      </c>
      <c r="H37" s="18" t="s">
        <v>156</v>
      </c>
      <c r="I37" s="18" t="s">
        <v>159</v>
      </c>
      <c r="J37" s="4">
        <v>15</v>
      </c>
      <c r="K37" s="4">
        <v>15.5</v>
      </c>
      <c r="L37" s="4">
        <v>0.5</v>
      </c>
      <c r="M37" s="5">
        <v>1</v>
      </c>
      <c r="N37" s="31">
        <v>0.5</v>
      </c>
      <c r="O37" s="31">
        <v>0.5</v>
      </c>
      <c r="P37" s="31">
        <v>25</v>
      </c>
      <c r="Q37" s="31">
        <v>20</v>
      </c>
      <c r="R37" s="31">
        <v>0.5</v>
      </c>
      <c r="S37" s="31">
        <v>0.1</v>
      </c>
      <c r="T37" s="65">
        <v>20</v>
      </c>
      <c r="U37" s="31">
        <v>6</v>
      </c>
      <c r="V37" s="31"/>
      <c r="W37" s="31">
        <v>6</v>
      </c>
      <c r="X37" s="31">
        <v>83.333333333333329</v>
      </c>
      <c r="Y37" s="18">
        <v>0</v>
      </c>
      <c r="Z37" s="18" t="s">
        <v>330</v>
      </c>
      <c r="AA37" s="18" t="s">
        <v>333</v>
      </c>
      <c r="AB37" s="18" t="s">
        <v>337</v>
      </c>
      <c r="AC37" s="18">
        <v>20</v>
      </c>
      <c r="AD37" s="18">
        <v>25</v>
      </c>
      <c r="AE37" s="18" t="s">
        <v>29</v>
      </c>
      <c r="AF37" s="18" t="s">
        <v>196</v>
      </c>
      <c r="AG37" s="18" t="s">
        <v>196</v>
      </c>
      <c r="AH37" s="18">
        <v>8.6999999999999993</v>
      </c>
      <c r="AI37" s="18" t="s">
        <v>29</v>
      </c>
      <c r="AJ37" s="18" t="s">
        <v>66</v>
      </c>
      <c r="AK37" s="18" t="s">
        <v>79</v>
      </c>
      <c r="AL37" s="18" t="s">
        <v>96</v>
      </c>
      <c r="AM37" s="18" t="s">
        <v>109</v>
      </c>
      <c r="AN37" s="18" t="s">
        <v>120</v>
      </c>
      <c r="AO37" s="18" t="s">
        <v>198</v>
      </c>
      <c r="AP37" s="36" t="s">
        <v>252</v>
      </c>
      <c r="AQ37" s="36"/>
      <c r="AR37" s="18">
        <v>1</v>
      </c>
      <c r="AS37" s="36">
        <v>1</v>
      </c>
      <c r="AT37" s="36">
        <v>1</v>
      </c>
      <c r="AU37" s="36">
        <v>1</v>
      </c>
      <c r="AV37" s="36">
        <v>2</v>
      </c>
      <c r="AW37" s="36">
        <v>6</v>
      </c>
      <c r="AX37" s="49">
        <v>4</v>
      </c>
      <c r="AY37" s="49">
        <f>VLOOKUP(AI37,Leyenda!$B$4:$E$10,4,FALSE)</f>
        <v>2</v>
      </c>
      <c r="AZ37" s="50">
        <v>7</v>
      </c>
      <c r="BA37" s="49">
        <v>6</v>
      </c>
      <c r="BB37" s="49">
        <v>15</v>
      </c>
      <c r="BC37" s="67">
        <v>19</v>
      </c>
      <c r="BD37" s="67">
        <f>VLOOKUP(AI37,Leyenda!$B$4:$E$10,4,FALSE)</f>
        <v>2</v>
      </c>
      <c r="BE37" s="67">
        <v>7</v>
      </c>
      <c r="BF37" s="67">
        <v>4</v>
      </c>
      <c r="BG37" s="67">
        <v>1</v>
      </c>
      <c r="BH37" s="67">
        <v>1</v>
      </c>
      <c r="BI37" s="67">
        <v>2</v>
      </c>
      <c r="BJ37" s="67">
        <v>1</v>
      </c>
      <c r="BK37" s="67">
        <v>1</v>
      </c>
      <c r="BL37" s="67">
        <v>10</v>
      </c>
      <c r="BM37" s="67">
        <f t="shared" si="0"/>
        <v>29</v>
      </c>
      <c r="BN37" s="18">
        <f t="shared" si="1"/>
        <v>34</v>
      </c>
      <c r="BO37" s="18"/>
      <c r="BP37" s="18"/>
    </row>
    <row r="38" spans="1:74" x14ac:dyDescent="0.25">
      <c r="A38" s="18" t="s">
        <v>6</v>
      </c>
      <c r="B38" s="18">
        <v>2024</v>
      </c>
      <c r="C38" s="18" t="s">
        <v>138</v>
      </c>
      <c r="D38" s="18" t="s">
        <v>130</v>
      </c>
      <c r="E38" s="18">
        <v>30</v>
      </c>
      <c r="F38" s="18">
        <v>20</v>
      </c>
      <c r="G38" s="18" t="s">
        <v>152</v>
      </c>
      <c r="H38" s="18" t="s">
        <v>156</v>
      </c>
      <c r="I38" s="18" t="s">
        <v>159</v>
      </c>
      <c r="J38" s="4">
        <v>15.5</v>
      </c>
      <c r="K38" s="4">
        <v>16</v>
      </c>
      <c r="L38" s="4">
        <v>0.5</v>
      </c>
      <c r="M38" s="5">
        <v>1</v>
      </c>
      <c r="N38" s="31">
        <v>0.5</v>
      </c>
      <c r="O38" s="31">
        <v>0.5</v>
      </c>
      <c r="P38" s="31">
        <v>25</v>
      </c>
      <c r="Q38" s="31">
        <v>20</v>
      </c>
      <c r="R38" s="31">
        <v>0.37</v>
      </c>
      <c r="S38" s="31">
        <v>0</v>
      </c>
      <c r="T38" s="65">
        <v>0</v>
      </c>
      <c r="U38" s="31">
        <v>8</v>
      </c>
      <c r="V38" s="31"/>
      <c r="W38" s="31">
        <v>8</v>
      </c>
      <c r="X38" s="31">
        <v>46.25</v>
      </c>
      <c r="Y38" s="18">
        <v>0</v>
      </c>
      <c r="Z38" s="18" t="s">
        <v>330</v>
      </c>
      <c r="AA38" s="18" t="s">
        <v>333</v>
      </c>
      <c r="AB38" s="18" t="s">
        <v>337</v>
      </c>
      <c r="AC38" s="18">
        <v>20</v>
      </c>
      <c r="AD38" s="18">
        <v>25</v>
      </c>
      <c r="AE38" s="18" t="s">
        <v>29</v>
      </c>
      <c r="AF38" s="18" t="s">
        <v>196</v>
      </c>
      <c r="AG38" s="18" t="s">
        <v>196</v>
      </c>
      <c r="AH38" s="18">
        <v>8.6999999999999993</v>
      </c>
      <c r="AI38" s="18" t="s">
        <v>29</v>
      </c>
      <c r="AJ38" s="18" t="s">
        <v>66</v>
      </c>
      <c r="AK38" s="18" t="s">
        <v>79</v>
      </c>
      <c r="AL38" s="18" t="s">
        <v>96</v>
      </c>
      <c r="AM38" s="18" t="s">
        <v>107</v>
      </c>
      <c r="AN38" s="18" t="s">
        <v>120</v>
      </c>
      <c r="AO38" s="18" t="s">
        <v>198</v>
      </c>
      <c r="AP38" s="18" t="s">
        <v>252</v>
      </c>
      <c r="AQ38" s="18"/>
      <c r="AR38" s="18">
        <v>1</v>
      </c>
      <c r="AS38" s="18">
        <v>1</v>
      </c>
      <c r="AT38" s="18">
        <v>1</v>
      </c>
      <c r="AU38" s="18">
        <v>3</v>
      </c>
      <c r="AV38" s="18">
        <v>2</v>
      </c>
      <c r="AW38" s="18">
        <v>8</v>
      </c>
      <c r="AX38" s="49">
        <v>0</v>
      </c>
      <c r="AY38" s="49">
        <f>VLOOKUP(AI38,Leyenda!$B$4:$E$10,4,FALSE)</f>
        <v>2</v>
      </c>
      <c r="AZ38" s="50">
        <v>6</v>
      </c>
      <c r="BA38" s="49">
        <v>8</v>
      </c>
      <c r="BB38" s="49">
        <v>15</v>
      </c>
      <c r="BC38" s="67">
        <v>12</v>
      </c>
      <c r="BD38" s="67">
        <f>VLOOKUP(AI38,Leyenda!$B$4:$E$10,4,FALSE)</f>
        <v>2</v>
      </c>
      <c r="BE38" s="67">
        <v>5</v>
      </c>
      <c r="BF38" s="67">
        <v>0</v>
      </c>
      <c r="BG38" s="67">
        <v>1</v>
      </c>
      <c r="BH38" s="67">
        <v>3</v>
      </c>
      <c r="BI38" s="67">
        <v>2</v>
      </c>
      <c r="BJ38" s="67">
        <v>1</v>
      </c>
      <c r="BK38" s="67">
        <v>1</v>
      </c>
      <c r="BL38" s="67">
        <v>10</v>
      </c>
      <c r="BM38" s="67">
        <f t="shared" si="0"/>
        <v>25</v>
      </c>
      <c r="BN38" s="18">
        <f t="shared" si="1"/>
        <v>31</v>
      </c>
      <c r="BO38" s="18"/>
      <c r="BP38" s="18"/>
    </row>
    <row r="39" spans="1:74" ht="15.75" thickBot="1" x14ac:dyDescent="0.3">
      <c r="A39" s="18" t="s">
        <v>6</v>
      </c>
      <c r="B39" s="18">
        <v>2024</v>
      </c>
      <c r="C39" s="18" t="s">
        <v>138</v>
      </c>
      <c r="D39" s="18" t="s">
        <v>130</v>
      </c>
      <c r="E39" s="18">
        <v>30</v>
      </c>
      <c r="F39" s="18">
        <v>20</v>
      </c>
      <c r="G39" s="18" t="s">
        <v>152</v>
      </c>
      <c r="H39" s="18" t="s">
        <v>156</v>
      </c>
      <c r="I39" s="18" t="s">
        <v>159</v>
      </c>
      <c r="J39" s="4">
        <v>16</v>
      </c>
      <c r="K39" s="4">
        <v>16.5</v>
      </c>
      <c r="L39" s="4">
        <v>0.5</v>
      </c>
      <c r="M39" s="5">
        <v>1</v>
      </c>
      <c r="N39" s="31">
        <v>0.5</v>
      </c>
      <c r="O39" s="31">
        <v>0.5</v>
      </c>
      <c r="P39" s="31">
        <v>25</v>
      </c>
      <c r="Q39" s="31">
        <v>20</v>
      </c>
      <c r="R39" s="31">
        <v>0.38</v>
      </c>
      <c r="S39" s="31">
        <v>0</v>
      </c>
      <c r="T39" s="65">
        <v>0</v>
      </c>
      <c r="U39" s="31">
        <v>7</v>
      </c>
      <c r="V39" s="31"/>
      <c r="W39" s="31">
        <v>7</v>
      </c>
      <c r="X39" s="31">
        <v>54.285714285714285</v>
      </c>
      <c r="Y39" s="18">
        <v>0</v>
      </c>
      <c r="Z39" s="18" t="s">
        <v>330</v>
      </c>
      <c r="AA39" s="18" t="s">
        <v>333</v>
      </c>
      <c r="AB39" s="18" t="s">
        <v>337</v>
      </c>
      <c r="AC39" s="18">
        <v>20</v>
      </c>
      <c r="AD39" s="18">
        <v>25</v>
      </c>
      <c r="AE39" s="18" t="s">
        <v>29</v>
      </c>
      <c r="AF39" s="18" t="s">
        <v>196</v>
      </c>
      <c r="AG39" s="18" t="s">
        <v>196</v>
      </c>
      <c r="AH39" s="18">
        <v>8.6999999999999993</v>
      </c>
      <c r="AI39" s="18" t="s">
        <v>29</v>
      </c>
      <c r="AJ39" s="18" t="s">
        <v>66</v>
      </c>
      <c r="AK39" s="18" t="s">
        <v>79</v>
      </c>
      <c r="AL39" s="18" t="s">
        <v>96</v>
      </c>
      <c r="AM39" s="18" t="s">
        <v>107</v>
      </c>
      <c r="AN39" s="18" t="s">
        <v>120</v>
      </c>
      <c r="AO39" s="18" t="s">
        <v>198</v>
      </c>
      <c r="AP39" s="18"/>
      <c r="AQ39" s="18"/>
      <c r="AR39" s="18">
        <v>1</v>
      </c>
      <c r="AS39" s="18">
        <v>1</v>
      </c>
      <c r="AT39" s="18">
        <v>1</v>
      </c>
      <c r="AU39" s="18">
        <v>3</v>
      </c>
      <c r="AV39" s="18">
        <v>2</v>
      </c>
      <c r="AW39" s="18">
        <v>8</v>
      </c>
      <c r="AX39" s="49">
        <v>0</v>
      </c>
      <c r="AY39" s="49">
        <f>VLOOKUP(AI39,Leyenda!$B$4:$E$10,4,FALSE)</f>
        <v>2</v>
      </c>
      <c r="AZ39" s="50">
        <v>6</v>
      </c>
      <c r="BA39" s="49">
        <v>8</v>
      </c>
      <c r="BB39" s="49">
        <v>15</v>
      </c>
      <c r="BC39" s="67">
        <v>12</v>
      </c>
      <c r="BD39" s="67">
        <f>VLOOKUP(AI39,Leyenda!$B$4:$E$10,4,FALSE)</f>
        <v>2</v>
      </c>
      <c r="BE39" s="67">
        <v>4</v>
      </c>
      <c r="BF39" s="67">
        <v>0</v>
      </c>
      <c r="BG39" s="67">
        <v>1</v>
      </c>
      <c r="BH39" s="67">
        <v>3</v>
      </c>
      <c r="BI39" s="67">
        <v>2</v>
      </c>
      <c r="BJ39" s="67">
        <v>1</v>
      </c>
      <c r="BK39" s="67">
        <v>1</v>
      </c>
      <c r="BL39" s="67">
        <v>10</v>
      </c>
      <c r="BM39" s="67">
        <f t="shared" si="0"/>
        <v>24</v>
      </c>
      <c r="BN39" s="18">
        <f t="shared" si="1"/>
        <v>31</v>
      </c>
      <c r="BO39" s="18"/>
      <c r="BP39" s="18"/>
      <c r="BS39" s="167"/>
      <c r="BT39" s="167"/>
      <c r="BU39" s="167"/>
      <c r="BV39" s="167"/>
    </row>
    <row r="40" spans="1:74" x14ac:dyDescent="0.25">
      <c r="A40" s="18" t="s">
        <v>6</v>
      </c>
      <c r="B40" s="18">
        <v>2024</v>
      </c>
      <c r="C40" s="18" t="s">
        <v>138</v>
      </c>
      <c r="D40" s="18" t="s">
        <v>130</v>
      </c>
      <c r="E40" s="18">
        <v>30</v>
      </c>
      <c r="F40" s="18">
        <v>20</v>
      </c>
      <c r="G40" s="18" t="s">
        <v>152</v>
      </c>
      <c r="H40" s="18" t="s">
        <v>156</v>
      </c>
      <c r="I40" s="18" t="s">
        <v>159</v>
      </c>
      <c r="J40" s="4">
        <v>16.5</v>
      </c>
      <c r="K40" s="4">
        <v>17</v>
      </c>
      <c r="L40" s="4">
        <v>0.5</v>
      </c>
      <c r="M40" s="5">
        <v>1</v>
      </c>
      <c r="N40" s="31">
        <v>0.5</v>
      </c>
      <c r="O40" s="31">
        <v>0.5</v>
      </c>
      <c r="P40" s="31">
        <v>100</v>
      </c>
      <c r="Q40" s="31">
        <v>5</v>
      </c>
      <c r="R40" s="31">
        <v>0.46</v>
      </c>
      <c r="S40" s="31">
        <v>0.24</v>
      </c>
      <c r="T40" s="65">
        <v>48</v>
      </c>
      <c r="U40" s="31">
        <v>4</v>
      </c>
      <c r="V40" s="31"/>
      <c r="W40" s="31">
        <v>4</v>
      </c>
      <c r="X40" s="31">
        <v>115</v>
      </c>
      <c r="Y40" s="18">
        <v>54</v>
      </c>
      <c r="Z40" s="18" t="s">
        <v>330</v>
      </c>
      <c r="AA40" s="18" t="s">
        <v>118</v>
      </c>
      <c r="AB40" s="18" t="s">
        <v>337</v>
      </c>
      <c r="AC40" s="18">
        <v>5</v>
      </c>
      <c r="AD40" s="18">
        <v>100</v>
      </c>
      <c r="AE40" s="18" t="s">
        <v>29</v>
      </c>
      <c r="AF40" s="18" t="s">
        <v>196</v>
      </c>
      <c r="AG40" s="18" t="s">
        <v>196</v>
      </c>
      <c r="AH40" s="18">
        <v>8.6999999999999993</v>
      </c>
      <c r="AI40" s="18" t="s">
        <v>29</v>
      </c>
      <c r="AJ40" s="18" t="s">
        <v>66</v>
      </c>
      <c r="AK40" s="18" t="s">
        <v>79</v>
      </c>
      <c r="AL40" s="18" t="s">
        <v>96</v>
      </c>
      <c r="AM40" s="18" t="s">
        <v>109</v>
      </c>
      <c r="AN40" s="18" t="s">
        <v>120</v>
      </c>
      <c r="AO40" s="18" t="s">
        <v>198</v>
      </c>
      <c r="AP40" s="18" t="s">
        <v>253</v>
      </c>
      <c r="AQ40" s="18"/>
      <c r="AR40" s="18">
        <v>1</v>
      </c>
      <c r="AS40" s="18">
        <v>1</v>
      </c>
      <c r="AT40" s="18">
        <v>1</v>
      </c>
      <c r="AU40" s="18">
        <v>1</v>
      </c>
      <c r="AV40" s="18">
        <v>2</v>
      </c>
      <c r="AW40" s="18">
        <v>6</v>
      </c>
      <c r="AX40" s="49">
        <v>10</v>
      </c>
      <c r="AY40" s="49">
        <f>VLOOKUP(AI40,Leyenda!$B$4:$E$10,4,FALSE)</f>
        <v>2</v>
      </c>
      <c r="AZ40" s="50">
        <v>8</v>
      </c>
      <c r="BA40" s="49">
        <v>6</v>
      </c>
      <c r="BB40" s="49">
        <v>15</v>
      </c>
      <c r="BC40" s="67">
        <v>33</v>
      </c>
      <c r="BD40" s="67">
        <f>VLOOKUP(AI40,Leyenda!$B$4:$E$10,4,FALSE)</f>
        <v>2</v>
      </c>
      <c r="BE40" s="67">
        <v>9</v>
      </c>
      <c r="BF40" s="67">
        <v>10</v>
      </c>
      <c r="BG40" s="67">
        <v>1</v>
      </c>
      <c r="BH40" s="67">
        <v>1</v>
      </c>
      <c r="BI40" s="67">
        <v>2</v>
      </c>
      <c r="BJ40" s="67">
        <v>1</v>
      </c>
      <c r="BK40" s="67">
        <v>1</v>
      </c>
      <c r="BL40" s="67">
        <v>10</v>
      </c>
      <c r="BM40" s="67">
        <f t="shared" si="0"/>
        <v>37</v>
      </c>
      <c r="BN40" s="18">
        <f t="shared" si="1"/>
        <v>41</v>
      </c>
      <c r="BO40" s="18"/>
      <c r="BP40" s="18"/>
      <c r="BS40" s="167"/>
      <c r="BT40" s="181" t="s">
        <v>194</v>
      </c>
      <c r="BU40" s="181"/>
      <c r="BV40" s="167"/>
    </row>
    <row r="41" spans="1:74" x14ac:dyDescent="0.25">
      <c r="A41" s="18" t="s">
        <v>6</v>
      </c>
      <c r="B41" s="18">
        <v>2024</v>
      </c>
      <c r="C41" s="18" t="s">
        <v>138</v>
      </c>
      <c r="D41" s="18" t="s">
        <v>130</v>
      </c>
      <c r="E41" s="18">
        <v>30</v>
      </c>
      <c r="F41" s="18">
        <v>20</v>
      </c>
      <c r="G41" s="18" t="s">
        <v>152</v>
      </c>
      <c r="H41" s="18" t="s">
        <v>156</v>
      </c>
      <c r="I41" s="18" t="s">
        <v>159</v>
      </c>
      <c r="J41" s="4">
        <v>17</v>
      </c>
      <c r="K41" s="4">
        <v>17.5</v>
      </c>
      <c r="L41" s="4">
        <v>0.5</v>
      </c>
      <c r="M41" s="5">
        <v>1</v>
      </c>
      <c r="N41" s="31">
        <v>0.5</v>
      </c>
      <c r="O41" s="31">
        <v>0.5</v>
      </c>
      <c r="P41" s="31">
        <v>25</v>
      </c>
      <c r="Q41" s="31">
        <v>20</v>
      </c>
      <c r="R41" s="31">
        <v>0.37</v>
      </c>
      <c r="S41" s="31">
        <v>0</v>
      </c>
      <c r="T41" s="65">
        <v>0</v>
      </c>
      <c r="U41" s="31">
        <v>6</v>
      </c>
      <c r="V41" s="31"/>
      <c r="W41" s="31">
        <v>6</v>
      </c>
      <c r="X41" s="31">
        <v>61.666666666666664</v>
      </c>
      <c r="Y41" s="18">
        <v>0</v>
      </c>
      <c r="Z41" s="18" t="s">
        <v>330</v>
      </c>
      <c r="AA41" s="18" t="s">
        <v>333</v>
      </c>
      <c r="AB41" s="18" t="s">
        <v>337</v>
      </c>
      <c r="AC41" s="18">
        <v>20</v>
      </c>
      <c r="AD41" s="18">
        <v>25</v>
      </c>
      <c r="AE41" s="18" t="s">
        <v>29</v>
      </c>
      <c r="AF41" s="18" t="s">
        <v>196</v>
      </c>
      <c r="AG41" s="18" t="s">
        <v>196</v>
      </c>
      <c r="AH41" s="18">
        <v>8.6999999999999993</v>
      </c>
      <c r="AI41" s="18" t="s">
        <v>29</v>
      </c>
      <c r="AJ41" s="18" t="s">
        <v>66</v>
      </c>
      <c r="AK41" s="18" t="s">
        <v>79</v>
      </c>
      <c r="AL41" s="18" t="s">
        <v>96</v>
      </c>
      <c r="AM41" s="18" t="s">
        <v>109</v>
      </c>
      <c r="AN41" s="18" t="s">
        <v>120</v>
      </c>
      <c r="AO41" s="18" t="s">
        <v>198</v>
      </c>
      <c r="AP41" s="18" t="s">
        <v>254</v>
      </c>
      <c r="AQ41" s="18"/>
      <c r="AR41" s="18">
        <v>1</v>
      </c>
      <c r="AS41" s="18">
        <v>1</v>
      </c>
      <c r="AT41" s="18">
        <v>1</v>
      </c>
      <c r="AU41" s="18">
        <v>1</v>
      </c>
      <c r="AV41" s="18">
        <v>2</v>
      </c>
      <c r="AW41" s="18">
        <v>6</v>
      </c>
      <c r="AX41" s="49">
        <v>0</v>
      </c>
      <c r="AY41" s="49">
        <f>VLOOKUP(AI41,Leyenda!$B$4:$E$10,4,FALSE)</f>
        <v>2</v>
      </c>
      <c r="AZ41" s="50">
        <v>6</v>
      </c>
      <c r="BA41" s="49">
        <v>6</v>
      </c>
      <c r="BB41" s="49">
        <v>15</v>
      </c>
      <c r="BC41" s="67">
        <v>9</v>
      </c>
      <c r="BD41" s="67">
        <f>VLOOKUP(AI41,Leyenda!$B$4:$E$10,4,FALSE)</f>
        <v>2</v>
      </c>
      <c r="BE41" s="67">
        <v>5</v>
      </c>
      <c r="BF41" s="67">
        <v>0</v>
      </c>
      <c r="BG41" s="67">
        <v>1</v>
      </c>
      <c r="BH41" s="67">
        <v>1</v>
      </c>
      <c r="BI41" s="67">
        <v>2</v>
      </c>
      <c r="BJ41" s="67">
        <v>1</v>
      </c>
      <c r="BK41" s="67">
        <v>1</v>
      </c>
      <c r="BL41" s="67">
        <v>10</v>
      </c>
      <c r="BM41" s="67">
        <f t="shared" si="0"/>
        <v>23</v>
      </c>
      <c r="BN41" s="18">
        <f t="shared" si="1"/>
        <v>29</v>
      </c>
      <c r="BO41" s="18"/>
      <c r="BP41" s="18"/>
      <c r="BS41" s="167"/>
      <c r="BT41" s="167"/>
      <c r="BU41" s="167"/>
      <c r="BV41" s="167"/>
    </row>
    <row r="42" spans="1:74" x14ac:dyDescent="0.25">
      <c r="A42" s="18" t="s">
        <v>6</v>
      </c>
      <c r="B42" s="18">
        <v>2024</v>
      </c>
      <c r="C42" s="18" t="s">
        <v>138</v>
      </c>
      <c r="D42" s="18" t="s">
        <v>130</v>
      </c>
      <c r="E42" s="18">
        <v>30</v>
      </c>
      <c r="F42" s="18">
        <v>20</v>
      </c>
      <c r="G42" s="18" t="s">
        <v>152</v>
      </c>
      <c r="H42" s="18" t="s">
        <v>156</v>
      </c>
      <c r="I42" s="18" t="s">
        <v>159</v>
      </c>
      <c r="J42" s="4">
        <v>17.5</v>
      </c>
      <c r="K42" s="4">
        <v>18</v>
      </c>
      <c r="L42" s="4">
        <v>0.5</v>
      </c>
      <c r="M42" s="5">
        <v>1</v>
      </c>
      <c r="N42" s="31">
        <v>0.5</v>
      </c>
      <c r="O42" s="31">
        <v>0.5</v>
      </c>
      <c r="P42" s="31">
        <v>100</v>
      </c>
      <c r="Q42" s="31">
        <v>5</v>
      </c>
      <c r="R42" s="31">
        <v>0.46</v>
      </c>
      <c r="S42" s="31">
        <v>0.22</v>
      </c>
      <c r="T42" s="65">
        <v>44</v>
      </c>
      <c r="U42" s="31">
        <v>3</v>
      </c>
      <c r="V42" s="31"/>
      <c r="W42" s="31">
        <v>3</v>
      </c>
      <c r="X42" s="31">
        <v>153.33333333333334</v>
      </c>
      <c r="Y42" s="18">
        <v>52</v>
      </c>
      <c r="Z42" s="18" t="s">
        <v>330</v>
      </c>
      <c r="AA42" s="18" t="s">
        <v>118</v>
      </c>
      <c r="AB42" s="18" t="s">
        <v>337</v>
      </c>
      <c r="AC42" s="18">
        <v>5</v>
      </c>
      <c r="AD42" s="18">
        <v>100</v>
      </c>
      <c r="AE42" s="18" t="s">
        <v>29</v>
      </c>
      <c r="AF42" s="18" t="s">
        <v>196</v>
      </c>
      <c r="AG42" s="18" t="s">
        <v>196</v>
      </c>
      <c r="AH42" s="18">
        <v>8.6999999999999993</v>
      </c>
      <c r="AI42" s="18" t="s">
        <v>29</v>
      </c>
      <c r="AJ42" s="18" t="s">
        <v>66</v>
      </c>
      <c r="AK42" s="18" t="s">
        <v>79</v>
      </c>
      <c r="AL42" s="18" t="s">
        <v>96</v>
      </c>
      <c r="AM42" s="18" t="s">
        <v>109</v>
      </c>
      <c r="AN42" s="18" t="s">
        <v>120</v>
      </c>
      <c r="AO42" s="18" t="s">
        <v>198</v>
      </c>
      <c r="AP42" s="18" t="s">
        <v>254</v>
      </c>
      <c r="AQ42" s="18"/>
      <c r="AR42" s="18">
        <v>1</v>
      </c>
      <c r="AS42" s="18">
        <v>1</v>
      </c>
      <c r="AT42" s="18">
        <v>1</v>
      </c>
      <c r="AU42" s="18">
        <v>1</v>
      </c>
      <c r="AV42" s="18">
        <v>2</v>
      </c>
      <c r="AW42" s="18">
        <v>6</v>
      </c>
      <c r="AX42" s="49">
        <v>9</v>
      </c>
      <c r="AY42" s="49">
        <f>VLOOKUP(AI42,Leyenda!$B$4:$E$10,4,FALSE)</f>
        <v>2</v>
      </c>
      <c r="AZ42" s="50">
        <v>8</v>
      </c>
      <c r="BA42" s="49">
        <v>6</v>
      </c>
      <c r="BB42" s="49">
        <v>15</v>
      </c>
      <c r="BC42" s="67">
        <v>31</v>
      </c>
      <c r="BD42" s="67">
        <f>VLOOKUP(AI42,Leyenda!$B$4:$E$10,4,FALSE)</f>
        <v>2</v>
      </c>
      <c r="BE42" s="67">
        <v>11</v>
      </c>
      <c r="BF42" s="67">
        <v>9</v>
      </c>
      <c r="BG42" s="67">
        <v>1</v>
      </c>
      <c r="BH42" s="67">
        <v>1</v>
      </c>
      <c r="BI42" s="67">
        <v>2</v>
      </c>
      <c r="BJ42" s="67">
        <v>1</v>
      </c>
      <c r="BK42" s="67">
        <v>1</v>
      </c>
      <c r="BL42" s="67">
        <v>10</v>
      </c>
      <c r="BM42" s="67">
        <f t="shared" si="0"/>
        <v>38</v>
      </c>
      <c r="BN42" s="18">
        <f t="shared" si="1"/>
        <v>40</v>
      </c>
      <c r="BO42" s="18"/>
      <c r="BP42" s="18"/>
      <c r="BS42" s="167"/>
      <c r="BT42" s="167" t="s">
        <v>307</v>
      </c>
      <c r="BU42" s="167">
        <v>28.402985074626866</v>
      </c>
      <c r="BV42" s="167"/>
    </row>
    <row r="43" spans="1:74" x14ac:dyDescent="0.25">
      <c r="A43" s="18" t="s">
        <v>6</v>
      </c>
      <c r="B43" s="18">
        <v>2024</v>
      </c>
      <c r="C43" s="18" t="s">
        <v>138</v>
      </c>
      <c r="D43" s="18" t="s">
        <v>130</v>
      </c>
      <c r="E43" s="18">
        <v>30</v>
      </c>
      <c r="F43" s="18">
        <v>20</v>
      </c>
      <c r="G43" s="18" t="s">
        <v>152</v>
      </c>
      <c r="H43" s="18" t="s">
        <v>156</v>
      </c>
      <c r="I43" s="18" t="s">
        <v>159</v>
      </c>
      <c r="J43" s="4">
        <v>18</v>
      </c>
      <c r="K43" s="4">
        <v>18.5</v>
      </c>
      <c r="L43" s="4">
        <v>0.5</v>
      </c>
      <c r="M43" s="5">
        <v>1</v>
      </c>
      <c r="N43" s="31">
        <v>0.5</v>
      </c>
      <c r="O43" s="31">
        <v>0.5</v>
      </c>
      <c r="P43" s="31">
        <v>25</v>
      </c>
      <c r="Q43" s="31">
        <v>20</v>
      </c>
      <c r="R43" s="31">
        <v>0.4</v>
      </c>
      <c r="S43" s="31">
        <v>0</v>
      </c>
      <c r="T43" s="65">
        <v>0</v>
      </c>
      <c r="U43" s="31">
        <v>9</v>
      </c>
      <c r="V43" s="31"/>
      <c r="W43" s="31">
        <v>9</v>
      </c>
      <c r="X43" s="31">
        <v>44.444444444444443</v>
      </c>
      <c r="Y43" s="18">
        <v>0</v>
      </c>
      <c r="Z43" s="18" t="s">
        <v>330</v>
      </c>
      <c r="AA43" s="18" t="s">
        <v>333</v>
      </c>
      <c r="AB43" s="18" t="s">
        <v>337</v>
      </c>
      <c r="AC43" s="18">
        <v>20</v>
      </c>
      <c r="AD43" s="18">
        <v>25</v>
      </c>
      <c r="AE43" s="18" t="s">
        <v>29</v>
      </c>
      <c r="AF43" s="18" t="s">
        <v>196</v>
      </c>
      <c r="AG43" s="18" t="s">
        <v>196</v>
      </c>
      <c r="AH43" s="18">
        <v>8.6999999999999993</v>
      </c>
      <c r="AI43" s="18" t="s">
        <v>29</v>
      </c>
      <c r="AJ43" s="18" t="s">
        <v>69</v>
      </c>
      <c r="AK43" s="18" t="s">
        <v>79</v>
      </c>
      <c r="AL43" s="18" t="s">
        <v>96</v>
      </c>
      <c r="AM43" s="18" t="s">
        <v>109</v>
      </c>
      <c r="AN43" s="18" t="s">
        <v>120</v>
      </c>
      <c r="AO43" s="18" t="s">
        <v>198</v>
      </c>
      <c r="AP43" s="18"/>
      <c r="AQ43" s="18"/>
      <c r="AR43" s="18">
        <v>0</v>
      </c>
      <c r="AS43" s="18">
        <v>1</v>
      </c>
      <c r="AT43" s="18">
        <v>1</v>
      </c>
      <c r="AU43" s="18">
        <v>1</v>
      </c>
      <c r="AV43" s="18">
        <v>2</v>
      </c>
      <c r="AW43" s="18">
        <v>5</v>
      </c>
      <c r="AX43" s="49">
        <v>0</v>
      </c>
      <c r="AY43" s="49">
        <f>VLOOKUP(AI43,Leyenda!$B$4:$E$10,4,FALSE)</f>
        <v>2</v>
      </c>
      <c r="AZ43" s="50">
        <v>6</v>
      </c>
      <c r="BA43" s="49">
        <v>5</v>
      </c>
      <c r="BB43" s="49">
        <v>15</v>
      </c>
      <c r="BC43" s="67">
        <v>7.5</v>
      </c>
      <c r="BD43" s="67">
        <f>VLOOKUP(AI43,Leyenda!$B$4:$E$10,4,FALSE)</f>
        <v>2</v>
      </c>
      <c r="BE43" s="67">
        <v>5</v>
      </c>
      <c r="BF43" s="67">
        <v>0</v>
      </c>
      <c r="BG43" s="67">
        <v>1</v>
      </c>
      <c r="BH43" s="67">
        <v>1</v>
      </c>
      <c r="BI43" s="67">
        <v>2</v>
      </c>
      <c r="BJ43" s="67">
        <v>1</v>
      </c>
      <c r="BK43" s="67">
        <v>0</v>
      </c>
      <c r="BL43" s="67">
        <v>10</v>
      </c>
      <c r="BM43" s="67">
        <f t="shared" si="0"/>
        <v>22</v>
      </c>
      <c r="BN43" s="18">
        <f t="shared" si="1"/>
        <v>28</v>
      </c>
      <c r="BO43" s="18"/>
      <c r="BP43" s="18"/>
      <c r="BS43" s="167"/>
      <c r="BT43" s="167" t="s">
        <v>308</v>
      </c>
      <c r="BU43" s="167">
        <v>0.8375676326991961</v>
      </c>
      <c r="BV43" s="167"/>
    </row>
    <row r="44" spans="1:74" x14ac:dyDescent="0.25">
      <c r="A44" s="18" t="s">
        <v>6</v>
      </c>
      <c r="B44" s="18">
        <v>2024</v>
      </c>
      <c r="C44" s="18" t="s">
        <v>138</v>
      </c>
      <c r="D44" s="18" t="s">
        <v>130</v>
      </c>
      <c r="E44" s="18">
        <v>30</v>
      </c>
      <c r="F44" s="18">
        <v>20</v>
      </c>
      <c r="G44" s="18" t="s">
        <v>152</v>
      </c>
      <c r="H44" s="18" t="s">
        <v>156</v>
      </c>
      <c r="I44" s="18" t="s">
        <v>159</v>
      </c>
      <c r="J44" s="4">
        <v>18.5</v>
      </c>
      <c r="K44" s="4">
        <v>19</v>
      </c>
      <c r="L44" s="4">
        <v>0.5</v>
      </c>
      <c r="M44" s="5">
        <v>1</v>
      </c>
      <c r="N44" s="31">
        <v>0.5</v>
      </c>
      <c r="O44" s="31">
        <v>0.5</v>
      </c>
      <c r="P44" s="31">
        <v>25</v>
      </c>
      <c r="Q44" s="31">
        <v>20</v>
      </c>
      <c r="R44" s="31">
        <v>0.48</v>
      </c>
      <c r="S44" s="31">
        <v>0.15</v>
      </c>
      <c r="T44" s="65">
        <v>30</v>
      </c>
      <c r="U44" s="31">
        <v>8</v>
      </c>
      <c r="V44" s="31"/>
      <c r="W44" s="31">
        <v>8</v>
      </c>
      <c r="X44" s="31">
        <v>60</v>
      </c>
      <c r="Y44" s="18">
        <v>0</v>
      </c>
      <c r="Z44" s="18" t="s">
        <v>330</v>
      </c>
      <c r="AA44" s="18" t="s">
        <v>333</v>
      </c>
      <c r="AB44" s="18" t="s">
        <v>337</v>
      </c>
      <c r="AC44" s="18">
        <v>20</v>
      </c>
      <c r="AD44" s="18">
        <v>25</v>
      </c>
      <c r="AE44" s="18" t="s">
        <v>29</v>
      </c>
      <c r="AF44" s="18" t="s">
        <v>199</v>
      </c>
      <c r="AG44" s="18" t="s">
        <v>199</v>
      </c>
      <c r="AH44" s="18">
        <v>8.6999999999999993</v>
      </c>
      <c r="AI44" s="18" t="s">
        <v>29</v>
      </c>
      <c r="AJ44" s="18" t="s">
        <v>66</v>
      </c>
      <c r="AK44" s="18" t="s">
        <v>79</v>
      </c>
      <c r="AL44" s="18" t="s">
        <v>96</v>
      </c>
      <c r="AM44" s="18" t="s">
        <v>107</v>
      </c>
      <c r="AN44" s="18" t="s">
        <v>120</v>
      </c>
      <c r="AO44" s="18" t="s">
        <v>198</v>
      </c>
      <c r="AP44" s="18" t="s">
        <v>256</v>
      </c>
      <c r="AQ44" s="18"/>
      <c r="AR44" s="18">
        <v>1</v>
      </c>
      <c r="AS44" s="18">
        <v>1</v>
      </c>
      <c r="AT44" s="18">
        <v>1</v>
      </c>
      <c r="AU44" s="18">
        <v>3</v>
      </c>
      <c r="AV44" s="18">
        <v>2</v>
      </c>
      <c r="AW44" s="18">
        <v>8</v>
      </c>
      <c r="AX44" s="49">
        <v>6</v>
      </c>
      <c r="AY44" s="49">
        <f>VLOOKUP(AI44,Leyenda!$B$4:$E$10,4,FALSE)</f>
        <v>2</v>
      </c>
      <c r="AZ44" s="50">
        <v>6</v>
      </c>
      <c r="BA44" s="49">
        <v>8</v>
      </c>
      <c r="BB44" s="49">
        <v>15</v>
      </c>
      <c r="BC44" s="67">
        <v>27</v>
      </c>
      <c r="BD44" s="67">
        <f>VLOOKUP(AI44,Leyenda!$B$4:$E$10,4,FALSE)</f>
        <v>2</v>
      </c>
      <c r="BE44" s="67">
        <v>5</v>
      </c>
      <c r="BF44" s="67">
        <v>6</v>
      </c>
      <c r="BG44" s="67">
        <v>1</v>
      </c>
      <c r="BH44" s="67">
        <v>3</v>
      </c>
      <c r="BI44" s="67">
        <v>2</v>
      </c>
      <c r="BJ44" s="67">
        <v>1</v>
      </c>
      <c r="BK44" s="67">
        <v>1</v>
      </c>
      <c r="BL44" s="67">
        <v>10</v>
      </c>
      <c r="BM44" s="67">
        <f t="shared" si="0"/>
        <v>31</v>
      </c>
      <c r="BN44" s="18">
        <f t="shared" si="1"/>
        <v>37</v>
      </c>
      <c r="BO44" s="18"/>
      <c r="BP44" s="18"/>
      <c r="BS44" s="167"/>
      <c r="BT44" s="167" t="s">
        <v>309</v>
      </c>
      <c r="BU44" s="167">
        <v>25</v>
      </c>
      <c r="BV44" s="167"/>
    </row>
    <row r="45" spans="1:74" x14ac:dyDescent="0.25">
      <c r="A45" s="18" t="s">
        <v>6</v>
      </c>
      <c r="B45" s="18">
        <v>2024</v>
      </c>
      <c r="C45" s="18" t="s">
        <v>138</v>
      </c>
      <c r="D45" s="18" t="s">
        <v>130</v>
      </c>
      <c r="E45" s="18">
        <v>30</v>
      </c>
      <c r="F45" s="18">
        <v>20</v>
      </c>
      <c r="G45" s="18" t="s">
        <v>152</v>
      </c>
      <c r="H45" s="18" t="s">
        <v>156</v>
      </c>
      <c r="I45" s="18" t="s">
        <v>159</v>
      </c>
      <c r="J45" s="4">
        <v>19</v>
      </c>
      <c r="K45" s="4">
        <v>19.5</v>
      </c>
      <c r="L45" s="4">
        <v>0.5</v>
      </c>
      <c r="M45" s="5">
        <v>1</v>
      </c>
      <c r="N45" s="31">
        <v>0.5</v>
      </c>
      <c r="O45" s="31">
        <v>0.5</v>
      </c>
      <c r="P45" s="31">
        <v>25</v>
      </c>
      <c r="Q45" s="31">
        <v>20</v>
      </c>
      <c r="R45" s="31">
        <v>0.5</v>
      </c>
      <c r="S45" s="31">
        <v>0.13</v>
      </c>
      <c r="T45" s="65">
        <v>26</v>
      </c>
      <c r="U45" s="31">
        <v>6</v>
      </c>
      <c r="V45" s="31"/>
      <c r="W45" s="31">
        <v>6</v>
      </c>
      <c r="X45" s="31">
        <v>83.333333333333329</v>
      </c>
      <c r="Y45" s="18">
        <v>0</v>
      </c>
      <c r="Z45" s="18" t="s">
        <v>330</v>
      </c>
      <c r="AA45" s="18" t="s">
        <v>333</v>
      </c>
      <c r="AB45" s="18" t="s">
        <v>337</v>
      </c>
      <c r="AC45" s="18">
        <v>20</v>
      </c>
      <c r="AD45" s="18">
        <v>25</v>
      </c>
      <c r="AE45" s="18" t="s">
        <v>29</v>
      </c>
      <c r="AF45" s="18" t="s">
        <v>199</v>
      </c>
      <c r="AG45" s="18" t="s">
        <v>199</v>
      </c>
      <c r="AH45" s="18">
        <v>8.6999999999999993</v>
      </c>
      <c r="AI45" s="18" t="s">
        <v>29</v>
      </c>
      <c r="AJ45" s="18" t="s">
        <v>66</v>
      </c>
      <c r="AK45" s="18" t="s">
        <v>79</v>
      </c>
      <c r="AL45" s="18" t="s">
        <v>96</v>
      </c>
      <c r="AM45" s="18" t="s">
        <v>109</v>
      </c>
      <c r="AN45" s="18" t="s">
        <v>120</v>
      </c>
      <c r="AO45" s="18" t="s">
        <v>198</v>
      </c>
      <c r="AP45" s="18"/>
      <c r="AQ45" s="18"/>
      <c r="AR45" s="18">
        <v>1</v>
      </c>
      <c r="AS45" s="18">
        <v>1</v>
      </c>
      <c r="AT45" s="18">
        <v>1</v>
      </c>
      <c r="AU45" s="18">
        <v>1</v>
      </c>
      <c r="AV45" s="18">
        <v>2</v>
      </c>
      <c r="AW45" s="18">
        <v>6</v>
      </c>
      <c r="AX45" s="49">
        <v>6</v>
      </c>
      <c r="AY45" s="49">
        <f>VLOOKUP(AI45,Leyenda!$B$4:$E$10,4,FALSE)</f>
        <v>2</v>
      </c>
      <c r="AZ45" s="50">
        <v>7</v>
      </c>
      <c r="BA45" s="49">
        <v>6</v>
      </c>
      <c r="BB45" s="49">
        <v>15</v>
      </c>
      <c r="BC45" s="67">
        <v>22</v>
      </c>
      <c r="BD45" s="67">
        <f>VLOOKUP(AI45,Leyenda!$B$4:$E$10,4,FALSE)</f>
        <v>2</v>
      </c>
      <c r="BE45" s="67">
        <v>7</v>
      </c>
      <c r="BF45" s="67">
        <v>6</v>
      </c>
      <c r="BG45" s="67">
        <v>1</v>
      </c>
      <c r="BH45" s="67">
        <v>1</v>
      </c>
      <c r="BI45" s="67">
        <v>2</v>
      </c>
      <c r="BJ45" s="67">
        <v>1</v>
      </c>
      <c r="BK45" s="67">
        <v>1</v>
      </c>
      <c r="BL45" s="67">
        <v>10</v>
      </c>
      <c r="BM45" s="67">
        <f t="shared" si="0"/>
        <v>31</v>
      </c>
      <c r="BN45" s="18">
        <f t="shared" si="1"/>
        <v>36</v>
      </c>
      <c r="BO45" s="18"/>
      <c r="BP45" s="18"/>
      <c r="BS45" s="167"/>
      <c r="BT45" s="167" t="s">
        <v>310</v>
      </c>
      <c r="BU45" s="167">
        <v>25</v>
      </c>
      <c r="BV45" s="167"/>
    </row>
    <row r="46" spans="1:74" x14ac:dyDescent="0.25">
      <c r="A46" s="18" t="s">
        <v>6</v>
      </c>
      <c r="B46" s="18">
        <v>2024</v>
      </c>
      <c r="C46" s="18" t="s">
        <v>138</v>
      </c>
      <c r="D46" s="18" t="s">
        <v>130</v>
      </c>
      <c r="E46" s="18">
        <v>30</v>
      </c>
      <c r="F46" s="18">
        <v>20</v>
      </c>
      <c r="G46" s="18" t="s">
        <v>152</v>
      </c>
      <c r="H46" s="18" t="s">
        <v>156</v>
      </c>
      <c r="I46" s="18" t="s">
        <v>159</v>
      </c>
      <c r="J46" s="4">
        <v>19.5</v>
      </c>
      <c r="K46" s="4">
        <v>20</v>
      </c>
      <c r="L46" s="4">
        <v>0.5</v>
      </c>
      <c r="M46" s="5">
        <v>1</v>
      </c>
      <c r="N46" s="31">
        <v>0.5</v>
      </c>
      <c r="O46" s="31">
        <v>0.5</v>
      </c>
      <c r="P46" s="31">
        <v>25</v>
      </c>
      <c r="Q46" s="31">
        <v>20</v>
      </c>
      <c r="R46" s="31">
        <v>0.42000000000000004</v>
      </c>
      <c r="S46" s="31">
        <v>0</v>
      </c>
      <c r="T46" s="65">
        <v>0</v>
      </c>
      <c r="U46" s="31">
        <v>10</v>
      </c>
      <c r="V46" s="31"/>
      <c r="W46" s="31">
        <v>10</v>
      </c>
      <c r="X46" s="31">
        <v>42.000000000000007</v>
      </c>
      <c r="Y46" s="18">
        <v>0</v>
      </c>
      <c r="Z46" s="18" t="s">
        <v>330</v>
      </c>
      <c r="AA46" s="18" t="s">
        <v>333</v>
      </c>
      <c r="AB46" s="18" t="s">
        <v>337</v>
      </c>
      <c r="AC46" s="18">
        <v>20</v>
      </c>
      <c r="AD46" s="18">
        <v>25</v>
      </c>
      <c r="AE46" s="18" t="s">
        <v>29</v>
      </c>
      <c r="AF46" s="18" t="s">
        <v>196</v>
      </c>
      <c r="AG46" s="18" t="s">
        <v>196</v>
      </c>
      <c r="AH46" s="18">
        <v>8.6999999999999993</v>
      </c>
      <c r="AI46" s="18" t="s">
        <v>29</v>
      </c>
      <c r="AJ46" s="18" t="s">
        <v>66</v>
      </c>
      <c r="AK46" s="18" t="s">
        <v>81</v>
      </c>
      <c r="AL46" s="18" t="s">
        <v>96</v>
      </c>
      <c r="AM46" s="18" t="s">
        <v>109</v>
      </c>
      <c r="AN46" s="18" t="s">
        <v>120</v>
      </c>
      <c r="AO46" s="18" t="s">
        <v>198</v>
      </c>
      <c r="AP46" s="18"/>
      <c r="AQ46" s="18"/>
      <c r="AR46" s="18">
        <v>1</v>
      </c>
      <c r="AS46" s="18">
        <v>0</v>
      </c>
      <c r="AT46" s="18">
        <v>1</v>
      </c>
      <c r="AU46" s="18">
        <v>1</v>
      </c>
      <c r="AV46" s="18">
        <v>2</v>
      </c>
      <c r="AW46" s="18">
        <v>5</v>
      </c>
      <c r="AX46" s="49">
        <v>0</v>
      </c>
      <c r="AY46" s="49">
        <f>VLOOKUP(AI46,Leyenda!$B$4:$E$10,4,FALSE)</f>
        <v>2</v>
      </c>
      <c r="AZ46" s="50">
        <v>5</v>
      </c>
      <c r="BA46" s="49">
        <v>5</v>
      </c>
      <c r="BB46" s="49">
        <v>15</v>
      </c>
      <c r="BC46" s="67">
        <v>7.5</v>
      </c>
      <c r="BD46" s="67">
        <f>VLOOKUP(AI46,Leyenda!$B$4:$E$10,4,FALSE)</f>
        <v>2</v>
      </c>
      <c r="BE46" s="67">
        <v>5</v>
      </c>
      <c r="BF46" s="67">
        <v>0</v>
      </c>
      <c r="BG46" s="67">
        <v>1</v>
      </c>
      <c r="BH46" s="67">
        <v>1</v>
      </c>
      <c r="BI46" s="67">
        <v>2</v>
      </c>
      <c r="BJ46" s="67">
        <v>0</v>
      </c>
      <c r="BK46" s="67">
        <v>1</v>
      </c>
      <c r="BL46" s="67">
        <v>10</v>
      </c>
      <c r="BM46" s="67">
        <f t="shared" si="0"/>
        <v>22</v>
      </c>
      <c r="BN46" s="18">
        <f t="shared" si="1"/>
        <v>27</v>
      </c>
      <c r="BO46" s="18"/>
      <c r="BP46" s="18"/>
      <c r="BS46" s="167"/>
      <c r="BT46" s="167" t="s">
        <v>311</v>
      </c>
      <c r="BU46" s="167">
        <v>6.855786543945011</v>
      </c>
      <c r="BV46" s="167"/>
    </row>
    <row r="47" spans="1:74" x14ac:dyDescent="0.25">
      <c r="A47" s="18" t="s">
        <v>6</v>
      </c>
      <c r="B47" s="18">
        <v>2024</v>
      </c>
      <c r="C47" s="18" t="s">
        <v>138</v>
      </c>
      <c r="D47" s="18" t="s">
        <v>130</v>
      </c>
      <c r="E47" s="18">
        <v>30</v>
      </c>
      <c r="F47" s="18">
        <v>20</v>
      </c>
      <c r="G47" s="18" t="s">
        <v>152</v>
      </c>
      <c r="H47" s="18" t="s">
        <v>156</v>
      </c>
      <c r="I47" s="18" t="s">
        <v>159</v>
      </c>
      <c r="J47" s="4">
        <v>20</v>
      </c>
      <c r="K47" s="4">
        <v>20.5</v>
      </c>
      <c r="L47" s="4">
        <v>0.5</v>
      </c>
      <c r="M47" s="5">
        <v>1</v>
      </c>
      <c r="N47" s="31">
        <v>0.5</v>
      </c>
      <c r="O47" s="31">
        <v>0.5</v>
      </c>
      <c r="P47" s="31">
        <v>25</v>
      </c>
      <c r="Q47" s="31">
        <v>20</v>
      </c>
      <c r="R47" s="31">
        <v>0.5</v>
      </c>
      <c r="S47" s="31">
        <v>0</v>
      </c>
      <c r="T47" s="65">
        <v>0</v>
      </c>
      <c r="U47" s="31">
        <v>6</v>
      </c>
      <c r="V47" s="31"/>
      <c r="W47" s="31">
        <v>6</v>
      </c>
      <c r="X47" s="31">
        <v>83.333333333333329</v>
      </c>
      <c r="Y47" s="18">
        <v>0</v>
      </c>
      <c r="Z47" s="18" t="s">
        <v>330</v>
      </c>
      <c r="AA47" s="18" t="s">
        <v>333</v>
      </c>
      <c r="AB47" s="18" t="s">
        <v>337</v>
      </c>
      <c r="AC47" s="18">
        <v>20</v>
      </c>
      <c r="AD47" s="18">
        <v>25</v>
      </c>
      <c r="AE47" s="18" t="s">
        <v>29</v>
      </c>
      <c r="AF47" s="18" t="s">
        <v>196</v>
      </c>
      <c r="AG47" s="18" t="s">
        <v>196</v>
      </c>
      <c r="AH47" s="18">
        <v>8.6999999999999993</v>
      </c>
      <c r="AI47" s="18" t="s">
        <v>29</v>
      </c>
      <c r="AJ47" s="18" t="s">
        <v>66</v>
      </c>
      <c r="AK47" s="18" t="s">
        <v>79</v>
      </c>
      <c r="AL47" s="18" t="s">
        <v>96</v>
      </c>
      <c r="AM47" s="18" t="s">
        <v>109</v>
      </c>
      <c r="AN47" s="18" t="s">
        <v>120</v>
      </c>
      <c r="AO47" s="18" t="s">
        <v>198</v>
      </c>
      <c r="AP47" s="18"/>
      <c r="AQ47" s="18"/>
      <c r="AR47" s="18">
        <v>1</v>
      </c>
      <c r="AS47" s="18">
        <v>1</v>
      </c>
      <c r="AT47" s="18">
        <v>1</v>
      </c>
      <c r="AU47" s="18">
        <v>1</v>
      </c>
      <c r="AV47" s="18">
        <v>2</v>
      </c>
      <c r="AW47" s="18">
        <v>6</v>
      </c>
      <c r="AX47" s="49">
        <v>0</v>
      </c>
      <c r="AY47" s="49">
        <f>VLOOKUP(AI47,Leyenda!$B$4:$E$10,4,FALSE)</f>
        <v>2</v>
      </c>
      <c r="AZ47" s="50">
        <v>7</v>
      </c>
      <c r="BA47" s="49">
        <v>6</v>
      </c>
      <c r="BB47" s="49">
        <v>15</v>
      </c>
      <c r="BC47" s="67">
        <v>9</v>
      </c>
      <c r="BD47" s="67">
        <f>VLOOKUP(AI47,Leyenda!$B$4:$E$10,4,FALSE)</f>
        <v>2</v>
      </c>
      <c r="BE47" s="67">
        <v>7</v>
      </c>
      <c r="BF47" s="67">
        <v>0</v>
      </c>
      <c r="BG47" s="67">
        <v>1</v>
      </c>
      <c r="BH47" s="67">
        <v>1</v>
      </c>
      <c r="BI47" s="67">
        <v>2</v>
      </c>
      <c r="BJ47" s="67">
        <v>1</v>
      </c>
      <c r="BK47" s="67">
        <v>1</v>
      </c>
      <c r="BL47" s="67">
        <v>10</v>
      </c>
      <c r="BM47" s="67">
        <f t="shared" si="0"/>
        <v>25</v>
      </c>
      <c r="BN47" s="18">
        <f t="shared" si="1"/>
        <v>30</v>
      </c>
      <c r="BO47" s="18"/>
      <c r="BP47" s="18"/>
      <c r="BS47" s="167"/>
      <c r="BT47" s="167" t="s">
        <v>312</v>
      </c>
      <c r="BU47" s="167">
        <v>47.001809136137481</v>
      </c>
      <c r="BV47" s="167"/>
    </row>
    <row r="48" spans="1:74" x14ac:dyDescent="0.25">
      <c r="A48" s="18" t="s">
        <v>6</v>
      </c>
      <c r="B48" s="18">
        <v>2024</v>
      </c>
      <c r="C48" s="18" t="s">
        <v>138</v>
      </c>
      <c r="D48" s="18" t="s">
        <v>130</v>
      </c>
      <c r="E48" s="18">
        <v>30</v>
      </c>
      <c r="F48" s="18">
        <v>20</v>
      </c>
      <c r="G48" s="18" t="s">
        <v>152</v>
      </c>
      <c r="H48" s="18" t="s">
        <v>156</v>
      </c>
      <c r="I48" s="18" t="s">
        <v>159</v>
      </c>
      <c r="J48" s="4">
        <v>20.5</v>
      </c>
      <c r="K48" s="4">
        <v>21</v>
      </c>
      <c r="L48" s="4">
        <v>0.5</v>
      </c>
      <c r="M48" s="5">
        <v>1</v>
      </c>
      <c r="N48" s="31">
        <v>0.5</v>
      </c>
      <c r="O48" s="31">
        <v>0.5</v>
      </c>
      <c r="P48" s="31">
        <v>25</v>
      </c>
      <c r="Q48" s="31">
        <v>20</v>
      </c>
      <c r="R48" s="31">
        <v>0.44</v>
      </c>
      <c r="S48" s="31">
        <v>0.14000000000000001</v>
      </c>
      <c r="T48" s="65">
        <v>28.000000000000004</v>
      </c>
      <c r="U48" s="31">
        <v>3</v>
      </c>
      <c r="V48" s="31"/>
      <c r="W48" s="31">
        <v>3</v>
      </c>
      <c r="X48" s="31">
        <v>146.66666666666666</v>
      </c>
      <c r="Y48" s="18">
        <v>0</v>
      </c>
      <c r="Z48" s="18" t="s">
        <v>330</v>
      </c>
      <c r="AA48" s="18" t="s">
        <v>333</v>
      </c>
      <c r="AB48" s="18" t="s">
        <v>337</v>
      </c>
      <c r="AC48" s="18">
        <v>20</v>
      </c>
      <c r="AD48" s="18">
        <v>25</v>
      </c>
      <c r="AE48" s="18" t="s">
        <v>29</v>
      </c>
      <c r="AF48" s="18" t="s">
        <v>196</v>
      </c>
      <c r="AG48" s="18" t="s">
        <v>196</v>
      </c>
      <c r="AH48" s="18">
        <v>8.6999999999999993</v>
      </c>
      <c r="AI48" s="18" t="s">
        <v>29</v>
      </c>
      <c r="AJ48" s="18" t="s">
        <v>66</v>
      </c>
      <c r="AK48" s="18" t="s">
        <v>79</v>
      </c>
      <c r="AL48" s="18" t="s">
        <v>96</v>
      </c>
      <c r="AM48" s="18" t="s">
        <v>109</v>
      </c>
      <c r="AN48" s="18" t="s">
        <v>120</v>
      </c>
      <c r="AO48" s="18" t="s">
        <v>198</v>
      </c>
      <c r="AP48" s="18"/>
      <c r="AQ48" s="18"/>
      <c r="AR48" s="18">
        <v>1</v>
      </c>
      <c r="AS48" s="18">
        <v>1</v>
      </c>
      <c r="AT48" s="18">
        <v>1</v>
      </c>
      <c r="AU48" s="18">
        <v>1</v>
      </c>
      <c r="AV48" s="18">
        <v>2</v>
      </c>
      <c r="AW48" s="18">
        <v>6</v>
      </c>
      <c r="AX48" s="49">
        <v>6</v>
      </c>
      <c r="AY48" s="49">
        <f>VLOOKUP(AI48,Leyenda!$B$4:$E$10,4,FALSE)</f>
        <v>2</v>
      </c>
      <c r="AZ48" s="50">
        <v>8</v>
      </c>
      <c r="BA48" s="49">
        <v>6</v>
      </c>
      <c r="BB48" s="49">
        <v>15</v>
      </c>
      <c r="BC48" s="67">
        <v>23</v>
      </c>
      <c r="BD48" s="67">
        <f>VLOOKUP(AI48,Leyenda!$B$4:$E$10,4,FALSE)</f>
        <v>2</v>
      </c>
      <c r="BE48" s="67">
        <v>10</v>
      </c>
      <c r="BF48" s="67">
        <v>6</v>
      </c>
      <c r="BG48" s="67">
        <v>1</v>
      </c>
      <c r="BH48" s="67">
        <v>1</v>
      </c>
      <c r="BI48" s="67">
        <v>2</v>
      </c>
      <c r="BJ48" s="67">
        <v>1</v>
      </c>
      <c r="BK48" s="67">
        <v>1</v>
      </c>
      <c r="BL48" s="67">
        <v>10</v>
      </c>
      <c r="BM48" s="67">
        <f t="shared" si="0"/>
        <v>34</v>
      </c>
      <c r="BN48" s="18">
        <f t="shared" si="1"/>
        <v>37</v>
      </c>
      <c r="BO48" s="18"/>
      <c r="BP48" s="18"/>
      <c r="BS48" s="167"/>
      <c r="BT48" s="167" t="s">
        <v>313</v>
      </c>
      <c r="BU48" s="167">
        <v>4.3690118804829385</v>
      </c>
      <c r="BV48" s="167"/>
    </row>
    <row r="49" spans="1:91" x14ac:dyDescent="0.25">
      <c r="A49" s="18" t="s">
        <v>6</v>
      </c>
      <c r="B49" s="18">
        <v>2024</v>
      </c>
      <c r="C49" s="18" t="s">
        <v>138</v>
      </c>
      <c r="D49" s="18" t="s">
        <v>130</v>
      </c>
      <c r="E49" s="18">
        <v>30</v>
      </c>
      <c r="F49" s="18">
        <v>20</v>
      </c>
      <c r="G49" s="18" t="s">
        <v>152</v>
      </c>
      <c r="H49" s="18" t="s">
        <v>156</v>
      </c>
      <c r="I49" s="18" t="s">
        <v>159</v>
      </c>
      <c r="J49" s="4">
        <v>21</v>
      </c>
      <c r="K49" s="4">
        <v>21.5</v>
      </c>
      <c r="L49" s="4">
        <v>0.5</v>
      </c>
      <c r="M49" s="5">
        <v>1</v>
      </c>
      <c r="N49" s="31">
        <v>0.5</v>
      </c>
      <c r="O49" s="31">
        <v>0.5</v>
      </c>
      <c r="P49" s="31">
        <v>25</v>
      </c>
      <c r="Q49" s="31">
        <v>20</v>
      </c>
      <c r="R49" s="31">
        <v>0.48</v>
      </c>
      <c r="S49" s="31">
        <v>0.25</v>
      </c>
      <c r="T49" s="65">
        <v>50</v>
      </c>
      <c r="U49" s="31">
        <v>3</v>
      </c>
      <c r="V49" s="31"/>
      <c r="W49" s="31">
        <v>3</v>
      </c>
      <c r="X49" s="31">
        <v>160</v>
      </c>
      <c r="Y49" s="18">
        <v>0</v>
      </c>
      <c r="Z49" s="18" t="s">
        <v>330</v>
      </c>
      <c r="AA49" s="18" t="s">
        <v>333</v>
      </c>
      <c r="AB49" s="18" t="s">
        <v>337</v>
      </c>
      <c r="AC49" s="18">
        <v>20</v>
      </c>
      <c r="AD49" s="18">
        <v>25</v>
      </c>
      <c r="AE49" s="18" t="s">
        <v>29</v>
      </c>
      <c r="AF49" s="18" t="s">
        <v>199</v>
      </c>
      <c r="AG49" s="18" t="s">
        <v>199</v>
      </c>
      <c r="AH49" s="18">
        <v>8.6999999999999993</v>
      </c>
      <c r="AI49" s="18" t="s">
        <v>29</v>
      </c>
      <c r="AJ49" s="18" t="s">
        <v>66</v>
      </c>
      <c r="AK49" s="18" t="s">
        <v>81</v>
      </c>
      <c r="AL49" s="18" t="s">
        <v>96</v>
      </c>
      <c r="AM49" s="18" t="s">
        <v>109</v>
      </c>
      <c r="AN49" s="18" t="s">
        <v>120</v>
      </c>
      <c r="AO49" s="18" t="s">
        <v>198</v>
      </c>
      <c r="AP49" s="18"/>
      <c r="AQ49" s="18"/>
      <c r="AR49" s="18">
        <v>1</v>
      </c>
      <c r="AS49" s="18">
        <v>0</v>
      </c>
      <c r="AT49" s="18">
        <v>1</v>
      </c>
      <c r="AU49" s="18">
        <v>1</v>
      </c>
      <c r="AV49" s="18">
        <v>2</v>
      </c>
      <c r="AW49" s="18">
        <v>5</v>
      </c>
      <c r="AX49" s="49">
        <v>10</v>
      </c>
      <c r="AY49" s="49">
        <f>VLOOKUP(AI49,Leyenda!$B$4:$E$10,4,FALSE)</f>
        <v>2</v>
      </c>
      <c r="AZ49" s="50">
        <v>8</v>
      </c>
      <c r="BA49" s="49">
        <v>5</v>
      </c>
      <c r="BB49" s="49">
        <v>15</v>
      </c>
      <c r="BC49" s="67">
        <v>32.5</v>
      </c>
      <c r="BD49" s="67">
        <f>VLOOKUP(AI49,Leyenda!$B$4:$E$10,4,FALSE)</f>
        <v>2</v>
      </c>
      <c r="BE49" s="67">
        <v>11</v>
      </c>
      <c r="BF49" s="67">
        <v>10</v>
      </c>
      <c r="BG49" s="67">
        <v>1</v>
      </c>
      <c r="BH49" s="67">
        <v>1</v>
      </c>
      <c r="BI49" s="67">
        <v>2</v>
      </c>
      <c r="BJ49" s="67">
        <v>0</v>
      </c>
      <c r="BK49" s="67">
        <v>1</v>
      </c>
      <c r="BL49" s="67">
        <v>10</v>
      </c>
      <c r="BM49" s="67">
        <f t="shared" si="0"/>
        <v>38</v>
      </c>
      <c r="BN49" s="18">
        <f t="shared" si="1"/>
        <v>40</v>
      </c>
      <c r="BO49" s="18"/>
      <c r="BP49" s="18"/>
      <c r="BS49" s="167"/>
      <c r="BT49" s="167" t="s">
        <v>314</v>
      </c>
      <c r="BU49" s="167">
        <v>1.7412376210514782</v>
      </c>
      <c r="BV49" s="167"/>
    </row>
    <row r="50" spans="1:91" x14ac:dyDescent="0.25">
      <c r="A50" s="18" t="s">
        <v>6</v>
      </c>
      <c r="B50" s="18">
        <v>2024</v>
      </c>
      <c r="C50" s="18" t="s">
        <v>138</v>
      </c>
      <c r="D50" s="18" t="s">
        <v>130</v>
      </c>
      <c r="E50" s="18">
        <v>30</v>
      </c>
      <c r="F50" s="18">
        <v>20</v>
      </c>
      <c r="G50" s="18" t="s">
        <v>152</v>
      </c>
      <c r="H50" s="18" t="s">
        <v>156</v>
      </c>
      <c r="I50" s="18" t="s">
        <v>159</v>
      </c>
      <c r="J50" s="4">
        <v>21.5</v>
      </c>
      <c r="K50" s="4">
        <v>22</v>
      </c>
      <c r="L50" s="4">
        <v>0.5</v>
      </c>
      <c r="M50" s="5">
        <v>1</v>
      </c>
      <c r="N50" s="31">
        <v>0.5</v>
      </c>
      <c r="O50" s="31">
        <v>0.5</v>
      </c>
      <c r="P50" s="31">
        <v>25</v>
      </c>
      <c r="Q50" s="31">
        <v>20</v>
      </c>
      <c r="R50" s="31">
        <v>0.5</v>
      </c>
      <c r="S50" s="31">
        <v>0</v>
      </c>
      <c r="T50" s="65">
        <v>0</v>
      </c>
      <c r="U50" s="31">
        <v>10</v>
      </c>
      <c r="V50" s="31"/>
      <c r="W50" s="31">
        <v>10</v>
      </c>
      <c r="X50" s="31">
        <v>50</v>
      </c>
      <c r="Y50" s="18">
        <v>0</v>
      </c>
      <c r="Z50" s="18" t="s">
        <v>330</v>
      </c>
      <c r="AA50" s="18" t="s">
        <v>333</v>
      </c>
      <c r="AB50" s="18" t="s">
        <v>337</v>
      </c>
      <c r="AC50" s="18">
        <v>20</v>
      </c>
      <c r="AD50" s="18">
        <v>25</v>
      </c>
      <c r="AE50" s="18" t="s">
        <v>29</v>
      </c>
      <c r="AF50" s="18" t="s">
        <v>199</v>
      </c>
      <c r="AG50" s="18" t="s">
        <v>199</v>
      </c>
      <c r="AH50" s="18">
        <v>8.6999999999999993</v>
      </c>
      <c r="AI50" s="18" t="s">
        <v>29</v>
      </c>
      <c r="AJ50" s="18" t="s">
        <v>66</v>
      </c>
      <c r="AK50" s="18" t="s">
        <v>81</v>
      </c>
      <c r="AL50" s="18" t="s">
        <v>96</v>
      </c>
      <c r="AM50" s="18" t="s">
        <v>109</v>
      </c>
      <c r="AN50" s="18" t="s">
        <v>120</v>
      </c>
      <c r="AO50" s="18" t="s">
        <v>198</v>
      </c>
      <c r="AP50" s="18"/>
      <c r="AQ50" s="18"/>
      <c r="AR50" s="18">
        <v>1</v>
      </c>
      <c r="AS50" s="18">
        <v>0</v>
      </c>
      <c r="AT50" s="18">
        <v>1</v>
      </c>
      <c r="AU50" s="18">
        <v>1</v>
      </c>
      <c r="AV50" s="18">
        <v>2</v>
      </c>
      <c r="AW50" s="18">
        <v>5</v>
      </c>
      <c r="AX50" s="49">
        <v>0</v>
      </c>
      <c r="AY50" s="49">
        <f>VLOOKUP(AI50,Leyenda!$B$4:$E$10,4,FALSE)</f>
        <v>2</v>
      </c>
      <c r="AZ50" s="50">
        <v>6</v>
      </c>
      <c r="BA50" s="49">
        <v>5</v>
      </c>
      <c r="BB50" s="49">
        <v>15</v>
      </c>
      <c r="BC50" s="67">
        <v>7.5</v>
      </c>
      <c r="BD50" s="67">
        <f>VLOOKUP(AI50,Leyenda!$B$4:$E$10,4,FALSE)</f>
        <v>2</v>
      </c>
      <c r="BE50" s="67">
        <v>5</v>
      </c>
      <c r="BF50" s="67">
        <v>0</v>
      </c>
      <c r="BG50" s="67">
        <v>1</v>
      </c>
      <c r="BH50" s="67">
        <v>1</v>
      </c>
      <c r="BI50" s="67">
        <v>2</v>
      </c>
      <c r="BJ50" s="67">
        <v>0</v>
      </c>
      <c r="BK50" s="67">
        <v>1</v>
      </c>
      <c r="BL50" s="67">
        <v>10</v>
      </c>
      <c r="BM50" s="67">
        <f t="shared" si="0"/>
        <v>22</v>
      </c>
      <c r="BN50" s="18">
        <f t="shared" si="1"/>
        <v>28</v>
      </c>
      <c r="BO50" s="18"/>
      <c r="BP50" s="18"/>
      <c r="BS50" s="167"/>
      <c r="BT50" s="167" t="s">
        <v>315</v>
      </c>
      <c r="BU50" s="167">
        <v>38</v>
      </c>
      <c r="BV50" s="167"/>
    </row>
    <row r="51" spans="1:91" x14ac:dyDescent="0.25">
      <c r="A51" s="18" t="s">
        <v>6</v>
      </c>
      <c r="B51" s="18">
        <v>2024</v>
      </c>
      <c r="C51" s="18" t="s">
        <v>138</v>
      </c>
      <c r="D51" s="18" t="s">
        <v>130</v>
      </c>
      <c r="E51" s="18">
        <v>20</v>
      </c>
      <c r="F51" s="18">
        <v>20</v>
      </c>
      <c r="G51" s="18" t="s">
        <v>156</v>
      </c>
      <c r="H51" s="18" t="s">
        <v>156</v>
      </c>
      <c r="I51" s="18" t="s">
        <v>181</v>
      </c>
      <c r="J51" s="4">
        <v>29</v>
      </c>
      <c r="K51" s="4">
        <v>29.5</v>
      </c>
      <c r="L51" s="4">
        <v>0.5</v>
      </c>
      <c r="M51" s="5">
        <v>1</v>
      </c>
      <c r="N51" s="31">
        <v>0.5</v>
      </c>
      <c r="O51" s="31">
        <v>0.5</v>
      </c>
      <c r="P51" s="31">
        <v>500</v>
      </c>
      <c r="Q51" s="31">
        <v>1</v>
      </c>
      <c r="R51" s="31">
        <v>0.45</v>
      </c>
      <c r="S51" s="31">
        <v>0.24</v>
      </c>
      <c r="T51" s="65">
        <v>48</v>
      </c>
      <c r="U51" s="31">
        <v>6</v>
      </c>
      <c r="V51" s="31"/>
      <c r="W51" s="31">
        <v>6</v>
      </c>
      <c r="X51" s="31">
        <v>75</v>
      </c>
      <c r="Y51" s="18">
        <v>50</v>
      </c>
      <c r="Z51" s="18" t="s">
        <v>96</v>
      </c>
      <c r="AA51" s="18" t="s">
        <v>116</v>
      </c>
      <c r="AB51" s="18" t="s">
        <v>334</v>
      </c>
      <c r="AC51" s="18">
        <v>1</v>
      </c>
      <c r="AD51" s="18">
        <v>500</v>
      </c>
      <c r="AE51" s="18" t="s">
        <v>27</v>
      </c>
      <c r="AF51" s="18" t="s">
        <v>32</v>
      </c>
      <c r="AG51" s="18" t="s">
        <v>32</v>
      </c>
      <c r="AH51" s="18">
        <v>8.6999999999999993</v>
      </c>
      <c r="AI51" s="18" t="s">
        <v>29</v>
      </c>
      <c r="AJ51" s="18" t="s">
        <v>66</v>
      </c>
      <c r="AK51" s="18" t="s">
        <v>81</v>
      </c>
      <c r="AL51" s="18" t="s">
        <v>96</v>
      </c>
      <c r="AM51" s="18" t="s">
        <v>109</v>
      </c>
      <c r="AN51" s="18" t="s">
        <v>122</v>
      </c>
      <c r="AO51" s="18" t="s">
        <v>198</v>
      </c>
      <c r="AP51" s="18" t="s">
        <v>231</v>
      </c>
      <c r="AQ51" s="18"/>
      <c r="AR51" s="18">
        <v>1</v>
      </c>
      <c r="AS51" s="18">
        <v>0</v>
      </c>
      <c r="AT51" s="18">
        <v>1</v>
      </c>
      <c r="AU51" s="18">
        <v>1</v>
      </c>
      <c r="AV51" s="18">
        <v>0</v>
      </c>
      <c r="AW51" s="18">
        <v>3</v>
      </c>
      <c r="AX51" s="49">
        <v>10</v>
      </c>
      <c r="AY51" s="49">
        <f>VLOOKUP(AI51,Leyenda!$B$4:$E$10,4,FALSE)</f>
        <v>2</v>
      </c>
      <c r="AZ51" s="50">
        <v>7</v>
      </c>
      <c r="BA51" s="49">
        <v>3</v>
      </c>
      <c r="BB51" s="49">
        <v>15</v>
      </c>
      <c r="BC51" s="67">
        <v>28.5</v>
      </c>
      <c r="BD51" s="67">
        <f>VLOOKUP(AI51,Leyenda!$B$4:$E$10,4,FALSE)</f>
        <v>2</v>
      </c>
      <c r="BE51" s="67">
        <v>6</v>
      </c>
      <c r="BF51" s="67">
        <v>10</v>
      </c>
      <c r="BG51" s="67">
        <v>1</v>
      </c>
      <c r="BH51" s="67">
        <v>1</v>
      </c>
      <c r="BI51" s="67">
        <v>0</v>
      </c>
      <c r="BJ51" s="67">
        <v>0</v>
      </c>
      <c r="BK51" s="67">
        <v>1</v>
      </c>
      <c r="BL51" s="67">
        <v>10</v>
      </c>
      <c r="BM51" s="67">
        <f t="shared" si="0"/>
        <v>31</v>
      </c>
      <c r="BN51" s="18">
        <f t="shared" si="1"/>
        <v>37</v>
      </c>
      <c r="BO51" s="18"/>
      <c r="BP51" s="18"/>
      <c r="BS51" s="167"/>
      <c r="BT51" s="167" t="s">
        <v>316</v>
      </c>
      <c r="BU51" s="167">
        <v>20</v>
      </c>
      <c r="BV51" s="167"/>
    </row>
    <row r="52" spans="1:91" x14ac:dyDescent="0.25">
      <c r="A52" s="18" t="s">
        <v>6</v>
      </c>
      <c r="B52" s="18">
        <v>2024</v>
      </c>
      <c r="C52" s="18" t="s">
        <v>138</v>
      </c>
      <c r="D52" s="18" t="s">
        <v>130</v>
      </c>
      <c r="E52" s="18">
        <v>20</v>
      </c>
      <c r="F52" s="18">
        <v>20</v>
      </c>
      <c r="G52" s="18" t="s">
        <v>156</v>
      </c>
      <c r="H52" s="18" t="s">
        <v>156</v>
      </c>
      <c r="I52" s="18" t="s">
        <v>181</v>
      </c>
      <c r="J52" s="4">
        <v>29.5</v>
      </c>
      <c r="K52" s="4">
        <v>30</v>
      </c>
      <c r="L52" s="4">
        <v>0.5</v>
      </c>
      <c r="M52" s="5">
        <v>1</v>
      </c>
      <c r="N52" s="31">
        <v>0.5</v>
      </c>
      <c r="O52" s="31">
        <v>0.5</v>
      </c>
      <c r="P52" s="31">
        <v>100</v>
      </c>
      <c r="Q52" s="31">
        <v>5</v>
      </c>
      <c r="R52" s="31">
        <v>0.32</v>
      </c>
      <c r="S52" s="31">
        <v>0.24</v>
      </c>
      <c r="T52" s="65">
        <v>48</v>
      </c>
      <c r="U52" s="31">
        <v>3</v>
      </c>
      <c r="V52" s="31"/>
      <c r="W52" s="31">
        <v>3</v>
      </c>
      <c r="X52" s="31">
        <v>106.66666666666667</v>
      </c>
      <c r="Y52" s="18">
        <v>34</v>
      </c>
      <c r="Z52" s="18" t="s">
        <v>96</v>
      </c>
      <c r="AA52" s="18" t="s">
        <v>118</v>
      </c>
      <c r="AB52" s="18" t="s">
        <v>334</v>
      </c>
      <c r="AC52" s="18">
        <v>5</v>
      </c>
      <c r="AD52" s="18">
        <v>100</v>
      </c>
      <c r="AE52" s="18" t="s">
        <v>27</v>
      </c>
      <c r="AF52" s="18" t="s">
        <v>32</v>
      </c>
      <c r="AG52" s="18" t="s">
        <v>32</v>
      </c>
      <c r="AH52" s="18">
        <v>8.6999999999999993</v>
      </c>
      <c r="AI52" s="18" t="s">
        <v>29</v>
      </c>
      <c r="AJ52" s="18" t="s">
        <v>66</v>
      </c>
      <c r="AK52" s="18" t="s">
        <v>81</v>
      </c>
      <c r="AL52" s="18" t="s">
        <v>96</v>
      </c>
      <c r="AM52" s="18" t="s">
        <v>107</v>
      </c>
      <c r="AN52" s="18" t="s">
        <v>122</v>
      </c>
      <c r="AO52" s="18" t="s">
        <v>198</v>
      </c>
      <c r="AP52" s="18"/>
      <c r="AQ52" s="18"/>
      <c r="AR52" s="18">
        <v>1</v>
      </c>
      <c r="AS52" s="18">
        <v>0</v>
      </c>
      <c r="AT52" s="18">
        <v>1</v>
      </c>
      <c r="AU52" s="18">
        <v>3</v>
      </c>
      <c r="AV52" s="18">
        <v>0</v>
      </c>
      <c r="AW52" s="18">
        <v>5</v>
      </c>
      <c r="AX52" s="49">
        <v>10</v>
      </c>
      <c r="AY52" s="49">
        <f>VLOOKUP(AI52,Leyenda!$B$4:$E$10,4,FALSE)</f>
        <v>2</v>
      </c>
      <c r="AZ52" s="50">
        <v>7</v>
      </c>
      <c r="BA52" s="49">
        <v>5</v>
      </c>
      <c r="BB52" s="49">
        <v>15</v>
      </c>
      <c r="BC52" s="67">
        <v>31.5</v>
      </c>
      <c r="BD52" s="67">
        <f>VLOOKUP(AI52,Leyenda!$B$4:$E$10,4,FALSE)</f>
        <v>2</v>
      </c>
      <c r="BE52" s="67">
        <v>9</v>
      </c>
      <c r="BF52" s="67">
        <v>10</v>
      </c>
      <c r="BG52" s="67">
        <v>1</v>
      </c>
      <c r="BH52" s="67">
        <v>3</v>
      </c>
      <c r="BI52" s="67">
        <v>0</v>
      </c>
      <c r="BJ52" s="67">
        <v>0</v>
      </c>
      <c r="BK52" s="67">
        <v>1</v>
      </c>
      <c r="BL52" s="67">
        <v>10</v>
      </c>
      <c r="BM52" s="67">
        <f t="shared" si="0"/>
        <v>36</v>
      </c>
      <c r="BN52" s="18">
        <f t="shared" si="1"/>
        <v>39</v>
      </c>
      <c r="BO52" s="18"/>
      <c r="BP52" s="18"/>
      <c r="BS52" s="167"/>
      <c r="BT52" s="167" t="s">
        <v>317</v>
      </c>
      <c r="BU52" s="167">
        <v>58</v>
      </c>
      <c r="BV52" s="167"/>
    </row>
    <row r="53" spans="1:91" x14ac:dyDescent="0.25">
      <c r="A53" s="18" t="s">
        <v>6</v>
      </c>
      <c r="B53" s="18">
        <v>2024</v>
      </c>
      <c r="C53" s="18" t="s">
        <v>138</v>
      </c>
      <c r="D53" s="18" t="s">
        <v>130</v>
      </c>
      <c r="E53" s="18">
        <v>20</v>
      </c>
      <c r="F53" s="18">
        <v>20</v>
      </c>
      <c r="G53" s="18" t="s">
        <v>156</v>
      </c>
      <c r="H53" s="18" t="s">
        <v>156</v>
      </c>
      <c r="I53" s="18" t="s">
        <v>181</v>
      </c>
      <c r="J53" s="4">
        <v>30</v>
      </c>
      <c r="K53" s="4">
        <v>30.5</v>
      </c>
      <c r="L53" s="4">
        <v>0.5</v>
      </c>
      <c r="M53" s="5">
        <v>1</v>
      </c>
      <c r="N53" s="31">
        <v>0.5</v>
      </c>
      <c r="O53" s="31">
        <v>0.5</v>
      </c>
      <c r="P53" s="31">
        <v>25</v>
      </c>
      <c r="Q53" s="31">
        <v>20</v>
      </c>
      <c r="R53" s="31">
        <v>0.44000000000000006</v>
      </c>
      <c r="S53" s="31">
        <v>0.42</v>
      </c>
      <c r="T53" s="65">
        <v>84</v>
      </c>
      <c r="U53" s="31">
        <v>4</v>
      </c>
      <c r="V53" s="31"/>
      <c r="W53" s="31">
        <v>4</v>
      </c>
      <c r="X53" s="31">
        <v>110.00000000000001</v>
      </c>
      <c r="Y53" s="18">
        <v>0</v>
      </c>
      <c r="Z53" s="18" t="s">
        <v>96</v>
      </c>
      <c r="AA53" s="18" t="s">
        <v>333</v>
      </c>
      <c r="AB53" s="18" t="s">
        <v>337</v>
      </c>
      <c r="AC53" s="18">
        <v>20</v>
      </c>
      <c r="AD53" s="18">
        <v>25</v>
      </c>
      <c r="AE53" s="18" t="s">
        <v>29</v>
      </c>
      <c r="AF53" s="18" t="s">
        <v>196</v>
      </c>
      <c r="AG53" s="18" t="s">
        <v>196</v>
      </c>
      <c r="AH53" s="18">
        <v>8.6999999999999993</v>
      </c>
      <c r="AI53" s="18" t="s">
        <v>29</v>
      </c>
      <c r="AJ53" s="18" t="s">
        <v>66</v>
      </c>
      <c r="AK53" s="18" t="s">
        <v>81</v>
      </c>
      <c r="AL53" s="18" t="s">
        <v>96</v>
      </c>
      <c r="AM53" s="18" t="s">
        <v>109</v>
      </c>
      <c r="AN53" s="18" t="s">
        <v>122</v>
      </c>
      <c r="AO53" s="18" t="s">
        <v>198</v>
      </c>
      <c r="AP53" s="18" t="s">
        <v>260</v>
      </c>
      <c r="AQ53" s="18"/>
      <c r="AR53" s="18">
        <v>1</v>
      </c>
      <c r="AS53" s="18">
        <v>0</v>
      </c>
      <c r="AT53" s="18">
        <v>1</v>
      </c>
      <c r="AU53" s="18">
        <v>1</v>
      </c>
      <c r="AV53" s="18">
        <v>0</v>
      </c>
      <c r="AW53" s="18">
        <v>3</v>
      </c>
      <c r="AX53" s="49">
        <v>17</v>
      </c>
      <c r="AY53" s="49">
        <f>VLOOKUP(AI53,Leyenda!$B$4:$E$10,4,FALSE)</f>
        <v>2</v>
      </c>
      <c r="AZ53" s="50">
        <v>7</v>
      </c>
      <c r="BA53" s="49">
        <v>3</v>
      </c>
      <c r="BB53" s="49">
        <v>15</v>
      </c>
      <c r="BC53" s="67">
        <v>46.5</v>
      </c>
      <c r="BD53" s="67">
        <f>VLOOKUP(AI53,Leyenda!$B$4:$E$10,4,FALSE)</f>
        <v>2</v>
      </c>
      <c r="BE53" s="67">
        <v>9</v>
      </c>
      <c r="BF53" s="67">
        <v>17</v>
      </c>
      <c r="BG53" s="67">
        <v>1</v>
      </c>
      <c r="BH53" s="67">
        <v>1</v>
      </c>
      <c r="BI53" s="67">
        <v>0</v>
      </c>
      <c r="BJ53" s="67">
        <v>0</v>
      </c>
      <c r="BK53" s="67">
        <v>1</v>
      </c>
      <c r="BL53" s="67">
        <v>10</v>
      </c>
      <c r="BM53" s="67">
        <f t="shared" si="0"/>
        <v>41</v>
      </c>
      <c r="BN53" s="18">
        <f t="shared" si="1"/>
        <v>44</v>
      </c>
      <c r="BO53" s="18"/>
      <c r="BP53" s="18"/>
      <c r="BS53" s="167"/>
      <c r="BT53" s="167" t="s">
        <v>318</v>
      </c>
      <c r="BU53" s="167">
        <v>1903</v>
      </c>
      <c r="BV53" s="167"/>
    </row>
    <row r="54" spans="1:91" x14ac:dyDescent="0.25">
      <c r="A54" s="18" t="s">
        <v>6</v>
      </c>
      <c r="B54" s="18">
        <v>2024</v>
      </c>
      <c r="C54" s="18" t="s">
        <v>138</v>
      </c>
      <c r="D54" s="18" t="s">
        <v>130</v>
      </c>
      <c r="E54" s="18">
        <v>20</v>
      </c>
      <c r="F54" s="18">
        <v>20</v>
      </c>
      <c r="G54" s="18" t="s">
        <v>156</v>
      </c>
      <c r="H54" s="18" t="s">
        <v>156</v>
      </c>
      <c r="I54" s="18" t="s">
        <v>181</v>
      </c>
      <c r="J54" s="4">
        <v>30.5</v>
      </c>
      <c r="K54" s="4">
        <v>31</v>
      </c>
      <c r="L54" s="4">
        <v>0.5</v>
      </c>
      <c r="M54" s="5">
        <v>1</v>
      </c>
      <c r="N54" s="31">
        <v>0.5</v>
      </c>
      <c r="O54" s="31">
        <v>0.5</v>
      </c>
      <c r="P54" s="31">
        <v>25</v>
      </c>
      <c r="Q54" s="31">
        <v>20</v>
      </c>
      <c r="R54" s="31">
        <v>0.48</v>
      </c>
      <c r="S54" s="31">
        <v>0</v>
      </c>
      <c r="T54" s="65">
        <v>0</v>
      </c>
      <c r="U54" s="31">
        <v>5</v>
      </c>
      <c r="V54" s="31"/>
      <c r="W54" s="31">
        <v>5</v>
      </c>
      <c r="X54" s="31">
        <v>96</v>
      </c>
      <c r="Y54" s="18">
        <v>0</v>
      </c>
      <c r="Z54" s="18" t="s">
        <v>96</v>
      </c>
      <c r="AA54" s="18" t="s">
        <v>333</v>
      </c>
      <c r="AB54" s="18" t="s">
        <v>337</v>
      </c>
      <c r="AC54" s="18">
        <v>20</v>
      </c>
      <c r="AD54" s="18">
        <v>25</v>
      </c>
      <c r="AE54" s="18" t="s">
        <v>29</v>
      </c>
      <c r="AF54" s="18" t="s">
        <v>199</v>
      </c>
      <c r="AG54" s="18" t="s">
        <v>199</v>
      </c>
      <c r="AH54" s="18">
        <v>8.6999999999999993</v>
      </c>
      <c r="AI54" s="18" t="s">
        <v>29</v>
      </c>
      <c r="AJ54" s="18" t="s">
        <v>64</v>
      </c>
      <c r="AK54" s="18" t="s">
        <v>79</v>
      </c>
      <c r="AL54" s="18" t="s">
        <v>96</v>
      </c>
      <c r="AM54" s="18" t="s">
        <v>107</v>
      </c>
      <c r="AN54" s="18" t="s">
        <v>120</v>
      </c>
      <c r="AO54" s="18" t="s">
        <v>198</v>
      </c>
      <c r="AP54" s="18"/>
      <c r="AQ54" s="18"/>
      <c r="AR54" s="18">
        <v>2</v>
      </c>
      <c r="AS54" s="18">
        <v>1</v>
      </c>
      <c r="AT54" s="18">
        <v>1</v>
      </c>
      <c r="AU54" s="18">
        <v>3</v>
      </c>
      <c r="AV54" s="18">
        <v>2</v>
      </c>
      <c r="AW54" s="18">
        <v>9</v>
      </c>
      <c r="AX54" s="49">
        <v>0</v>
      </c>
      <c r="AY54" s="49">
        <f>VLOOKUP(AI54,Leyenda!$B$4:$E$10,4,FALSE)</f>
        <v>2</v>
      </c>
      <c r="AZ54" s="50">
        <v>7</v>
      </c>
      <c r="BA54" s="49">
        <v>9</v>
      </c>
      <c r="BB54" s="49">
        <v>15</v>
      </c>
      <c r="BC54" s="67">
        <v>13.5</v>
      </c>
      <c r="BD54" s="67">
        <f>VLOOKUP(AI54,Leyenda!$B$4:$E$10,4,FALSE)</f>
        <v>2</v>
      </c>
      <c r="BE54" s="67">
        <v>8</v>
      </c>
      <c r="BF54" s="67">
        <v>0</v>
      </c>
      <c r="BG54" s="67">
        <v>1</v>
      </c>
      <c r="BH54" s="67">
        <v>3</v>
      </c>
      <c r="BI54" s="67">
        <v>2</v>
      </c>
      <c r="BJ54" s="67">
        <v>1</v>
      </c>
      <c r="BK54" s="67">
        <v>3</v>
      </c>
      <c r="BL54" s="67">
        <v>10</v>
      </c>
      <c r="BM54" s="67">
        <f t="shared" si="0"/>
        <v>30</v>
      </c>
      <c r="BN54" s="18">
        <f t="shared" si="1"/>
        <v>33</v>
      </c>
      <c r="BO54" s="18"/>
      <c r="BP54" s="18"/>
      <c r="BS54" s="167"/>
      <c r="BT54" s="167" t="s">
        <v>319</v>
      </c>
      <c r="BU54" s="167">
        <v>67</v>
      </c>
      <c r="BV54" s="167"/>
    </row>
    <row r="55" spans="1:91" x14ac:dyDescent="0.25">
      <c r="A55" s="18" t="s">
        <v>6</v>
      </c>
      <c r="B55" s="18">
        <v>2024</v>
      </c>
      <c r="C55" s="18" t="s">
        <v>138</v>
      </c>
      <c r="D55" s="18" t="s">
        <v>130</v>
      </c>
      <c r="E55" s="18">
        <v>20</v>
      </c>
      <c r="F55" s="18">
        <v>20</v>
      </c>
      <c r="G55" s="18" t="s">
        <v>156</v>
      </c>
      <c r="H55" s="18" t="s">
        <v>156</v>
      </c>
      <c r="I55" s="18" t="s">
        <v>181</v>
      </c>
      <c r="J55" s="4">
        <v>31</v>
      </c>
      <c r="K55" s="4">
        <v>31.5</v>
      </c>
      <c r="L55" s="4">
        <v>0.5</v>
      </c>
      <c r="M55" s="5">
        <v>1</v>
      </c>
      <c r="N55" s="31">
        <v>0.5</v>
      </c>
      <c r="O55" s="31">
        <v>0.5</v>
      </c>
      <c r="P55" s="31">
        <v>25</v>
      </c>
      <c r="Q55" s="31">
        <v>20</v>
      </c>
      <c r="R55" s="31">
        <v>0.5</v>
      </c>
      <c r="S55" s="31">
        <v>0.14000000000000001</v>
      </c>
      <c r="T55" s="65">
        <v>28.000000000000004</v>
      </c>
      <c r="U55" s="31">
        <v>7</v>
      </c>
      <c r="V55" s="31"/>
      <c r="W55" s="31">
        <v>7</v>
      </c>
      <c r="X55" s="31">
        <v>71.428571428571431</v>
      </c>
      <c r="Y55" s="18">
        <v>0</v>
      </c>
      <c r="Z55" s="18" t="s">
        <v>96</v>
      </c>
      <c r="AA55" s="18" t="s">
        <v>333</v>
      </c>
      <c r="AB55" s="18" t="s">
        <v>337</v>
      </c>
      <c r="AC55" s="18">
        <v>20</v>
      </c>
      <c r="AD55" s="18">
        <v>25</v>
      </c>
      <c r="AE55" s="18" t="s">
        <v>29</v>
      </c>
      <c r="AF55" s="18" t="s">
        <v>196</v>
      </c>
      <c r="AG55" s="18" t="s">
        <v>196</v>
      </c>
      <c r="AH55" s="18">
        <v>8.6999999999999993</v>
      </c>
      <c r="AI55" s="18" t="s">
        <v>29</v>
      </c>
      <c r="AJ55" s="18" t="s">
        <v>64</v>
      </c>
      <c r="AK55" s="18" t="s">
        <v>79</v>
      </c>
      <c r="AL55" s="18" t="s">
        <v>100</v>
      </c>
      <c r="AM55" s="18" t="s">
        <v>109</v>
      </c>
      <c r="AN55" s="18" t="s">
        <v>118</v>
      </c>
      <c r="AO55" s="18" t="s">
        <v>198</v>
      </c>
      <c r="AP55" s="18"/>
      <c r="AQ55" s="18"/>
      <c r="AR55" s="18">
        <v>2</v>
      </c>
      <c r="AS55" s="18">
        <v>1</v>
      </c>
      <c r="AT55" s="18">
        <v>0</v>
      </c>
      <c r="AU55" s="18">
        <v>1</v>
      </c>
      <c r="AV55" s="18">
        <v>2</v>
      </c>
      <c r="AW55" s="18">
        <v>6</v>
      </c>
      <c r="AX55" s="49">
        <v>6</v>
      </c>
      <c r="AY55" s="49">
        <f>VLOOKUP(AI55,Leyenda!$B$4:$E$10,4,FALSE)</f>
        <v>2</v>
      </c>
      <c r="AZ55" s="50">
        <v>6</v>
      </c>
      <c r="BA55" s="49">
        <v>6</v>
      </c>
      <c r="BB55" s="49">
        <v>15</v>
      </c>
      <c r="BC55" s="67">
        <v>23</v>
      </c>
      <c r="BD55" s="67">
        <f>VLOOKUP(AI55,Leyenda!$B$4:$E$10,4,FALSE)</f>
        <v>2</v>
      </c>
      <c r="BE55" s="67">
        <v>6</v>
      </c>
      <c r="BF55" s="67">
        <v>6</v>
      </c>
      <c r="BG55" s="67">
        <v>0</v>
      </c>
      <c r="BH55" s="67">
        <v>1</v>
      </c>
      <c r="BI55" s="67">
        <v>2</v>
      </c>
      <c r="BJ55" s="67">
        <v>1</v>
      </c>
      <c r="BK55" s="67">
        <v>3</v>
      </c>
      <c r="BL55" s="67">
        <v>10</v>
      </c>
      <c r="BM55" s="67">
        <f t="shared" si="0"/>
        <v>31</v>
      </c>
      <c r="BN55" s="18">
        <f t="shared" si="1"/>
        <v>35</v>
      </c>
      <c r="BO55" s="18"/>
      <c r="BP55" s="18"/>
      <c r="BS55" s="167"/>
      <c r="BT55" s="167" t="s">
        <v>320</v>
      </c>
      <c r="BU55" s="167">
        <v>58</v>
      </c>
      <c r="BV55" s="167"/>
    </row>
    <row r="56" spans="1:91" x14ac:dyDescent="0.25">
      <c r="A56" s="18" t="s">
        <v>6</v>
      </c>
      <c r="B56" s="18">
        <v>2024</v>
      </c>
      <c r="C56" s="18" t="s">
        <v>138</v>
      </c>
      <c r="D56" s="18" t="s">
        <v>130</v>
      </c>
      <c r="E56" s="18">
        <v>20</v>
      </c>
      <c r="F56" s="18">
        <v>20</v>
      </c>
      <c r="G56" s="18" t="s">
        <v>156</v>
      </c>
      <c r="H56" s="18" t="s">
        <v>156</v>
      </c>
      <c r="I56" s="18" t="s">
        <v>181</v>
      </c>
      <c r="J56" s="4">
        <v>31.5</v>
      </c>
      <c r="K56" s="4">
        <v>32</v>
      </c>
      <c r="L56" s="4">
        <v>0.5</v>
      </c>
      <c r="M56" s="5">
        <v>1</v>
      </c>
      <c r="N56" s="31">
        <v>0.5</v>
      </c>
      <c r="O56" s="31">
        <v>0.5</v>
      </c>
      <c r="P56" s="31">
        <v>25</v>
      </c>
      <c r="Q56" s="31">
        <v>20</v>
      </c>
      <c r="R56" s="31">
        <v>0.41</v>
      </c>
      <c r="S56" s="31">
        <v>0.13</v>
      </c>
      <c r="T56" s="65">
        <v>26</v>
      </c>
      <c r="U56" s="31">
        <v>6</v>
      </c>
      <c r="V56" s="31"/>
      <c r="W56" s="31">
        <v>6</v>
      </c>
      <c r="X56" s="31">
        <v>68.333333333333329</v>
      </c>
      <c r="Y56" s="18">
        <v>0</v>
      </c>
      <c r="Z56" s="18" t="s">
        <v>96</v>
      </c>
      <c r="AA56" s="18" t="s">
        <v>333</v>
      </c>
      <c r="AB56" s="18" t="s">
        <v>337</v>
      </c>
      <c r="AC56" s="18">
        <v>20</v>
      </c>
      <c r="AD56" s="18">
        <v>25</v>
      </c>
      <c r="AE56" s="18" t="s">
        <v>29</v>
      </c>
      <c r="AF56" s="18" t="s">
        <v>27</v>
      </c>
      <c r="AG56" s="18" t="s">
        <v>27</v>
      </c>
      <c r="AH56" s="18">
        <v>8.6999999999999993</v>
      </c>
      <c r="AI56" s="18" t="s">
        <v>29</v>
      </c>
      <c r="AJ56" s="18" t="s">
        <v>66</v>
      </c>
      <c r="AK56" s="18" t="s">
        <v>81</v>
      </c>
      <c r="AL56" s="18" t="s">
        <v>100</v>
      </c>
      <c r="AM56" s="18" t="s">
        <v>109</v>
      </c>
      <c r="AN56" s="18" t="s">
        <v>118</v>
      </c>
      <c r="AO56" s="18" t="s">
        <v>198</v>
      </c>
      <c r="AP56" s="18"/>
      <c r="AQ56" s="18"/>
      <c r="AR56" s="18">
        <v>1</v>
      </c>
      <c r="AS56" s="18">
        <v>0</v>
      </c>
      <c r="AT56" s="18">
        <v>0</v>
      </c>
      <c r="AU56" s="18">
        <v>1</v>
      </c>
      <c r="AV56" s="18">
        <v>2</v>
      </c>
      <c r="AW56" s="18">
        <v>4</v>
      </c>
      <c r="AX56" s="49">
        <v>6</v>
      </c>
      <c r="AY56" s="49">
        <f>VLOOKUP(AI56,Leyenda!$B$4:$E$10,4,FALSE)</f>
        <v>2</v>
      </c>
      <c r="AZ56" s="50">
        <v>6</v>
      </c>
      <c r="BA56" s="49">
        <v>4</v>
      </c>
      <c r="BB56" s="49">
        <v>15</v>
      </c>
      <c r="BC56" s="67">
        <v>19</v>
      </c>
      <c r="BD56" s="67">
        <f>VLOOKUP(AI56,Leyenda!$B$4:$E$10,4,FALSE)</f>
        <v>2</v>
      </c>
      <c r="BE56" s="67">
        <v>6</v>
      </c>
      <c r="BF56" s="67">
        <v>6</v>
      </c>
      <c r="BG56" s="67">
        <v>0</v>
      </c>
      <c r="BH56" s="67">
        <v>1</v>
      </c>
      <c r="BI56" s="67">
        <v>2</v>
      </c>
      <c r="BJ56" s="67">
        <v>0</v>
      </c>
      <c r="BK56" s="67">
        <v>1</v>
      </c>
      <c r="BL56" s="67">
        <v>10</v>
      </c>
      <c r="BM56" s="67">
        <f t="shared" si="0"/>
        <v>28</v>
      </c>
      <c r="BN56" s="18">
        <f t="shared" si="1"/>
        <v>33</v>
      </c>
      <c r="BO56" s="18"/>
      <c r="BP56" s="18"/>
      <c r="BS56" s="167"/>
      <c r="BT56" s="167" t="s">
        <v>321</v>
      </c>
      <c r="BU56" s="167">
        <v>20</v>
      </c>
      <c r="BV56" s="167"/>
    </row>
    <row r="57" spans="1:91" ht="15.75" thickBot="1" x14ac:dyDescent="0.3">
      <c r="A57" s="18" t="s">
        <v>6</v>
      </c>
      <c r="B57" s="18">
        <v>2024</v>
      </c>
      <c r="C57" s="18" t="s">
        <v>138</v>
      </c>
      <c r="D57" s="18" t="s">
        <v>130</v>
      </c>
      <c r="E57" s="18">
        <v>20</v>
      </c>
      <c r="F57" s="18">
        <v>20</v>
      </c>
      <c r="G57" s="18" t="s">
        <v>156</v>
      </c>
      <c r="H57" s="18" t="s">
        <v>156</v>
      </c>
      <c r="I57" s="18" t="s">
        <v>181</v>
      </c>
      <c r="J57" s="4">
        <v>32</v>
      </c>
      <c r="K57" s="4">
        <v>32.5</v>
      </c>
      <c r="L57" s="4">
        <v>0.5</v>
      </c>
      <c r="M57" s="5">
        <v>1</v>
      </c>
      <c r="N57" s="31">
        <v>0.5</v>
      </c>
      <c r="O57" s="31">
        <v>0.5</v>
      </c>
      <c r="P57" s="31">
        <v>25</v>
      </c>
      <c r="Q57" s="31">
        <v>20</v>
      </c>
      <c r="R57" s="31">
        <v>0.49</v>
      </c>
      <c r="S57" s="31">
        <v>0.1</v>
      </c>
      <c r="T57" s="65">
        <v>20</v>
      </c>
      <c r="U57" s="31">
        <v>4</v>
      </c>
      <c r="V57" s="31"/>
      <c r="W57" s="31">
        <v>4</v>
      </c>
      <c r="X57" s="31">
        <v>122.5</v>
      </c>
      <c r="Y57" s="18">
        <v>0</v>
      </c>
      <c r="Z57" s="18" t="s">
        <v>96</v>
      </c>
      <c r="AA57" s="18" t="s">
        <v>333</v>
      </c>
      <c r="AB57" s="18" t="s">
        <v>337</v>
      </c>
      <c r="AC57" s="18">
        <v>20</v>
      </c>
      <c r="AD57" s="18">
        <v>25</v>
      </c>
      <c r="AE57" s="18" t="s">
        <v>29</v>
      </c>
      <c r="AF57" s="18" t="s">
        <v>27</v>
      </c>
      <c r="AG57" s="18" t="s">
        <v>27</v>
      </c>
      <c r="AH57" s="18">
        <v>8.6999999999999993</v>
      </c>
      <c r="AI57" s="18" t="s">
        <v>29</v>
      </c>
      <c r="AJ57" s="18" t="s">
        <v>66</v>
      </c>
      <c r="AK57" s="18" t="s">
        <v>79</v>
      </c>
      <c r="AL57" s="18" t="s">
        <v>96</v>
      </c>
      <c r="AM57" s="18" t="s">
        <v>107</v>
      </c>
      <c r="AN57" s="18" t="s">
        <v>118</v>
      </c>
      <c r="AO57" s="18" t="s">
        <v>198</v>
      </c>
      <c r="AP57" s="18"/>
      <c r="AQ57" s="18"/>
      <c r="AR57" s="18">
        <v>1</v>
      </c>
      <c r="AS57" s="18">
        <v>1</v>
      </c>
      <c r="AT57" s="18">
        <v>1</v>
      </c>
      <c r="AU57" s="18">
        <v>3</v>
      </c>
      <c r="AV57" s="18">
        <v>2</v>
      </c>
      <c r="AW57" s="18">
        <v>8</v>
      </c>
      <c r="AX57" s="49">
        <v>4</v>
      </c>
      <c r="AY57" s="49">
        <f>VLOOKUP(AI57,Leyenda!$B$4:$E$10,4,FALSE)</f>
        <v>2</v>
      </c>
      <c r="AZ57" s="50">
        <v>8</v>
      </c>
      <c r="BA57" s="49">
        <v>8</v>
      </c>
      <c r="BB57" s="49">
        <v>15</v>
      </c>
      <c r="BC57" s="67">
        <v>22</v>
      </c>
      <c r="BD57" s="67">
        <f>VLOOKUP(AI57,Leyenda!$B$4:$E$10,4,FALSE)</f>
        <v>2</v>
      </c>
      <c r="BE57" s="67">
        <v>9</v>
      </c>
      <c r="BF57" s="67">
        <v>4</v>
      </c>
      <c r="BG57" s="67">
        <v>1</v>
      </c>
      <c r="BH57" s="67">
        <v>3</v>
      </c>
      <c r="BI57" s="67">
        <v>2</v>
      </c>
      <c r="BJ57" s="67">
        <v>1</v>
      </c>
      <c r="BK57" s="67">
        <v>1</v>
      </c>
      <c r="BL57" s="67">
        <v>10</v>
      </c>
      <c r="BM57" s="67">
        <f t="shared" si="0"/>
        <v>33</v>
      </c>
      <c r="BN57" s="18">
        <f t="shared" si="1"/>
        <v>37</v>
      </c>
      <c r="BO57" s="18"/>
      <c r="BP57" s="18"/>
      <c r="BS57" s="167"/>
      <c r="BT57" s="172" t="s">
        <v>322</v>
      </c>
      <c r="BU57" s="172">
        <v>1.672257733913334</v>
      </c>
      <c r="BV57" s="167"/>
    </row>
    <row r="58" spans="1:91" x14ac:dyDescent="0.25">
      <c r="A58" s="18" t="s">
        <v>6</v>
      </c>
      <c r="B58" s="18">
        <v>2024</v>
      </c>
      <c r="C58" s="18" t="s">
        <v>138</v>
      </c>
      <c r="D58" s="18" t="s">
        <v>130</v>
      </c>
      <c r="E58" s="18">
        <v>20</v>
      </c>
      <c r="F58" s="18">
        <v>20</v>
      </c>
      <c r="G58" s="18" t="s">
        <v>156</v>
      </c>
      <c r="H58" s="18" t="s">
        <v>156</v>
      </c>
      <c r="I58" s="18" t="s">
        <v>181</v>
      </c>
      <c r="J58" s="4">
        <v>32.5</v>
      </c>
      <c r="K58" s="4">
        <v>33</v>
      </c>
      <c r="L58" s="4">
        <v>0.5</v>
      </c>
      <c r="M58" s="5">
        <v>1</v>
      </c>
      <c r="N58" s="31">
        <v>0.5</v>
      </c>
      <c r="O58" s="31">
        <v>0.5</v>
      </c>
      <c r="P58" s="31">
        <v>500</v>
      </c>
      <c r="Q58" s="31">
        <v>1</v>
      </c>
      <c r="R58" s="31">
        <v>0.44</v>
      </c>
      <c r="S58" s="31">
        <v>0.22</v>
      </c>
      <c r="T58" s="65">
        <v>44</v>
      </c>
      <c r="U58" s="31">
        <v>3</v>
      </c>
      <c r="V58" s="31"/>
      <c r="W58" s="31">
        <v>3</v>
      </c>
      <c r="X58" s="31">
        <v>146.66666666666666</v>
      </c>
      <c r="Y58" s="18">
        <v>30</v>
      </c>
      <c r="Z58" s="18" t="s">
        <v>96</v>
      </c>
      <c r="AA58" s="18" t="s">
        <v>116</v>
      </c>
      <c r="AB58" s="18" t="s">
        <v>337</v>
      </c>
      <c r="AC58" s="18">
        <v>1</v>
      </c>
      <c r="AD58" s="18">
        <v>500</v>
      </c>
      <c r="AE58" s="18" t="s">
        <v>29</v>
      </c>
      <c r="AF58" s="18" t="s">
        <v>27</v>
      </c>
      <c r="AG58" s="18" t="s">
        <v>27</v>
      </c>
      <c r="AH58" s="18">
        <v>8.6999999999999993</v>
      </c>
      <c r="AI58" s="18" t="s">
        <v>29</v>
      </c>
      <c r="AJ58" s="18" t="s">
        <v>66</v>
      </c>
      <c r="AK58" s="18" t="s">
        <v>79</v>
      </c>
      <c r="AL58" s="18" t="s">
        <v>96</v>
      </c>
      <c r="AM58" s="18" t="s">
        <v>109</v>
      </c>
      <c r="AN58" s="18" t="s">
        <v>120</v>
      </c>
      <c r="AO58" s="18" t="s">
        <v>198</v>
      </c>
      <c r="AP58" s="18"/>
      <c r="AQ58" s="18"/>
      <c r="AR58" s="18">
        <v>1</v>
      </c>
      <c r="AS58" s="18">
        <v>1</v>
      </c>
      <c r="AT58" s="18">
        <v>1</v>
      </c>
      <c r="AU58" s="18">
        <v>1</v>
      </c>
      <c r="AV58" s="18">
        <v>2</v>
      </c>
      <c r="AW58" s="18">
        <v>6</v>
      </c>
      <c r="AX58" s="49">
        <v>9</v>
      </c>
      <c r="AY58" s="49">
        <f>VLOOKUP(AI58,Leyenda!$B$4:$E$10,4,FALSE)</f>
        <v>2</v>
      </c>
      <c r="AZ58" s="50">
        <v>8</v>
      </c>
      <c r="BA58" s="49">
        <v>6</v>
      </c>
      <c r="BB58" s="49">
        <v>15</v>
      </c>
      <c r="BC58" s="67">
        <v>31</v>
      </c>
      <c r="BD58" s="67">
        <f>VLOOKUP(AI58,Leyenda!$B$4:$E$10,4,FALSE)</f>
        <v>2</v>
      </c>
      <c r="BE58" s="67">
        <v>10</v>
      </c>
      <c r="BF58" s="67">
        <v>9</v>
      </c>
      <c r="BG58" s="67">
        <v>1</v>
      </c>
      <c r="BH58" s="67">
        <v>1</v>
      </c>
      <c r="BI58" s="67">
        <v>2</v>
      </c>
      <c r="BJ58" s="67">
        <v>1</v>
      </c>
      <c r="BK58" s="67">
        <v>1</v>
      </c>
      <c r="BL58" s="67">
        <v>10</v>
      </c>
      <c r="BM58" s="67">
        <f t="shared" si="0"/>
        <v>37</v>
      </c>
      <c r="BN58" s="18">
        <f t="shared" si="1"/>
        <v>40</v>
      </c>
      <c r="BO58" s="18"/>
      <c r="BP58" s="18"/>
      <c r="BS58" s="167"/>
      <c r="BT58" s="167"/>
      <c r="BU58" s="167"/>
      <c r="BV58" s="167"/>
    </row>
    <row r="59" spans="1:91" x14ac:dyDescent="0.25">
      <c r="A59" s="18" t="s">
        <v>6</v>
      </c>
      <c r="B59" s="18">
        <v>2024</v>
      </c>
      <c r="C59" s="18" t="s">
        <v>138</v>
      </c>
      <c r="D59" s="18" t="s">
        <v>130</v>
      </c>
      <c r="E59" s="18">
        <v>20</v>
      </c>
      <c r="F59" s="18">
        <v>20</v>
      </c>
      <c r="G59" s="18" t="s">
        <v>156</v>
      </c>
      <c r="H59" s="18" t="s">
        <v>156</v>
      </c>
      <c r="I59" s="18" t="s">
        <v>181</v>
      </c>
      <c r="J59" s="4">
        <v>33</v>
      </c>
      <c r="K59" s="4">
        <v>33.5</v>
      </c>
      <c r="L59" s="4">
        <v>0.5</v>
      </c>
      <c r="M59" s="5">
        <v>1</v>
      </c>
      <c r="N59" s="31">
        <v>0.5</v>
      </c>
      <c r="O59" s="31">
        <v>0.5</v>
      </c>
      <c r="P59" s="31">
        <v>500</v>
      </c>
      <c r="Q59" s="31">
        <v>1</v>
      </c>
      <c r="R59" s="31">
        <v>0.5</v>
      </c>
      <c r="S59" s="31">
        <v>0.5</v>
      </c>
      <c r="T59" s="65">
        <v>100</v>
      </c>
      <c r="U59" s="31">
        <v>1</v>
      </c>
      <c r="V59" s="31"/>
      <c r="W59" s="31">
        <v>1</v>
      </c>
      <c r="X59" s="31">
        <v>500</v>
      </c>
      <c r="Y59" s="18">
        <v>70</v>
      </c>
      <c r="Z59" s="18" t="s">
        <v>100</v>
      </c>
      <c r="AA59" s="18" t="s">
        <v>116</v>
      </c>
      <c r="AB59" s="18" t="s">
        <v>337</v>
      </c>
      <c r="AC59" s="18">
        <v>1</v>
      </c>
      <c r="AD59" s="18">
        <v>500</v>
      </c>
      <c r="AE59" s="18" t="s">
        <v>29</v>
      </c>
      <c r="AF59" s="18" t="s">
        <v>27</v>
      </c>
      <c r="AG59" s="18" t="s">
        <v>27</v>
      </c>
      <c r="AH59" s="18">
        <v>8.6999999999999993</v>
      </c>
      <c r="AI59" s="18" t="s">
        <v>29</v>
      </c>
      <c r="AJ59" s="18" t="s">
        <v>66</v>
      </c>
      <c r="AK59" s="18" t="s">
        <v>77</v>
      </c>
      <c r="AL59" s="18" t="s">
        <v>96</v>
      </c>
      <c r="AM59" s="18" t="s">
        <v>109</v>
      </c>
      <c r="AN59" s="18" t="s">
        <v>118</v>
      </c>
      <c r="AO59" s="18" t="s">
        <v>198</v>
      </c>
      <c r="AP59" s="18"/>
      <c r="AQ59" s="18"/>
      <c r="AR59" s="18">
        <v>1</v>
      </c>
      <c r="AS59" s="18">
        <v>3</v>
      </c>
      <c r="AT59" s="18">
        <v>1</v>
      </c>
      <c r="AU59" s="18">
        <v>1</v>
      </c>
      <c r="AV59" s="18">
        <v>2</v>
      </c>
      <c r="AW59" s="18">
        <v>8</v>
      </c>
      <c r="AX59" s="49">
        <v>20</v>
      </c>
      <c r="AY59" s="49">
        <f>VLOOKUP(AI59,Leyenda!$B$4:$E$10,4,FALSE)</f>
        <v>2</v>
      </c>
      <c r="AZ59" s="50">
        <v>12</v>
      </c>
      <c r="BA59" s="49">
        <v>8</v>
      </c>
      <c r="BB59" s="49">
        <v>15</v>
      </c>
      <c r="BC59" s="67">
        <v>62</v>
      </c>
      <c r="BD59" s="67">
        <f>VLOOKUP(AI59,Leyenda!$B$4:$E$10,4,FALSE)</f>
        <v>2</v>
      </c>
      <c r="BE59" s="67">
        <v>18</v>
      </c>
      <c r="BF59" s="67">
        <v>20</v>
      </c>
      <c r="BG59" s="67">
        <v>1</v>
      </c>
      <c r="BH59" s="67">
        <v>1</v>
      </c>
      <c r="BI59" s="67">
        <v>2</v>
      </c>
      <c r="BJ59" s="67">
        <v>3</v>
      </c>
      <c r="BK59" s="67">
        <v>1</v>
      </c>
      <c r="BL59" s="67">
        <v>10</v>
      </c>
      <c r="BM59" s="67">
        <f t="shared" si="0"/>
        <v>58</v>
      </c>
      <c r="BN59" s="18">
        <f t="shared" si="1"/>
        <v>57</v>
      </c>
      <c r="BO59" s="18"/>
      <c r="BP59" s="18"/>
      <c r="BS59" s="167"/>
      <c r="BT59" s="167"/>
      <c r="BU59" s="167"/>
      <c r="BV59" s="167"/>
    </row>
    <row r="60" spans="1:91" x14ac:dyDescent="0.25">
      <c r="A60" s="18" t="s">
        <v>6</v>
      </c>
      <c r="B60" s="18">
        <v>2024</v>
      </c>
      <c r="C60" s="18" t="s">
        <v>138</v>
      </c>
      <c r="D60" s="18" t="s">
        <v>130</v>
      </c>
      <c r="E60" s="18">
        <v>20</v>
      </c>
      <c r="F60" s="18">
        <v>20</v>
      </c>
      <c r="G60" s="18" t="s">
        <v>156</v>
      </c>
      <c r="H60" s="18" t="s">
        <v>156</v>
      </c>
      <c r="I60" s="18" t="s">
        <v>181</v>
      </c>
      <c r="J60" s="4">
        <v>33.5</v>
      </c>
      <c r="K60" s="4">
        <v>34</v>
      </c>
      <c r="L60" s="4">
        <v>0.5</v>
      </c>
      <c r="M60" s="5">
        <v>1</v>
      </c>
      <c r="N60" s="31">
        <v>0.5</v>
      </c>
      <c r="O60" s="31">
        <v>0.5</v>
      </c>
      <c r="P60" s="31">
        <v>100</v>
      </c>
      <c r="Q60" s="31">
        <v>5</v>
      </c>
      <c r="R60" s="31">
        <v>0.47</v>
      </c>
      <c r="S60" s="31">
        <v>0.27</v>
      </c>
      <c r="T60" s="65">
        <v>54</v>
      </c>
      <c r="U60" s="31">
        <v>3</v>
      </c>
      <c r="V60" s="31"/>
      <c r="W60" s="31">
        <v>3</v>
      </c>
      <c r="X60" s="31">
        <v>156.66666666666666</v>
      </c>
      <c r="Y60" s="18">
        <v>72</v>
      </c>
      <c r="Z60" s="18" t="s">
        <v>100</v>
      </c>
      <c r="AA60" s="18" t="s">
        <v>118</v>
      </c>
      <c r="AB60" s="18" t="s">
        <v>337</v>
      </c>
      <c r="AC60" s="18">
        <v>5</v>
      </c>
      <c r="AD60" s="18">
        <v>100</v>
      </c>
      <c r="AE60" s="18" t="s">
        <v>29</v>
      </c>
      <c r="AF60" s="18" t="s">
        <v>27</v>
      </c>
      <c r="AG60" s="18" t="s">
        <v>27</v>
      </c>
      <c r="AH60" s="18">
        <v>8.6999999999999993</v>
      </c>
      <c r="AI60" s="18" t="s">
        <v>29</v>
      </c>
      <c r="AJ60" s="18" t="s">
        <v>66</v>
      </c>
      <c r="AK60" s="18" t="s">
        <v>77</v>
      </c>
      <c r="AL60" s="18" t="s">
        <v>96</v>
      </c>
      <c r="AM60" s="18" t="s">
        <v>109</v>
      </c>
      <c r="AN60" s="18" t="s">
        <v>118</v>
      </c>
      <c r="AO60" s="18" t="s">
        <v>198</v>
      </c>
      <c r="AP60" s="18"/>
      <c r="AQ60" s="18"/>
      <c r="AR60" s="18">
        <v>1</v>
      </c>
      <c r="AS60" s="18">
        <v>3</v>
      </c>
      <c r="AT60" s="18">
        <v>1</v>
      </c>
      <c r="AU60" s="18">
        <v>1</v>
      </c>
      <c r="AV60" s="18">
        <v>2</v>
      </c>
      <c r="AW60" s="18">
        <v>8</v>
      </c>
      <c r="AX60" s="49">
        <v>11</v>
      </c>
      <c r="AY60" s="49">
        <f>VLOOKUP(AI60,Leyenda!$B$4:$E$10,4,FALSE)</f>
        <v>2</v>
      </c>
      <c r="AZ60" s="50">
        <v>8</v>
      </c>
      <c r="BA60" s="49">
        <v>8</v>
      </c>
      <c r="BB60" s="49">
        <v>15</v>
      </c>
      <c r="BC60" s="67">
        <v>39</v>
      </c>
      <c r="BD60" s="67">
        <f>VLOOKUP(AI60,Leyenda!$B$4:$E$10,4,FALSE)</f>
        <v>2</v>
      </c>
      <c r="BE60" s="67">
        <v>11</v>
      </c>
      <c r="BF60" s="67">
        <v>11</v>
      </c>
      <c r="BG60" s="67">
        <v>1</v>
      </c>
      <c r="BH60" s="67">
        <v>1</v>
      </c>
      <c r="BI60" s="67">
        <v>2</v>
      </c>
      <c r="BJ60" s="67">
        <v>3</v>
      </c>
      <c r="BK60" s="67">
        <v>1</v>
      </c>
      <c r="BL60" s="67">
        <v>10</v>
      </c>
      <c r="BM60" s="67">
        <f t="shared" si="0"/>
        <v>42</v>
      </c>
      <c r="BN60" s="18">
        <f t="shared" si="1"/>
        <v>44</v>
      </c>
      <c r="BO60" s="18"/>
      <c r="BP60" s="18"/>
    </row>
    <row r="61" spans="1:91" ht="15.75" thickBot="1" x14ac:dyDescent="0.3">
      <c r="A61" s="18" t="s">
        <v>6</v>
      </c>
      <c r="B61" s="18">
        <v>2024</v>
      </c>
      <c r="C61" s="18" t="s">
        <v>138</v>
      </c>
      <c r="D61" s="18" t="s">
        <v>130</v>
      </c>
      <c r="E61" s="18">
        <v>20</v>
      </c>
      <c r="F61" s="18">
        <v>20</v>
      </c>
      <c r="G61" s="18" t="s">
        <v>156</v>
      </c>
      <c r="H61" s="18" t="s">
        <v>156</v>
      </c>
      <c r="I61" s="18" t="s">
        <v>181</v>
      </c>
      <c r="J61" s="4">
        <v>34</v>
      </c>
      <c r="K61" s="4">
        <v>34.5</v>
      </c>
      <c r="L61" s="4">
        <v>0.5</v>
      </c>
      <c r="M61" s="5">
        <v>1</v>
      </c>
      <c r="N61" s="31">
        <v>0.5</v>
      </c>
      <c r="O61" s="31">
        <v>0.5</v>
      </c>
      <c r="P61" s="31">
        <v>25</v>
      </c>
      <c r="Q61" s="31">
        <v>20</v>
      </c>
      <c r="R61" s="31">
        <v>0.48</v>
      </c>
      <c r="S61" s="31">
        <v>0</v>
      </c>
      <c r="T61" s="65">
        <v>0</v>
      </c>
      <c r="U61" s="31">
        <v>8</v>
      </c>
      <c r="V61" s="31"/>
      <c r="W61" s="31">
        <v>8</v>
      </c>
      <c r="X61" s="31">
        <v>60</v>
      </c>
      <c r="Y61" s="18">
        <v>0</v>
      </c>
      <c r="Z61" s="18" t="s">
        <v>100</v>
      </c>
      <c r="AA61" s="18" t="s">
        <v>333</v>
      </c>
      <c r="AB61" s="18" t="s">
        <v>337</v>
      </c>
      <c r="AC61" s="18">
        <v>20</v>
      </c>
      <c r="AD61" s="18">
        <v>25</v>
      </c>
      <c r="AE61" s="18" t="s">
        <v>29</v>
      </c>
      <c r="AF61" s="18" t="s">
        <v>27</v>
      </c>
      <c r="AG61" s="18" t="s">
        <v>27</v>
      </c>
      <c r="AH61" s="18">
        <v>8.6999999999999993</v>
      </c>
      <c r="AI61" s="18" t="s">
        <v>29</v>
      </c>
      <c r="AJ61" s="18" t="s">
        <v>66</v>
      </c>
      <c r="AK61" s="18" t="s">
        <v>79</v>
      </c>
      <c r="AL61" s="18" t="s">
        <v>96</v>
      </c>
      <c r="AM61" s="18" t="s">
        <v>109</v>
      </c>
      <c r="AN61" s="18" t="s">
        <v>118</v>
      </c>
      <c r="AO61" s="18" t="s">
        <v>198</v>
      </c>
      <c r="AP61" s="18"/>
      <c r="AQ61" s="18"/>
      <c r="AR61" s="18">
        <v>1</v>
      </c>
      <c r="AS61" s="18">
        <v>1</v>
      </c>
      <c r="AT61" s="18">
        <v>1</v>
      </c>
      <c r="AU61" s="18">
        <v>1</v>
      </c>
      <c r="AV61" s="18">
        <v>2</v>
      </c>
      <c r="AW61" s="18">
        <v>6</v>
      </c>
      <c r="AX61" s="49">
        <v>0</v>
      </c>
      <c r="AY61" s="49">
        <f>VLOOKUP(AI61,Leyenda!$B$4:$E$10,4,FALSE)</f>
        <v>2</v>
      </c>
      <c r="AZ61" s="50">
        <v>6</v>
      </c>
      <c r="BA61" s="49">
        <v>6</v>
      </c>
      <c r="BB61" s="49">
        <v>15</v>
      </c>
      <c r="BC61" s="67">
        <v>9</v>
      </c>
      <c r="BD61" s="67">
        <f>VLOOKUP(AI61,Leyenda!$B$4:$E$10,4,FALSE)</f>
        <v>2</v>
      </c>
      <c r="BE61" s="67">
        <v>5</v>
      </c>
      <c r="BF61" s="67">
        <v>0</v>
      </c>
      <c r="BG61" s="67">
        <v>1</v>
      </c>
      <c r="BH61" s="67">
        <v>1</v>
      </c>
      <c r="BI61" s="67">
        <v>2</v>
      </c>
      <c r="BJ61" s="67">
        <v>1</v>
      </c>
      <c r="BK61" s="67">
        <v>1</v>
      </c>
      <c r="BL61" s="67">
        <v>10</v>
      </c>
      <c r="BM61" s="67">
        <f t="shared" si="0"/>
        <v>23</v>
      </c>
      <c r="BN61" s="18">
        <f t="shared" si="1"/>
        <v>29</v>
      </c>
      <c r="BO61" s="18"/>
      <c r="BP61" s="18"/>
    </row>
    <row r="62" spans="1:91" x14ac:dyDescent="0.25">
      <c r="A62" s="18" t="s">
        <v>6</v>
      </c>
      <c r="B62" s="18">
        <v>2024</v>
      </c>
      <c r="C62" s="18" t="s">
        <v>138</v>
      </c>
      <c r="D62" s="18" t="s">
        <v>130</v>
      </c>
      <c r="E62" s="18">
        <v>20</v>
      </c>
      <c r="F62" s="18">
        <v>20</v>
      </c>
      <c r="G62" s="18" t="s">
        <v>156</v>
      </c>
      <c r="H62" s="18" t="s">
        <v>156</v>
      </c>
      <c r="I62" s="18" t="s">
        <v>181</v>
      </c>
      <c r="J62" s="4">
        <v>34.5</v>
      </c>
      <c r="K62" s="4">
        <v>35</v>
      </c>
      <c r="L62" s="4">
        <v>0.5</v>
      </c>
      <c r="M62" s="5">
        <v>1</v>
      </c>
      <c r="N62" s="31">
        <v>0.5</v>
      </c>
      <c r="O62" s="31">
        <v>0.5</v>
      </c>
      <c r="P62" s="31">
        <v>500</v>
      </c>
      <c r="Q62" s="31">
        <v>1</v>
      </c>
      <c r="R62" s="31">
        <v>0.4</v>
      </c>
      <c r="S62" s="31">
        <v>0.25</v>
      </c>
      <c r="T62" s="65">
        <v>50</v>
      </c>
      <c r="U62" s="31">
        <v>3</v>
      </c>
      <c r="V62" s="31"/>
      <c r="W62" s="31">
        <v>3</v>
      </c>
      <c r="X62" s="31">
        <v>133.33333333333334</v>
      </c>
      <c r="Y62" s="18">
        <v>52</v>
      </c>
      <c r="Z62" s="18" t="s">
        <v>100</v>
      </c>
      <c r="AA62" s="18" t="s">
        <v>116</v>
      </c>
      <c r="AB62" s="18" t="s">
        <v>337</v>
      </c>
      <c r="AC62" s="18">
        <v>1</v>
      </c>
      <c r="AD62" s="18">
        <v>500</v>
      </c>
      <c r="AE62" s="18" t="s">
        <v>29</v>
      </c>
      <c r="AF62" s="18" t="s">
        <v>29</v>
      </c>
      <c r="AG62" s="18" t="s">
        <v>29</v>
      </c>
      <c r="AH62" s="18">
        <v>8.6999999999999993</v>
      </c>
      <c r="AI62" s="18" t="s">
        <v>29</v>
      </c>
      <c r="AJ62" s="18" t="s">
        <v>66</v>
      </c>
      <c r="AK62" s="18" t="s">
        <v>79</v>
      </c>
      <c r="AL62" s="18" t="s">
        <v>96</v>
      </c>
      <c r="AM62" s="18" t="s">
        <v>109</v>
      </c>
      <c r="AN62" s="18" t="s">
        <v>120</v>
      </c>
      <c r="AO62" s="18" t="s">
        <v>198</v>
      </c>
      <c r="AP62" s="18"/>
      <c r="AQ62" s="18"/>
      <c r="AR62" s="18">
        <v>1</v>
      </c>
      <c r="AS62" s="18">
        <v>1</v>
      </c>
      <c r="AT62" s="18">
        <v>1</v>
      </c>
      <c r="AU62" s="18">
        <v>1</v>
      </c>
      <c r="AV62" s="18">
        <v>2</v>
      </c>
      <c r="AW62" s="18">
        <v>6</v>
      </c>
      <c r="AX62" s="49">
        <v>10</v>
      </c>
      <c r="AY62" s="49">
        <f>VLOOKUP(AI62,Leyenda!$B$4:$E$10,4,FALSE)</f>
        <v>2</v>
      </c>
      <c r="AZ62" s="50">
        <v>8</v>
      </c>
      <c r="BA62" s="49">
        <v>6</v>
      </c>
      <c r="BB62" s="49">
        <v>15</v>
      </c>
      <c r="BC62" s="67">
        <v>34</v>
      </c>
      <c r="BD62" s="67">
        <f>VLOOKUP(AI62,Leyenda!$B$4:$E$10,4,FALSE)</f>
        <v>2</v>
      </c>
      <c r="BE62" s="67">
        <v>10</v>
      </c>
      <c r="BF62" s="67">
        <v>10</v>
      </c>
      <c r="BG62" s="67">
        <v>1</v>
      </c>
      <c r="BH62" s="67">
        <v>1</v>
      </c>
      <c r="BI62" s="67">
        <v>2</v>
      </c>
      <c r="BJ62" s="67">
        <v>1</v>
      </c>
      <c r="BK62" s="67">
        <v>1</v>
      </c>
      <c r="BL62" s="67">
        <v>10</v>
      </c>
      <c r="BM62" s="67">
        <f t="shared" si="0"/>
        <v>38</v>
      </c>
      <c r="BN62" s="18">
        <f t="shared" si="1"/>
        <v>41</v>
      </c>
      <c r="BO62" s="18"/>
      <c r="BP62" s="18"/>
      <c r="CC62" s="167"/>
      <c r="CD62" s="167" t="s">
        <v>587</v>
      </c>
      <c r="CE62" s="167">
        <v>20</v>
      </c>
      <c r="CG62" s="96" t="s">
        <v>287</v>
      </c>
      <c r="CH62" s="96" t="s">
        <v>288</v>
      </c>
      <c r="CI62" s="96" t="s">
        <v>582</v>
      </c>
      <c r="CJ62" s="96" t="s">
        <v>287</v>
      </c>
      <c r="CK62" s="96" t="s">
        <v>288</v>
      </c>
      <c r="CL62" s="96" t="s">
        <v>582</v>
      </c>
      <c r="CM62" s="39" t="s">
        <v>642</v>
      </c>
    </row>
    <row r="63" spans="1:91" x14ac:dyDescent="0.25">
      <c r="A63" s="18" t="s">
        <v>6</v>
      </c>
      <c r="B63" s="18">
        <v>2024</v>
      </c>
      <c r="C63" s="18" t="s">
        <v>138</v>
      </c>
      <c r="D63" s="18" t="s">
        <v>130</v>
      </c>
      <c r="E63" s="18">
        <v>20</v>
      </c>
      <c r="F63" s="18">
        <v>20</v>
      </c>
      <c r="G63" s="18" t="s">
        <v>156</v>
      </c>
      <c r="H63" s="18" t="s">
        <v>156</v>
      </c>
      <c r="I63" s="18" t="s">
        <v>181</v>
      </c>
      <c r="J63" s="4">
        <v>35</v>
      </c>
      <c r="K63" s="4">
        <v>35.5</v>
      </c>
      <c r="L63" s="4">
        <v>0.5</v>
      </c>
      <c r="M63" s="5">
        <v>1</v>
      </c>
      <c r="N63" s="31">
        <v>0.5</v>
      </c>
      <c r="O63" s="31">
        <v>0.5</v>
      </c>
      <c r="P63" s="31">
        <v>25</v>
      </c>
      <c r="Q63" s="31">
        <v>20</v>
      </c>
      <c r="R63" s="31">
        <v>0.43000000000000005</v>
      </c>
      <c r="S63" s="31">
        <v>0</v>
      </c>
      <c r="T63" s="65">
        <v>0</v>
      </c>
      <c r="U63" s="31">
        <v>5</v>
      </c>
      <c r="V63" s="31"/>
      <c r="W63" s="31">
        <v>5</v>
      </c>
      <c r="X63" s="31">
        <v>86.000000000000014</v>
      </c>
      <c r="Y63" s="18">
        <v>0</v>
      </c>
      <c r="Z63" s="18" t="s">
        <v>100</v>
      </c>
      <c r="AA63" s="18" t="s">
        <v>333</v>
      </c>
      <c r="AB63" s="18" t="s">
        <v>337</v>
      </c>
      <c r="AC63" s="18">
        <v>20</v>
      </c>
      <c r="AD63" s="18">
        <v>25</v>
      </c>
      <c r="AE63" s="18" t="s">
        <v>29</v>
      </c>
      <c r="AF63" s="18" t="s">
        <v>29</v>
      </c>
      <c r="AG63" s="18" t="s">
        <v>29</v>
      </c>
      <c r="AH63" s="18">
        <v>8.6999999999999993</v>
      </c>
      <c r="AI63" s="18" t="s">
        <v>29</v>
      </c>
      <c r="AJ63" s="18" t="s">
        <v>66</v>
      </c>
      <c r="AK63" s="18" t="s">
        <v>79</v>
      </c>
      <c r="AL63" s="18" t="s">
        <v>96</v>
      </c>
      <c r="AM63" s="18" t="s">
        <v>107</v>
      </c>
      <c r="AN63" s="18" t="s">
        <v>580</v>
      </c>
      <c r="AO63" s="18" t="s">
        <v>198</v>
      </c>
      <c r="AP63" s="18"/>
      <c r="AQ63" s="18"/>
      <c r="AR63" s="18">
        <v>1</v>
      </c>
      <c r="AS63" s="18">
        <v>1</v>
      </c>
      <c r="AT63" s="18">
        <v>1</v>
      </c>
      <c r="AU63" s="18">
        <v>3</v>
      </c>
      <c r="AV63" s="18">
        <v>2</v>
      </c>
      <c r="AW63" s="18">
        <v>8</v>
      </c>
      <c r="AX63" s="49">
        <v>0</v>
      </c>
      <c r="AY63" s="49">
        <f>VLOOKUP(AI63,Leyenda!$B$4:$E$10,4,FALSE)</f>
        <v>2</v>
      </c>
      <c r="AZ63" s="50">
        <v>7</v>
      </c>
      <c r="BA63" s="49">
        <v>8</v>
      </c>
      <c r="BB63" s="49">
        <v>15</v>
      </c>
      <c r="BC63" s="67">
        <v>12</v>
      </c>
      <c r="BD63" s="67">
        <f>VLOOKUP(AI63,Leyenda!$B$4:$E$10,4,FALSE)</f>
        <v>2</v>
      </c>
      <c r="BE63" s="67">
        <v>7</v>
      </c>
      <c r="BF63" s="67">
        <v>0</v>
      </c>
      <c r="BG63" s="67">
        <v>1</v>
      </c>
      <c r="BH63" s="67">
        <v>3</v>
      </c>
      <c r="BI63" s="67">
        <v>2</v>
      </c>
      <c r="BJ63" s="67">
        <v>1</v>
      </c>
      <c r="BK63" s="67">
        <v>1</v>
      </c>
      <c r="BL63" s="67">
        <v>10</v>
      </c>
      <c r="BM63" s="67">
        <f t="shared" si="0"/>
        <v>27</v>
      </c>
      <c r="BN63" s="18">
        <f t="shared" si="1"/>
        <v>32</v>
      </c>
      <c r="BO63" s="18"/>
      <c r="BP63" s="18"/>
      <c r="CC63" s="167"/>
      <c r="CD63" s="167" t="s">
        <v>588</v>
      </c>
      <c r="CE63" s="167">
        <v>40</v>
      </c>
      <c r="CF63" t="s">
        <v>587</v>
      </c>
      <c r="CG63">
        <v>20</v>
      </c>
      <c r="CH63">
        <v>3</v>
      </c>
      <c r="CI63" s="55">
        <v>4.4776119402985072E-2</v>
      </c>
      <c r="CJ63">
        <v>40</v>
      </c>
      <c r="CK63">
        <v>60</v>
      </c>
      <c r="CL63" s="55">
        <v>0.89552238805970152</v>
      </c>
      <c r="CM63" s="42">
        <f>+CH63/$CH$68</f>
        <v>4.4776119402985072E-2</v>
      </c>
    </row>
    <row r="64" spans="1:91" x14ac:dyDescent="0.25">
      <c r="A64" s="18" t="s">
        <v>6</v>
      </c>
      <c r="B64" s="18">
        <v>2024</v>
      </c>
      <c r="C64" s="18" t="s">
        <v>138</v>
      </c>
      <c r="D64" s="18" t="s">
        <v>130</v>
      </c>
      <c r="E64" s="18">
        <v>20</v>
      </c>
      <c r="F64" s="18">
        <v>20</v>
      </c>
      <c r="G64" s="18" t="s">
        <v>156</v>
      </c>
      <c r="H64" s="18" t="s">
        <v>156</v>
      </c>
      <c r="I64" s="18" t="s">
        <v>181</v>
      </c>
      <c r="J64" s="4">
        <v>35.5</v>
      </c>
      <c r="K64" s="4">
        <v>36</v>
      </c>
      <c r="L64" s="4">
        <v>0.5</v>
      </c>
      <c r="M64" s="5">
        <v>1</v>
      </c>
      <c r="N64" s="31">
        <v>0.5</v>
      </c>
      <c r="O64" s="31">
        <v>0.5</v>
      </c>
      <c r="P64" s="31">
        <v>25</v>
      </c>
      <c r="Q64" s="31">
        <v>20</v>
      </c>
      <c r="R64" s="31">
        <v>0.5</v>
      </c>
      <c r="S64" s="31">
        <v>0</v>
      </c>
      <c r="T64" s="65">
        <v>0</v>
      </c>
      <c r="U64" s="31">
        <v>8</v>
      </c>
      <c r="V64" s="31"/>
      <c r="W64" s="31">
        <v>8</v>
      </c>
      <c r="X64" s="31">
        <v>62.5</v>
      </c>
      <c r="Y64" s="18">
        <v>0</v>
      </c>
      <c r="Z64" s="18" t="s">
        <v>100</v>
      </c>
      <c r="AA64" s="18" t="s">
        <v>333</v>
      </c>
      <c r="AB64" s="18" t="s">
        <v>337</v>
      </c>
      <c r="AC64" s="18">
        <v>20</v>
      </c>
      <c r="AD64" s="18">
        <v>25</v>
      </c>
      <c r="AE64" s="18" t="s">
        <v>29</v>
      </c>
      <c r="AF64" s="18" t="s">
        <v>196</v>
      </c>
      <c r="AG64" s="18" t="s">
        <v>196</v>
      </c>
      <c r="AH64" s="18">
        <v>8.6999999999999993</v>
      </c>
      <c r="AI64" s="18" t="s">
        <v>29</v>
      </c>
      <c r="AJ64" s="18" t="s">
        <v>66</v>
      </c>
      <c r="AK64" s="18" t="s">
        <v>79</v>
      </c>
      <c r="AL64" s="18" t="s">
        <v>96</v>
      </c>
      <c r="AM64" s="18" t="s">
        <v>109</v>
      </c>
      <c r="AN64" s="18" t="s">
        <v>118</v>
      </c>
      <c r="AO64" s="18" t="s">
        <v>198</v>
      </c>
      <c r="AP64" s="18"/>
      <c r="AQ64" s="18"/>
      <c r="AR64" s="18">
        <v>1</v>
      </c>
      <c r="AS64" s="18">
        <v>1</v>
      </c>
      <c r="AT64" s="18">
        <v>1</v>
      </c>
      <c r="AU64" s="18">
        <v>1</v>
      </c>
      <c r="AV64" s="18">
        <v>2</v>
      </c>
      <c r="AW64" s="18">
        <v>6</v>
      </c>
      <c r="AX64" s="49">
        <v>0</v>
      </c>
      <c r="AY64" s="49">
        <f>VLOOKUP(AI64,Leyenda!$B$4:$E$10,4,FALSE)</f>
        <v>2</v>
      </c>
      <c r="AZ64" s="50">
        <v>6</v>
      </c>
      <c r="BA64" s="49">
        <v>6</v>
      </c>
      <c r="BB64" s="49">
        <v>15</v>
      </c>
      <c r="BC64" s="67">
        <v>9</v>
      </c>
      <c r="BD64" s="67">
        <f>VLOOKUP(AI64,Leyenda!$B$4:$E$10,4,FALSE)</f>
        <v>2</v>
      </c>
      <c r="BE64" s="67">
        <v>5</v>
      </c>
      <c r="BF64" s="67">
        <v>0</v>
      </c>
      <c r="BG64" s="67">
        <v>1</v>
      </c>
      <c r="BH64" s="67">
        <v>1</v>
      </c>
      <c r="BI64" s="67">
        <v>2</v>
      </c>
      <c r="BJ64" s="67">
        <v>1</v>
      </c>
      <c r="BK64" s="67">
        <v>1</v>
      </c>
      <c r="BL64" s="67">
        <v>10</v>
      </c>
      <c r="BM64" s="67">
        <f t="shared" si="0"/>
        <v>23</v>
      </c>
      <c r="BN64" s="18">
        <f t="shared" si="1"/>
        <v>29</v>
      </c>
      <c r="BO64" s="18"/>
      <c r="BP64" s="18"/>
      <c r="CC64" s="167"/>
      <c r="CD64" s="167" t="s">
        <v>589</v>
      </c>
      <c r="CE64" s="167">
        <v>60</v>
      </c>
      <c r="CF64" t="s">
        <v>588</v>
      </c>
      <c r="CG64">
        <v>40</v>
      </c>
      <c r="CH64">
        <v>60</v>
      </c>
      <c r="CI64" s="55">
        <v>0.94029850746268662</v>
      </c>
      <c r="CJ64">
        <v>60</v>
      </c>
      <c r="CK64">
        <v>4</v>
      </c>
      <c r="CL64" s="55">
        <v>0.95522388059701491</v>
      </c>
      <c r="CM64" s="42">
        <f t="shared" ref="CM64:CM67" si="8">+CH64/$CH$68</f>
        <v>0.89552238805970152</v>
      </c>
    </row>
    <row r="65" spans="1:91" x14ac:dyDescent="0.25">
      <c r="A65" s="18" t="s">
        <v>6</v>
      </c>
      <c r="B65" s="18">
        <v>2024</v>
      </c>
      <c r="C65" s="18" t="s">
        <v>138</v>
      </c>
      <c r="D65" s="18" t="s">
        <v>130</v>
      </c>
      <c r="E65" s="18">
        <v>20</v>
      </c>
      <c r="F65" s="18">
        <v>20</v>
      </c>
      <c r="G65" s="18" t="s">
        <v>156</v>
      </c>
      <c r="H65" s="18" t="s">
        <v>156</v>
      </c>
      <c r="I65" s="18" t="s">
        <v>181</v>
      </c>
      <c r="J65" s="4">
        <v>36</v>
      </c>
      <c r="K65" s="4">
        <v>36.5</v>
      </c>
      <c r="L65" s="4">
        <v>0.5</v>
      </c>
      <c r="M65" s="5">
        <v>1</v>
      </c>
      <c r="N65" s="31">
        <v>0.5</v>
      </c>
      <c r="O65" s="31">
        <v>0.5</v>
      </c>
      <c r="P65" s="31">
        <v>25</v>
      </c>
      <c r="Q65" s="31">
        <v>20</v>
      </c>
      <c r="R65" s="31">
        <v>0.48</v>
      </c>
      <c r="S65" s="31">
        <v>0</v>
      </c>
      <c r="T65" s="65">
        <v>0</v>
      </c>
      <c r="U65" s="31">
        <v>7</v>
      </c>
      <c r="V65" s="31"/>
      <c r="W65" s="31">
        <v>7</v>
      </c>
      <c r="X65" s="31">
        <v>68.571428571428569</v>
      </c>
      <c r="Y65" s="18">
        <v>0</v>
      </c>
      <c r="Z65" s="18" t="s">
        <v>100</v>
      </c>
      <c r="AA65" s="18" t="s">
        <v>333</v>
      </c>
      <c r="AB65" s="18" t="s">
        <v>337</v>
      </c>
      <c r="AC65" s="18">
        <v>20</v>
      </c>
      <c r="AD65" s="18">
        <v>25</v>
      </c>
      <c r="AE65" s="18" t="s">
        <v>29</v>
      </c>
      <c r="AF65" s="18" t="s">
        <v>199</v>
      </c>
      <c r="AG65" s="18" t="s">
        <v>199</v>
      </c>
      <c r="AH65" s="18">
        <v>8.6999999999999993</v>
      </c>
      <c r="AI65" s="18" t="s">
        <v>29</v>
      </c>
      <c r="AJ65" s="18" t="s">
        <v>66</v>
      </c>
      <c r="AK65" s="18" t="s">
        <v>81</v>
      </c>
      <c r="AL65" s="18" t="s">
        <v>96</v>
      </c>
      <c r="AM65" s="18" t="s">
        <v>109</v>
      </c>
      <c r="AN65" s="18" t="s">
        <v>120</v>
      </c>
      <c r="AO65" s="18" t="s">
        <v>198</v>
      </c>
      <c r="AP65" s="18"/>
      <c r="AQ65" s="18"/>
      <c r="AR65" s="18">
        <v>1</v>
      </c>
      <c r="AS65" s="18">
        <v>0</v>
      </c>
      <c r="AT65" s="18">
        <v>1</v>
      </c>
      <c r="AU65" s="18">
        <v>1</v>
      </c>
      <c r="AV65" s="18">
        <v>2</v>
      </c>
      <c r="AW65" s="18">
        <v>5</v>
      </c>
      <c r="AX65" s="49">
        <v>0</v>
      </c>
      <c r="AY65" s="49">
        <f>VLOOKUP(AI65,Leyenda!$B$4:$E$10,4,FALSE)</f>
        <v>2</v>
      </c>
      <c r="AZ65" s="50">
        <v>6</v>
      </c>
      <c r="BA65" s="49">
        <v>5</v>
      </c>
      <c r="BB65" s="49">
        <v>15</v>
      </c>
      <c r="BC65" s="67">
        <v>7.5</v>
      </c>
      <c r="BD65" s="67">
        <f>VLOOKUP(AI65,Leyenda!$B$4:$E$10,4,FALSE)</f>
        <v>2</v>
      </c>
      <c r="BE65" s="67">
        <v>6</v>
      </c>
      <c r="BF65" s="67">
        <v>0</v>
      </c>
      <c r="BG65" s="67">
        <v>1</v>
      </c>
      <c r="BH65" s="67">
        <v>1</v>
      </c>
      <c r="BI65" s="67">
        <v>2</v>
      </c>
      <c r="BJ65" s="67">
        <v>0</v>
      </c>
      <c r="BK65" s="67">
        <v>1</v>
      </c>
      <c r="BL65" s="67">
        <v>10</v>
      </c>
      <c r="BM65" s="67">
        <f t="shared" si="0"/>
        <v>23</v>
      </c>
      <c r="BN65" s="18">
        <f t="shared" si="1"/>
        <v>28</v>
      </c>
      <c r="BO65" s="18"/>
      <c r="BP65" s="18"/>
      <c r="CC65" s="167"/>
      <c r="CD65" s="167" t="s">
        <v>590</v>
      </c>
      <c r="CE65" s="167">
        <v>80</v>
      </c>
      <c r="CF65" t="s">
        <v>589</v>
      </c>
      <c r="CG65">
        <v>60</v>
      </c>
      <c r="CH65">
        <v>4</v>
      </c>
      <c r="CI65" s="55">
        <v>1</v>
      </c>
      <c r="CJ65">
        <v>20</v>
      </c>
      <c r="CK65">
        <v>3</v>
      </c>
      <c r="CL65" s="55">
        <v>1</v>
      </c>
      <c r="CM65" s="42">
        <f t="shared" si="8"/>
        <v>5.9701492537313432E-2</v>
      </c>
    </row>
    <row r="66" spans="1:91" x14ac:dyDescent="0.25">
      <c r="A66" s="18" t="s">
        <v>6</v>
      </c>
      <c r="B66" s="18">
        <v>2024</v>
      </c>
      <c r="C66" s="18" t="s">
        <v>138</v>
      </c>
      <c r="D66" s="18" t="s">
        <v>130</v>
      </c>
      <c r="E66" s="18">
        <v>20</v>
      </c>
      <c r="F66" s="18">
        <v>20</v>
      </c>
      <c r="G66" s="18" t="s">
        <v>156</v>
      </c>
      <c r="H66" s="18" t="s">
        <v>156</v>
      </c>
      <c r="I66" s="18" t="s">
        <v>181</v>
      </c>
      <c r="J66" s="4">
        <v>36.5</v>
      </c>
      <c r="K66" s="4">
        <v>37</v>
      </c>
      <c r="L66" s="4">
        <v>0.5</v>
      </c>
      <c r="M66" s="5">
        <v>1</v>
      </c>
      <c r="N66" s="31">
        <v>0.5</v>
      </c>
      <c r="O66" s="31">
        <v>0.5</v>
      </c>
      <c r="P66" s="31">
        <v>25</v>
      </c>
      <c r="Q66" s="31">
        <v>20</v>
      </c>
      <c r="R66" s="31">
        <v>0.42</v>
      </c>
      <c r="S66" s="31">
        <v>0.33</v>
      </c>
      <c r="T66" s="65">
        <v>66</v>
      </c>
      <c r="U66" s="31">
        <v>3</v>
      </c>
      <c r="V66" s="31"/>
      <c r="W66" s="31">
        <v>3</v>
      </c>
      <c r="X66" s="31">
        <v>140</v>
      </c>
      <c r="Y66" s="18">
        <v>0</v>
      </c>
      <c r="Z66" s="18" t="s">
        <v>100</v>
      </c>
      <c r="AA66" s="18" t="s">
        <v>333</v>
      </c>
      <c r="AB66" s="18" t="s">
        <v>337</v>
      </c>
      <c r="AC66" s="18">
        <v>20</v>
      </c>
      <c r="AD66" s="18">
        <v>25</v>
      </c>
      <c r="AE66" s="18" t="s">
        <v>29</v>
      </c>
      <c r="AF66" s="18" t="s">
        <v>199</v>
      </c>
      <c r="AG66" s="18" t="s">
        <v>199</v>
      </c>
      <c r="AH66" s="18">
        <v>8.6999999999999993</v>
      </c>
      <c r="AI66" s="18" t="s">
        <v>29</v>
      </c>
      <c r="AJ66" s="18" t="s">
        <v>64</v>
      </c>
      <c r="AK66" s="18" t="s">
        <v>77</v>
      </c>
      <c r="AL66" s="18" t="s">
        <v>96</v>
      </c>
      <c r="AM66" s="18" t="s">
        <v>109</v>
      </c>
      <c r="AN66" s="18" t="s">
        <v>120</v>
      </c>
      <c r="AO66" s="18" t="s">
        <v>198</v>
      </c>
      <c r="AP66" s="18"/>
      <c r="AQ66" s="18"/>
      <c r="AR66" s="18">
        <v>2</v>
      </c>
      <c r="AS66" s="18">
        <v>3</v>
      </c>
      <c r="AT66" s="18">
        <v>1</v>
      </c>
      <c r="AU66" s="18">
        <v>1</v>
      </c>
      <c r="AV66" s="18">
        <v>2</v>
      </c>
      <c r="AW66" s="18">
        <v>9</v>
      </c>
      <c r="AX66" s="49">
        <v>14</v>
      </c>
      <c r="AY66" s="49">
        <f>VLOOKUP(AI66,Leyenda!$B$4:$E$10,4,FALSE)</f>
        <v>2</v>
      </c>
      <c r="AZ66" s="50">
        <v>8</v>
      </c>
      <c r="BA66" s="49">
        <v>9</v>
      </c>
      <c r="BB66" s="49">
        <v>15</v>
      </c>
      <c r="BC66" s="67">
        <v>46.5</v>
      </c>
      <c r="BD66" s="67">
        <f>VLOOKUP(AI66,Leyenda!$B$4:$E$10,4,FALSE)</f>
        <v>2</v>
      </c>
      <c r="BE66" s="67">
        <v>10</v>
      </c>
      <c r="BF66" s="67">
        <v>14</v>
      </c>
      <c r="BG66" s="67">
        <v>1</v>
      </c>
      <c r="BH66" s="67">
        <v>1</v>
      </c>
      <c r="BI66" s="67">
        <v>2</v>
      </c>
      <c r="BJ66" s="67">
        <v>3</v>
      </c>
      <c r="BK66" s="67">
        <v>3</v>
      </c>
      <c r="BL66" s="67">
        <v>10</v>
      </c>
      <c r="BM66" s="67">
        <f t="shared" si="0"/>
        <v>46</v>
      </c>
      <c r="BN66" s="18">
        <f t="shared" si="1"/>
        <v>48</v>
      </c>
      <c r="BO66" s="18"/>
      <c r="BP66" s="18"/>
      <c r="CC66" s="167"/>
      <c r="CD66" s="167" t="s">
        <v>591</v>
      </c>
      <c r="CE66" s="167"/>
      <c r="CF66" t="s">
        <v>590</v>
      </c>
      <c r="CG66">
        <v>80</v>
      </c>
      <c r="CH66">
        <v>0</v>
      </c>
      <c r="CI66" s="55">
        <v>1</v>
      </c>
      <c r="CJ66">
        <v>80</v>
      </c>
      <c r="CK66">
        <v>0</v>
      </c>
      <c r="CL66" s="55">
        <v>1</v>
      </c>
      <c r="CM66" s="42">
        <f t="shared" si="8"/>
        <v>0</v>
      </c>
    </row>
    <row r="67" spans="1:91" ht="15.75" thickBot="1" x14ac:dyDescent="0.3">
      <c r="A67" s="18" t="s">
        <v>6</v>
      </c>
      <c r="B67" s="18">
        <v>2024</v>
      </c>
      <c r="C67" s="18" t="s">
        <v>138</v>
      </c>
      <c r="D67" s="18" t="s">
        <v>130</v>
      </c>
      <c r="E67" s="18">
        <v>20</v>
      </c>
      <c r="F67" s="18">
        <v>20</v>
      </c>
      <c r="G67" s="18" t="s">
        <v>156</v>
      </c>
      <c r="H67" s="18" t="s">
        <v>156</v>
      </c>
      <c r="I67" s="18" t="s">
        <v>181</v>
      </c>
      <c r="J67" s="4">
        <v>37</v>
      </c>
      <c r="K67" s="4">
        <v>37.5</v>
      </c>
      <c r="L67" s="4">
        <v>0.5</v>
      </c>
      <c r="M67" s="5">
        <v>1</v>
      </c>
      <c r="N67" s="31">
        <v>0.5</v>
      </c>
      <c r="O67" s="31">
        <v>0.5</v>
      </c>
      <c r="P67" s="31">
        <v>100</v>
      </c>
      <c r="Q67" s="31">
        <v>5</v>
      </c>
      <c r="R67" s="31">
        <v>0.46</v>
      </c>
      <c r="S67" s="31">
        <v>0.1</v>
      </c>
      <c r="T67" s="65">
        <v>20</v>
      </c>
      <c r="U67" s="31">
        <v>7</v>
      </c>
      <c r="V67" s="31"/>
      <c r="W67" s="31">
        <v>7</v>
      </c>
      <c r="X67" s="31">
        <v>65.714285714285708</v>
      </c>
      <c r="Y67" s="18">
        <v>22</v>
      </c>
      <c r="Z67" s="18" t="s">
        <v>100</v>
      </c>
      <c r="AA67" s="18" t="s">
        <v>118</v>
      </c>
      <c r="AB67" s="18" t="s">
        <v>337</v>
      </c>
      <c r="AC67" s="18">
        <v>5</v>
      </c>
      <c r="AD67" s="18">
        <v>100</v>
      </c>
      <c r="AE67" s="18" t="s">
        <v>29</v>
      </c>
      <c r="AF67" s="18" t="s">
        <v>196</v>
      </c>
      <c r="AG67" s="18" t="s">
        <v>196</v>
      </c>
      <c r="AH67" s="18">
        <v>8.6999999999999993</v>
      </c>
      <c r="AI67" s="18" t="s">
        <v>29</v>
      </c>
      <c r="AJ67" s="18" t="s">
        <v>66</v>
      </c>
      <c r="AK67" s="18" t="s">
        <v>79</v>
      </c>
      <c r="AL67" s="18" t="s">
        <v>96</v>
      </c>
      <c r="AM67" s="18" t="s">
        <v>109</v>
      </c>
      <c r="AN67" s="18" t="s">
        <v>120</v>
      </c>
      <c r="AO67" s="18" t="s">
        <v>198</v>
      </c>
      <c r="AP67" s="18"/>
      <c r="AQ67" s="18"/>
      <c r="AR67" s="18">
        <v>1</v>
      </c>
      <c r="AS67" s="18">
        <v>1</v>
      </c>
      <c r="AT67" s="18">
        <v>1</v>
      </c>
      <c r="AU67" s="18">
        <v>1</v>
      </c>
      <c r="AV67" s="18">
        <v>2</v>
      </c>
      <c r="AW67" s="18">
        <v>6</v>
      </c>
      <c r="AX67" s="49">
        <v>4</v>
      </c>
      <c r="AY67" s="49">
        <f>VLOOKUP(AI67,Leyenda!$B$4:$E$10,4,FALSE)</f>
        <v>2</v>
      </c>
      <c r="AZ67" s="50">
        <v>6</v>
      </c>
      <c r="BA67" s="49">
        <v>6</v>
      </c>
      <c r="BB67" s="49">
        <v>15</v>
      </c>
      <c r="BC67" s="67">
        <v>19</v>
      </c>
      <c r="BD67" s="67">
        <f>VLOOKUP(AI67,Leyenda!$B$4:$E$10,4,FALSE)</f>
        <v>2</v>
      </c>
      <c r="BE67" s="67">
        <v>6</v>
      </c>
      <c r="BF67" s="67">
        <v>4</v>
      </c>
      <c r="BG67" s="67">
        <v>1</v>
      </c>
      <c r="BH67" s="67">
        <v>1</v>
      </c>
      <c r="BI67" s="67">
        <v>2</v>
      </c>
      <c r="BJ67" s="67">
        <v>1</v>
      </c>
      <c r="BK67" s="67">
        <v>1</v>
      </c>
      <c r="BL67" s="67">
        <v>10</v>
      </c>
      <c r="BM67" s="67">
        <f t="shared" ref="BM67:BM68" si="9">+BD67+BE67+BF67+BG67+BH67+BI67+BJ67+BK67+BL67</f>
        <v>28</v>
      </c>
      <c r="BN67" s="18">
        <f t="shared" ref="BN67:BN68" si="10">+AX67+AY67+AZ67+BA67+BB67</f>
        <v>33</v>
      </c>
      <c r="BO67" s="18"/>
      <c r="BP67" s="18"/>
      <c r="CC67" s="167"/>
      <c r="CD67" s="167"/>
      <c r="CE67" s="167"/>
      <c r="CF67" t="s">
        <v>591</v>
      </c>
      <c r="CG67" s="57" t="s">
        <v>581</v>
      </c>
      <c r="CH67" s="57">
        <v>0</v>
      </c>
      <c r="CI67" s="95">
        <v>1</v>
      </c>
      <c r="CJ67" s="57" t="s">
        <v>581</v>
      </c>
      <c r="CK67" s="57">
        <v>0</v>
      </c>
      <c r="CL67" s="95">
        <v>1</v>
      </c>
      <c r="CM67" s="42">
        <f t="shared" si="8"/>
        <v>0</v>
      </c>
    </row>
    <row r="68" spans="1:91" x14ac:dyDescent="0.25">
      <c r="A68" s="18" t="s">
        <v>6</v>
      </c>
      <c r="B68" s="18">
        <v>2024</v>
      </c>
      <c r="C68" s="18" t="s">
        <v>138</v>
      </c>
      <c r="D68" s="18" t="s">
        <v>130</v>
      </c>
      <c r="E68" s="18">
        <v>20</v>
      </c>
      <c r="F68" s="18">
        <v>20</v>
      </c>
      <c r="G68" s="18" t="s">
        <v>156</v>
      </c>
      <c r="H68" s="18" t="s">
        <v>156</v>
      </c>
      <c r="I68" s="18" t="s">
        <v>181</v>
      </c>
      <c r="J68" s="4">
        <v>37.5</v>
      </c>
      <c r="K68" s="4">
        <v>38</v>
      </c>
      <c r="L68" s="4">
        <v>0.5</v>
      </c>
      <c r="M68" s="5">
        <v>1</v>
      </c>
      <c r="N68" s="31">
        <v>0.5</v>
      </c>
      <c r="O68" s="31">
        <v>0.5</v>
      </c>
      <c r="P68" s="31">
        <v>100</v>
      </c>
      <c r="Q68" s="31">
        <v>5</v>
      </c>
      <c r="R68" s="31">
        <v>0.37</v>
      </c>
      <c r="S68" s="31">
        <v>0.1</v>
      </c>
      <c r="T68" s="65">
        <v>20</v>
      </c>
      <c r="U68" s="31">
        <v>10</v>
      </c>
      <c r="V68" s="31"/>
      <c r="W68" s="31">
        <v>10</v>
      </c>
      <c r="X68" s="31">
        <v>37</v>
      </c>
      <c r="Y68" s="18">
        <v>26</v>
      </c>
      <c r="Z68" s="18" t="s">
        <v>100</v>
      </c>
      <c r="AA68" s="18" t="s">
        <v>118</v>
      </c>
      <c r="AB68" s="18" t="s">
        <v>337</v>
      </c>
      <c r="AC68" s="18">
        <v>5</v>
      </c>
      <c r="AD68" s="18">
        <v>100</v>
      </c>
      <c r="AE68" s="18" t="s">
        <v>29</v>
      </c>
      <c r="AF68" s="18" t="s">
        <v>199</v>
      </c>
      <c r="AG68" s="18" t="s">
        <v>199</v>
      </c>
      <c r="AH68" s="18">
        <v>8.6999999999999993</v>
      </c>
      <c r="AI68" s="18" t="s">
        <v>29</v>
      </c>
      <c r="AJ68" s="18" t="s">
        <v>227</v>
      </c>
      <c r="AK68" s="18" t="s">
        <v>79</v>
      </c>
      <c r="AL68" s="18" t="s">
        <v>96</v>
      </c>
      <c r="AM68" s="18" t="s">
        <v>109</v>
      </c>
      <c r="AN68" s="18" t="s">
        <v>120</v>
      </c>
      <c r="AO68" s="18" t="s">
        <v>198</v>
      </c>
      <c r="AP68" s="18"/>
      <c r="AQ68" s="18"/>
      <c r="AR68" s="18">
        <v>1</v>
      </c>
      <c r="AS68" s="18">
        <v>1</v>
      </c>
      <c r="AT68" s="18">
        <v>1</v>
      </c>
      <c r="AU68" s="18">
        <v>1</v>
      </c>
      <c r="AV68" s="18">
        <v>2</v>
      </c>
      <c r="AW68" s="18">
        <v>6</v>
      </c>
      <c r="AX68" s="49">
        <v>4</v>
      </c>
      <c r="AY68" s="49">
        <f>VLOOKUP(AI68,Leyenda!$B$4:$E$10,4,FALSE)</f>
        <v>2</v>
      </c>
      <c r="AZ68" s="50">
        <v>5</v>
      </c>
      <c r="BA68" s="49">
        <v>6</v>
      </c>
      <c r="BB68" s="49">
        <v>15</v>
      </c>
      <c r="BC68" s="67">
        <v>19</v>
      </c>
      <c r="BD68" s="67">
        <f>VLOOKUP(AI68,Leyenda!$B$4:$E$10,4,FALSE)</f>
        <v>2</v>
      </c>
      <c r="BE68" s="67">
        <v>5</v>
      </c>
      <c r="BF68" s="67">
        <v>4</v>
      </c>
      <c r="BG68" s="67">
        <v>1</v>
      </c>
      <c r="BH68" s="67">
        <v>1</v>
      </c>
      <c r="BI68" s="67">
        <v>2</v>
      </c>
      <c r="BJ68" s="67">
        <v>1</v>
      </c>
      <c r="BK68" s="67">
        <v>1</v>
      </c>
      <c r="BL68" s="67">
        <v>10</v>
      </c>
      <c r="BM68" s="67">
        <f t="shared" si="9"/>
        <v>27</v>
      </c>
      <c r="BN68" s="18">
        <f t="shared" si="10"/>
        <v>32</v>
      </c>
      <c r="BO68" s="18"/>
      <c r="BP68" s="18"/>
      <c r="CH68">
        <f>+SUM(CH63:CH66)</f>
        <v>67</v>
      </c>
    </row>
    <row r="71" spans="1:91" ht="15.75" thickBot="1" x14ac:dyDescent="0.3"/>
    <row r="72" spans="1:91" x14ac:dyDescent="0.25">
      <c r="CG72" s="96" t="s">
        <v>287</v>
      </c>
      <c r="CH72" s="96" t="s">
        <v>288</v>
      </c>
      <c r="CI72" s="96" t="s">
        <v>582</v>
      </c>
      <c r="CJ72" s="96" t="s">
        <v>287</v>
      </c>
      <c r="CK72" s="96" t="s">
        <v>288</v>
      </c>
      <c r="CL72" s="96" t="s">
        <v>582</v>
      </c>
      <c r="CM72" s="39" t="s">
        <v>642</v>
      </c>
    </row>
    <row r="73" spans="1:91" x14ac:dyDescent="0.25">
      <c r="CF73" t="s">
        <v>587</v>
      </c>
      <c r="CG73">
        <v>20</v>
      </c>
      <c r="CH73">
        <v>0</v>
      </c>
      <c r="CI73" s="55">
        <v>0</v>
      </c>
      <c r="CJ73">
        <v>40</v>
      </c>
      <c r="CK73">
        <v>61</v>
      </c>
      <c r="CL73" s="55">
        <v>0.91044776119402981</v>
      </c>
      <c r="CM73" s="42">
        <f>+CH73/$CH$78</f>
        <v>0</v>
      </c>
    </row>
    <row r="74" spans="1:91" x14ac:dyDescent="0.25">
      <c r="CF74" t="s">
        <v>588</v>
      </c>
      <c r="CG74">
        <v>40</v>
      </c>
      <c r="CH74">
        <v>61</v>
      </c>
      <c r="CI74" s="55">
        <v>0.91044776119402981</v>
      </c>
      <c r="CJ74">
        <v>60</v>
      </c>
      <c r="CK74">
        <v>6</v>
      </c>
      <c r="CL74" s="55">
        <v>1</v>
      </c>
      <c r="CM74" s="42">
        <f t="shared" ref="CM74:CM77" si="11">+CH74/$CH$78</f>
        <v>0.91044776119402981</v>
      </c>
    </row>
    <row r="75" spans="1:91" x14ac:dyDescent="0.25">
      <c r="CF75" t="s">
        <v>589</v>
      </c>
      <c r="CG75">
        <v>60</v>
      </c>
      <c r="CH75">
        <v>6</v>
      </c>
      <c r="CI75" s="55">
        <v>1</v>
      </c>
      <c r="CJ75">
        <v>20</v>
      </c>
      <c r="CK75">
        <v>0</v>
      </c>
      <c r="CL75" s="55">
        <v>1</v>
      </c>
      <c r="CM75" s="42">
        <f t="shared" si="11"/>
        <v>8.9552238805970144E-2</v>
      </c>
    </row>
    <row r="76" spans="1:91" x14ac:dyDescent="0.25">
      <c r="CF76" t="s">
        <v>590</v>
      </c>
      <c r="CG76">
        <v>80</v>
      </c>
      <c r="CH76">
        <v>0</v>
      </c>
      <c r="CI76" s="55">
        <v>1</v>
      </c>
      <c r="CJ76">
        <v>80</v>
      </c>
      <c r="CK76">
        <v>0</v>
      </c>
      <c r="CL76" s="55">
        <v>1</v>
      </c>
      <c r="CM76" s="42">
        <f t="shared" si="11"/>
        <v>0</v>
      </c>
    </row>
    <row r="77" spans="1:91" ht="15.75" thickBot="1" x14ac:dyDescent="0.3">
      <c r="CF77" t="s">
        <v>591</v>
      </c>
      <c r="CG77" s="57" t="s">
        <v>581</v>
      </c>
      <c r="CH77" s="57">
        <v>0</v>
      </c>
      <c r="CI77" s="95">
        <v>1</v>
      </c>
      <c r="CJ77" s="57" t="s">
        <v>581</v>
      </c>
      <c r="CK77" s="57">
        <v>0</v>
      </c>
      <c r="CL77" s="95">
        <v>1</v>
      </c>
      <c r="CM77" s="42">
        <f t="shared" si="11"/>
        <v>0</v>
      </c>
    </row>
    <row r="78" spans="1:91" x14ac:dyDescent="0.25">
      <c r="CH78">
        <f>+SUM(CH73:CH76)</f>
        <v>67</v>
      </c>
    </row>
    <row r="82" spans="68:69" x14ac:dyDescent="0.25">
      <c r="BP82" s="193"/>
      <c r="BQ82" s="193"/>
    </row>
  </sheetData>
  <sortState xmlns:xlrd2="http://schemas.microsoft.com/office/spreadsheetml/2017/richdata2" ref="CJ73:CK77">
    <sortCondition descending="1" ref="CK73"/>
  </sortState>
  <phoneticPr fontId="21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7E22-04B6-4715-A490-4D02EB96CFCD}">
  <sheetPr>
    <tabColor rgb="FF0000FF"/>
  </sheetPr>
  <dimension ref="A1:EW95"/>
  <sheetViews>
    <sheetView topLeftCell="I1" zoomScale="40" zoomScaleNormal="40" workbookViewId="0">
      <selection activeCell="BD81" sqref="BD81"/>
    </sheetView>
  </sheetViews>
  <sheetFormatPr defaultColWidth="8.85546875" defaultRowHeight="15" x14ac:dyDescent="0.25"/>
  <cols>
    <col min="34" max="34" width="17.28515625" customWidth="1"/>
    <col min="35" max="35" width="14.140625" customWidth="1"/>
    <col min="68" max="68" width="17.7109375" customWidth="1"/>
  </cols>
  <sheetData>
    <row r="1" spans="1:153" ht="75" x14ac:dyDescent="0.25">
      <c r="A1" s="2" t="s">
        <v>0</v>
      </c>
      <c r="B1" s="46" t="s">
        <v>1</v>
      </c>
      <c r="C1" s="46" t="s">
        <v>137</v>
      </c>
      <c r="D1" s="46" t="s">
        <v>2</v>
      </c>
      <c r="E1" s="46" t="s">
        <v>131</v>
      </c>
      <c r="F1" s="134" t="s">
        <v>635</v>
      </c>
      <c r="G1" s="30" t="s">
        <v>633</v>
      </c>
      <c r="H1" s="134" t="s">
        <v>632</v>
      </c>
      <c r="I1" s="33" t="s">
        <v>129</v>
      </c>
      <c r="J1" s="48" t="s">
        <v>3</v>
      </c>
      <c r="K1" s="48" t="s">
        <v>4</v>
      </c>
      <c r="L1" s="46" t="s">
        <v>5</v>
      </c>
      <c r="M1" s="46" t="s">
        <v>133</v>
      </c>
      <c r="N1" s="46" t="s">
        <v>345</v>
      </c>
      <c r="O1" s="45" t="s">
        <v>339</v>
      </c>
      <c r="P1" s="45" t="s">
        <v>285</v>
      </c>
      <c r="Q1" s="45" t="s">
        <v>286</v>
      </c>
      <c r="R1" s="83" t="s">
        <v>576</v>
      </c>
      <c r="S1" s="83" t="s">
        <v>575</v>
      </c>
      <c r="T1" s="83" t="s">
        <v>11</v>
      </c>
      <c r="U1" s="83" t="s">
        <v>577</v>
      </c>
      <c r="V1" s="83" t="s">
        <v>578</v>
      </c>
      <c r="W1" s="83" t="s">
        <v>579</v>
      </c>
      <c r="X1" s="83" t="s">
        <v>285</v>
      </c>
      <c r="Y1" s="45" t="s">
        <v>340</v>
      </c>
      <c r="Z1" s="45" t="s">
        <v>7</v>
      </c>
      <c r="AA1" s="45" t="s">
        <v>8</v>
      </c>
      <c r="AB1" s="45" t="s">
        <v>9</v>
      </c>
      <c r="AC1" s="46" t="s">
        <v>188</v>
      </c>
      <c r="AD1" s="46" t="s">
        <v>347</v>
      </c>
      <c r="AE1" s="46" t="s">
        <v>350</v>
      </c>
      <c r="AF1" s="30" t="s">
        <v>305</v>
      </c>
      <c r="AG1" s="46" t="s">
        <v>344</v>
      </c>
      <c r="AH1" s="46" t="s">
        <v>643</v>
      </c>
      <c r="AI1" s="46" t="s">
        <v>646</v>
      </c>
      <c r="AJ1" s="46" t="s">
        <v>189</v>
      </c>
      <c r="AK1" s="46" t="s">
        <v>190</v>
      </c>
      <c r="AL1" s="46" t="s">
        <v>191</v>
      </c>
      <c r="AM1" s="46" t="s">
        <v>192</v>
      </c>
      <c r="AN1" s="46" t="s">
        <v>113</v>
      </c>
      <c r="AO1" s="46" t="s">
        <v>193</v>
      </c>
      <c r="AP1" s="47" t="s">
        <v>226</v>
      </c>
      <c r="AQ1" s="46"/>
      <c r="AR1" s="46" t="s">
        <v>189</v>
      </c>
      <c r="AS1" s="46" t="s">
        <v>190</v>
      </c>
      <c r="AT1" s="46" t="s">
        <v>191</v>
      </c>
      <c r="AU1" s="46" t="s">
        <v>192</v>
      </c>
      <c r="AV1" s="46" t="s">
        <v>572</v>
      </c>
      <c r="AW1" s="46" t="s">
        <v>649</v>
      </c>
      <c r="AX1" s="51" t="s">
        <v>300</v>
      </c>
      <c r="AY1" s="51" t="s">
        <v>301</v>
      </c>
      <c r="AZ1" s="51" t="s">
        <v>302</v>
      </c>
      <c r="BA1" s="51" t="s">
        <v>303</v>
      </c>
      <c r="BB1" s="52" t="s">
        <v>304</v>
      </c>
      <c r="BC1" s="46" t="s">
        <v>346</v>
      </c>
      <c r="BD1" s="74" t="s">
        <v>565</v>
      </c>
      <c r="BE1" s="74" t="s">
        <v>566</v>
      </c>
      <c r="BF1" s="74" t="s">
        <v>564</v>
      </c>
      <c r="BG1" s="74" t="s">
        <v>567</v>
      </c>
      <c r="BH1" s="74" t="s">
        <v>568</v>
      </c>
      <c r="BI1" s="74" t="s">
        <v>569</v>
      </c>
      <c r="BJ1" s="74" t="s">
        <v>570</v>
      </c>
      <c r="BK1" s="74" t="s">
        <v>571</v>
      </c>
      <c r="BL1" s="74" t="s">
        <v>304</v>
      </c>
      <c r="BM1" s="46" t="s">
        <v>194</v>
      </c>
      <c r="BN1" s="46" t="s">
        <v>12</v>
      </c>
      <c r="BO1" s="46"/>
      <c r="BP1" s="46" t="s">
        <v>327</v>
      </c>
    </row>
    <row r="2" spans="1:153" x14ac:dyDescent="0.25">
      <c r="A2" s="18" t="s">
        <v>6</v>
      </c>
      <c r="B2" s="18">
        <v>2024</v>
      </c>
      <c r="C2" s="18" t="s">
        <v>138</v>
      </c>
      <c r="D2" s="18" t="s">
        <v>10</v>
      </c>
      <c r="E2" s="18">
        <v>30</v>
      </c>
      <c r="F2" s="18">
        <v>10</v>
      </c>
      <c r="G2" s="18" t="s">
        <v>152</v>
      </c>
      <c r="H2" s="18" t="s">
        <v>135</v>
      </c>
      <c r="I2" s="18" t="s">
        <v>162</v>
      </c>
      <c r="J2" s="31">
        <v>21.5</v>
      </c>
      <c r="K2" s="31">
        <v>22</v>
      </c>
      <c r="L2" s="4">
        <v>0.5</v>
      </c>
      <c r="M2" s="5">
        <v>0.6</v>
      </c>
      <c r="N2" s="31">
        <v>0.3</v>
      </c>
      <c r="O2" s="31">
        <v>0.3</v>
      </c>
      <c r="P2" s="31">
        <v>15</v>
      </c>
      <c r="Q2" s="31">
        <v>20</v>
      </c>
      <c r="R2" s="31">
        <v>0.27</v>
      </c>
      <c r="S2" s="31">
        <v>0.26</v>
      </c>
      <c r="T2" s="86">
        <v>52</v>
      </c>
      <c r="U2" s="31">
        <v>5</v>
      </c>
      <c r="V2" s="31"/>
      <c r="W2" s="31">
        <v>5</v>
      </c>
      <c r="X2" s="31">
        <v>54</v>
      </c>
      <c r="Y2" s="18">
        <v>44</v>
      </c>
      <c r="Z2" s="18" t="s">
        <v>88</v>
      </c>
      <c r="AA2" s="18" t="s">
        <v>333</v>
      </c>
      <c r="AB2" s="18" t="s">
        <v>334</v>
      </c>
      <c r="AC2" s="18">
        <v>20</v>
      </c>
      <c r="AD2" s="18">
        <v>15</v>
      </c>
      <c r="AE2" s="18" t="s">
        <v>27</v>
      </c>
      <c r="AF2" s="18" t="s">
        <v>27</v>
      </c>
      <c r="AG2" s="18" t="s">
        <v>27</v>
      </c>
      <c r="AH2" s="18">
        <v>35</v>
      </c>
      <c r="AI2" s="18" t="s">
        <v>27</v>
      </c>
      <c r="AJ2" s="18" t="s">
        <v>62</v>
      </c>
      <c r="AK2" s="18" t="s">
        <v>75</v>
      </c>
      <c r="AL2" s="18" t="s">
        <v>92</v>
      </c>
      <c r="AM2" s="18" t="s">
        <v>107</v>
      </c>
      <c r="AN2" s="18" t="s">
        <v>116</v>
      </c>
      <c r="AO2" s="18" t="s">
        <v>198</v>
      </c>
      <c r="AP2" s="18" t="s">
        <v>217</v>
      </c>
      <c r="AQ2" s="18"/>
      <c r="AR2" s="18">
        <v>4</v>
      </c>
      <c r="AS2" s="18">
        <v>5</v>
      </c>
      <c r="AT2" s="18">
        <v>3</v>
      </c>
      <c r="AU2" s="18">
        <v>3</v>
      </c>
      <c r="AV2" s="18">
        <v>4</v>
      </c>
      <c r="AW2" s="18">
        <v>19</v>
      </c>
      <c r="AX2" s="49">
        <v>11</v>
      </c>
      <c r="AY2" s="49">
        <f>VLOOKUP(AI2,Leyenda!$B$4:$E$10,4,FALSE)</f>
        <v>4</v>
      </c>
      <c r="AZ2" s="50">
        <v>6</v>
      </c>
      <c r="BA2" s="49">
        <v>19</v>
      </c>
      <c r="BB2" s="49">
        <v>15</v>
      </c>
      <c r="BC2" s="67">
        <v>54.5</v>
      </c>
      <c r="BD2" s="67">
        <f>VLOOKUP(AI2,Leyenda!$B$4:$E$10,4,FALSE)</f>
        <v>4</v>
      </c>
      <c r="BE2" s="67">
        <v>4</v>
      </c>
      <c r="BF2" s="67">
        <v>11</v>
      </c>
      <c r="BG2" s="67">
        <v>3</v>
      </c>
      <c r="BH2" s="67">
        <v>3</v>
      </c>
      <c r="BI2" s="67">
        <v>4</v>
      </c>
      <c r="BJ2" s="67">
        <v>4</v>
      </c>
      <c r="BK2" s="67">
        <v>4</v>
      </c>
      <c r="BL2" s="67">
        <v>10</v>
      </c>
      <c r="BM2" s="67">
        <f>+BD2+BE2+BF2+BG2+BH2+BI2+BJ2+BK2+BL2</f>
        <v>47</v>
      </c>
      <c r="BN2" s="18">
        <f>+AX2+AY2+AZ2+BA2+BB2</f>
        <v>55</v>
      </c>
      <c r="BO2" s="18"/>
      <c r="BP2" s="18"/>
    </row>
    <row r="3" spans="1:153" x14ac:dyDescent="0.25">
      <c r="A3" s="18" t="s">
        <v>6</v>
      </c>
      <c r="B3" s="18">
        <v>2024</v>
      </c>
      <c r="C3" s="18" t="s">
        <v>138</v>
      </c>
      <c r="D3" s="18" t="s">
        <v>10</v>
      </c>
      <c r="E3" s="18">
        <v>30</v>
      </c>
      <c r="F3" s="18">
        <v>10</v>
      </c>
      <c r="G3" s="18" t="s">
        <v>152</v>
      </c>
      <c r="H3" s="18" t="s">
        <v>135</v>
      </c>
      <c r="I3" s="18" t="s">
        <v>162</v>
      </c>
      <c r="J3" s="31">
        <v>22</v>
      </c>
      <c r="K3" s="31">
        <v>22.5</v>
      </c>
      <c r="L3" s="4">
        <v>0.5</v>
      </c>
      <c r="M3" s="5">
        <v>0.6</v>
      </c>
      <c r="N3" s="31">
        <v>0.3</v>
      </c>
      <c r="O3" s="31">
        <v>0.3</v>
      </c>
      <c r="P3" s="31">
        <v>15</v>
      </c>
      <c r="Q3" s="31">
        <v>20</v>
      </c>
      <c r="R3" s="31">
        <v>0.44</v>
      </c>
      <c r="S3" s="31">
        <v>0.18</v>
      </c>
      <c r="T3" s="86">
        <v>36</v>
      </c>
      <c r="U3" s="31">
        <v>4</v>
      </c>
      <c r="V3" s="31"/>
      <c r="W3" s="31">
        <v>4</v>
      </c>
      <c r="X3" s="31">
        <v>110</v>
      </c>
      <c r="Y3" s="18">
        <v>42</v>
      </c>
      <c r="Z3" s="18" t="s">
        <v>88</v>
      </c>
      <c r="AA3" s="18" t="s">
        <v>333</v>
      </c>
      <c r="AB3" s="18" t="s">
        <v>329</v>
      </c>
      <c r="AC3" s="18">
        <v>20</v>
      </c>
      <c r="AD3" s="18">
        <v>15</v>
      </c>
      <c r="AE3" s="18" t="s">
        <v>24</v>
      </c>
      <c r="AF3" s="18" t="s">
        <v>27</v>
      </c>
      <c r="AG3" s="18" t="s">
        <v>27</v>
      </c>
      <c r="AH3" s="18">
        <v>35</v>
      </c>
      <c r="AI3" s="18" t="s">
        <v>27</v>
      </c>
      <c r="AJ3" s="128" t="s">
        <v>62</v>
      </c>
      <c r="AK3" s="18" t="s">
        <v>75</v>
      </c>
      <c r="AL3" s="18" t="s">
        <v>92</v>
      </c>
      <c r="AM3" s="18" t="s">
        <v>107</v>
      </c>
      <c r="AN3" s="18" t="s">
        <v>116</v>
      </c>
      <c r="AO3" s="18" t="s">
        <v>198</v>
      </c>
      <c r="AP3" s="18" t="s">
        <v>217</v>
      </c>
      <c r="AQ3" s="18"/>
      <c r="AR3" s="18">
        <v>4</v>
      </c>
      <c r="AS3" s="18">
        <v>5</v>
      </c>
      <c r="AT3" s="18">
        <v>3</v>
      </c>
      <c r="AU3" s="18">
        <v>3</v>
      </c>
      <c r="AV3" s="18">
        <v>4</v>
      </c>
      <c r="AW3" s="18">
        <v>19</v>
      </c>
      <c r="AX3" s="49">
        <v>8</v>
      </c>
      <c r="AY3" s="49">
        <f>VLOOKUP(AI3,Leyenda!$B$4:$E$10,4,FALSE)</f>
        <v>4</v>
      </c>
      <c r="AZ3" s="50">
        <v>7</v>
      </c>
      <c r="BA3" s="49">
        <v>19</v>
      </c>
      <c r="BB3" s="49">
        <v>15</v>
      </c>
      <c r="BC3" s="67">
        <v>46.5</v>
      </c>
      <c r="BD3" s="67">
        <f>VLOOKUP(AI3,Leyenda!$B$4:$E$10,4,FALSE)</f>
        <v>4</v>
      </c>
      <c r="BE3" s="67">
        <v>9</v>
      </c>
      <c r="BF3" s="67">
        <v>8</v>
      </c>
      <c r="BG3" s="67">
        <v>3</v>
      </c>
      <c r="BH3" s="67">
        <v>3</v>
      </c>
      <c r="BI3" s="67">
        <v>4</v>
      </c>
      <c r="BJ3" s="67">
        <v>4</v>
      </c>
      <c r="BK3" s="67">
        <v>4</v>
      </c>
      <c r="BL3" s="67">
        <v>10</v>
      </c>
      <c r="BM3" s="67">
        <f t="shared" ref="BM3:BM66" si="0">+BD3+BE3+BF3+BG3+BH3+BI3+BJ3+BK3+BL3</f>
        <v>49</v>
      </c>
      <c r="BN3" s="18">
        <f t="shared" ref="BN3:BN66" si="1">+AX3+AY3+AZ3+BA3+BB3</f>
        <v>53</v>
      </c>
      <c r="BO3" s="18"/>
      <c r="BP3" s="18"/>
    </row>
    <row r="4" spans="1:153" x14ac:dyDescent="0.25">
      <c r="A4" s="18" t="s">
        <v>6</v>
      </c>
      <c r="B4" s="18">
        <v>2024</v>
      </c>
      <c r="C4" s="18" t="s">
        <v>138</v>
      </c>
      <c r="D4" s="18" t="s">
        <v>10</v>
      </c>
      <c r="E4" s="18">
        <v>30</v>
      </c>
      <c r="F4" s="18">
        <v>10</v>
      </c>
      <c r="G4" s="18" t="s">
        <v>152</v>
      </c>
      <c r="H4" s="18" t="s">
        <v>135</v>
      </c>
      <c r="I4" s="18" t="s">
        <v>162</v>
      </c>
      <c r="J4" s="31">
        <v>22.5</v>
      </c>
      <c r="K4" s="31">
        <v>23</v>
      </c>
      <c r="L4" s="4">
        <v>0.5</v>
      </c>
      <c r="M4" s="5">
        <v>1</v>
      </c>
      <c r="N4" s="31">
        <v>0.5</v>
      </c>
      <c r="O4" s="31">
        <v>0.5</v>
      </c>
      <c r="P4" s="31">
        <v>25</v>
      </c>
      <c r="Q4" s="31">
        <v>20</v>
      </c>
      <c r="R4" s="31">
        <v>0.5</v>
      </c>
      <c r="S4" s="31">
        <v>0.5</v>
      </c>
      <c r="T4" s="86">
        <v>100</v>
      </c>
      <c r="U4" s="31">
        <v>1</v>
      </c>
      <c r="V4" s="31"/>
      <c r="W4" s="31">
        <v>1</v>
      </c>
      <c r="X4" s="31">
        <v>500</v>
      </c>
      <c r="Y4" s="18">
        <v>97</v>
      </c>
      <c r="Z4" s="18" t="s">
        <v>96</v>
      </c>
      <c r="AA4" s="18" t="s">
        <v>333</v>
      </c>
      <c r="AB4" s="18" t="s">
        <v>329</v>
      </c>
      <c r="AC4" s="18">
        <v>20</v>
      </c>
      <c r="AD4" s="18">
        <v>25</v>
      </c>
      <c r="AE4" s="18" t="s">
        <v>24</v>
      </c>
      <c r="AF4" s="18" t="s">
        <v>27</v>
      </c>
      <c r="AG4" s="18" t="s">
        <v>27</v>
      </c>
      <c r="AH4" s="18">
        <v>35</v>
      </c>
      <c r="AI4" s="18" t="s">
        <v>27</v>
      </c>
      <c r="AJ4" s="18" t="s">
        <v>62</v>
      </c>
      <c r="AK4" s="18" t="s">
        <v>75</v>
      </c>
      <c r="AL4" s="18" t="s">
        <v>88</v>
      </c>
      <c r="AM4" s="18" t="s">
        <v>107</v>
      </c>
      <c r="AN4" s="18" t="s">
        <v>116</v>
      </c>
      <c r="AO4" s="18" t="s">
        <v>198</v>
      </c>
      <c r="AP4" s="18" t="s">
        <v>217</v>
      </c>
      <c r="AQ4" s="18"/>
      <c r="AR4" s="18">
        <v>4</v>
      </c>
      <c r="AS4" s="18">
        <v>5</v>
      </c>
      <c r="AT4" s="18">
        <v>5</v>
      </c>
      <c r="AU4" s="18">
        <v>3</v>
      </c>
      <c r="AV4" s="18">
        <v>4</v>
      </c>
      <c r="AW4" s="18">
        <v>21</v>
      </c>
      <c r="AX4" s="49">
        <v>20</v>
      </c>
      <c r="AY4" s="49">
        <f>VLOOKUP(AI4,Leyenda!$B$4:$E$10,4,FALSE)</f>
        <v>4</v>
      </c>
      <c r="AZ4" s="50">
        <v>12</v>
      </c>
      <c r="BA4" s="49">
        <v>21</v>
      </c>
      <c r="BB4" s="49">
        <v>15</v>
      </c>
      <c r="BC4" s="67">
        <v>81.5</v>
      </c>
      <c r="BD4" s="67">
        <f>VLOOKUP(AI4,Leyenda!$B$4:$E$10,4,FALSE)</f>
        <v>4</v>
      </c>
      <c r="BE4" s="67">
        <v>18</v>
      </c>
      <c r="BF4" s="67">
        <v>20</v>
      </c>
      <c r="BG4" s="67">
        <v>4</v>
      </c>
      <c r="BH4" s="67">
        <v>3</v>
      </c>
      <c r="BI4" s="67">
        <v>4</v>
      </c>
      <c r="BJ4" s="67">
        <v>4</v>
      </c>
      <c r="BK4" s="67">
        <v>4</v>
      </c>
      <c r="BL4" s="67">
        <v>10</v>
      </c>
      <c r="BM4" s="67">
        <f t="shared" si="0"/>
        <v>71</v>
      </c>
      <c r="BN4" s="18">
        <f t="shared" si="1"/>
        <v>72</v>
      </c>
      <c r="BO4" s="18"/>
      <c r="BP4" s="18"/>
      <c r="CH4" s="80" t="s">
        <v>58</v>
      </c>
      <c r="CI4" s="80"/>
      <c r="CJ4" s="80" t="s">
        <v>17</v>
      </c>
      <c r="CV4" s="80" t="s">
        <v>584</v>
      </c>
      <c r="CW4" s="80" t="s">
        <v>261</v>
      </c>
      <c r="CX4" s="80" t="s">
        <v>17</v>
      </c>
      <c r="DK4" s="80" t="s">
        <v>11</v>
      </c>
      <c r="DL4" s="80" t="s">
        <v>16</v>
      </c>
      <c r="DM4" s="81" t="s">
        <v>17</v>
      </c>
      <c r="DT4" s="80" t="s">
        <v>290</v>
      </c>
      <c r="DU4" s="80" t="s">
        <v>261</v>
      </c>
      <c r="DV4" s="80" t="s">
        <v>17</v>
      </c>
      <c r="EF4" s="80" t="s">
        <v>572</v>
      </c>
      <c r="EG4" s="80" t="s">
        <v>261</v>
      </c>
      <c r="EH4" s="81" t="s">
        <v>16</v>
      </c>
      <c r="EI4" s="80" t="s">
        <v>17</v>
      </c>
      <c r="ET4" s="80" t="s">
        <v>586</v>
      </c>
      <c r="EU4" s="80" t="s">
        <v>261</v>
      </c>
      <c r="EV4" s="81" t="s">
        <v>16</v>
      </c>
      <c r="EW4" s="80" t="s">
        <v>17</v>
      </c>
    </row>
    <row r="5" spans="1:153" ht="25.5" x14ac:dyDescent="0.25">
      <c r="A5" s="18" t="s">
        <v>6</v>
      </c>
      <c r="B5" s="18">
        <v>2024</v>
      </c>
      <c r="C5" s="18" t="s">
        <v>138</v>
      </c>
      <c r="D5" s="18" t="s">
        <v>10</v>
      </c>
      <c r="E5" s="18">
        <v>30</v>
      </c>
      <c r="F5" s="18">
        <v>10</v>
      </c>
      <c r="G5" s="18" t="s">
        <v>152</v>
      </c>
      <c r="H5" s="18" t="s">
        <v>135</v>
      </c>
      <c r="I5" s="18" t="s">
        <v>162</v>
      </c>
      <c r="J5" s="31">
        <v>23</v>
      </c>
      <c r="K5" s="31">
        <v>23.5</v>
      </c>
      <c r="L5" s="4">
        <v>0.5</v>
      </c>
      <c r="M5" s="5">
        <v>0.97</v>
      </c>
      <c r="N5" s="31">
        <v>0.48499999999999999</v>
      </c>
      <c r="O5" s="31">
        <v>0.48499999999999999</v>
      </c>
      <c r="P5" s="31">
        <v>24.25</v>
      </c>
      <c r="Q5" s="31">
        <v>20</v>
      </c>
      <c r="R5" s="31">
        <v>0.5</v>
      </c>
      <c r="S5" s="31">
        <v>0.31</v>
      </c>
      <c r="T5" s="86">
        <v>62</v>
      </c>
      <c r="U5" s="31">
        <v>3</v>
      </c>
      <c r="V5" s="31"/>
      <c r="W5" s="31">
        <v>3</v>
      </c>
      <c r="X5" s="31">
        <v>166.66666666666666</v>
      </c>
      <c r="Y5" s="18">
        <v>100</v>
      </c>
      <c r="Z5" s="18" t="s">
        <v>96</v>
      </c>
      <c r="AA5" s="18" t="s">
        <v>333</v>
      </c>
      <c r="AB5" s="18" t="s">
        <v>334</v>
      </c>
      <c r="AC5" s="18">
        <v>20</v>
      </c>
      <c r="AD5" s="18">
        <v>24.25</v>
      </c>
      <c r="AE5" s="18" t="s">
        <v>27</v>
      </c>
      <c r="AF5" s="18" t="s">
        <v>27</v>
      </c>
      <c r="AG5" s="18" t="s">
        <v>27</v>
      </c>
      <c r="AH5" s="18">
        <v>35</v>
      </c>
      <c r="AI5" s="18" t="s">
        <v>27</v>
      </c>
      <c r="AJ5" s="18" t="s">
        <v>62</v>
      </c>
      <c r="AK5" s="18" t="s">
        <v>75</v>
      </c>
      <c r="AL5" s="18" t="s">
        <v>88</v>
      </c>
      <c r="AM5" s="18" t="s">
        <v>107</v>
      </c>
      <c r="AN5" s="18" t="s">
        <v>116</v>
      </c>
      <c r="AO5" s="18" t="s">
        <v>198</v>
      </c>
      <c r="AP5" s="18" t="s">
        <v>217</v>
      </c>
      <c r="AQ5" s="18"/>
      <c r="AR5" s="18">
        <v>4</v>
      </c>
      <c r="AS5" s="18">
        <v>5</v>
      </c>
      <c r="AT5" s="18">
        <v>5</v>
      </c>
      <c r="AU5" s="18">
        <v>3</v>
      </c>
      <c r="AV5" s="18">
        <v>4</v>
      </c>
      <c r="AW5" s="18">
        <v>21</v>
      </c>
      <c r="AX5" s="49">
        <v>13</v>
      </c>
      <c r="AY5" s="49">
        <f>VLOOKUP(AI5,Leyenda!$B$4:$E$10,4,FALSE)</f>
        <v>4</v>
      </c>
      <c r="AZ5" s="50">
        <v>9</v>
      </c>
      <c r="BA5" s="49">
        <v>21</v>
      </c>
      <c r="BB5" s="49">
        <v>15</v>
      </c>
      <c r="BC5" s="67">
        <v>62.5</v>
      </c>
      <c r="BD5" s="67">
        <f>VLOOKUP(AI5,Leyenda!$B$4:$E$10,4,FALSE)</f>
        <v>4</v>
      </c>
      <c r="BE5" s="67">
        <v>11</v>
      </c>
      <c r="BF5" s="67">
        <v>13</v>
      </c>
      <c r="BG5" s="67">
        <v>4</v>
      </c>
      <c r="BH5" s="67">
        <v>3</v>
      </c>
      <c r="BI5" s="67">
        <v>4</v>
      </c>
      <c r="BJ5" s="67">
        <v>4</v>
      </c>
      <c r="BK5" s="67">
        <v>4</v>
      </c>
      <c r="BL5" s="67">
        <v>10</v>
      </c>
      <c r="BM5" s="67">
        <f t="shared" si="0"/>
        <v>57</v>
      </c>
      <c r="BN5" s="18">
        <f t="shared" si="1"/>
        <v>62</v>
      </c>
      <c r="BO5" s="18"/>
      <c r="BP5" s="18"/>
      <c r="CH5" s="61" t="s">
        <v>60</v>
      </c>
      <c r="CI5" s="76" t="s">
        <v>59</v>
      </c>
      <c r="CJ5" s="77">
        <v>5</v>
      </c>
      <c r="CV5" s="75" t="s">
        <v>85</v>
      </c>
      <c r="CW5" s="75">
        <v>0</v>
      </c>
      <c r="CX5" s="77">
        <v>5</v>
      </c>
      <c r="DK5" s="15" t="s">
        <v>38</v>
      </c>
      <c r="DL5" s="9">
        <v>3</v>
      </c>
      <c r="DM5" s="16">
        <v>3</v>
      </c>
      <c r="DT5" s="75" t="s">
        <v>103</v>
      </c>
      <c r="DU5" s="75" t="s">
        <v>104</v>
      </c>
      <c r="DV5" s="77">
        <v>5</v>
      </c>
      <c r="EF5" s="75" t="s">
        <v>114</v>
      </c>
      <c r="EG5" s="78" t="s">
        <v>115</v>
      </c>
      <c r="EH5" s="75">
        <v>6</v>
      </c>
      <c r="EI5" s="77">
        <v>5</v>
      </c>
      <c r="ET5" s="75" t="s">
        <v>73</v>
      </c>
      <c r="EU5" s="75" t="s">
        <v>74</v>
      </c>
      <c r="EV5" s="75">
        <v>6</v>
      </c>
      <c r="EW5" s="77">
        <v>5</v>
      </c>
    </row>
    <row r="6" spans="1:153" ht="25.5" x14ac:dyDescent="0.25">
      <c r="A6" s="18" t="s">
        <v>6</v>
      </c>
      <c r="B6" s="18">
        <v>2024</v>
      </c>
      <c r="C6" s="18" t="s">
        <v>138</v>
      </c>
      <c r="D6" s="18" t="s">
        <v>10</v>
      </c>
      <c r="E6" s="18">
        <v>30</v>
      </c>
      <c r="F6" s="18">
        <v>10</v>
      </c>
      <c r="G6" s="18" t="s">
        <v>152</v>
      </c>
      <c r="H6" s="18" t="s">
        <v>135</v>
      </c>
      <c r="I6" s="18" t="s">
        <v>162</v>
      </c>
      <c r="J6" s="31">
        <v>23.5</v>
      </c>
      <c r="K6" s="31">
        <v>24.83</v>
      </c>
      <c r="L6" s="4">
        <v>1.3299999999999983</v>
      </c>
      <c r="M6" s="5">
        <v>1</v>
      </c>
      <c r="N6" s="31">
        <v>1.3299999999999983</v>
      </c>
      <c r="O6" s="31">
        <v>1.3299999999999983</v>
      </c>
      <c r="P6" s="31">
        <v>265.99999999999966</v>
      </c>
      <c r="Q6" s="31">
        <v>5</v>
      </c>
      <c r="R6" s="31">
        <v>1.33</v>
      </c>
      <c r="S6" s="31">
        <v>1.26</v>
      </c>
      <c r="T6" s="86">
        <v>94.736842105263278</v>
      </c>
      <c r="U6" s="31">
        <v>1</v>
      </c>
      <c r="V6" s="31"/>
      <c r="W6" s="31">
        <v>1</v>
      </c>
      <c r="X6" s="31">
        <v>1330</v>
      </c>
      <c r="Y6" s="18">
        <v>11</v>
      </c>
      <c r="Z6" s="18" t="s">
        <v>88</v>
      </c>
      <c r="AA6" s="18" t="s">
        <v>118</v>
      </c>
      <c r="AB6" s="18" t="s">
        <v>334</v>
      </c>
      <c r="AC6" s="18">
        <v>5</v>
      </c>
      <c r="AD6" s="18">
        <v>265.99999999999966</v>
      </c>
      <c r="AE6" s="18" t="s">
        <v>27</v>
      </c>
      <c r="AF6" s="18" t="s">
        <v>27</v>
      </c>
      <c r="AG6" s="18" t="s">
        <v>27</v>
      </c>
      <c r="AH6" s="18">
        <v>35</v>
      </c>
      <c r="AI6" s="18" t="s">
        <v>27</v>
      </c>
      <c r="AJ6" s="18" t="s">
        <v>62</v>
      </c>
      <c r="AK6" s="18" t="s">
        <v>75</v>
      </c>
      <c r="AL6" s="18" t="s">
        <v>92</v>
      </c>
      <c r="AM6" s="18" t="s">
        <v>105</v>
      </c>
      <c r="AN6" s="18" t="s">
        <v>116</v>
      </c>
      <c r="AO6" s="18" t="s">
        <v>198</v>
      </c>
      <c r="AP6" s="18"/>
      <c r="AQ6" s="18"/>
      <c r="AR6" s="18">
        <v>4</v>
      </c>
      <c r="AS6" s="18">
        <v>5</v>
      </c>
      <c r="AT6" s="18">
        <v>3</v>
      </c>
      <c r="AU6" s="18">
        <v>4</v>
      </c>
      <c r="AV6" s="18">
        <v>4</v>
      </c>
      <c r="AW6" s="18">
        <v>20</v>
      </c>
      <c r="AX6" s="49">
        <v>19</v>
      </c>
      <c r="AY6" s="49">
        <f>VLOOKUP(AI6,Leyenda!$B$4:$E$10,4,FALSE)</f>
        <v>4</v>
      </c>
      <c r="AZ6" s="50">
        <v>17</v>
      </c>
      <c r="BA6" s="49">
        <v>20</v>
      </c>
      <c r="BB6" s="49">
        <v>15</v>
      </c>
      <c r="BC6" s="67">
        <v>77.368421052631646</v>
      </c>
      <c r="BD6" s="67">
        <f>VLOOKUP(AI6,Leyenda!$B$4:$E$10,4,FALSE)</f>
        <v>4</v>
      </c>
      <c r="BE6" s="67">
        <v>24</v>
      </c>
      <c r="BF6" s="67">
        <v>19</v>
      </c>
      <c r="BG6" s="67">
        <v>3</v>
      </c>
      <c r="BH6" s="67">
        <v>4</v>
      </c>
      <c r="BI6" s="67">
        <v>4</v>
      </c>
      <c r="BJ6" s="67">
        <v>4</v>
      </c>
      <c r="BK6" s="67">
        <v>4</v>
      </c>
      <c r="BL6" s="67">
        <v>10</v>
      </c>
      <c r="BM6" s="67">
        <f t="shared" si="0"/>
        <v>76</v>
      </c>
      <c r="BN6" s="18">
        <f t="shared" si="1"/>
        <v>75</v>
      </c>
      <c r="BO6" s="18"/>
      <c r="BP6" s="18"/>
      <c r="CH6" s="61" t="s">
        <v>62</v>
      </c>
      <c r="CI6" s="62" t="s">
        <v>61</v>
      </c>
      <c r="CJ6" s="77">
        <v>4</v>
      </c>
      <c r="CV6" s="75" t="s">
        <v>88</v>
      </c>
      <c r="CW6" s="75" t="s">
        <v>87</v>
      </c>
      <c r="CX6" s="77">
        <v>4</v>
      </c>
      <c r="DK6" s="14" t="s">
        <v>40</v>
      </c>
      <c r="DL6" s="14">
        <v>8</v>
      </c>
      <c r="DM6" s="3">
        <v>8</v>
      </c>
      <c r="DT6" s="75" t="s">
        <v>105</v>
      </c>
      <c r="DU6" s="75" t="s">
        <v>106</v>
      </c>
      <c r="DV6" s="77">
        <v>4</v>
      </c>
      <c r="EF6" s="75" t="s">
        <v>116</v>
      </c>
      <c r="EG6" s="78" t="s">
        <v>117</v>
      </c>
      <c r="EH6" s="75">
        <v>4</v>
      </c>
      <c r="EI6" s="77">
        <v>4</v>
      </c>
      <c r="ET6" s="75" t="s">
        <v>75</v>
      </c>
      <c r="EU6" s="75" t="s">
        <v>76</v>
      </c>
      <c r="EV6" s="75">
        <v>5</v>
      </c>
      <c r="EW6" s="77">
        <v>4</v>
      </c>
    </row>
    <row r="7" spans="1:153" ht="25.5" x14ac:dyDescent="0.25">
      <c r="A7" s="18" t="s">
        <v>6</v>
      </c>
      <c r="B7" s="18">
        <v>2024</v>
      </c>
      <c r="C7" s="18" t="s">
        <v>138</v>
      </c>
      <c r="D7" s="18" t="s">
        <v>10</v>
      </c>
      <c r="E7" s="18">
        <v>30</v>
      </c>
      <c r="F7" s="18">
        <v>10</v>
      </c>
      <c r="G7" s="18" t="s">
        <v>152</v>
      </c>
      <c r="H7" s="18" t="s">
        <v>135</v>
      </c>
      <c r="I7" s="18" t="s">
        <v>162</v>
      </c>
      <c r="J7" s="31">
        <v>24.83</v>
      </c>
      <c r="K7" s="31">
        <v>25.33</v>
      </c>
      <c r="L7" s="4">
        <v>0.5</v>
      </c>
      <c r="M7" s="5">
        <v>0.68</v>
      </c>
      <c r="N7" s="31">
        <v>0.34</v>
      </c>
      <c r="O7" s="31">
        <v>0.34</v>
      </c>
      <c r="P7" s="31">
        <v>340</v>
      </c>
      <c r="Q7" s="31">
        <v>1</v>
      </c>
      <c r="R7" s="31">
        <v>0.35</v>
      </c>
      <c r="S7" s="31">
        <v>0.17</v>
      </c>
      <c r="T7" s="86">
        <v>34</v>
      </c>
      <c r="U7" s="31">
        <v>4</v>
      </c>
      <c r="V7" s="31"/>
      <c r="W7" s="31">
        <v>4</v>
      </c>
      <c r="X7" s="31">
        <v>87.5</v>
      </c>
      <c r="Y7" s="18">
        <v>42</v>
      </c>
      <c r="Z7" s="18" t="s">
        <v>92</v>
      </c>
      <c r="AA7" s="18" t="s">
        <v>116</v>
      </c>
      <c r="AB7" s="18" t="s">
        <v>337</v>
      </c>
      <c r="AC7" s="18">
        <v>1</v>
      </c>
      <c r="AD7" s="18">
        <v>340</v>
      </c>
      <c r="AE7" s="18" t="s">
        <v>27</v>
      </c>
      <c r="AF7" s="18" t="s">
        <v>27</v>
      </c>
      <c r="AG7" s="18" t="s">
        <v>27</v>
      </c>
      <c r="AH7" s="18">
        <v>35</v>
      </c>
      <c r="AI7" s="18" t="s">
        <v>27</v>
      </c>
      <c r="AJ7" s="18" t="s">
        <v>62</v>
      </c>
      <c r="AK7" s="18" t="s">
        <v>75</v>
      </c>
      <c r="AL7" s="18" t="s">
        <v>92</v>
      </c>
      <c r="AM7" s="18" t="s">
        <v>105</v>
      </c>
      <c r="AN7" s="18" t="s">
        <v>116</v>
      </c>
      <c r="AO7" s="18" t="s">
        <v>198</v>
      </c>
      <c r="AP7" s="18"/>
      <c r="AQ7" s="18"/>
      <c r="AR7" s="18">
        <v>4</v>
      </c>
      <c r="AS7" s="18">
        <v>5</v>
      </c>
      <c r="AT7" s="18">
        <v>3</v>
      </c>
      <c r="AU7" s="18">
        <v>4</v>
      </c>
      <c r="AV7" s="18">
        <v>4</v>
      </c>
      <c r="AW7" s="18">
        <v>20</v>
      </c>
      <c r="AX7" s="49">
        <v>7</v>
      </c>
      <c r="AY7" s="49">
        <f>VLOOKUP(AI7,Leyenda!$B$4:$E$10,4,FALSE)</f>
        <v>4</v>
      </c>
      <c r="AZ7" s="50">
        <v>7</v>
      </c>
      <c r="BA7" s="49">
        <v>20</v>
      </c>
      <c r="BB7" s="49">
        <v>15</v>
      </c>
      <c r="BC7" s="67">
        <v>47</v>
      </c>
      <c r="BD7" s="67">
        <f>VLOOKUP(AI7,Leyenda!$B$4:$E$10,4,FALSE)</f>
        <v>4</v>
      </c>
      <c r="BE7" s="67">
        <v>7</v>
      </c>
      <c r="BF7" s="67">
        <v>7</v>
      </c>
      <c r="BG7" s="67">
        <v>3</v>
      </c>
      <c r="BH7" s="67">
        <v>4</v>
      </c>
      <c r="BI7" s="67">
        <v>4</v>
      </c>
      <c r="BJ7" s="67">
        <v>4</v>
      </c>
      <c r="BK7" s="67">
        <v>4</v>
      </c>
      <c r="BL7" s="67">
        <v>10</v>
      </c>
      <c r="BM7" s="67">
        <f t="shared" si="0"/>
        <v>47</v>
      </c>
      <c r="BN7" s="18">
        <f t="shared" si="1"/>
        <v>53</v>
      </c>
      <c r="BO7" s="18"/>
      <c r="BP7" s="18"/>
      <c r="CH7" s="61" t="s">
        <v>64</v>
      </c>
      <c r="CI7" s="62" t="s">
        <v>63</v>
      </c>
      <c r="CJ7" s="77">
        <v>3</v>
      </c>
      <c r="CV7" s="75" t="s">
        <v>92</v>
      </c>
      <c r="CW7" s="79" t="s">
        <v>91</v>
      </c>
      <c r="CX7" s="77">
        <v>3</v>
      </c>
      <c r="DK7" s="14" t="s">
        <v>42</v>
      </c>
      <c r="DL7" s="14">
        <v>13</v>
      </c>
      <c r="DM7" s="3">
        <v>13</v>
      </c>
      <c r="DT7" s="75" t="s">
        <v>107</v>
      </c>
      <c r="DU7" s="75" t="s">
        <v>108</v>
      </c>
      <c r="DV7" s="77">
        <v>3</v>
      </c>
      <c r="EF7" s="75" t="s">
        <v>118</v>
      </c>
      <c r="EG7" s="78" t="s">
        <v>119</v>
      </c>
      <c r="EH7" s="75">
        <v>2</v>
      </c>
      <c r="EI7" s="77">
        <v>3</v>
      </c>
      <c r="ET7" s="75" t="s">
        <v>77</v>
      </c>
      <c r="EU7" s="75" t="s">
        <v>78</v>
      </c>
      <c r="EV7" s="75">
        <v>3</v>
      </c>
      <c r="EW7" s="77">
        <v>3</v>
      </c>
    </row>
    <row r="8" spans="1:153" ht="25.5" x14ac:dyDescent="0.25">
      <c r="A8" s="18" t="s">
        <v>6</v>
      </c>
      <c r="B8" s="18">
        <v>2024</v>
      </c>
      <c r="C8" s="18" t="s">
        <v>138</v>
      </c>
      <c r="D8" s="18" t="s">
        <v>10</v>
      </c>
      <c r="E8" s="18">
        <v>30</v>
      </c>
      <c r="F8" s="18">
        <v>10</v>
      </c>
      <c r="G8" s="18" t="s">
        <v>152</v>
      </c>
      <c r="H8" s="18" t="s">
        <v>135</v>
      </c>
      <c r="I8" s="18" t="s">
        <v>162</v>
      </c>
      <c r="J8" s="31">
        <v>25.33</v>
      </c>
      <c r="K8" s="31">
        <v>25.83</v>
      </c>
      <c r="L8" s="4">
        <v>0.5</v>
      </c>
      <c r="M8" s="5">
        <v>0.42</v>
      </c>
      <c r="N8" s="31">
        <v>0.21</v>
      </c>
      <c r="O8" s="31">
        <v>0.21</v>
      </c>
      <c r="P8" s="31">
        <v>42</v>
      </c>
      <c r="Q8" s="31">
        <v>5</v>
      </c>
      <c r="R8" s="31">
        <v>0.19</v>
      </c>
      <c r="S8" s="31">
        <v>0.16</v>
      </c>
      <c r="T8" s="86">
        <v>32</v>
      </c>
      <c r="U8" s="31">
        <v>4</v>
      </c>
      <c r="V8" s="31"/>
      <c r="W8" s="31">
        <v>4</v>
      </c>
      <c r="X8" s="31">
        <v>47.5</v>
      </c>
      <c r="Y8" s="18">
        <v>30</v>
      </c>
      <c r="Z8" s="18" t="s">
        <v>88</v>
      </c>
      <c r="AA8" s="18" t="s">
        <v>118</v>
      </c>
      <c r="AB8" s="18" t="s">
        <v>334</v>
      </c>
      <c r="AC8" s="18">
        <v>5</v>
      </c>
      <c r="AD8" s="18">
        <v>42</v>
      </c>
      <c r="AE8" s="18" t="s">
        <v>27</v>
      </c>
      <c r="AF8" s="18" t="s">
        <v>27</v>
      </c>
      <c r="AG8" s="18" t="s">
        <v>27</v>
      </c>
      <c r="AH8" s="18">
        <v>35</v>
      </c>
      <c r="AI8" s="18" t="s">
        <v>27</v>
      </c>
      <c r="AJ8" s="18" t="s">
        <v>62</v>
      </c>
      <c r="AK8" s="18" t="s">
        <v>75</v>
      </c>
      <c r="AL8" s="18" t="s">
        <v>92</v>
      </c>
      <c r="AM8" s="18" t="s">
        <v>105</v>
      </c>
      <c r="AN8" s="18" t="s">
        <v>116</v>
      </c>
      <c r="AO8" s="18" t="s">
        <v>198</v>
      </c>
      <c r="AP8" s="18"/>
      <c r="AQ8" s="18"/>
      <c r="AR8" s="18">
        <v>4</v>
      </c>
      <c r="AS8" s="18">
        <v>5</v>
      </c>
      <c r="AT8" s="18">
        <v>3</v>
      </c>
      <c r="AU8" s="18">
        <v>4</v>
      </c>
      <c r="AV8" s="18">
        <v>4</v>
      </c>
      <c r="AW8" s="18">
        <v>20</v>
      </c>
      <c r="AX8" s="49">
        <v>7</v>
      </c>
      <c r="AY8" s="49">
        <f>VLOOKUP(AI8,Leyenda!$B$4:$E$10,4,FALSE)</f>
        <v>4</v>
      </c>
      <c r="AZ8" s="50">
        <v>6</v>
      </c>
      <c r="BA8" s="49">
        <v>20</v>
      </c>
      <c r="BB8" s="49">
        <v>15</v>
      </c>
      <c r="BC8" s="67">
        <v>46</v>
      </c>
      <c r="BD8" s="67">
        <f>VLOOKUP(AI8,Leyenda!$B$4:$E$10,4,FALSE)</f>
        <v>4</v>
      </c>
      <c r="BE8" s="67">
        <v>5</v>
      </c>
      <c r="BF8" s="67">
        <v>7</v>
      </c>
      <c r="BG8" s="67">
        <v>3</v>
      </c>
      <c r="BH8" s="67">
        <v>4</v>
      </c>
      <c r="BI8" s="67">
        <v>4</v>
      </c>
      <c r="BJ8" s="67">
        <v>4</v>
      </c>
      <c r="BK8" s="67">
        <v>4</v>
      </c>
      <c r="BL8" s="67">
        <v>10</v>
      </c>
      <c r="BM8" s="67">
        <f t="shared" si="0"/>
        <v>45</v>
      </c>
      <c r="BN8" s="18">
        <f t="shared" si="1"/>
        <v>52</v>
      </c>
      <c r="BO8" s="18"/>
      <c r="BP8" s="18"/>
      <c r="CH8" s="61" t="s">
        <v>66</v>
      </c>
      <c r="CI8" s="62" t="s">
        <v>65</v>
      </c>
      <c r="CJ8" s="77">
        <v>1</v>
      </c>
      <c r="CV8" s="75" t="s">
        <v>96</v>
      </c>
      <c r="CW8" s="75" t="s">
        <v>95</v>
      </c>
      <c r="CX8" s="77">
        <v>1</v>
      </c>
      <c r="DK8" s="14" t="s">
        <v>44</v>
      </c>
      <c r="DL8" s="14">
        <v>17</v>
      </c>
      <c r="DM8" s="3">
        <v>17</v>
      </c>
      <c r="DT8" s="75" t="s">
        <v>109</v>
      </c>
      <c r="DU8" s="75" t="s">
        <v>110</v>
      </c>
      <c r="DV8" s="77">
        <v>1</v>
      </c>
      <c r="EF8" s="75" t="s">
        <v>120</v>
      </c>
      <c r="EG8" s="78" t="s">
        <v>121</v>
      </c>
      <c r="EH8" s="75">
        <v>2</v>
      </c>
      <c r="EI8" s="77">
        <v>2</v>
      </c>
      <c r="ET8" s="75" t="s">
        <v>79</v>
      </c>
      <c r="EU8" s="75" t="s">
        <v>80</v>
      </c>
      <c r="EV8" s="75">
        <v>1</v>
      </c>
      <c r="EW8" s="77">
        <v>1</v>
      </c>
    </row>
    <row r="9" spans="1:153" ht="25.5" x14ac:dyDescent="0.25">
      <c r="A9" s="18" t="s">
        <v>6</v>
      </c>
      <c r="B9" s="18">
        <v>2024</v>
      </c>
      <c r="C9" s="18" t="s">
        <v>138</v>
      </c>
      <c r="D9" s="18" t="s">
        <v>10</v>
      </c>
      <c r="E9" s="18">
        <v>30</v>
      </c>
      <c r="F9" s="18">
        <v>10</v>
      </c>
      <c r="G9" s="18" t="s">
        <v>152</v>
      </c>
      <c r="H9" s="18" t="s">
        <v>135</v>
      </c>
      <c r="I9" s="18" t="s">
        <v>162</v>
      </c>
      <c r="J9" s="31">
        <v>25.83</v>
      </c>
      <c r="K9" s="31">
        <v>26.33</v>
      </c>
      <c r="L9" s="4">
        <v>0.5</v>
      </c>
      <c r="M9" s="5">
        <v>0.7</v>
      </c>
      <c r="N9" s="31">
        <v>0.35</v>
      </c>
      <c r="O9" s="31">
        <v>0.35</v>
      </c>
      <c r="P9" s="31">
        <v>350</v>
      </c>
      <c r="Q9" s="31">
        <v>1</v>
      </c>
      <c r="R9" s="31">
        <v>0.31</v>
      </c>
      <c r="S9" s="31">
        <v>0.11</v>
      </c>
      <c r="T9" s="86">
        <v>22</v>
      </c>
      <c r="U9" s="31">
        <v>3</v>
      </c>
      <c r="V9" s="31"/>
      <c r="W9" s="31">
        <v>3</v>
      </c>
      <c r="X9" s="31">
        <v>103.33333333333333</v>
      </c>
      <c r="Y9" s="18">
        <v>70</v>
      </c>
      <c r="Z9" s="18" t="s">
        <v>92</v>
      </c>
      <c r="AA9" s="18" t="s">
        <v>116</v>
      </c>
      <c r="AB9" s="18" t="s">
        <v>334</v>
      </c>
      <c r="AC9" s="18">
        <v>1</v>
      </c>
      <c r="AD9" s="18">
        <v>350</v>
      </c>
      <c r="AE9" s="18" t="s">
        <v>27</v>
      </c>
      <c r="AF9" s="18" t="s">
        <v>27</v>
      </c>
      <c r="AG9" s="18" t="s">
        <v>27</v>
      </c>
      <c r="AH9" s="18">
        <v>35</v>
      </c>
      <c r="AI9" s="18" t="s">
        <v>27</v>
      </c>
      <c r="AJ9" s="18" t="s">
        <v>62</v>
      </c>
      <c r="AK9" s="18" t="s">
        <v>75</v>
      </c>
      <c r="AL9" s="18" t="s">
        <v>92</v>
      </c>
      <c r="AM9" s="18" t="s">
        <v>105</v>
      </c>
      <c r="AN9" s="18" t="s">
        <v>116</v>
      </c>
      <c r="AO9" s="18" t="s">
        <v>198</v>
      </c>
      <c r="AP9" s="18"/>
      <c r="AQ9" s="18"/>
      <c r="AR9" s="18">
        <v>4</v>
      </c>
      <c r="AS9" s="18">
        <v>5</v>
      </c>
      <c r="AT9" s="18">
        <v>3</v>
      </c>
      <c r="AU9" s="18">
        <v>4</v>
      </c>
      <c r="AV9" s="18">
        <v>4</v>
      </c>
      <c r="AW9" s="18">
        <v>20</v>
      </c>
      <c r="AX9" s="49">
        <v>5</v>
      </c>
      <c r="AY9" s="49">
        <f>VLOOKUP(AI9,Leyenda!$B$4:$E$10,4,FALSE)</f>
        <v>4</v>
      </c>
      <c r="AZ9" s="50">
        <v>7</v>
      </c>
      <c r="BA9" s="49">
        <v>20</v>
      </c>
      <c r="BB9" s="49">
        <v>15</v>
      </c>
      <c r="BC9" s="67">
        <v>41</v>
      </c>
      <c r="BD9" s="67">
        <f>VLOOKUP(AI9,Leyenda!$B$4:$E$10,4,FALSE)</f>
        <v>4</v>
      </c>
      <c r="BE9" s="67">
        <v>8</v>
      </c>
      <c r="BF9" s="67">
        <v>5</v>
      </c>
      <c r="BG9" s="67">
        <v>3</v>
      </c>
      <c r="BH9" s="67">
        <v>4</v>
      </c>
      <c r="BI9" s="67">
        <v>4</v>
      </c>
      <c r="BJ9" s="67">
        <v>4</v>
      </c>
      <c r="BK9" s="67">
        <v>4</v>
      </c>
      <c r="BL9" s="67">
        <v>10</v>
      </c>
      <c r="BM9" s="67">
        <f t="shared" si="0"/>
        <v>46</v>
      </c>
      <c r="BN9" s="18">
        <f t="shared" si="1"/>
        <v>51</v>
      </c>
      <c r="BO9" s="18"/>
      <c r="BP9" s="18"/>
      <c r="CH9" s="61" t="s">
        <v>69</v>
      </c>
      <c r="CI9" s="62" t="s">
        <v>68</v>
      </c>
      <c r="CJ9" s="77">
        <v>0</v>
      </c>
      <c r="CV9" s="75" t="s">
        <v>100</v>
      </c>
      <c r="CW9" s="75" t="s">
        <v>99</v>
      </c>
      <c r="CX9" s="77">
        <v>0</v>
      </c>
      <c r="DK9" s="14" t="s">
        <v>46</v>
      </c>
      <c r="DL9" s="14">
        <v>20</v>
      </c>
      <c r="DM9" s="3">
        <v>20</v>
      </c>
      <c r="DT9" s="75" t="s">
        <v>111</v>
      </c>
      <c r="DU9" s="75" t="s">
        <v>599</v>
      </c>
      <c r="DV9" s="77">
        <v>0</v>
      </c>
      <c r="EF9" s="75" t="s">
        <v>122</v>
      </c>
      <c r="EG9" s="78" t="s">
        <v>123</v>
      </c>
      <c r="EH9" s="75">
        <v>0</v>
      </c>
      <c r="EI9" s="77">
        <v>0</v>
      </c>
      <c r="ET9" s="75" t="s">
        <v>81</v>
      </c>
      <c r="EU9" s="75" t="s">
        <v>82</v>
      </c>
      <c r="EV9" s="75">
        <v>0</v>
      </c>
      <c r="EW9" s="77">
        <v>0</v>
      </c>
    </row>
    <row r="10" spans="1:153" ht="15.75" thickBot="1" x14ac:dyDescent="0.3">
      <c r="A10" s="18" t="s">
        <v>6</v>
      </c>
      <c r="B10" s="18">
        <v>2024</v>
      </c>
      <c r="C10" s="18" t="s">
        <v>138</v>
      </c>
      <c r="D10" s="18" t="s">
        <v>10</v>
      </c>
      <c r="E10" s="18">
        <v>30</v>
      </c>
      <c r="F10" s="18">
        <v>10</v>
      </c>
      <c r="G10" s="18" t="s">
        <v>152</v>
      </c>
      <c r="H10" s="18" t="s">
        <v>135</v>
      </c>
      <c r="I10" s="18" t="s">
        <v>162</v>
      </c>
      <c r="J10" s="31">
        <v>26.33</v>
      </c>
      <c r="K10" s="31">
        <v>27.03</v>
      </c>
      <c r="L10" s="4">
        <v>0.70000000000000284</v>
      </c>
      <c r="M10" s="5">
        <v>1</v>
      </c>
      <c r="N10" s="31">
        <v>0.70000000000000284</v>
      </c>
      <c r="O10" s="31">
        <v>0.70000000000000284</v>
      </c>
      <c r="P10" s="31">
        <v>140.00000000000057</v>
      </c>
      <c r="Q10" s="31">
        <v>5</v>
      </c>
      <c r="R10" s="31">
        <v>0.61</v>
      </c>
      <c r="S10" s="31">
        <v>0.6</v>
      </c>
      <c r="T10" s="86">
        <v>85.714285714285367</v>
      </c>
      <c r="U10" s="31">
        <v>2</v>
      </c>
      <c r="V10" s="31"/>
      <c r="W10" s="31">
        <v>2</v>
      </c>
      <c r="X10" s="31">
        <v>305</v>
      </c>
      <c r="Y10" s="18">
        <v>94</v>
      </c>
      <c r="Z10" s="18" t="s">
        <v>96</v>
      </c>
      <c r="AA10" s="18" t="s">
        <v>118</v>
      </c>
      <c r="AB10" s="18" t="s">
        <v>334</v>
      </c>
      <c r="AC10" s="18">
        <v>5</v>
      </c>
      <c r="AD10" s="18">
        <v>140.00000000000057</v>
      </c>
      <c r="AE10" s="18" t="s">
        <v>27</v>
      </c>
      <c r="AF10" s="18" t="s">
        <v>27</v>
      </c>
      <c r="AG10" s="18" t="s">
        <v>27</v>
      </c>
      <c r="AH10" s="18">
        <v>35</v>
      </c>
      <c r="AI10" s="18" t="s">
        <v>27</v>
      </c>
      <c r="AJ10" s="18" t="s">
        <v>62</v>
      </c>
      <c r="AK10" s="18" t="s">
        <v>75</v>
      </c>
      <c r="AL10" s="18" t="s">
        <v>92</v>
      </c>
      <c r="AM10" s="18" t="s">
        <v>105</v>
      </c>
      <c r="AN10" s="18" t="s">
        <v>116</v>
      </c>
      <c r="AO10" s="18" t="s">
        <v>198</v>
      </c>
      <c r="AP10" s="18"/>
      <c r="AQ10" s="18"/>
      <c r="AR10" s="18">
        <v>4</v>
      </c>
      <c r="AS10" s="18">
        <v>5</v>
      </c>
      <c r="AT10" s="18">
        <v>3</v>
      </c>
      <c r="AU10" s="18">
        <v>4</v>
      </c>
      <c r="AV10" s="18">
        <v>4</v>
      </c>
      <c r="AW10" s="18">
        <v>20</v>
      </c>
      <c r="AX10" s="49">
        <v>17</v>
      </c>
      <c r="AY10" s="49">
        <f>VLOOKUP(AI10,Leyenda!$B$4:$E$10,4,FALSE)</f>
        <v>4</v>
      </c>
      <c r="AZ10" s="50">
        <v>11</v>
      </c>
      <c r="BA10" s="49">
        <v>20</v>
      </c>
      <c r="BB10" s="49">
        <v>15</v>
      </c>
      <c r="BC10" s="67">
        <v>72.857142857142691</v>
      </c>
      <c r="BD10" s="67">
        <f>VLOOKUP(AI10,Leyenda!$B$4:$E$10,4,FALSE)</f>
        <v>4</v>
      </c>
      <c r="BE10" s="67">
        <v>15</v>
      </c>
      <c r="BF10" s="67">
        <v>17</v>
      </c>
      <c r="BG10" s="67">
        <v>3</v>
      </c>
      <c r="BH10" s="67">
        <v>4</v>
      </c>
      <c r="BI10" s="67">
        <v>4</v>
      </c>
      <c r="BJ10" s="67">
        <v>4</v>
      </c>
      <c r="BK10" s="67">
        <v>4</v>
      </c>
      <c r="BL10" s="67">
        <v>10</v>
      </c>
      <c r="BM10" s="67">
        <f t="shared" si="0"/>
        <v>65</v>
      </c>
      <c r="BN10" s="18">
        <f t="shared" si="1"/>
        <v>67</v>
      </c>
      <c r="BO10" s="18"/>
      <c r="BP10" s="18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Q10" s="167"/>
      <c r="DR10" s="167"/>
      <c r="DS10" s="167"/>
      <c r="DT10" s="167"/>
      <c r="DU10" s="167"/>
      <c r="DV10" s="167"/>
      <c r="DW10" s="167"/>
      <c r="DX10" s="167"/>
      <c r="DY10" s="167"/>
    </row>
    <row r="11" spans="1:153" ht="15.75" thickBot="1" x14ac:dyDescent="0.3">
      <c r="A11" s="18" t="s">
        <v>6</v>
      </c>
      <c r="B11" s="18">
        <v>2024</v>
      </c>
      <c r="C11" s="18" t="s">
        <v>138</v>
      </c>
      <c r="D11" s="18" t="s">
        <v>10</v>
      </c>
      <c r="E11" s="18">
        <v>30</v>
      </c>
      <c r="F11" s="18">
        <v>10</v>
      </c>
      <c r="G11" s="18" t="s">
        <v>152</v>
      </c>
      <c r="H11" s="18" t="s">
        <v>135</v>
      </c>
      <c r="I11" s="18" t="s">
        <v>162</v>
      </c>
      <c r="J11" s="31">
        <v>27.03</v>
      </c>
      <c r="K11" s="31">
        <v>27.97</v>
      </c>
      <c r="L11" s="4">
        <v>0.93999999999999773</v>
      </c>
      <c r="M11" s="5">
        <v>1</v>
      </c>
      <c r="N11" s="31">
        <v>0.93999999999999773</v>
      </c>
      <c r="O11" s="31">
        <v>0.93999999999999773</v>
      </c>
      <c r="P11" s="31">
        <v>93.999999999999773</v>
      </c>
      <c r="Q11" s="31">
        <v>10</v>
      </c>
      <c r="R11" s="31">
        <v>0.86</v>
      </c>
      <c r="S11" s="31">
        <v>0.55000000000000004</v>
      </c>
      <c r="T11" s="86">
        <v>58.510638297872489</v>
      </c>
      <c r="U11" s="31">
        <v>3</v>
      </c>
      <c r="V11" s="31"/>
      <c r="W11" s="31">
        <v>3</v>
      </c>
      <c r="X11" s="31">
        <v>286.66666666666669</v>
      </c>
      <c r="Y11" s="18">
        <v>85</v>
      </c>
      <c r="Z11" s="18" t="s">
        <v>96</v>
      </c>
      <c r="AA11" s="18" t="s">
        <v>120</v>
      </c>
      <c r="AB11" s="18" t="s">
        <v>334</v>
      </c>
      <c r="AC11" s="18">
        <v>10</v>
      </c>
      <c r="AD11" s="18">
        <v>93.999999999999773</v>
      </c>
      <c r="AE11" s="18" t="s">
        <v>27</v>
      </c>
      <c r="AF11" s="18" t="s">
        <v>27</v>
      </c>
      <c r="AG11" s="18" t="s">
        <v>27</v>
      </c>
      <c r="AH11" s="18">
        <v>35</v>
      </c>
      <c r="AI11" s="18" t="s">
        <v>27</v>
      </c>
      <c r="AJ11" s="18" t="s">
        <v>62</v>
      </c>
      <c r="AK11" s="18" t="s">
        <v>75</v>
      </c>
      <c r="AL11" s="18" t="s">
        <v>92</v>
      </c>
      <c r="AM11" s="18" t="s">
        <v>105</v>
      </c>
      <c r="AN11" s="18" t="s">
        <v>116</v>
      </c>
      <c r="AO11" s="18" t="s">
        <v>198</v>
      </c>
      <c r="AP11" s="18"/>
      <c r="AQ11" s="18"/>
      <c r="AR11" s="18">
        <v>4</v>
      </c>
      <c r="AS11" s="18">
        <v>5</v>
      </c>
      <c r="AT11" s="18">
        <v>3</v>
      </c>
      <c r="AU11" s="18">
        <v>4</v>
      </c>
      <c r="AV11" s="18">
        <v>4</v>
      </c>
      <c r="AW11" s="18">
        <v>20</v>
      </c>
      <c r="AX11" s="49">
        <v>12</v>
      </c>
      <c r="AY11" s="49">
        <f>VLOOKUP(AI11,Leyenda!$B$4:$E$10,4,FALSE)</f>
        <v>4</v>
      </c>
      <c r="AZ11" s="50">
        <v>10</v>
      </c>
      <c r="BA11" s="49">
        <v>20</v>
      </c>
      <c r="BB11" s="49">
        <v>15</v>
      </c>
      <c r="BC11" s="67">
        <v>59.255319148936245</v>
      </c>
      <c r="BD11" s="67">
        <f>VLOOKUP(AI11,Leyenda!$B$4:$E$10,4,FALSE)</f>
        <v>4</v>
      </c>
      <c r="BE11" s="67">
        <v>15</v>
      </c>
      <c r="BF11" s="67">
        <v>12</v>
      </c>
      <c r="BG11" s="67">
        <v>3</v>
      </c>
      <c r="BH11" s="67">
        <v>4</v>
      </c>
      <c r="BI11" s="67">
        <v>4</v>
      </c>
      <c r="BJ11" s="67">
        <v>4</v>
      </c>
      <c r="BK11" s="67">
        <v>4</v>
      </c>
      <c r="BL11" s="67">
        <v>10</v>
      </c>
      <c r="BM11" s="67">
        <f t="shared" si="0"/>
        <v>60</v>
      </c>
      <c r="BN11" s="18">
        <f t="shared" si="1"/>
        <v>61</v>
      </c>
      <c r="BO11" s="18"/>
      <c r="BP11" s="18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R11" s="167"/>
      <c r="CS11" s="167"/>
      <c r="CT11" s="167"/>
      <c r="CU11" s="167"/>
      <c r="CV11" s="167"/>
      <c r="CW11" s="167"/>
      <c r="CX11" s="167"/>
      <c r="CY11" s="167"/>
      <c r="CZ11" s="167"/>
      <c r="DF11" s="167"/>
      <c r="DG11" s="167"/>
      <c r="DH11" s="168" t="s">
        <v>287</v>
      </c>
      <c r="DI11" s="168" t="s">
        <v>288</v>
      </c>
      <c r="DJ11" s="168" t="s">
        <v>582</v>
      </c>
      <c r="DK11" s="168" t="s">
        <v>287</v>
      </c>
      <c r="DL11" s="168" t="s">
        <v>288</v>
      </c>
      <c r="DM11" s="168" t="s">
        <v>582</v>
      </c>
      <c r="DN11" s="169" t="s">
        <v>642</v>
      </c>
      <c r="DO11" s="167"/>
      <c r="DQ11" s="167"/>
      <c r="DR11" s="168" t="s">
        <v>287</v>
      </c>
      <c r="DS11" s="168" t="s">
        <v>288</v>
      </c>
      <c r="DT11" s="168" t="s">
        <v>582</v>
      </c>
      <c r="DU11" s="168" t="s">
        <v>287</v>
      </c>
      <c r="DV11" s="168" t="s">
        <v>288</v>
      </c>
      <c r="DW11" s="168" t="s">
        <v>582</v>
      </c>
      <c r="DX11" s="169" t="s">
        <v>642</v>
      </c>
      <c r="DY11" s="167"/>
      <c r="EA11" s="167"/>
      <c r="EB11" s="167"/>
      <c r="EC11" s="167"/>
      <c r="ED11" s="167"/>
      <c r="EE11" s="167"/>
      <c r="EF11" s="167"/>
      <c r="EG11" s="167"/>
      <c r="EH11" s="167"/>
      <c r="EI11" s="167"/>
      <c r="EJ11" s="167"/>
    </row>
    <row r="12" spans="1:153" x14ac:dyDescent="0.25">
      <c r="A12" s="18" t="s">
        <v>6</v>
      </c>
      <c r="B12" s="18">
        <v>2024</v>
      </c>
      <c r="C12" s="18" t="s">
        <v>138</v>
      </c>
      <c r="D12" s="18" t="s">
        <v>10</v>
      </c>
      <c r="E12" s="18">
        <v>10</v>
      </c>
      <c r="F12" s="18">
        <v>10</v>
      </c>
      <c r="G12" s="18" t="s">
        <v>135</v>
      </c>
      <c r="H12" s="18" t="s">
        <v>135</v>
      </c>
      <c r="I12" s="18" t="s">
        <v>162</v>
      </c>
      <c r="J12" s="31">
        <v>27.97</v>
      </c>
      <c r="K12" s="31">
        <v>29</v>
      </c>
      <c r="L12" s="4">
        <v>1.0300000000000011</v>
      </c>
      <c r="M12" s="5">
        <v>0.87</v>
      </c>
      <c r="N12" s="31">
        <v>0.89610000000000101</v>
      </c>
      <c r="O12" s="31">
        <v>0.89610000000000101</v>
      </c>
      <c r="P12" s="31">
        <v>89.610000000000099</v>
      </c>
      <c r="Q12" s="31">
        <v>10</v>
      </c>
      <c r="R12" s="31">
        <v>0.82</v>
      </c>
      <c r="S12" s="31">
        <v>0.54</v>
      </c>
      <c r="T12" s="86">
        <v>52.427184466019362</v>
      </c>
      <c r="U12" s="31">
        <v>5</v>
      </c>
      <c r="V12" s="31"/>
      <c r="W12" s="31">
        <v>5</v>
      </c>
      <c r="X12" s="31">
        <v>164</v>
      </c>
      <c r="Y12" s="18">
        <v>34</v>
      </c>
      <c r="Z12" s="18" t="s">
        <v>88</v>
      </c>
      <c r="AA12" s="18" t="s">
        <v>120</v>
      </c>
      <c r="AB12" s="18" t="s">
        <v>334</v>
      </c>
      <c r="AC12" s="18">
        <v>10</v>
      </c>
      <c r="AD12" s="18">
        <v>89.610000000000099</v>
      </c>
      <c r="AE12" s="18" t="s">
        <v>24</v>
      </c>
      <c r="AF12" s="18" t="s">
        <v>24</v>
      </c>
      <c r="AG12" s="18" t="s">
        <v>24</v>
      </c>
      <c r="AH12" s="18">
        <v>35</v>
      </c>
      <c r="AI12" s="18" t="s">
        <v>27</v>
      </c>
      <c r="AJ12" s="18" t="s">
        <v>62</v>
      </c>
      <c r="AK12" s="18" t="s">
        <v>75</v>
      </c>
      <c r="AL12" s="18" t="s">
        <v>92</v>
      </c>
      <c r="AM12" s="18" t="s">
        <v>105</v>
      </c>
      <c r="AN12" s="18" t="s">
        <v>116</v>
      </c>
      <c r="AO12" s="18" t="s">
        <v>198</v>
      </c>
      <c r="AP12" s="18"/>
      <c r="AQ12" s="18"/>
      <c r="AR12" s="18">
        <v>4</v>
      </c>
      <c r="AS12" s="18">
        <v>5</v>
      </c>
      <c r="AT12" s="18">
        <v>3</v>
      </c>
      <c r="AU12" s="18">
        <v>4</v>
      </c>
      <c r="AV12" s="18">
        <v>4</v>
      </c>
      <c r="AW12" s="18">
        <v>20</v>
      </c>
      <c r="AX12" s="49">
        <v>11</v>
      </c>
      <c r="AY12" s="49">
        <f>VLOOKUP(AI12,Leyenda!$B$4:$E$10,4,FALSE)</f>
        <v>4</v>
      </c>
      <c r="AZ12" s="50">
        <v>9</v>
      </c>
      <c r="BA12" s="49">
        <v>20</v>
      </c>
      <c r="BB12" s="49">
        <v>15</v>
      </c>
      <c r="BC12" s="67">
        <v>56.213592233009678</v>
      </c>
      <c r="BD12" s="67">
        <f>VLOOKUP(AI12,Leyenda!$B$4:$E$10,4,FALSE)</f>
        <v>4</v>
      </c>
      <c r="BE12" s="67">
        <v>11</v>
      </c>
      <c r="BF12" s="67">
        <v>11</v>
      </c>
      <c r="BG12" s="67">
        <v>3</v>
      </c>
      <c r="BH12" s="67">
        <v>4</v>
      </c>
      <c r="BI12" s="67">
        <v>4</v>
      </c>
      <c r="BJ12" s="67">
        <v>4</v>
      </c>
      <c r="BK12" s="67">
        <v>4</v>
      </c>
      <c r="BL12" s="67">
        <v>10</v>
      </c>
      <c r="BM12" s="67">
        <f t="shared" si="0"/>
        <v>55</v>
      </c>
      <c r="BN12" s="18">
        <f t="shared" si="1"/>
        <v>59</v>
      </c>
      <c r="BO12" s="18"/>
      <c r="BP12" s="18"/>
      <c r="CD12" s="167"/>
      <c r="CE12" s="167"/>
      <c r="CF12" s="168" t="s">
        <v>287</v>
      </c>
      <c r="CG12" s="168" t="s">
        <v>288</v>
      </c>
      <c r="CH12" s="168" t="s">
        <v>582</v>
      </c>
      <c r="CI12" s="168" t="s">
        <v>287</v>
      </c>
      <c r="CJ12" s="168" t="s">
        <v>288</v>
      </c>
      <c r="CK12" s="168" t="s">
        <v>582</v>
      </c>
      <c r="CL12" s="169" t="s">
        <v>585</v>
      </c>
      <c r="CM12" s="167"/>
      <c r="CR12" s="167"/>
      <c r="CS12" s="167"/>
      <c r="CT12" s="168" t="s">
        <v>287</v>
      </c>
      <c r="CU12" s="168" t="s">
        <v>288</v>
      </c>
      <c r="CV12" s="168" t="s">
        <v>582</v>
      </c>
      <c r="CW12" s="168" t="s">
        <v>287</v>
      </c>
      <c r="CX12" s="168" t="s">
        <v>288</v>
      </c>
      <c r="CY12" s="168" t="s">
        <v>582</v>
      </c>
      <c r="CZ12" s="167"/>
      <c r="DF12" s="167"/>
      <c r="DG12" s="176" t="s">
        <v>637</v>
      </c>
      <c r="DH12" s="167">
        <v>3</v>
      </c>
      <c r="DI12" s="167">
        <v>20</v>
      </c>
      <c r="DJ12" s="170">
        <v>0.24390243902439024</v>
      </c>
      <c r="DK12" s="167">
        <v>8</v>
      </c>
      <c r="DL12" s="167">
        <v>26</v>
      </c>
      <c r="DM12" s="170">
        <v>0.31707317073170732</v>
      </c>
      <c r="DN12" s="171">
        <f>+DI12/$DI$18</f>
        <v>0.24390243902439024</v>
      </c>
      <c r="DO12" s="167"/>
      <c r="DQ12" s="167" t="s">
        <v>111</v>
      </c>
      <c r="DR12" s="167">
        <v>0</v>
      </c>
      <c r="DS12" s="167">
        <v>0</v>
      </c>
      <c r="DT12" s="170">
        <v>0</v>
      </c>
      <c r="DU12" s="167">
        <v>3</v>
      </c>
      <c r="DV12" s="167">
        <v>48</v>
      </c>
      <c r="DW12" s="170">
        <v>0.58536585365853655</v>
      </c>
      <c r="DX12" s="174">
        <f>+DS12/$DS$18</f>
        <v>0</v>
      </c>
      <c r="DY12" s="167"/>
      <c r="EA12" s="167"/>
      <c r="EB12" s="167"/>
      <c r="EC12" s="168" t="s">
        <v>287</v>
      </c>
      <c r="ED12" s="168" t="s">
        <v>288</v>
      </c>
      <c r="EE12" s="168" t="s">
        <v>582</v>
      </c>
      <c r="EF12" s="168" t="s">
        <v>287</v>
      </c>
      <c r="EG12" s="168" t="s">
        <v>288</v>
      </c>
      <c r="EH12" s="168" t="s">
        <v>582</v>
      </c>
      <c r="EI12" s="169" t="s">
        <v>642</v>
      </c>
      <c r="EJ12" s="167"/>
    </row>
    <row r="13" spans="1:153" ht="15.75" thickBot="1" x14ac:dyDescent="0.3">
      <c r="A13" s="18" t="s">
        <v>6</v>
      </c>
      <c r="B13" s="18">
        <v>2024</v>
      </c>
      <c r="C13" s="18" t="s">
        <v>138</v>
      </c>
      <c r="D13" s="18" t="s">
        <v>10</v>
      </c>
      <c r="E13" s="18">
        <v>10</v>
      </c>
      <c r="F13" s="18">
        <v>10</v>
      </c>
      <c r="G13" s="18" t="s">
        <v>135</v>
      </c>
      <c r="H13" s="18" t="s">
        <v>135</v>
      </c>
      <c r="I13" s="18" t="s">
        <v>162</v>
      </c>
      <c r="J13" s="31">
        <v>29</v>
      </c>
      <c r="K13" s="31">
        <v>29.5</v>
      </c>
      <c r="L13" s="4">
        <v>0.5</v>
      </c>
      <c r="M13" s="5">
        <v>0.96</v>
      </c>
      <c r="N13" s="31">
        <v>0.48</v>
      </c>
      <c r="O13" s="31">
        <v>0.48</v>
      </c>
      <c r="P13" s="31">
        <v>48</v>
      </c>
      <c r="Q13" s="31">
        <v>10</v>
      </c>
      <c r="R13" s="31">
        <v>0.48</v>
      </c>
      <c r="S13" s="31">
        <v>0.4</v>
      </c>
      <c r="T13" s="86">
        <v>80</v>
      </c>
      <c r="U13" s="31">
        <v>2</v>
      </c>
      <c r="V13" s="31"/>
      <c r="W13" s="31">
        <v>2</v>
      </c>
      <c r="X13" s="31">
        <v>240</v>
      </c>
      <c r="Y13" s="18">
        <v>80</v>
      </c>
      <c r="Z13" s="18" t="s">
        <v>96</v>
      </c>
      <c r="AA13" s="18" t="s">
        <v>120</v>
      </c>
      <c r="AB13" s="18" t="s">
        <v>337</v>
      </c>
      <c r="AC13" s="18">
        <v>10</v>
      </c>
      <c r="AD13" s="18">
        <v>48</v>
      </c>
      <c r="AE13" s="18" t="s">
        <v>24</v>
      </c>
      <c r="AF13" s="18" t="s">
        <v>24</v>
      </c>
      <c r="AG13" s="18" t="s">
        <v>24</v>
      </c>
      <c r="AH13" s="18">
        <v>35</v>
      </c>
      <c r="AI13" s="18" t="s">
        <v>27</v>
      </c>
      <c r="AJ13" s="18" t="s">
        <v>62</v>
      </c>
      <c r="AK13" s="18" t="s">
        <v>75</v>
      </c>
      <c r="AL13" s="18" t="s">
        <v>92</v>
      </c>
      <c r="AM13" s="18" t="s">
        <v>105</v>
      </c>
      <c r="AN13" s="18" t="s">
        <v>116</v>
      </c>
      <c r="AO13" s="18" t="s">
        <v>198</v>
      </c>
      <c r="AP13" s="18"/>
      <c r="AQ13" s="18"/>
      <c r="AR13" s="18">
        <v>4</v>
      </c>
      <c r="AS13" s="18">
        <v>5</v>
      </c>
      <c r="AT13" s="18">
        <v>3</v>
      </c>
      <c r="AU13" s="18">
        <v>4</v>
      </c>
      <c r="AV13" s="18">
        <v>4</v>
      </c>
      <c r="AW13" s="18">
        <v>20</v>
      </c>
      <c r="AX13" s="49">
        <v>16</v>
      </c>
      <c r="AY13" s="49">
        <f>VLOOKUP(AI13,Leyenda!$B$4:$E$10,4,FALSE)</f>
        <v>4</v>
      </c>
      <c r="AZ13" s="50">
        <v>10</v>
      </c>
      <c r="BA13" s="49">
        <v>20</v>
      </c>
      <c r="BB13" s="49">
        <v>15</v>
      </c>
      <c r="BC13" s="67">
        <v>70</v>
      </c>
      <c r="BD13" s="67">
        <f>VLOOKUP(AI13,Leyenda!$B$4:$E$10,4,FALSE)</f>
        <v>4</v>
      </c>
      <c r="BE13" s="67">
        <v>13</v>
      </c>
      <c r="BF13" s="67">
        <v>16</v>
      </c>
      <c r="BG13" s="67">
        <v>3</v>
      </c>
      <c r="BH13" s="67">
        <v>4</v>
      </c>
      <c r="BI13" s="67">
        <v>4</v>
      </c>
      <c r="BJ13" s="67">
        <v>4</v>
      </c>
      <c r="BK13" s="67">
        <v>4</v>
      </c>
      <c r="BL13" s="67">
        <v>10</v>
      </c>
      <c r="BM13" s="67">
        <f t="shared" si="0"/>
        <v>62</v>
      </c>
      <c r="BN13" s="18">
        <f t="shared" si="1"/>
        <v>65</v>
      </c>
      <c r="BO13" s="18"/>
      <c r="BP13" s="18"/>
      <c r="CD13" s="167"/>
      <c r="CE13" s="167" t="s">
        <v>69</v>
      </c>
      <c r="CF13" s="167">
        <v>0</v>
      </c>
      <c r="CG13" s="167">
        <v>1</v>
      </c>
      <c r="CH13" s="170">
        <v>1.2195121951219513E-2</v>
      </c>
      <c r="CI13" s="167">
        <v>3</v>
      </c>
      <c r="CJ13" s="167">
        <v>51</v>
      </c>
      <c r="CK13" s="170">
        <v>0.62195121951219512</v>
      </c>
      <c r="CL13" s="171">
        <f>+CG13/$CG$19</f>
        <v>1.2195121951219513E-2</v>
      </c>
      <c r="CM13" s="167"/>
      <c r="CR13" s="167"/>
      <c r="CS13" s="167" t="s">
        <v>100</v>
      </c>
      <c r="CT13" s="167">
        <v>0</v>
      </c>
      <c r="CU13" s="167">
        <v>6</v>
      </c>
      <c r="CV13" s="170">
        <v>7.3170731707317069E-2</v>
      </c>
      <c r="CW13" s="167">
        <v>3</v>
      </c>
      <c r="CX13" s="167">
        <v>59</v>
      </c>
      <c r="CY13" s="170">
        <v>0.71951219512195119</v>
      </c>
      <c r="CZ13" s="171">
        <f>+CU13/$CU$19</f>
        <v>7.3170731707317069E-2</v>
      </c>
      <c r="DF13" s="167"/>
      <c r="DG13" s="177" t="s">
        <v>638</v>
      </c>
      <c r="DH13" s="167">
        <v>8</v>
      </c>
      <c r="DI13" s="167">
        <v>26</v>
      </c>
      <c r="DJ13" s="170">
        <v>0.56097560975609762</v>
      </c>
      <c r="DK13" s="167">
        <v>3</v>
      </c>
      <c r="DL13" s="167">
        <v>20</v>
      </c>
      <c r="DM13" s="170">
        <v>0.56097560975609762</v>
      </c>
      <c r="DN13" s="171">
        <f t="shared" ref="DN13:DN16" si="2">+DI13/$DI$18</f>
        <v>0.31707317073170732</v>
      </c>
      <c r="DO13" s="167"/>
      <c r="DQ13" s="167" t="s">
        <v>109</v>
      </c>
      <c r="DR13" s="167">
        <v>1</v>
      </c>
      <c r="DS13" s="167">
        <v>17</v>
      </c>
      <c r="DT13" s="170">
        <v>0.2073170731707317</v>
      </c>
      <c r="DU13" s="167">
        <v>1</v>
      </c>
      <c r="DV13" s="167">
        <v>17</v>
      </c>
      <c r="DW13" s="170">
        <v>0.79268292682926833</v>
      </c>
      <c r="DX13" s="174">
        <f t="shared" ref="DX13:DX16" si="3">+DS13/$DS$18</f>
        <v>0.2073170731707317</v>
      </c>
      <c r="DY13" s="167"/>
      <c r="EA13" s="167"/>
      <c r="EB13" s="167" t="s">
        <v>122</v>
      </c>
      <c r="EC13" s="167">
        <v>0</v>
      </c>
      <c r="ED13" s="167">
        <v>4</v>
      </c>
      <c r="EE13" s="170">
        <v>4.878048780487805E-2</v>
      </c>
      <c r="EF13" s="167">
        <v>2</v>
      </c>
      <c r="EG13" s="167">
        <v>56</v>
      </c>
      <c r="EH13" s="170">
        <v>0.68292682926829273</v>
      </c>
      <c r="EI13" s="171">
        <f>+ED13/$ED$19</f>
        <v>4.878048780487805E-2</v>
      </c>
      <c r="EJ13" s="167"/>
      <c r="EN13" s="167"/>
      <c r="EO13" s="167"/>
      <c r="EP13" s="167"/>
      <c r="EQ13" s="179"/>
      <c r="ER13" s="167"/>
      <c r="ES13" s="170"/>
      <c r="ET13" s="179"/>
      <c r="EU13" s="167"/>
      <c r="EV13" s="170"/>
      <c r="EW13" s="167"/>
    </row>
    <row r="14" spans="1:153" x14ac:dyDescent="0.25">
      <c r="A14" s="18" t="s">
        <v>6</v>
      </c>
      <c r="B14" s="18">
        <v>2024</v>
      </c>
      <c r="C14" s="18" t="s">
        <v>138</v>
      </c>
      <c r="D14" s="18" t="s">
        <v>10</v>
      </c>
      <c r="E14" s="18">
        <v>10</v>
      </c>
      <c r="F14" s="18">
        <v>10</v>
      </c>
      <c r="G14" s="18" t="s">
        <v>135</v>
      </c>
      <c r="H14" s="18" t="s">
        <v>135</v>
      </c>
      <c r="I14" s="18" t="s">
        <v>162</v>
      </c>
      <c r="J14" s="31">
        <v>29.5</v>
      </c>
      <c r="K14" s="31">
        <v>30.24</v>
      </c>
      <c r="L14" s="4">
        <v>0.73999999999999844</v>
      </c>
      <c r="M14" s="5">
        <v>1</v>
      </c>
      <c r="N14" s="31">
        <v>0.73999999999999844</v>
      </c>
      <c r="O14" s="31">
        <v>0.73999999999999844</v>
      </c>
      <c r="P14" s="31">
        <v>73.999999999999844</v>
      </c>
      <c r="Q14" s="31">
        <v>10</v>
      </c>
      <c r="R14" s="31">
        <v>0.7</v>
      </c>
      <c r="S14" s="31">
        <v>0.61</v>
      </c>
      <c r="T14" s="86">
        <v>82.432432432432606</v>
      </c>
      <c r="U14" s="31">
        <v>3</v>
      </c>
      <c r="V14" s="31"/>
      <c r="W14" s="31">
        <v>3</v>
      </c>
      <c r="X14" s="31">
        <v>233.33333333333334</v>
      </c>
      <c r="Y14" s="18">
        <v>86</v>
      </c>
      <c r="Z14" s="18" t="s">
        <v>96</v>
      </c>
      <c r="AA14" s="18" t="s">
        <v>120</v>
      </c>
      <c r="AB14" s="18" t="s">
        <v>337</v>
      </c>
      <c r="AC14" s="18">
        <v>10</v>
      </c>
      <c r="AD14" s="18">
        <v>73.999999999999844</v>
      </c>
      <c r="AE14" s="18" t="s">
        <v>24</v>
      </c>
      <c r="AF14" s="18" t="s">
        <v>24</v>
      </c>
      <c r="AG14" s="18" t="s">
        <v>24</v>
      </c>
      <c r="AH14" s="18">
        <v>35</v>
      </c>
      <c r="AI14" s="18" t="s">
        <v>27</v>
      </c>
      <c r="AJ14" s="18" t="s">
        <v>62</v>
      </c>
      <c r="AK14" s="18" t="s">
        <v>75</v>
      </c>
      <c r="AL14" s="18" t="s">
        <v>92</v>
      </c>
      <c r="AM14" s="18" t="s">
        <v>105</v>
      </c>
      <c r="AN14" s="18" t="s">
        <v>116</v>
      </c>
      <c r="AO14" s="18" t="s">
        <v>198</v>
      </c>
      <c r="AP14" s="18"/>
      <c r="AQ14" s="18"/>
      <c r="AR14" s="18">
        <v>4</v>
      </c>
      <c r="AS14" s="18">
        <v>5</v>
      </c>
      <c r="AT14" s="18">
        <v>3</v>
      </c>
      <c r="AU14" s="18">
        <v>4</v>
      </c>
      <c r="AV14" s="18">
        <v>4</v>
      </c>
      <c r="AW14" s="18">
        <v>20</v>
      </c>
      <c r="AX14" s="49">
        <v>17</v>
      </c>
      <c r="AY14" s="49">
        <f>VLOOKUP(AI14,Leyenda!$B$4:$E$10,4,FALSE)</f>
        <v>4</v>
      </c>
      <c r="AZ14" s="50">
        <v>10</v>
      </c>
      <c r="BA14" s="49">
        <v>20</v>
      </c>
      <c r="BB14" s="49">
        <v>15</v>
      </c>
      <c r="BC14" s="67">
        <v>71.21621621621631</v>
      </c>
      <c r="BD14" s="67">
        <f>VLOOKUP(AI14,Leyenda!$B$4:$E$10,4,FALSE)</f>
        <v>4</v>
      </c>
      <c r="BE14" s="67">
        <v>13</v>
      </c>
      <c r="BF14" s="67">
        <v>17</v>
      </c>
      <c r="BG14" s="67">
        <v>3</v>
      </c>
      <c r="BH14" s="67">
        <v>4</v>
      </c>
      <c r="BI14" s="67">
        <v>4</v>
      </c>
      <c r="BJ14" s="67">
        <v>4</v>
      </c>
      <c r="BK14" s="67">
        <v>4</v>
      </c>
      <c r="BL14" s="67">
        <v>10</v>
      </c>
      <c r="BM14" s="67">
        <f t="shared" si="0"/>
        <v>63</v>
      </c>
      <c r="BN14" s="18">
        <f t="shared" si="1"/>
        <v>66</v>
      </c>
      <c r="BO14" s="18"/>
      <c r="BP14" s="18"/>
      <c r="CD14" s="167"/>
      <c r="CE14" s="167" t="s">
        <v>66</v>
      </c>
      <c r="CF14" s="167">
        <v>1</v>
      </c>
      <c r="CG14" s="167">
        <v>10</v>
      </c>
      <c r="CH14" s="170">
        <v>0.13414634146341464</v>
      </c>
      <c r="CI14" s="167">
        <v>4</v>
      </c>
      <c r="CJ14" s="167">
        <v>20</v>
      </c>
      <c r="CK14" s="170">
        <v>0.86585365853658536</v>
      </c>
      <c r="CL14" s="171">
        <f t="shared" ref="CL14:CL17" si="4">+CG14/$CG$19</f>
        <v>0.12195121951219512</v>
      </c>
      <c r="CM14" s="167"/>
      <c r="CR14" s="167"/>
      <c r="CS14" s="167" t="s">
        <v>96</v>
      </c>
      <c r="CT14" s="167">
        <v>1</v>
      </c>
      <c r="CU14" s="167">
        <v>15</v>
      </c>
      <c r="CV14" s="170">
        <v>0.25609756097560976</v>
      </c>
      <c r="CW14" s="167">
        <v>1</v>
      </c>
      <c r="CX14" s="167">
        <v>15</v>
      </c>
      <c r="CY14" s="170">
        <v>0.90243902439024393</v>
      </c>
      <c r="CZ14" s="171">
        <f t="shared" ref="CZ14:CZ17" si="5">+CU14/$CU$19</f>
        <v>0.18292682926829268</v>
      </c>
      <c r="DF14" s="167"/>
      <c r="DG14" s="177" t="s">
        <v>639</v>
      </c>
      <c r="DH14" s="167">
        <v>13</v>
      </c>
      <c r="DI14" s="167">
        <v>19</v>
      </c>
      <c r="DJ14" s="170">
        <v>0.79268292682926833</v>
      </c>
      <c r="DK14" s="167">
        <v>13</v>
      </c>
      <c r="DL14" s="167">
        <v>19</v>
      </c>
      <c r="DM14" s="170">
        <v>0.79268292682926833</v>
      </c>
      <c r="DN14" s="171">
        <f t="shared" si="2"/>
        <v>0.23170731707317074</v>
      </c>
      <c r="DO14" s="167"/>
      <c r="DQ14" s="167" t="s">
        <v>107</v>
      </c>
      <c r="DR14" s="167">
        <v>3</v>
      </c>
      <c r="DS14" s="167">
        <v>48</v>
      </c>
      <c r="DT14" s="170">
        <v>0.79268292682926833</v>
      </c>
      <c r="DU14" s="167">
        <v>4</v>
      </c>
      <c r="DV14" s="167">
        <v>17</v>
      </c>
      <c r="DW14" s="170">
        <v>1</v>
      </c>
      <c r="DX14" s="174">
        <f t="shared" si="3"/>
        <v>0.58536585365853655</v>
      </c>
      <c r="DY14" s="167"/>
      <c r="EA14" s="167"/>
      <c r="EB14" s="167" t="s">
        <v>120</v>
      </c>
      <c r="EC14" s="167">
        <v>2</v>
      </c>
      <c r="ED14" s="167">
        <v>56</v>
      </c>
      <c r="EE14" s="170">
        <v>0.73170731707317072</v>
      </c>
      <c r="EF14" s="167">
        <v>4</v>
      </c>
      <c r="EG14" s="167">
        <v>22</v>
      </c>
      <c r="EH14" s="170">
        <v>0.95121951219512191</v>
      </c>
      <c r="EI14" s="171">
        <f t="shared" ref="EI14:EI17" si="6">+ED14/$ED$19</f>
        <v>0.68292682926829273</v>
      </c>
      <c r="EJ14" s="167"/>
      <c r="EN14" s="167"/>
      <c r="EO14" s="167"/>
      <c r="EP14" s="168" t="s">
        <v>287</v>
      </c>
      <c r="EQ14" s="168" t="s">
        <v>288</v>
      </c>
      <c r="ER14" s="168" t="s">
        <v>582</v>
      </c>
      <c r="ES14" s="168" t="s">
        <v>287</v>
      </c>
      <c r="ET14" s="168" t="s">
        <v>288</v>
      </c>
      <c r="EU14" s="168" t="s">
        <v>582</v>
      </c>
      <c r="EV14" s="170" t="s">
        <v>642</v>
      </c>
      <c r="EW14" s="167"/>
    </row>
    <row r="15" spans="1:153" x14ac:dyDescent="0.25">
      <c r="A15" s="18" t="s">
        <v>6</v>
      </c>
      <c r="B15" s="18">
        <v>2024</v>
      </c>
      <c r="C15" s="18" t="s">
        <v>138</v>
      </c>
      <c r="D15" s="18" t="s">
        <v>10</v>
      </c>
      <c r="E15" s="18">
        <v>10</v>
      </c>
      <c r="F15" s="18">
        <v>10</v>
      </c>
      <c r="G15" s="18" t="s">
        <v>135</v>
      </c>
      <c r="H15" s="18" t="s">
        <v>135</v>
      </c>
      <c r="I15" s="18" t="s">
        <v>162</v>
      </c>
      <c r="J15" s="31">
        <v>30.24</v>
      </c>
      <c r="K15" s="31">
        <v>31.04</v>
      </c>
      <c r="L15" s="4">
        <v>0.80000000000000071</v>
      </c>
      <c r="M15" s="5">
        <v>1</v>
      </c>
      <c r="N15" s="31">
        <v>0.80000000000000071</v>
      </c>
      <c r="O15" s="31">
        <v>0.80000000000000071</v>
      </c>
      <c r="P15" s="31">
        <v>53.333333333333378</v>
      </c>
      <c r="Q15" s="31">
        <v>15</v>
      </c>
      <c r="R15" s="31">
        <v>0.71</v>
      </c>
      <c r="S15" s="31">
        <v>0.6</v>
      </c>
      <c r="T15" s="86">
        <v>74.999999999999929</v>
      </c>
      <c r="U15" s="31">
        <v>3</v>
      </c>
      <c r="V15" s="31"/>
      <c r="W15" s="31">
        <v>3</v>
      </c>
      <c r="X15" s="31">
        <v>236.66666666666666</v>
      </c>
      <c r="Y15" s="18">
        <v>13</v>
      </c>
      <c r="Z15" s="18" t="s">
        <v>100</v>
      </c>
      <c r="AA15" s="18" t="s">
        <v>122</v>
      </c>
      <c r="AB15" s="18" t="s">
        <v>337</v>
      </c>
      <c r="AC15" s="18">
        <v>15</v>
      </c>
      <c r="AD15" s="18">
        <v>53.333333333333378</v>
      </c>
      <c r="AE15" s="18" t="s">
        <v>24</v>
      </c>
      <c r="AF15" s="18" t="s">
        <v>24</v>
      </c>
      <c r="AG15" s="18" t="s">
        <v>24</v>
      </c>
      <c r="AH15" s="18">
        <v>35</v>
      </c>
      <c r="AI15" s="18" t="s">
        <v>27</v>
      </c>
      <c r="AJ15" s="18" t="s">
        <v>62</v>
      </c>
      <c r="AK15" s="18" t="s">
        <v>75</v>
      </c>
      <c r="AL15" s="18" t="s">
        <v>92</v>
      </c>
      <c r="AM15" s="18" t="s">
        <v>105</v>
      </c>
      <c r="AN15" s="18" t="s">
        <v>116</v>
      </c>
      <c r="AO15" s="18" t="s">
        <v>198</v>
      </c>
      <c r="AP15" s="18"/>
      <c r="AQ15" s="18"/>
      <c r="AR15" s="18">
        <v>4</v>
      </c>
      <c r="AS15" s="18">
        <v>5</v>
      </c>
      <c r="AT15" s="18">
        <v>3</v>
      </c>
      <c r="AU15" s="18">
        <v>4</v>
      </c>
      <c r="AV15" s="18">
        <v>4</v>
      </c>
      <c r="AW15" s="18">
        <v>20</v>
      </c>
      <c r="AX15" s="49">
        <v>15</v>
      </c>
      <c r="AY15" s="49">
        <f>VLOOKUP(AI15,Leyenda!$B$4:$E$10,4,FALSE)</f>
        <v>4</v>
      </c>
      <c r="AZ15" s="50">
        <v>10</v>
      </c>
      <c r="BA15" s="49">
        <v>20</v>
      </c>
      <c r="BB15" s="49">
        <v>15</v>
      </c>
      <c r="BC15" s="67">
        <v>67.499999999999972</v>
      </c>
      <c r="BD15" s="67">
        <f>VLOOKUP(AI15,Leyenda!$B$4:$E$10,4,FALSE)</f>
        <v>4</v>
      </c>
      <c r="BE15" s="67">
        <v>13</v>
      </c>
      <c r="BF15" s="67">
        <v>15</v>
      </c>
      <c r="BG15" s="67">
        <v>3</v>
      </c>
      <c r="BH15" s="67">
        <v>4</v>
      </c>
      <c r="BI15" s="67">
        <v>4</v>
      </c>
      <c r="BJ15" s="67">
        <v>4</v>
      </c>
      <c r="BK15" s="67">
        <v>4</v>
      </c>
      <c r="BL15" s="67">
        <v>10</v>
      </c>
      <c r="BM15" s="67">
        <f t="shared" si="0"/>
        <v>61</v>
      </c>
      <c r="BN15" s="18">
        <f t="shared" si="1"/>
        <v>64</v>
      </c>
      <c r="BO15" s="18"/>
      <c r="BP15" s="18"/>
      <c r="CD15" s="167"/>
      <c r="CE15" s="167" t="s">
        <v>64</v>
      </c>
      <c r="CF15" s="167">
        <v>3</v>
      </c>
      <c r="CG15" s="167">
        <v>51</v>
      </c>
      <c r="CH15" s="170">
        <v>0.75609756097560976</v>
      </c>
      <c r="CI15" s="167">
        <v>1</v>
      </c>
      <c r="CJ15" s="167">
        <v>10</v>
      </c>
      <c r="CK15" s="170">
        <v>0.98780487804878048</v>
      </c>
      <c r="CL15" s="171">
        <f t="shared" si="4"/>
        <v>0.62195121951219512</v>
      </c>
      <c r="CM15" s="167"/>
      <c r="CR15" s="167"/>
      <c r="CS15" s="167" t="s">
        <v>92</v>
      </c>
      <c r="CT15" s="167">
        <v>3</v>
      </c>
      <c r="CU15" s="167">
        <v>59</v>
      </c>
      <c r="CV15" s="170">
        <v>0.97560975609756095</v>
      </c>
      <c r="CW15" s="167">
        <v>0</v>
      </c>
      <c r="CX15" s="167">
        <v>6</v>
      </c>
      <c r="CY15" s="170">
        <v>0.97560975609756095</v>
      </c>
      <c r="CZ15" s="171">
        <f t="shared" si="5"/>
        <v>0.71951219512195119</v>
      </c>
      <c r="DF15" s="167"/>
      <c r="DG15" s="177" t="s">
        <v>640</v>
      </c>
      <c r="DH15" s="167">
        <v>17</v>
      </c>
      <c r="DI15" s="167">
        <v>10</v>
      </c>
      <c r="DJ15" s="170">
        <v>0.91463414634146345</v>
      </c>
      <c r="DK15" s="167">
        <v>17</v>
      </c>
      <c r="DL15" s="167">
        <v>10</v>
      </c>
      <c r="DM15" s="170">
        <v>0.91463414634146345</v>
      </c>
      <c r="DN15" s="171">
        <f t="shared" si="2"/>
        <v>0.12195121951219512</v>
      </c>
      <c r="DO15" s="167"/>
      <c r="DQ15" s="167" t="s">
        <v>105</v>
      </c>
      <c r="DR15" s="167">
        <v>4</v>
      </c>
      <c r="DS15" s="167">
        <v>17</v>
      </c>
      <c r="DT15" s="170">
        <v>1</v>
      </c>
      <c r="DU15" s="167">
        <v>0</v>
      </c>
      <c r="DV15" s="167">
        <v>0</v>
      </c>
      <c r="DW15" s="170">
        <v>1</v>
      </c>
      <c r="DX15" s="174">
        <f t="shared" si="3"/>
        <v>0.2073170731707317</v>
      </c>
      <c r="DY15" s="167"/>
      <c r="EA15" s="167"/>
      <c r="EB15" s="167" t="s">
        <v>118</v>
      </c>
      <c r="EC15" s="167">
        <v>3</v>
      </c>
      <c r="ED15" s="167">
        <v>0</v>
      </c>
      <c r="EE15" s="170">
        <v>0.73170731707317072</v>
      </c>
      <c r="EF15" s="167">
        <v>0</v>
      </c>
      <c r="EG15" s="167">
        <v>4</v>
      </c>
      <c r="EH15" s="170">
        <v>1</v>
      </c>
      <c r="EI15" s="171">
        <f t="shared" si="6"/>
        <v>0</v>
      </c>
      <c r="EJ15" s="167"/>
      <c r="EN15" s="167"/>
      <c r="EO15" s="167" t="s">
        <v>81</v>
      </c>
      <c r="EP15" s="167">
        <v>0</v>
      </c>
      <c r="EQ15" s="167">
        <v>9</v>
      </c>
      <c r="ER15" s="170">
        <v>0.10975609756097561</v>
      </c>
      <c r="ES15" s="167">
        <v>1</v>
      </c>
      <c r="ET15" s="167">
        <v>32</v>
      </c>
      <c r="EU15" s="170">
        <v>0.3902439024390244</v>
      </c>
      <c r="EV15" s="180">
        <f>+EQ15/$EQ$21</f>
        <v>0.10975609756097561</v>
      </c>
      <c r="EW15" s="167"/>
    </row>
    <row r="16" spans="1:153" x14ac:dyDescent="0.25">
      <c r="A16" s="18" t="s">
        <v>6</v>
      </c>
      <c r="B16" s="18">
        <v>2024</v>
      </c>
      <c r="C16" s="18" t="s">
        <v>138</v>
      </c>
      <c r="D16" s="18" t="s">
        <v>10</v>
      </c>
      <c r="E16" s="18">
        <v>10</v>
      </c>
      <c r="F16" s="18">
        <v>10</v>
      </c>
      <c r="G16" s="18" t="s">
        <v>135</v>
      </c>
      <c r="H16" s="18" t="s">
        <v>135</v>
      </c>
      <c r="I16" s="18" t="s">
        <v>162</v>
      </c>
      <c r="J16" s="31">
        <v>31.04</v>
      </c>
      <c r="K16" s="31">
        <v>32.04</v>
      </c>
      <c r="L16" s="4">
        <v>1</v>
      </c>
      <c r="M16" s="5">
        <v>1</v>
      </c>
      <c r="N16" s="31">
        <v>1</v>
      </c>
      <c r="O16" s="31">
        <v>1</v>
      </c>
      <c r="P16" s="31">
        <v>200</v>
      </c>
      <c r="Q16" s="31">
        <v>5</v>
      </c>
      <c r="R16" s="31">
        <v>0.9</v>
      </c>
      <c r="S16" s="31">
        <v>0.4</v>
      </c>
      <c r="T16" s="86">
        <v>40</v>
      </c>
      <c r="U16" s="31">
        <v>6</v>
      </c>
      <c r="V16" s="31"/>
      <c r="W16" s="31">
        <v>6</v>
      </c>
      <c r="X16" s="31">
        <v>150</v>
      </c>
      <c r="Y16" s="18">
        <v>21</v>
      </c>
      <c r="Z16" s="18" t="s">
        <v>96</v>
      </c>
      <c r="AA16" s="18" t="s">
        <v>118</v>
      </c>
      <c r="AB16" s="18" t="s">
        <v>337</v>
      </c>
      <c r="AC16" s="18">
        <v>5</v>
      </c>
      <c r="AD16" s="18">
        <v>200</v>
      </c>
      <c r="AE16" s="18" t="s">
        <v>24</v>
      </c>
      <c r="AF16" s="18" t="s">
        <v>24</v>
      </c>
      <c r="AG16" s="18" t="s">
        <v>24</v>
      </c>
      <c r="AH16" s="18">
        <v>35</v>
      </c>
      <c r="AI16" s="18" t="s">
        <v>27</v>
      </c>
      <c r="AJ16" s="18" t="s">
        <v>62</v>
      </c>
      <c r="AK16" s="18" t="s">
        <v>75</v>
      </c>
      <c r="AL16" s="18" t="s">
        <v>92</v>
      </c>
      <c r="AM16" s="18" t="s">
        <v>105</v>
      </c>
      <c r="AN16" s="18" t="s">
        <v>116</v>
      </c>
      <c r="AO16" s="18" t="s">
        <v>198</v>
      </c>
      <c r="AP16" s="18"/>
      <c r="AQ16" s="18"/>
      <c r="AR16" s="18">
        <v>4</v>
      </c>
      <c r="AS16" s="18">
        <v>5</v>
      </c>
      <c r="AT16" s="18">
        <v>3</v>
      </c>
      <c r="AU16" s="18">
        <v>4</v>
      </c>
      <c r="AV16" s="18">
        <v>4</v>
      </c>
      <c r="AW16" s="18">
        <v>20</v>
      </c>
      <c r="AX16" s="49">
        <v>8</v>
      </c>
      <c r="AY16" s="49">
        <f>VLOOKUP(AI16,Leyenda!$B$4:$E$10,4,FALSE)</f>
        <v>4</v>
      </c>
      <c r="AZ16" s="50">
        <v>8</v>
      </c>
      <c r="BA16" s="49">
        <v>20</v>
      </c>
      <c r="BB16" s="49">
        <v>15</v>
      </c>
      <c r="BC16" s="67">
        <v>50</v>
      </c>
      <c r="BD16" s="67">
        <f>VLOOKUP(AI16,Leyenda!$B$4:$E$10,4,FALSE)</f>
        <v>4</v>
      </c>
      <c r="BE16" s="67">
        <v>11</v>
      </c>
      <c r="BF16" s="67">
        <v>8</v>
      </c>
      <c r="BG16" s="67">
        <v>3</v>
      </c>
      <c r="BH16" s="67">
        <v>4</v>
      </c>
      <c r="BI16" s="67">
        <v>4</v>
      </c>
      <c r="BJ16" s="67">
        <v>4</v>
      </c>
      <c r="BK16" s="67">
        <v>4</v>
      </c>
      <c r="BL16" s="67">
        <v>10</v>
      </c>
      <c r="BM16" s="67">
        <f t="shared" si="0"/>
        <v>52</v>
      </c>
      <c r="BN16" s="18">
        <f t="shared" si="1"/>
        <v>55</v>
      </c>
      <c r="BO16" s="18"/>
      <c r="BP16" s="18"/>
      <c r="CD16" s="167"/>
      <c r="CE16" s="167" t="s">
        <v>62</v>
      </c>
      <c r="CF16" s="167">
        <v>4</v>
      </c>
      <c r="CG16" s="167">
        <v>20</v>
      </c>
      <c r="CH16" s="170">
        <v>1</v>
      </c>
      <c r="CI16" s="167">
        <v>0</v>
      </c>
      <c r="CJ16" s="167">
        <v>1</v>
      </c>
      <c r="CK16" s="170">
        <v>1</v>
      </c>
      <c r="CL16" s="171">
        <f t="shared" si="4"/>
        <v>0.24390243902439024</v>
      </c>
      <c r="CM16" s="167"/>
      <c r="CR16" s="167"/>
      <c r="CS16" s="167" t="s">
        <v>88</v>
      </c>
      <c r="CT16" s="167">
        <v>4</v>
      </c>
      <c r="CU16" s="167">
        <v>2</v>
      </c>
      <c r="CV16" s="170">
        <v>1</v>
      </c>
      <c r="CW16" s="167">
        <v>4</v>
      </c>
      <c r="CX16" s="167">
        <v>2</v>
      </c>
      <c r="CY16" s="170">
        <v>1</v>
      </c>
      <c r="CZ16" s="171">
        <f t="shared" si="5"/>
        <v>2.4390243902439025E-2</v>
      </c>
      <c r="DF16" s="167"/>
      <c r="DG16" s="177" t="s">
        <v>641</v>
      </c>
      <c r="DH16" s="167">
        <v>20</v>
      </c>
      <c r="DI16" s="167">
        <v>7</v>
      </c>
      <c r="DJ16" s="170">
        <v>1</v>
      </c>
      <c r="DK16" s="167">
        <v>20</v>
      </c>
      <c r="DL16" s="167">
        <v>7</v>
      </c>
      <c r="DM16" s="170">
        <v>1</v>
      </c>
      <c r="DN16" s="171">
        <f t="shared" si="2"/>
        <v>8.5365853658536592E-2</v>
      </c>
      <c r="DO16" s="167"/>
      <c r="DQ16" s="167" t="s">
        <v>103</v>
      </c>
      <c r="DR16" s="167">
        <v>5</v>
      </c>
      <c r="DS16" s="167">
        <v>0</v>
      </c>
      <c r="DT16" s="170">
        <v>1</v>
      </c>
      <c r="DU16" s="167">
        <v>5</v>
      </c>
      <c r="DV16" s="167">
        <v>0</v>
      </c>
      <c r="DW16" s="170">
        <v>1</v>
      </c>
      <c r="DX16" s="174">
        <f t="shared" si="3"/>
        <v>0</v>
      </c>
      <c r="DY16" s="167"/>
      <c r="EA16" s="167"/>
      <c r="EB16" s="167" t="s">
        <v>116</v>
      </c>
      <c r="EC16" s="167">
        <v>4</v>
      </c>
      <c r="ED16" s="167">
        <v>22</v>
      </c>
      <c r="EE16" s="170">
        <v>1</v>
      </c>
      <c r="EF16" s="167">
        <v>3</v>
      </c>
      <c r="EG16" s="167">
        <v>0</v>
      </c>
      <c r="EH16" s="170">
        <v>1</v>
      </c>
      <c r="EI16" s="171">
        <f t="shared" si="6"/>
        <v>0.26829268292682928</v>
      </c>
      <c r="EJ16" s="167"/>
      <c r="EN16" s="167"/>
      <c r="EO16" s="167" t="s">
        <v>79</v>
      </c>
      <c r="EP16" s="167">
        <v>1</v>
      </c>
      <c r="EQ16" s="167">
        <v>32</v>
      </c>
      <c r="ER16" s="170">
        <v>0.5</v>
      </c>
      <c r="ES16" s="167">
        <v>3</v>
      </c>
      <c r="ET16" s="167">
        <v>21</v>
      </c>
      <c r="EU16" s="170">
        <v>0.64634146341463417</v>
      </c>
      <c r="EV16" s="180">
        <f t="shared" ref="EV16:EV19" si="7">+EQ16/$EQ$21</f>
        <v>0.3902439024390244</v>
      </c>
      <c r="EW16" s="167"/>
    </row>
    <row r="17" spans="1:153" ht="15.75" thickBot="1" x14ac:dyDescent="0.3">
      <c r="A17" s="18" t="s">
        <v>6</v>
      </c>
      <c r="B17" s="18">
        <v>2024</v>
      </c>
      <c r="C17" s="18" t="s">
        <v>138</v>
      </c>
      <c r="D17" s="18" t="s">
        <v>10</v>
      </c>
      <c r="E17" s="18">
        <v>10</v>
      </c>
      <c r="F17" s="18">
        <v>10</v>
      </c>
      <c r="G17" s="18" t="s">
        <v>135</v>
      </c>
      <c r="H17" s="18" t="s">
        <v>135</v>
      </c>
      <c r="I17" s="18" t="s">
        <v>162</v>
      </c>
      <c r="J17" s="31">
        <v>32.04</v>
      </c>
      <c r="K17" s="31">
        <v>32.54</v>
      </c>
      <c r="L17" s="4">
        <v>0.5</v>
      </c>
      <c r="M17" s="5">
        <v>0.9</v>
      </c>
      <c r="N17" s="31">
        <v>0.45</v>
      </c>
      <c r="O17" s="31">
        <v>0.45</v>
      </c>
      <c r="P17" s="31">
        <v>450</v>
      </c>
      <c r="Q17" s="31">
        <v>1</v>
      </c>
      <c r="R17" s="31">
        <v>0.36</v>
      </c>
      <c r="S17" s="31">
        <v>0.15</v>
      </c>
      <c r="T17" s="86">
        <v>30</v>
      </c>
      <c r="U17" s="31">
        <v>5</v>
      </c>
      <c r="V17" s="31"/>
      <c r="W17" s="31">
        <v>5</v>
      </c>
      <c r="X17" s="31">
        <v>72</v>
      </c>
      <c r="Y17" s="18">
        <v>30</v>
      </c>
      <c r="Z17" s="18" t="s">
        <v>96</v>
      </c>
      <c r="AA17" s="18" t="s">
        <v>116</v>
      </c>
      <c r="AB17" s="18" t="s">
        <v>334</v>
      </c>
      <c r="AC17" s="18">
        <v>1</v>
      </c>
      <c r="AD17" s="18">
        <v>450</v>
      </c>
      <c r="AE17" s="18" t="s">
        <v>24</v>
      </c>
      <c r="AF17" s="18" t="s">
        <v>24</v>
      </c>
      <c r="AG17" s="18" t="s">
        <v>24</v>
      </c>
      <c r="AH17" s="18">
        <v>35</v>
      </c>
      <c r="AI17" s="18" t="s">
        <v>27</v>
      </c>
      <c r="AJ17" s="18" t="s">
        <v>62</v>
      </c>
      <c r="AK17" s="18" t="s">
        <v>75</v>
      </c>
      <c r="AL17" s="18" t="s">
        <v>92</v>
      </c>
      <c r="AM17" s="18" t="s">
        <v>105</v>
      </c>
      <c r="AN17" s="18" t="s">
        <v>116</v>
      </c>
      <c r="AO17" s="18" t="s">
        <v>198</v>
      </c>
      <c r="AP17" s="18"/>
      <c r="AQ17" s="18"/>
      <c r="AR17" s="18">
        <v>4</v>
      </c>
      <c r="AS17" s="18">
        <v>5</v>
      </c>
      <c r="AT17" s="18">
        <v>3</v>
      </c>
      <c r="AU17" s="18">
        <v>4</v>
      </c>
      <c r="AV17" s="18">
        <v>4</v>
      </c>
      <c r="AW17" s="18">
        <v>20</v>
      </c>
      <c r="AX17" s="49">
        <v>6</v>
      </c>
      <c r="AY17" s="49">
        <f>VLOOKUP(AI17,Leyenda!$B$4:$E$10,4,FALSE)</f>
        <v>4</v>
      </c>
      <c r="AZ17" s="50">
        <v>6</v>
      </c>
      <c r="BA17" s="49">
        <v>20</v>
      </c>
      <c r="BB17" s="49">
        <v>15</v>
      </c>
      <c r="BC17" s="67">
        <v>45</v>
      </c>
      <c r="BD17" s="67">
        <f>VLOOKUP(AI17,Leyenda!$B$4:$E$10,4,FALSE)</f>
        <v>4</v>
      </c>
      <c r="BE17" s="67">
        <v>6</v>
      </c>
      <c r="BF17" s="67">
        <v>6</v>
      </c>
      <c r="BG17" s="67">
        <v>3</v>
      </c>
      <c r="BH17" s="67">
        <v>4</v>
      </c>
      <c r="BI17" s="67">
        <v>4</v>
      </c>
      <c r="BJ17" s="67">
        <v>4</v>
      </c>
      <c r="BK17" s="67">
        <v>4</v>
      </c>
      <c r="BL17" s="67">
        <v>10</v>
      </c>
      <c r="BM17" s="67">
        <f t="shared" si="0"/>
        <v>45</v>
      </c>
      <c r="BN17" s="18">
        <f t="shared" si="1"/>
        <v>51</v>
      </c>
      <c r="BO17" s="18"/>
      <c r="BP17" s="18"/>
      <c r="CD17" s="167"/>
      <c r="CE17" s="167" t="s">
        <v>60</v>
      </c>
      <c r="CF17" s="167">
        <v>5</v>
      </c>
      <c r="CG17" s="167">
        <v>0</v>
      </c>
      <c r="CH17" s="170">
        <v>1</v>
      </c>
      <c r="CI17" s="167">
        <v>5</v>
      </c>
      <c r="CJ17" s="167">
        <v>0</v>
      </c>
      <c r="CK17" s="170">
        <v>1</v>
      </c>
      <c r="CL17" s="171">
        <f t="shared" si="4"/>
        <v>0</v>
      </c>
      <c r="CM17" s="167"/>
      <c r="CR17" s="167"/>
      <c r="CS17" s="167" t="s">
        <v>85</v>
      </c>
      <c r="CT17" s="167">
        <v>5</v>
      </c>
      <c r="CU17" s="167">
        <v>0</v>
      </c>
      <c r="CV17" s="170">
        <v>1</v>
      </c>
      <c r="CW17" s="167">
        <v>5</v>
      </c>
      <c r="CX17" s="167">
        <v>0</v>
      </c>
      <c r="CY17" s="170">
        <v>1</v>
      </c>
      <c r="CZ17" s="171">
        <f t="shared" si="5"/>
        <v>0</v>
      </c>
      <c r="DF17" s="167"/>
      <c r="DG17" s="167"/>
      <c r="DH17" s="172" t="s">
        <v>581</v>
      </c>
      <c r="DI17" s="172">
        <v>0</v>
      </c>
      <c r="DJ17" s="173">
        <v>1</v>
      </c>
      <c r="DK17" s="172" t="s">
        <v>581</v>
      </c>
      <c r="DL17" s="172">
        <v>0</v>
      </c>
      <c r="DM17" s="173">
        <v>1</v>
      </c>
      <c r="DN17" s="167"/>
      <c r="DO17" s="167"/>
      <c r="DQ17" s="167"/>
      <c r="DR17" s="172" t="s">
        <v>581</v>
      </c>
      <c r="DS17" s="172">
        <v>0</v>
      </c>
      <c r="DT17" s="173">
        <v>1</v>
      </c>
      <c r="DU17" s="172" t="s">
        <v>581</v>
      </c>
      <c r="DV17" s="172">
        <v>0</v>
      </c>
      <c r="DW17" s="173">
        <v>1</v>
      </c>
      <c r="DX17" s="167"/>
      <c r="DY17" s="167"/>
      <c r="EA17" s="167"/>
      <c r="EB17" s="167" t="s">
        <v>114</v>
      </c>
      <c r="EC17" s="167">
        <v>5</v>
      </c>
      <c r="ED17" s="167">
        <v>0</v>
      </c>
      <c r="EE17" s="170">
        <v>1</v>
      </c>
      <c r="EF17" s="167">
        <v>5</v>
      </c>
      <c r="EG17" s="167">
        <v>0</v>
      </c>
      <c r="EH17" s="170">
        <v>1</v>
      </c>
      <c r="EI17" s="171">
        <f t="shared" si="6"/>
        <v>0</v>
      </c>
      <c r="EJ17" s="167"/>
      <c r="EN17" s="167"/>
      <c r="EO17" s="167" t="s">
        <v>77</v>
      </c>
      <c r="EP17" s="167">
        <v>3</v>
      </c>
      <c r="EQ17" s="167">
        <v>21</v>
      </c>
      <c r="ER17" s="170">
        <v>0.75609756097560976</v>
      </c>
      <c r="ES17" s="167">
        <v>4</v>
      </c>
      <c r="ET17" s="167">
        <v>20</v>
      </c>
      <c r="EU17" s="170">
        <v>0.8902439024390244</v>
      </c>
      <c r="EV17" s="180">
        <f t="shared" si="7"/>
        <v>0.25609756097560976</v>
      </c>
      <c r="EW17" s="167"/>
    </row>
    <row r="18" spans="1:153" ht="15.75" thickBot="1" x14ac:dyDescent="0.3">
      <c r="A18" s="18" t="s">
        <v>6</v>
      </c>
      <c r="B18" s="18">
        <v>2024</v>
      </c>
      <c r="C18" s="18" t="s">
        <v>138</v>
      </c>
      <c r="D18" s="18" t="s">
        <v>10</v>
      </c>
      <c r="E18" s="18">
        <v>10</v>
      </c>
      <c r="F18" s="18">
        <v>10</v>
      </c>
      <c r="G18" s="18" t="s">
        <v>135</v>
      </c>
      <c r="H18" s="18" t="s">
        <v>135</v>
      </c>
      <c r="I18" s="18" t="s">
        <v>162</v>
      </c>
      <c r="J18" s="31">
        <v>32.54</v>
      </c>
      <c r="K18" s="31">
        <v>33.29</v>
      </c>
      <c r="L18" s="4">
        <v>0.75</v>
      </c>
      <c r="M18" s="5">
        <v>1</v>
      </c>
      <c r="N18" s="31">
        <v>0.75</v>
      </c>
      <c r="O18" s="31">
        <v>0.75</v>
      </c>
      <c r="P18" s="31">
        <v>750</v>
      </c>
      <c r="Q18" s="31">
        <v>1</v>
      </c>
      <c r="R18" s="31">
        <v>0.74</v>
      </c>
      <c r="S18" s="31">
        <v>0.2</v>
      </c>
      <c r="T18" s="86">
        <v>26.666666666666668</v>
      </c>
      <c r="U18" s="31">
        <v>7</v>
      </c>
      <c r="V18" s="31"/>
      <c r="W18" s="31">
        <v>7</v>
      </c>
      <c r="X18" s="31">
        <v>105.71428571428571</v>
      </c>
      <c r="Y18" s="18">
        <v>75</v>
      </c>
      <c r="Z18" s="18" t="s">
        <v>96</v>
      </c>
      <c r="AA18" s="18" t="s">
        <v>116</v>
      </c>
      <c r="AB18" s="18" t="s">
        <v>337</v>
      </c>
      <c r="AC18" s="18">
        <v>1</v>
      </c>
      <c r="AD18" s="18">
        <v>750</v>
      </c>
      <c r="AE18" s="18" t="s">
        <v>24</v>
      </c>
      <c r="AF18" s="18" t="s">
        <v>24</v>
      </c>
      <c r="AG18" s="18" t="s">
        <v>24</v>
      </c>
      <c r="AH18" s="18">
        <v>35</v>
      </c>
      <c r="AI18" s="18" t="s">
        <v>27</v>
      </c>
      <c r="AJ18" s="18" t="s">
        <v>62</v>
      </c>
      <c r="AK18" s="18" t="s">
        <v>75</v>
      </c>
      <c r="AL18" s="18" t="s">
        <v>92</v>
      </c>
      <c r="AM18" s="18" t="s">
        <v>105</v>
      </c>
      <c r="AN18" s="18" t="s">
        <v>116</v>
      </c>
      <c r="AO18" s="18" t="s">
        <v>198</v>
      </c>
      <c r="AP18" s="18"/>
      <c r="AQ18" s="18"/>
      <c r="AR18" s="18">
        <v>4</v>
      </c>
      <c r="AS18" s="18">
        <v>5</v>
      </c>
      <c r="AT18" s="18">
        <v>3</v>
      </c>
      <c r="AU18" s="18">
        <v>4</v>
      </c>
      <c r="AV18" s="18">
        <v>4</v>
      </c>
      <c r="AW18" s="18">
        <v>20</v>
      </c>
      <c r="AX18" s="49">
        <v>6</v>
      </c>
      <c r="AY18" s="49">
        <f>VLOOKUP(AI18,Leyenda!$B$4:$E$10,4,FALSE)</f>
        <v>4</v>
      </c>
      <c r="AZ18" s="50">
        <v>7</v>
      </c>
      <c r="BA18" s="49">
        <v>20</v>
      </c>
      <c r="BB18" s="49">
        <v>15</v>
      </c>
      <c r="BC18" s="67">
        <v>43.333333333333336</v>
      </c>
      <c r="BD18" s="67">
        <f>VLOOKUP(AI18,Leyenda!$B$4:$E$10,4,FALSE)</f>
        <v>4</v>
      </c>
      <c r="BE18" s="67">
        <v>9</v>
      </c>
      <c r="BF18" s="67">
        <v>6</v>
      </c>
      <c r="BG18" s="67">
        <v>3</v>
      </c>
      <c r="BH18" s="67">
        <v>4</v>
      </c>
      <c r="BI18" s="67">
        <v>4</v>
      </c>
      <c r="BJ18" s="67">
        <v>4</v>
      </c>
      <c r="BK18" s="67">
        <v>4</v>
      </c>
      <c r="BL18" s="67">
        <v>10</v>
      </c>
      <c r="BM18" s="67">
        <f t="shared" si="0"/>
        <v>48</v>
      </c>
      <c r="BN18" s="18">
        <f t="shared" si="1"/>
        <v>52</v>
      </c>
      <c r="BO18" s="18"/>
      <c r="BP18" s="18"/>
      <c r="CD18" s="167"/>
      <c r="CE18" s="167"/>
      <c r="CF18" s="172" t="s">
        <v>581</v>
      </c>
      <c r="CG18" s="172">
        <v>0</v>
      </c>
      <c r="CH18" s="173">
        <v>1</v>
      </c>
      <c r="CI18" s="172" t="s">
        <v>581</v>
      </c>
      <c r="CJ18" s="172">
        <v>0</v>
      </c>
      <c r="CK18" s="173">
        <v>1</v>
      </c>
      <c r="CL18" s="167"/>
      <c r="CM18" s="167"/>
      <c r="CR18" s="167"/>
      <c r="CS18" s="167"/>
      <c r="CT18" s="172" t="s">
        <v>581</v>
      </c>
      <c r="CU18" s="172">
        <v>0</v>
      </c>
      <c r="CV18" s="173">
        <v>1</v>
      </c>
      <c r="CW18" s="172" t="s">
        <v>581</v>
      </c>
      <c r="CX18" s="172">
        <v>0</v>
      </c>
      <c r="CY18" s="173">
        <v>1</v>
      </c>
      <c r="CZ18" s="167"/>
      <c r="DF18" s="167"/>
      <c r="DG18" s="167"/>
      <c r="DH18" s="167"/>
      <c r="DI18" s="167">
        <f>+SUM(DI12:DI16)</f>
        <v>82</v>
      </c>
      <c r="DJ18" s="167"/>
      <c r="DK18" s="167"/>
      <c r="DL18" s="167"/>
      <c r="DM18" s="167"/>
      <c r="DN18" s="167"/>
      <c r="DO18" s="167"/>
      <c r="DQ18" s="167"/>
      <c r="DR18" s="167"/>
      <c r="DS18" s="167">
        <f>+SUM(DS12:DS16)</f>
        <v>82</v>
      </c>
      <c r="DT18" s="167"/>
      <c r="DU18" s="167"/>
      <c r="DV18" s="167"/>
      <c r="DW18" s="167"/>
      <c r="DX18" s="167"/>
      <c r="DY18" s="167"/>
      <c r="EA18" s="167"/>
      <c r="EB18" s="167"/>
      <c r="EC18" s="172" t="s">
        <v>581</v>
      </c>
      <c r="ED18" s="172">
        <v>0</v>
      </c>
      <c r="EE18" s="173">
        <v>1</v>
      </c>
      <c r="EF18" s="172" t="s">
        <v>581</v>
      </c>
      <c r="EG18" s="172">
        <v>0</v>
      </c>
      <c r="EH18" s="173">
        <v>1</v>
      </c>
      <c r="EI18" s="167"/>
      <c r="EJ18" s="167"/>
      <c r="EN18" s="167"/>
      <c r="EO18" s="167" t="s">
        <v>75</v>
      </c>
      <c r="EP18" s="167">
        <v>4</v>
      </c>
      <c r="EQ18" s="167">
        <v>20</v>
      </c>
      <c r="ER18" s="170">
        <v>1</v>
      </c>
      <c r="ES18" s="167">
        <v>0</v>
      </c>
      <c r="ET18" s="167">
        <v>9</v>
      </c>
      <c r="EU18" s="170">
        <v>1</v>
      </c>
      <c r="EV18" s="180">
        <f t="shared" si="7"/>
        <v>0.24390243902439024</v>
      </c>
      <c r="EW18" s="167"/>
    </row>
    <row r="19" spans="1:153" x14ac:dyDescent="0.25">
      <c r="A19" s="18" t="s">
        <v>6</v>
      </c>
      <c r="B19" s="18">
        <v>2024</v>
      </c>
      <c r="C19" s="18" t="s">
        <v>138</v>
      </c>
      <c r="D19" s="18" t="s">
        <v>10</v>
      </c>
      <c r="E19" s="18">
        <v>10</v>
      </c>
      <c r="F19" s="18">
        <v>10</v>
      </c>
      <c r="G19" s="18" t="s">
        <v>135</v>
      </c>
      <c r="H19" s="18" t="s">
        <v>135</v>
      </c>
      <c r="I19" s="18" t="s">
        <v>162</v>
      </c>
      <c r="J19" s="31">
        <v>33.29</v>
      </c>
      <c r="K19" s="31">
        <v>33.85</v>
      </c>
      <c r="L19" s="4">
        <v>0.56000000000000227</v>
      </c>
      <c r="M19" s="5">
        <v>1</v>
      </c>
      <c r="N19" s="31">
        <v>0.56000000000000227</v>
      </c>
      <c r="O19" s="31">
        <v>0.56000000000000227</v>
      </c>
      <c r="P19" s="31">
        <v>28.000000000000114</v>
      </c>
      <c r="Q19" s="31">
        <v>20</v>
      </c>
      <c r="R19" s="31">
        <v>0.52</v>
      </c>
      <c r="S19" s="31">
        <v>0.52</v>
      </c>
      <c r="T19" s="86">
        <v>92.857142857142478</v>
      </c>
      <c r="U19" s="31">
        <v>1</v>
      </c>
      <c r="V19" s="31"/>
      <c r="W19" s="31">
        <v>1</v>
      </c>
      <c r="X19" s="31">
        <v>520</v>
      </c>
      <c r="Y19" s="18">
        <v>54</v>
      </c>
      <c r="Z19" s="18" t="s">
        <v>92</v>
      </c>
      <c r="AA19" s="18" t="s">
        <v>333</v>
      </c>
      <c r="AB19" s="18" t="s">
        <v>334</v>
      </c>
      <c r="AC19" s="18">
        <v>20</v>
      </c>
      <c r="AD19" s="18">
        <v>28.000000000000114</v>
      </c>
      <c r="AE19" s="18" t="s">
        <v>24</v>
      </c>
      <c r="AF19" s="18" t="s">
        <v>24</v>
      </c>
      <c r="AG19" s="18" t="s">
        <v>24</v>
      </c>
      <c r="AH19" s="18">
        <v>35</v>
      </c>
      <c r="AI19" s="18" t="s">
        <v>27</v>
      </c>
      <c r="AJ19" s="18" t="s">
        <v>62</v>
      </c>
      <c r="AK19" s="18" t="s">
        <v>75</v>
      </c>
      <c r="AL19" s="18" t="s">
        <v>92</v>
      </c>
      <c r="AM19" s="18" t="s">
        <v>105</v>
      </c>
      <c r="AN19" s="18" t="s">
        <v>116</v>
      </c>
      <c r="AO19" s="18" t="s">
        <v>198</v>
      </c>
      <c r="AP19" s="18"/>
      <c r="AQ19" s="18"/>
      <c r="AR19" s="18">
        <v>4</v>
      </c>
      <c r="AS19" s="18">
        <v>5</v>
      </c>
      <c r="AT19" s="18">
        <v>3</v>
      </c>
      <c r="AU19" s="18">
        <v>4</v>
      </c>
      <c r="AV19" s="18">
        <v>4</v>
      </c>
      <c r="AW19" s="18">
        <v>20</v>
      </c>
      <c r="AX19" s="49">
        <v>19</v>
      </c>
      <c r="AY19" s="49">
        <f>VLOOKUP(AI19,Leyenda!$B$4:$E$10,4,FALSE)</f>
        <v>4</v>
      </c>
      <c r="AZ19" s="50">
        <v>12</v>
      </c>
      <c r="BA19" s="49">
        <v>20</v>
      </c>
      <c r="BB19" s="49">
        <v>15</v>
      </c>
      <c r="BC19" s="67">
        <v>76.428571428571246</v>
      </c>
      <c r="BD19" s="67">
        <f>VLOOKUP(AI19,Leyenda!$B$4:$E$10,4,FALSE)</f>
        <v>4</v>
      </c>
      <c r="BE19" s="67">
        <v>18</v>
      </c>
      <c r="BF19" s="67">
        <v>19</v>
      </c>
      <c r="BG19" s="67">
        <v>3</v>
      </c>
      <c r="BH19" s="67">
        <v>4</v>
      </c>
      <c r="BI19" s="67">
        <v>4</v>
      </c>
      <c r="BJ19" s="67">
        <v>4</v>
      </c>
      <c r="BK19" s="67">
        <v>4</v>
      </c>
      <c r="BL19" s="67">
        <v>10</v>
      </c>
      <c r="BM19" s="67">
        <f t="shared" si="0"/>
        <v>70</v>
      </c>
      <c r="BN19" s="18">
        <f t="shared" si="1"/>
        <v>70</v>
      </c>
      <c r="BO19" s="18"/>
      <c r="BP19" s="18"/>
      <c r="CD19" s="167"/>
      <c r="CE19" s="167"/>
      <c r="CF19" s="167"/>
      <c r="CG19" s="167">
        <f>+SUM(CG13:CG17)</f>
        <v>82</v>
      </c>
      <c r="CH19" s="167"/>
      <c r="CI19" s="167"/>
      <c r="CJ19" s="167"/>
      <c r="CK19" s="167"/>
      <c r="CL19" s="167"/>
      <c r="CM19" s="167"/>
      <c r="CR19" s="167"/>
      <c r="CS19" s="167"/>
      <c r="CT19" s="167"/>
      <c r="CU19" s="167">
        <f>+SUM(CU13:CU17)</f>
        <v>82</v>
      </c>
      <c r="CV19" s="167"/>
      <c r="CW19" s="167"/>
      <c r="CX19" s="167"/>
      <c r="CY19" s="167"/>
      <c r="CZ19" s="167"/>
      <c r="DF19" s="167"/>
      <c r="DG19" s="167"/>
      <c r="DH19" s="167"/>
      <c r="DI19" s="167"/>
      <c r="DJ19" s="167"/>
      <c r="DK19" s="167"/>
      <c r="DL19" s="167"/>
      <c r="DM19" s="167"/>
      <c r="DN19" s="167"/>
      <c r="DO19" s="167"/>
      <c r="DQ19" s="167"/>
      <c r="DR19" s="167"/>
      <c r="DS19" s="167"/>
      <c r="DT19" s="167"/>
      <c r="DU19" s="167"/>
      <c r="DV19" s="167"/>
      <c r="DW19" s="167"/>
      <c r="DX19" s="167"/>
      <c r="DY19" s="167"/>
      <c r="EA19" s="167"/>
      <c r="EB19" s="167"/>
      <c r="EC19" s="167"/>
      <c r="ED19" s="167">
        <f>+SUM(ED13:ED17)</f>
        <v>82</v>
      </c>
      <c r="EE19" s="167"/>
      <c r="EF19" s="167"/>
      <c r="EG19" s="167"/>
      <c r="EH19" s="167"/>
      <c r="EI19" s="167"/>
      <c r="EJ19" s="167"/>
      <c r="EN19" s="167"/>
      <c r="EO19" s="167" t="s">
        <v>73</v>
      </c>
      <c r="EP19" s="167">
        <v>5</v>
      </c>
      <c r="EQ19" s="167">
        <v>0</v>
      </c>
      <c r="ER19" s="170">
        <v>1</v>
      </c>
      <c r="ES19" s="167">
        <v>5</v>
      </c>
      <c r="ET19" s="167">
        <v>0</v>
      </c>
      <c r="EU19" s="170">
        <v>1</v>
      </c>
      <c r="EV19" s="180">
        <f t="shared" si="7"/>
        <v>0</v>
      </c>
      <c r="EW19" s="167"/>
    </row>
    <row r="20" spans="1:153" ht="15.75" thickBot="1" x14ac:dyDescent="0.3">
      <c r="A20" s="18" t="s">
        <v>6</v>
      </c>
      <c r="B20" s="18">
        <v>2024</v>
      </c>
      <c r="C20" s="18" t="s">
        <v>138</v>
      </c>
      <c r="D20" s="18" t="s">
        <v>10</v>
      </c>
      <c r="E20" s="18">
        <v>10</v>
      </c>
      <c r="F20" s="18">
        <v>10</v>
      </c>
      <c r="G20" s="18" t="s">
        <v>135</v>
      </c>
      <c r="H20" s="18" t="s">
        <v>135</v>
      </c>
      <c r="I20" s="18" t="s">
        <v>162</v>
      </c>
      <c r="J20" s="31">
        <v>33.85</v>
      </c>
      <c r="K20" s="31">
        <v>34.35</v>
      </c>
      <c r="L20" s="4">
        <v>0.5</v>
      </c>
      <c r="M20" s="5">
        <v>0.78</v>
      </c>
      <c r="N20" s="31">
        <v>0.39</v>
      </c>
      <c r="O20" s="31">
        <v>0.39</v>
      </c>
      <c r="P20" s="31">
        <v>19.5</v>
      </c>
      <c r="Q20" s="31">
        <v>20</v>
      </c>
      <c r="R20" s="31">
        <v>0.37</v>
      </c>
      <c r="S20" s="31">
        <v>0.32</v>
      </c>
      <c r="T20" s="86">
        <v>64</v>
      </c>
      <c r="U20" s="31">
        <v>3</v>
      </c>
      <c r="V20" s="31"/>
      <c r="W20" s="31">
        <v>3</v>
      </c>
      <c r="X20" s="31">
        <v>123.33333333333333</v>
      </c>
      <c r="Y20" s="18">
        <v>40</v>
      </c>
      <c r="Z20" s="18" t="s">
        <v>96</v>
      </c>
      <c r="AA20" s="18" t="s">
        <v>333</v>
      </c>
      <c r="AB20" s="18" t="s">
        <v>337</v>
      </c>
      <c r="AC20" s="18">
        <v>20</v>
      </c>
      <c r="AD20" s="18">
        <v>19.5</v>
      </c>
      <c r="AE20" s="18" t="s">
        <v>24</v>
      </c>
      <c r="AF20" s="18" t="s">
        <v>24</v>
      </c>
      <c r="AG20" s="18" t="s">
        <v>24</v>
      </c>
      <c r="AH20" s="18">
        <v>35</v>
      </c>
      <c r="AI20" s="18" t="s">
        <v>27</v>
      </c>
      <c r="AJ20" s="18" t="s">
        <v>62</v>
      </c>
      <c r="AK20" s="18" t="s">
        <v>75</v>
      </c>
      <c r="AL20" s="18" t="s">
        <v>92</v>
      </c>
      <c r="AM20" s="18" t="s">
        <v>105</v>
      </c>
      <c r="AN20" s="18" t="s">
        <v>116</v>
      </c>
      <c r="AO20" s="18" t="s">
        <v>198</v>
      </c>
      <c r="AP20" s="18"/>
      <c r="AQ20" s="18"/>
      <c r="AR20" s="18">
        <v>4</v>
      </c>
      <c r="AS20" s="18">
        <v>5</v>
      </c>
      <c r="AT20" s="18">
        <v>3</v>
      </c>
      <c r="AU20" s="18">
        <v>4</v>
      </c>
      <c r="AV20" s="18">
        <v>4</v>
      </c>
      <c r="AW20" s="18">
        <v>20</v>
      </c>
      <c r="AX20" s="49">
        <v>13</v>
      </c>
      <c r="AY20" s="49">
        <f>VLOOKUP(AI20,Leyenda!$B$4:$E$10,4,FALSE)</f>
        <v>4</v>
      </c>
      <c r="AZ20" s="50">
        <v>8</v>
      </c>
      <c r="BA20" s="49">
        <v>20</v>
      </c>
      <c r="BB20" s="49">
        <v>15</v>
      </c>
      <c r="BC20" s="67">
        <v>62</v>
      </c>
      <c r="BD20" s="67">
        <f>VLOOKUP(AI20,Leyenda!$B$4:$E$10,4,FALSE)</f>
        <v>4</v>
      </c>
      <c r="BE20" s="67">
        <v>9</v>
      </c>
      <c r="BF20" s="67">
        <v>13</v>
      </c>
      <c r="BG20" s="67">
        <v>3</v>
      </c>
      <c r="BH20" s="67">
        <v>4</v>
      </c>
      <c r="BI20" s="67">
        <v>4</v>
      </c>
      <c r="BJ20" s="67">
        <v>4</v>
      </c>
      <c r="BK20" s="67">
        <v>4</v>
      </c>
      <c r="BL20" s="67">
        <v>10</v>
      </c>
      <c r="BM20" s="67">
        <f t="shared" si="0"/>
        <v>55</v>
      </c>
      <c r="BN20" s="18">
        <f t="shared" si="1"/>
        <v>60</v>
      </c>
      <c r="BO20" s="18"/>
      <c r="BP20" s="18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R20" s="167"/>
      <c r="CS20" s="167"/>
      <c r="CT20" s="167"/>
      <c r="CU20" s="167"/>
      <c r="CV20" s="167"/>
      <c r="CW20" s="167"/>
      <c r="CX20" s="167"/>
      <c r="CY20" s="167"/>
      <c r="CZ20" s="167"/>
      <c r="EA20" s="167"/>
      <c r="EB20" s="167"/>
      <c r="EC20" s="167"/>
      <c r="ED20" s="167"/>
      <c r="EE20" s="167"/>
      <c r="EF20" s="167"/>
      <c r="EG20" s="167"/>
      <c r="EH20" s="167"/>
      <c r="EI20" s="167"/>
      <c r="EJ20" s="167"/>
      <c r="EN20" s="167"/>
      <c r="EO20" s="167"/>
      <c r="EP20" s="172" t="s">
        <v>581</v>
      </c>
      <c r="EQ20" s="172">
        <v>0</v>
      </c>
      <c r="ER20" s="173">
        <v>1</v>
      </c>
      <c r="ES20" s="172" t="s">
        <v>581</v>
      </c>
      <c r="ET20" s="172">
        <v>0</v>
      </c>
      <c r="EU20" s="173">
        <v>1</v>
      </c>
      <c r="EV20" s="170"/>
      <c r="EW20" s="167"/>
    </row>
    <row r="21" spans="1:153" x14ac:dyDescent="0.25">
      <c r="A21" s="18" t="s">
        <v>6</v>
      </c>
      <c r="B21" s="18">
        <v>2024</v>
      </c>
      <c r="C21" s="18" t="s">
        <v>138</v>
      </c>
      <c r="D21" s="18" t="s">
        <v>10</v>
      </c>
      <c r="E21" s="18">
        <v>10</v>
      </c>
      <c r="F21" s="18">
        <v>10</v>
      </c>
      <c r="G21" s="18" t="s">
        <v>135</v>
      </c>
      <c r="H21" s="18" t="s">
        <v>135</v>
      </c>
      <c r="I21" s="18" t="s">
        <v>162</v>
      </c>
      <c r="J21" s="31">
        <v>34.35</v>
      </c>
      <c r="K21" s="31">
        <v>34.85</v>
      </c>
      <c r="L21" s="4">
        <v>0.5</v>
      </c>
      <c r="M21" s="5">
        <v>0.94</v>
      </c>
      <c r="N21" s="31">
        <v>0.47</v>
      </c>
      <c r="O21" s="31">
        <v>0.47</v>
      </c>
      <c r="P21" s="31">
        <v>23.5</v>
      </c>
      <c r="Q21" s="31">
        <v>20</v>
      </c>
      <c r="R21" s="31">
        <v>0.44</v>
      </c>
      <c r="S21" s="31">
        <v>0.2</v>
      </c>
      <c r="T21" s="86">
        <v>40</v>
      </c>
      <c r="U21" s="31">
        <v>6</v>
      </c>
      <c r="V21" s="31"/>
      <c r="W21" s="31">
        <v>6</v>
      </c>
      <c r="X21" s="31">
        <v>73.333333333333329</v>
      </c>
      <c r="Y21" s="18">
        <v>0</v>
      </c>
      <c r="Z21" s="18" t="s">
        <v>92</v>
      </c>
      <c r="AA21" s="18" t="s">
        <v>333</v>
      </c>
      <c r="AB21" s="18" t="s">
        <v>334</v>
      </c>
      <c r="AC21" s="18">
        <v>20</v>
      </c>
      <c r="AD21" s="18">
        <v>23.5</v>
      </c>
      <c r="AE21" s="18" t="s">
        <v>24</v>
      </c>
      <c r="AF21" s="18" t="s">
        <v>24</v>
      </c>
      <c r="AG21" s="18" t="s">
        <v>24</v>
      </c>
      <c r="AH21" s="18">
        <v>35</v>
      </c>
      <c r="AI21" s="18" t="s">
        <v>27</v>
      </c>
      <c r="AJ21" s="18" t="s">
        <v>62</v>
      </c>
      <c r="AK21" s="18" t="s">
        <v>75</v>
      </c>
      <c r="AL21" s="18" t="s">
        <v>92</v>
      </c>
      <c r="AM21" s="18" t="s">
        <v>105</v>
      </c>
      <c r="AN21" s="18" t="s">
        <v>116</v>
      </c>
      <c r="AO21" s="18" t="s">
        <v>198</v>
      </c>
      <c r="AP21" s="18"/>
      <c r="AQ21" s="18"/>
      <c r="AR21" s="18">
        <v>4</v>
      </c>
      <c r="AS21" s="18">
        <v>5</v>
      </c>
      <c r="AT21" s="18">
        <v>3</v>
      </c>
      <c r="AU21" s="18">
        <v>4</v>
      </c>
      <c r="AV21" s="18">
        <v>4</v>
      </c>
      <c r="AW21" s="18">
        <v>20</v>
      </c>
      <c r="AX21" s="49">
        <v>8</v>
      </c>
      <c r="AY21" s="49">
        <f>VLOOKUP(AI21,Leyenda!$B$4:$E$10,4,FALSE)</f>
        <v>4</v>
      </c>
      <c r="AZ21" s="50">
        <v>7</v>
      </c>
      <c r="BA21" s="49">
        <v>20</v>
      </c>
      <c r="BB21" s="49">
        <v>15</v>
      </c>
      <c r="BC21" s="67">
        <v>50</v>
      </c>
      <c r="BD21" s="67">
        <f>VLOOKUP(AI21,Leyenda!$B$4:$E$10,4,FALSE)</f>
        <v>4</v>
      </c>
      <c r="BE21" s="67">
        <v>6</v>
      </c>
      <c r="BF21" s="67">
        <v>8</v>
      </c>
      <c r="BG21" s="67">
        <v>3</v>
      </c>
      <c r="BH21" s="67">
        <v>4</v>
      </c>
      <c r="BI21" s="67">
        <v>4</v>
      </c>
      <c r="BJ21" s="67">
        <v>4</v>
      </c>
      <c r="BK21" s="67">
        <v>4</v>
      </c>
      <c r="BL21" s="67">
        <v>10</v>
      </c>
      <c r="BM21" s="67">
        <f t="shared" si="0"/>
        <v>47</v>
      </c>
      <c r="BN21" s="18">
        <f t="shared" si="1"/>
        <v>54</v>
      </c>
      <c r="BO21" s="18"/>
      <c r="BP21" s="18"/>
      <c r="EN21" s="167"/>
      <c r="EO21" s="167"/>
      <c r="EP21" s="167"/>
      <c r="EQ21" s="179">
        <f>+SUM(EQ15:EQ19)</f>
        <v>82</v>
      </c>
      <c r="ER21" s="167"/>
      <c r="ES21" s="170"/>
      <c r="ET21" s="179"/>
      <c r="EU21" s="167"/>
      <c r="EV21" s="170"/>
      <c r="EW21" s="167"/>
    </row>
    <row r="22" spans="1:153" x14ac:dyDescent="0.25">
      <c r="A22" s="18" t="s">
        <v>6</v>
      </c>
      <c r="B22" s="18">
        <v>2024</v>
      </c>
      <c r="C22" s="18" t="s">
        <v>138</v>
      </c>
      <c r="D22" s="18" t="s">
        <v>10</v>
      </c>
      <c r="E22" s="18">
        <v>10</v>
      </c>
      <c r="F22" s="18">
        <v>10</v>
      </c>
      <c r="G22" s="18" t="s">
        <v>135</v>
      </c>
      <c r="H22" s="18" t="s">
        <v>135</v>
      </c>
      <c r="I22" s="18" t="s">
        <v>163</v>
      </c>
      <c r="J22" s="31">
        <v>34.85</v>
      </c>
      <c r="K22" s="31">
        <v>35.35</v>
      </c>
      <c r="L22" s="4">
        <v>0.5</v>
      </c>
      <c r="M22" s="5">
        <v>1</v>
      </c>
      <c r="N22" s="31">
        <v>0.5</v>
      </c>
      <c r="O22" s="31">
        <v>0.5</v>
      </c>
      <c r="P22" s="31">
        <v>25</v>
      </c>
      <c r="Q22" s="31">
        <v>20</v>
      </c>
      <c r="R22" s="31">
        <v>0.49</v>
      </c>
      <c r="S22" s="31">
        <v>0</v>
      </c>
      <c r="T22" s="86">
        <v>0</v>
      </c>
      <c r="U22" s="31">
        <v>10</v>
      </c>
      <c r="V22" s="31"/>
      <c r="W22" s="31">
        <v>10</v>
      </c>
      <c r="X22" s="31">
        <v>49</v>
      </c>
      <c r="Y22" s="18">
        <v>0</v>
      </c>
      <c r="Z22" s="18" t="s">
        <v>100</v>
      </c>
      <c r="AA22" s="18" t="s">
        <v>333</v>
      </c>
      <c r="AB22" s="18" t="s">
        <v>335</v>
      </c>
      <c r="AC22" s="18">
        <v>20</v>
      </c>
      <c r="AD22" s="18">
        <v>25</v>
      </c>
      <c r="AE22" s="18" t="s">
        <v>27</v>
      </c>
      <c r="AF22" s="18" t="s">
        <v>27</v>
      </c>
      <c r="AG22" s="18" t="s">
        <v>27</v>
      </c>
      <c r="AH22" s="18">
        <v>35</v>
      </c>
      <c r="AI22" s="18" t="s">
        <v>27</v>
      </c>
      <c r="AJ22" s="18" t="s">
        <v>64</v>
      </c>
      <c r="AK22" s="18" t="s">
        <v>77</v>
      </c>
      <c r="AL22" s="18" t="s">
        <v>92</v>
      </c>
      <c r="AM22" s="18" t="s">
        <v>107</v>
      </c>
      <c r="AN22" s="18" t="s">
        <v>118</v>
      </c>
      <c r="AO22" s="18" t="s">
        <v>198</v>
      </c>
      <c r="AP22" s="18"/>
      <c r="AQ22" s="18"/>
      <c r="AR22" s="18">
        <v>2</v>
      </c>
      <c r="AS22" s="18">
        <v>3</v>
      </c>
      <c r="AT22" s="18">
        <v>3</v>
      </c>
      <c r="AU22" s="18">
        <v>3</v>
      </c>
      <c r="AV22" s="18">
        <v>2</v>
      </c>
      <c r="AW22" s="18">
        <v>13</v>
      </c>
      <c r="AX22" s="49">
        <v>0</v>
      </c>
      <c r="AY22" s="49">
        <f>VLOOKUP(AI22,Leyenda!$B$4:$E$10,4,FALSE)</f>
        <v>4</v>
      </c>
      <c r="AZ22" s="50">
        <v>6</v>
      </c>
      <c r="BA22" s="49">
        <v>13</v>
      </c>
      <c r="BB22" s="49">
        <v>15</v>
      </c>
      <c r="BC22" s="67">
        <v>19.5</v>
      </c>
      <c r="BD22" s="67">
        <f>VLOOKUP(AI22,Leyenda!$B$4:$E$10,4,FALSE)</f>
        <v>4</v>
      </c>
      <c r="BE22" s="67">
        <v>5</v>
      </c>
      <c r="BF22" s="67">
        <v>0</v>
      </c>
      <c r="BG22" s="67">
        <v>3</v>
      </c>
      <c r="BH22" s="67">
        <v>3</v>
      </c>
      <c r="BI22" s="67">
        <v>2</v>
      </c>
      <c r="BJ22" s="67">
        <v>3</v>
      </c>
      <c r="BK22" s="67">
        <v>3</v>
      </c>
      <c r="BL22" s="67">
        <v>10</v>
      </c>
      <c r="BM22" s="67">
        <f t="shared" si="0"/>
        <v>33</v>
      </c>
      <c r="BN22" s="18">
        <f t="shared" si="1"/>
        <v>38</v>
      </c>
      <c r="BO22" s="18"/>
      <c r="BP22" s="18"/>
      <c r="EN22" s="167"/>
      <c r="EO22" s="167"/>
      <c r="EP22" s="167"/>
      <c r="EQ22" s="179"/>
      <c r="ER22" s="167"/>
      <c r="ES22" s="170"/>
      <c r="ET22" s="179"/>
      <c r="EU22" s="167"/>
      <c r="EV22" s="170"/>
      <c r="EW22" s="167"/>
    </row>
    <row r="23" spans="1:153" x14ac:dyDescent="0.25">
      <c r="A23" s="18" t="s">
        <v>6</v>
      </c>
      <c r="B23" s="18">
        <v>2024</v>
      </c>
      <c r="C23" s="18" t="s">
        <v>138</v>
      </c>
      <c r="D23" s="18" t="s">
        <v>10</v>
      </c>
      <c r="E23" s="18">
        <v>10</v>
      </c>
      <c r="F23" s="18">
        <v>10</v>
      </c>
      <c r="G23" s="18" t="s">
        <v>135</v>
      </c>
      <c r="H23" s="18" t="s">
        <v>135</v>
      </c>
      <c r="I23" s="18" t="s">
        <v>163</v>
      </c>
      <c r="J23" s="31">
        <v>35.35</v>
      </c>
      <c r="K23" s="31">
        <v>35.85</v>
      </c>
      <c r="L23" s="4">
        <v>0.5</v>
      </c>
      <c r="M23" s="5">
        <v>1</v>
      </c>
      <c r="N23" s="31">
        <v>0.5</v>
      </c>
      <c r="O23" s="31">
        <v>0.5</v>
      </c>
      <c r="P23" s="31">
        <v>100</v>
      </c>
      <c r="Q23" s="31">
        <v>5</v>
      </c>
      <c r="R23" s="31">
        <v>0.5</v>
      </c>
      <c r="S23" s="31">
        <v>0.28999999999999998</v>
      </c>
      <c r="T23" s="86">
        <v>57.999999999999993</v>
      </c>
      <c r="U23" s="31">
        <v>4</v>
      </c>
      <c r="V23" s="31"/>
      <c r="W23" s="31">
        <v>4</v>
      </c>
      <c r="X23" s="31">
        <v>125</v>
      </c>
      <c r="Y23" s="18">
        <v>40</v>
      </c>
      <c r="Z23" s="18" t="s">
        <v>96</v>
      </c>
      <c r="AA23" s="18" t="s">
        <v>118</v>
      </c>
      <c r="AB23" s="18" t="s">
        <v>337</v>
      </c>
      <c r="AC23" s="18">
        <v>5</v>
      </c>
      <c r="AD23" s="18">
        <v>100</v>
      </c>
      <c r="AE23" s="18" t="s">
        <v>27</v>
      </c>
      <c r="AF23" s="18" t="s">
        <v>27</v>
      </c>
      <c r="AG23" s="18" t="s">
        <v>27</v>
      </c>
      <c r="AH23" s="18">
        <v>35</v>
      </c>
      <c r="AI23" s="18" t="s">
        <v>27</v>
      </c>
      <c r="AJ23" s="18" t="s">
        <v>64</v>
      </c>
      <c r="AK23" s="18" t="s">
        <v>77</v>
      </c>
      <c r="AL23" s="18" t="s">
        <v>92</v>
      </c>
      <c r="AM23" s="18" t="s">
        <v>107</v>
      </c>
      <c r="AN23" s="18" t="s">
        <v>120</v>
      </c>
      <c r="AO23" s="18" t="s">
        <v>198</v>
      </c>
      <c r="AP23" s="18"/>
      <c r="AQ23" s="18"/>
      <c r="AR23" s="18">
        <v>2</v>
      </c>
      <c r="AS23" s="18">
        <v>3</v>
      </c>
      <c r="AT23" s="18">
        <v>3</v>
      </c>
      <c r="AU23" s="18">
        <v>3</v>
      </c>
      <c r="AV23" s="18">
        <v>2</v>
      </c>
      <c r="AW23" s="18">
        <v>13</v>
      </c>
      <c r="AX23" s="49">
        <v>12</v>
      </c>
      <c r="AY23" s="49">
        <f>VLOOKUP(AI23,Leyenda!$B$4:$E$10,4,FALSE)</f>
        <v>4</v>
      </c>
      <c r="AZ23" s="50">
        <v>8</v>
      </c>
      <c r="BA23" s="49">
        <v>13</v>
      </c>
      <c r="BB23" s="49">
        <v>15</v>
      </c>
      <c r="BC23" s="67">
        <v>48.5</v>
      </c>
      <c r="BD23" s="67">
        <f>VLOOKUP(AI23,Leyenda!$B$4:$E$10,4,FALSE)</f>
        <v>4</v>
      </c>
      <c r="BE23" s="67">
        <v>10</v>
      </c>
      <c r="BF23" s="67">
        <v>12</v>
      </c>
      <c r="BG23" s="67">
        <v>3</v>
      </c>
      <c r="BH23" s="67">
        <v>3</v>
      </c>
      <c r="BI23" s="67">
        <v>2</v>
      </c>
      <c r="BJ23" s="67">
        <v>3</v>
      </c>
      <c r="BK23" s="67">
        <v>3</v>
      </c>
      <c r="BL23" s="67">
        <v>10</v>
      </c>
      <c r="BM23" s="67">
        <f t="shared" si="0"/>
        <v>50</v>
      </c>
      <c r="BN23" s="18">
        <f t="shared" si="1"/>
        <v>52</v>
      </c>
      <c r="BO23" s="18"/>
      <c r="BP23" s="18"/>
      <c r="EQ23" s="178"/>
      <c r="ES23" s="55"/>
      <c r="ET23" s="178"/>
      <c r="EV23" s="55"/>
    </row>
    <row r="24" spans="1:153" x14ac:dyDescent="0.25">
      <c r="A24" s="18" t="s">
        <v>6</v>
      </c>
      <c r="B24" s="18">
        <v>2024</v>
      </c>
      <c r="C24" s="18" t="s">
        <v>138</v>
      </c>
      <c r="D24" s="18" t="s">
        <v>10</v>
      </c>
      <c r="E24" s="18">
        <v>10</v>
      </c>
      <c r="F24" s="18">
        <v>10</v>
      </c>
      <c r="G24" s="18" t="s">
        <v>135</v>
      </c>
      <c r="H24" s="18" t="s">
        <v>135</v>
      </c>
      <c r="I24" s="18" t="s">
        <v>163</v>
      </c>
      <c r="J24" s="31">
        <v>35.85</v>
      </c>
      <c r="K24" s="31">
        <v>36.35</v>
      </c>
      <c r="L24" s="4">
        <v>0.5</v>
      </c>
      <c r="M24" s="5">
        <v>1</v>
      </c>
      <c r="N24" s="31">
        <v>0.5</v>
      </c>
      <c r="O24" s="31">
        <v>0.5</v>
      </c>
      <c r="P24" s="31">
        <v>25</v>
      </c>
      <c r="Q24" s="31">
        <v>20</v>
      </c>
      <c r="R24" s="31">
        <v>0.44</v>
      </c>
      <c r="S24" s="31">
        <v>0.18</v>
      </c>
      <c r="T24" s="86">
        <v>36</v>
      </c>
      <c r="U24" s="31">
        <v>3</v>
      </c>
      <c r="V24" s="31"/>
      <c r="W24" s="31">
        <v>3</v>
      </c>
      <c r="X24" s="31">
        <v>146.66666666666666</v>
      </c>
      <c r="Y24" s="18">
        <v>0</v>
      </c>
      <c r="Z24" s="18" t="s">
        <v>92</v>
      </c>
      <c r="AA24" s="18" t="s">
        <v>333</v>
      </c>
      <c r="AB24" s="18" t="s">
        <v>334</v>
      </c>
      <c r="AC24" s="18">
        <v>20</v>
      </c>
      <c r="AD24" s="18">
        <v>25</v>
      </c>
      <c r="AE24" s="18" t="s">
        <v>27</v>
      </c>
      <c r="AF24" s="18" t="s">
        <v>27</v>
      </c>
      <c r="AG24" s="18" t="s">
        <v>27</v>
      </c>
      <c r="AH24" s="18">
        <v>35</v>
      </c>
      <c r="AI24" s="18" t="s">
        <v>27</v>
      </c>
      <c r="AJ24" s="18" t="s">
        <v>64</v>
      </c>
      <c r="AK24" s="18" t="s">
        <v>77</v>
      </c>
      <c r="AL24" s="18" t="s">
        <v>92</v>
      </c>
      <c r="AM24" s="18" t="s">
        <v>107</v>
      </c>
      <c r="AN24" s="18" t="s">
        <v>118</v>
      </c>
      <c r="AO24" s="18" t="s">
        <v>198</v>
      </c>
      <c r="AP24" s="18"/>
      <c r="AQ24" s="18"/>
      <c r="AR24" s="18">
        <v>2</v>
      </c>
      <c r="AS24" s="18">
        <v>3</v>
      </c>
      <c r="AT24" s="18">
        <v>3</v>
      </c>
      <c r="AU24" s="18">
        <v>3</v>
      </c>
      <c r="AV24" s="18">
        <v>2</v>
      </c>
      <c r="AW24" s="18">
        <v>13</v>
      </c>
      <c r="AX24" s="49">
        <v>8</v>
      </c>
      <c r="AY24" s="49">
        <f>VLOOKUP(AI24,Leyenda!$B$4:$E$10,4,FALSE)</f>
        <v>4</v>
      </c>
      <c r="AZ24" s="50">
        <v>8</v>
      </c>
      <c r="BA24" s="49">
        <v>13</v>
      </c>
      <c r="BB24" s="49">
        <v>15</v>
      </c>
      <c r="BC24" s="67">
        <v>37.5</v>
      </c>
      <c r="BD24" s="67">
        <f>VLOOKUP(AI24,Leyenda!$B$4:$E$10,4,FALSE)</f>
        <v>4</v>
      </c>
      <c r="BE24" s="67">
        <v>10</v>
      </c>
      <c r="BF24" s="67">
        <v>8</v>
      </c>
      <c r="BG24" s="67">
        <v>3</v>
      </c>
      <c r="BH24" s="67">
        <v>3</v>
      </c>
      <c r="BI24" s="67">
        <v>2</v>
      </c>
      <c r="BJ24" s="67">
        <v>3</v>
      </c>
      <c r="BK24" s="67">
        <v>3</v>
      </c>
      <c r="BL24" s="67">
        <v>10</v>
      </c>
      <c r="BM24" s="67">
        <f t="shared" si="0"/>
        <v>46</v>
      </c>
      <c r="BN24" s="18">
        <f t="shared" si="1"/>
        <v>48</v>
      </c>
      <c r="BO24" s="18"/>
      <c r="BP24" s="18"/>
      <c r="EQ24" s="178"/>
      <c r="ES24" s="55"/>
      <c r="ET24" s="178"/>
      <c r="EV24" s="55"/>
    </row>
    <row r="25" spans="1:153" x14ac:dyDescent="0.25">
      <c r="A25" s="18" t="s">
        <v>6</v>
      </c>
      <c r="B25" s="18">
        <v>2024</v>
      </c>
      <c r="C25" s="18" t="s">
        <v>138</v>
      </c>
      <c r="D25" s="18" t="s">
        <v>10</v>
      </c>
      <c r="E25" s="18">
        <v>10</v>
      </c>
      <c r="F25" s="18">
        <v>10</v>
      </c>
      <c r="G25" s="18" t="s">
        <v>135</v>
      </c>
      <c r="H25" s="18" t="s">
        <v>135</v>
      </c>
      <c r="I25" s="18" t="s">
        <v>163</v>
      </c>
      <c r="J25" s="31">
        <v>36.35</v>
      </c>
      <c r="K25" s="31">
        <v>36.85</v>
      </c>
      <c r="L25" s="4">
        <v>0.5</v>
      </c>
      <c r="M25" s="5">
        <v>1</v>
      </c>
      <c r="N25" s="31">
        <v>0.5</v>
      </c>
      <c r="O25" s="31">
        <v>0.5</v>
      </c>
      <c r="P25" s="31">
        <v>25</v>
      </c>
      <c r="Q25" s="31">
        <v>20</v>
      </c>
      <c r="R25" s="31">
        <v>0.49</v>
      </c>
      <c r="S25" s="31">
        <v>0</v>
      </c>
      <c r="T25" s="86">
        <v>0</v>
      </c>
      <c r="U25" s="31">
        <v>15</v>
      </c>
      <c r="V25" s="31"/>
      <c r="W25" s="31">
        <v>15</v>
      </c>
      <c r="X25" s="31">
        <v>32.666666666666664</v>
      </c>
      <c r="Y25" s="18">
        <v>46</v>
      </c>
      <c r="Z25" s="18" t="s">
        <v>96</v>
      </c>
      <c r="AA25" s="18" t="s">
        <v>333</v>
      </c>
      <c r="AB25" s="18" t="s">
        <v>336</v>
      </c>
      <c r="AC25" s="18">
        <v>20</v>
      </c>
      <c r="AD25" s="18">
        <v>25</v>
      </c>
      <c r="AE25" s="18" t="s">
        <v>27</v>
      </c>
      <c r="AF25" s="18" t="s">
        <v>27</v>
      </c>
      <c r="AG25" s="18" t="s">
        <v>27</v>
      </c>
      <c r="AH25" s="18">
        <v>35</v>
      </c>
      <c r="AI25" s="18" t="s">
        <v>27</v>
      </c>
      <c r="AJ25" s="18" t="s">
        <v>64</v>
      </c>
      <c r="AK25" s="18" t="s">
        <v>77</v>
      </c>
      <c r="AL25" s="18" t="s">
        <v>92</v>
      </c>
      <c r="AM25" s="18" t="s">
        <v>107</v>
      </c>
      <c r="AN25" s="18" t="s">
        <v>120</v>
      </c>
      <c r="AO25" s="18" t="s">
        <v>198</v>
      </c>
      <c r="AP25" s="18"/>
      <c r="AQ25" s="18"/>
      <c r="AR25" s="18">
        <v>2</v>
      </c>
      <c r="AS25" s="18">
        <v>3</v>
      </c>
      <c r="AT25" s="18">
        <v>3</v>
      </c>
      <c r="AU25" s="18">
        <v>3</v>
      </c>
      <c r="AV25" s="18">
        <v>2</v>
      </c>
      <c r="AW25" s="18">
        <v>13</v>
      </c>
      <c r="AX25" s="49">
        <v>0</v>
      </c>
      <c r="AY25" s="49">
        <f>VLOOKUP(AI25,Leyenda!$B$4:$E$10,4,FALSE)</f>
        <v>4</v>
      </c>
      <c r="AZ25" s="50">
        <v>5</v>
      </c>
      <c r="BA25" s="49">
        <v>13</v>
      </c>
      <c r="BB25" s="49">
        <v>15</v>
      </c>
      <c r="BC25" s="67">
        <v>19.5</v>
      </c>
      <c r="BD25" s="67">
        <f>VLOOKUP(AI25,Leyenda!$B$4:$E$10,4,FALSE)</f>
        <v>4</v>
      </c>
      <c r="BE25" s="67">
        <v>5</v>
      </c>
      <c r="BF25" s="67">
        <v>0</v>
      </c>
      <c r="BG25" s="67">
        <v>3</v>
      </c>
      <c r="BH25" s="67">
        <v>3</v>
      </c>
      <c r="BI25" s="67">
        <v>2</v>
      </c>
      <c r="BJ25" s="67">
        <v>3</v>
      </c>
      <c r="BK25" s="67">
        <v>3</v>
      </c>
      <c r="BL25" s="67">
        <v>10</v>
      </c>
      <c r="BM25" s="67">
        <f t="shared" si="0"/>
        <v>33</v>
      </c>
      <c r="BN25" s="18">
        <f t="shared" si="1"/>
        <v>37</v>
      </c>
      <c r="BO25" s="18"/>
      <c r="BP25" s="18"/>
      <c r="EQ25" s="178"/>
      <c r="ES25" s="55"/>
      <c r="ET25" s="178"/>
      <c r="EV25" s="55"/>
    </row>
    <row r="26" spans="1:153" x14ac:dyDescent="0.25">
      <c r="A26" s="18" t="s">
        <v>6</v>
      </c>
      <c r="B26" s="18">
        <v>2024</v>
      </c>
      <c r="C26" s="18" t="s">
        <v>138</v>
      </c>
      <c r="D26" s="18" t="s">
        <v>10</v>
      </c>
      <c r="E26" s="18">
        <v>10</v>
      </c>
      <c r="F26" s="18">
        <v>10</v>
      </c>
      <c r="G26" s="18" t="s">
        <v>135</v>
      </c>
      <c r="H26" s="18" t="s">
        <v>135</v>
      </c>
      <c r="I26" s="18" t="s">
        <v>163</v>
      </c>
      <c r="J26" s="31">
        <v>36.85</v>
      </c>
      <c r="K26" s="31">
        <v>37.549999999999997</v>
      </c>
      <c r="L26" s="4">
        <v>0.69999999999999574</v>
      </c>
      <c r="M26" s="5">
        <v>1</v>
      </c>
      <c r="N26" s="31">
        <v>0.69999999999999574</v>
      </c>
      <c r="O26" s="31">
        <v>0.69999999999999574</v>
      </c>
      <c r="P26" s="31">
        <v>69.999999999999574</v>
      </c>
      <c r="Q26" s="31">
        <v>10</v>
      </c>
      <c r="R26" s="31">
        <v>0.62</v>
      </c>
      <c r="S26" s="31">
        <v>0.23</v>
      </c>
      <c r="T26" s="86">
        <v>32.85714285714306</v>
      </c>
      <c r="U26" s="31">
        <v>5</v>
      </c>
      <c r="V26" s="31"/>
      <c r="W26" s="31">
        <v>5</v>
      </c>
      <c r="X26" s="31">
        <v>124</v>
      </c>
      <c r="Y26" s="18">
        <v>52</v>
      </c>
      <c r="Z26" s="18" t="s">
        <v>96</v>
      </c>
      <c r="AA26" s="18" t="s">
        <v>120</v>
      </c>
      <c r="AB26" s="18" t="s">
        <v>337</v>
      </c>
      <c r="AC26" s="18">
        <v>10</v>
      </c>
      <c r="AD26" s="18">
        <v>69.999999999999574</v>
      </c>
      <c r="AE26" s="18" t="s">
        <v>27</v>
      </c>
      <c r="AF26" s="18" t="s">
        <v>27</v>
      </c>
      <c r="AG26" s="18" t="s">
        <v>27</v>
      </c>
      <c r="AH26" s="18">
        <v>35</v>
      </c>
      <c r="AI26" s="18" t="s">
        <v>27</v>
      </c>
      <c r="AJ26" s="18" t="s">
        <v>64</v>
      </c>
      <c r="AK26" s="18" t="s">
        <v>77</v>
      </c>
      <c r="AL26" s="18" t="s">
        <v>92</v>
      </c>
      <c r="AM26" s="18" t="s">
        <v>107</v>
      </c>
      <c r="AN26" s="18" t="s">
        <v>118</v>
      </c>
      <c r="AO26" s="18" t="s">
        <v>198</v>
      </c>
      <c r="AP26" s="18"/>
      <c r="AQ26" s="18"/>
      <c r="AR26" s="18">
        <v>2</v>
      </c>
      <c r="AS26" s="18">
        <v>3</v>
      </c>
      <c r="AT26" s="18">
        <v>3</v>
      </c>
      <c r="AU26" s="18">
        <v>3</v>
      </c>
      <c r="AV26" s="18">
        <v>2</v>
      </c>
      <c r="AW26" s="18">
        <v>13</v>
      </c>
      <c r="AX26" s="49">
        <v>7</v>
      </c>
      <c r="AY26" s="49">
        <f>VLOOKUP(AI26,Leyenda!$B$4:$E$10,4,FALSE)</f>
        <v>4</v>
      </c>
      <c r="AZ26" s="50">
        <v>8</v>
      </c>
      <c r="BA26" s="49">
        <v>13</v>
      </c>
      <c r="BB26" s="49">
        <v>15</v>
      </c>
      <c r="BC26" s="67">
        <v>35.92857142857153</v>
      </c>
      <c r="BD26" s="67">
        <f>VLOOKUP(AI26,Leyenda!$B$4:$E$10,4,FALSE)</f>
        <v>4</v>
      </c>
      <c r="BE26" s="67">
        <v>9</v>
      </c>
      <c r="BF26" s="67">
        <v>7</v>
      </c>
      <c r="BG26" s="67">
        <v>3</v>
      </c>
      <c r="BH26" s="67">
        <v>3</v>
      </c>
      <c r="BI26" s="67">
        <v>2</v>
      </c>
      <c r="BJ26" s="67">
        <v>3</v>
      </c>
      <c r="BK26" s="67">
        <v>3</v>
      </c>
      <c r="BL26" s="67">
        <v>10</v>
      </c>
      <c r="BM26" s="67">
        <f t="shared" si="0"/>
        <v>44</v>
      </c>
      <c r="BN26" s="18">
        <f t="shared" si="1"/>
        <v>47</v>
      </c>
      <c r="BO26" s="18"/>
      <c r="BP26" s="18"/>
      <c r="EQ26" s="178"/>
      <c r="ES26" s="55"/>
      <c r="ET26" s="178"/>
      <c r="EV26" s="55"/>
    </row>
    <row r="27" spans="1:153" x14ac:dyDescent="0.25">
      <c r="A27" s="18" t="s">
        <v>6</v>
      </c>
      <c r="B27" s="18">
        <v>2024</v>
      </c>
      <c r="C27" s="18" t="s">
        <v>138</v>
      </c>
      <c r="D27" s="18" t="s">
        <v>10</v>
      </c>
      <c r="E27" s="18">
        <v>10</v>
      </c>
      <c r="F27" s="18">
        <v>10</v>
      </c>
      <c r="G27" s="18" t="s">
        <v>135</v>
      </c>
      <c r="H27" s="18" t="s">
        <v>135</v>
      </c>
      <c r="I27" s="18" t="s">
        <v>163</v>
      </c>
      <c r="J27" s="31">
        <v>37.549999999999997</v>
      </c>
      <c r="K27" s="31">
        <v>38.15</v>
      </c>
      <c r="L27" s="4">
        <v>0.60000000000000142</v>
      </c>
      <c r="M27" s="5">
        <v>1</v>
      </c>
      <c r="N27" s="31">
        <v>0.60000000000000142</v>
      </c>
      <c r="O27" s="31">
        <v>0.60000000000000142</v>
      </c>
      <c r="P27" s="31">
        <v>30.000000000000068</v>
      </c>
      <c r="Q27" s="31">
        <v>20</v>
      </c>
      <c r="R27" s="31">
        <v>0.49</v>
      </c>
      <c r="S27" s="31">
        <v>0.3</v>
      </c>
      <c r="T27" s="86">
        <v>49.999999999999879</v>
      </c>
      <c r="U27" s="31">
        <v>5</v>
      </c>
      <c r="V27" s="31"/>
      <c r="W27" s="31">
        <v>5</v>
      </c>
      <c r="X27" s="31">
        <v>98</v>
      </c>
      <c r="Y27" s="18">
        <v>0</v>
      </c>
      <c r="Z27" s="18" t="s">
        <v>96</v>
      </c>
      <c r="AA27" s="18" t="s">
        <v>333</v>
      </c>
      <c r="AB27" s="18" t="s">
        <v>337</v>
      </c>
      <c r="AC27" s="18">
        <v>20</v>
      </c>
      <c r="AD27" s="18">
        <v>30.000000000000068</v>
      </c>
      <c r="AE27" s="18" t="s">
        <v>27</v>
      </c>
      <c r="AF27" s="18" t="s">
        <v>27</v>
      </c>
      <c r="AG27" s="18" t="s">
        <v>27</v>
      </c>
      <c r="AH27" s="18">
        <v>35</v>
      </c>
      <c r="AI27" s="18" t="s">
        <v>27</v>
      </c>
      <c r="AJ27" s="18" t="s">
        <v>64</v>
      </c>
      <c r="AK27" s="18" t="s">
        <v>77</v>
      </c>
      <c r="AL27" s="18" t="s">
        <v>92</v>
      </c>
      <c r="AM27" s="18" t="s">
        <v>107</v>
      </c>
      <c r="AN27" s="18" t="s">
        <v>120</v>
      </c>
      <c r="AO27" s="18" t="s">
        <v>198</v>
      </c>
      <c r="AP27" s="18"/>
      <c r="AQ27" s="18"/>
      <c r="AR27" s="18">
        <v>2</v>
      </c>
      <c r="AS27" s="18">
        <v>3</v>
      </c>
      <c r="AT27" s="18">
        <v>3</v>
      </c>
      <c r="AU27" s="18">
        <v>3</v>
      </c>
      <c r="AV27" s="18">
        <v>2</v>
      </c>
      <c r="AW27" s="18">
        <v>13</v>
      </c>
      <c r="AX27" s="49">
        <v>10</v>
      </c>
      <c r="AY27" s="49">
        <f>VLOOKUP(AI27,Leyenda!$B$4:$E$10,4,FALSE)</f>
        <v>4</v>
      </c>
      <c r="AZ27" s="50">
        <v>7</v>
      </c>
      <c r="BA27" s="49">
        <v>13</v>
      </c>
      <c r="BB27" s="49">
        <v>15</v>
      </c>
      <c r="BC27" s="67">
        <v>44.499999999999943</v>
      </c>
      <c r="BD27" s="67">
        <f>VLOOKUP(AI27,Leyenda!$B$4:$E$10,4,FALSE)</f>
        <v>4</v>
      </c>
      <c r="BE27" s="67">
        <v>8</v>
      </c>
      <c r="BF27" s="67">
        <v>10</v>
      </c>
      <c r="BG27" s="67">
        <v>3</v>
      </c>
      <c r="BH27" s="67">
        <v>3</v>
      </c>
      <c r="BI27" s="67">
        <v>2</v>
      </c>
      <c r="BJ27" s="67">
        <v>3</v>
      </c>
      <c r="BK27" s="67">
        <v>3</v>
      </c>
      <c r="BL27" s="67">
        <v>10</v>
      </c>
      <c r="BM27" s="67">
        <f t="shared" si="0"/>
        <v>46</v>
      </c>
      <c r="BN27" s="18">
        <f t="shared" si="1"/>
        <v>49</v>
      </c>
      <c r="BO27" s="18"/>
      <c r="BP27" s="18"/>
      <c r="EQ27" s="178"/>
      <c r="ES27" s="55"/>
      <c r="ET27" s="178"/>
      <c r="EV27" s="55"/>
    </row>
    <row r="28" spans="1:153" x14ac:dyDescent="0.25">
      <c r="A28" s="18" t="s">
        <v>6</v>
      </c>
      <c r="B28" s="18">
        <v>2024</v>
      </c>
      <c r="C28" s="18" t="s">
        <v>138</v>
      </c>
      <c r="D28" s="18" t="s">
        <v>10</v>
      </c>
      <c r="E28" s="18">
        <v>10</v>
      </c>
      <c r="F28" s="18">
        <v>10</v>
      </c>
      <c r="G28" s="18" t="s">
        <v>135</v>
      </c>
      <c r="H28" s="18" t="s">
        <v>135</v>
      </c>
      <c r="I28" s="18" t="s">
        <v>163</v>
      </c>
      <c r="J28" s="31">
        <v>38.15</v>
      </c>
      <c r="K28" s="31">
        <v>38.65</v>
      </c>
      <c r="L28" s="4">
        <v>0.5</v>
      </c>
      <c r="M28" s="5">
        <v>1</v>
      </c>
      <c r="N28" s="31">
        <v>0.5</v>
      </c>
      <c r="O28" s="31">
        <v>0.5</v>
      </c>
      <c r="P28" s="31">
        <v>25</v>
      </c>
      <c r="Q28" s="31">
        <v>20</v>
      </c>
      <c r="R28" s="31">
        <v>0.48</v>
      </c>
      <c r="S28" s="31">
        <v>0.11</v>
      </c>
      <c r="T28" s="86">
        <v>22</v>
      </c>
      <c r="U28" s="31">
        <v>4</v>
      </c>
      <c r="V28" s="31"/>
      <c r="W28" s="31">
        <v>4</v>
      </c>
      <c r="X28" s="31">
        <v>120</v>
      </c>
      <c r="Y28" s="18">
        <v>0</v>
      </c>
      <c r="Z28" s="18" t="s">
        <v>100</v>
      </c>
      <c r="AA28" s="18" t="s">
        <v>333</v>
      </c>
      <c r="AB28" s="18" t="s">
        <v>337</v>
      </c>
      <c r="AC28" s="18">
        <v>20</v>
      </c>
      <c r="AD28" s="18">
        <v>25</v>
      </c>
      <c r="AE28" s="18" t="s">
        <v>27</v>
      </c>
      <c r="AF28" s="18" t="s">
        <v>27</v>
      </c>
      <c r="AG28" s="18" t="s">
        <v>27</v>
      </c>
      <c r="AH28" s="18">
        <v>35</v>
      </c>
      <c r="AI28" s="18" t="s">
        <v>27</v>
      </c>
      <c r="AJ28" s="18" t="s">
        <v>64</v>
      </c>
      <c r="AK28" s="18" t="s">
        <v>77</v>
      </c>
      <c r="AL28" s="18" t="s">
        <v>92</v>
      </c>
      <c r="AM28" s="18" t="s">
        <v>107</v>
      </c>
      <c r="AN28" s="18" t="s">
        <v>120</v>
      </c>
      <c r="AO28" s="18" t="s">
        <v>198</v>
      </c>
      <c r="AP28" s="18"/>
      <c r="AQ28" s="18"/>
      <c r="AR28" s="18">
        <v>2</v>
      </c>
      <c r="AS28" s="18">
        <v>3</v>
      </c>
      <c r="AT28" s="18">
        <v>3</v>
      </c>
      <c r="AU28" s="18">
        <v>3</v>
      </c>
      <c r="AV28" s="18">
        <v>2</v>
      </c>
      <c r="AW28" s="18">
        <v>13</v>
      </c>
      <c r="AX28" s="49">
        <v>5</v>
      </c>
      <c r="AY28" s="49">
        <f>VLOOKUP(AI28,Leyenda!$B$4:$E$10,4,FALSE)</f>
        <v>4</v>
      </c>
      <c r="AZ28" s="50">
        <v>8</v>
      </c>
      <c r="BA28" s="49">
        <v>13</v>
      </c>
      <c r="BB28" s="49">
        <v>15</v>
      </c>
      <c r="BC28" s="67">
        <v>30.5</v>
      </c>
      <c r="BD28" s="67">
        <f>VLOOKUP(AI28,Leyenda!$B$4:$E$10,4,FALSE)</f>
        <v>4</v>
      </c>
      <c r="BE28" s="67">
        <v>9</v>
      </c>
      <c r="BF28" s="67">
        <v>5</v>
      </c>
      <c r="BG28" s="67">
        <v>3</v>
      </c>
      <c r="BH28" s="67">
        <v>3</v>
      </c>
      <c r="BI28" s="67">
        <v>2</v>
      </c>
      <c r="BJ28" s="67">
        <v>3</v>
      </c>
      <c r="BK28" s="67">
        <v>3</v>
      </c>
      <c r="BL28" s="67">
        <v>10</v>
      </c>
      <c r="BM28" s="67">
        <f t="shared" si="0"/>
        <v>42</v>
      </c>
      <c r="BN28" s="18">
        <f t="shared" si="1"/>
        <v>45</v>
      </c>
      <c r="BO28" s="18"/>
      <c r="BP28" s="18"/>
      <c r="EQ28" s="178"/>
      <c r="ES28" s="55"/>
      <c r="ET28" s="178"/>
      <c r="EV28" s="55"/>
    </row>
    <row r="29" spans="1:153" x14ac:dyDescent="0.25">
      <c r="A29" s="18" t="s">
        <v>6</v>
      </c>
      <c r="B29" s="18">
        <v>2024</v>
      </c>
      <c r="C29" s="18" t="s">
        <v>138</v>
      </c>
      <c r="D29" s="18" t="s">
        <v>10</v>
      </c>
      <c r="E29" s="18">
        <v>10</v>
      </c>
      <c r="F29" s="18">
        <v>10</v>
      </c>
      <c r="G29" s="18" t="s">
        <v>135</v>
      </c>
      <c r="H29" s="18" t="s">
        <v>135</v>
      </c>
      <c r="I29" s="18" t="s">
        <v>163</v>
      </c>
      <c r="J29" s="31">
        <v>38.65</v>
      </c>
      <c r="K29" s="31">
        <v>39.15</v>
      </c>
      <c r="L29" s="4">
        <v>0.5</v>
      </c>
      <c r="M29" s="5">
        <v>1</v>
      </c>
      <c r="N29" s="31">
        <v>0.5</v>
      </c>
      <c r="O29" s="31">
        <v>0.5</v>
      </c>
      <c r="P29" s="31">
        <v>500</v>
      </c>
      <c r="Q29" s="31">
        <v>1</v>
      </c>
      <c r="R29" s="31">
        <v>0.49</v>
      </c>
      <c r="S29" s="31">
        <v>0</v>
      </c>
      <c r="T29" s="86">
        <v>0</v>
      </c>
      <c r="U29" s="31">
        <v>15</v>
      </c>
      <c r="V29" s="31"/>
      <c r="W29" s="31">
        <v>15</v>
      </c>
      <c r="X29" s="31">
        <v>32.666666666666664</v>
      </c>
      <c r="Y29" s="18">
        <v>54</v>
      </c>
      <c r="Z29" s="18" t="s">
        <v>96</v>
      </c>
      <c r="AA29" s="18" t="s">
        <v>116</v>
      </c>
      <c r="AB29" s="18" t="s">
        <v>337</v>
      </c>
      <c r="AC29" s="18">
        <v>1</v>
      </c>
      <c r="AD29" s="18">
        <v>500</v>
      </c>
      <c r="AE29" s="18" t="s">
        <v>29</v>
      </c>
      <c r="AF29" s="18" t="s">
        <v>34</v>
      </c>
      <c r="AG29" s="18" t="s">
        <v>34</v>
      </c>
      <c r="AH29" s="18">
        <v>35</v>
      </c>
      <c r="AI29" s="18" t="s">
        <v>27</v>
      </c>
      <c r="AJ29" s="18" t="s">
        <v>69</v>
      </c>
      <c r="AK29" s="18" t="s">
        <v>79</v>
      </c>
      <c r="AL29" s="18" t="s">
        <v>100</v>
      </c>
      <c r="AM29" s="18" t="s">
        <v>109</v>
      </c>
      <c r="AN29" s="18" t="s">
        <v>122</v>
      </c>
      <c r="AO29" s="18" t="s">
        <v>198</v>
      </c>
      <c r="AP29" s="18"/>
      <c r="AQ29" s="18"/>
      <c r="AR29" s="18">
        <v>0</v>
      </c>
      <c r="AS29" s="18">
        <v>1</v>
      </c>
      <c r="AT29" s="18">
        <v>0</v>
      </c>
      <c r="AU29" s="18">
        <v>1</v>
      </c>
      <c r="AV29" s="18">
        <v>0</v>
      </c>
      <c r="AW29" s="18">
        <v>2</v>
      </c>
      <c r="AX29" s="49">
        <v>0</v>
      </c>
      <c r="AY29" s="49">
        <f>VLOOKUP(AI29,Leyenda!$B$4:$E$10,4,FALSE)</f>
        <v>4</v>
      </c>
      <c r="AZ29" s="50">
        <v>5</v>
      </c>
      <c r="BA29" s="49">
        <v>2</v>
      </c>
      <c r="BB29" s="49">
        <v>15</v>
      </c>
      <c r="BC29" s="67">
        <v>3</v>
      </c>
      <c r="BD29" s="67">
        <f>VLOOKUP(AI29,Leyenda!$B$4:$E$10,4,FALSE)</f>
        <v>4</v>
      </c>
      <c r="BE29" s="67">
        <v>5</v>
      </c>
      <c r="BF29" s="67">
        <v>0</v>
      </c>
      <c r="BG29" s="67">
        <v>0</v>
      </c>
      <c r="BH29" s="67">
        <v>1</v>
      </c>
      <c r="BI29" s="67">
        <v>0</v>
      </c>
      <c r="BJ29" s="67">
        <v>1</v>
      </c>
      <c r="BK29" s="67">
        <v>0</v>
      </c>
      <c r="BL29" s="67">
        <v>10</v>
      </c>
      <c r="BM29" s="67">
        <f t="shared" si="0"/>
        <v>21</v>
      </c>
      <c r="BN29" s="18">
        <f t="shared" si="1"/>
        <v>26</v>
      </c>
      <c r="BO29" s="18"/>
      <c r="BP29" s="18"/>
      <c r="EQ29" s="178"/>
      <c r="ES29" s="55"/>
      <c r="ET29" s="178"/>
      <c r="EV29" s="55"/>
    </row>
    <row r="30" spans="1:153" x14ac:dyDescent="0.25">
      <c r="A30" s="18" t="s">
        <v>6</v>
      </c>
      <c r="B30" s="18">
        <v>2024</v>
      </c>
      <c r="C30" s="18" t="s">
        <v>138</v>
      </c>
      <c r="D30" s="18" t="s">
        <v>10</v>
      </c>
      <c r="E30" s="18">
        <v>10</v>
      </c>
      <c r="F30" s="18">
        <v>10</v>
      </c>
      <c r="G30" s="18" t="s">
        <v>135</v>
      </c>
      <c r="H30" s="18" t="s">
        <v>135</v>
      </c>
      <c r="I30" s="18" t="s">
        <v>163</v>
      </c>
      <c r="J30" s="31">
        <v>39.15</v>
      </c>
      <c r="K30" s="31">
        <v>39.75</v>
      </c>
      <c r="L30" s="4">
        <v>0.60000000000000142</v>
      </c>
      <c r="M30" s="5">
        <v>0.81</v>
      </c>
      <c r="N30" s="31">
        <v>0.48600000000000121</v>
      </c>
      <c r="O30" s="31">
        <v>0.48600000000000121</v>
      </c>
      <c r="P30" s="31">
        <v>48.600000000000122</v>
      </c>
      <c r="Q30" s="31">
        <v>10</v>
      </c>
      <c r="R30" s="31">
        <v>0.45</v>
      </c>
      <c r="S30" s="31">
        <v>0.24</v>
      </c>
      <c r="T30" s="86">
        <v>39.999999999999901</v>
      </c>
      <c r="U30" s="31">
        <v>3</v>
      </c>
      <c r="V30" s="31"/>
      <c r="W30" s="31">
        <v>3</v>
      </c>
      <c r="X30" s="31">
        <v>150</v>
      </c>
      <c r="Y30" s="18">
        <v>33</v>
      </c>
      <c r="Z30" s="18" t="s">
        <v>96</v>
      </c>
      <c r="AA30" s="18" t="s">
        <v>120</v>
      </c>
      <c r="AB30" s="18" t="s">
        <v>337</v>
      </c>
      <c r="AC30" s="18">
        <v>10</v>
      </c>
      <c r="AD30" s="18">
        <v>48.600000000000122</v>
      </c>
      <c r="AE30" s="18" t="s">
        <v>27</v>
      </c>
      <c r="AF30" s="18" t="s">
        <v>27</v>
      </c>
      <c r="AG30" s="18" t="s">
        <v>27</v>
      </c>
      <c r="AH30" s="18">
        <v>35</v>
      </c>
      <c r="AI30" s="18" t="s">
        <v>27</v>
      </c>
      <c r="AJ30" s="18" t="s">
        <v>64</v>
      </c>
      <c r="AK30" s="18" t="s">
        <v>79</v>
      </c>
      <c r="AL30" s="18" t="s">
        <v>96</v>
      </c>
      <c r="AM30" s="18" t="s">
        <v>107</v>
      </c>
      <c r="AN30" s="18" t="s">
        <v>118</v>
      </c>
      <c r="AO30" s="18" t="s">
        <v>198</v>
      </c>
      <c r="AP30" s="18" t="s">
        <v>219</v>
      </c>
      <c r="AQ30" s="18"/>
      <c r="AR30" s="18">
        <v>2</v>
      </c>
      <c r="AS30" s="18">
        <v>1</v>
      </c>
      <c r="AT30" s="18">
        <v>1</v>
      </c>
      <c r="AU30" s="18">
        <v>3</v>
      </c>
      <c r="AV30" s="18">
        <v>2</v>
      </c>
      <c r="AW30" s="18">
        <v>9</v>
      </c>
      <c r="AX30" s="49">
        <v>8</v>
      </c>
      <c r="AY30" s="49">
        <f>VLOOKUP(AI30,Leyenda!$B$4:$E$10,4,FALSE)</f>
        <v>4</v>
      </c>
      <c r="AZ30" s="50">
        <v>8</v>
      </c>
      <c r="BA30" s="49">
        <v>9</v>
      </c>
      <c r="BB30" s="49">
        <v>15</v>
      </c>
      <c r="BC30" s="67">
        <v>33.49999999999995</v>
      </c>
      <c r="BD30" s="67">
        <f>VLOOKUP(AI30,Leyenda!$B$4:$E$10,4,FALSE)</f>
        <v>4</v>
      </c>
      <c r="BE30" s="67">
        <v>11</v>
      </c>
      <c r="BF30" s="67">
        <v>8</v>
      </c>
      <c r="BG30" s="67">
        <v>1</v>
      </c>
      <c r="BH30" s="67">
        <v>3</v>
      </c>
      <c r="BI30" s="67">
        <v>2</v>
      </c>
      <c r="BJ30" s="67">
        <v>1</v>
      </c>
      <c r="BK30" s="67">
        <v>3</v>
      </c>
      <c r="BL30" s="67">
        <v>10</v>
      </c>
      <c r="BM30" s="67">
        <f t="shared" si="0"/>
        <v>43</v>
      </c>
      <c r="BN30" s="18">
        <f t="shared" si="1"/>
        <v>44</v>
      </c>
      <c r="BO30" s="18"/>
      <c r="BP30" s="18"/>
      <c r="EQ30" s="178"/>
      <c r="ES30" s="55"/>
      <c r="ET30" s="178"/>
      <c r="EV30" s="55"/>
    </row>
    <row r="31" spans="1:153" x14ac:dyDescent="0.25">
      <c r="A31" s="18" t="s">
        <v>6</v>
      </c>
      <c r="B31" s="18">
        <v>2024</v>
      </c>
      <c r="C31" s="18" t="s">
        <v>138</v>
      </c>
      <c r="D31" s="18" t="s">
        <v>10</v>
      </c>
      <c r="E31" s="18">
        <v>10</v>
      </c>
      <c r="F31" s="18">
        <v>10</v>
      </c>
      <c r="G31" s="18" t="s">
        <v>135</v>
      </c>
      <c r="H31" s="18" t="s">
        <v>135</v>
      </c>
      <c r="I31" s="18" t="s">
        <v>163</v>
      </c>
      <c r="J31" s="31">
        <v>39.75</v>
      </c>
      <c r="K31" s="31">
        <v>40</v>
      </c>
      <c r="L31" s="4">
        <v>0.25</v>
      </c>
      <c r="M31" s="5">
        <v>0.91</v>
      </c>
      <c r="N31" s="31">
        <v>0.22750000000000001</v>
      </c>
      <c r="O31" s="31">
        <v>0.22750000000000001</v>
      </c>
      <c r="P31" s="31">
        <v>22.75</v>
      </c>
      <c r="Q31" s="31">
        <v>10</v>
      </c>
      <c r="R31" s="31">
        <v>0.38</v>
      </c>
      <c r="S31" s="31">
        <v>0.14000000000000001</v>
      </c>
      <c r="T31" s="86">
        <v>56.000000000000007</v>
      </c>
      <c r="U31" s="31">
        <v>3</v>
      </c>
      <c r="V31" s="31"/>
      <c r="W31" s="31">
        <v>3</v>
      </c>
      <c r="X31" s="31">
        <v>126.66666666666667</v>
      </c>
      <c r="Y31" s="18">
        <v>52</v>
      </c>
      <c r="Z31" s="18" t="s">
        <v>96</v>
      </c>
      <c r="AA31" s="18" t="s">
        <v>120</v>
      </c>
      <c r="AB31" s="18" t="s">
        <v>337</v>
      </c>
      <c r="AC31" s="18">
        <v>10</v>
      </c>
      <c r="AD31" s="18">
        <v>22.75</v>
      </c>
      <c r="AE31" s="18" t="s">
        <v>27</v>
      </c>
      <c r="AF31" s="18" t="s">
        <v>27</v>
      </c>
      <c r="AG31" s="18" t="s">
        <v>27</v>
      </c>
      <c r="AH31" s="18">
        <v>35</v>
      </c>
      <c r="AI31" s="18" t="s">
        <v>27</v>
      </c>
      <c r="AJ31" s="18" t="s">
        <v>64</v>
      </c>
      <c r="AK31" s="18" t="s">
        <v>77</v>
      </c>
      <c r="AL31" s="18" t="s">
        <v>92</v>
      </c>
      <c r="AM31" s="18" t="s">
        <v>107</v>
      </c>
      <c r="AN31" s="18" t="s">
        <v>118</v>
      </c>
      <c r="AO31" s="18" t="s">
        <v>198</v>
      </c>
      <c r="AP31" s="18" t="s">
        <v>218</v>
      </c>
      <c r="AQ31" s="18"/>
      <c r="AR31" s="18">
        <v>2</v>
      </c>
      <c r="AS31" s="18">
        <v>3</v>
      </c>
      <c r="AT31" s="18">
        <v>3</v>
      </c>
      <c r="AU31" s="18">
        <v>3</v>
      </c>
      <c r="AV31" s="18">
        <v>2</v>
      </c>
      <c r="AW31" s="18">
        <v>13</v>
      </c>
      <c r="AX31" s="49">
        <v>12</v>
      </c>
      <c r="AY31" s="49">
        <f>VLOOKUP(AI31,Leyenda!$B$4:$E$10,4,FALSE)</f>
        <v>4</v>
      </c>
      <c r="AZ31" s="50">
        <v>8</v>
      </c>
      <c r="BA31" s="49">
        <v>13</v>
      </c>
      <c r="BB31" s="49">
        <v>15</v>
      </c>
      <c r="BC31" s="67">
        <v>47.5</v>
      </c>
      <c r="BD31" s="67">
        <f>VLOOKUP(AI31,Leyenda!$B$4:$E$10,4,FALSE)</f>
        <v>4</v>
      </c>
      <c r="BE31" s="67">
        <v>10</v>
      </c>
      <c r="BF31" s="67">
        <v>12</v>
      </c>
      <c r="BG31" s="67">
        <v>3</v>
      </c>
      <c r="BH31" s="67">
        <v>3</v>
      </c>
      <c r="BI31" s="67">
        <v>2</v>
      </c>
      <c r="BJ31" s="67">
        <v>3</v>
      </c>
      <c r="BK31" s="67">
        <v>3</v>
      </c>
      <c r="BL31" s="67">
        <v>10</v>
      </c>
      <c r="BM31" s="67">
        <f t="shared" si="0"/>
        <v>50</v>
      </c>
      <c r="BN31" s="18">
        <f t="shared" si="1"/>
        <v>52</v>
      </c>
      <c r="BO31" s="18"/>
      <c r="BP31" s="18"/>
      <c r="EQ31" s="178"/>
      <c r="ES31" s="55"/>
      <c r="ET31" s="178"/>
      <c r="EV31" s="55"/>
    </row>
    <row r="32" spans="1:153" x14ac:dyDescent="0.25">
      <c r="A32" s="18" t="s">
        <v>6</v>
      </c>
      <c r="B32" s="18">
        <v>2024</v>
      </c>
      <c r="C32" s="18" t="s">
        <v>138</v>
      </c>
      <c r="D32" s="18" t="s">
        <v>10</v>
      </c>
      <c r="E32" s="18">
        <v>10</v>
      </c>
      <c r="F32" s="18">
        <v>10</v>
      </c>
      <c r="G32" s="18" t="s">
        <v>135</v>
      </c>
      <c r="H32" s="18" t="s">
        <v>135</v>
      </c>
      <c r="I32" s="18" t="s">
        <v>163</v>
      </c>
      <c r="J32" s="31">
        <v>40</v>
      </c>
      <c r="K32" s="31">
        <v>40.450000000000003</v>
      </c>
      <c r="L32" s="4">
        <v>0.45000000000000284</v>
      </c>
      <c r="M32" s="5">
        <v>0.91</v>
      </c>
      <c r="N32" s="31">
        <v>0.40950000000000258</v>
      </c>
      <c r="O32" s="31">
        <v>0.40950000000000258</v>
      </c>
      <c r="P32" s="31">
        <v>40.950000000000259</v>
      </c>
      <c r="Q32" s="31">
        <v>10</v>
      </c>
      <c r="R32" s="31">
        <v>0.23</v>
      </c>
      <c r="S32" s="31">
        <v>0</v>
      </c>
      <c r="T32" s="86">
        <v>0</v>
      </c>
      <c r="U32" s="31">
        <v>5</v>
      </c>
      <c r="V32" s="31"/>
      <c r="W32" s="31">
        <v>5</v>
      </c>
      <c r="X32" s="31">
        <v>46</v>
      </c>
      <c r="Y32" s="18">
        <v>52</v>
      </c>
      <c r="Z32" s="18" t="s">
        <v>96</v>
      </c>
      <c r="AA32" s="18" t="s">
        <v>120</v>
      </c>
      <c r="AB32" s="18" t="s">
        <v>337</v>
      </c>
      <c r="AC32" s="18">
        <v>10</v>
      </c>
      <c r="AD32" s="18">
        <v>40.950000000000259</v>
      </c>
      <c r="AE32" s="18" t="s">
        <v>27</v>
      </c>
      <c r="AF32" s="18" t="s">
        <v>27</v>
      </c>
      <c r="AG32" s="18" t="s">
        <v>27</v>
      </c>
      <c r="AH32" s="18">
        <v>35</v>
      </c>
      <c r="AI32" s="18" t="s">
        <v>27</v>
      </c>
      <c r="AJ32" s="18" t="s">
        <v>64</v>
      </c>
      <c r="AK32" s="18" t="s">
        <v>77</v>
      </c>
      <c r="AL32" s="18" t="s">
        <v>92</v>
      </c>
      <c r="AM32" s="18" t="s">
        <v>107</v>
      </c>
      <c r="AN32" s="18" t="s">
        <v>116</v>
      </c>
      <c r="AO32" s="18" t="s">
        <v>198</v>
      </c>
      <c r="AP32" s="18"/>
      <c r="AQ32" s="18"/>
      <c r="AR32" s="18">
        <v>2</v>
      </c>
      <c r="AS32" s="18">
        <v>3</v>
      </c>
      <c r="AT32" s="18">
        <v>3</v>
      </c>
      <c r="AU32" s="18">
        <v>3</v>
      </c>
      <c r="AV32" s="18">
        <v>4</v>
      </c>
      <c r="AW32" s="18">
        <v>15</v>
      </c>
      <c r="AX32" s="49">
        <v>0</v>
      </c>
      <c r="AY32" s="49">
        <f>VLOOKUP(AI32,Leyenda!$B$4:$E$10,4,FALSE)</f>
        <v>4</v>
      </c>
      <c r="AZ32" s="50">
        <v>6</v>
      </c>
      <c r="BA32" s="49">
        <v>15</v>
      </c>
      <c r="BB32" s="49">
        <v>15</v>
      </c>
      <c r="BC32" s="67">
        <v>22.5</v>
      </c>
      <c r="BD32" s="67">
        <f>VLOOKUP(AI32,Leyenda!$B$4:$E$10,4,FALSE)</f>
        <v>4</v>
      </c>
      <c r="BE32" s="67">
        <v>5</v>
      </c>
      <c r="BF32" s="67">
        <v>0</v>
      </c>
      <c r="BG32" s="67">
        <v>3</v>
      </c>
      <c r="BH32" s="67">
        <v>3</v>
      </c>
      <c r="BI32" s="67">
        <v>4</v>
      </c>
      <c r="BJ32" s="67">
        <v>3</v>
      </c>
      <c r="BK32" s="67">
        <v>3</v>
      </c>
      <c r="BL32" s="67">
        <v>10</v>
      </c>
      <c r="BM32" s="67">
        <f t="shared" si="0"/>
        <v>35</v>
      </c>
      <c r="BN32" s="18">
        <f t="shared" si="1"/>
        <v>40</v>
      </c>
      <c r="BO32" s="18"/>
      <c r="BP32" s="18"/>
      <c r="EQ32" s="178"/>
      <c r="ES32" s="55"/>
      <c r="ET32" s="178"/>
      <c r="EV32" s="55"/>
    </row>
    <row r="33" spans="1:152" x14ac:dyDescent="0.25">
      <c r="A33" s="18" t="s">
        <v>6</v>
      </c>
      <c r="B33" s="18">
        <v>2024</v>
      </c>
      <c r="C33" s="18" t="s">
        <v>138</v>
      </c>
      <c r="D33" s="18" t="s">
        <v>10</v>
      </c>
      <c r="E33" s="18">
        <v>10</v>
      </c>
      <c r="F33" s="18">
        <v>10</v>
      </c>
      <c r="G33" s="18" t="s">
        <v>135</v>
      </c>
      <c r="H33" s="18" t="s">
        <v>135</v>
      </c>
      <c r="I33" s="18" t="s">
        <v>163</v>
      </c>
      <c r="J33" s="31">
        <v>40.450000000000003</v>
      </c>
      <c r="K33" s="31">
        <v>41.25</v>
      </c>
      <c r="L33" s="4">
        <v>0.79999999999999716</v>
      </c>
      <c r="M33" s="5">
        <v>1</v>
      </c>
      <c r="N33" s="31">
        <v>0.79999999999999716</v>
      </c>
      <c r="O33" s="31">
        <v>0.79999999999999716</v>
      </c>
      <c r="P33" s="31">
        <v>159.99999999999943</v>
      </c>
      <c r="Q33" s="31">
        <v>5</v>
      </c>
      <c r="R33" s="31">
        <v>0.76</v>
      </c>
      <c r="S33" s="31">
        <v>0.38</v>
      </c>
      <c r="T33" s="86">
        <v>47.500000000000171</v>
      </c>
      <c r="U33" s="31">
        <v>6</v>
      </c>
      <c r="V33" s="31"/>
      <c r="W33" s="31">
        <v>6</v>
      </c>
      <c r="X33" s="31">
        <v>126.66666666666667</v>
      </c>
      <c r="Y33" s="18">
        <v>20</v>
      </c>
      <c r="Z33" s="18" t="s">
        <v>96</v>
      </c>
      <c r="AA33" s="18" t="s">
        <v>118</v>
      </c>
      <c r="AB33" s="18" t="s">
        <v>337</v>
      </c>
      <c r="AC33" s="18">
        <v>5</v>
      </c>
      <c r="AD33" s="18">
        <v>159.99999999999943</v>
      </c>
      <c r="AE33" s="18" t="s">
        <v>27</v>
      </c>
      <c r="AF33" s="18" t="s">
        <v>27</v>
      </c>
      <c r="AG33" s="18" t="s">
        <v>27</v>
      </c>
      <c r="AH33" s="18">
        <v>35</v>
      </c>
      <c r="AI33" s="18" t="s">
        <v>27</v>
      </c>
      <c r="AJ33" s="18" t="s">
        <v>64</v>
      </c>
      <c r="AK33" s="18" t="s">
        <v>79</v>
      </c>
      <c r="AL33" s="18" t="s">
        <v>92</v>
      </c>
      <c r="AM33" s="18" t="s">
        <v>109</v>
      </c>
      <c r="AN33" s="18" t="s">
        <v>120</v>
      </c>
      <c r="AO33" s="18" t="s">
        <v>198</v>
      </c>
      <c r="AP33" s="18" t="s">
        <v>219</v>
      </c>
      <c r="AQ33" s="18"/>
      <c r="AR33" s="18">
        <v>2</v>
      </c>
      <c r="AS33" s="18">
        <v>1</v>
      </c>
      <c r="AT33" s="18">
        <v>3</v>
      </c>
      <c r="AU33" s="18">
        <v>1</v>
      </c>
      <c r="AV33" s="18">
        <v>2</v>
      </c>
      <c r="AW33" s="18">
        <v>9</v>
      </c>
      <c r="AX33" s="49">
        <v>10</v>
      </c>
      <c r="AY33" s="49">
        <f>VLOOKUP(AI33,Leyenda!$B$4:$E$10,4,FALSE)</f>
        <v>4</v>
      </c>
      <c r="AZ33" s="50">
        <v>8</v>
      </c>
      <c r="BA33" s="49">
        <v>9</v>
      </c>
      <c r="BB33" s="49">
        <v>15</v>
      </c>
      <c r="BC33" s="67">
        <v>37.250000000000085</v>
      </c>
      <c r="BD33" s="67">
        <f>VLOOKUP(AI33,Leyenda!$B$4:$E$10,4,FALSE)</f>
        <v>4</v>
      </c>
      <c r="BE33" s="67">
        <v>10</v>
      </c>
      <c r="BF33" s="67">
        <v>10</v>
      </c>
      <c r="BG33" s="67">
        <v>3</v>
      </c>
      <c r="BH33" s="67">
        <v>1</v>
      </c>
      <c r="BI33" s="67">
        <v>2</v>
      </c>
      <c r="BJ33" s="67">
        <v>1</v>
      </c>
      <c r="BK33" s="67">
        <v>3</v>
      </c>
      <c r="BL33" s="67">
        <v>10</v>
      </c>
      <c r="BM33" s="67">
        <f t="shared" si="0"/>
        <v>44</v>
      </c>
      <c r="BN33" s="18">
        <f t="shared" si="1"/>
        <v>46</v>
      </c>
      <c r="BO33" s="18"/>
      <c r="BP33" s="18"/>
      <c r="BX33">
        <f>9418.02-600</f>
        <v>8818.02</v>
      </c>
      <c r="EQ33" s="178"/>
      <c r="ES33" s="55"/>
      <c r="ET33" s="178"/>
      <c r="EV33" s="55"/>
    </row>
    <row r="34" spans="1:152" x14ac:dyDescent="0.25">
      <c r="A34" s="18" t="s">
        <v>6</v>
      </c>
      <c r="B34" s="18">
        <v>2024</v>
      </c>
      <c r="C34" s="18" t="s">
        <v>138</v>
      </c>
      <c r="D34" s="18" t="s">
        <v>10</v>
      </c>
      <c r="E34" s="18">
        <v>10</v>
      </c>
      <c r="F34" s="18">
        <v>10</v>
      </c>
      <c r="G34" s="18" t="s">
        <v>135</v>
      </c>
      <c r="H34" s="18" t="s">
        <v>135</v>
      </c>
      <c r="I34" s="18" t="s">
        <v>163</v>
      </c>
      <c r="J34" s="31">
        <v>41.25</v>
      </c>
      <c r="K34" s="31">
        <v>41.85</v>
      </c>
      <c r="L34" s="4">
        <v>0.60000000000000142</v>
      </c>
      <c r="M34" s="5">
        <v>1</v>
      </c>
      <c r="N34" s="31">
        <v>0.60000000000000142</v>
      </c>
      <c r="O34" s="31">
        <v>0.60000000000000142</v>
      </c>
      <c r="P34" s="31">
        <v>600.00000000000136</v>
      </c>
      <c r="Q34" s="31">
        <v>1</v>
      </c>
      <c r="R34" s="31">
        <v>0.47</v>
      </c>
      <c r="S34" s="31">
        <v>0.19</v>
      </c>
      <c r="T34" s="86">
        <v>31.666666666666593</v>
      </c>
      <c r="U34" s="31">
        <v>3</v>
      </c>
      <c r="V34" s="31"/>
      <c r="W34" s="31">
        <v>3</v>
      </c>
      <c r="X34" s="31">
        <v>156.66666666666666</v>
      </c>
      <c r="Y34" s="18">
        <v>32</v>
      </c>
      <c r="Z34" s="18" t="s">
        <v>96</v>
      </c>
      <c r="AA34" s="18" t="s">
        <v>116</v>
      </c>
      <c r="AB34" s="18" t="s">
        <v>337</v>
      </c>
      <c r="AC34" s="18">
        <v>1</v>
      </c>
      <c r="AD34" s="18">
        <v>600.00000000000136</v>
      </c>
      <c r="AE34" s="18" t="s">
        <v>29</v>
      </c>
      <c r="AF34" s="18" t="s">
        <v>29</v>
      </c>
      <c r="AG34" s="18" t="s">
        <v>29</v>
      </c>
      <c r="AH34" s="18">
        <v>35</v>
      </c>
      <c r="AI34" s="18" t="s">
        <v>27</v>
      </c>
      <c r="AJ34" s="18" t="s">
        <v>64</v>
      </c>
      <c r="AK34" s="18" t="s">
        <v>77</v>
      </c>
      <c r="AL34" s="18" t="s">
        <v>92</v>
      </c>
      <c r="AM34" s="18" t="s">
        <v>107</v>
      </c>
      <c r="AN34" s="18" t="s">
        <v>118</v>
      </c>
      <c r="AO34" s="18" t="s">
        <v>198</v>
      </c>
      <c r="AP34" s="18"/>
      <c r="AQ34" s="18"/>
      <c r="AR34" s="18">
        <v>2</v>
      </c>
      <c r="AS34" s="18">
        <v>3</v>
      </c>
      <c r="AT34" s="18">
        <v>3</v>
      </c>
      <c r="AU34" s="18">
        <v>3</v>
      </c>
      <c r="AV34" s="18">
        <v>2</v>
      </c>
      <c r="AW34" s="18">
        <v>13</v>
      </c>
      <c r="AX34" s="49">
        <v>7</v>
      </c>
      <c r="AY34" s="49">
        <f>VLOOKUP(AI34,Leyenda!$B$4:$E$10,4,FALSE)</f>
        <v>4</v>
      </c>
      <c r="AZ34" s="50">
        <v>8</v>
      </c>
      <c r="BA34" s="49">
        <v>13</v>
      </c>
      <c r="BB34" s="49">
        <v>15</v>
      </c>
      <c r="BC34" s="67">
        <v>35.3333333333333</v>
      </c>
      <c r="BD34" s="67">
        <f>VLOOKUP(AI34,Leyenda!$B$4:$E$10,4,FALSE)</f>
        <v>4</v>
      </c>
      <c r="BE34" s="67">
        <v>11</v>
      </c>
      <c r="BF34" s="67">
        <v>7</v>
      </c>
      <c r="BG34" s="67">
        <v>3</v>
      </c>
      <c r="BH34" s="67">
        <v>3</v>
      </c>
      <c r="BI34" s="67">
        <v>2</v>
      </c>
      <c r="BJ34" s="67">
        <v>3</v>
      </c>
      <c r="BK34" s="67">
        <v>3</v>
      </c>
      <c r="BL34" s="67">
        <v>10</v>
      </c>
      <c r="BM34" s="67">
        <f t="shared" si="0"/>
        <v>46</v>
      </c>
      <c r="BN34" s="18">
        <f t="shared" si="1"/>
        <v>47</v>
      </c>
      <c r="BO34" s="18"/>
      <c r="BP34" s="18"/>
      <c r="EQ34" s="178"/>
      <c r="ES34" s="55"/>
      <c r="ET34" s="178"/>
      <c r="EV34" s="55"/>
    </row>
    <row r="35" spans="1:152" x14ac:dyDescent="0.25">
      <c r="A35" s="18" t="s">
        <v>6</v>
      </c>
      <c r="B35" s="18">
        <v>2024</v>
      </c>
      <c r="C35" s="18" t="s">
        <v>138</v>
      </c>
      <c r="D35" s="18" t="s">
        <v>10</v>
      </c>
      <c r="E35" s="18">
        <v>10</v>
      </c>
      <c r="F35" s="18">
        <v>10</v>
      </c>
      <c r="G35" s="18" t="s">
        <v>135</v>
      </c>
      <c r="H35" s="18" t="s">
        <v>135</v>
      </c>
      <c r="I35" s="18" t="s">
        <v>163</v>
      </c>
      <c r="J35" s="31">
        <v>41.85</v>
      </c>
      <c r="K35" s="31">
        <v>42.35</v>
      </c>
      <c r="L35" s="4">
        <v>0.5</v>
      </c>
      <c r="M35" s="5">
        <v>1</v>
      </c>
      <c r="N35" s="31">
        <v>0.5</v>
      </c>
      <c r="O35" s="31">
        <v>0.5</v>
      </c>
      <c r="P35" s="31">
        <v>500</v>
      </c>
      <c r="Q35" s="31">
        <v>1</v>
      </c>
      <c r="R35" s="31">
        <v>0.43</v>
      </c>
      <c r="S35" s="31">
        <v>0.15</v>
      </c>
      <c r="T35" s="86">
        <v>30</v>
      </c>
      <c r="U35" s="31">
        <v>5</v>
      </c>
      <c r="V35" s="31"/>
      <c r="W35" s="31">
        <v>5</v>
      </c>
      <c r="X35" s="31">
        <v>86</v>
      </c>
      <c r="Y35" s="18">
        <v>28</v>
      </c>
      <c r="Z35" s="18" t="s">
        <v>96</v>
      </c>
      <c r="AA35" s="18" t="s">
        <v>116</v>
      </c>
      <c r="AB35" s="18" t="s">
        <v>337</v>
      </c>
      <c r="AC35" s="18">
        <v>1</v>
      </c>
      <c r="AD35" s="18">
        <v>500</v>
      </c>
      <c r="AE35" s="18" t="s">
        <v>29</v>
      </c>
      <c r="AF35" s="18" t="s">
        <v>29</v>
      </c>
      <c r="AG35" s="18" t="s">
        <v>29</v>
      </c>
      <c r="AH35" s="18">
        <v>35</v>
      </c>
      <c r="AI35" s="18" t="s">
        <v>27</v>
      </c>
      <c r="AJ35" s="18" t="s">
        <v>64</v>
      </c>
      <c r="AK35" s="18" t="s">
        <v>79</v>
      </c>
      <c r="AL35" s="18" t="s">
        <v>92</v>
      </c>
      <c r="AM35" s="18" t="s">
        <v>109</v>
      </c>
      <c r="AN35" s="18" t="s">
        <v>118</v>
      </c>
      <c r="AO35" s="18" t="s">
        <v>198</v>
      </c>
      <c r="AP35" s="18"/>
      <c r="AQ35" s="18"/>
      <c r="AR35" s="18">
        <v>2</v>
      </c>
      <c r="AS35" s="18">
        <v>1</v>
      </c>
      <c r="AT35" s="18">
        <v>3</v>
      </c>
      <c r="AU35" s="18">
        <v>1</v>
      </c>
      <c r="AV35" s="18">
        <v>2</v>
      </c>
      <c r="AW35" s="18">
        <v>9</v>
      </c>
      <c r="AX35" s="49">
        <v>6</v>
      </c>
      <c r="AY35" s="49">
        <f>VLOOKUP(AI35,Leyenda!$B$4:$E$10,4,FALSE)</f>
        <v>4</v>
      </c>
      <c r="AZ35" s="50">
        <v>7</v>
      </c>
      <c r="BA35" s="49">
        <v>9</v>
      </c>
      <c r="BB35" s="49">
        <v>15</v>
      </c>
      <c r="BC35" s="67">
        <v>28.5</v>
      </c>
      <c r="BD35" s="67">
        <f>VLOOKUP(AI35,Leyenda!$B$4:$E$10,4,FALSE)</f>
        <v>4</v>
      </c>
      <c r="BE35" s="67">
        <v>7</v>
      </c>
      <c r="BF35" s="67">
        <v>6</v>
      </c>
      <c r="BG35" s="67">
        <v>3</v>
      </c>
      <c r="BH35" s="67">
        <v>1</v>
      </c>
      <c r="BI35" s="67">
        <v>2</v>
      </c>
      <c r="BJ35" s="67">
        <v>1</v>
      </c>
      <c r="BK35" s="67">
        <v>3</v>
      </c>
      <c r="BL35" s="67">
        <v>10</v>
      </c>
      <c r="BM35" s="67">
        <f t="shared" si="0"/>
        <v>37</v>
      </c>
      <c r="BN35" s="18">
        <f t="shared" si="1"/>
        <v>41</v>
      </c>
      <c r="BO35" s="18"/>
      <c r="BP35" s="18"/>
      <c r="EQ35" s="178"/>
      <c r="ES35" s="55"/>
      <c r="ET35" s="178"/>
      <c r="EV35" s="55"/>
    </row>
    <row r="36" spans="1:152" x14ac:dyDescent="0.25">
      <c r="A36" s="18" t="s">
        <v>6</v>
      </c>
      <c r="B36" s="18">
        <v>2024</v>
      </c>
      <c r="C36" s="18" t="s">
        <v>138</v>
      </c>
      <c r="D36" s="18" t="s">
        <v>10</v>
      </c>
      <c r="E36" s="18">
        <v>10</v>
      </c>
      <c r="F36" s="18">
        <v>10</v>
      </c>
      <c r="G36" s="18" t="s">
        <v>135</v>
      </c>
      <c r="H36" s="18" t="s">
        <v>135</v>
      </c>
      <c r="I36" s="18" t="s">
        <v>163</v>
      </c>
      <c r="J36" s="31">
        <v>42.35</v>
      </c>
      <c r="K36" s="31">
        <v>43.05</v>
      </c>
      <c r="L36" s="4">
        <v>0.69999999999999574</v>
      </c>
      <c r="M36" s="5">
        <v>1</v>
      </c>
      <c r="N36" s="31">
        <v>0.69999999999999574</v>
      </c>
      <c r="O36" s="31">
        <v>0.69999999999999574</v>
      </c>
      <c r="P36" s="31">
        <v>139.99999999999915</v>
      </c>
      <c r="Q36" s="31">
        <v>5</v>
      </c>
      <c r="R36" s="31">
        <v>0.5</v>
      </c>
      <c r="S36" s="31">
        <v>0.15</v>
      </c>
      <c r="T36" s="86">
        <v>21.428571428571558</v>
      </c>
      <c r="U36" s="31">
        <v>4</v>
      </c>
      <c r="V36" s="31"/>
      <c r="W36" s="31">
        <v>4</v>
      </c>
      <c r="X36" s="31">
        <v>125</v>
      </c>
      <c r="Y36" s="18">
        <v>0</v>
      </c>
      <c r="Z36" s="18" t="s">
        <v>96</v>
      </c>
      <c r="AA36" s="18" t="s">
        <v>118</v>
      </c>
      <c r="AB36" s="18" t="s">
        <v>337</v>
      </c>
      <c r="AC36" s="18">
        <v>5</v>
      </c>
      <c r="AD36" s="18">
        <v>139.99999999999915</v>
      </c>
      <c r="AE36" s="18" t="s">
        <v>29</v>
      </c>
      <c r="AF36" s="18" t="s">
        <v>29</v>
      </c>
      <c r="AG36" s="18" t="s">
        <v>29</v>
      </c>
      <c r="AH36" s="18">
        <v>35</v>
      </c>
      <c r="AI36" s="18" t="s">
        <v>27</v>
      </c>
      <c r="AJ36" s="18" t="s">
        <v>64</v>
      </c>
      <c r="AK36" s="18" t="s">
        <v>77</v>
      </c>
      <c r="AL36" s="18" t="s">
        <v>92</v>
      </c>
      <c r="AM36" s="18" t="s">
        <v>107</v>
      </c>
      <c r="AN36" s="18" t="s">
        <v>118</v>
      </c>
      <c r="AO36" s="18" t="s">
        <v>198</v>
      </c>
      <c r="AP36" s="18" t="s">
        <v>220</v>
      </c>
      <c r="AQ36" s="18"/>
      <c r="AR36" s="18">
        <v>2</v>
      </c>
      <c r="AS36" s="18">
        <v>3</v>
      </c>
      <c r="AT36" s="18">
        <v>3</v>
      </c>
      <c r="AU36" s="18">
        <v>3</v>
      </c>
      <c r="AV36" s="18">
        <v>2</v>
      </c>
      <c r="AW36" s="18">
        <v>13</v>
      </c>
      <c r="AX36" s="49">
        <v>5</v>
      </c>
      <c r="AY36" s="49">
        <f>VLOOKUP(AI36,Leyenda!$B$4:$E$10,4,FALSE)</f>
        <v>4</v>
      </c>
      <c r="AZ36" s="50">
        <v>8</v>
      </c>
      <c r="BA36" s="49">
        <v>13</v>
      </c>
      <c r="BB36" s="49">
        <v>15</v>
      </c>
      <c r="BC36" s="67">
        <v>30.214285714285779</v>
      </c>
      <c r="BD36" s="67">
        <f>VLOOKUP(AI36,Leyenda!$B$4:$E$10,4,FALSE)</f>
        <v>4</v>
      </c>
      <c r="BE36" s="67">
        <v>10</v>
      </c>
      <c r="BF36" s="67">
        <v>5</v>
      </c>
      <c r="BG36" s="67">
        <v>3</v>
      </c>
      <c r="BH36" s="67">
        <v>3</v>
      </c>
      <c r="BI36" s="67">
        <v>2</v>
      </c>
      <c r="BJ36" s="67">
        <v>3</v>
      </c>
      <c r="BK36" s="67">
        <v>3</v>
      </c>
      <c r="BL36" s="67">
        <v>10</v>
      </c>
      <c r="BM36" s="67">
        <f t="shared" si="0"/>
        <v>43</v>
      </c>
      <c r="BN36" s="18">
        <f t="shared" si="1"/>
        <v>45</v>
      </c>
      <c r="BO36" s="18"/>
      <c r="BP36" s="18"/>
      <c r="BT36" s="167"/>
      <c r="BU36" s="167"/>
      <c r="BV36" s="167"/>
      <c r="BW36" s="167"/>
      <c r="EQ36" s="178"/>
      <c r="ES36" s="55"/>
      <c r="ET36" s="178"/>
      <c r="EV36" s="55"/>
    </row>
    <row r="37" spans="1:152" ht="15.75" thickBot="1" x14ac:dyDescent="0.3">
      <c r="A37" s="18" t="s">
        <v>6</v>
      </c>
      <c r="B37" s="18">
        <v>2024</v>
      </c>
      <c r="C37" s="18" t="s">
        <v>138</v>
      </c>
      <c r="D37" s="18" t="s">
        <v>10</v>
      </c>
      <c r="E37" s="18">
        <v>10</v>
      </c>
      <c r="F37" s="18">
        <v>10</v>
      </c>
      <c r="G37" s="18" t="s">
        <v>135</v>
      </c>
      <c r="H37" s="18" t="s">
        <v>135</v>
      </c>
      <c r="I37" s="18" t="s">
        <v>163</v>
      </c>
      <c r="J37" s="31">
        <v>43.05</v>
      </c>
      <c r="K37" s="31">
        <v>43.55</v>
      </c>
      <c r="L37" s="4">
        <v>0.5</v>
      </c>
      <c r="M37" s="5">
        <v>0.56000000000000005</v>
      </c>
      <c r="N37" s="31">
        <v>0.28000000000000003</v>
      </c>
      <c r="O37" s="31">
        <v>0.28000000000000003</v>
      </c>
      <c r="P37" s="31">
        <v>14</v>
      </c>
      <c r="Q37" s="31">
        <v>20</v>
      </c>
      <c r="R37" s="31">
        <v>0.25</v>
      </c>
      <c r="S37" s="31">
        <v>0</v>
      </c>
      <c r="T37" s="86">
        <v>0</v>
      </c>
      <c r="U37" s="31">
        <v>6</v>
      </c>
      <c r="V37" s="31"/>
      <c r="W37" s="31">
        <v>6</v>
      </c>
      <c r="X37" s="31">
        <v>41.666666666666664</v>
      </c>
      <c r="Y37" s="18">
        <v>0</v>
      </c>
      <c r="Z37" s="18" t="s">
        <v>96</v>
      </c>
      <c r="AA37" s="18" t="s">
        <v>333</v>
      </c>
      <c r="AB37" s="18" t="s">
        <v>337</v>
      </c>
      <c r="AC37" s="18">
        <v>20</v>
      </c>
      <c r="AD37" s="18">
        <v>14</v>
      </c>
      <c r="AE37" s="18" t="s">
        <v>29</v>
      </c>
      <c r="AF37" s="18" t="s">
        <v>29</v>
      </c>
      <c r="AG37" s="18" t="s">
        <v>29</v>
      </c>
      <c r="AH37" s="18">
        <v>35</v>
      </c>
      <c r="AI37" s="18" t="s">
        <v>27</v>
      </c>
      <c r="AJ37" s="18" t="s">
        <v>64</v>
      </c>
      <c r="AK37" s="18" t="s">
        <v>77</v>
      </c>
      <c r="AL37" s="18" t="s">
        <v>92</v>
      </c>
      <c r="AM37" s="18" t="s">
        <v>109</v>
      </c>
      <c r="AN37" s="18" t="s">
        <v>118</v>
      </c>
      <c r="AO37" s="18" t="s">
        <v>198</v>
      </c>
      <c r="AP37" s="18"/>
      <c r="AQ37" s="18"/>
      <c r="AR37" s="18">
        <v>2</v>
      </c>
      <c r="AS37" s="18">
        <v>3</v>
      </c>
      <c r="AT37" s="18">
        <v>3</v>
      </c>
      <c r="AU37" s="18">
        <v>1</v>
      </c>
      <c r="AV37" s="18">
        <v>2</v>
      </c>
      <c r="AW37" s="18">
        <v>11</v>
      </c>
      <c r="AX37" s="49">
        <v>0</v>
      </c>
      <c r="AY37" s="49">
        <f>VLOOKUP(AI37,Leyenda!$B$4:$E$10,4,FALSE)</f>
        <v>4</v>
      </c>
      <c r="AZ37" s="50">
        <v>5</v>
      </c>
      <c r="BA37" s="49">
        <v>11</v>
      </c>
      <c r="BB37" s="49">
        <v>15</v>
      </c>
      <c r="BC37" s="67">
        <v>16.5</v>
      </c>
      <c r="BD37" s="67">
        <f>VLOOKUP(AI37,Leyenda!$B$4:$E$10,4,FALSE)</f>
        <v>4</v>
      </c>
      <c r="BE37" s="67">
        <v>5</v>
      </c>
      <c r="BF37" s="67">
        <v>0</v>
      </c>
      <c r="BG37" s="67">
        <v>3</v>
      </c>
      <c r="BH37" s="67">
        <v>1</v>
      </c>
      <c r="BI37" s="67">
        <v>2</v>
      </c>
      <c r="BJ37" s="67">
        <v>3</v>
      </c>
      <c r="BK37" s="67">
        <v>3</v>
      </c>
      <c r="BL37" s="67">
        <v>10</v>
      </c>
      <c r="BM37" s="67">
        <f t="shared" si="0"/>
        <v>31</v>
      </c>
      <c r="BN37" s="18">
        <f t="shared" si="1"/>
        <v>35</v>
      </c>
      <c r="BO37" s="18"/>
      <c r="BP37" s="18"/>
      <c r="BT37" s="167"/>
      <c r="BU37" s="167"/>
      <c r="BV37" s="167"/>
      <c r="BW37" s="167"/>
      <c r="EQ37" s="178"/>
      <c r="ES37" s="55"/>
      <c r="ET37" s="178"/>
      <c r="EV37" s="55"/>
    </row>
    <row r="38" spans="1:152" x14ac:dyDescent="0.25">
      <c r="A38" s="18" t="s">
        <v>6</v>
      </c>
      <c r="B38" s="18">
        <v>2024</v>
      </c>
      <c r="C38" s="18" t="s">
        <v>138</v>
      </c>
      <c r="D38" s="18" t="s">
        <v>10</v>
      </c>
      <c r="E38" s="18">
        <v>10</v>
      </c>
      <c r="F38" s="18">
        <v>10</v>
      </c>
      <c r="G38" s="18" t="s">
        <v>135</v>
      </c>
      <c r="H38" s="18" t="s">
        <v>135</v>
      </c>
      <c r="I38" s="18" t="s">
        <v>163</v>
      </c>
      <c r="J38" s="31">
        <v>43.55</v>
      </c>
      <c r="K38" s="31">
        <v>44.05</v>
      </c>
      <c r="L38" s="4">
        <v>0.5</v>
      </c>
      <c r="M38" s="5">
        <v>0.82</v>
      </c>
      <c r="N38" s="31">
        <v>0.41</v>
      </c>
      <c r="O38" s="31">
        <v>0.41</v>
      </c>
      <c r="P38" s="31">
        <v>20.5</v>
      </c>
      <c r="Q38" s="31">
        <v>20</v>
      </c>
      <c r="R38" s="31">
        <v>0.22</v>
      </c>
      <c r="S38" s="31">
        <v>0</v>
      </c>
      <c r="T38" s="86">
        <v>0</v>
      </c>
      <c r="U38" s="31">
        <v>4</v>
      </c>
      <c r="V38" s="31"/>
      <c r="W38" s="31">
        <v>4</v>
      </c>
      <c r="X38" s="31">
        <v>55</v>
      </c>
      <c r="Y38" s="18">
        <v>0</v>
      </c>
      <c r="Z38" s="18" t="s">
        <v>100</v>
      </c>
      <c r="AA38" s="18" t="s">
        <v>333</v>
      </c>
      <c r="AB38" s="18" t="s">
        <v>337</v>
      </c>
      <c r="AC38" s="18">
        <v>20</v>
      </c>
      <c r="AD38" s="18">
        <v>20.5</v>
      </c>
      <c r="AE38" s="18" t="s">
        <v>29</v>
      </c>
      <c r="AF38" s="18" t="s">
        <v>29</v>
      </c>
      <c r="AG38" s="18" t="s">
        <v>29</v>
      </c>
      <c r="AH38" s="18">
        <v>35</v>
      </c>
      <c r="AI38" s="18" t="s">
        <v>27</v>
      </c>
      <c r="AJ38" s="18" t="s">
        <v>64</v>
      </c>
      <c r="AK38" s="18" t="s">
        <v>77</v>
      </c>
      <c r="AL38" s="18" t="s">
        <v>92</v>
      </c>
      <c r="AM38" s="18" t="s">
        <v>109</v>
      </c>
      <c r="AN38" s="18" t="s">
        <v>118</v>
      </c>
      <c r="AO38" s="18" t="s">
        <v>198</v>
      </c>
      <c r="AP38" s="18"/>
      <c r="AQ38" s="18"/>
      <c r="AR38" s="18">
        <v>2</v>
      </c>
      <c r="AS38" s="18">
        <v>3</v>
      </c>
      <c r="AT38" s="18">
        <v>3</v>
      </c>
      <c r="AU38" s="18">
        <v>1</v>
      </c>
      <c r="AV38" s="18">
        <v>2</v>
      </c>
      <c r="AW38" s="18">
        <v>11</v>
      </c>
      <c r="AX38" s="49">
        <v>0</v>
      </c>
      <c r="AY38" s="49">
        <f>VLOOKUP(AI38,Leyenda!$B$4:$E$10,4,FALSE)</f>
        <v>4</v>
      </c>
      <c r="AZ38" s="50">
        <v>6</v>
      </c>
      <c r="BA38" s="49">
        <v>11</v>
      </c>
      <c r="BB38" s="49">
        <v>15</v>
      </c>
      <c r="BC38" s="4">
        <v>16.5</v>
      </c>
      <c r="BD38" s="4">
        <f>VLOOKUP(AI38,Leyenda!$B$4:$E$10,4,FALSE)</f>
        <v>4</v>
      </c>
      <c r="BE38" s="4">
        <v>5</v>
      </c>
      <c r="BF38" s="4">
        <v>0</v>
      </c>
      <c r="BG38" s="4">
        <v>3</v>
      </c>
      <c r="BH38" s="4">
        <v>1</v>
      </c>
      <c r="BI38" s="4">
        <v>2</v>
      </c>
      <c r="BJ38" s="4">
        <v>3</v>
      </c>
      <c r="BK38" s="4">
        <v>3</v>
      </c>
      <c r="BL38" s="4">
        <v>10</v>
      </c>
      <c r="BM38" s="4">
        <f t="shared" si="0"/>
        <v>31</v>
      </c>
      <c r="BN38" s="18">
        <f t="shared" si="1"/>
        <v>36</v>
      </c>
      <c r="BO38" s="18"/>
      <c r="BP38" s="18"/>
      <c r="BT38" s="167"/>
      <c r="BU38" s="181" t="s">
        <v>194</v>
      </c>
      <c r="BV38" s="181"/>
      <c r="BW38" s="167"/>
      <c r="EQ38" s="178"/>
      <c r="ES38" s="55"/>
      <c r="ET38" s="178"/>
      <c r="EV38" s="55"/>
    </row>
    <row r="39" spans="1:152" x14ac:dyDescent="0.25">
      <c r="A39" s="18" t="s">
        <v>6</v>
      </c>
      <c r="B39" s="18">
        <v>2024</v>
      </c>
      <c r="C39" s="18" t="s">
        <v>138</v>
      </c>
      <c r="D39" s="18" t="s">
        <v>10</v>
      </c>
      <c r="E39" s="18">
        <v>10</v>
      </c>
      <c r="F39" s="18">
        <v>10</v>
      </c>
      <c r="G39" s="18" t="s">
        <v>135</v>
      </c>
      <c r="H39" s="18" t="s">
        <v>135</v>
      </c>
      <c r="I39" s="18" t="s">
        <v>163</v>
      </c>
      <c r="J39" s="31">
        <v>44.05</v>
      </c>
      <c r="K39" s="31">
        <v>44.55</v>
      </c>
      <c r="L39" s="4">
        <v>0.5</v>
      </c>
      <c r="M39" s="5">
        <v>0.54</v>
      </c>
      <c r="N39" s="31">
        <v>0.27</v>
      </c>
      <c r="O39" s="31">
        <v>0.27</v>
      </c>
      <c r="P39" s="31">
        <v>13.5</v>
      </c>
      <c r="Q39" s="31">
        <v>20</v>
      </c>
      <c r="R39" s="31">
        <v>0.26</v>
      </c>
      <c r="S39" s="31">
        <v>0</v>
      </c>
      <c r="T39" s="86">
        <v>0</v>
      </c>
      <c r="U39" s="31">
        <v>6</v>
      </c>
      <c r="V39" s="31"/>
      <c r="W39" s="31">
        <v>6</v>
      </c>
      <c r="X39" s="31">
        <v>43.333333333333336</v>
      </c>
      <c r="Y39" s="18">
        <v>0</v>
      </c>
      <c r="Z39" s="18" t="s">
        <v>100</v>
      </c>
      <c r="AA39" s="18" t="s">
        <v>333</v>
      </c>
      <c r="AB39" s="18" t="s">
        <v>337</v>
      </c>
      <c r="AC39" s="18">
        <v>20</v>
      </c>
      <c r="AD39" s="18">
        <v>13.5</v>
      </c>
      <c r="AE39" s="18" t="s">
        <v>29</v>
      </c>
      <c r="AF39" s="18" t="s">
        <v>29</v>
      </c>
      <c r="AG39" s="18" t="s">
        <v>29</v>
      </c>
      <c r="AH39" s="18">
        <v>35</v>
      </c>
      <c r="AI39" s="18" t="s">
        <v>27</v>
      </c>
      <c r="AJ39" s="18" t="s">
        <v>66</v>
      </c>
      <c r="AK39" s="18" t="s">
        <v>79</v>
      </c>
      <c r="AL39" s="18" t="s">
        <v>92</v>
      </c>
      <c r="AM39" s="18" t="s">
        <v>109</v>
      </c>
      <c r="AN39" s="18" t="s">
        <v>120</v>
      </c>
      <c r="AO39" s="18" t="s">
        <v>198</v>
      </c>
      <c r="AP39" s="18"/>
      <c r="AQ39" s="18"/>
      <c r="AR39" s="18">
        <v>1</v>
      </c>
      <c r="AS39" s="18">
        <v>1</v>
      </c>
      <c r="AT39" s="18">
        <v>3</v>
      </c>
      <c r="AU39" s="18">
        <v>1</v>
      </c>
      <c r="AV39" s="18">
        <v>2</v>
      </c>
      <c r="AW39" s="18">
        <v>8</v>
      </c>
      <c r="AX39" s="49">
        <v>0</v>
      </c>
      <c r="AY39" s="49">
        <f>VLOOKUP(AI39,Leyenda!$B$4:$E$10,4,FALSE)</f>
        <v>4</v>
      </c>
      <c r="AZ39" s="50">
        <v>5</v>
      </c>
      <c r="BA39" s="49">
        <v>8</v>
      </c>
      <c r="BB39" s="49">
        <v>15</v>
      </c>
      <c r="BC39" s="4">
        <v>12</v>
      </c>
      <c r="BD39" s="4">
        <f>VLOOKUP(AI39,Leyenda!$B$4:$E$10,4,FALSE)</f>
        <v>4</v>
      </c>
      <c r="BE39" s="4">
        <v>5</v>
      </c>
      <c r="BF39" s="4">
        <v>0</v>
      </c>
      <c r="BG39" s="4">
        <v>3</v>
      </c>
      <c r="BH39" s="4">
        <v>1</v>
      </c>
      <c r="BI39" s="4">
        <v>2</v>
      </c>
      <c r="BJ39" s="4">
        <v>1</v>
      </c>
      <c r="BK39" s="4">
        <v>1</v>
      </c>
      <c r="BL39" s="4">
        <v>10</v>
      </c>
      <c r="BM39" s="4">
        <f t="shared" si="0"/>
        <v>27</v>
      </c>
      <c r="BN39" s="18">
        <f t="shared" si="1"/>
        <v>32</v>
      </c>
      <c r="BO39" s="18"/>
      <c r="BP39" s="18"/>
      <c r="BT39" s="167"/>
      <c r="BU39" s="167"/>
      <c r="BV39" s="167"/>
      <c r="BW39" s="167"/>
      <c r="EQ39" s="178"/>
      <c r="ES39" s="55"/>
      <c r="ET39" s="178"/>
      <c r="EV39" s="55"/>
    </row>
    <row r="40" spans="1:152" x14ac:dyDescent="0.25">
      <c r="A40" s="18" t="s">
        <v>6</v>
      </c>
      <c r="B40" s="18">
        <v>2024</v>
      </c>
      <c r="C40" s="18" t="s">
        <v>138</v>
      </c>
      <c r="D40" s="18" t="s">
        <v>10</v>
      </c>
      <c r="E40" s="18">
        <v>10</v>
      </c>
      <c r="F40" s="18">
        <v>10</v>
      </c>
      <c r="G40" s="18" t="s">
        <v>135</v>
      </c>
      <c r="H40" s="18" t="s">
        <v>135</v>
      </c>
      <c r="I40" s="18" t="s">
        <v>163</v>
      </c>
      <c r="J40" s="31">
        <v>44.55</v>
      </c>
      <c r="K40" s="31">
        <v>45.05</v>
      </c>
      <c r="L40" s="4">
        <v>0.5</v>
      </c>
      <c r="M40" s="5">
        <v>0.57999999999999996</v>
      </c>
      <c r="N40" s="31">
        <v>0.28999999999999998</v>
      </c>
      <c r="O40" s="31">
        <v>0.28999999999999998</v>
      </c>
      <c r="P40" s="31">
        <v>19.333333333333332</v>
      </c>
      <c r="Q40" s="31">
        <v>15</v>
      </c>
      <c r="R40" s="31">
        <v>0.24</v>
      </c>
      <c r="S40" s="31">
        <v>0</v>
      </c>
      <c r="T40" s="86">
        <v>0</v>
      </c>
      <c r="U40" s="31">
        <v>10</v>
      </c>
      <c r="V40" s="31"/>
      <c r="W40" s="31">
        <v>10</v>
      </c>
      <c r="X40" s="31">
        <v>24</v>
      </c>
      <c r="Y40" s="18">
        <v>0</v>
      </c>
      <c r="Z40" s="18" t="s">
        <v>100</v>
      </c>
      <c r="AA40" s="18" t="s">
        <v>122</v>
      </c>
      <c r="AB40" s="18" t="s">
        <v>336</v>
      </c>
      <c r="AC40" s="18">
        <v>15</v>
      </c>
      <c r="AD40" s="18">
        <v>19.333333333333332</v>
      </c>
      <c r="AE40" s="18" t="s">
        <v>32</v>
      </c>
      <c r="AF40" s="18" t="s">
        <v>32</v>
      </c>
      <c r="AG40" s="18" t="s">
        <v>32</v>
      </c>
      <c r="AH40" s="18">
        <v>35</v>
      </c>
      <c r="AI40" s="18" t="s">
        <v>27</v>
      </c>
      <c r="AJ40" s="18" t="s">
        <v>64</v>
      </c>
      <c r="AK40" s="18" t="s">
        <v>79</v>
      </c>
      <c r="AL40" s="18" t="s">
        <v>100</v>
      </c>
      <c r="AM40" s="18" t="s">
        <v>107</v>
      </c>
      <c r="AN40" s="18" t="s">
        <v>120</v>
      </c>
      <c r="AO40" s="18" t="s">
        <v>198</v>
      </c>
      <c r="AP40" s="18"/>
      <c r="AQ40" s="18"/>
      <c r="AR40" s="18">
        <v>2</v>
      </c>
      <c r="AS40" s="18">
        <v>1</v>
      </c>
      <c r="AT40" s="18">
        <v>0</v>
      </c>
      <c r="AU40" s="18">
        <v>3</v>
      </c>
      <c r="AV40" s="18">
        <v>2</v>
      </c>
      <c r="AW40" s="18">
        <v>8</v>
      </c>
      <c r="AX40" s="49">
        <v>0</v>
      </c>
      <c r="AY40" s="49">
        <f>VLOOKUP(AI40,Leyenda!$B$4:$E$10,4,FALSE)</f>
        <v>4</v>
      </c>
      <c r="AZ40" s="50">
        <v>4</v>
      </c>
      <c r="BA40" s="49">
        <v>8</v>
      </c>
      <c r="BB40" s="49">
        <v>15</v>
      </c>
      <c r="BC40" s="4">
        <v>12</v>
      </c>
      <c r="BD40" s="4">
        <f>VLOOKUP(AI40,Leyenda!$B$4:$E$10,4,FALSE)</f>
        <v>4</v>
      </c>
      <c r="BE40" s="4">
        <v>5</v>
      </c>
      <c r="BF40" s="4">
        <v>0</v>
      </c>
      <c r="BG40" s="4">
        <v>0</v>
      </c>
      <c r="BH40" s="4">
        <v>3</v>
      </c>
      <c r="BI40" s="4">
        <v>2</v>
      </c>
      <c r="BJ40" s="4">
        <v>1</v>
      </c>
      <c r="BK40" s="4">
        <v>3</v>
      </c>
      <c r="BL40" s="4">
        <v>10</v>
      </c>
      <c r="BM40" s="4">
        <f t="shared" si="0"/>
        <v>28</v>
      </c>
      <c r="BN40" s="18">
        <f t="shared" si="1"/>
        <v>31</v>
      </c>
      <c r="BO40" s="18"/>
      <c r="BP40" s="18"/>
      <c r="BT40" s="167"/>
      <c r="BU40" s="167" t="s">
        <v>307</v>
      </c>
      <c r="BV40" s="167">
        <v>44.304878048780488</v>
      </c>
      <c r="BW40" s="167"/>
      <c r="EQ40" s="178"/>
      <c r="ES40" s="55"/>
      <c r="ET40" s="178"/>
      <c r="EV40" s="55"/>
    </row>
    <row r="41" spans="1:152" x14ac:dyDescent="0.25">
      <c r="A41" s="18" t="s">
        <v>6</v>
      </c>
      <c r="B41" s="18">
        <v>2024</v>
      </c>
      <c r="C41" s="18" t="s">
        <v>138</v>
      </c>
      <c r="D41" s="18" t="s">
        <v>10</v>
      </c>
      <c r="E41" s="18">
        <v>10</v>
      </c>
      <c r="F41" s="18">
        <v>10</v>
      </c>
      <c r="G41" s="18" t="s">
        <v>135</v>
      </c>
      <c r="H41" s="18" t="s">
        <v>135</v>
      </c>
      <c r="I41" s="18" t="s">
        <v>163</v>
      </c>
      <c r="J41" s="31">
        <v>45.05</v>
      </c>
      <c r="K41" s="31">
        <v>45.55</v>
      </c>
      <c r="L41" s="4">
        <v>0.5</v>
      </c>
      <c r="M41" s="5">
        <v>0.62</v>
      </c>
      <c r="N41" s="31">
        <v>0.31</v>
      </c>
      <c r="O41" s="31">
        <v>0.31</v>
      </c>
      <c r="P41" s="31">
        <v>20.666666666666668</v>
      </c>
      <c r="Q41" s="31">
        <v>15</v>
      </c>
      <c r="R41" s="31">
        <v>0.28000000000000003</v>
      </c>
      <c r="S41" s="31">
        <v>0</v>
      </c>
      <c r="T41" s="86">
        <v>0</v>
      </c>
      <c r="U41" s="31">
        <v>10</v>
      </c>
      <c r="V41" s="31"/>
      <c r="W41" s="31">
        <v>10</v>
      </c>
      <c r="X41" s="31">
        <v>28</v>
      </c>
      <c r="Y41" s="18">
        <v>0</v>
      </c>
      <c r="Z41" s="18" t="s">
        <v>100</v>
      </c>
      <c r="AA41" s="18" t="s">
        <v>122</v>
      </c>
      <c r="AB41" s="18" t="s">
        <v>336</v>
      </c>
      <c r="AC41" s="18">
        <v>15</v>
      </c>
      <c r="AD41" s="18">
        <v>20.666666666666668</v>
      </c>
      <c r="AE41" s="18" t="s">
        <v>32</v>
      </c>
      <c r="AF41" s="18" t="s">
        <v>32</v>
      </c>
      <c r="AG41" s="18" t="s">
        <v>32</v>
      </c>
      <c r="AH41" s="18">
        <v>35</v>
      </c>
      <c r="AI41" s="18" t="s">
        <v>27</v>
      </c>
      <c r="AJ41" s="18" t="s">
        <v>64</v>
      </c>
      <c r="AK41" s="18" t="s">
        <v>79</v>
      </c>
      <c r="AL41" s="18" t="s">
        <v>100</v>
      </c>
      <c r="AM41" s="18" t="s">
        <v>107</v>
      </c>
      <c r="AN41" s="18" t="s">
        <v>120</v>
      </c>
      <c r="AO41" s="18" t="s">
        <v>198</v>
      </c>
      <c r="AP41" s="18"/>
      <c r="AQ41" s="18"/>
      <c r="AR41" s="18">
        <v>2</v>
      </c>
      <c r="AS41" s="18">
        <v>1</v>
      </c>
      <c r="AT41" s="18">
        <v>0</v>
      </c>
      <c r="AU41" s="18">
        <v>3</v>
      </c>
      <c r="AV41" s="18">
        <v>2</v>
      </c>
      <c r="AW41" s="18">
        <v>8</v>
      </c>
      <c r="AX41" s="49">
        <v>0</v>
      </c>
      <c r="AY41" s="49">
        <f>VLOOKUP(AI41,Leyenda!$B$4:$E$10,4,FALSE)</f>
        <v>4</v>
      </c>
      <c r="AZ41" s="50">
        <v>5</v>
      </c>
      <c r="BA41" s="49">
        <v>8</v>
      </c>
      <c r="BB41" s="49">
        <v>15</v>
      </c>
      <c r="BC41" s="4">
        <v>12</v>
      </c>
      <c r="BD41" s="4">
        <f>VLOOKUP(AI41,Leyenda!$B$4:$E$10,4,FALSE)</f>
        <v>4</v>
      </c>
      <c r="BE41" s="4">
        <v>5</v>
      </c>
      <c r="BF41" s="4">
        <v>0</v>
      </c>
      <c r="BG41" s="4">
        <v>0</v>
      </c>
      <c r="BH41" s="4">
        <v>3</v>
      </c>
      <c r="BI41" s="4">
        <v>2</v>
      </c>
      <c r="BJ41" s="4">
        <v>1</v>
      </c>
      <c r="BK41" s="4">
        <v>3</v>
      </c>
      <c r="BL41" s="4">
        <v>10</v>
      </c>
      <c r="BM41" s="4">
        <f t="shared" si="0"/>
        <v>28</v>
      </c>
      <c r="BN41" s="18">
        <f t="shared" si="1"/>
        <v>32</v>
      </c>
      <c r="BO41" s="18"/>
      <c r="BP41" s="18"/>
      <c r="BT41" s="167"/>
      <c r="BU41" s="167" t="s">
        <v>308</v>
      </c>
      <c r="BV41" s="167">
        <v>1.3452145686056005</v>
      </c>
      <c r="BW41" s="167"/>
      <c r="EQ41" s="178"/>
      <c r="ES41" s="55"/>
      <c r="ET41" s="178"/>
      <c r="EV41" s="55"/>
    </row>
    <row r="42" spans="1:152" x14ac:dyDescent="0.25">
      <c r="A42" s="18" t="s">
        <v>6</v>
      </c>
      <c r="B42" s="18">
        <v>2024</v>
      </c>
      <c r="C42" s="18" t="s">
        <v>138</v>
      </c>
      <c r="D42" s="18" t="s">
        <v>10</v>
      </c>
      <c r="E42" s="18">
        <v>10</v>
      </c>
      <c r="F42" s="18">
        <v>10</v>
      </c>
      <c r="G42" s="18" t="s">
        <v>135</v>
      </c>
      <c r="H42" s="18" t="s">
        <v>135</v>
      </c>
      <c r="I42" s="18" t="s">
        <v>163</v>
      </c>
      <c r="J42" s="31">
        <v>45.55</v>
      </c>
      <c r="K42" s="31">
        <v>46.05</v>
      </c>
      <c r="L42" s="4">
        <v>0.5</v>
      </c>
      <c r="M42" s="5">
        <v>0.74</v>
      </c>
      <c r="N42" s="31">
        <v>0.37</v>
      </c>
      <c r="O42" s="31">
        <v>0.37</v>
      </c>
      <c r="P42" s="31">
        <v>24.666666666666668</v>
      </c>
      <c r="Q42" s="31">
        <v>15</v>
      </c>
      <c r="R42" s="31">
        <v>0.27</v>
      </c>
      <c r="S42" s="31">
        <v>0</v>
      </c>
      <c r="T42" s="86">
        <v>0</v>
      </c>
      <c r="U42" s="31">
        <v>8</v>
      </c>
      <c r="V42" s="31"/>
      <c r="W42" s="31">
        <v>8</v>
      </c>
      <c r="X42" s="31">
        <v>33.75</v>
      </c>
      <c r="Y42" s="18">
        <v>0</v>
      </c>
      <c r="Z42" s="18" t="s">
        <v>100</v>
      </c>
      <c r="AA42" s="18" t="s">
        <v>122</v>
      </c>
      <c r="AB42" s="18" t="s">
        <v>336</v>
      </c>
      <c r="AC42" s="18">
        <v>15</v>
      </c>
      <c r="AD42" s="18">
        <v>24.666666666666668</v>
      </c>
      <c r="AE42" s="18" t="s">
        <v>32</v>
      </c>
      <c r="AF42" s="18" t="s">
        <v>32</v>
      </c>
      <c r="AG42" s="18" t="s">
        <v>32</v>
      </c>
      <c r="AH42" s="18">
        <v>35</v>
      </c>
      <c r="AI42" s="18" t="s">
        <v>27</v>
      </c>
      <c r="AJ42" s="18" t="s">
        <v>64</v>
      </c>
      <c r="AK42" s="18" t="s">
        <v>79</v>
      </c>
      <c r="AL42" s="18" t="s">
        <v>96</v>
      </c>
      <c r="AM42" s="18" t="s">
        <v>107</v>
      </c>
      <c r="AN42" s="18" t="s">
        <v>120</v>
      </c>
      <c r="AO42" s="18" t="s">
        <v>198</v>
      </c>
      <c r="AP42" s="18"/>
      <c r="AQ42" s="18"/>
      <c r="AR42" s="18">
        <v>2</v>
      </c>
      <c r="AS42" s="18">
        <v>1</v>
      </c>
      <c r="AT42" s="18">
        <v>1</v>
      </c>
      <c r="AU42" s="18">
        <v>3</v>
      </c>
      <c r="AV42" s="18">
        <v>2</v>
      </c>
      <c r="AW42" s="18">
        <v>9</v>
      </c>
      <c r="AX42" s="49">
        <v>0</v>
      </c>
      <c r="AY42" s="49">
        <f>VLOOKUP(AI42,Leyenda!$B$4:$E$10,4,FALSE)</f>
        <v>4</v>
      </c>
      <c r="AZ42" s="50">
        <v>5</v>
      </c>
      <c r="BA42" s="49">
        <v>9</v>
      </c>
      <c r="BB42" s="49">
        <v>15</v>
      </c>
      <c r="BC42" s="4">
        <v>13.5</v>
      </c>
      <c r="BD42" s="4">
        <f>VLOOKUP(AI42,Leyenda!$B$4:$E$10,4,FALSE)</f>
        <v>4</v>
      </c>
      <c r="BE42" s="4">
        <v>5</v>
      </c>
      <c r="BF42" s="4">
        <v>0</v>
      </c>
      <c r="BG42" s="4">
        <v>1</v>
      </c>
      <c r="BH42" s="4">
        <v>3</v>
      </c>
      <c r="BI42" s="4">
        <v>2</v>
      </c>
      <c r="BJ42" s="4">
        <v>1</v>
      </c>
      <c r="BK42" s="4">
        <v>3</v>
      </c>
      <c r="BL42" s="4">
        <v>10</v>
      </c>
      <c r="BM42" s="4">
        <f t="shared" si="0"/>
        <v>29</v>
      </c>
      <c r="BN42" s="18">
        <f t="shared" si="1"/>
        <v>33</v>
      </c>
      <c r="BO42" s="18"/>
      <c r="BP42" s="18"/>
      <c r="BT42" s="167"/>
      <c r="BU42" s="167" t="s">
        <v>309</v>
      </c>
      <c r="BV42" s="167">
        <v>46</v>
      </c>
      <c r="BW42" s="167"/>
      <c r="EQ42" s="178"/>
      <c r="ES42" s="55"/>
      <c r="ET42" s="178"/>
      <c r="EV42" s="55"/>
    </row>
    <row r="43" spans="1:152" x14ac:dyDescent="0.25">
      <c r="A43" s="18" t="s">
        <v>6</v>
      </c>
      <c r="B43" s="18">
        <v>2024</v>
      </c>
      <c r="C43" s="18" t="s">
        <v>138</v>
      </c>
      <c r="D43" s="18" t="s">
        <v>10</v>
      </c>
      <c r="E43" s="18">
        <v>10</v>
      </c>
      <c r="F43" s="18">
        <v>10</v>
      </c>
      <c r="G43" s="18" t="s">
        <v>135</v>
      </c>
      <c r="H43" s="18" t="s">
        <v>135</v>
      </c>
      <c r="I43" s="18" t="s">
        <v>163</v>
      </c>
      <c r="J43" s="31">
        <v>46.05</v>
      </c>
      <c r="K43" s="31">
        <v>46.55</v>
      </c>
      <c r="L43" s="4">
        <v>0.5</v>
      </c>
      <c r="M43" s="5">
        <v>0.8</v>
      </c>
      <c r="N43" s="31">
        <v>0.4</v>
      </c>
      <c r="O43" s="31">
        <v>0.4</v>
      </c>
      <c r="P43" s="31">
        <v>80</v>
      </c>
      <c r="Q43" s="31">
        <v>5</v>
      </c>
      <c r="R43" s="31">
        <v>0.37</v>
      </c>
      <c r="S43" s="31">
        <v>0</v>
      </c>
      <c r="T43" s="86">
        <v>0</v>
      </c>
      <c r="U43" s="31">
        <v>5</v>
      </c>
      <c r="V43" s="31"/>
      <c r="W43" s="31">
        <v>5</v>
      </c>
      <c r="X43" s="31">
        <v>74</v>
      </c>
      <c r="Y43" s="18">
        <v>0</v>
      </c>
      <c r="Z43" s="18" t="s">
        <v>96</v>
      </c>
      <c r="AA43" s="18" t="s">
        <v>118</v>
      </c>
      <c r="AB43" s="18" t="s">
        <v>337</v>
      </c>
      <c r="AC43" s="18">
        <v>5</v>
      </c>
      <c r="AD43" s="18">
        <v>80</v>
      </c>
      <c r="AE43" s="18" t="s">
        <v>29</v>
      </c>
      <c r="AF43" s="18" t="s">
        <v>29</v>
      </c>
      <c r="AG43" s="18" t="s">
        <v>29</v>
      </c>
      <c r="AH43" s="18">
        <v>35</v>
      </c>
      <c r="AI43" s="18" t="s">
        <v>27</v>
      </c>
      <c r="AJ43" s="18" t="s">
        <v>64</v>
      </c>
      <c r="AK43" s="18" t="s">
        <v>77</v>
      </c>
      <c r="AL43" s="18" t="s">
        <v>92</v>
      </c>
      <c r="AM43" s="18" t="s">
        <v>107</v>
      </c>
      <c r="AN43" s="18" t="s">
        <v>118</v>
      </c>
      <c r="AO43" s="18" t="s">
        <v>198</v>
      </c>
      <c r="AP43" s="18"/>
      <c r="AQ43" s="18"/>
      <c r="AR43" s="18">
        <v>2</v>
      </c>
      <c r="AS43" s="18">
        <v>3</v>
      </c>
      <c r="AT43" s="18">
        <v>3</v>
      </c>
      <c r="AU43" s="18">
        <v>3</v>
      </c>
      <c r="AV43" s="18">
        <v>2</v>
      </c>
      <c r="AW43" s="18">
        <v>13</v>
      </c>
      <c r="AX43" s="49">
        <v>0</v>
      </c>
      <c r="AY43" s="49">
        <f>VLOOKUP(AI43,Leyenda!$B$4:$E$10,4,FALSE)</f>
        <v>4</v>
      </c>
      <c r="AZ43" s="50">
        <v>7</v>
      </c>
      <c r="BA43" s="49">
        <v>13</v>
      </c>
      <c r="BB43" s="49">
        <v>15</v>
      </c>
      <c r="BC43" s="4">
        <v>19.5</v>
      </c>
      <c r="BD43" s="4">
        <f>VLOOKUP(AI43,Leyenda!$B$4:$E$10,4,FALSE)</f>
        <v>4</v>
      </c>
      <c r="BE43" s="4">
        <v>6</v>
      </c>
      <c r="BF43" s="4">
        <v>0</v>
      </c>
      <c r="BG43" s="4">
        <v>3</v>
      </c>
      <c r="BH43" s="4">
        <v>3</v>
      </c>
      <c r="BI43" s="4">
        <v>2</v>
      </c>
      <c r="BJ43" s="4">
        <v>3</v>
      </c>
      <c r="BK43" s="4">
        <v>3</v>
      </c>
      <c r="BL43" s="4">
        <v>10</v>
      </c>
      <c r="BM43" s="4">
        <f t="shared" si="0"/>
        <v>34</v>
      </c>
      <c r="BN43" s="18">
        <f t="shared" si="1"/>
        <v>39</v>
      </c>
      <c r="BO43" s="18"/>
      <c r="BP43" s="18"/>
      <c r="BT43" s="167"/>
      <c r="BU43" s="167" t="s">
        <v>310</v>
      </c>
      <c r="BV43" s="167">
        <v>46</v>
      </c>
      <c r="BW43" s="167"/>
      <c r="EQ43" s="178"/>
      <c r="ES43" s="55"/>
      <c r="ET43" s="178"/>
      <c r="EV43" s="55"/>
    </row>
    <row r="44" spans="1:152" x14ac:dyDescent="0.25">
      <c r="A44" s="18" t="s">
        <v>6</v>
      </c>
      <c r="B44" s="18">
        <v>2024</v>
      </c>
      <c r="C44" s="18" t="s">
        <v>138</v>
      </c>
      <c r="D44" s="18" t="s">
        <v>10</v>
      </c>
      <c r="E44" s="18">
        <v>10</v>
      </c>
      <c r="F44" s="18">
        <v>10</v>
      </c>
      <c r="G44" s="18" t="s">
        <v>135</v>
      </c>
      <c r="H44" s="18" t="s">
        <v>135</v>
      </c>
      <c r="I44" s="18" t="s">
        <v>163</v>
      </c>
      <c r="J44" s="31">
        <v>46.55</v>
      </c>
      <c r="K44" s="31">
        <v>47.05</v>
      </c>
      <c r="L44" s="4">
        <v>0.5</v>
      </c>
      <c r="M44" s="5">
        <v>0.78</v>
      </c>
      <c r="N44" s="31">
        <v>0.39</v>
      </c>
      <c r="O44" s="31">
        <v>0.39</v>
      </c>
      <c r="P44" s="31">
        <v>78</v>
      </c>
      <c r="Q44" s="31">
        <v>5</v>
      </c>
      <c r="R44" s="31">
        <v>0.33</v>
      </c>
      <c r="S44" s="31">
        <v>0</v>
      </c>
      <c r="T44" s="86">
        <v>0</v>
      </c>
      <c r="U44" s="31">
        <v>7</v>
      </c>
      <c r="V44" s="31"/>
      <c r="W44" s="31">
        <v>7</v>
      </c>
      <c r="X44" s="31">
        <v>47.142857142857146</v>
      </c>
      <c r="Y44" s="18">
        <v>40</v>
      </c>
      <c r="Z44" s="18" t="s">
        <v>96</v>
      </c>
      <c r="AA44" s="18" t="s">
        <v>118</v>
      </c>
      <c r="AB44" s="18" t="s">
        <v>337</v>
      </c>
      <c r="AC44" s="18">
        <v>5</v>
      </c>
      <c r="AD44" s="18">
        <v>78</v>
      </c>
      <c r="AE44" s="18" t="s">
        <v>29</v>
      </c>
      <c r="AF44" s="18" t="s">
        <v>32</v>
      </c>
      <c r="AG44" s="18" t="s">
        <v>32</v>
      </c>
      <c r="AH44" s="18">
        <v>35</v>
      </c>
      <c r="AI44" s="18" t="s">
        <v>27</v>
      </c>
      <c r="AJ44" s="18" t="s">
        <v>64</v>
      </c>
      <c r="AK44" s="18" t="s">
        <v>79</v>
      </c>
      <c r="AL44" s="18" t="s">
        <v>92</v>
      </c>
      <c r="AM44" s="18" t="s">
        <v>109</v>
      </c>
      <c r="AN44" s="18" t="s">
        <v>118</v>
      </c>
      <c r="AO44" s="18" t="s">
        <v>198</v>
      </c>
      <c r="AP44" s="18"/>
      <c r="AQ44" s="18"/>
      <c r="AR44" s="18">
        <v>2</v>
      </c>
      <c r="AS44" s="18">
        <v>1</v>
      </c>
      <c r="AT44" s="18">
        <v>3</v>
      </c>
      <c r="AU44" s="18">
        <v>1</v>
      </c>
      <c r="AV44" s="18">
        <v>2</v>
      </c>
      <c r="AW44" s="18">
        <v>9</v>
      </c>
      <c r="AX44" s="49">
        <v>0</v>
      </c>
      <c r="AY44" s="49">
        <f>VLOOKUP(AI44,Leyenda!$B$4:$E$10,4,FALSE)</f>
        <v>4</v>
      </c>
      <c r="AZ44" s="50">
        <v>6</v>
      </c>
      <c r="BA44" s="49">
        <v>9</v>
      </c>
      <c r="BB44" s="49">
        <v>15</v>
      </c>
      <c r="BC44" s="4">
        <v>13.5</v>
      </c>
      <c r="BD44" s="4">
        <f>VLOOKUP(AI44,Leyenda!$B$4:$E$10,4,FALSE)</f>
        <v>4</v>
      </c>
      <c r="BE44" s="4">
        <v>5</v>
      </c>
      <c r="BF44" s="4">
        <v>0</v>
      </c>
      <c r="BG44" s="4">
        <v>3</v>
      </c>
      <c r="BH44" s="4">
        <v>1</v>
      </c>
      <c r="BI44" s="4">
        <v>2</v>
      </c>
      <c r="BJ44" s="4">
        <v>1</v>
      </c>
      <c r="BK44" s="4">
        <v>3</v>
      </c>
      <c r="BL44" s="4">
        <v>10</v>
      </c>
      <c r="BM44" s="4">
        <f t="shared" si="0"/>
        <v>29</v>
      </c>
      <c r="BN44" s="18">
        <f t="shared" si="1"/>
        <v>34</v>
      </c>
      <c r="BO44" s="18"/>
      <c r="BP44" s="18"/>
      <c r="BT44" s="167"/>
      <c r="BU44" s="167" t="s">
        <v>311</v>
      </c>
      <c r="BV44" s="167">
        <v>12.181436012157091</v>
      </c>
      <c r="BW44" s="167"/>
      <c r="EQ44" s="178"/>
      <c r="ES44" s="55"/>
      <c r="ET44" s="178"/>
      <c r="EV44" s="55"/>
    </row>
    <row r="45" spans="1:152" x14ac:dyDescent="0.25">
      <c r="A45" s="18" t="s">
        <v>6</v>
      </c>
      <c r="B45" s="18">
        <v>2024</v>
      </c>
      <c r="C45" s="18" t="s">
        <v>138</v>
      </c>
      <c r="D45" s="18" t="s">
        <v>10</v>
      </c>
      <c r="E45" s="18">
        <v>10</v>
      </c>
      <c r="F45" s="18">
        <v>10</v>
      </c>
      <c r="G45" s="18" t="s">
        <v>135</v>
      </c>
      <c r="H45" s="18" t="s">
        <v>135</v>
      </c>
      <c r="I45" s="18" t="s">
        <v>163</v>
      </c>
      <c r="J45" s="31">
        <v>47.05</v>
      </c>
      <c r="K45" s="31">
        <v>47.55</v>
      </c>
      <c r="L45" s="4">
        <v>0.5</v>
      </c>
      <c r="M45" s="5">
        <v>0.9</v>
      </c>
      <c r="N45" s="31">
        <v>0.45</v>
      </c>
      <c r="O45" s="31">
        <v>0.45</v>
      </c>
      <c r="P45" s="31">
        <v>30</v>
      </c>
      <c r="Q45" s="31">
        <v>15</v>
      </c>
      <c r="R45" s="31">
        <v>0.45</v>
      </c>
      <c r="S45" s="31">
        <v>0.18</v>
      </c>
      <c r="T45" s="86">
        <v>36</v>
      </c>
      <c r="U45" s="31">
        <v>3</v>
      </c>
      <c r="V45" s="31"/>
      <c r="W45" s="31">
        <v>3</v>
      </c>
      <c r="X45" s="31">
        <v>150</v>
      </c>
      <c r="Y45" s="18">
        <v>0</v>
      </c>
      <c r="Z45" s="18" t="s">
        <v>100</v>
      </c>
      <c r="AA45" s="18" t="s">
        <v>122</v>
      </c>
      <c r="AB45" s="18" t="s">
        <v>337</v>
      </c>
      <c r="AC45" s="18">
        <v>15</v>
      </c>
      <c r="AD45" s="18">
        <v>30</v>
      </c>
      <c r="AE45" s="18" t="s">
        <v>29</v>
      </c>
      <c r="AF45" s="18" t="s">
        <v>29</v>
      </c>
      <c r="AG45" s="18" t="s">
        <v>29</v>
      </c>
      <c r="AH45" s="18">
        <v>35</v>
      </c>
      <c r="AI45" s="18" t="s">
        <v>27</v>
      </c>
      <c r="AJ45" s="18" t="s">
        <v>64</v>
      </c>
      <c r="AK45" s="18" t="s">
        <v>77</v>
      </c>
      <c r="AL45" s="18" t="s">
        <v>92</v>
      </c>
      <c r="AM45" s="18" t="s">
        <v>107</v>
      </c>
      <c r="AN45" s="18" t="s">
        <v>116</v>
      </c>
      <c r="AO45" s="18" t="s">
        <v>198</v>
      </c>
      <c r="AP45" s="18"/>
      <c r="AQ45" s="18"/>
      <c r="AR45" s="18">
        <v>2</v>
      </c>
      <c r="AS45" s="18">
        <v>3</v>
      </c>
      <c r="AT45" s="18">
        <v>3</v>
      </c>
      <c r="AU45" s="18">
        <v>3</v>
      </c>
      <c r="AV45" s="18">
        <v>4</v>
      </c>
      <c r="AW45" s="18">
        <v>15</v>
      </c>
      <c r="AX45" s="49">
        <v>8</v>
      </c>
      <c r="AY45" s="49">
        <f>VLOOKUP(AI45,Leyenda!$B$4:$E$10,4,FALSE)</f>
        <v>4</v>
      </c>
      <c r="AZ45" s="50">
        <v>8</v>
      </c>
      <c r="BA45" s="49">
        <v>15</v>
      </c>
      <c r="BB45" s="49">
        <v>15</v>
      </c>
      <c r="BC45" s="4">
        <v>40.5</v>
      </c>
      <c r="BD45" s="4">
        <f>VLOOKUP(AI45,Leyenda!$B$4:$E$10,4,FALSE)</f>
        <v>4</v>
      </c>
      <c r="BE45" s="4">
        <v>11</v>
      </c>
      <c r="BF45" s="4">
        <v>8</v>
      </c>
      <c r="BG45" s="4">
        <v>3</v>
      </c>
      <c r="BH45" s="4">
        <v>3</v>
      </c>
      <c r="BI45" s="4">
        <v>4</v>
      </c>
      <c r="BJ45" s="4">
        <v>3</v>
      </c>
      <c r="BK45" s="4">
        <v>3</v>
      </c>
      <c r="BL45" s="4">
        <v>10</v>
      </c>
      <c r="BM45" s="4">
        <f t="shared" si="0"/>
        <v>49</v>
      </c>
      <c r="BN45" s="18">
        <f t="shared" si="1"/>
        <v>50</v>
      </c>
      <c r="BO45" s="18"/>
      <c r="BP45" s="18"/>
      <c r="BT45" s="167"/>
      <c r="BU45" s="167" t="s">
        <v>312</v>
      </c>
      <c r="BV45" s="167">
        <v>148.38738331827767</v>
      </c>
      <c r="BW45" s="167"/>
      <c r="EQ45" s="178"/>
      <c r="ES45" s="55"/>
      <c r="ET45" s="178"/>
      <c r="EV45" s="55"/>
    </row>
    <row r="46" spans="1:152" x14ac:dyDescent="0.25">
      <c r="A46" s="18" t="s">
        <v>6</v>
      </c>
      <c r="B46" s="18">
        <v>2024</v>
      </c>
      <c r="C46" s="18" t="s">
        <v>138</v>
      </c>
      <c r="D46" s="18" t="s">
        <v>10</v>
      </c>
      <c r="E46" s="18">
        <v>10</v>
      </c>
      <c r="F46" s="18">
        <v>10</v>
      </c>
      <c r="G46" s="18" t="s">
        <v>135</v>
      </c>
      <c r="H46" s="18" t="s">
        <v>135</v>
      </c>
      <c r="I46" s="18" t="s">
        <v>163</v>
      </c>
      <c r="J46" s="31">
        <v>47.55</v>
      </c>
      <c r="K46" s="31">
        <v>48.05</v>
      </c>
      <c r="L46" s="4">
        <v>0.5</v>
      </c>
      <c r="M46" s="5">
        <v>0.86</v>
      </c>
      <c r="N46" s="31">
        <v>0.43</v>
      </c>
      <c r="O46" s="31">
        <v>0.43</v>
      </c>
      <c r="P46" s="31">
        <v>21.5</v>
      </c>
      <c r="Q46" s="31">
        <v>20</v>
      </c>
      <c r="R46" s="31">
        <v>0.39</v>
      </c>
      <c r="S46" s="31">
        <v>0.14000000000000001</v>
      </c>
      <c r="T46" s="86">
        <v>28.000000000000004</v>
      </c>
      <c r="U46" s="31">
        <v>6</v>
      </c>
      <c r="V46" s="31"/>
      <c r="W46" s="31">
        <v>6</v>
      </c>
      <c r="X46" s="31">
        <v>65</v>
      </c>
      <c r="Y46" s="18">
        <v>0</v>
      </c>
      <c r="Z46" s="18" t="s">
        <v>100</v>
      </c>
      <c r="AA46" s="18" t="s">
        <v>333</v>
      </c>
      <c r="AB46" s="18" t="s">
        <v>336</v>
      </c>
      <c r="AC46" s="18">
        <v>20</v>
      </c>
      <c r="AD46" s="18">
        <v>21.5</v>
      </c>
      <c r="AE46" s="18" t="s">
        <v>32</v>
      </c>
      <c r="AF46" s="18" t="s">
        <v>32</v>
      </c>
      <c r="AG46" s="18" t="s">
        <v>32</v>
      </c>
      <c r="AH46" s="18">
        <v>35</v>
      </c>
      <c r="AI46" s="18" t="s">
        <v>27</v>
      </c>
      <c r="AJ46" s="18" t="s">
        <v>66</v>
      </c>
      <c r="AK46" s="18" t="s">
        <v>79</v>
      </c>
      <c r="AL46" s="18" t="s">
        <v>92</v>
      </c>
      <c r="AM46" s="18" t="s">
        <v>107</v>
      </c>
      <c r="AN46" s="18" t="s">
        <v>120</v>
      </c>
      <c r="AO46" s="18" t="s">
        <v>198</v>
      </c>
      <c r="AP46" s="18" t="s">
        <v>221</v>
      </c>
      <c r="AQ46" s="18"/>
      <c r="AR46" s="18">
        <v>1</v>
      </c>
      <c r="AS46" s="18">
        <v>1</v>
      </c>
      <c r="AT46" s="18">
        <v>3</v>
      </c>
      <c r="AU46" s="18">
        <v>3</v>
      </c>
      <c r="AV46" s="18">
        <v>2</v>
      </c>
      <c r="AW46" s="18">
        <v>10</v>
      </c>
      <c r="AX46" s="49">
        <v>6</v>
      </c>
      <c r="AY46" s="49">
        <f>VLOOKUP(AI46,Leyenda!$B$4:$E$10,4,FALSE)</f>
        <v>4</v>
      </c>
      <c r="AZ46" s="50">
        <v>6</v>
      </c>
      <c r="BA46" s="49">
        <v>10</v>
      </c>
      <c r="BB46" s="49">
        <v>15</v>
      </c>
      <c r="BC46" s="4">
        <v>29</v>
      </c>
      <c r="BD46" s="4">
        <f>VLOOKUP(AI46,Leyenda!$B$4:$E$10,4,FALSE)</f>
        <v>4</v>
      </c>
      <c r="BE46" s="4">
        <v>6</v>
      </c>
      <c r="BF46" s="4">
        <v>6</v>
      </c>
      <c r="BG46" s="4">
        <v>3</v>
      </c>
      <c r="BH46" s="4">
        <v>3</v>
      </c>
      <c r="BI46" s="4">
        <v>2</v>
      </c>
      <c r="BJ46" s="4">
        <v>1</v>
      </c>
      <c r="BK46" s="4">
        <v>1</v>
      </c>
      <c r="BL46" s="4">
        <v>10</v>
      </c>
      <c r="BM46" s="4">
        <f t="shared" si="0"/>
        <v>36</v>
      </c>
      <c r="BN46" s="18">
        <f t="shared" si="1"/>
        <v>41</v>
      </c>
      <c r="BO46" s="18"/>
      <c r="BP46" s="18"/>
      <c r="BT46" s="167"/>
      <c r="BU46" s="167" t="s">
        <v>313</v>
      </c>
      <c r="BV46" s="167">
        <v>-0.34121623736699735</v>
      </c>
      <c r="BW46" s="167"/>
      <c r="EQ46" s="178"/>
      <c r="ES46" s="55"/>
      <c r="ET46" s="178"/>
      <c r="EV46" s="55"/>
    </row>
    <row r="47" spans="1:152" x14ac:dyDescent="0.25">
      <c r="A47" s="18" t="s">
        <v>6</v>
      </c>
      <c r="B47" s="18">
        <v>2024</v>
      </c>
      <c r="C47" s="18" t="s">
        <v>138</v>
      </c>
      <c r="D47" s="18" t="s">
        <v>10</v>
      </c>
      <c r="E47" s="18">
        <v>10</v>
      </c>
      <c r="F47" s="18">
        <v>10</v>
      </c>
      <c r="G47" s="18" t="s">
        <v>135</v>
      </c>
      <c r="H47" s="18" t="s">
        <v>135</v>
      </c>
      <c r="I47" s="18" t="s">
        <v>163</v>
      </c>
      <c r="J47" s="31">
        <v>48.05</v>
      </c>
      <c r="K47" s="31">
        <v>48.55</v>
      </c>
      <c r="L47" s="4">
        <v>0.5</v>
      </c>
      <c r="M47" s="5">
        <v>0.96</v>
      </c>
      <c r="N47" s="31">
        <v>0.48</v>
      </c>
      <c r="O47" s="31">
        <v>0.48</v>
      </c>
      <c r="P47" s="31">
        <v>24</v>
      </c>
      <c r="Q47" s="31">
        <v>20</v>
      </c>
      <c r="R47" s="31">
        <v>0.42</v>
      </c>
      <c r="S47" s="31">
        <v>0.12</v>
      </c>
      <c r="T47" s="86">
        <v>24</v>
      </c>
      <c r="U47" s="31">
        <v>6</v>
      </c>
      <c r="V47" s="31"/>
      <c r="W47" s="31">
        <v>6</v>
      </c>
      <c r="X47" s="31">
        <v>70</v>
      </c>
      <c r="Y47" s="18">
        <v>0</v>
      </c>
      <c r="Z47" s="18" t="s">
        <v>100</v>
      </c>
      <c r="AA47" s="18" t="s">
        <v>333</v>
      </c>
      <c r="AB47" s="18" t="s">
        <v>336</v>
      </c>
      <c r="AC47" s="18">
        <v>20</v>
      </c>
      <c r="AD47" s="18">
        <v>24</v>
      </c>
      <c r="AE47" s="18" t="s">
        <v>32</v>
      </c>
      <c r="AF47" s="128" t="s">
        <v>32</v>
      </c>
      <c r="AG47" s="18" t="s">
        <v>32</v>
      </c>
      <c r="AH47" s="18">
        <v>35</v>
      </c>
      <c r="AI47" s="18" t="s">
        <v>27</v>
      </c>
      <c r="AJ47" s="18" t="s">
        <v>66</v>
      </c>
      <c r="AK47" s="18" t="s">
        <v>79</v>
      </c>
      <c r="AL47" s="18" t="s">
        <v>92</v>
      </c>
      <c r="AM47" s="18" t="s">
        <v>107</v>
      </c>
      <c r="AN47" s="18" t="s">
        <v>118</v>
      </c>
      <c r="AO47" s="18" t="s">
        <v>198</v>
      </c>
      <c r="AP47" s="18" t="s">
        <v>221</v>
      </c>
      <c r="AQ47" s="18"/>
      <c r="AR47" s="18">
        <v>1</v>
      </c>
      <c r="AS47" s="18">
        <v>1</v>
      </c>
      <c r="AT47" s="18">
        <v>3</v>
      </c>
      <c r="AU47" s="18">
        <v>3</v>
      </c>
      <c r="AV47" s="18">
        <v>2</v>
      </c>
      <c r="AW47" s="18">
        <v>10</v>
      </c>
      <c r="AX47" s="49">
        <v>5</v>
      </c>
      <c r="AY47" s="49">
        <f>VLOOKUP(AI47,Leyenda!$B$4:$E$10,4,FALSE)</f>
        <v>4</v>
      </c>
      <c r="AZ47" s="50">
        <v>6</v>
      </c>
      <c r="BA47" s="49">
        <v>10</v>
      </c>
      <c r="BB47" s="49">
        <v>15</v>
      </c>
      <c r="BC47" s="4">
        <v>27</v>
      </c>
      <c r="BD47" s="4">
        <f>VLOOKUP(AI47,Leyenda!$B$4:$E$10,4,FALSE)</f>
        <v>4</v>
      </c>
      <c r="BE47" s="4">
        <v>6</v>
      </c>
      <c r="BF47" s="4">
        <v>5</v>
      </c>
      <c r="BG47" s="4">
        <v>3</v>
      </c>
      <c r="BH47" s="4">
        <v>3</v>
      </c>
      <c r="BI47" s="4">
        <v>2</v>
      </c>
      <c r="BJ47" s="4">
        <v>1</v>
      </c>
      <c r="BK47" s="4">
        <v>1</v>
      </c>
      <c r="BL47" s="4">
        <v>10</v>
      </c>
      <c r="BM47" s="4">
        <f t="shared" si="0"/>
        <v>35</v>
      </c>
      <c r="BN47" s="18">
        <f t="shared" si="1"/>
        <v>40</v>
      </c>
      <c r="BO47" s="18"/>
      <c r="BP47" s="18"/>
      <c r="BT47" s="167"/>
      <c r="BU47" s="167" t="s">
        <v>314</v>
      </c>
      <c r="BV47" s="167">
        <v>0.17950813882792727</v>
      </c>
      <c r="BW47" s="167"/>
      <c r="EQ47" s="178"/>
      <c r="ES47" s="55"/>
      <c r="ET47" s="178"/>
      <c r="EV47" s="55"/>
    </row>
    <row r="48" spans="1:152" x14ac:dyDescent="0.25">
      <c r="A48" s="18" t="s">
        <v>6</v>
      </c>
      <c r="B48" s="18">
        <v>2024</v>
      </c>
      <c r="C48" s="18" t="s">
        <v>138</v>
      </c>
      <c r="D48" s="18" t="s">
        <v>10</v>
      </c>
      <c r="E48" s="18">
        <v>10</v>
      </c>
      <c r="F48" s="18">
        <v>10</v>
      </c>
      <c r="G48" s="18" t="s">
        <v>135</v>
      </c>
      <c r="H48" s="18" t="s">
        <v>135</v>
      </c>
      <c r="I48" s="18" t="s">
        <v>163</v>
      </c>
      <c r="J48" s="31">
        <v>48.55</v>
      </c>
      <c r="K48" s="31">
        <v>49.05</v>
      </c>
      <c r="L48" s="4">
        <v>0.5</v>
      </c>
      <c r="M48" s="5">
        <v>0.9</v>
      </c>
      <c r="N48" s="31">
        <v>0.45</v>
      </c>
      <c r="O48" s="31">
        <v>0.45</v>
      </c>
      <c r="P48" s="31">
        <v>22.5</v>
      </c>
      <c r="Q48" s="31">
        <v>20</v>
      </c>
      <c r="R48" s="31">
        <v>0.4</v>
      </c>
      <c r="S48" s="31">
        <v>0</v>
      </c>
      <c r="T48" s="86">
        <v>0</v>
      </c>
      <c r="U48" s="31">
        <v>14</v>
      </c>
      <c r="V48" s="31"/>
      <c r="W48" s="31">
        <v>14</v>
      </c>
      <c r="X48" s="31">
        <v>28.571428571428573</v>
      </c>
      <c r="Y48" s="18">
        <v>0</v>
      </c>
      <c r="Z48" s="18" t="s">
        <v>100</v>
      </c>
      <c r="AA48" s="18" t="s">
        <v>333</v>
      </c>
      <c r="AB48" s="18" t="s">
        <v>336</v>
      </c>
      <c r="AC48" s="18">
        <v>20</v>
      </c>
      <c r="AD48" s="18">
        <v>22.5</v>
      </c>
      <c r="AE48" s="18" t="s">
        <v>32</v>
      </c>
      <c r="AF48" s="18" t="s">
        <v>32</v>
      </c>
      <c r="AG48" s="18" t="s">
        <v>32</v>
      </c>
      <c r="AH48" s="18">
        <v>35</v>
      </c>
      <c r="AI48" s="18" t="s">
        <v>27</v>
      </c>
      <c r="AJ48" s="18" t="s">
        <v>66</v>
      </c>
      <c r="AK48" s="18" t="s">
        <v>81</v>
      </c>
      <c r="AL48" s="18" t="s">
        <v>92</v>
      </c>
      <c r="AM48" s="18" t="s">
        <v>107</v>
      </c>
      <c r="AN48" s="18" t="s">
        <v>118</v>
      </c>
      <c r="AO48" s="18" t="s">
        <v>198</v>
      </c>
      <c r="AP48" s="18" t="s">
        <v>222</v>
      </c>
      <c r="AQ48" s="18"/>
      <c r="AR48" s="18">
        <v>1</v>
      </c>
      <c r="AS48" s="18">
        <v>0</v>
      </c>
      <c r="AT48" s="18">
        <v>3</v>
      </c>
      <c r="AU48" s="18">
        <v>3</v>
      </c>
      <c r="AV48" s="18">
        <v>2</v>
      </c>
      <c r="AW48" s="18">
        <v>9</v>
      </c>
      <c r="AX48" s="49">
        <v>0</v>
      </c>
      <c r="AY48" s="49">
        <f>VLOOKUP(AI48,Leyenda!$B$4:$E$10,4,FALSE)</f>
        <v>4</v>
      </c>
      <c r="AZ48" s="50">
        <v>5</v>
      </c>
      <c r="BA48" s="49">
        <v>9</v>
      </c>
      <c r="BB48" s="49">
        <v>15</v>
      </c>
      <c r="BC48" s="4">
        <v>13.5</v>
      </c>
      <c r="BD48" s="4">
        <f>VLOOKUP(AI48,Leyenda!$B$4:$E$10,4,FALSE)</f>
        <v>4</v>
      </c>
      <c r="BE48" s="4">
        <v>5</v>
      </c>
      <c r="BF48" s="4">
        <v>0</v>
      </c>
      <c r="BG48" s="4">
        <v>3</v>
      </c>
      <c r="BH48" s="4">
        <v>3</v>
      </c>
      <c r="BI48" s="4">
        <v>2</v>
      </c>
      <c r="BJ48" s="4">
        <v>0</v>
      </c>
      <c r="BK48" s="4">
        <v>1</v>
      </c>
      <c r="BL48" s="4">
        <v>10</v>
      </c>
      <c r="BM48" s="4">
        <f t="shared" si="0"/>
        <v>28</v>
      </c>
      <c r="BN48" s="18">
        <f t="shared" si="1"/>
        <v>33</v>
      </c>
      <c r="BO48" s="18"/>
      <c r="BP48" s="18"/>
      <c r="BT48" s="167"/>
      <c r="BU48" s="167" t="s">
        <v>315</v>
      </c>
      <c r="BV48" s="167">
        <v>55</v>
      </c>
      <c r="BW48" s="167"/>
      <c r="EQ48" s="178"/>
      <c r="ES48" s="55"/>
      <c r="ET48" s="178"/>
      <c r="EV48" s="55"/>
    </row>
    <row r="49" spans="1:152" x14ac:dyDescent="0.25">
      <c r="A49" s="18" t="s">
        <v>6</v>
      </c>
      <c r="B49" s="18">
        <v>2024</v>
      </c>
      <c r="C49" s="18" t="s">
        <v>138</v>
      </c>
      <c r="D49" s="18" t="s">
        <v>10</v>
      </c>
      <c r="E49" s="18">
        <v>10</v>
      </c>
      <c r="F49" s="18">
        <v>10</v>
      </c>
      <c r="G49" s="18" t="s">
        <v>135</v>
      </c>
      <c r="H49" s="18" t="s">
        <v>135</v>
      </c>
      <c r="I49" s="18" t="s">
        <v>163</v>
      </c>
      <c r="J49" s="31">
        <v>49.05</v>
      </c>
      <c r="K49" s="31">
        <v>49.6</v>
      </c>
      <c r="L49" s="4">
        <v>0.55000000000000426</v>
      </c>
      <c r="M49" s="5">
        <v>1</v>
      </c>
      <c r="N49" s="31">
        <v>0.55000000000000426</v>
      </c>
      <c r="O49" s="31">
        <v>0.55000000000000426</v>
      </c>
      <c r="P49" s="31">
        <v>27.500000000000217</v>
      </c>
      <c r="Q49" s="31">
        <v>20</v>
      </c>
      <c r="R49" s="31">
        <v>0.43</v>
      </c>
      <c r="S49" s="31">
        <v>0.19</v>
      </c>
      <c r="T49" s="86">
        <v>34.545454545454277</v>
      </c>
      <c r="U49" s="31">
        <v>6</v>
      </c>
      <c r="V49" s="31"/>
      <c r="W49" s="31">
        <v>6</v>
      </c>
      <c r="X49" s="31">
        <v>71.666666666666671</v>
      </c>
      <c r="Y49" s="18">
        <v>0</v>
      </c>
      <c r="Z49" s="18" t="s">
        <v>100</v>
      </c>
      <c r="AA49" s="18" t="s">
        <v>333</v>
      </c>
      <c r="AB49" s="18" t="s">
        <v>336</v>
      </c>
      <c r="AC49" s="18">
        <v>20</v>
      </c>
      <c r="AD49" s="18">
        <v>27.500000000000217</v>
      </c>
      <c r="AE49" s="18" t="s">
        <v>32</v>
      </c>
      <c r="AF49" s="18" t="s">
        <v>34</v>
      </c>
      <c r="AG49" s="18" t="s">
        <v>34</v>
      </c>
      <c r="AH49" s="18">
        <v>35</v>
      </c>
      <c r="AI49" s="18" t="s">
        <v>27</v>
      </c>
      <c r="AJ49" s="18" t="s">
        <v>66</v>
      </c>
      <c r="AK49" s="18" t="s">
        <v>81</v>
      </c>
      <c r="AL49" s="18" t="s">
        <v>96</v>
      </c>
      <c r="AM49" s="18" t="s">
        <v>107</v>
      </c>
      <c r="AN49" s="18" t="s">
        <v>118</v>
      </c>
      <c r="AO49" s="18" t="s">
        <v>198</v>
      </c>
      <c r="AP49" s="18"/>
      <c r="AQ49" s="18"/>
      <c r="AR49" s="18">
        <v>1</v>
      </c>
      <c r="AS49" s="18">
        <v>0</v>
      </c>
      <c r="AT49" s="18">
        <v>1</v>
      </c>
      <c r="AU49" s="18">
        <v>3</v>
      </c>
      <c r="AV49" s="18">
        <v>2</v>
      </c>
      <c r="AW49" s="18">
        <v>7</v>
      </c>
      <c r="AX49" s="49">
        <v>7</v>
      </c>
      <c r="AY49" s="49">
        <f>VLOOKUP(AI49,Leyenda!$B$4:$E$10,4,FALSE)</f>
        <v>4</v>
      </c>
      <c r="AZ49" s="50">
        <v>6</v>
      </c>
      <c r="BA49" s="49">
        <v>7</v>
      </c>
      <c r="BB49" s="49">
        <v>15</v>
      </c>
      <c r="BC49" s="4">
        <v>27.772727272727138</v>
      </c>
      <c r="BD49" s="4">
        <f>VLOOKUP(AI49,Leyenda!$B$4:$E$10,4,FALSE)</f>
        <v>4</v>
      </c>
      <c r="BE49" s="4">
        <v>6</v>
      </c>
      <c r="BF49" s="4">
        <v>7</v>
      </c>
      <c r="BG49" s="4">
        <v>1</v>
      </c>
      <c r="BH49" s="4">
        <v>3</v>
      </c>
      <c r="BI49" s="4">
        <v>2</v>
      </c>
      <c r="BJ49" s="4">
        <v>0</v>
      </c>
      <c r="BK49" s="4">
        <v>1</v>
      </c>
      <c r="BL49" s="4">
        <v>10</v>
      </c>
      <c r="BM49" s="4">
        <f t="shared" si="0"/>
        <v>34</v>
      </c>
      <c r="BN49" s="18">
        <f t="shared" si="1"/>
        <v>39</v>
      </c>
      <c r="BO49" s="18"/>
      <c r="BP49" s="18"/>
      <c r="BT49" s="167"/>
      <c r="BU49" s="167" t="s">
        <v>316</v>
      </c>
      <c r="BV49" s="167">
        <v>21</v>
      </c>
      <c r="BW49" s="167"/>
      <c r="EQ49" s="178"/>
      <c r="ES49" s="55"/>
      <c r="ET49" s="178"/>
      <c r="EV49" s="55"/>
    </row>
    <row r="50" spans="1:152" x14ac:dyDescent="0.25">
      <c r="A50" s="18" t="s">
        <v>6</v>
      </c>
      <c r="B50" s="18">
        <v>2024</v>
      </c>
      <c r="C50" s="18" t="s">
        <v>138</v>
      </c>
      <c r="D50" s="18" t="s">
        <v>10</v>
      </c>
      <c r="E50" s="18">
        <v>10</v>
      </c>
      <c r="F50" s="18">
        <v>10</v>
      </c>
      <c r="G50" s="18" t="s">
        <v>135</v>
      </c>
      <c r="H50" s="18" t="s">
        <v>135</v>
      </c>
      <c r="I50" s="18" t="s">
        <v>163</v>
      </c>
      <c r="J50" s="31">
        <v>49.6</v>
      </c>
      <c r="K50" s="31">
        <v>50.15</v>
      </c>
      <c r="L50" s="4">
        <v>0.54999999999999716</v>
      </c>
      <c r="M50" s="5">
        <v>1</v>
      </c>
      <c r="N50" s="31">
        <v>0.54999999999999716</v>
      </c>
      <c r="O50" s="31">
        <v>0.54999999999999716</v>
      </c>
      <c r="P50" s="31">
        <v>27.499999999999858</v>
      </c>
      <c r="Q50" s="31">
        <v>20</v>
      </c>
      <c r="R50" s="31">
        <v>0.53</v>
      </c>
      <c r="S50" s="31">
        <v>0</v>
      </c>
      <c r="T50" s="86">
        <v>0</v>
      </c>
      <c r="U50" s="31">
        <v>10</v>
      </c>
      <c r="V50" s="31"/>
      <c r="W50" s="31">
        <v>10</v>
      </c>
      <c r="X50" s="31">
        <v>53</v>
      </c>
      <c r="Y50" s="18">
        <v>0</v>
      </c>
      <c r="Z50" s="18" t="s">
        <v>100</v>
      </c>
      <c r="AA50" s="18" t="s">
        <v>333</v>
      </c>
      <c r="AB50" s="18" t="s">
        <v>336</v>
      </c>
      <c r="AC50" s="18">
        <v>20</v>
      </c>
      <c r="AD50" s="18">
        <v>27.499999999999858</v>
      </c>
      <c r="AE50" s="18" t="s">
        <v>32</v>
      </c>
      <c r="AF50" s="18" t="s">
        <v>32</v>
      </c>
      <c r="AG50" s="18" t="s">
        <v>32</v>
      </c>
      <c r="AH50" s="18">
        <v>35</v>
      </c>
      <c r="AI50" s="18" t="s">
        <v>27</v>
      </c>
      <c r="AJ50" s="18" t="s">
        <v>64</v>
      </c>
      <c r="AK50" s="18" t="s">
        <v>79</v>
      </c>
      <c r="AL50" s="18" t="s">
        <v>96</v>
      </c>
      <c r="AM50" s="18" t="s">
        <v>107</v>
      </c>
      <c r="AN50" s="18" t="s">
        <v>118</v>
      </c>
      <c r="AO50" s="18" t="s">
        <v>198</v>
      </c>
      <c r="AP50" s="18" t="s">
        <v>223</v>
      </c>
      <c r="AQ50" s="18"/>
      <c r="AR50" s="18">
        <v>2</v>
      </c>
      <c r="AS50" s="18">
        <v>1</v>
      </c>
      <c r="AT50" s="18">
        <v>1</v>
      </c>
      <c r="AU50" s="18">
        <v>3</v>
      </c>
      <c r="AV50" s="18">
        <v>2</v>
      </c>
      <c r="AW50" s="18">
        <v>9</v>
      </c>
      <c r="AX50" s="49">
        <v>0</v>
      </c>
      <c r="AY50" s="49">
        <f>VLOOKUP(AI50,Leyenda!$B$4:$E$10,4,FALSE)</f>
        <v>4</v>
      </c>
      <c r="AZ50" s="50">
        <v>6</v>
      </c>
      <c r="BA50" s="49">
        <v>9</v>
      </c>
      <c r="BB50" s="49">
        <v>15</v>
      </c>
      <c r="BC50" s="4">
        <v>13.5</v>
      </c>
      <c r="BD50" s="4">
        <f>VLOOKUP(AI50,Leyenda!$B$4:$E$10,4,FALSE)</f>
        <v>4</v>
      </c>
      <c r="BE50" s="4">
        <v>4</v>
      </c>
      <c r="BF50" s="4">
        <v>0</v>
      </c>
      <c r="BG50" s="4">
        <v>1</v>
      </c>
      <c r="BH50" s="4">
        <v>3</v>
      </c>
      <c r="BI50" s="4">
        <v>2</v>
      </c>
      <c r="BJ50" s="4">
        <v>1</v>
      </c>
      <c r="BK50" s="4">
        <v>3</v>
      </c>
      <c r="BL50" s="4">
        <v>10</v>
      </c>
      <c r="BM50" s="4">
        <f t="shared" si="0"/>
        <v>28</v>
      </c>
      <c r="BN50" s="18">
        <f t="shared" si="1"/>
        <v>34</v>
      </c>
      <c r="BO50" s="18"/>
      <c r="BP50" s="18"/>
      <c r="BT50" s="167"/>
      <c r="BU50" s="167" t="s">
        <v>317</v>
      </c>
      <c r="BV50" s="167">
        <v>76</v>
      </c>
      <c r="BW50" s="167"/>
      <c r="EQ50" s="178"/>
      <c r="ES50" s="55"/>
      <c r="ET50" s="178"/>
      <c r="EV50" s="55"/>
    </row>
    <row r="51" spans="1:152" x14ac:dyDescent="0.25">
      <c r="A51" s="18" t="s">
        <v>6</v>
      </c>
      <c r="B51" s="18">
        <v>2024</v>
      </c>
      <c r="C51" s="18" t="s">
        <v>138</v>
      </c>
      <c r="D51" s="18" t="s">
        <v>10</v>
      </c>
      <c r="E51" s="18">
        <v>10</v>
      </c>
      <c r="F51" s="18">
        <v>10</v>
      </c>
      <c r="G51" s="18" t="s">
        <v>135</v>
      </c>
      <c r="H51" s="18" t="s">
        <v>135</v>
      </c>
      <c r="I51" s="18" t="s">
        <v>163</v>
      </c>
      <c r="J51" s="31">
        <v>50.15</v>
      </c>
      <c r="K51" s="31">
        <v>50.85</v>
      </c>
      <c r="L51" s="4">
        <v>0.70000000000000284</v>
      </c>
      <c r="M51" s="5">
        <v>1</v>
      </c>
      <c r="N51" s="31">
        <v>0.70000000000000284</v>
      </c>
      <c r="O51" s="31">
        <v>0.70000000000000284</v>
      </c>
      <c r="P51" s="31">
        <v>46.666666666666856</v>
      </c>
      <c r="Q51" s="31">
        <v>15</v>
      </c>
      <c r="R51" s="31">
        <v>0.7</v>
      </c>
      <c r="S51" s="31">
        <v>0.25</v>
      </c>
      <c r="T51" s="86">
        <v>35.714285714285573</v>
      </c>
      <c r="U51" s="31">
        <v>7</v>
      </c>
      <c r="V51" s="31"/>
      <c r="W51" s="31">
        <v>7</v>
      </c>
      <c r="X51" s="31">
        <v>100</v>
      </c>
      <c r="Y51" s="18">
        <v>36</v>
      </c>
      <c r="Z51" s="18" t="s">
        <v>96</v>
      </c>
      <c r="AA51" s="18" t="s">
        <v>122</v>
      </c>
      <c r="AB51" s="18" t="s">
        <v>337</v>
      </c>
      <c r="AC51" s="18">
        <v>15</v>
      </c>
      <c r="AD51" s="18">
        <v>46.666666666666856</v>
      </c>
      <c r="AE51" s="18" t="s">
        <v>29</v>
      </c>
      <c r="AF51" s="18" t="s">
        <v>32</v>
      </c>
      <c r="AG51" s="18" t="s">
        <v>32</v>
      </c>
      <c r="AH51" s="18">
        <v>35</v>
      </c>
      <c r="AI51" s="18" t="s">
        <v>27</v>
      </c>
      <c r="AJ51" s="18" t="s">
        <v>64</v>
      </c>
      <c r="AK51" s="18" t="s">
        <v>79</v>
      </c>
      <c r="AL51" s="18" t="s">
        <v>96</v>
      </c>
      <c r="AM51" s="18" t="s">
        <v>107</v>
      </c>
      <c r="AN51" s="18" t="s">
        <v>118</v>
      </c>
      <c r="AO51" s="18" t="s">
        <v>198</v>
      </c>
      <c r="AP51" s="18" t="s">
        <v>224</v>
      </c>
      <c r="AQ51" s="18"/>
      <c r="AR51" s="18">
        <v>2</v>
      </c>
      <c r="AS51" s="18">
        <v>1</v>
      </c>
      <c r="AT51" s="18">
        <v>1</v>
      </c>
      <c r="AU51" s="18">
        <v>3</v>
      </c>
      <c r="AV51" s="18">
        <v>2</v>
      </c>
      <c r="AW51" s="18">
        <v>9</v>
      </c>
      <c r="AX51" s="49">
        <v>8</v>
      </c>
      <c r="AY51" s="49">
        <f>VLOOKUP(AI51,Leyenda!$B$4:$E$10,4,FALSE)</f>
        <v>4</v>
      </c>
      <c r="AZ51" s="50">
        <v>7</v>
      </c>
      <c r="BA51" s="49">
        <v>9</v>
      </c>
      <c r="BB51" s="49">
        <v>15</v>
      </c>
      <c r="BC51" s="4">
        <v>31.357142857142787</v>
      </c>
      <c r="BD51" s="4">
        <f>VLOOKUP(AI51,Leyenda!$B$4:$E$10,4,FALSE)</f>
        <v>4</v>
      </c>
      <c r="BE51" s="4">
        <v>8</v>
      </c>
      <c r="BF51" s="4">
        <v>8</v>
      </c>
      <c r="BG51" s="4">
        <v>1</v>
      </c>
      <c r="BH51" s="4">
        <v>3</v>
      </c>
      <c r="BI51" s="4">
        <v>2</v>
      </c>
      <c r="BJ51" s="4">
        <v>1</v>
      </c>
      <c r="BK51" s="4">
        <v>3</v>
      </c>
      <c r="BL51" s="4">
        <v>10</v>
      </c>
      <c r="BM51" s="4">
        <f t="shared" si="0"/>
        <v>40</v>
      </c>
      <c r="BN51" s="18">
        <f t="shared" si="1"/>
        <v>43</v>
      </c>
      <c r="BO51" s="18"/>
      <c r="BP51" s="18"/>
      <c r="BT51" s="167"/>
      <c r="BU51" s="167" t="s">
        <v>318</v>
      </c>
      <c r="BV51" s="167">
        <v>3633</v>
      </c>
      <c r="BW51" s="167"/>
      <c r="EQ51" s="178"/>
      <c r="ES51" s="55"/>
      <c r="ET51" s="178"/>
      <c r="EV51" s="55"/>
    </row>
    <row r="52" spans="1:152" x14ac:dyDescent="0.25">
      <c r="A52" s="18" t="s">
        <v>6</v>
      </c>
      <c r="B52" s="18">
        <v>2024</v>
      </c>
      <c r="C52" s="18" t="s">
        <v>138</v>
      </c>
      <c r="D52" s="18" t="s">
        <v>10</v>
      </c>
      <c r="E52" s="18">
        <v>10</v>
      </c>
      <c r="F52" s="18">
        <v>10</v>
      </c>
      <c r="G52" s="18" t="s">
        <v>135</v>
      </c>
      <c r="H52" s="18" t="s">
        <v>135</v>
      </c>
      <c r="I52" s="18" t="s">
        <v>163</v>
      </c>
      <c r="J52" s="31">
        <v>50.85</v>
      </c>
      <c r="K52" s="31">
        <v>51.85</v>
      </c>
      <c r="L52" s="4">
        <v>1</v>
      </c>
      <c r="M52" s="5">
        <v>1</v>
      </c>
      <c r="N52" s="31">
        <v>1</v>
      </c>
      <c r="O52" s="31">
        <v>1</v>
      </c>
      <c r="P52" s="31">
        <v>200</v>
      </c>
      <c r="Q52" s="31">
        <v>5</v>
      </c>
      <c r="R52" s="31">
        <v>0.97</v>
      </c>
      <c r="S52" s="31">
        <v>0.81</v>
      </c>
      <c r="T52" s="86">
        <v>81</v>
      </c>
      <c r="U52" s="31">
        <v>2</v>
      </c>
      <c r="V52" s="31"/>
      <c r="W52" s="31">
        <v>2</v>
      </c>
      <c r="X52" s="31">
        <v>485</v>
      </c>
      <c r="Y52" s="18">
        <v>100</v>
      </c>
      <c r="Z52" s="18" t="s">
        <v>92</v>
      </c>
      <c r="AA52" s="18" t="s">
        <v>118</v>
      </c>
      <c r="AB52" s="18" t="s">
        <v>329</v>
      </c>
      <c r="AC52" s="18">
        <v>5</v>
      </c>
      <c r="AD52" s="18">
        <v>200</v>
      </c>
      <c r="AE52" s="18" t="s">
        <v>24</v>
      </c>
      <c r="AF52" s="18" t="s">
        <v>29</v>
      </c>
      <c r="AG52" s="18" t="s">
        <v>29</v>
      </c>
      <c r="AH52" s="18">
        <v>35</v>
      </c>
      <c r="AI52" s="18" t="s">
        <v>27</v>
      </c>
      <c r="AJ52" s="18" t="s">
        <v>64</v>
      </c>
      <c r="AK52" s="18" t="s">
        <v>77</v>
      </c>
      <c r="AL52" s="18" t="s">
        <v>96</v>
      </c>
      <c r="AM52" s="18" t="s">
        <v>107</v>
      </c>
      <c r="AN52" s="18" t="s">
        <v>118</v>
      </c>
      <c r="AO52" s="18" t="s">
        <v>198</v>
      </c>
      <c r="AP52" s="18" t="s">
        <v>207</v>
      </c>
      <c r="AQ52" s="18"/>
      <c r="AR52" s="18">
        <v>2</v>
      </c>
      <c r="AS52" s="18">
        <v>3</v>
      </c>
      <c r="AT52" s="18">
        <v>1</v>
      </c>
      <c r="AU52" s="18">
        <v>3</v>
      </c>
      <c r="AV52" s="18">
        <v>2</v>
      </c>
      <c r="AW52" s="18">
        <v>11</v>
      </c>
      <c r="AX52" s="49">
        <v>16</v>
      </c>
      <c r="AY52" s="49">
        <f>VLOOKUP(AI52,Leyenda!$B$4:$E$10,4,FALSE)</f>
        <v>4</v>
      </c>
      <c r="AZ52" s="50">
        <v>12</v>
      </c>
      <c r="BA52" s="49">
        <v>11</v>
      </c>
      <c r="BB52" s="49">
        <v>15</v>
      </c>
      <c r="BC52" s="4">
        <v>57</v>
      </c>
      <c r="BD52" s="4">
        <f>VLOOKUP(AI52,Leyenda!$B$4:$E$10,4,FALSE)</f>
        <v>4</v>
      </c>
      <c r="BE52" s="4">
        <v>18</v>
      </c>
      <c r="BF52" s="4">
        <v>16</v>
      </c>
      <c r="BG52" s="4">
        <v>1</v>
      </c>
      <c r="BH52" s="4">
        <v>3</v>
      </c>
      <c r="BI52" s="4">
        <v>2</v>
      </c>
      <c r="BJ52" s="4">
        <v>3</v>
      </c>
      <c r="BK52" s="4">
        <v>3</v>
      </c>
      <c r="BL52" s="4">
        <v>10</v>
      </c>
      <c r="BM52" s="4">
        <f t="shared" si="0"/>
        <v>60</v>
      </c>
      <c r="BN52" s="18">
        <f t="shared" si="1"/>
        <v>58</v>
      </c>
      <c r="BO52" s="18"/>
      <c r="BP52" s="18"/>
      <c r="BT52" s="167"/>
      <c r="BU52" s="167" t="s">
        <v>319</v>
      </c>
      <c r="BV52" s="167">
        <v>82</v>
      </c>
      <c r="BW52" s="167"/>
      <c r="EQ52" s="178"/>
      <c r="ES52" s="55"/>
      <c r="ET52" s="178"/>
      <c r="EV52" s="55"/>
    </row>
    <row r="53" spans="1:152" x14ac:dyDescent="0.25">
      <c r="A53" s="18" t="s">
        <v>6</v>
      </c>
      <c r="B53" s="18">
        <v>2024</v>
      </c>
      <c r="C53" s="18" t="s">
        <v>138</v>
      </c>
      <c r="D53" s="18" t="s">
        <v>10</v>
      </c>
      <c r="E53" s="18">
        <v>10</v>
      </c>
      <c r="F53" s="18">
        <v>10</v>
      </c>
      <c r="G53" s="18" t="s">
        <v>135</v>
      </c>
      <c r="H53" s="18" t="s">
        <v>135</v>
      </c>
      <c r="I53" s="18" t="s">
        <v>163</v>
      </c>
      <c r="J53" s="31">
        <v>51.85</v>
      </c>
      <c r="K53" s="31">
        <v>52.35</v>
      </c>
      <c r="L53" s="4">
        <v>0.5</v>
      </c>
      <c r="M53" s="5">
        <v>1</v>
      </c>
      <c r="N53" s="31">
        <v>0.5</v>
      </c>
      <c r="O53" s="31">
        <v>0.5</v>
      </c>
      <c r="P53" s="31">
        <v>25</v>
      </c>
      <c r="Q53" s="31">
        <v>20</v>
      </c>
      <c r="R53" s="31">
        <v>0.5</v>
      </c>
      <c r="S53" s="31">
        <v>0.14000000000000001</v>
      </c>
      <c r="T53" s="86">
        <v>28.000000000000004</v>
      </c>
      <c r="U53" s="31">
        <v>7</v>
      </c>
      <c r="V53" s="31"/>
      <c r="W53" s="31">
        <v>7</v>
      </c>
      <c r="X53" s="31">
        <v>71.428571428571431</v>
      </c>
      <c r="Y53" s="18">
        <v>30</v>
      </c>
      <c r="Z53" s="18" t="s">
        <v>100</v>
      </c>
      <c r="AA53" s="18" t="s">
        <v>333</v>
      </c>
      <c r="AB53" s="18" t="s">
        <v>337</v>
      </c>
      <c r="AC53" s="18">
        <v>20</v>
      </c>
      <c r="AD53" s="18">
        <v>25</v>
      </c>
      <c r="AE53" s="18" t="s">
        <v>29</v>
      </c>
      <c r="AF53" s="18" t="s">
        <v>29</v>
      </c>
      <c r="AG53" s="18" t="s">
        <v>29</v>
      </c>
      <c r="AH53" s="18">
        <v>35</v>
      </c>
      <c r="AI53" s="18" t="s">
        <v>27</v>
      </c>
      <c r="AJ53" s="18" t="s">
        <v>64</v>
      </c>
      <c r="AK53" s="18" t="s">
        <v>79</v>
      </c>
      <c r="AL53" s="18" t="s">
        <v>96</v>
      </c>
      <c r="AM53" s="18" t="s">
        <v>107</v>
      </c>
      <c r="AN53" s="18" t="s">
        <v>118</v>
      </c>
      <c r="AO53" s="18" t="s">
        <v>198</v>
      </c>
      <c r="AP53" s="18"/>
      <c r="AQ53" s="18"/>
      <c r="AR53" s="18">
        <v>2</v>
      </c>
      <c r="AS53" s="18">
        <v>1</v>
      </c>
      <c r="AT53" s="18">
        <v>1</v>
      </c>
      <c r="AU53" s="18">
        <v>3</v>
      </c>
      <c r="AV53" s="18">
        <v>2</v>
      </c>
      <c r="AW53" s="18">
        <v>9</v>
      </c>
      <c r="AX53" s="49">
        <v>6</v>
      </c>
      <c r="AY53" s="49">
        <f>VLOOKUP(AI53,Leyenda!$B$4:$E$10,4,FALSE)</f>
        <v>4</v>
      </c>
      <c r="AZ53" s="50">
        <v>6</v>
      </c>
      <c r="BA53" s="49">
        <v>9</v>
      </c>
      <c r="BB53" s="49">
        <v>15</v>
      </c>
      <c r="BC53" s="4">
        <v>27.5</v>
      </c>
      <c r="BD53" s="4">
        <f>VLOOKUP(AI53,Leyenda!$B$4:$E$10,4,FALSE)</f>
        <v>4</v>
      </c>
      <c r="BE53" s="4">
        <v>6</v>
      </c>
      <c r="BF53" s="4">
        <v>6</v>
      </c>
      <c r="BG53" s="4">
        <v>1</v>
      </c>
      <c r="BH53" s="4">
        <v>3</v>
      </c>
      <c r="BI53" s="4">
        <v>2</v>
      </c>
      <c r="BJ53" s="4">
        <v>1</v>
      </c>
      <c r="BK53" s="4">
        <v>3</v>
      </c>
      <c r="BL53" s="4">
        <v>10</v>
      </c>
      <c r="BM53" s="4">
        <f t="shared" si="0"/>
        <v>36</v>
      </c>
      <c r="BN53" s="18">
        <f t="shared" si="1"/>
        <v>40</v>
      </c>
      <c r="BO53" s="18"/>
      <c r="BP53" s="18"/>
      <c r="BT53" s="167"/>
      <c r="BU53" s="167" t="s">
        <v>320</v>
      </c>
      <c r="BV53" s="167">
        <v>76</v>
      </c>
      <c r="BW53" s="167"/>
      <c r="EQ53" s="178"/>
      <c r="ES53" s="55"/>
      <c r="ET53" s="178"/>
      <c r="EV53" s="55"/>
    </row>
    <row r="54" spans="1:152" x14ac:dyDescent="0.25">
      <c r="A54" s="18" t="s">
        <v>6</v>
      </c>
      <c r="B54" s="18">
        <v>2024</v>
      </c>
      <c r="C54" s="18" t="s">
        <v>138</v>
      </c>
      <c r="D54" s="18" t="s">
        <v>10</v>
      </c>
      <c r="E54" s="18">
        <v>10</v>
      </c>
      <c r="F54" s="18">
        <v>10</v>
      </c>
      <c r="G54" s="18" t="s">
        <v>135</v>
      </c>
      <c r="H54" s="18" t="s">
        <v>135</v>
      </c>
      <c r="I54" s="18" t="s">
        <v>163</v>
      </c>
      <c r="J54" s="31">
        <v>52.35</v>
      </c>
      <c r="K54" s="31">
        <v>52.85</v>
      </c>
      <c r="L54" s="4">
        <v>0.5</v>
      </c>
      <c r="M54" s="5">
        <v>0.54</v>
      </c>
      <c r="N54" s="31">
        <v>0.27</v>
      </c>
      <c r="O54" s="31">
        <v>0.27</v>
      </c>
      <c r="P54" s="31">
        <v>13.5</v>
      </c>
      <c r="Q54" s="31">
        <v>20</v>
      </c>
      <c r="R54" s="31">
        <v>0.27</v>
      </c>
      <c r="S54" s="31">
        <v>0</v>
      </c>
      <c r="T54" s="86">
        <v>0</v>
      </c>
      <c r="U54" s="31">
        <v>10</v>
      </c>
      <c r="V54" s="31"/>
      <c r="W54" s="31">
        <v>10</v>
      </c>
      <c r="X54" s="31">
        <v>27</v>
      </c>
      <c r="Y54" s="18">
        <v>0</v>
      </c>
      <c r="Z54" s="18" t="s">
        <v>330</v>
      </c>
      <c r="AA54" s="18" t="s">
        <v>333</v>
      </c>
      <c r="AB54" s="18" t="s">
        <v>336</v>
      </c>
      <c r="AC54" s="18">
        <v>20</v>
      </c>
      <c r="AD54" s="18">
        <v>13.5</v>
      </c>
      <c r="AE54" s="18" t="s">
        <v>32</v>
      </c>
      <c r="AF54" s="18" t="s">
        <v>32</v>
      </c>
      <c r="AG54" s="18" t="s">
        <v>32</v>
      </c>
      <c r="AH54" s="18">
        <v>35</v>
      </c>
      <c r="AI54" s="18" t="s">
        <v>27</v>
      </c>
      <c r="AJ54" s="18" t="s">
        <v>64</v>
      </c>
      <c r="AK54" s="18" t="s">
        <v>79</v>
      </c>
      <c r="AL54" s="18" t="s">
        <v>96</v>
      </c>
      <c r="AM54" s="18" t="s">
        <v>107</v>
      </c>
      <c r="AN54" s="18" t="s">
        <v>118</v>
      </c>
      <c r="AO54" s="18" t="s">
        <v>198</v>
      </c>
      <c r="AP54" s="18" t="s">
        <v>225</v>
      </c>
      <c r="AQ54" s="18"/>
      <c r="AR54" s="18">
        <v>2</v>
      </c>
      <c r="AS54" s="18">
        <v>1</v>
      </c>
      <c r="AT54" s="18">
        <v>1</v>
      </c>
      <c r="AU54" s="18">
        <v>3</v>
      </c>
      <c r="AV54" s="18">
        <v>2</v>
      </c>
      <c r="AW54" s="18">
        <v>9</v>
      </c>
      <c r="AX54" s="49">
        <v>0</v>
      </c>
      <c r="AY54" s="49">
        <f>VLOOKUP(AI54,Leyenda!$B$4:$E$10,4,FALSE)</f>
        <v>4</v>
      </c>
      <c r="AZ54" s="50">
        <v>5</v>
      </c>
      <c r="BA54" s="49">
        <v>9</v>
      </c>
      <c r="BB54" s="49">
        <v>15</v>
      </c>
      <c r="BC54" s="4">
        <v>13.5</v>
      </c>
      <c r="BD54" s="4">
        <f>VLOOKUP(AI54,Leyenda!$B$4:$E$10,4,FALSE)</f>
        <v>4</v>
      </c>
      <c r="BE54" s="4">
        <v>5</v>
      </c>
      <c r="BF54" s="4">
        <v>0</v>
      </c>
      <c r="BG54" s="4">
        <v>1</v>
      </c>
      <c r="BH54" s="4">
        <v>3</v>
      </c>
      <c r="BI54" s="4">
        <v>2</v>
      </c>
      <c r="BJ54" s="4">
        <v>1</v>
      </c>
      <c r="BK54" s="4">
        <v>3</v>
      </c>
      <c r="BL54" s="4">
        <v>10</v>
      </c>
      <c r="BM54" s="4">
        <f t="shared" si="0"/>
        <v>29</v>
      </c>
      <c r="BN54" s="18">
        <f t="shared" si="1"/>
        <v>33</v>
      </c>
      <c r="BO54" s="18"/>
      <c r="BP54" s="18"/>
      <c r="BT54" s="167"/>
      <c r="BU54" s="167" t="s">
        <v>321</v>
      </c>
      <c r="BV54" s="167">
        <v>21</v>
      </c>
      <c r="BW54" s="167"/>
      <c r="EQ54" s="178"/>
      <c r="ES54" s="55"/>
      <c r="ET54" s="178"/>
      <c r="EV54" s="55"/>
    </row>
    <row r="55" spans="1:152" ht="15.75" thickBot="1" x14ac:dyDescent="0.3">
      <c r="A55" s="18" t="s">
        <v>6</v>
      </c>
      <c r="B55" s="18">
        <v>2024</v>
      </c>
      <c r="C55" s="18" t="s">
        <v>138</v>
      </c>
      <c r="D55" s="18" t="s">
        <v>10</v>
      </c>
      <c r="E55" s="18">
        <v>10</v>
      </c>
      <c r="F55" s="18">
        <v>10</v>
      </c>
      <c r="G55" s="18" t="s">
        <v>135</v>
      </c>
      <c r="H55" s="18" t="s">
        <v>135</v>
      </c>
      <c r="I55" s="18" t="s">
        <v>163</v>
      </c>
      <c r="J55" s="31">
        <v>52.85</v>
      </c>
      <c r="K55" s="31">
        <v>53.35</v>
      </c>
      <c r="L55" s="4">
        <v>0.5</v>
      </c>
      <c r="M55" s="5">
        <v>0.6</v>
      </c>
      <c r="N55" s="31">
        <v>0.3</v>
      </c>
      <c r="O55" s="31">
        <v>0.3</v>
      </c>
      <c r="P55" s="31">
        <v>15</v>
      </c>
      <c r="Q55" s="31">
        <v>20</v>
      </c>
      <c r="R55" s="31">
        <v>0.25</v>
      </c>
      <c r="S55" s="31">
        <v>0</v>
      </c>
      <c r="T55" s="86">
        <v>0</v>
      </c>
      <c r="U55" s="31">
        <v>10</v>
      </c>
      <c r="V55" s="31"/>
      <c r="W55" s="31">
        <v>10</v>
      </c>
      <c r="X55" s="31">
        <v>25</v>
      </c>
      <c r="Y55" s="18">
        <v>0</v>
      </c>
      <c r="Z55" s="18" t="s">
        <v>330</v>
      </c>
      <c r="AA55" s="18" t="s">
        <v>333</v>
      </c>
      <c r="AB55" s="18" t="s">
        <v>336</v>
      </c>
      <c r="AC55" s="18">
        <v>20</v>
      </c>
      <c r="AD55" s="18">
        <v>15</v>
      </c>
      <c r="AE55" s="18" t="s">
        <v>32</v>
      </c>
      <c r="AF55" s="18" t="s">
        <v>32</v>
      </c>
      <c r="AG55" s="18" t="s">
        <v>32</v>
      </c>
      <c r="AH55" s="18">
        <v>35</v>
      </c>
      <c r="AI55" s="18" t="s">
        <v>27</v>
      </c>
      <c r="AJ55" s="18" t="s">
        <v>64</v>
      </c>
      <c r="AK55" s="18" t="s">
        <v>79</v>
      </c>
      <c r="AL55" s="18" t="s">
        <v>96</v>
      </c>
      <c r="AM55" s="18" t="s">
        <v>107</v>
      </c>
      <c r="AN55" s="18" t="s">
        <v>118</v>
      </c>
      <c r="AO55" s="18" t="s">
        <v>198</v>
      </c>
      <c r="AP55" s="18"/>
      <c r="AQ55" s="18"/>
      <c r="AR55" s="18">
        <v>2</v>
      </c>
      <c r="AS55" s="18">
        <v>1</v>
      </c>
      <c r="AT55" s="18">
        <v>1</v>
      </c>
      <c r="AU55" s="18">
        <v>3</v>
      </c>
      <c r="AV55" s="18">
        <v>2</v>
      </c>
      <c r="AW55" s="18">
        <v>9</v>
      </c>
      <c r="AX55" s="49">
        <v>0</v>
      </c>
      <c r="AY55" s="49">
        <f>VLOOKUP(AI55,Leyenda!$B$4:$E$10,4,FALSE)</f>
        <v>4</v>
      </c>
      <c r="AZ55" s="50">
        <v>5</v>
      </c>
      <c r="BA55" s="49">
        <v>9</v>
      </c>
      <c r="BB55" s="49">
        <v>15</v>
      </c>
      <c r="BC55" s="4">
        <v>13.5</v>
      </c>
      <c r="BD55" s="4">
        <f>VLOOKUP(AI55,Leyenda!$B$4:$E$10,4,FALSE)</f>
        <v>4</v>
      </c>
      <c r="BE55" s="4">
        <v>5</v>
      </c>
      <c r="BF55" s="4">
        <v>0</v>
      </c>
      <c r="BG55" s="4">
        <v>1</v>
      </c>
      <c r="BH55" s="4">
        <v>3</v>
      </c>
      <c r="BI55" s="4">
        <v>2</v>
      </c>
      <c r="BJ55" s="4">
        <v>1</v>
      </c>
      <c r="BK55" s="4">
        <v>3</v>
      </c>
      <c r="BL55" s="4">
        <v>10</v>
      </c>
      <c r="BM55" s="4">
        <f t="shared" si="0"/>
        <v>29</v>
      </c>
      <c r="BN55" s="18">
        <f t="shared" si="1"/>
        <v>33</v>
      </c>
      <c r="BO55" s="18"/>
      <c r="BP55" s="18"/>
      <c r="BT55" s="167"/>
      <c r="BU55" s="172" t="s">
        <v>322</v>
      </c>
      <c r="BV55" s="172">
        <v>2.6765550292695419</v>
      </c>
      <c r="BW55" s="167"/>
      <c r="EQ55" s="178"/>
      <c r="ES55" s="55"/>
      <c r="ET55" s="178"/>
      <c r="EV55" s="55"/>
    </row>
    <row r="56" spans="1:152" x14ac:dyDescent="0.25">
      <c r="A56" s="18" t="s">
        <v>6</v>
      </c>
      <c r="B56" s="18">
        <v>2024</v>
      </c>
      <c r="C56" s="18" t="s">
        <v>138</v>
      </c>
      <c r="D56" s="18" t="s">
        <v>10</v>
      </c>
      <c r="E56" s="18">
        <v>10</v>
      </c>
      <c r="F56" s="18">
        <v>10</v>
      </c>
      <c r="G56" s="18" t="s">
        <v>135</v>
      </c>
      <c r="H56" s="18" t="s">
        <v>135</v>
      </c>
      <c r="I56" s="18" t="s">
        <v>163</v>
      </c>
      <c r="J56" s="31">
        <v>53.35</v>
      </c>
      <c r="K56" s="31">
        <v>53.85</v>
      </c>
      <c r="L56" s="4">
        <v>0.5</v>
      </c>
      <c r="M56" s="5">
        <v>0.8</v>
      </c>
      <c r="N56" s="31">
        <v>0.4</v>
      </c>
      <c r="O56" s="31">
        <v>0.4</v>
      </c>
      <c r="P56" s="31">
        <v>40</v>
      </c>
      <c r="Q56" s="31">
        <v>10</v>
      </c>
      <c r="R56" s="84">
        <v>0.4</v>
      </c>
      <c r="S56" s="31">
        <v>0.27</v>
      </c>
      <c r="T56" s="86">
        <v>54</v>
      </c>
      <c r="U56" s="31">
        <v>4</v>
      </c>
      <c r="V56" s="31"/>
      <c r="W56" s="31">
        <v>4</v>
      </c>
      <c r="X56" s="31">
        <v>100</v>
      </c>
      <c r="Y56" s="18">
        <v>60</v>
      </c>
      <c r="Z56" s="18" t="s">
        <v>92</v>
      </c>
      <c r="AA56" s="18" t="s">
        <v>120</v>
      </c>
      <c r="AB56" s="18" t="s">
        <v>334</v>
      </c>
      <c r="AC56" s="18">
        <v>10</v>
      </c>
      <c r="AD56" s="18">
        <v>40</v>
      </c>
      <c r="AE56" s="18" t="s">
        <v>27</v>
      </c>
      <c r="AF56" s="18" t="s">
        <v>29</v>
      </c>
      <c r="AG56" s="18" t="s">
        <v>29</v>
      </c>
      <c r="AH56" s="18">
        <v>35</v>
      </c>
      <c r="AI56" s="18" t="s">
        <v>27</v>
      </c>
      <c r="AJ56" s="18" t="s">
        <v>64</v>
      </c>
      <c r="AK56" s="18" t="s">
        <v>77</v>
      </c>
      <c r="AL56" s="18" t="s">
        <v>92</v>
      </c>
      <c r="AM56" s="18" t="s">
        <v>109</v>
      </c>
      <c r="AN56" s="18" t="s">
        <v>118</v>
      </c>
      <c r="AO56" s="18" t="s">
        <v>198</v>
      </c>
      <c r="AP56" s="18" t="s">
        <v>207</v>
      </c>
      <c r="AQ56" s="18"/>
      <c r="AR56" s="18">
        <v>2</v>
      </c>
      <c r="AS56" s="18">
        <v>3</v>
      </c>
      <c r="AT56" s="18">
        <v>3</v>
      </c>
      <c r="AU56" s="18">
        <v>1</v>
      </c>
      <c r="AV56" s="18">
        <v>2</v>
      </c>
      <c r="AW56" s="18">
        <v>11</v>
      </c>
      <c r="AX56" s="49">
        <v>11</v>
      </c>
      <c r="AY56" s="49">
        <f>VLOOKUP(AI56,Leyenda!$B$4:$E$10,4,FALSE)</f>
        <v>4</v>
      </c>
      <c r="AZ56" s="50">
        <v>7</v>
      </c>
      <c r="BA56" s="49">
        <v>11</v>
      </c>
      <c r="BB56" s="49">
        <v>15</v>
      </c>
      <c r="BC56" s="4">
        <v>43.5</v>
      </c>
      <c r="BD56" s="4">
        <f>VLOOKUP(AI56,Leyenda!$B$4:$E$10,4,FALSE)</f>
        <v>4</v>
      </c>
      <c r="BE56" s="4">
        <v>8</v>
      </c>
      <c r="BF56" s="4">
        <v>11</v>
      </c>
      <c r="BG56" s="4">
        <v>3</v>
      </c>
      <c r="BH56" s="4">
        <v>1</v>
      </c>
      <c r="BI56" s="4">
        <v>2</v>
      </c>
      <c r="BJ56" s="4">
        <v>3</v>
      </c>
      <c r="BK56" s="4">
        <v>3</v>
      </c>
      <c r="BL56" s="4">
        <v>10</v>
      </c>
      <c r="BM56" s="4">
        <f t="shared" si="0"/>
        <v>45</v>
      </c>
      <c r="BN56" s="18">
        <f t="shared" si="1"/>
        <v>48</v>
      </c>
      <c r="BO56" s="18"/>
      <c r="BP56" s="18"/>
      <c r="BT56" s="167"/>
      <c r="BU56" s="167"/>
      <c r="BV56" s="167"/>
      <c r="BW56" s="167"/>
      <c r="EQ56" s="178"/>
      <c r="ES56" s="55"/>
      <c r="ET56" s="178"/>
      <c r="EV56" s="55"/>
    </row>
    <row r="57" spans="1:152" x14ac:dyDescent="0.25">
      <c r="A57" s="18" t="s">
        <v>6</v>
      </c>
      <c r="B57" s="18">
        <v>2024</v>
      </c>
      <c r="C57" s="18" t="s">
        <v>138</v>
      </c>
      <c r="D57" s="18" t="s">
        <v>10</v>
      </c>
      <c r="E57" s="18">
        <v>10</v>
      </c>
      <c r="F57" s="18">
        <v>10</v>
      </c>
      <c r="G57" s="18" t="s">
        <v>135</v>
      </c>
      <c r="H57" s="18" t="s">
        <v>135</v>
      </c>
      <c r="I57" s="18" t="s">
        <v>163</v>
      </c>
      <c r="J57" s="31">
        <v>53.85</v>
      </c>
      <c r="K57" s="31">
        <v>54.35</v>
      </c>
      <c r="L57" s="4">
        <v>0.5</v>
      </c>
      <c r="M57" s="5">
        <v>0.96</v>
      </c>
      <c r="N57" s="31">
        <v>0.48</v>
      </c>
      <c r="O57" s="31">
        <v>0.48</v>
      </c>
      <c r="P57" s="31">
        <v>96</v>
      </c>
      <c r="Q57" s="31">
        <v>5</v>
      </c>
      <c r="R57" s="31">
        <v>0.44</v>
      </c>
      <c r="S57" s="31">
        <v>0.1</v>
      </c>
      <c r="T57" s="86">
        <v>20</v>
      </c>
      <c r="U57" s="31">
        <v>3</v>
      </c>
      <c r="V57" s="31"/>
      <c r="W57" s="31">
        <v>3</v>
      </c>
      <c r="X57" s="31">
        <v>146.66666666666666</v>
      </c>
      <c r="Y57" s="18">
        <v>20</v>
      </c>
      <c r="Z57" s="18" t="s">
        <v>96</v>
      </c>
      <c r="AA57" s="18" t="s">
        <v>118</v>
      </c>
      <c r="AB57" s="18" t="s">
        <v>337</v>
      </c>
      <c r="AC57" s="18">
        <v>5</v>
      </c>
      <c r="AD57" s="18">
        <v>96</v>
      </c>
      <c r="AE57" s="18" t="s">
        <v>29</v>
      </c>
      <c r="AF57" s="18" t="s">
        <v>29</v>
      </c>
      <c r="AG57" s="18" t="s">
        <v>29</v>
      </c>
      <c r="AH57" s="18">
        <v>35</v>
      </c>
      <c r="AI57" s="18" t="s">
        <v>27</v>
      </c>
      <c r="AJ57" s="18" t="s">
        <v>64</v>
      </c>
      <c r="AK57" s="18" t="s">
        <v>79</v>
      </c>
      <c r="AL57" s="18" t="s">
        <v>92</v>
      </c>
      <c r="AM57" s="18" t="s">
        <v>109</v>
      </c>
      <c r="AN57" s="18" t="s">
        <v>120</v>
      </c>
      <c r="AO57" s="18" t="s">
        <v>198</v>
      </c>
      <c r="AP57" s="18"/>
      <c r="AQ57" s="18"/>
      <c r="AR57" s="18">
        <v>2</v>
      </c>
      <c r="AS57" s="18">
        <v>1</v>
      </c>
      <c r="AT57" s="18">
        <v>3</v>
      </c>
      <c r="AU57" s="18">
        <v>1</v>
      </c>
      <c r="AV57" s="18">
        <v>2</v>
      </c>
      <c r="AW57" s="18">
        <v>9</v>
      </c>
      <c r="AX57" s="49">
        <v>4</v>
      </c>
      <c r="AY57" s="49">
        <f>VLOOKUP(AI57,Leyenda!$B$4:$E$10,4,FALSE)</f>
        <v>4</v>
      </c>
      <c r="AZ57" s="50">
        <v>8</v>
      </c>
      <c r="BA57" s="49">
        <v>9</v>
      </c>
      <c r="BB57" s="49">
        <v>15</v>
      </c>
      <c r="BC57" s="67">
        <v>23.5</v>
      </c>
      <c r="BD57" s="67">
        <f>VLOOKUP(AI57,Leyenda!$B$4:$E$10,4,FALSE)</f>
        <v>4</v>
      </c>
      <c r="BE57" s="67">
        <v>10</v>
      </c>
      <c r="BF57" s="67">
        <v>4</v>
      </c>
      <c r="BG57" s="67">
        <v>3</v>
      </c>
      <c r="BH57" s="67">
        <v>1</v>
      </c>
      <c r="BI57" s="67">
        <v>2</v>
      </c>
      <c r="BJ57" s="67">
        <v>1</v>
      </c>
      <c r="BK57" s="67">
        <v>3</v>
      </c>
      <c r="BL57" s="67">
        <v>10</v>
      </c>
      <c r="BM57" s="67">
        <f t="shared" si="0"/>
        <v>38</v>
      </c>
      <c r="BN57" s="18">
        <f t="shared" si="1"/>
        <v>40</v>
      </c>
      <c r="BO57" s="18"/>
      <c r="BP57" s="18"/>
      <c r="BT57" s="167"/>
      <c r="BU57" s="167"/>
      <c r="BV57" s="167"/>
      <c r="BW57" s="167"/>
      <c r="EQ57" s="178"/>
      <c r="ES57" s="55"/>
      <c r="ET57" s="178"/>
      <c r="EV57" s="55"/>
    </row>
    <row r="58" spans="1:152" x14ac:dyDescent="0.25">
      <c r="A58" s="18" t="s">
        <v>6</v>
      </c>
      <c r="B58" s="18">
        <v>2024</v>
      </c>
      <c r="C58" s="18" t="s">
        <v>138</v>
      </c>
      <c r="D58" s="18" t="s">
        <v>10</v>
      </c>
      <c r="E58" s="18">
        <v>10</v>
      </c>
      <c r="F58" s="18">
        <v>10</v>
      </c>
      <c r="G58" s="18" t="s">
        <v>135</v>
      </c>
      <c r="H58" s="18" t="s">
        <v>135</v>
      </c>
      <c r="I58" s="18" t="s">
        <v>163</v>
      </c>
      <c r="J58" s="31">
        <v>54.35</v>
      </c>
      <c r="K58" s="31">
        <v>54.85</v>
      </c>
      <c r="L58" s="4">
        <v>0.5</v>
      </c>
      <c r="M58" s="5">
        <v>0.8</v>
      </c>
      <c r="N58" s="31">
        <v>0.4</v>
      </c>
      <c r="O58" s="31">
        <v>0.4</v>
      </c>
      <c r="P58" s="31">
        <v>80</v>
      </c>
      <c r="Q58" s="31">
        <v>5</v>
      </c>
      <c r="R58" s="31">
        <v>0.4</v>
      </c>
      <c r="S58" s="31">
        <v>0.16</v>
      </c>
      <c r="T58" s="86">
        <v>32</v>
      </c>
      <c r="U58" s="31">
        <v>4</v>
      </c>
      <c r="V58" s="31"/>
      <c r="W58" s="31">
        <v>4</v>
      </c>
      <c r="X58" s="31">
        <v>100</v>
      </c>
      <c r="Y58" s="18">
        <v>50</v>
      </c>
      <c r="Z58" s="18" t="s">
        <v>96</v>
      </c>
      <c r="AA58" s="18" t="s">
        <v>118</v>
      </c>
      <c r="AB58" s="18" t="s">
        <v>337</v>
      </c>
      <c r="AC58" s="18">
        <v>5</v>
      </c>
      <c r="AD58" s="18">
        <v>80</v>
      </c>
      <c r="AE58" s="18" t="s">
        <v>29</v>
      </c>
      <c r="AF58" s="18" t="s">
        <v>32</v>
      </c>
      <c r="AG58" s="18" t="s">
        <v>32</v>
      </c>
      <c r="AH58" s="18">
        <v>35</v>
      </c>
      <c r="AI58" s="18" t="s">
        <v>27</v>
      </c>
      <c r="AJ58" s="18" t="s">
        <v>66</v>
      </c>
      <c r="AK58" s="18" t="s">
        <v>81</v>
      </c>
      <c r="AL58" s="18" t="s">
        <v>92</v>
      </c>
      <c r="AM58" s="18" t="s">
        <v>107</v>
      </c>
      <c r="AN58" s="18" t="s">
        <v>118</v>
      </c>
      <c r="AO58" s="18" t="s">
        <v>198</v>
      </c>
      <c r="AP58" s="18" t="s">
        <v>207</v>
      </c>
      <c r="AQ58" s="18"/>
      <c r="AR58" s="18">
        <v>1</v>
      </c>
      <c r="AS58" s="18">
        <v>0</v>
      </c>
      <c r="AT58" s="18">
        <v>3</v>
      </c>
      <c r="AU58" s="18">
        <v>3</v>
      </c>
      <c r="AV58" s="18">
        <v>2</v>
      </c>
      <c r="AW58" s="18">
        <v>9</v>
      </c>
      <c r="AX58" s="49">
        <v>7</v>
      </c>
      <c r="AY58" s="49">
        <f>VLOOKUP(AI58,Leyenda!$B$4:$E$10,4,FALSE)</f>
        <v>4</v>
      </c>
      <c r="AZ58" s="50">
        <v>7</v>
      </c>
      <c r="BA58" s="49">
        <v>9</v>
      </c>
      <c r="BB58" s="49">
        <v>15</v>
      </c>
      <c r="BC58" s="67">
        <v>29.5</v>
      </c>
      <c r="BD58" s="67">
        <f>VLOOKUP(AI58,Leyenda!$B$4:$E$10,4,FALSE)</f>
        <v>4</v>
      </c>
      <c r="BE58" s="67">
        <v>8</v>
      </c>
      <c r="BF58" s="67">
        <v>7</v>
      </c>
      <c r="BG58" s="67">
        <v>3</v>
      </c>
      <c r="BH58" s="67">
        <v>3</v>
      </c>
      <c r="BI58" s="67">
        <v>2</v>
      </c>
      <c r="BJ58" s="67">
        <v>0</v>
      </c>
      <c r="BK58" s="67">
        <v>1</v>
      </c>
      <c r="BL58" s="67">
        <v>10</v>
      </c>
      <c r="BM58" s="67">
        <f t="shared" si="0"/>
        <v>38</v>
      </c>
      <c r="BN58" s="18">
        <f t="shared" si="1"/>
        <v>42</v>
      </c>
      <c r="BO58" s="18"/>
      <c r="BP58" s="18"/>
      <c r="EQ58" s="178"/>
      <c r="ES58" s="55"/>
      <c r="ET58" s="178"/>
      <c r="EV58" s="55"/>
    </row>
    <row r="59" spans="1:152" x14ac:dyDescent="0.25">
      <c r="A59" s="18" t="s">
        <v>6</v>
      </c>
      <c r="B59" s="18">
        <v>2024</v>
      </c>
      <c r="C59" s="18" t="s">
        <v>138</v>
      </c>
      <c r="D59" s="18" t="s">
        <v>10</v>
      </c>
      <c r="E59" s="18">
        <v>10</v>
      </c>
      <c r="F59" s="18">
        <v>10</v>
      </c>
      <c r="G59" s="18" t="s">
        <v>135</v>
      </c>
      <c r="H59" s="18" t="s">
        <v>135</v>
      </c>
      <c r="I59" s="18" t="s">
        <v>163</v>
      </c>
      <c r="J59" s="31">
        <v>54.85</v>
      </c>
      <c r="K59" s="31">
        <v>55.35</v>
      </c>
      <c r="L59" s="4">
        <v>0.5</v>
      </c>
      <c r="M59" s="5">
        <v>0.66</v>
      </c>
      <c r="N59" s="31">
        <v>0.33</v>
      </c>
      <c r="O59" s="31">
        <v>0.33</v>
      </c>
      <c r="P59" s="31">
        <v>330</v>
      </c>
      <c r="Q59" s="31">
        <v>1</v>
      </c>
      <c r="R59" s="31">
        <v>0.25</v>
      </c>
      <c r="S59" s="31">
        <v>0.16</v>
      </c>
      <c r="T59" s="86">
        <v>32</v>
      </c>
      <c r="U59" s="31">
        <v>3</v>
      </c>
      <c r="V59" s="31"/>
      <c r="W59" s="31">
        <v>3</v>
      </c>
      <c r="X59" s="31">
        <v>83.333333333333329</v>
      </c>
      <c r="Y59" s="18">
        <v>38</v>
      </c>
      <c r="Z59" s="18" t="s">
        <v>96</v>
      </c>
      <c r="AA59" s="18" t="s">
        <v>116</v>
      </c>
      <c r="AB59" s="18" t="s">
        <v>337</v>
      </c>
      <c r="AC59" s="18">
        <v>1</v>
      </c>
      <c r="AD59" s="18">
        <v>330</v>
      </c>
      <c r="AE59" s="18" t="s">
        <v>29</v>
      </c>
      <c r="AF59" s="18" t="s">
        <v>32</v>
      </c>
      <c r="AG59" s="18" t="s">
        <v>32</v>
      </c>
      <c r="AH59" s="18">
        <v>35</v>
      </c>
      <c r="AI59" s="18" t="s">
        <v>27</v>
      </c>
      <c r="AJ59" s="18" t="s">
        <v>64</v>
      </c>
      <c r="AK59" s="18" t="s">
        <v>81</v>
      </c>
      <c r="AL59" s="18" t="s">
        <v>92</v>
      </c>
      <c r="AM59" s="18" t="s">
        <v>109</v>
      </c>
      <c r="AN59" s="18" t="s">
        <v>120</v>
      </c>
      <c r="AO59" s="18" t="s">
        <v>198</v>
      </c>
      <c r="AP59" s="18" t="s">
        <v>207</v>
      </c>
      <c r="AQ59" s="18"/>
      <c r="AR59" s="18">
        <v>2</v>
      </c>
      <c r="AS59" s="18">
        <v>0</v>
      </c>
      <c r="AT59" s="18">
        <v>3</v>
      </c>
      <c r="AU59" s="18">
        <v>1</v>
      </c>
      <c r="AV59" s="18">
        <v>2</v>
      </c>
      <c r="AW59" s="18">
        <v>8</v>
      </c>
      <c r="AX59" s="49">
        <v>7</v>
      </c>
      <c r="AY59" s="49">
        <f>VLOOKUP(AI59,Leyenda!$B$4:$E$10,4,FALSE)</f>
        <v>4</v>
      </c>
      <c r="AZ59" s="50">
        <v>7</v>
      </c>
      <c r="BA59" s="49">
        <v>8</v>
      </c>
      <c r="BB59" s="49">
        <v>15</v>
      </c>
      <c r="BC59" s="67">
        <v>28</v>
      </c>
      <c r="BD59" s="67">
        <f>VLOOKUP(AI59,Leyenda!$B$4:$E$10,4,FALSE)</f>
        <v>4</v>
      </c>
      <c r="BE59" s="67">
        <v>7</v>
      </c>
      <c r="BF59" s="67">
        <v>7</v>
      </c>
      <c r="BG59" s="67">
        <v>3</v>
      </c>
      <c r="BH59" s="67">
        <v>1</v>
      </c>
      <c r="BI59" s="67">
        <v>2</v>
      </c>
      <c r="BJ59" s="67">
        <v>0</v>
      </c>
      <c r="BK59" s="67">
        <v>3</v>
      </c>
      <c r="BL59" s="67">
        <v>10</v>
      </c>
      <c r="BM59" s="67">
        <f t="shared" si="0"/>
        <v>37</v>
      </c>
      <c r="BN59" s="18">
        <f t="shared" si="1"/>
        <v>41</v>
      </c>
      <c r="BO59" s="18"/>
      <c r="BP59" s="18"/>
      <c r="EQ59" s="178"/>
      <c r="ES59" s="55"/>
      <c r="ET59" s="178"/>
      <c r="EV59" s="55"/>
    </row>
    <row r="60" spans="1:152" x14ac:dyDescent="0.25">
      <c r="A60" s="18" t="s">
        <v>6</v>
      </c>
      <c r="B60" s="18">
        <v>2024</v>
      </c>
      <c r="C60" s="18" t="s">
        <v>138</v>
      </c>
      <c r="D60" s="18" t="s">
        <v>10</v>
      </c>
      <c r="E60" s="18">
        <v>10</v>
      </c>
      <c r="F60" s="18">
        <v>10</v>
      </c>
      <c r="G60" s="18" t="s">
        <v>135</v>
      </c>
      <c r="H60" s="18" t="s">
        <v>135</v>
      </c>
      <c r="I60" s="18" t="s">
        <v>163</v>
      </c>
      <c r="J60" s="31">
        <v>55.35</v>
      </c>
      <c r="K60" s="31">
        <v>55.85</v>
      </c>
      <c r="L60" s="4">
        <v>0.5</v>
      </c>
      <c r="M60" s="5">
        <v>0.92</v>
      </c>
      <c r="N60" s="31">
        <v>0.46</v>
      </c>
      <c r="O60" s="31">
        <v>0.46</v>
      </c>
      <c r="P60" s="31">
        <v>23</v>
      </c>
      <c r="Q60" s="31">
        <v>20</v>
      </c>
      <c r="R60" s="31">
        <v>0.45</v>
      </c>
      <c r="S60" s="31">
        <v>0.15</v>
      </c>
      <c r="T60" s="86">
        <v>30</v>
      </c>
      <c r="U60" s="31">
        <v>5</v>
      </c>
      <c r="V60" s="31"/>
      <c r="W60" s="31">
        <v>5</v>
      </c>
      <c r="X60" s="31">
        <v>90</v>
      </c>
      <c r="Y60" s="18">
        <v>20</v>
      </c>
      <c r="Z60" s="18" t="s">
        <v>100</v>
      </c>
      <c r="AA60" s="18" t="s">
        <v>333</v>
      </c>
      <c r="AB60" s="18" t="s">
        <v>336</v>
      </c>
      <c r="AC60" s="18">
        <v>20</v>
      </c>
      <c r="AD60" s="18">
        <v>23</v>
      </c>
      <c r="AE60" s="18" t="s">
        <v>32</v>
      </c>
      <c r="AF60" s="18" t="s">
        <v>34</v>
      </c>
      <c r="AG60" s="18" t="s">
        <v>34</v>
      </c>
      <c r="AH60" s="18">
        <v>35</v>
      </c>
      <c r="AI60" s="18" t="s">
        <v>27</v>
      </c>
      <c r="AJ60" s="18" t="s">
        <v>66</v>
      </c>
      <c r="AK60" s="18" t="s">
        <v>81</v>
      </c>
      <c r="AL60" s="18" t="s">
        <v>100</v>
      </c>
      <c r="AM60" s="18" t="s">
        <v>107</v>
      </c>
      <c r="AN60" s="18" t="s">
        <v>118</v>
      </c>
      <c r="AO60" s="18" t="s">
        <v>198</v>
      </c>
      <c r="AP60" s="18"/>
      <c r="AQ60" s="18"/>
      <c r="AR60" s="18">
        <v>1</v>
      </c>
      <c r="AS60" s="18">
        <v>0</v>
      </c>
      <c r="AT60" s="18">
        <v>0</v>
      </c>
      <c r="AU60" s="18">
        <v>3</v>
      </c>
      <c r="AV60" s="18">
        <v>2</v>
      </c>
      <c r="AW60" s="18">
        <v>6</v>
      </c>
      <c r="AX60" s="49">
        <v>6</v>
      </c>
      <c r="AY60" s="49">
        <f>VLOOKUP(AI60,Leyenda!$B$4:$E$10,4,FALSE)</f>
        <v>4</v>
      </c>
      <c r="AZ60" s="50">
        <v>7</v>
      </c>
      <c r="BA60" s="49">
        <v>6</v>
      </c>
      <c r="BB60" s="49">
        <v>15</v>
      </c>
      <c r="BC60" s="67">
        <v>24</v>
      </c>
      <c r="BD60" s="67">
        <f>VLOOKUP(AI60,Leyenda!$B$4:$E$10,4,FALSE)</f>
        <v>4</v>
      </c>
      <c r="BE60" s="67">
        <v>8</v>
      </c>
      <c r="BF60" s="67">
        <v>6</v>
      </c>
      <c r="BG60" s="67">
        <v>0</v>
      </c>
      <c r="BH60" s="67">
        <v>3</v>
      </c>
      <c r="BI60" s="67">
        <v>2</v>
      </c>
      <c r="BJ60" s="67">
        <v>0</v>
      </c>
      <c r="BK60" s="67">
        <v>1</v>
      </c>
      <c r="BL60" s="67">
        <v>10</v>
      </c>
      <c r="BM60" s="67">
        <f t="shared" si="0"/>
        <v>34</v>
      </c>
      <c r="BN60" s="18">
        <f t="shared" si="1"/>
        <v>38</v>
      </c>
      <c r="BO60" s="18"/>
      <c r="BP60" s="18"/>
      <c r="EQ60" s="178"/>
      <c r="ES60" s="55"/>
      <c r="ET60" s="178"/>
      <c r="EV60" s="55"/>
    </row>
    <row r="61" spans="1:152" ht="15.75" thickBot="1" x14ac:dyDescent="0.3">
      <c r="A61" s="18" t="s">
        <v>6</v>
      </c>
      <c r="B61" s="18">
        <v>2024</v>
      </c>
      <c r="C61" s="18" t="s">
        <v>138</v>
      </c>
      <c r="D61" s="18" t="s">
        <v>10</v>
      </c>
      <c r="E61" s="18">
        <v>10</v>
      </c>
      <c r="F61" s="18">
        <v>10</v>
      </c>
      <c r="G61" s="18" t="s">
        <v>135</v>
      </c>
      <c r="H61" s="18" t="s">
        <v>135</v>
      </c>
      <c r="I61" s="18" t="s">
        <v>163</v>
      </c>
      <c r="J61" s="31">
        <v>55.85</v>
      </c>
      <c r="K61" s="31">
        <v>56.35</v>
      </c>
      <c r="L61" s="4">
        <v>0.5</v>
      </c>
      <c r="M61" s="5">
        <v>0.8</v>
      </c>
      <c r="N61" s="31">
        <v>0.4</v>
      </c>
      <c r="O61" s="31">
        <v>0.4</v>
      </c>
      <c r="P61" s="31">
        <v>20</v>
      </c>
      <c r="Q61" s="31">
        <v>20</v>
      </c>
      <c r="R61" s="31">
        <v>0.36</v>
      </c>
      <c r="S61" s="31">
        <v>0</v>
      </c>
      <c r="T61" s="86">
        <v>0</v>
      </c>
      <c r="U61" s="31">
        <v>6</v>
      </c>
      <c r="V61" s="31"/>
      <c r="W61" s="31">
        <v>6</v>
      </c>
      <c r="X61" s="31">
        <v>60</v>
      </c>
      <c r="Y61" s="18">
        <v>0</v>
      </c>
      <c r="Z61" s="18" t="s">
        <v>96</v>
      </c>
      <c r="AA61" s="18" t="s">
        <v>333</v>
      </c>
      <c r="AB61" s="18" t="s">
        <v>335</v>
      </c>
      <c r="AC61" s="18">
        <v>20</v>
      </c>
      <c r="AD61" s="18">
        <v>20</v>
      </c>
      <c r="AE61" s="18" t="s">
        <v>34</v>
      </c>
      <c r="AF61" s="18" t="s">
        <v>32</v>
      </c>
      <c r="AG61" s="18" t="s">
        <v>32</v>
      </c>
      <c r="AH61" s="18">
        <v>35</v>
      </c>
      <c r="AI61" s="18" t="s">
        <v>27</v>
      </c>
      <c r="AJ61" s="18" t="s">
        <v>64</v>
      </c>
      <c r="AK61" s="18" t="s">
        <v>79</v>
      </c>
      <c r="AL61" s="18" t="s">
        <v>92</v>
      </c>
      <c r="AM61" s="18" t="s">
        <v>109</v>
      </c>
      <c r="AN61" s="18" t="s">
        <v>122</v>
      </c>
      <c r="AO61" s="18" t="s">
        <v>198</v>
      </c>
      <c r="AP61" s="18"/>
      <c r="AQ61" s="18"/>
      <c r="AR61" s="18">
        <v>2</v>
      </c>
      <c r="AS61" s="18">
        <v>1</v>
      </c>
      <c r="AT61" s="18">
        <v>3</v>
      </c>
      <c r="AU61" s="18">
        <v>1</v>
      </c>
      <c r="AV61" s="18">
        <v>0</v>
      </c>
      <c r="AW61" s="18">
        <v>7</v>
      </c>
      <c r="AX61" s="49">
        <v>0</v>
      </c>
      <c r="AY61" s="49">
        <f>VLOOKUP(AI61,Leyenda!$B$4:$E$10,4,FALSE)</f>
        <v>4</v>
      </c>
      <c r="AZ61" s="50">
        <v>6</v>
      </c>
      <c r="BA61" s="49">
        <v>7</v>
      </c>
      <c r="BB61" s="49">
        <v>15</v>
      </c>
      <c r="BC61" s="67">
        <v>10.5</v>
      </c>
      <c r="BD61" s="67">
        <f>VLOOKUP(AI61,Leyenda!$B$4:$E$10,4,FALSE)</f>
        <v>4</v>
      </c>
      <c r="BE61" s="67">
        <v>5</v>
      </c>
      <c r="BF61" s="67">
        <v>0</v>
      </c>
      <c r="BG61" s="67">
        <v>3</v>
      </c>
      <c r="BH61" s="67">
        <v>1</v>
      </c>
      <c r="BI61" s="67">
        <v>0</v>
      </c>
      <c r="BJ61" s="67">
        <v>1</v>
      </c>
      <c r="BK61" s="67">
        <v>3</v>
      </c>
      <c r="BL61" s="67">
        <v>10</v>
      </c>
      <c r="BM61" s="67">
        <f t="shared" si="0"/>
        <v>27</v>
      </c>
      <c r="BN61" s="18">
        <f t="shared" si="1"/>
        <v>32</v>
      </c>
      <c r="BO61" s="18"/>
      <c r="BP61" s="18"/>
      <c r="EQ61" s="178"/>
      <c r="ES61" s="55"/>
      <c r="ET61" s="178"/>
      <c r="EV61" s="55"/>
    </row>
    <row r="62" spans="1:152" x14ac:dyDescent="0.25">
      <c r="A62" s="18" t="s">
        <v>6</v>
      </c>
      <c r="B62" s="18">
        <v>2024</v>
      </c>
      <c r="C62" s="18" t="s">
        <v>138</v>
      </c>
      <c r="D62" s="18" t="s">
        <v>10</v>
      </c>
      <c r="E62" s="18">
        <v>10</v>
      </c>
      <c r="F62" s="18">
        <v>10</v>
      </c>
      <c r="G62" s="18" t="s">
        <v>135</v>
      </c>
      <c r="H62" s="18" t="s">
        <v>135</v>
      </c>
      <c r="I62" s="18" t="s">
        <v>163</v>
      </c>
      <c r="J62" s="31">
        <v>56.35</v>
      </c>
      <c r="K62" s="31">
        <v>56.85</v>
      </c>
      <c r="L62" s="4">
        <v>0.5</v>
      </c>
      <c r="M62" s="5">
        <v>0.86</v>
      </c>
      <c r="N62" s="31">
        <v>0.43</v>
      </c>
      <c r="O62" s="31">
        <v>0.43</v>
      </c>
      <c r="P62" s="31">
        <v>430</v>
      </c>
      <c r="Q62" s="31">
        <v>1</v>
      </c>
      <c r="R62" s="31">
        <v>0.43</v>
      </c>
      <c r="S62" s="31">
        <v>0</v>
      </c>
      <c r="T62" s="86">
        <v>0</v>
      </c>
      <c r="U62" s="31">
        <v>5</v>
      </c>
      <c r="V62" s="31"/>
      <c r="W62" s="31">
        <v>5</v>
      </c>
      <c r="X62" s="31">
        <v>86</v>
      </c>
      <c r="Y62" s="18">
        <v>20</v>
      </c>
      <c r="Z62" s="18" t="s">
        <v>96</v>
      </c>
      <c r="AA62" s="18" t="s">
        <v>116</v>
      </c>
      <c r="AB62" s="18" t="s">
        <v>337</v>
      </c>
      <c r="AC62" s="18">
        <v>1</v>
      </c>
      <c r="AD62" s="18">
        <v>430</v>
      </c>
      <c r="AE62" s="18" t="s">
        <v>29</v>
      </c>
      <c r="AF62" s="18" t="s">
        <v>32</v>
      </c>
      <c r="AG62" s="18" t="s">
        <v>32</v>
      </c>
      <c r="AH62" s="18">
        <v>35</v>
      </c>
      <c r="AI62" s="18" t="s">
        <v>27</v>
      </c>
      <c r="AJ62" s="18" t="s">
        <v>64</v>
      </c>
      <c r="AK62" s="18" t="s">
        <v>77</v>
      </c>
      <c r="AL62" s="18" t="s">
        <v>96</v>
      </c>
      <c r="AM62" s="18" t="s">
        <v>109</v>
      </c>
      <c r="AN62" s="18" t="s">
        <v>118</v>
      </c>
      <c r="AO62" s="18" t="s">
        <v>198</v>
      </c>
      <c r="AP62" s="18"/>
      <c r="AQ62" s="18"/>
      <c r="AR62" s="18">
        <v>2</v>
      </c>
      <c r="AS62" s="18">
        <v>3</v>
      </c>
      <c r="AT62" s="18">
        <v>1</v>
      </c>
      <c r="AU62" s="18">
        <v>1</v>
      </c>
      <c r="AV62" s="18">
        <v>2</v>
      </c>
      <c r="AW62" s="18">
        <v>9</v>
      </c>
      <c r="AX62" s="49">
        <v>0</v>
      </c>
      <c r="AY62" s="49">
        <f>VLOOKUP(AI62,Leyenda!$B$4:$E$10,4,FALSE)</f>
        <v>4</v>
      </c>
      <c r="AZ62" s="50">
        <v>7</v>
      </c>
      <c r="BA62" s="49">
        <v>9</v>
      </c>
      <c r="BB62" s="49">
        <v>15</v>
      </c>
      <c r="BC62" s="67">
        <v>13.5</v>
      </c>
      <c r="BD62" s="67">
        <f>VLOOKUP(AI62,Leyenda!$B$4:$E$10,4,FALSE)</f>
        <v>4</v>
      </c>
      <c r="BE62" s="67">
        <v>7</v>
      </c>
      <c r="BF62" s="67">
        <v>0</v>
      </c>
      <c r="BG62" s="67">
        <v>1</v>
      </c>
      <c r="BH62" s="67">
        <v>1</v>
      </c>
      <c r="BI62" s="67">
        <v>2</v>
      </c>
      <c r="BJ62" s="67">
        <v>3</v>
      </c>
      <c r="BK62" s="67">
        <v>3</v>
      </c>
      <c r="BL62" s="67">
        <v>10</v>
      </c>
      <c r="BM62" s="67">
        <f t="shared" si="0"/>
        <v>31</v>
      </c>
      <c r="BN62" s="18">
        <f t="shared" si="1"/>
        <v>35</v>
      </c>
      <c r="BO62" s="18"/>
      <c r="BP62" s="18"/>
      <c r="CI62" s="96" t="s">
        <v>287</v>
      </c>
      <c r="CJ62" s="96" t="s">
        <v>288</v>
      </c>
      <c r="CK62" s="96" t="s">
        <v>582</v>
      </c>
      <c r="CL62" s="96" t="s">
        <v>287</v>
      </c>
      <c r="CM62" s="96" t="s">
        <v>288</v>
      </c>
      <c r="CN62" s="96" t="s">
        <v>582</v>
      </c>
      <c r="CO62" s="39" t="s">
        <v>642</v>
      </c>
      <c r="EQ62" s="178"/>
      <c r="ES62" s="55"/>
      <c r="ET62" s="178"/>
      <c r="EV62" s="55"/>
    </row>
    <row r="63" spans="1:152" x14ac:dyDescent="0.25">
      <c r="A63" s="18" t="s">
        <v>6</v>
      </c>
      <c r="B63" s="18">
        <v>2024</v>
      </c>
      <c r="C63" s="18" t="s">
        <v>138</v>
      </c>
      <c r="D63" s="18" t="s">
        <v>10</v>
      </c>
      <c r="E63" s="18">
        <v>10</v>
      </c>
      <c r="F63" s="18">
        <v>10</v>
      </c>
      <c r="G63" s="18" t="s">
        <v>135</v>
      </c>
      <c r="H63" s="18" t="s">
        <v>135</v>
      </c>
      <c r="I63" s="18" t="s">
        <v>163</v>
      </c>
      <c r="J63" s="31">
        <v>56.85</v>
      </c>
      <c r="K63" s="31">
        <v>57.35</v>
      </c>
      <c r="L63" s="4">
        <v>0.5</v>
      </c>
      <c r="M63" s="5">
        <v>0.6</v>
      </c>
      <c r="N63" s="31">
        <v>0.3</v>
      </c>
      <c r="O63" s="31">
        <v>0.3</v>
      </c>
      <c r="P63" s="31">
        <v>15</v>
      </c>
      <c r="Q63" s="31">
        <v>20</v>
      </c>
      <c r="R63" s="31">
        <v>0.28999999999999998</v>
      </c>
      <c r="S63" s="31">
        <v>0</v>
      </c>
      <c r="T63" s="86">
        <v>0</v>
      </c>
      <c r="U63" s="31">
        <v>10</v>
      </c>
      <c r="V63" s="31"/>
      <c r="W63" s="31">
        <v>10</v>
      </c>
      <c r="X63" s="31">
        <v>29</v>
      </c>
      <c r="Y63" s="18">
        <v>0</v>
      </c>
      <c r="Z63" s="18" t="s">
        <v>100</v>
      </c>
      <c r="AA63" s="18" t="s">
        <v>333</v>
      </c>
      <c r="AB63" s="18" t="s">
        <v>336</v>
      </c>
      <c r="AC63" s="18">
        <v>20</v>
      </c>
      <c r="AD63" s="18">
        <v>15</v>
      </c>
      <c r="AE63" s="18" t="s">
        <v>32</v>
      </c>
      <c r="AF63" s="18" t="s">
        <v>34</v>
      </c>
      <c r="AG63" s="18" t="s">
        <v>34</v>
      </c>
      <c r="AH63" s="18">
        <v>35</v>
      </c>
      <c r="AI63" s="18" t="s">
        <v>27</v>
      </c>
      <c r="AJ63" s="18" t="s">
        <v>66</v>
      </c>
      <c r="AK63" s="18" t="s">
        <v>81</v>
      </c>
      <c r="AL63" s="18" t="s">
        <v>100</v>
      </c>
      <c r="AM63" s="18" t="s">
        <v>109</v>
      </c>
      <c r="AN63" s="18" t="s">
        <v>122</v>
      </c>
      <c r="AO63" s="18" t="s">
        <v>198</v>
      </c>
      <c r="AP63" s="18"/>
      <c r="AQ63" s="18"/>
      <c r="AR63" s="18">
        <v>1</v>
      </c>
      <c r="AS63" s="18">
        <v>0</v>
      </c>
      <c r="AT63" s="18">
        <v>0</v>
      </c>
      <c r="AU63" s="18">
        <v>1</v>
      </c>
      <c r="AV63" s="18">
        <v>0</v>
      </c>
      <c r="AW63" s="18">
        <v>2</v>
      </c>
      <c r="AX63" s="49">
        <v>0</v>
      </c>
      <c r="AY63" s="49">
        <f>VLOOKUP(AI63,Leyenda!$B$4:$E$10,4,FALSE)</f>
        <v>4</v>
      </c>
      <c r="AZ63" s="50">
        <v>5</v>
      </c>
      <c r="BA63" s="49">
        <v>2</v>
      </c>
      <c r="BB63" s="49">
        <v>15</v>
      </c>
      <c r="BC63" s="67">
        <v>3</v>
      </c>
      <c r="BD63" s="67">
        <f>VLOOKUP(AI63,Leyenda!$B$4:$E$10,4,FALSE)</f>
        <v>4</v>
      </c>
      <c r="BE63" s="67">
        <v>5</v>
      </c>
      <c r="BF63" s="67">
        <v>0</v>
      </c>
      <c r="BG63" s="67">
        <v>0</v>
      </c>
      <c r="BH63" s="67">
        <v>1</v>
      </c>
      <c r="BI63" s="67">
        <v>0</v>
      </c>
      <c r="BJ63" s="67">
        <v>0</v>
      </c>
      <c r="BK63" s="67">
        <v>1</v>
      </c>
      <c r="BL63" s="67">
        <v>10</v>
      </c>
      <c r="BM63" s="67">
        <f t="shared" si="0"/>
        <v>21</v>
      </c>
      <c r="BN63" s="18">
        <f t="shared" si="1"/>
        <v>26</v>
      </c>
      <c r="BO63" s="18"/>
      <c r="BP63" s="18"/>
      <c r="CD63" s="167"/>
      <c r="CE63" s="167" t="s">
        <v>587</v>
      </c>
      <c r="CF63" s="167">
        <v>20</v>
      </c>
      <c r="CH63" t="s">
        <v>587</v>
      </c>
      <c r="CI63">
        <v>20</v>
      </c>
      <c r="CJ63">
        <v>0</v>
      </c>
      <c r="CK63" s="55">
        <v>0</v>
      </c>
      <c r="CL63">
        <v>60</v>
      </c>
      <c r="CM63">
        <v>44</v>
      </c>
      <c r="CN63" s="55">
        <v>0.53658536585365857</v>
      </c>
      <c r="CO63" s="97">
        <f>+CJ63/$CJ$68</f>
        <v>0</v>
      </c>
      <c r="EQ63" s="178"/>
      <c r="ES63" s="55"/>
      <c r="ET63" s="178"/>
      <c r="EV63" s="55"/>
    </row>
    <row r="64" spans="1:152" x14ac:dyDescent="0.25">
      <c r="A64" s="18" t="s">
        <v>6</v>
      </c>
      <c r="B64" s="18">
        <v>2024</v>
      </c>
      <c r="C64" s="18" t="s">
        <v>138</v>
      </c>
      <c r="D64" s="18" t="s">
        <v>10</v>
      </c>
      <c r="E64" s="18">
        <v>10</v>
      </c>
      <c r="F64" s="18">
        <v>10</v>
      </c>
      <c r="G64" s="18" t="s">
        <v>135</v>
      </c>
      <c r="H64" s="18" t="s">
        <v>135</v>
      </c>
      <c r="I64" s="18" t="s">
        <v>163</v>
      </c>
      <c r="J64" s="31">
        <v>57.35</v>
      </c>
      <c r="K64" s="31">
        <v>57.85</v>
      </c>
      <c r="L64" s="4">
        <v>0.5</v>
      </c>
      <c r="M64" s="5">
        <v>1</v>
      </c>
      <c r="N64" s="31">
        <v>0.5</v>
      </c>
      <c r="O64" s="31">
        <v>0.5</v>
      </c>
      <c r="P64" s="31">
        <v>25</v>
      </c>
      <c r="Q64" s="31">
        <v>20</v>
      </c>
      <c r="R64" s="31">
        <v>0.25</v>
      </c>
      <c r="S64" s="31">
        <v>0</v>
      </c>
      <c r="T64" s="86">
        <v>0</v>
      </c>
      <c r="U64" s="31">
        <v>15</v>
      </c>
      <c r="V64" s="31"/>
      <c r="W64" s="31">
        <v>15</v>
      </c>
      <c r="X64" s="31">
        <v>16.666666666666668</v>
      </c>
      <c r="Y64" s="18">
        <v>0</v>
      </c>
      <c r="Z64" s="18" t="s">
        <v>100</v>
      </c>
      <c r="AA64" s="18" t="s">
        <v>333</v>
      </c>
      <c r="AB64" s="18" t="s">
        <v>336</v>
      </c>
      <c r="AC64" s="18">
        <v>20</v>
      </c>
      <c r="AD64" s="18">
        <v>25</v>
      </c>
      <c r="AE64" s="18" t="s">
        <v>32</v>
      </c>
      <c r="AF64" s="18" t="s">
        <v>34</v>
      </c>
      <c r="AG64" s="18" t="s">
        <v>34</v>
      </c>
      <c r="AH64" s="18">
        <v>35</v>
      </c>
      <c r="AI64" s="18" t="s">
        <v>27</v>
      </c>
      <c r="AJ64" s="18" t="s">
        <v>66</v>
      </c>
      <c r="AK64" s="18" t="s">
        <v>81</v>
      </c>
      <c r="AL64" s="18" t="s">
        <v>100</v>
      </c>
      <c r="AM64" s="18" t="s">
        <v>109</v>
      </c>
      <c r="AN64" s="18" t="s">
        <v>122</v>
      </c>
      <c r="AO64" s="18" t="s">
        <v>198</v>
      </c>
      <c r="AP64" s="18"/>
      <c r="AQ64" s="18"/>
      <c r="AR64" s="18">
        <v>1</v>
      </c>
      <c r="AS64" s="18">
        <v>0</v>
      </c>
      <c r="AT64" s="18">
        <v>0</v>
      </c>
      <c r="AU64" s="18">
        <v>1</v>
      </c>
      <c r="AV64" s="18">
        <v>0</v>
      </c>
      <c r="AW64" s="18">
        <v>2</v>
      </c>
      <c r="AX64" s="49">
        <v>0</v>
      </c>
      <c r="AY64" s="49">
        <f>VLOOKUP(AI64,Leyenda!$B$4:$E$10,4,FALSE)</f>
        <v>4</v>
      </c>
      <c r="AZ64" s="50">
        <v>4</v>
      </c>
      <c r="BA64" s="49">
        <v>2</v>
      </c>
      <c r="BB64" s="49">
        <v>15</v>
      </c>
      <c r="BC64" s="67">
        <v>3</v>
      </c>
      <c r="BD64" s="67">
        <f>VLOOKUP(AI64,Leyenda!$B$4:$E$10,4,FALSE)</f>
        <v>4</v>
      </c>
      <c r="BE64" s="67">
        <v>5</v>
      </c>
      <c r="BF64" s="67">
        <v>0</v>
      </c>
      <c r="BG64" s="67">
        <v>0</v>
      </c>
      <c r="BH64" s="67">
        <v>1</v>
      </c>
      <c r="BI64" s="67">
        <v>0</v>
      </c>
      <c r="BJ64" s="67">
        <v>0</v>
      </c>
      <c r="BK64" s="67">
        <v>1</v>
      </c>
      <c r="BL64" s="67">
        <v>10</v>
      </c>
      <c r="BM64" s="67">
        <f t="shared" si="0"/>
        <v>21</v>
      </c>
      <c r="BN64" s="18">
        <f t="shared" si="1"/>
        <v>25</v>
      </c>
      <c r="BO64" s="18"/>
      <c r="BP64" s="18"/>
      <c r="CD64" s="167"/>
      <c r="CE64" s="167" t="s">
        <v>588</v>
      </c>
      <c r="CF64" s="167">
        <v>40</v>
      </c>
      <c r="CH64" t="s">
        <v>588</v>
      </c>
      <c r="CI64">
        <v>40</v>
      </c>
      <c r="CJ64">
        <v>30</v>
      </c>
      <c r="CK64" s="55">
        <v>0.36585365853658536</v>
      </c>
      <c r="CL64">
        <v>40</v>
      </c>
      <c r="CM64">
        <v>30</v>
      </c>
      <c r="CN64" s="55">
        <v>0.90243902439024393</v>
      </c>
      <c r="CO64" s="97">
        <f t="shared" ref="CO64:CO67" si="8">+CJ64/$CJ$68</f>
        <v>0.36585365853658536</v>
      </c>
      <c r="EQ64" s="178"/>
      <c r="ES64" s="55"/>
      <c r="ET64" s="178"/>
      <c r="EV64" s="55"/>
    </row>
    <row r="65" spans="1:152" x14ac:dyDescent="0.25">
      <c r="A65" s="18" t="s">
        <v>6</v>
      </c>
      <c r="B65" s="18">
        <v>2024</v>
      </c>
      <c r="C65" s="18" t="s">
        <v>138</v>
      </c>
      <c r="D65" s="18" t="s">
        <v>10</v>
      </c>
      <c r="E65" s="18">
        <v>10</v>
      </c>
      <c r="F65" s="18">
        <v>10</v>
      </c>
      <c r="G65" s="18" t="s">
        <v>135</v>
      </c>
      <c r="H65" s="18" t="s">
        <v>135</v>
      </c>
      <c r="I65" s="18" t="s">
        <v>163</v>
      </c>
      <c r="J65" s="31">
        <v>57.85</v>
      </c>
      <c r="K65" s="31">
        <v>58.35</v>
      </c>
      <c r="L65" s="4">
        <v>0.5</v>
      </c>
      <c r="M65" s="5">
        <v>1</v>
      </c>
      <c r="N65" s="31">
        <v>0.5</v>
      </c>
      <c r="O65" s="31">
        <v>0.5</v>
      </c>
      <c r="P65" s="31">
        <v>500</v>
      </c>
      <c r="Q65" s="31">
        <v>1</v>
      </c>
      <c r="R65" s="31">
        <v>0.47</v>
      </c>
      <c r="S65" s="31">
        <v>0.4</v>
      </c>
      <c r="T65" s="86">
        <v>80</v>
      </c>
      <c r="U65" s="31">
        <v>2</v>
      </c>
      <c r="V65" s="31"/>
      <c r="W65" s="31">
        <v>2</v>
      </c>
      <c r="X65" s="31">
        <v>235</v>
      </c>
      <c r="Y65" s="18">
        <v>100</v>
      </c>
      <c r="Z65" s="18" t="s">
        <v>96</v>
      </c>
      <c r="AA65" s="18" t="s">
        <v>116</v>
      </c>
      <c r="AB65" s="18" t="s">
        <v>334</v>
      </c>
      <c r="AC65" s="18">
        <v>1</v>
      </c>
      <c r="AD65" s="18">
        <v>500</v>
      </c>
      <c r="AE65" s="18" t="s">
        <v>27</v>
      </c>
      <c r="AF65" s="18" t="s">
        <v>29</v>
      </c>
      <c r="AG65" s="18" t="s">
        <v>29</v>
      </c>
      <c r="AH65" s="18">
        <v>35</v>
      </c>
      <c r="AI65" s="18" t="s">
        <v>27</v>
      </c>
      <c r="AJ65" s="18" t="s">
        <v>64</v>
      </c>
      <c r="AK65" s="18" t="s">
        <v>77</v>
      </c>
      <c r="AL65" s="18" t="s">
        <v>92</v>
      </c>
      <c r="AM65" s="18" t="s">
        <v>107</v>
      </c>
      <c r="AN65" s="18" t="s">
        <v>118</v>
      </c>
      <c r="AO65" s="18" t="s">
        <v>198</v>
      </c>
      <c r="AP65" s="18" t="s">
        <v>207</v>
      </c>
      <c r="AQ65" s="18"/>
      <c r="AR65" s="18">
        <v>2</v>
      </c>
      <c r="AS65" s="18">
        <v>3</v>
      </c>
      <c r="AT65" s="18">
        <v>3</v>
      </c>
      <c r="AU65" s="18">
        <v>3</v>
      </c>
      <c r="AV65" s="18">
        <v>2</v>
      </c>
      <c r="AW65" s="18">
        <v>13</v>
      </c>
      <c r="AX65" s="49">
        <v>16</v>
      </c>
      <c r="AY65" s="49">
        <f>VLOOKUP(AI65,Leyenda!$B$4:$E$10,4,FALSE)</f>
        <v>4</v>
      </c>
      <c r="AZ65" s="50">
        <v>10</v>
      </c>
      <c r="BA65" s="49">
        <v>13</v>
      </c>
      <c r="BB65" s="49">
        <v>15</v>
      </c>
      <c r="BC65" s="67">
        <v>59.5</v>
      </c>
      <c r="BD65" s="67">
        <f>VLOOKUP(AI65,Leyenda!$B$4:$E$10,4,FALSE)</f>
        <v>4</v>
      </c>
      <c r="BE65" s="67">
        <v>13</v>
      </c>
      <c r="BF65" s="67">
        <v>16</v>
      </c>
      <c r="BG65" s="67">
        <v>3</v>
      </c>
      <c r="BH65" s="67">
        <v>3</v>
      </c>
      <c r="BI65" s="67">
        <v>2</v>
      </c>
      <c r="BJ65" s="67">
        <v>3</v>
      </c>
      <c r="BK65" s="67">
        <v>3</v>
      </c>
      <c r="BL65" s="67">
        <v>10</v>
      </c>
      <c r="BM65" s="67">
        <f t="shared" si="0"/>
        <v>57</v>
      </c>
      <c r="BN65" s="18">
        <f t="shared" si="1"/>
        <v>58</v>
      </c>
      <c r="BO65" s="18"/>
      <c r="BP65" s="18"/>
      <c r="CD65" s="167"/>
      <c r="CE65" s="167" t="s">
        <v>589</v>
      </c>
      <c r="CF65" s="167">
        <v>60</v>
      </c>
      <c r="CH65" t="s">
        <v>589</v>
      </c>
      <c r="CI65">
        <v>60</v>
      </c>
      <c r="CJ65">
        <v>44</v>
      </c>
      <c r="CK65" s="55">
        <v>0.90243902439024393</v>
      </c>
      <c r="CL65">
        <v>80</v>
      </c>
      <c r="CM65">
        <v>8</v>
      </c>
      <c r="CN65" s="55">
        <v>1</v>
      </c>
      <c r="CO65" s="97">
        <f t="shared" si="8"/>
        <v>0.53658536585365857</v>
      </c>
      <c r="EQ65" s="178"/>
      <c r="ES65" s="55"/>
      <c r="ET65" s="178"/>
      <c r="EV65" s="55"/>
    </row>
    <row r="66" spans="1:152" x14ac:dyDescent="0.25">
      <c r="A66" s="18" t="s">
        <v>6</v>
      </c>
      <c r="B66" s="18">
        <v>2024</v>
      </c>
      <c r="C66" s="18" t="s">
        <v>138</v>
      </c>
      <c r="D66" s="18" t="s">
        <v>10</v>
      </c>
      <c r="E66" s="18">
        <v>10</v>
      </c>
      <c r="F66" s="18">
        <v>10</v>
      </c>
      <c r="G66" s="18" t="s">
        <v>135</v>
      </c>
      <c r="H66" s="18" t="s">
        <v>135</v>
      </c>
      <c r="I66" s="18" t="s">
        <v>163</v>
      </c>
      <c r="J66" s="31">
        <v>58.35</v>
      </c>
      <c r="K66" s="31">
        <v>58.9</v>
      </c>
      <c r="L66" s="4">
        <v>0.54999999999999716</v>
      </c>
      <c r="M66" s="5">
        <v>1</v>
      </c>
      <c r="N66" s="31">
        <v>0.54999999999999716</v>
      </c>
      <c r="O66" s="31">
        <v>0.54999999999999716</v>
      </c>
      <c r="P66" s="31">
        <v>109.99999999999943</v>
      </c>
      <c r="Q66" s="31">
        <v>5</v>
      </c>
      <c r="R66" s="31">
        <v>0.51</v>
      </c>
      <c r="S66" s="31">
        <v>0.3</v>
      </c>
      <c r="T66" s="86">
        <v>54.545454545454831</v>
      </c>
      <c r="U66" s="31">
        <v>3</v>
      </c>
      <c r="V66" s="31"/>
      <c r="W66" s="31">
        <v>3</v>
      </c>
      <c r="X66" s="31">
        <v>170</v>
      </c>
      <c r="Y66" s="18">
        <v>45</v>
      </c>
      <c r="Z66" s="18" t="s">
        <v>92</v>
      </c>
      <c r="AA66" s="18" t="s">
        <v>118</v>
      </c>
      <c r="AB66" s="18" t="s">
        <v>334</v>
      </c>
      <c r="AC66" s="18">
        <v>5</v>
      </c>
      <c r="AD66" s="18">
        <v>109.99999999999943</v>
      </c>
      <c r="AE66" s="18" t="s">
        <v>27</v>
      </c>
      <c r="AF66" s="18" t="s">
        <v>29</v>
      </c>
      <c r="AG66" s="18" t="s">
        <v>29</v>
      </c>
      <c r="AH66" s="18">
        <v>35</v>
      </c>
      <c r="AI66" s="18" t="s">
        <v>27</v>
      </c>
      <c r="AJ66" s="18" t="s">
        <v>64</v>
      </c>
      <c r="AK66" s="18" t="s">
        <v>79</v>
      </c>
      <c r="AL66" s="18" t="s">
        <v>92</v>
      </c>
      <c r="AM66" s="18" t="s">
        <v>107</v>
      </c>
      <c r="AN66" s="18" t="s">
        <v>118</v>
      </c>
      <c r="AO66" s="18" t="s">
        <v>198</v>
      </c>
      <c r="AP66" s="18"/>
      <c r="AQ66" s="18"/>
      <c r="AR66" s="18">
        <v>2</v>
      </c>
      <c r="AS66" s="18">
        <v>1</v>
      </c>
      <c r="AT66" s="18">
        <v>3</v>
      </c>
      <c r="AU66" s="18">
        <v>3</v>
      </c>
      <c r="AV66" s="18">
        <v>2</v>
      </c>
      <c r="AW66" s="18">
        <v>11</v>
      </c>
      <c r="AX66" s="49">
        <v>11</v>
      </c>
      <c r="AY66" s="49">
        <f>VLOOKUP(AI66,Leyenda!$B$4:$E$10,4,FALSE)</f>
        <v>4</v>
      </c>
      <c r="AZ66" s="50">
        <v>9</v>
      </c>
      <c r="BA66" s="49">
        <v>11</v>
      </c>
      <c r="BB66" s="49">
        <v>15</v>
      </c>
      <c r="BC66" s="67">
        <v>43.772727272727415</v>
      </c>
      <c r="BD66" s="67">
        <f>VLOOKUP(AI66,Leyenda!$B$4:$E$10,4,FALSE)</f>
        <v>4</v>
      </c>
      <c r="BE66" s="67">
        <v>11</v>
      </c>
      <c r="BF66" s="67">
        <v>11</v>
      </c>
      <c r="BG66" s="67">
        <v>3</v>
      </c>
      <c r="BH66" s="67">
        <v>3</v>
      </c>
      <c r="BI66" s="67">
        <v>2</v>
      </c>
      <c r="BJ66" s="67">
        <v>1</v>
      </c>
      <c r="BK66" s="67">
        <v>3</v>
      </c>
      <c r="BL66" s="67">
        <v>10</v>
      </c>
      <c r="BM66" s="67">
        <f t="shared" si="0"/>
        <v>48</v>
      </c>
      <c r="BN66" s="18">
        <f t="shared" si="1"/>
        <v>50</v>
      </c>
      <c r="BO66" s="18"/>
      <c r="BP66" s="18"/>
      <c r="CD66" s="167"/>
      <c r="CE66" s="167" t="s">
        <v>590</v>
      </c>
      <c r="CF66" s="167">
        <v>80</v>
      </c>
      <c r="CH66" t="s">
        <v>590</v>
      </c>
      <c r="CI66">
        <v>80</v>
      </c>
      <c r="CJ66">
        <v>8</v>
      </c>
      <c r="CK66" s="55">
        <v>1</v>
      </c>
      <c r="CL66">
        <v>20</v>
      </c>
      <c r="CM66">
        <v>0</v>
      </c>
      <c r="CN66" s="55">
        <v>1</v>
      </c>
      <c r="CO66" s="97">
        <f t="shared" si="8"/>
        <v>9.7560975609756101E-2</v>
      </c>
      <c r="EQ66" s="178"/>
      <c r="ES66" s="55"/>
      <c r="ET66" s="178"/>
      <c r="EV66" s="55"/>
    </row>
    <row r="67" spans="1:152" ht="15.75" thickBot="1" x14ac:dyDescent="0.3">
      <c r="A67" s="18" t="s">
        <v>6</v>
      </c>
      <c r="B67" s="18">
        <v>2024</v>
      </c>
      <c r="C67" s="18" t="s">
        <v>138</v>
      </c>
      <c r="D67" s="18" t="s">
        <v>10</v>
      </c>
      <c r="E67" s="18">
        <v>10</v>
      </c>
      <c r="F67" s="18">
        <v>10</v>
      </c>
      <c r="G67" s="18" t="s">
        <v>135</v>
      </c>
      <c r="H67" s="18" t="s">
        <v>135</v>
      </c>
      <c r="I67" s="18" t="s">
        <v>163</v>
      </c>
      <c r="J67" s="31">
        <v>58.9</v>
      </c>
      <c r="K67" s="31">
        <v>59.5</v>
      </c>
      <c r="L67" s="4">
        <v>0.60000000000000142</v>
      </c>
      <c r="M67" s="5">
        <v>1</v>
      </c>
      <c r="N67" s="31">
        <v>0.60000000000000142</v>
      </c>
      <c r="O67" s="31">
        <v>0.60000000000000142</v>
      </c>
      <c r="P67" s="31">
        <v>120.00000000000027</v>
      </c>
      <c r="Q67" s="31">
        <v>5</v>
      </c>
      <c r="R67" s="31">
        <v>0.51</v>
      </c>
      <c r="S67" s="31">
        <v>0.42</v>
      </c>
      <c r="T67" s="86">
        <v>69.999999999999829</v>
      </c>
      <c r="U67" s="31">
        <v>3</v>
      </c>
      <c r="V67" s="31"/>
      <c r="W67" s="31">
        <v>3</v>
      </c>
      <c r="X67" s="31">
        <v>170</v>
      </c>
      <c r="Y67" s="18">
        <v>83</v>
      </c>
      <c r="Z67" s="18" t="s">
        <v>96</v>
      </c>
      <c r="AA67" s="18" t="s">
        <v>118</v>
      </c>
      <c r="AB67" s="18" t="s">
        <v>334</v>
      </c>
      <c r="AC67" s="18">
        <v>5</v>
      </c>
      <c r="AD67" s="18">
        <v>120.00000000000027</v>
      </c>
      <c r="AE67" s="18" t="s">
        <v>27</v>
      </c>
      <c r="AF67" s="18" t="s">
        <v>29</v>
      </c>
      <c r="AG67" s="18" t="s">
        <v>29</v>
      </c>
      <c r="AH67" s="18">
        <v>35</v>
      </c>
      <c r="AI67" s="18" t="s">
        <v>27</v>
      </c>
      <c r="AJ67" s="18" t="s">
        <v>64</v>
      </c>
      <c r="AK67" s="18" t="s">
        <v>77</v>
      </c>
      <c r="AL67" s="18" t="s">
        <v>92</v>
      </c>
      <c r="AM67" s="18" t="s">
        <v>107</v>
      </c>
      <c r="AN67" s="18" t="s">
        <v>118</v>
      </c>
      <c r="AO67" s="18" t="s">
        <v>198</v>
      </c>
      <c r="AP67" s="18"/>
      <c r="AQ67" s="18"/>
      <c r="AR67" s="18">
        <v>2</v>
      </c>
      <c r="AS67" s="18">
        <v>3</v>
      </c>
      <c r="AT67" s="18">
        <v>3</v>
      </c>
      <c r="AU67" s="18">
        <v>3</v>
      </c>
      <c r="AV67" s="18">
        <v>2</v>
      </c>
      <c r="AW67" s="18">
        <v>13</v>
      </c>
      <c r="AX67" s="49">
        <v>14</v>
      </c>
      <c r="AY67" s="49">
        <f>VLOOKUP(AI67,Leyenda!$B$4:$E$10,4,FALSE)</f>
        <v>4</v>
      </c>
      <c r="AZ67" s="50">
        <v>9</v>
      </c>
      <c r="BA67" s="49">
        <v>13</v>
      </c>
      <c r="BB67" s="49">
        <v>15</v>
      </c>
      <c r="BC67" s="67">
        <v>54.499999999999915</v>
      </c>
      <c r="BD67" s="67">
        <f>VLOOKUP(AI67,Leyenda!$B$4:$E$10,4,FALSE)</f>
        <v>4</v>
      </c>
      <c r="BE67" s="67">
        <v>11</v>
      </c>
      <c r="BF67" s="67">
        <v>14</v>
      </c>
      <c r="BG67" s="67">
        <v>3</v>
      </c>
      <c r="BH67" s="67">
        <v>3</v>
      </c>
      <c r="BI67" s="67">
        <v>2</v>
      </c>
      <c r="BJ67" s="67">
        <v>3</v>
      </c>
      <c r="BK67" s="67">
        <v>3</v>
      </c>
      <c r="BL67" s="67">
        <v>10</v>
      </c>
      <c r="BM67" s="67">
        <f t="shared" ref="BM67:BM83" si="9">+BD67+BE67+BF67+BG67+BH67+BI67+BJ67+BK67+BL67</f>
        <v>53</v>
      </c>
      <c r="BN67" s="18">
        <f t="shared" ref="BN67:BN83" si="10">+AX67+AY67+AZ67+BA67+BB67</f>
        <v>55</v>
      </c>
      <c r="BO67" s="18"/>
      <c r="BP67" s="18"/>
      <c r="CD67" s="167"/>
      <c r="CE67" s="167" t="s">
        <v>591</v>
      </c>
      <c r="CF67" s="167"/>
      <c r="CH67" t="s">
        <v>591</v>
      </c>
      <c r="CI67" s="57" t="s">
        <v>581</v>
      </c>
      <c r="CJ67" s="57">
        <v>0</v>
      </c>
      <c r="CK67" s="95">
        <v>1</v>
      </c>
      <c r="CL67" s="57" t="s">
        <v>581</v>
      </c>
      <c r="CM67" s="57">
        <v>0</v>
      </c>
      <c r="CN67" s="95">
        <v>1</v>
      </c>
      <c r="CO67" s="97">
        <f t="shared" si="8"/>
        <v>0</v>
      </c>
      <c r="EQ67" s="178"/>
      <c r="ES67" s="55"/>
      <c r="ET67" s="178"/>
      <c r="EV67" s="55"/>
    </row>
    <row r="68" spans="1:152" x14ac:dyDescent="0.25">
      <c r="A68" s="18" t="s">
        <v>6</v>
      </c>
      <c r="B68" s="18">
        <v>2024</v>
      </c>
      <c r="C68" s="18" t="s">
        <v>138</v>
      </c>
      <c r="D68" s="18" t="s">
        <v>10</v>
      </c>
      <c r="E68" s="18">
        <v>10</v>
      </c>
      <c r="F68" s="18">
        <v>10</v>
      </c>
      <c r="G68" s="18" t="s">
        <v>135</v>
      </c>
      <c r="H68" s="18" t="s">
        <v>135</v>
      </c>
      <c r="I68" s="18" t="s">
        <v>163</v>
      </c>
      <c r="J68" s="31">
        <v>59.5</v>
      </c>
      <c r="K68" s="31">
        <v>60</v>
      </c>
      <c r="L68" s="4">
        <v>0.5</v>
      </c>
      <c r="M68" s="5">
        <v>1</v>
      </c>
      <c r="N68" s="31">
        <v>0.5</v>
      </c>
      <c r="O68" s="31">
        <v>0.5</v>
      </c>
      <c r="P68" s="31">
        <v>100</v>
      </c>
      <c r="Q68" s="31">
        <v>5</v>
      </c>
      <c r="R68" s="31">
        <v>0.5</v>
      </c>
      <c r="S68" s="31">
        <v>0.16</v>
      </c>
      <c r="T68" s="86">
        <v>32</v>
      </c>
      <c r="U68" s="31">
        <v>5</v>
      </c>
      <c r="V68" s="31"/>
      <c r="W68" s="31">
        <v>5</v>
      </c>
      <c r="X68" s="31">
        <v>100</v>
      </c>
      <c r="Y68" s="18">
        <v>30</v>
      </c>
      <c r="Z68" s="18" t="s">
        <v>96</v>
      </c>
      <c r="AA68" s="18" t="s">
        <v>118</v>
      </c>
      <c r="AB68" s="18" t="s">
        <v>337</v>
      </c>
      <c r="AC68" s="18">
        <v>5</v>
      </c>
      <c r="AD68" s="18">
        <v>100</v>
      </c>
      <c r="AE68" s="18" t="s">
        <v>29</v>
      </c>
      <c r="AF68" s="18" t="s">
        <v>29</v>
      </c>
      <c r="AG68" s="18" t="s">
        <v>29</v>
      </c>
      <c r="AH68" s="18">
        <v>35</v>
      </c>
      <c r="AI68" s="18" t="s">
        <v>27</v>
      </c>
      <c r="AJ68" s="18" t="s">
        <v>64</v>
      </c>
      <c r="AK68" s="18" t="s">
        <v>77</v>
      </c>
      <c r="AL68" s="18" t="s">
        <v>92</v>
      </c>
      <c r="AM68" s="18" t="s">
        <v>107</v>
      </c>
      <c r="AN68" s="18" t="s">
        <v>118</v>
      </c>
      <c r="AO68" s="18" t="s">
        <v>198</v>
      </c>
      <c r="AP68" s="18"/>
      <c r="AQ68" s="18"/>
      <c r="AR68" s="18">
        <v>2</v>
      </c>
      <c r="AS68" s="18">
        <v>3</v>
      </c>
      <c r="AT68" s="18">
        <v>3</v>
      </c>
      <c r="AU68" s="18">
        <v>3</v>
      </c>
      <c r="AV68" s="18">
        <v>2</v>
      </c>
      <c r="AW68" s="18">
        <v>13</v>
      </c>
      <c r="AX68" s="49">
        <v>7</v>
      </c>
      <c r="AY68" s="49">
        <f>VLOOKUP(AI68,Leyenda!$B$4:$E$10,4,FALSE)</f>
        <v>4</v>
      </c>
      <c r="AZ68" s="50">
        <v>7</v>
      </c>
      <c r="BA68" s="49">
        <v>13</v>
      </c>
      <c r="BB68" s="49">
        <v>15</v>
      </c>
      <c r="BC68" s="67">
        <v>35.5</v>
      </c>
      <c r="BD68" s="67">
        <f>VLOOKUP(AI68,Leyenda!$B$4:$E$10,4,FALSE)</f>
        <v>4</v>
      </c>
      <c r="BE68" s="67">
        <v>8</v>
      </c>
      <c r="BF68" s="67">
        <v>7</v>
      </c>
      <c r="BG68" s="67">
        <v>3</v>
      </c>
      <c r="BH68" s="67">
        <v>3</v>
      </c>
      <c r="BI68" s="67">
        <v>2</v>
      </c>
      <c r="BJ68" s="67">
        <v>3</v>
      </c>
      <c r="BK68" s="67">
        <v>3</v>
      </c>
      <c r="BL68" s="67">
        <v>10</v>
      </c>
      <c r="BM68" s="67">
        <f t="shared" si="9"/>
        <v>43</v>
      </c>
      <c r="BN68" s="18">
        <f t="shared" si="10"/>
        <v>46</v>
      </c>
      <c r="BO68" s="18"/>
      <c r="BP68" s="18"/>
      <c r="CD68" s="167"/>
      <c r="CE68" s="167"/>
      <c r="CF68" s="167"/>
      <c r="CJ68">
        <f>+SUM(CJ63:CJ67)</f>
        <v>82</v>
      </c>
      <c r="EQ68" s="178"/>
      <c r="ES68" s="55"/>
      <c r="ET68" s="178"/>
      <c r="EV68" s="55"/>
    </row>
    <row r="69" spans="1:152" x14ac:dyDescent="0.25">
      <c r="A69" s="18" t="s">
        <v>6</v>
      </c>
      <c r="B69" s="18">
        <v>2024</v>
      </c>
      <c r="C69" s="18" t="s">
        <v>138</v>
      </c>
      <c r="D69" s="18" t="s">
        <v>130</v>
      </c>
      <c r="E69" s="18">
        <v>30</v>
      </c>
      <c r="F69" s="18">
        <v>10</v>
      </c>
      <c r="G69" s="18" t="s">
        <v>152</v>
      </c>
      <c r="H69" s="18" t="s">
        <v>135</v>
      </c>
      <c r="I69" s="18" t="s">
        <v>181</v>
      </c>
      <c r="J69" s="129">
        <v>22</v>
      </c>
      <c r="K69" s="129">
        <v>22.5</v>
      </c>
      <c r="L69" s="4">
        <v>0.5</v>
      </c>
      <c r="M69" s="5">
        <v>1</v>
      </c>
      <c r="N69" s="31">
        <v>0.5</v>
      </c>
      <c r="O69" s="31">
        <v>0.5</v>
      </c>
      <c r="P69" s="31">
        <v>100</v>
      </c>
      <c r="Q69" s="31">
        <v>5</v>
      </c>
      <c r="R69" s="31">
        <v>0.5</v>
      </c>
      <c r="S69" s="31">
        <v>0.44</v>
      </c>
      <c r="T69" s="65">
        <v>88</v>
      </c>
      <c r="U69" s="31">
        <v>3</v>
      </c>
      <c r="V69" s="31"/>
      <c r="W69" s="31">
        <v>3</v>
      </c>
      <c r="X69" s="31">
        <v>166.66666666666666</v>
      </c>
      <c r="Y69" s="18">
        <v>90</v>
      </c>
      <c r="Z69" s="18" t="s">
        <v>96</v>
      </c>
      <c r="AA69" s="18" t="s">
        <v>118</v>
      </c>
      <c r="AB69" s="18" t="s">
        <v>334</v>
      </c>
      <c r="AC69" s="18">
        <v>5</v>
      </c>
      <c r="AD69" s="18">
        <v>100</v>
      </c>
      <c r="AE69" s="18" t="s">
        <v>27</v>
      </c>
      <c r="AF69" s="18" t="s">
        <v>199</v>
      </c>
      <c r="AG69" s="130" t="s">
        <v>199</v>
      </c>
      <c r="AH69" s="18">
        <v>35</v>
      </c>
      <c r="AI69" s="18" t="s">
        <v>27</v>
      </c>
      <c r="AJ69" s="18" t="s">
        <v>66</v>
      </c>
      <c r="AK69" s="18" t="s">
        <v>81</v>
      </c>
      <c r="AL69" s="18" t="s">
        <v>96</v>
      </c>
      <c r="AM69" s="18" t="s">
        <v>109</v>
      </c>
      <c r="AN69" s="18" t="s">
        <v>120</v>
      </c>
      <c r="AO69" s="18" t="s">
        <v>198</v>
      </c>
      <c r="AP69" s="18" t="s">
        <v>257</v>
      </c>
      <c r="AQ69" s="18"/>
      <c r="AR69" s="18">
        <v>1</v>
      </c>
      <c r="AS69" s="18">
        <v>0</v>
      </c>
      <c r="AT69" s="18">
        <v>1</v>
      </c>
      <c r="AU69" s="18">
        <v>1</v>
      </c>
      <c r="AV69" s="18">
        <v>2</v>
      </c>
      <c r="AW69" s="18">
        <v>5</v>
      </c>
      <c r="AX69" s="49">
        <v>18</v>
      </c>
      <c r="AY69" s="49">
        <f>VLOOKUP(AI69,Leyenda!$B$4:$E$10,4,FALSE)</f>
        <v>4</v>
      </c>
      <c r="AZ69" s="50">
        <v>9</v>
      </c>
      <c r="BA69" s="49">
        <v>5</v>
      </c>
      <c r="BB69" s="49">
        <v>15</v>
      </c>
      <c r="BC69" s="67">
        <v>51.5</v>
      </c>
      <c r="BD69" s="67">
        <f>VLOOKUP(AI69,Leyenda!$B$4:$E$10,4,FALSE)</f>
        <v>4</v>
      </c>
      <c r="BE69" s="67">
        <v>11</v>
      </c>
      <c r="BF69" s="67">
        <v>18</v>
      </c>
      <c r="BG69" s="67">
        <v>1</v>
      </c>
      <c r="BH69" s="67">
        <v>1</v>
      </c>
      <c r="BI69" s="67">
        <v>2</v>
      </c>
      <c r="BJ69" s="67">
        <v>0</v>
      </c>
      <c r="BK69" s="67">
        <v>1</v>
      </c>
      <c r="BL69" s="67">
        <v>10</v>
      </c>
      <c r="BM69" s="67">
        <f t="shared" si="9"/>
        <v>48</v>
      </c>
      <c r="BN69" s="18">
        <f t="shared" si="10"/>
        <v>51</v>
      </c>
      <c r="BO69" s="18"/>
      <c r="BP69" s="18"/>
      <c r="EQ69" s="178"/>
      <c r="ES69" s="55"/>
      <c r="ET69" s="178"/>
      <c r="EV69" s="55"/>
    </row>
    <row r="70" spans="1:152" ht="15.75" thickBot="1" x14ac:dyDescent="0.3">
      <c r="A70" s="18" t="s">
        <v>6</v>
      </c>
      <c r="B70" s="18">
        <v>2024</v>
      </c>
      <c r="C70" s="18" t="s">
        <v>138</v>
      </c>
      <c r="D70" s="18" t="s">
        <v>130</v>
      </c>
      <c r="E70" s="18">
        <v>30</v>
      </c>
      <c r="F70" s="18">
        <v>10</v>
      </c>
      <c r="G70" s="18" t="s">
        <v>152</v>
      </c>
      <c r="H70" s="18" t="s">
        <v>135</v>
      </c>
      <c r="I70" s="18" t="s">
        <v>181</v>
      </c>
      <c r="J70" s="4">
        <v>22.5</v>
      </c>
      <c r="K70" s="4">
        <v>23</v>
      </c>
      <c r="L70" s="4">
        <v>0.5</v>
      </c>
      <c r="M70" s="5">
        <v>1</v>
      </c>
      <c r="N70" s="31">
        <v>0.5</v>
      </c>
      <c r="O70" s="31">
        <v>0.5</v>
      </c>
      <c r="P70" s="31">
        <v>500</v>
      </c>
      <c r="Q70" s="31">
        <v>1</v>
      </c>
      <c r="R70" s="31">
        <v>0.5</v>
      </c>
      <c r="S70" s="31">
        <v>0.27</v>
      </c>
      <c r="T70" s="65">
        <v>54</v>
      </c>
      <c r="U70" s="31">
        <v>4</v>
      </c>
      <c r="V70" s="31"/>
      <c r="W70" s="31">
        <v>4</v>
      </c>
      <c r="X70" s="31">
        <v>125</v>
      </c>
      <c r="Y70" s="18">
        <v>56</v>
      </c>
      <c r="Z70" s="18" t="s">
        <v>96</v>
      </c>
      <c r="AA70" s="18" t="s">
        <v>116</v>
      </c>
      <c r="AB70" s="18" t="s">
        <v>334</v>
      </c>
      <c r="AC70" s="18">
        <v>1</v>
      </c>
      <c r="AD70" s="18">
        <v>500</v>
      </c>
      <c r="AE70" s="18" t="s">
        <v>27</v>
      </c>
      <c r="AF70" s="18" t="s">
        <v>29</v>
      </c>
      <c r="AG70" s="18" t="s">
        <v>29</v>
      </c>
      <c r="AH70" s="18">
        <v>35</v>
      </c>
      <c r="AI70" s="18" t="s">
        <v>27</v>
      </c>
      <c r="AJ70" s="18" t="s">
        <v>64</v>
      </c>
      <c r="AK70" s="18" t="s">
        <v>81</v>
      </c>
      <c r="AL70" s="18" t="s">
        <v>96</v>
      </c>
      <c r="AM70" s="18" t="s">
        <v>107</v>
      </c>
      <c r="AN70" s="18" t="s">
        <v>120</v>
      </c>
      <c r="AO70" s="18" t="s">
        <v>198</v>
      </c>
      <c r="AP70" s="18" t="s">
        <v>258</v>
      </c>
      <c r="AQ70" s="18"/>
      <c r="AR70" s="18">
        <v>2</v>
      </c>
      <c r="AS70" s="18">
        <v>0</v>
      </c>
      <c r="AT70" s="18">
        <v>1</v>
      </c>
      <c r="AU70" s="18">
        <v>3</v>
      </c>
      <c r="AV70" s="18">
        <v>2</v>
      </c>
      <c r="AW70" s="18">
        <v>8</v>
      </c>
      <c r="AX70" s="49">
        <v>11</v>
      </c>
      <c r="AY70" s="49">
        <f>VLOOKUP(AI70,Leyenda!$B$4:$E$10,4,FALSE)</f>
        <v>4</v>
      </c>
      <c r="AZ70" s="50">
        <v>8</v>
      </c>
      <c r="BA70" s="49">
        <v>8</v>
      </c>
      <c r="BB70" s="49">
        <v>15</v>
      </c>
      <c r="BC70" s="67">
        <v>39</v>
      </c>
      <c r="BD70" s="67">
        <f>VLOOKUP(AI70,Leyenda!$B$4:$E$10,4,FALSE)</f>
        <v>4</v>
      </c>
      <c r="BE70" s="67">
        <v>10</v>
      </c>
      <c r="BF70" s="67">
        <v>11</v>
      </c>
      <c r="BG70" s="67">
        <v>1</v>
      </c>
      <c r="BH70" s="67">
        <v>3</v>
      </c>
      <c r="BI70" s="67">
        <v>2</v>
      </c>
      <c r="BJ70" s="67">
        <v>0</v>
      </c>
      <c r="BK70" s="67">
        <v>3</v>
      </c>
      <c r="BL70" s="67">
        <v>10</v>
      </c>
      <c r="BM70" s="67">
        <f t="shared" si="9"/>
        <v>44</v>
      </c>
      <c r="BN70" s="18">
        <f t="shared" si="10"/>
        <v>46</v>
      </c>
      <c r="BO70" s="18"/>
      <c r="BP70" s="18"/>
      <c r="EQ70" s="178"/>
      <c r="ES70" s="55"/>
      <c r="ET70" s="178"/>
      <c r="EV70" s="55"/>
    </row>
    <row r="71" spans="1:152" x14ac:dyDescent="0.25">
      <c r="A71" s="18" t="s">
        <v>6</v>
      </c>
      <c r="B71" s="18">
        <v>2024</v>
      </c>
      <c r="C71" s="18" t="s">
        <v>138</v>
      </c>
      <c r="D71" s="18" t="s">
        <v>130</v>
      </c>
      <c r="E71" s="18">
        <v>30</v>
      </c>
      <c r="F71" s="18">
        <v>10</v>
      </c>
      <c r="G71" s="18" t="s">
        <v>152</v>
      </c>
      <c r="H71" s="18" t="s">
        <v>135</v>
      </c>
      <c r="I71" s="18" t="s">
        <v>181</v>
      </c>
      <c r="J71" s="4">
        <v>23</v>
      </c>
      <c r="K71" s="4">
        <v>23.5</v>
      </c>
      <c r="L71" s="4">
        <v>0.5</v>
      </c>
      <c r="M71" s="5">
        <v>1</v>
      </c>
      <c r="N71" s="31">
        <v>0.5</v>
      </c>
      <c r="O71" s="31">
        <v>0.5</v>
      </c>
      <c r="P71" s="31">
        <v>100</v>
      </c>
      <c r="Q71" s="31">
        <v>5</v>
      </c>
      <c r="R71" s="31">
        <v>0.5</v>
      </c>
      <c r="S71" s="31">
        <v>0.46</v>
      </c>
      <c r="T71" s="65">
        <v>92</v>
      </c>
      <c r="U71" s="31">
        <v>2</v>
      </c>
      <c r="V71" s="31"/>
      <c r="W71" s="31">
        <v>2</v>
      </c>
      <c r="X71" s="31">
        <v>250</v>
      </c>
      <c r="Y71" s="18">
        <v>98</v>
      </c>
      <c r="Z71" s="18" t="s">
        <v>96</v>
      </c>
      <c r="AA71" s="18" t="s">
        <v>118</v>
      </c>
      <c r="AB71" s="18" t="s">
        <v>334</v>
      </c>
      <c r="AC71" s="18">
        <v>5</v>
      </c>
      <c r="AD71" s="18">
        <v>100</v>
      </c>
      <c r="AE71" s="18" t="s">
        <v>27</v>
      </c>
      <c r="AF71" s="18" t="s">
        <v>29</v>
      </c>
      <c r="AG71" s="18" t="s">
        <v>29</v>
      </c>
      <c r="AH71" s="18">
        <v>35</v>
      </c>
      <c r="AI71" s="18" t="s">
        <v>27</v>
      </c>
      <c r="AJ71" s="18" t="s">
        <v>64</v>
      </c>
      <c r="AK71" s="18" t="s">
        <v>79</v>
      </c>
      <c r="AL71" s="18" t="s">
        <v>92</v>
      </c>
      <c r="AM71" s="18" t="s">
        <v>107</v>
      </c>
      <c r="AN71" s="18" t="s">
        <v>120</v>
      </c>
      <c r="AO71" s="18" t="s">
        <v>198</v>
      </c>
      <c r="AP71" s="18" t="s">
        <v>259</v>
      </c>
      <c r="AQ71" s="18"/>
      <c r="AR71" s="18">
        <v>2</v>
      </c>
      <c r="AS71" s="18">
        <v>1</v>
      </c>
      <c r="AT71" s="18">
        <v>3</v>
      </c>
      <c r="AU71" s="18">
        <v>3</v>
      </c>
      <c r="AV71" s="18">
        <v>2</v>
      </c>
      <c r="AW71" s="18">
        <v>11</v>
      </c>
      <c r="AX71" s="49">
        <v>19</v>
      </c>
      <c r="AY71" s="49">
        <f>VLOOKUP(AI71,Leyenda!$B$4:$E$10,4,FALSE)</f>
        <v>4</v>
      </c>
      <c r="AZ71" s="50">
        <v>10</v>
      </c>
      <c r="BA71" s="49">
        <v>11</v>
      </c>
      <c r="BB71" s="49">
        <v>15</v>
      </c>
      <c r="BC71" s="67">
        <v>62.5</v>
      </c>
      <c r="BD71" s="67">
        <f>VLOOKUP(AI71,Leyenda!$B$4:$E$10,4,FALSE)</f>
        <v>4</v>
      </c>
      <c r="BE71" s="67">
        <v>14</v>
      </c>
      <c r="BF71" s="67">
        <v>19</v>
      </c>
      <c r="BG71" s="67">
        <v>3</v>
      </c>
      <c r="BH71" s="67">
        <v>3</v>
      </c>
      <c r="BI71" s="67">
        <v>2</v>
      </c>
      <c r="BJ71" s="67">
        <v>1</v>
      </c>
      <c r="BK71" s="67">
        <v>3</v>
      </c>
      <c r="BL71" s="67">
        <v>10</v>
      </c>
      <c r="BM71" s="67">
        <f t="shared" si="9"/>
        <v>59</v>
      </c>
      <c r="BN71" s="18">
        <f t="shared" si="10"/>
        <v>59</v>
      </c>
      <c r="BO71" s="18"/>
      <c r="BP71" s="18"/>
      <c r="CI71" s="96" t="s">
        <v>287</v>
      </c>
      <c r="CJ71" s="96" t="s">
        <v>288</v>
      </c>
      <c r="CK71" s="96" t="s">
        <v>582</v>
      </c>
      <c r="CL71" s="96" t="s">
        <v>287</v>
      </c>
      <c r="CM71" s="96" t="s">
        <v>288</v>
      </c>
      <c r="CN71" s="96" t="s">
        <v>582</v>
      </c>
      <c r="CO71" s="39" t="s">
        <v>642</v>
      </c>
      <c r="EQ71" s="178"/>
      <c r="ES71" s="55"/>
      <c r="ET71" s="178"/>
      <c r="EV71" s="55"/>
    </row>
    <row r="72" spans="1:152" x14ac:dyDescent="0.25">
      <c r="A72" s="18" t="s">
        <v>6</v>
      </c>
      <c r="B72" s="18">
        <v>2024</v>
      </c>
      <c r="C72" s="18" t="s">
        <v>138</v>
      </c>
      <c r="D72" s="18" t="s">
        <v>130</v>
      </c>
      <c r="E72" s="18">
        <v>30</v>
      </c>
      <c r="F72" s="18">
        <v>10</v>
      </c>
      <c r="G72" s="18" t="s">
        <v>152</v>
      </c>
      <c r="H72" s="18" t="s">
        <v>135</v>
      </c>
      <c r="I72" s="18" t="s">
        <v>181</v>
      </c>
      <c r="J72" s="4">
        <v>23.5</v>
      </c>
      <c r="K72" s="4">
        <v>24</v>
      </c>
      <c r="L72" s="4">
        <v>0.5</v>
      </c>
      <c r="M72" s="5">
        <v>1</v>
      </c>
      <c r="N72" s="31">
        <v>0.5</v>
      </c>
      <c r="O72" s="31">
        <v>0.5</v>
      </c>
      <c r="P72" s="31">
        <v>500</v>
      </c>
      <c r="Q72" s="31">
        <v>1</v>
      </c>
      <c r="R72" s="31">
        <v>0.5</v>
      </c>
      <c r="S72" s="31">
        <v>0.28999999999999998</v>
      </c>
      <c r="T72" s="65">
        <v>57.999999999999993</v>
      </c>
      <c r="U72" s="31">
        <v>4</v>
      </c>
      <c r="V72" s="31"/>
      <c r="W72" s="31">
        <v>4</v>
      </c>
      <c r="X72" s="31">
        <v>125</v>
      </c>
      <c r="Y72" s="18">
        <v>66</v>
      </c>
      <c r="Z72" s="18" t="s">
        <v>96</v>
      </c>
      <c r="AA72" s="18" t="s">
        <v>116</v>
      </c>
      <c r="AB72" s="18" t="s">
        <v>334</v>
      </c>
      <c r="AC72" s="18">
        <v>1</v>
      </c>
      <c r="AD72" s="18">
        <v>500</v>
      </c>
      <c r="AE72" s="18" t="s">
        <v>27</v>
      </c>
      <c r="AF72" s="18" t="s">
        <v>29</v>
      </c>
      <c r="AG72" s="18" t="s">
        <v>29</v>
      </c>
      <c r="AH72" s="18">
        <v>35</v>
      </c>
      <c r="AI72" s="18" t="s">
        <v>27</v>
      </c>
      <c r="AJ72" s="18" t="s">
        <v>64</v>
      </c>
      <c r="AK72" s="18" t="s">
        <v>79</v>
      </c>
      <c r="AL72" s="18" t="s">
        <v>92</v>
      </c>
      <c r="AM72" s="18" t="s">
        <v>107</v>
      </c>
      <c r="AN72" s="18" t="s">
        <v>120</v>
      </c>
      <c r="AO72" s="18" t="s">
        <v>198</v>
      </c>
      <c r="AP72" s="18"/>
      <c r="AQ72" s="18"/>
      <c r="AR72" s="18">
        <v>2</v>
      </c>
      <c r="AS72" s="18">
        <v>1</v>
      </c>
      <c r="AT72" s="18">
        <v>3</v>
      </c>
      <c r="AU72" s="18">
        <v>3</v>
      </c>
      <c r="AV72" s="18">
        <v>2</v>
      </c>
      <c r="AW72" s="18">
        <v>11</v>
      </c>
      <c r="AX72" s="49">
        <v>12</v>
      </c>
      <c r="AY72" s="49">
        <f>VLOOKUP(AI72,Leyenda!$B$4:$E$10,4,FALSE)</f>
        <v>4</v>
      </c>
      <c r="AZ72" s="50">
        <v>8</v>
      </c>
      <c r="BA72" s="49">
        <v>11</v>
      </c>
      <c r="BB72" s="49">
        <v>15</v>
      </c>
      <c r="BC72" s="67">
        <v>45.5</v>
      </c>
      <c r="BD72" s="67">
        <f>VLOOKUP(AI72,Leyenda!$B$4:$E$10,4,FALSE)</f>
        <v>4</v>
      </c>
      <c r="BE72" s="67">
        <v>10</v>
      </c>
      <c r="BF72" s="67">
        <v>12</v>
      </c>
      <c r="BG72" s="67">
        <v>3</v>
      </c>
      <c r="BH72" s="67">
        <v>3</v>
      </c>
      <c r="BI72" s="67">
        <v>2</v>
      </c>
      <c r="BJ72" s="67">
        <v>1</v>
      </c>
      <c r="BK72" s="67">
        <v>3</v>
      </c>
      <c r="BL72" s="67">
        <v>10</v>
      </c>
      <c r="BM72" s="67">
        <f t="shared" si="9"/>
        <v>48</v>
      </c>
      <c r="BN72" s="18">
        <f t="shared" si="10"/>
        <v>50</v>
      </c>
      <c r="BO72" s="18"/>
      <c r="BP72" s="18"/>
      <c r="CH72" t="s">
        <v>587</v>
      </c>
      <c r="CI72">
        <v>20</v>
      </c>
      <c r="CJ72">
        <v>0</v>
      </c>
      <c r="CK72" s="55">
        <v>0</v>
      </c>
      <c r="CL72">
        <v>60</v>
      </c>
      <c r="CM72">
        <v>48</v>
      </c>
      <c r="CN72" s="55">
        <v>0.58536585365853655</v>
      </c>
      <c r="CO72" s="42">
        <f>+CJ72/$CJ$77</f>
        <v>0</v>
      </c>
      <c r="EQ72" s="178"/>
      <c r="ES72" s="55"/>
      <c r="ET72" s="178"/>
      <c r="EV72" s="55"/>
    </row>
    <row r="73" spans="1:152" x14ac:dyDescent="0.25">
      <c r="A73" s="18" t="s">
        <v>6</v>
      </c>
      <c r="B73" s="18">
        <v>2024</v>
      </c>
      <c r="C73" s="18" t="s">
        <v>138</v>
      </c>
      <c r="D73" s="18" t="s">
        <v>130</v>
      </c>
      <c r="E73" s="18">
        <v>30</v>
      </c>
      <c r="F73" s="18">
        <v>10</v>
      </c>
      <c r="G73" s="18" t="s">
        <v>152</v>
      </c>
      <c r="H73" s="18" t="s">
        <v>135</v>
      </c>
      <c r="I73" s="18" t="s">
        <v>181</v>
      </c>
      <c r="J73" s="4">
        <v>24</v>
      </c>
      <c r="K73" s="4">
        <v>24.5</v>
      </c>
      <c r="L73" s="4">
        <v>0.5</v>
      </c>
      <c r="M73" s="5">
        <v>1</v>
      </c>
      <c r="N73" s="31">
        <v>0.5</v>
      </c>
      <c r="O73" s="31">
        <v>0.5</v>
      </c>
      <c r="P73" s="31">
        <v>100</v>
      </c>
      <c r="Q73" s="31">
        <v>5</v>
      </c>
      <c r="R73" s="31">
        <v>0.41</v>
      </c>
      <c r="S73" s="31">
        <v>0.28000000000000003</v>
      </c>
      <c r="T73" s="65">
        <v>56.000000000000007</v>
      </c>
      <c r="U73" s="31">
        <v>4</v>
      </c>
      <c r="V73" s="31"/>
      <c r="W73" s="31">
        <v>4</v>
      </c>
      <c r="X73" s="31">
        <v>102.5</v>
      </c>
      <c r="Y73" s="18">
        <v>20</v>
      </c>
      <c r="Z73" s="18" t="s">
        <v>96</v>
      </c>
      <c r="AA73" s="18" t="s">
        <v>118</v>
      </c>
      <c r="AB73" s="18" t="s">
        <v>334</v>
      </c>
      <c r="AC73" s="18">
        <v>5</v>
      </c>
      <c r="AD73" s="18">
        <v>100</v>
      </c>
      <c r="AE73" s="18" t="s">
        <v>27</v>
      </c>
      <c r="AF73" s="18" t="s">
        <v>29</v>
      </c>
      <c r="AG73" s="18" t="s">
        <v>29</v>
      </c>
      <c r="AH73" s="18">
        <v>35</v>
      </c>
      <c r="AI73" s="18" t="s">
        <v>27</v>
      </c>
      <c r="AJ73" s="18" t="s">
        <v>64</v>
      </c>
      <c r="AK73" s="18" t="s">
        <v>79</v>
      </c>
      <c r="AL73" s="18" t="s">
        <v>92</v>
      </c>
      <c r="AM73" s="18" t="s">
        <v>107</v>
      </c>
      <c r="AN73" s="18" t="s">
        <v>120</v>
      </c>
      <c r="AO73" s="18" t="s">
        <v>198</v>
      </c>
      <c r="AP73" s="18"/>
      <c r="AQ73" s="18"/>
      <c r="AR73" s="18">
        <v>2</v>
      </c>
      <c r="AS73" s="18">
        <v>1</v>
      </c>
      <c r="AT73" s="18">
        <v>3</v>
      </c>
      <c r="AU73" s="18">
        <v>3</v>
      </c>
      <c r="AV73" s="18">
        <v>2</v>
      </c>
      <c r="AW73" s="18">
        <v>11</v>
      </c>
      <c r="AX73" s="49">
        <v>12</v>
      </c>
      <c r="AY73" s="49">
        <f>VLOOKUP(AI73,Leyenda!$B$4:$E$10,4,FALSE)</f>
        <v>4</v>
      </c>
      <c r="AZ73" s="50">
        <v>7</v>
      </c>
      <c r="BA73" s="49">
        <v>11</v>
      </c>
      <c r="BB73" s="49">
        <v>15</v>
      </c>
      <c r="BC73" s="67">
        <v>44.5</v>
      </c>
      <c r="BD73" s="67">
        <f>VLOOKUP(AI73,Leyenda!$B$4:$E$10,4,FALSE)</f>
        <v>4</v>
      </c>
      <c r="BE73" s="67">
        <v>8</v>
      </c>
      <c r="BF73" s="67">
        <v>12</v>
      </c>
      <c r="BG73" s="67">
        <v>3</v>
      </c>
      <c r="BH73" s="67">
        <v>3</v>
      </c>
      <c r="BI73" s="67">
        <v>2</v>
      </c>
      <c r="BJ73" s="67">
        <v>1</v>
      </c>
      <c r="BK73" s="67">
        <v>3</v>
      </c>
      <c r="BL73" s="67">
        <v>10</v>
      </c>
      <c r="BM73" s="67">
        <f t="shared" si="9"/>
        <v>46</v>
      </c>
      <c r="BN73" s="18">
        <f t="shared" si="10"/>
        <v>49</v>
      </c>
      <c r="BO73" s="18"/>
      <c r="BP73" s="18"/>
      <c r="CH73" t="s">
        <v>588</v>
      </c>
      <c r="CI73">
        <v>40</v>
      </c>
      <c r="CJ73">
        <v>25</v>
      </c>
      <c r="CK73" s="55">
        <v>0.3048780487804878</v>
      </c>
      <c r="CL73">
        <v>40</v>
      </c>
      <c r="CM73">
        <v>25</v>
      </c>
      <c r="CN73" s="55">
        <v>0.8902439024390244</v>
      </c>
      <c r="CO73" s="42">
        <f t="shared" ref="CO73:CO76" si="11">+CJ73/$CJ$77</f>
        <v>0.3048780487804878</v>
      </c>
      <c r="EQ73" s="178"/>
      <c r="ES73" s="55"/>
      <c r="ET73" s="178"/>
      <c r="EV73" s="55"/>
    </row>
    <row r="74" spans="1:152" x14ac:dyDescent="0.25">
      <c r="A74" s="18" t="s">
        <v>6</v>
      </c>
      <c r="B74" s="18">
        <v>2024</v>
      </c>
      <c r="C74" s="18" t="s">
        <v>138</v>
      </c>
      <c r="D74" s="18" t="s">
        <v>130</v>
      </c>
      <c r="E74" s="18">
        <v>30</v>
      </c>
      <c r="F74" s="18">
        <v>10</v>
      </c>
      <c r="G74" s="18" t="s">
        <v>152</v>
      </c>
      <c r="H74" s="18" t="s">
        <v>135</v>
      </c>
      <c r="I74" s="18" t="s">
        <v>181</v>
      </c>
      <c r="J74" s="4">
        <v>24.5</v>
      </c>
      <c r="K74" s="4">
        <v>25</v>
      </c>
      <c r="L74" s="4">
        <v>0.5</v>
      </c>
      <c r="M74" s="5">
        <v>1</v>
      </c>
      <c r="N74" s="31">
        <v>0.5</v>
      </c>
      <c r="O74" s="31">
        <v>0.5</v>
      </c>
      <c r="P74" s="31">
        <v>100</v>
      </c>
      <c r="Q74" s="31">
        <v>5</v>
      </c>
      <c r="R74" s="31">
        <v>0.5</v>
      </c>
      <c r="S74" s="31">
        <v>0.28999999999999998</v>
      </c>
      <c r="T74" s="65">
        <v>57.999999999999993</v>
      </c>
      <c r="U74" s="31">
        <v>5</v>
      </c>
      <c r="V74" s="31"/>
      <c r="W74" s="31">
        <v>5</v>
      </c>
      <c r="X74" s="31">
        <v>100</v>
      </c>
      <c r="Y74" s="18">
        <v>64</v>
      </c>
      <c r="Z74" s="18" t="s">
        <v>96</v>
      </c>
      <c r="AA74" s="18" t="s">
        <v>118</v>
      </c>
      <c r="AB74" s="18" t="s">
        <v>334</v>
      </c>
      <c r="AC74" s="18">
        <v>5</v>
      </c>
      <c r="AD74" s="18">
        <v>100</v>
      </c>
      <c r="AE74" s="18" t="s">
        <v>27</v>
      </c>
      <c r="AF74" s="18" t="s">
        <v>29</v>
      </c>
      <c r="AG74" s="18" t="s">
        <v>29</v>
      </c>
      <c r="AH74" s="18">
        <v>35</v>
      </c>
      <c r="AI74" s="18" t="s">
        <v>27</v>
      </c>
      <c r="AJ74" s="18" t="s">
        <v>64</v>
      </c>
      <c r="AK74" s="18" t="s">
        <v>79</v>
      </c>
      <c r="AL74" s="18" t="s">
        <v>92</v>
      </c>
      <c r="AM74" s="18" t="s">
        <v>107</v>
      </c>
      <c r="AN74" s="18" t="s">
        <v>120</v>
      </c>
      <c r="AO74" s="18" t="s">
        <v>198</v>
      </c>
      <c r="AP74" s="18"/>
      <c r="AQ74" s="18"/>
      <c r="AR74" s="18">
        <v>2</v>
      </c>
      <c r="AS74" s="18">
        <v>1</v>
      </c>
      <c r="AT74" s="18">
        <v>3</v>
      </c>
      <c r="AU74" s="18">
        <v>3</v>
      </c>
      <c r="AV74" s="18">
        <v>2</v>
      </c>
      <c r="AW74" s="18">
        <v>11</v>
      </c>
      <c r="AX74" s="49">
        <v>12</v>
      </c>
      <c r="AY74" s="49">
        <f>VLOOKUP(AI74,Leyenda!$B$4:$E$10,4,FALSE)</f>
        <v>4</v>
      </c>
      <c r="AZ74" s="50">
        <v>7</v>
      </c>
      <c r="BA74" s="49">
        <v>11</v>
      </c>
      <c r="BB74" s="49">
        <v>15</v>
      </c>
      <c r="BC74" s="67">
        <v>45.5</v>
      </c>
      <c r="BD74" s="67">
        <f>VLOOKUP(AI74,Leyenda!$B$4:$E$10,4,FALSE)</f>
        <v>4</v>
      </c>
      <c r="BE74" s="67">
        <v>8</v>
      </c>
      <c r="BF74" s="67">
        <v>12</v>
      </c>
      <c r="BG74" s="67">
        <v>3</v>
      </c>
      <c r="BH74" s="67">
        <v>3</v>
      </c>
      <c r="BI74" s="67">
        <v>2</v>
      </c>
      <c r="BJ74" s="67">
        <v>1</v>
      </c>
      <c r="BK74" s="67">
        <v>3</v>
      </c>
      <c r="BL74" s="67">
        <v>10</v>
      </c>
      <c r="BM74" s="67">
        <f t="shared" si="9"/>
        <v>46</v>
      </c>
      <c r="BN74" s="18">
        <f t="shared" si="10"/>
        <v>49</v>
      </c>
      <c r="BO74" s="18"/>
      <c r="BP74" s="18"/>
      <c r="CH74" t="s">
        <v>589</v>
      </c>
      <c r="CI74">
        <v>60</v>
      </c>
      <c r="CJ74">
        <v>48</v>
      </c>
      <c r="CK74" s="55">
        <v>0.8902439024390244</v>
      </c>
      <c r="CL74">
        <v>80</v>
      </c>
      <c r="CM74">
        <v>9</v>
      </c>
      <c r="CN74" s="55">
        <v>1</v>
      </c>
      <c r="CO74" s="42">
        <f t="shared" si="11"/>
        <v>0.58536585365853655</v>
      </c>
      <c r="EQ74" s="178"/>
      <c r="ES74" s="55"/>
      <c r="ET74" s="178"/>
      <c r="EV74" s="55"/>
    </row>
    <row r="75" spans="1:152" x14ac:dyDescent="0.25">
      <c r="A75" s="18" t="s">
        <v>6</v>
      </c>
      <c r="B75" s="18">
        <v>2024</v>
      </c>
      <c r="C75" s="18" t="s">
        <v>138</v>
      </c>
      <c r="D75" s="18" t="s">
        <v>130</v>
      </c>
      <c r="E75" s="18">
        <v>30</v>
      </c>
      <c r="F75" s="18">
        <v>10</v>
      </c>
      <c r="G75" s="18" t="s">
        <v>152</v>
      </c>
      <c r="H75" s="18" t="s">
        <v>135</v>
      </c>
      <c r="I75" s="18" t="s">
        <v>181</v>
      </c>
      <c r="J75" s="4">
        <v>25</v>
      </c>
      <c r="K75" s="4">
        <v>25.5</v>
      </c>
      <c r="L75" s="4">
        <v>0.5</v>
      </c>
      <c r="M75" s="5">
        <v>1</v>
      </c>
      <c r="N75" s="31">
        <v>0.5</v>
      </c>
      <c r="O75" s="31">
        <v>0.5</v>
      </c>
      <c r="P75" s="31">
        <v>100</v>
      </c>
      <c r="Q75" s="31">
        <v>5</v>
      </c>
      <c r="R75" s="31">
        <v>0.49</v>
      </c>
      <c r="S75" s="31">
        <v>0.28999999999999998</v>
      </c>
      <c r="T75" s="65">
        <v>57.999999999999993</v>
      </c>
      <c r="U75" s="31">
        <v>3</v>
      </c>
      <c r="V75" s="31"/>
      <c r="W75" s="31">
        <v>3</v>
      </c>
      <c r="X75" s="31">
        <v>163.33333333333334</v>
      </c>
      <c r="Y75" s="18">
        <v>60</v>
      </c>
      <c r="Z75" s="18" t="s">
        <v>96</v>
      </c>
      <c r="AA75" s="18" t="s">
        <v>118</v>
      </c>
      <c r="AB75" s="18" t="s">
        <v>334</v>
      </c>
      <c r="AC75" s="18">
        <v>5</v>
      </c>
      <c r="AD75" s="18">
        <v>100</v>
      </c>
      <c r="AE75" s="18" t="s">
        <v>27</v>
      </c>
      <c r="AF75" s="18" t="s">
        <v>29</v>
      </c>
      <c r="AG75" s="18" t="s">
        <v>29</v>
      </c>
      <c r="AH75" s="18">
        <v>35</v>
      </c>
      <c r="AI75" s="18" t="s">
        <v>27</v>
      </c>
      <c r="AJ75" s="18" t="s">
        <v>64</v>
      </c>
      <c r="AK75" s="18" t="s">
        <v>79</v>
      </c>
      <c r="AL75" s="18" t="s">
        <v>92</v>
      </c>
      <c r="AM75" s="18" t="s">
        <v>109</v>
      </c>
      <c r="AN75" s="18" t="s">
        <v>120</v>
      </c>
      <c r="AO75" s="18" t="s">
        <v>198</v>
      </c>
      <c r="AP75" s="18"/>
      <c r="AQ75" s="18"/>
      <c r="AR75" s="18">
        <v>2</v>
      </c>
      <c r="AS75" s="18">
        <v>1</v>
      </c>
      <c r="AT75" s="18">
        <v>3</v>
      </c>
      <c r="AU75" s="18">
        <v>1</v>
      </c>
      <c r="AV75" s="18">
        <v>2</v>
      </c>
      <c r="AW75" s="18">
        <v>9</v>
      </c>
      <c r="AX75" s="49">
        <v>12</v>
      </c>
      <c r="AY75" s="49">
        <f>VLOOKUP(AI75,Leyenda!$B$4:$E$10,4,FALSE)</f>
        <v>4</v>
      </c>
      <c r="AZ75" s="50">
        <v>9</v>
      </c>
      <c r="BA75" s="49">
        <v>9</v>
      </c>
      <c r="BB75" s="49">
        <v>15</v>
      </c>
      <c r="BC75" s="67">
        <v>42.5</v>
      </c>
      <c r="BD75" s="67">
        <f>VLOOKUP(AI75,Leyenda!$B$4:$E$10,4,FALSE)</f>
        <v>4</v>
      </c>
      <c r="BE75" s="67">
        <v>11</v>
      </c>
      <c r="BF75" s="67">
        <v>12</v>
      </c>
      <c r="BG75" s="67">
        <v>3</v>
      </c>
      <c r="BH75" s="67">
        <v>1</v>
      </c>
      <c r="BI75" s="67">
        <v>2</v>
      </c>
      <c r="BJ75" s="67">
        <v>1</v>
      </c>
      <c r="BK75" s="67">
        <v>3</v>
      </c>
      <c r="BL75" s="67">
        <v>10</v>
      </c>
      <c r="BM75" s="67">
        <f t="shared" si="9"/>
        <v>47</v>
      </c>
      <c r="BN75" s="18">
        <f t="shared" si="10"/>
        <v>49</v>
      </c>
      <c r="BO75" s="18"/>
      <c r="BP75" s="18"/>
      <c r="CH75" t="s">
        <v>590</v>
      </c>
      <c r="CI75">
        <v>80</v>
      </c>
      <c r="CJ75">
        <v>9</v>
      </c>
      <c r="CK75" s="55">
        <v>1</v>
      </c>
      <c r="CL75">
        <v>20</v>
      </c>
      <c r="CM75">
        <v>0</v>
      </c>
      <c r="CN75" s="55">
        <v>1</v>
      </c>
      <c r="CO75" s="42">
        <f t="shared" si="11"/>
        <v>0.10975609756097561</v>
      </c>
      <c r="EQ75" s="178"/>
      <c r="ES75" s="55"/>
      <c r="ET75" s="178"/>
      <c r="EV75" s="55"/>
    </row>
    <row r="76" spans="1:152" ht="15.75" thickBot="1" x14ac:dyDescent="0.3">
      <c r="A76" s="18" t="s">
        <v>6</v>
      </c>
      <c r="B76" s="18">
        <v>2024</v>
      </c>
      <c r="C76" s="18" t="s">
        <v>138</v>
      </c>
      <c r="D76" s="18" t="s">
        <v>130</v>
      </c>
      <c r="E76" s="18">
        <v>30</v>
      </c>
      <c r="F76" s="18">
        <v>10</v>
      </c>
      <c r="G76" s="18" t="s">
        <v>152</v>
      </c>
      <c r="H76" s="18" t="s">
        <v>135</v>
      </c>
      <c r="I76" s="18" t="s">
        <v>181</v>
      </c>
      <c r="J76" s="4">
        <v>25.5</v>
      </c>
      <c r="K76" s="4">
        <v>26</v>
      </c>
      <c r="L76" s="4">
        <v>0.5</v>
      </c>
      <c r="M76" s="5">
        <v>1</v>
      </c>
      <c r="N76" s="31">
        <v>0.5</v>
      </c>
      <c r="O76" s="31">
        <v>0.5</v>
      </c>
      <c r="P76" s="31">
        <v>100</v>
      </c>
      <c r="Q76" s="31">
        <v>5</v>
      </c>
      <c r="R76" s="31">
        <v>0.41</v>
      </c>
      <c r="S76" s="31">
        <v>0.3</v>
      </c>
      <c r="T76" s="65">
        <v>60</v>
      </c>
      <c r="U76" s="31">
        <v>2</v>
      </c>
      <c r="V76" s="31"/>
      <c r="W76" s="31">
        <v>2</v>
      </c>
      <c r="X76" s="31">
        <v>205</v>
      </c>
      <c r="Y76" s="18">
        <v>68</v>
      </c>
      <c r="Z76" s="18" t="s">
        <v>96</v>
      </c>
      <c r="AA76" s="18" t="s">
        <v>118</v>
      </c>
      <c r="AB76" s="18" t="s">
        <v>334</v>
      </c>
      <c r="AC76" s="18">
        <v>5</v>
      </c>
      <c r="AD76" s="18">
        <v>100</v>
      </c>
      <c r="AE76" s="18" t="s">
        <v>27</v>
      </c>
      <c r="AF76" s="18" t="s">
        <v>29</v>
      </c>
      <c r="AG76" s="18" t="s">
        <v>29</v>
      </c>
      <c r="AH76" s="18">
        <v>35</v>
      </c>
      <c r="AI76" s="18" t="s">
        <v>27</v>
      </c>
      <c r="AJ76" s="18" t="s">
        <v>64</v>
      </c>
      <c r="AK76" s="18" t="s">
        <v>79</v>
      </c>
      <c r="AL76" s="18" t="s">
        <v>92</v>
      </c>
      <c r="AM76" s="18" t="s">
        <v>109</v>
      </c>
      <c r="AN76" s="18" t="s">
        <v>120</v>
      </c>
      <c r="AO76" s="18" t="s">
        <v>198</v>
      </c>
      <c r="AP76" s="18"/>
      <c r="AQ76" s="18"/>
      <c r="AR76" s="18">
        <v>2</v>
      </c>
      <c r="AS76" s="18">
        <v>1</v>
      </c>
      <c r="AT76" s="18">
        <v>3</v>
      </c>
      <c r="AU76" s="18">
        <v>1</v>
      </c>
      <c r="AV76" s="18">
        <v>2</v>
      </c>
      <c r="AW76" s="18">
        <v>9</v>
      </c>
      <c r="AX76" s="49">
        <v>12</v>
      </c>
      <c r="AY76" s="49">
        <f>VLOOKUP(AI76,Leyenda!$B$4:$E$10,4,FALSE)</f>
        <v>4</v>
      </c>
      <c r="AZ76" s="50">
        <v>9</v>
      </c>
      <c r="BA76" s="49">
        <v>9</v>
      </c>
      <c r="BB76" s="49">
        <v>15</v>
      </c>
      <c r="BC76" s="67">
        <v>43.5</v>
      </c>
      <c r="BD76" s="67">
        <f>VLOOKUP(AI76,Leyenda!$B$4:$E$10,4,FALSE)</f>
        <v>4</v>
      </c>
      <c r="BE76" s="67">
        <v>13</v>
      </c>
      <c r="BF76" s="67">
        <v>12</v>
      </c>
      <c r="BG76" s="67">
        <v>3</v>
      </c>
      <c r="BH76" s="67">
        <v>1</v>
      </c>
      <c r="BI76" s="67">
        <v>2</v>
      </c>
      <c r="BJ76" s="67">
        <v>1</v>
      </c>
      <c r="BK76" s="67">
        <v>3</v>
      </c>
      <c r="BL76" s="67">
        <v>10</v>
      </c>
      <c r="BM76" s="67">
        <f t="shared" si="9"/>
        <v>49</v>
      </c>
      <c r="BN76" s="18">
        <f t="shared" si="10"/>
        <v>49</v>
      </c>
      <c r="BO76" s="18"/>
      <c r="BP76" s="18"/>
      <c r="CH76" t="s">
        <v>591</v>
      </c>
      <c r="CI76" s="57" t="s">
        <v>581</v>
      </c>
      <c r="CJ76" s="57">
        <v>0</v>
      </c>
      <c r="CK76" s="95">
        <v>1</v>
      </c>
      <c r="CL76" s="57" t="s">
        <v>581</v>
      </c>
      <c r="CM76" s="57">
        <v>0</v>
      </c>
      <c r="CN76" s="95">
        <v>1</v>
      </c>
      <c r="CO76" s="42">
        <f t="shared" si="11"/>
        <v>0</v>
      </c>
      <c r="EQ76" s="178"/>
      <c r="ES76" s="55"/>
      <c r="ET76" s="178"/>
      <c r="EV76" s="55"/>
    </row>
    <row r="77" spans="1:152" x14ac:dyDescent="0.25">
      <c r="A77" s="18" t="s">
        <v>6</v>
      </c>
      <c r="B77" s="18">
        <v>2024</v>
      </c>
      <c r="C77" s="18" t="s">
        <v>138</v>
      </c>
      <c r="D77" s="18" t="s">
        <v>130</v>
      </c>
      <c r="E77" s="18">
        <v>20</v>
      </c>
      <c r="F77" s="18">
        <v>10</v>
      </c>
      <c r="G77" s="18" t="s">
        <v>156</v>
      </c>
      <c r="H77" s="18" t="s">
        <v>135</v>
      </c>
      <c r="I77" s="18" t="s">
        <v>181</v>
      </c>
      <c r="J77" s="4">
        <v>26</v>
      </c>
      <c r="K77" s="4">
        <v>26.5</v>
      </c>
      <c r="L77" s="4">
        <v>0.5</v>
      </c>
      <c r="M77" s="5">
        <v>1</v>
      </c>
      <c r="N77" s="31">
        <v>0.5</v>
      </c>
      <c r="O77" s="31">
        <v>0.5</v>
      </c>
      <c r="P77" s="31">
        <v>500</v>
      </c>
      <c r="Q77" s="31">
        <v>1</v>
      </c>
      <c r="R77" s="31">
        <v>0.46</v>
      </c>
      <c r="S77" s="31">
        <v>0.42</v>
      </c>
      <c r="T77" s="65">
        <v>84</v>
      </c>
      <c r="U77" s="31">
        <v>2</v>
      </c>
      <c r="V77" s="31"/>
      <c r="W77" s="31">
        <v>2</v>
      </c>
      <c r="X77" s="31">
        <v>230</v>
      </c>
      <c r="Y77" s="18">
        <v>100</v>
      </c>
      <c r="Z77" s="18" t="s">
        <v>96</v>
      </c>
      <c r="AA77" s="18" t="s">
        <v>116</v>
      </c>
      <c r="AB77" s="18" t="s">
        <v>334</v>
      </c>
      <c r="AC77" s="18">
        <v>1</v>
      </c>
      <c r="AD77" s="18">
        <v>500</v>
      </c>
      <c r="AE77" s="18" t="s">
        <v>27</v>
      </c>
      <c r="AF77" s="18" t="s">
        <v>29</v>
      </c>
      <c r="AG77" s="18" t="s">
        <v>29</v>
      </c>
      <c r="AH77" s="18">
        <v>35</v>
      </c>
      <c r="AI77" s="18" t="s">
        <v>27</v>
      </c>
      <c r="AJ77" s="18" t="s">
        <v>64</v>
      </c>
      <c r="AK77" s="18" t="s">
        <v>79</v>
      </c>
      <c r="AL77" s="18" t="s">
        <v>92</v>
      </c>
      <c r="AM77" s="18" t="s">
        <v>107</v>
      </c>
      <c r="AN77" s="18" t="s">
        <v>120</v>
      </c>
      <c r="AO77" s="18" t="s">
        <v>198</v>
      </c>
      <c r="AP77" s="18"/>
      <c r="AQ77" s="18"/>
      <c r="AR77" s="18">
        <v>2</v>
      </c>
      <c r="AS77" s="18">
        <v>1</v>
      </c>
      <c r="AT77" s="18">
        <v>3</v>
      </c>
      <c r="AU77" s="18">
        <v>3</v>
      </c>
      <c r="AV77" s="18">
        <v>2</v>
      </c>
      <c r="AW77" s="18">
        <v>11</v>
      </c>
      <c r="AX77" s="49">
        <v>17</v>
      </c>
      <c r="AY77" s="49">
        <f>VLOOKUP(AI77,Leyenda!$B$4:$E$10,4,FALSE)</f>
        <v>4</v>
      </c>
      <c r="AZ77" s="50">
        <v>10</v>
      </c>
      <c r="BA77" s="49">
        <v>11</v>
      </c>
      <c r="BB77" s="49">
        <v>15</v>
      </c>
      <c r="BC77" s="67">
        <v>58.5</v>
      </c>
      <c r="BD77" s="67">
        <f>VLOOKUP(AI77,Leyenda!$B$4:$E$10,4,FALSE)</f>
        <v>4</v>
      </c>
      <c r="BE77" s="67">
        <v>13</v>
      </c>
      <c r="BF77" s="67">
        <v>17</v>
      </c>
      <c r="BG77" s="67">
        <v>3</v>
      </c>
      <c r="BH77" s="67">
        <v>3</v>
      </c>
      <c r="BI77" s="67">
        <v>2</v>
      </c>
      <c r="BJ77" s="67">
        <v>1</v>
      </c>
      <c r="BK77" s="67">
        <v>3</v>
      </c>
      <c r="BL77" s="67">
        <v>10</v>
      </c>
      <c r="BM77" s="67">
        <f t="shared" si="9"/>
        <v>56</v>
      </c>
      <c r="BN77" s="18">
        <f t="shared" si="10"/>
        <v>57</v>
      </c>
      <c r="BO77" s="18"/>
      <c r="BP77" s="18"/>
      <c r="CJ77">
        <f>+SUM(CJ72:CJ76)</f>
        <v>82</v>
      </c>
      <c r="EQ77" s="178"/>
      <c r="ES77" s="55"/>
      <c r="ET77" s="178"/>
      <c r="EV77" s="55"/>
    </row>
    <row r="78" spans="1:152" x14ac:dyDescent="0.25">
      <c r="A78" s="18" t="s">
        <v>6</v>
      </c>
      <c r="B78" s="18">
        <v>2024</v>
      </c>
      <c r="C78" s="18" t="s">
        <v>138</v>
      </c>
      <c r="D78" s="18" t="s">
        <v>130</v>
      </c>
      <c r="E78" s="18">
        <v>20</v>
      </c>
      <c r="F78" s="18">
        <v>10</v>
      </c>
      <c r="G78" s="18" t="s">
        <v>156</v>
      </c>
      <c r="H78" s="18" t="s">
        <v>135</v>
      </c>
      <c r="I78" s="18" t="s">
        <v>181</v>
      </c>
      <c r="J78" s="4">
        <v>26.5</v>
      </c>
      <c r="K78" s="4">
        <v>27</v>
      </c>
      <c r="L78" s="4">
        <v>0.5</v>
      </c>
      <c r="M78" s="5">
        <v>1</v>
      </c>
      <c r="N78" s="31">
        <v>0.5</v>
      </c>
      <c r="O78" s="31">
        <v>0.5</v>
      </c>
      <c r="P78" s="31">
        <v>500</v>
      </c>
      <c r="Q78" s="31">
        <v>1</v>
      </c>
      <c r="R78" s="31">
        <v>0.47</v>
      </c>
      <c r="S78" s="31">
        <v>0.37</v>
      </c>
      <c r="T78" s="65">
        <v>74</v>
      </c>
      <c r="U78" s="31">
        <v>3</v>
      </c>
      <c r="V78" s="31"/>
      <c r="W78" s="31">
        <v>3</v>
      </c>
      <c r="X78" s="31">
        <v>156.66666666666666</v>
      </c>
      <c r="Y78" s="18">
        <v>54</v>
      </c>
      <c r="Z78" s="18" t="s">
        <v>96</v>
      </c>
      <c r="AA78" s="18" t="s">
        <v>116</v>
      </c>
      <c r="AB78" s="18" t="s">
        <v>334</v>
      </c>
      <c r="AC78" s="18">
        <v>1</v>
      </c>
      <c r="AD78" s="18">
        <v>500</v>
      </c>
      <c r="AE78" s="18" t="s">
        <v>27</v>
      </c>
      <c r="AF78" s="18" t="s">
        <v>29</v>
      </c>
      <c r="AG78" s="18" t="s">
        <v>29</v>
      </c>
      <c r="AH78" s="18">
        <v>35</v>
      </c>
      <c r="AI78" s="18" t="s">
        <v>27</v>
      </c>
      <c r="AJ78" s="18" t="s">
        <v>64</v>
      </c>
      <c r="AK78" s="18" t="s">
        <v>79</v>
      </c>
      <c r="AL78" s="18" t="s">
        <v>92</v>
      </c>
      <c r="AM78" s="18" t="s">
        <v>107</v>
      </c>
      <c r="AN78" s="18" t="s">
        <v>120</v>
      </c>
      <c r="AO78" s="18" t="s">
        <v>198</v>
      </c>
      <c r="AP78" s="18"/>
      <c r="AQ78" s="18"/>
      <c r="AR78" s="18">
        <v>2</v>
      </c>
      <c r="AS78" s="18">
        <v>1</v>
      </c>
      <c r="AT78" s="18">
        <v>3</v>
      </c>
      <c r="AU78" s="18">
        <v>3</v>
      </c>
      <c r="AV78" s="18">
        <v>2</v>
      </c>
      <c r="AW78" s="18">
        <v>11</v>
      </c>
      <c r="AX78" s="49">
        <v>15</v>
      </c>
      <c r="AY78" s="49">
        <f>VLOOKUP(AI78,Leyenda!$B$4:$E$10,4,FALSE)</f>
        <v>4</v>
      </c>
      <c r="AZ78" s="50">
        <v>8</v>
      </c>
      <c r="BA78" s="49">
        <v>11</v>
      </c>
      <c r="BB78" s="49">
        <v>15</v>
      </c>
      <c r="BC78" s="67">
        <v>53.5</v>
      </c>
      <c r="BD78" s="67">
        <f>VLOOKUP(AI78,Leyenda!$B$4:$E$10,4,FALSE)</f>
        <v>4</v>
      </c>
      <c r="BE78" s="67">
        <v>11</v>
      </c>
      <c r="BF78" s="67">
        <v>15</v>
      </c>
      <c r="BG78" s="67">
        <v>3</v>
      </c>
      <c r="BH78" s="67">
        <v>3</v>
      </c>
      <c r="BI78" s="67">
        <v>2</v>
      </c>
      <c r="BJ78" s="67">
        <v>1</v>
      </c>
      <c r="BK78" s="67">
        <v>3</v>
      </c>
      <c r="BL78" s="67">
        <v>10</v>
      </c>
      <c r="BM78" s="67">
        <f t="shared" si="9"/>
        <v>52</v>
      </c>
      <c r="BN78" s="18">
        <f t="shared" si="10"/>
        <v>53</v>
      </c>
      <c r="BO78" s="18"/>
      <c r="BP78" s="18"/>
      <c r="EQ78" s="178"/>
      <c r="ES78" s="55"/>
      <c r="ET78" s="178"/>
      <c r="EV78" s="55"/>
    </row>
    <row r="79" spans="1:152" x14ac:dyDescent="0.25">
      <c r="A79" s="18" t="s">
        <v>6</v>
      </c>
      <c r="B79" s="18">
        <v>2024</v>
      </c>
      <c r="C79" s="18" t="s">
        <v>138</v>
      </c>
      <c r="D79" s="18" t="s">
        <v>130</v>
      </c>
      <c r="E79" s="18">
        <v>20</v>
      </c>
      <c r="F79" s="18">
        <v>10</v>
      </c>
      <c r="G79" s="18" t="s">
        <v>156</v>
      </c>
      <c r="H79" s="18" t="s">
        <v>135</v>
      </c>
      <c r="I79" s="18" t="s">
        <v>181</v>
      </c>
      <c r="J79" s="4">
        <v>27</v>
      </c>
      <c r="K79" s="4">
        <v>27.5</v>
      </c>
      <c r="L79" s="4">
        <v>0.5</v>
      </c>
      <c r="M79" s="5">
        <v>1</v>
      </c>
      <c r="N79" s="31">
        <v>0.5</v>
      </c>
      <c r="O79" s="31">
        <v>0.5</v>
      </c>
      <c r="P79" s="31">
        <v>500</v>
      </c>
      <c r="Q79" s="31">
        <v>1</v>
      </c>
      <c r="R79" s="31">
        <v>0.43</v>
      </c>
      <c r="S79" s="31">
        <v>0.42</v>
      </c>
      <c r="T79" s="65">
        <v>84</v>
      </c>
      <c r="U79" s="31">
        <v>2</v>
      </c>
      <c r="V79" s="31"/>
      <c r="W79" s="31">
        <v>2</v>
      </c>
      <c r="X79" s="31">
        <v>215</v>
      </c>
      <c r="Y79" s="18">
        <v>92</v>
      </c>
      <c r="Z79" s="18" t="s">
        <v>96</v>
      </c>
      <c r="AA79" s="18" t="s">
        <v>116</v>
      </c>
      <c r="AB79" s="18" t="s">
        <v>334</v>
      </c>
      <c r="AC79" s="18">
        <v>1</v>
      </c>
      <c r="AD79" s="18">
        <v>500</v>
      </c>
      <c r="AE79" s="18" t="s">
        <v>27</v>
      </c>
      <c r="AF79" s="18" t="s">
        <v>29</v>
      </c>
      <c r="AG79" s="18" t="s">
        <v>29</v>
      </c>
      <c r="AH79" s="18">
        <v>35</v>
      </c>
      <c r="AI79" s="18" t="s">
        <v>27</v>
      </c>
      <c r="AJ79" s="18" t="s">
        <v>64</v>
      </c>
      <c r="AK79" s="18" t="s">
        <v>79</v>
      </c>
      <c r="AL79" s="18" t="s">
        <v>92</v>
      </c>
      <c r="AM79" s="18" t="s">
        <v>107</v>
      </c>
      <c r="AN79" s="18" t="s">
        <v>120</v>
      </c>
      <c r="AO79" s="18" t="s">
        <v>198</v>
      </c>
      <c r="AP79" s="18" t="s">
        <v>259</v>
      </c>
      <c r="AQ79" s="18"/>
      <c r="AR79" s="18">
        <v>2</v>
      </c>
      <c r="AS79" s="18">
        <v>1</v>
      </c>
      <c r="AT79" s="18">
        <v>3</v>
      </c>
      <c r="AU79" s="18">
        <v>3</v>
      </c>
      <c r="AV79" s="18">
        <v>2</v>
      </c>
      <c r="AW79" s="18">
        <v>11</v>
      </c>
      <c r="AX79" s="49">
        <v>17</v>
      </c>
      <c r="AY79" s="49">
        <f>VLOOKUP(AI79,Leyenda!$B$4:$E$10,4,FALSE)</f>
        <v>4</v>
      </c>
      <c r="AZ79" s="50">
        <v>9</v>
      </c>
      <c r="BA79" s="49">
        <v>11</v>
      </c>
      <c r="BB79" s="49">
        <v>15</v>
      </c>
      <c r="BC79" s="67">
        <v>58.5</v>
      </c>
      <c r="BD79" s="67">
        <f>VLOOKUP(AI79,Leyenda!$B$4:$E$10,4,FALSE)</f>
        <v>4</v>
      </c>
      <c r="BE79" s="67">
        <v>13</v>
      </c>
      <c r="BF79" s="67">
        <v>17</v>
      </c>
      <c r="BG79" s="67">
        <v>3</v>
      </c>
      <c r="BH79" s="67">
        <v>3</v>
      </c>
      <c r="BI79" s="67">
        <v>2</v>
      </c>
      <c r="BJ79" s="67">
        <v>1</v>
      </c>
      <c r="BK79" s="67">
        <v>3</v>
      </c>
      <c r="BL79" s="67">
        <v>10</v>
      </c>
      <c r="BM79" s="67">
        <f t="shared" si="9"/>
        <v>56</v>
      </c>
      <c r="BN79" s="18">
        <f t="shared" si="10"/>
        <v>56</v>
      </c>
      <c r="BO79" s="18"/>
      <c r="BP79" s="18"/>
      <c r="EQ79" s="178"/>
      <c r="ES79" s="55"/>
      <c r="ET79" s="178"/>
      <c r="EV79" s="55"/>
    </row>
    <row r="80" spans="1:152" x14ac:dyDescent="0.25">
      <c r="A80" s="18" t="s">
        <v>6</v>
      </c>
      <c r="B80" s="18">
        <v>2024</v>
      </c>
      <c r="C80" s="18" t="s">
        <v>138</v>
      </c>
      <c r="D80" s="18" t="s">
        <v>130</v>
      </c>
      <c r="E80" s="18">
        <v>20</v>
      </c>
      <c r="F80" s="18">
        <v>10</v>
      </c>
      <c r="G80" s="18" t="s">
        <v>156</v>
      </c>
      <c r="H80" s="18" t="s">
        <v>135</v>
      </c>
      <c r="I80" s="18" t="s">
        <v>181</v>
      </c>
      <c r="J80" s="4">
        <v>27.5</v>
      </c>
      <c r="K80" s="4">
        <v>28</v>
      </c>
      <c r="L80" s="4">
        <v>0.5</v>
      </c>
      <c r="M80" s="5">
        <v>1</v>
      </c>
      <c r="N80" s="31">
        <v>0.5</v>
      </c>
      <c r="O80" s="31">
        <v>0.5</v>
      </c>
      <c r="P80" s="31">
        <v>500</v>
      </c>
      <c r="Q80" s="31">
        <v>1</v>
      </c>
      <c r="R80" s="31">
        <v>0.48</v>
      </c>
      <c r="S80" s="31">
        <v>0.48</v>
      </c>
      <c r="T80" s="65">
        <v>96</v>
      </c>
      <c r="U80" s="31">
        <v>1</v>
      </c>
      <c r="V80" s="31"/>
      <c r="W80" s="31">
        <v>1</v>
      </c>
      <c r="X80" s="31">
        <v>480</v>
      </c>
      <c r="Y80" s="18">
        <v>100</v>
      </c>
      <c r="Z80" s="18" t="s">
        <v>96</v>
      </c>
      <c r="AA80" s="18" t="s">
        <v>116</v>
      </c>
      <c r="AB80" s="18" t="s">
        <v>334</v>
      </c>
      <c r="AC80" s="18">
        <v>1</v>
      </c>
      <c r="AD80" s="18">
        <v>500</v>
      </c>
      <c r="AE80" s="18" t="s">
        <v>27</v>
      </c>
      <c r="AF80" s="18" t="s">
        <v>29</v>
      </c>
      <c r="AG80" s="18" t="s">
        <v>29</v>
      </c>
      <c r="AH80" s="18">
        <v>35</v>
      </c>
      <c r="AI80" s="18" t="s">
        <v>27</v>
      </c>
      <c r="AJ80" s="18" t="s">
        <v>64</v>
      </c>
      <c r="AK80" s="18" t="s">
        <v>79</v>
      </c>
      <c r="AL80" s="18" t="s">
        <v>96</v>
      </c>
      <c r="AM80" s="18" t="s">
        <v>107</v>
      </c>
      <c r="AN80" s="18" t="s">
        <v>120</v>
      </c>
      <c r="AO80" s="18" t="s">
        <v>198</v>
      </c>
      <c r="AP80" s="18"/>
      <c r="AQ80" s="18"/>
      <c r="AR80" s="18">
        <v>2</v>
      </c>
      <c r="AS80" s="18">
        <v>1</v>
      </c>
      <c r="AT80" s="18">
        <v>1</v>
      </c>
      <c r="AU80" s="18">
        <v>3</v>
      </c>
      <c r="AV80" s="18">
        <v>2</v>
      </c>
      <c r="AW80" s="18">
        <v>9</v>
      </c>
      <c r="AX80" s="49">
        <v>19</v>
      </c>
      <c r="AY80" s="49">
        <f>VLOOKUP(AI80,Leyenda!$B$4:$E$10,4,FALSE)</f>
        <v>4</v>
      </c>
      <c r="AZ80" s="50">
        <v>12</v>
      </c>
      <c r="BA80" s="49">
        <v>9</v>
      </c>
      <c r="BB80" s="49">
        <v>15</v>
      </c>
      <c r="BC80" s="67">
        <v>61.5</v>
      </c>
      <c r="BD80" s="67">
        <f>VLOOKUP(AI80,Leyenda!$B$4:$E$10,4,FALSE)</f>
        <v>4</v>
      </c>
      <c r="BE80" s="67">
        <v>18</v>
      </c>
      <c r="BF80" s="67">
        <v>19</v>
      </c>
      <c r="BG80" s="67">
        <v>1</v>
      </c>
      <c r="BH80" s="67">
        <v>3</v>
      </c>
      <c r="BI80" s="67">
        <v>2</v>
      </c>
      <c r="BJ80" s="67">
        <v>1</v>
      </c>
      <c r="BK80" s="67">
        <v>3</v>
      </c>
      <c r="BL80" s="67">
        <v>10</v>
      </c>
      <c r="BM80" s="67">
        <f t="shared" si="9"/>
        <v>61</v>
      </c>
      <c r="BN80" s="18">
        <f t="shared" si="10"/>
        <v>59</v>
      </c>
      <c r="BO80" s="18"/>
      <c r="BP80" s="18"/>
      <c r="EQ80" s="178"/>
      <c r="ES80" s="55"/>
      <c r="ET80" s="178"/>
      <c r="EV80" s="55"/>
    </row>
    <row r="81" spans="1:152" x14ac:dyDescent="0.25">
      <c r="A81" s="18" t="s">
        <v>6</v>
      </c>
      <c r="B81" s="18">
        <v>2024</v>
      </c>
      <c r="C81" s="18" t="s">
        <v>138</v>
      </c>
      <c r="D81" s="18" t="s">
        <v>130</v>
      </c>
      <c r="E81" s="18">
        <v>20</v>
      </c>
      <c r="F81" s="18">
        <v>10</v>
      </c>
      <c r="G81" s="18" t="s">
        <v>156</v>
      </c>
      <c r="H81" s="18" t="s">
        <v>135</v>
      </c>
      <c r="I81" s="18" t="s">
        <v>181</v>
      </c>
      <c r="J81" s="4">
        <v>28</v>
      </c>
      <c r="K81" s="4">
        <v>28.5</v>
      </c>
      <c r="L81" s="4">
        <v>0.5</v>
      </c>
      <c r="M81" s="5">
        <v>1</v>
      </c>
      <c r="N81" s="31">
        <v>0.5</v>
      </c>
      <c r="O81" s="31">
        <v>0.5</v>
      </c>
      <c r="P81" s="31">
        <v>500</v>
      </c>
      <c r="Q81" s="31">
        <v>1</v>
      </c>
      <c r="R81" s="31">
        <v>0.47</v>
      </c>
      <c r="S81" s="31">
        <v>0.46</v>
      </c>
      <c r="T81" s="65">
        <v>92</v>
      </c>
      <c r="U81" s="31">
        <v>2</v>
      </c>
      <c r="V81" s="31"/>
      <c r="W81" s="31">
        <v>2</v>
      </c>
      <c r="X81" s="31">
        <v>235</v>
      </c>
      <c r="Y81" s="18">
        <v>98</v>
      </c>
      <c r="Z81" s="18" t="s">
        <v>96</v>
      </c>
      <c r="AA81" s="18" t="s">
        <v>116</v>
      </c>
      <c r="AB81" s="18" t="s">
        <v>334</v>
      </c>
      <c r="AC81" s="18">
        <v>1</v>
      </c>
      <c r="AD81" s="18">
        <v>500</v>
      </c>
      <c r="AE81" s="18" t="s">
        <v>27</v>
      </c>
      <c r="AF81" s="18" t="s">
        <v>29</v>
      </c>
      <c r="AG81" s="18" t="s">
        <v>29</v>
      </c>
      <c r="AH81" s="18">
        <v>35</v>
      </c>
      <c r="AI81" s="18" t="s">
        <v>27</v>
      </c>
      <c r="AJ81" s="18" t="s">
        <v>64</v>
      </c>
      <c r="AK81" s="18" t="s">
        <v>79</v>
      </c>
      <c r="AL81" s="18" t="s">
        <v>96</v>
      </c>
      <c r="AM81" s="18" t="s">
        <v>107</v>
      </c>
      <c r="AN81" s="18" t="s">
        <v>120</v>
      </c>
      <c r="AO81" s="18" t="s">
        <v>198</v>
      </c>
      <c r="AP81" s="18"/>
      <c r="AQ81" s="18"/>
      <c r="AR81" s="18">
        <v>2</v>
      </c>
      <c r="AS81" s="18">
        <v>1</v>
      </c>
      <c r="AT81" s="18">
        <v>1</v>
      </c>
      <c r="AU81" s="18">
        <v>3</v>
      </c>
      <c r="AV81" s="18">
        <v>2</v>
      </c>
      <c r="AW81" s="18">
        <v>9</v>
      </c>
      <c r="AX81" s="49">
        <v>19</v>
      </c>
      <c r="AY81" s="49">
        <f>VLOOKUP(AI81,Leyenda!$B$4:$E$10,4,FALSE)</f>
        <v>4</v>
      </c>
      <c r="AZ81" s="50">
        <v>10</v>
      </c>
      <c r="BA81" s="49">
        <v>9</v>
      </c>
      <c r="BB81" s="49">
        <v>15</v>
      </c>
      <c r="BC81" s="67">
        <v>59.5</v>
      </c>
      <c r="BD81" s="67">
        <f>VLOOKUP(AI81,Leyenda!$B$4:$E$10,4,FALSE)</f>
        <v>4</v>
      </c>
      <c r="BE81" s="67">
        <v>13</v>
      </c>
      <c r="BF81" s="67">
        <v>19</v>
      </c>
      <c r="BG81" s="67">
        <v>1</v>
      </c>
      <c r="BH81" s="67">
        <v>3</v>
      </c>
      <c r="BI81" s="67">
        <v>2</v>
      </c>
      <c r="BJ81" s="67">
        <v>1</v>
      </c>
      <c r="BK81" s="67">
        <v>3</v>
      </c>
      <c r="BL81" s="67">
        <v>10</v>
      </c>
      <c r="BM81" s="67">
        <f t="shared" si="9"/>
        <v>56</v>
      </c>
      <c r="BN81" s="18">
        <f t="shared" si="10"/>
        <v>57</v>
      </c>
      <c r="BO81" s="18"/>
      <c r="BP81" s="18"/>
      <c r="EQ81" s="178"/>
      <c r="ES81" s="55"/>
      <c r="ET81" s="178"/>
      <c r="EV81" s="55"/>
    </row>
    <row r="82" spans="1:152" x14ac:dyDescent="0.25">
      <c r="A82" s="18" t="s">
        <v>6</v>
      </c>
      <c r="B82" s="18">
        <v>2024</v>
      </c>
      <c r="C82" s="18" t="s">
        <v>138</v>
      </c>
      <c r="D82" s="18" t="s">
        <v>130</v>
      </c>
      <c r="E82" s="18">
        <v>20</v>
      </c>
      <c r="F82" s="18">
        <v>10</v>
      </c>
      <c r="G82" s="18" t="s">
        <v>156</v>
      </c>
      <c r="H82" s="18" t="s">
        <v>135</v>
      </c>
      <c r="I82" s="18" t="s">
        <v>181</v>
      </c>
      <c r="J82" s="4">
        <v>28.5</v>
      </c>
      <c r="K82" s="4">
        <v>29</v>
      </c>
      <c r="L82" s="4">
        <v>0.5</v>
      </c>
      <c r="M82" s="5">
        <v>1</v>
      </c>
      <c r="N82" s="31">
        <v>0.5</v>
      </c>
      <c r="O82" s="31">
        <v>0.5</v>
      </c>
      <c r="P82" s="31">
        <v>100</v>
      </c>
      <c r="Q82" s="31">
        <v>5</v>
      </c>
      <c r="R82" s="31">
        <v>0.47</v>
      </c>
      <c r="S82" s="31">
        <v>0.31</v>
      </c>
      <c r="T82" s="65">
        <v>62</v>
      </c>
      <c r="U82" s="31">
        <v>3</v>
      </c>
      <c r="V82" s="31"/>
      <c r="W82" s="31">
        <v>3</v>
      </c>
      <c r="X82" s="31">
        <v>156.66666666666666</v>
      </c>
      <c r="Y82" s="18">
        <v>74</v>
      </c>
      <c r="Z82" s="18" t="s">
        <v>96</v>
      </c>
      <c r="AA82" s="18" t="s">
        <v>118</v>
      </c>
      <c r="AB82" s="18" t="s">
        <v>334</v>
      </c>
      <c r="AC82" s="18">
        <v>5</v>
      </c>
      <c r="AD82" s="18">
        <v>100</v>
      </c>
      <c r="AE82" s="18" t="s">
        <v>27</v>
      </c>
      <c r="AF82" s="18" t="s">
        <v>29</v>
      </c>
      <c r="AG82" s="18" t="s">
        <v>29</v>
      </c>
      <c r="AH82" s="18">
        <v>35</v>
      </c>
      <c r="AI82" s="18" t="s">
        <v>27</v>
      </c>
      <c r="AJ82" s="18" t="s">
        <v>64</v>
      </c>
      <c r="AK82" s="18" t="s">
        <v>79</v>
      </c>
      <c r="AL82" s="18" t="s">
        <v>96</v>
      </c>
      <c r="AM82" s="18" t="s">
        <v>107</v>
      </c>
      <c r="AN82" s="18" t="s">
        <v>120</v>
      </c>
      <c r="AO82" s="18" t="s">
        <v>198</v>
      </c>
      <c r="AP82" s="18"/>
      <c r="AQ82" s="18"/>
      <c r="AR82" s="18">
        <v>2</v>
      </c>
      <c r="AS82" s="18">
        <v>1</v>
      </c>
      <c r="AT82" s="18">
        <v>1</v>
      </c>
      <c r="AU82" s="18">
        <v>3</v>
      </c>
      <c r="AV82" s="18">
        <v>2</v>
      </c>
      <c r="AW82" s="18">
        <v>9</v>
      </c>
      <c r="AX82" s="49">
        <v>13</v>
      </c>
      <c r="AY82" s="49">
        <f>VLOOKUP(AI82,Leyenda!$B$4:$E$10,4,FALSE)</f>
        <v>4</v>
      </c>
      <c r="AZ82" s="50">
        <v>8</v>
      </c>
      <c r="BA82" s="49">
        <v>9</v>
      </c>
      <c r="BB82" s="49">
        <v>15</v>
      </c>
      <c r="BC82" s="67">
        <v>44.5</v>
      </c>
      <c r="BD82" s="67">
        <f>VLOOKUP(AI82,Leyenda!$B$4:$E$10,4,FALSE)</f>
        <v>4</v>
      </c>
      <c r="BE82" s="67">
        <v>11</v>
      </c>
      <c r="BF82" s="67">
        <v>13</v>
      </c>
      <c r="BG82" s="67">
        <v>1</v>
      </c>
      <c r="BH82" s="67">
        <v>3</v>
      </c>
      <c r="BI82" s="67">
        <v>2</v>
      </c>
      <c r="BJ82" s="67">
        <v>1</v>
      </c>
      <c r="BK82" s="67">
        <v>3</v>
      </c>
      <c r="BL82" s="67">
        <v>10</v>
      </c>
      <c r="BM82" s="67">
        <f t="shared" si="9"/>
        <v>48</v>
      </c>
      <c r="BN82" s="18">
        <f t="shared" si="10"/>
        <v>49</v>
      </c>
      <c r="BO82" s="18"/>
      <c r="BP82" s="18"/>
      <c r="EQ82" s="178"/>
      <c r="ES82" s="55"/>
      <c r="ET82" s="178"/>
      <c r="EV82" s="55"/>
    </row>
    <row r="83" spans="1:152" x14ac:dyDescent="0.25">
      <c r="A83" s="18" t="s">
        <v>6</v>
      </c>
      <c r="B83" s="18">
        <v>2024</v>
      </c>
      <c r="C83" s="18" t="s">
        <v>138</v>
      </c>
      <c r="D83" s="18" t="s">
        <v>130</v>
      </c>
      <c r="E83" s="18">
        <v>20</v>
      </c>
      <c r="F83" s="135">
        <v>10</v>
      </c>
      <c r="G83" s="18" t="s">
        <v>156</v>
      </c>
      <c r="H83" s="18" t="s">
        <v>135</v>
      </c>
      <c r="I83" s="18" t="s">
        <v>181</v>
      </c>
      <c r="J83" s="4">
        <v>38</v>
      </c>
      <c r="K83" s="4">
        <v>38.5</v>
      </c>
      <c r="L83" s="4">
        <v>0.5</v>
      </c>
      <c r="M83" s="5">
        <v>1</v>
      </c>
      <c r="N83" s="31">
        <v>0.5</v>
      </c>
      <c r="O83" s="31">
        <v>0.5</v>
      </c>
      <c r="P83" s="31">
        <v>500</v>
      </c>
      <c r="Q83" s="31">
        <v>1</v>
      </c>
      <c r="R83" s="31">
        <v>0.46</v>
      </c>
      <c r="S83" s="31">
        <v>0.27</v>
      </c>
      <c r="T83" s="65">
        <v>54</v>
      </c>
      <c r="U83" s="31">
        <v>3</v>
      </c>
      <c r="V83" s="31"/>
      <c r="W83" s="31">
        <v>3</v>
      </c>
      <c r="X83" s="31">
        <v>153.33333333333334</v>
      </c>
      <c r="Y83" s="18">
        <v>46</v>
      </c>
      <c r="Z83" s="18" t="s">
        <v>100</v>
      </c>
      <c r="AA83" s="18" t="s">
        <v>116</v>
      </c>
      <c r="AB83" s="18" t="s">
        <v>337</v>
      </c>
      <c r="AC83" s="18">
        <v>1</v>
      </c>
      <c r="AD83" s="18">
        <v>500</v>
      </c>
      <c r="AE83" s="18" t="s">
        <v>29</v>
      </c>
      <c r="AF83" s="18" t="s">
        <v>29</v>
      </c>
      <c r="AG83" s="18" t="s">
        <v>29</v>
      </c>
      <c r="AH83" s="18">
        <v>35</v>
      </c>
      <c r="AI83" s="18" t="s">
        <v>27</v>
      </c>
      <c r="AJ83" s="18" t="s">
        <v>64</v>
      </c>
      <c r="AK83" s="18" t="s">
        <v>79</v>
      </c>
      <c r="AL83" s="18" t="s">
        <v>92</v>
      </c>
      <c r="AM83" s="18" t="s">
        <v>105</v>
      </c>
      <c r="AN83" s="18" t="s">
        <v>118</v>
      </c>
      <c r="AO83" s="18" t="s">
        <v>198</v>
      </c>
      <c r="AP83" s="18"/>
      <c r="AQ83" s="18"/>
      <c r="AR83" s="18">
        <v>2</v>
      </c>
      <c r="AS83" s="18">
        <v>1</v>
      </c>
      <c r="AT83" s="18">
        <v>3</v>
      </c>
      <c r="AU83" s="18">
        <v>4</v>
      </c>
      <c r="AV83" s="18">
        <v>2</v>
      </c>
      <c r="AW83" s="18">
        <v>12</v>
      </c>
      <c r="AX83" s="49">
        <v>11</v>
      </c>
      <c r="AY83" s="49">
        <f>VLOOKUP(AI83,Leyenda!$B$4:$E$10,4,FALSE)</f>
        <v>4</v>
      </c>
      <c r="AZ83" s="50">
        <v>8</v>
      </c>
      <c r="BA83" s="49">
        <v>12</v>
      </c>
      <c r="BB83" s="49">
        <v>15</v>
      </c>
      <c r="BC83" s="67">
        <v>45</v>
      </c>
      <c r="BD83" s="67">
        <f>VLOOKUP(AI83,Leyenda!$B$4:$E$10,4,FALSE)</f>
        <v>4</v>
      </c>
      <c r="BE83" s="67">
        <v>11</v>
      </c>
      <c r="BF83" s="67">
        <v>11</v>
      </c>
      <c r="BG83" s="67">
        <v>3</v>
      </c>
      <c r="BH83" s="67">
        <v>4</v>
      </c>
      <c r="BI83" s="67">
        <v>2</v>
      </c>
      <c r="BJ83" s="67">
        <v>1</v>
      </c>
      <c r="BK83" s="67">
        <v>3</v>
      </c>
      <c r="BL83" s="67">
        <v>10</v>
      </c>
      <c r="BM83" s="67">
        <f t="shared" si="9"/>
        <v>49</v>
      </c>
      <c r="BN83" s="18">
        <f t="shared" si="10"/>
        <v>50</v>
      </c>
      <c r="BO83" s="18"/>
      <c r="BP83" s="18"/>
      <c r="EQ83" s="178"/>
      <c r="ES83" s="55"/>
      <c r="ET83" s="178"/>
      <c r="EV83" s="55"/>
    </row>
    <row r="84" spans="1:152" x14ac:dyDescent="0.25">
      <c r="EQ84" s="178"/>
      <c r="ES84" s="55"/>
      <c r="ET84" s="178"/>
      <c r="EV84" s="55"/>
    </row>
    <row r="85" spans="1:152" x14ac:dyDescent="0.25">
      <c r="EQ85" s="178"/>
      <c r="ES85" s="55"/>
      <c r="ET85" s="178"/>
      <c r="EV85" s="55"/>
    </row>
    <row r="86" spans="1:152" x14ac:dyDescent="0.25">
      <c r="EQ86" s="178"/>
      <c r="ES86" s="55"/>
      <c r="ET86" s="178"/>
      <c r="EV86" s="55"/>
    </row>
    <row r="87" spans="1:152" x14ac:dyDescent="0.25">
      <c r="EQ87" s="178"/>
      <c r="ES87" s="55"/>
      <c r="ET87" s="178"/>
      <c r="EV87" s="55"/>
    </row>
    <row r="88" spans="1:152" x14ac:dyDescent="0.25">
      <c r="EQ88" s="178"/>
      <c r="ES88" s="55"/>
      <c r="ET88" s="178"/>
      <c r="EV88" s="55"/>
    </row>
    <row r="89" spans="1:152" x14ac:dyDescent="0.25">
      <c r="EQ89" s="178"/>
      <c r="ES89" s="55"/>
      <c r="ET89" s="178"/>
      <c r="EV89" s="55"/>
    </row>
    <row r="90" spans="1:152" x14ac:dyDescent="0.25">
      <c r="EQ90" s="178"/>
      <c r="ES90" s="55"/>
      <c r="ET90" s="178"/>
      <c r="EV90" s="55"/>
    </row>
    <row r="91" spans="1:152" x14ac:dyDescent="0.25">
      <c r="EQ91" s="178"/>
      <c r="ES91" s="55"/>
      <c r="ET91" s="178"/>
      <c r="EV91" s="55"/>
    </row>
    <row r="92" spans="1:152" x14ac:dyDescent="0.25">
      <c r="EQ92" s="178"/>
      <c r="ES92" s="55"/>
      <c r="ET92" s="178"/>
      <c r="EV92" s="55"/>
    </row>
    <row r="93" spans="1:152" x14ac:dyDescent="0.25">
      <c r="EQ93" s="178"/>
      <c r="ES93" s="55"/>
      <c r="ET93" s="178"/>
      <c r="EV93" s="55"/>
    </row>
    <row r="94" spans="1:152" x14ac:dyDescent="0.25">
      <c r="EQ94" s="178"/>
      <c r="ES94" s="55"/>
      <c r="ET94" s="178"/>
      <c r="EV94" s="55"/>
    </row>
    <row r="95" spans="1:152" x14ac:dyDescent="0.25">
      <c r="ES95" s="55"/>
      <c r="ET95" s="178"/>
      <c r="EV95" s="55"/>
    </row>
  </sheetData>
  <sortState xmlns:xlrd2="http://schemas.microsoft.com/office/spreadsheetml/2017/richdata2" ref="CL72:CM76">
    <sortCondition descending="1" ref="CM72"/>
  </sortState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9C7C-7F1B-4C80-B504-3ECB505A07E8}">
  <dimension ref="B13:AJ362"/>
  <sheetViews>
    <sheetView zoomScale="40" zoomScaleNormal="40" workbookViewId="0">
      <selection activeCell="AB112" sqref="AB112"/>
    </sheetView>
  </sheetViews>
  <sheetFormatPr defaultColWidth="8.85546875" defaultRowHeight="15" x14ac:dyDescent="0.25"/>
  <sheetData>
    <row r="13" spans="20:20" x14ac:dyDescent="0.25">
      <c r="T13" s="1"/>
    </row>
    <row r="74" spans="2:15" x14ac:dyDescent="0.25">
      <c r="B74" t="s">
        <v>651</v>
      </c>
      <c r="F74" t="s">
        <v>652</v>
      </c>
    </row>
    <row r="75" spans="2:15" x14ac:dyDescent="0.25">
      <c r="B75" t="s">
        <v>194</v>
      </c>
      <c r="C75" t="s">
        <v>12</v>
      </c>
    </row>
    <row r="76" spans="2:15" ht="15.75" thickBot="1" x14ac:dyDescent="0.3">
      <c r="B76">
        <v>45</v>
      </c>
      <c r="C76">
        <v>47</v>
      </c>
      <c r="I76" s="163"/>
      <c r="J76" s="163"/>
      <c r="K76" s="163"/>
      <c r="L76" s="163"/>
      <c r="M76" s="163"/>
      <c r="N76" s="163"/>
      <c r="O76" s="163"/>
    </row>
    <row r="77" spans="2:15" x14ac:dyDescent="0.25">
      <c r="B77">
        <v>50</v>
      </c>
      <c r="C77">
        <v>52</v>
      </c>
      <c r="I77" s="163"/>
      <c r="J77" s="164" t="s">
        <v>653</v>
      </c>
      <c r="K77" s="164"/>
      <c r="L77" s="163"/>
      <c r="M77" s="164" t="s">
        <v>654</v>
      </c>
      <c r="N77" s="164"/>
      <c r="O77" s="163"/>
    </row>
    <row r="78" spans="2:15" x14ac:dyDescent="0.25">
      <c r="B78">
        <v>19</v>
      </c>
      <c r="C78">
        <v>22</v>
      </c>
      <c r="I78" s="163"/>
      <c r="J78" s="163"/>
      <c r="K78" s="163"/>
      <c r="L78" s="163"/>
      <c r="M78" s="163"/>
      <c r="N78" s="163"/>
      <c r="O78" s="163"/>
    </row>
    <row r="79" spans="2:15" x14ac:dyDescent="0.25">
      <c r="B79">
        <v>32</v>
      </c>
      <c r="C79">
        <v>36</v>
      </c>
      <c r="I79" s="163"/>
      <c r="J79" s="163" t="s">
        <v>307</v>
      </c>
      <c r="K79" s="163">
        <v>25.206293706293707</v>
      </c>
      <c r="L79" s="163"/>
      <c r="M79" s="163" t="s">
        <v>307</v>
      </c>
      <c r="N79" s="163">
        <v>26.887719298245614</v>
      </c>
      <c r="O79" s="163"/>
    </row>
    <row r="80" spans="2:15" x14ac:dyDescent="0.25">
      <c r="B80">
        <v>36</v>
      </c>
      <c r="C80">
        <v>40</v>
      </c>
      <c r="I80" s="163"/>
      <c r="J80" s="163" t="s">
        <v>308</v>
      </c>
      <c r="K80" s="163">
        <v>0.51674011775610884</v>
      </c>
      <c r="L80" s="163"/>
      <c r="M80" s="163" t="s">
        <v>308</v>
      </c>
      <c r="N80" s="163">
        <v>0.50258052912670137</v>
      </c>
      <c r="O80" s="163"/>
    </row>
    <row r="81" spans="2:15" x14ac:dyDescent="0.25">
      <c r="B81">
        <v>44</v>
      </c>
      <c r="C81">
        <v>47</v>
      </c>
      <c r="I81" s="163"/>
      <c r="J81" s="163" t="s">
        <v>309</v>
      </c>
      <c r="K81" s="163">
        <v>23</v>
      </c>
      <c r="L81" s="163"/>
      <c r="M81" s="163" t="s">
        <v>309</v>
      </c>
      <c r="N81" s="163">
        <v>25</v>
      </c>
      <c r="O81" s="163"/>
    </row>
    <row r="82" spans="2:15" x14ac:dyDescent="0.25">
      <c r="B82">
        <v>49</v>
      </c>
      <c r="C82">
        <v>50</v>
      </c>
      <c r="I82" s="163"/>
      <c r="J82" s="163" t="s">
        <v>310</v>
      </c>
      <c r="K82" s="163">
        <v>20</v>
      </c>
      <c r="L82" s="163"/>
      <c r="M82" s="163" t="s">
        <v>310</v>
      </c>
      <c r="N82" s="163">
        <v>20</v>
      </c>
      <c r="O82" s="163"/>
    </row>
    <row r="83" spans="2:15" x14ac:dyDescent="0.25">
      <c r="B83">
        <v>31</v>
      </c>
      <c r="C83">
        <v>35</v>
      </c>
      <c r="I83" s="163"/>
      <c r="J83" s="163" t="s">
        <v>311</v>
      </c>
      <c r="K83" s="163">
        <v>8.7388683420336992</v>
      </c>
      <c r="L83" s="163"/>
      <c r="M83" s="163" t="s">
        <v>311</v>
      </c>
      <c r="N83" s="163">
        <v>8.4845358537355136</v>
      </c>
      <c r="O83" s="163"/>
    </row>
    <row r="84" spans="2:15" x14ac:dyDescent="0.25">
      <c r="B84">
        <v>39</v>
      </c>
      <c r="C84">
        <v>43</v>
      </c>
      <c r="I84" s="163"/>
      <c r="J84" s="163" t="s">
        <v>312</v>
      </c>
      <c r="K84" s="163">
        <v>76.367819899398825</v>
      </c>
      <c r="L84" s="163"/>
      <c r="M84" s="163" t="s">
        <v>312</v>
      </c>
      <c r="N84" s="163">
        <v>71.987348653323423</v>
      </c>
      <c r="O84" s="163"/>
    </row>
    <row r="85" spans="2:15" x14ac:dyDescent="0.25">
      <c r="B85">
        <v>49</v>
      </c>
      <c r="C85">
        <v>53</v>
      </c>
      <c r="I85" s="163"/>
      <c r="J85" s="163" t="s">
        <v>313</v>
      </c>
      <c r="K85" s="163">
        <v>0.74539236910431317</v>
      </c>
      <c r="L85" s="163"/>
      <c r="M85" s="163" t="s">
        <v>313</v>
      </c>
      <c r="N85" s="163">
        <v>0.98032231499905187</v>
      </c>
      <c r="O85" s="163"/>
    </row>
    <row r="86" spans="2:15" x14ac:dyDescent="0.25">
      <c r="B86">
        <v>43</v>
      </c>
      <c r="C86">
        <v>49</v>
      </c>
      <c r="I86" s="163"/>
      <c r="J86" s="163" t="s">
        <v>314</v>
      </c>
      <c r="K86" s="163">
        <v>1.1669442546561168</v>
      </c>
      <c r="L86" s="163"/>
      <c r="M86" s="163" t="s">
        <v>314</v>
      </c>
      <c r="N86" s="163">
        <v>1.1858462560768199</v>
      </c>
      <c r="O86" s="163"/>
    </row>
    <row r="87" spans="2:15" x14ac:dyDescent="0.25">
      <c r="B87">
        <v>38</v>
      </c>
      <c r="C87">
        <v>45</v>
      </c>
      <c r="I87" s="163"/>
      <c r="J87" s="163" t="s">
        <v>315</v>
      </c>
      <c r="K87" s="163">
        <v>40</v>
      </c>
      <c r="L87" s="163"/>
      <c r="M87" s="163" t="s">
        <v>315</v>
      </c>
      <c r="N87" s="163">
        <v>41</v>
      </c>
      <c r="O87" s="163"/>
    </row>
    <row r="88" spans="2:15" x14ac:dyDescent="0.25">
      <c r="B88">
        <v>25</v>
      </c>
      <c r="C88">
        <v>31</v>
      </c>
      <c r="I88" s="163"/>
      <c r="J88" s="163" t="s">
        <v>316</v>
      </c>
      <c r="K88" s="163">
        <v>13</v>
      </c>
      <c r="L88" s="163"/>
      <c r="M88" s="163" t="s">
        <v>316</v>
      </c>
      <c r="N88" s="163">
        <v>13</v>
      </c>
      <c r="O88" s="163"/>
    </row>
    <row r="89" spans="2:15" x14ac:dyDescent="0.25">
      <c r="B89">
        <v>30</v>
      </c>
      <c r="C89">
        <v>33</v>
      </c>
      <c r="I89" s="163"/>
      <c r="J89" s="163" t="s">
        <v>317</v>
      </c>
      <c r="K89" s="163">
        <v>53</v>
      </c>
      <c r="L89" s="163"/>
      <c r="M89" s="163" t="s">
        <v>317</v>
      </c>
      <c r="N89" s="163">
        <v>54</v>
      </c>
      <c r="O89" s="163"/>
    </row>
    <row r="90" spans="2:15" x14ac:dyDescent="0.25">
      <c r="B90">
        <v>40</v>
      </c>
      <c r="C90">
        <v>45</v>
      </c>
      <c r="I90" s="163"/>
      <c r="J90" s="163" t="s">
        <v>318</v>
      </c>
      <c r="K90" s="163">
        <v>7209</v>
      </c>
      <c r="L90" s="163"/>
      <c r="M90" s="163" t="s">
        <v>318</v>
      </c>
      <c r="N90" s="163">
        <v>7663</v>
      </c>
      <c r="O90" s="163"/>
    </row>
    <row r="91" spans="2:15" x14ac:dyDescent="0.25">
      <c r="B91">
        <v>43</v>
      </c>
      <c r="C91">
        <v>47</v>
      </c>
      <c r="I91" s="163"/>
      <c r="J91" s="163" t="s">
        <v>319</v>
      </c>
      <c r="K91" s="163">
        <v>286</v>
      </c>
      <c r="L91" s="163"/>
      <c r="M91" s="163" t="s">
        <v>319</v>
      </c>
      <c r="N91" s="163">
        <v>285</v>
      </c>
      <c r="O91" s="163"/>
    </row>
    <row r="92" spans="2:15" x14ac:dyDescent="0.25">
      <c r="B92">
        <v>30</v>
      </c>
      <c r="C92">
        <v>36</v>
      </c>
      <c r="I92" s="163"/>
      <c r="J92" s="163" t="s">
        <v>320</v>
      </c>
      <c r="K92" s="163">
        <v>53</v>
      </c>
      <c r="L92" s="163"/>
      <c r="M92" s="163" t="s">
        <v>320</v>
      </c>
      <c r="N92" s="163">
        <v>54</v>
      </c>
      <c r="O92" s="163"/>
    </row>
    <row r="93" spans="2:15" x14ac:dyDescent="0.25">
      <c r="B93">
        <v>41</v>
      </c>
      <c r="C93">
        <v>46</v>
      </c>
      <c r="I93" s="163"/>
      <c r="J93" s="163" t="s">
        <v>321</v>
      </c>
      <c r="K93" s="163">
        <v>13</v>
      </c>
      <c r="L93" s="163"/>
      <c r="M93" s="163" t="s">
        <v>321</v>
      </c>
      <c r="N93" s="163">
        <v>13</v>
      </c>
      <c r="O93" s="163"/>
    </row>
    <row r="94" spans="2:15" ht="15.75" thickBot="1" x14ac:dyDescent="0.3">
      <c r="B94">
        <v>33</v>
      </c>
      <c r="C94">
        <v>37</v>
      </c>
      <c r="I94" s="163"/>
      <c r="J94" s="165" t="s">
        <v>322</v>
      </c>
      <c r="K94" s="165">
        <v>1.0171112536710938</v>
      </c>
      <c r="L94" s="163"/>
      <c r="M94" s="165" t="s">
        <v>322</v>
      </c>
      <c r="N94" s="165">
        <v>0.98925546925382124</v>
      </c>
      <c r="O94" s="163"/>
    </row>
    <row r="95" spans="2:15" x14ac:dyDescent="0.25">
      <c r="B95">
        <v>24</v>
      </c>
      <c r="C95">
        <v>30</v>
      </c>
      <c r="I95" s="163"/>
      <c r="J95" s="163"/>
      <c r="K95" s="163"/>
      <c r="L95" s="163"/>
      <c r="M95" s="163"/>
      <c r="N95" s="163"/>
      <c r="O95" s="163"/>
    </row>
    <row r="96" spans="2:15" x14ac:dyDescent="0.25">
      <c r="B96">
        <v>23</v>
      </c>
      <c r="C96">
        <v>27</v>
      </c>
      <c r="I96" s="163"/>
      <c r="J96" s="163"/>
      <c r="K96" s="163"/>
      <c r="L96" s="163"/>
      <c r="M96" s="163"/>
      <c r="N96" s="163"/>
      <c r="O96" s="163"/>
    </row>
    <row r="97" spans="2:36" ht="15.75" thickBot="1" x14ac:dyDescent="0.3">
      <c r="B97">
        <v>15</v>
      </c>
      <c r="C97">
        <v>20</v>
      </c>
    </row>
    <row r="98" spans="2:36" x14ac:dyDescent="0.25">
      <c r="B98">
        <v>15</v>
      </c>
      <c r="C98">
        <v>20</v>
      </c>
      <c r="H98" t="s">
        <v>587</v>
      </c>
      <c r="I98">
        <v>20</v>
      </c>
      <c r="L98" s="96" t="s">
        <v>287</v>
      </c>
      <c r="M98" s="96" t="s">
        <v>288</v>
      </c>
      <c r="N98" s="96" t="s">
        <v>582</v>
      </c>
      <c r="O98" s="96" t="s">
        <v>287</v>
      </c>
      <c r="P98" s="96" t="s">
        <v>288</v>
      </c>
      <c r="Q98" s="96" t="s">
        <v>582</v>
      </c>
      <c r="R98" s="39" t="s">
        <v>636</v>
      </c>
    </row>
    <row r="99" spans="2:36" x14ac:dyDescent="0.25">
      <c r="B99">
        <v>15</v>
      </c>
      <c r="C99">
        <v>19</v>
      </c>
      <c r="H99" t="s">
        <v>588</v>
      </c>
      <c r="I99">
        <v>40</v>
      </c>
      <c r="K99" t="s">
        <v>587</v>
      </c>
      <c r="L99">
        <v>20</v>
      </c>
      <c r="M99">
        <v>112</v>
      </c>
      <c r="N99" s="55">
        <v>0.39160839160839161</v>
      </c>
      <c r="O99">
        <v>40</v>
      </c>
      <c r="P99">
        <v>151</v>
      </c>
      <c r="Q99" s="55">
        <v>0.52797202797202802</v>
      </c>
      <c r="R99" s="42">
        <f>+M99/$M$104</f>
        <v>0.39160839160839161</v>
      </c>
    </row>
    <row r="100" spans="2:36" x14ac:dyDescent="0.25">
      <c r="B100">
        <v>15</v>
      </c>
      <c r="C100">
        <v>19</v>
      </c>
      <c r="H100" t="s">
        <v>589</v>
      </c>
      <c r="I100">
        <v>60</v>
      </c>
      <c r="K100" t="s">
        <v>588</v>
      </c>
      <c r="L100">
        <v>40</v>
      </c>
      <c r="M100">
        <v>151</v>
      </c>
      <c r="N100" s="55">
        <v>0.91958041958041958</v>
      </c>
      <c r="O100">
        <v>20</v>
      </c>
      <c r="P100">
        <v>112</v>
      </c>
      <c r="Q100" s="55">
        <v>0.91958041958041958</v>
      </c>
      <c r="R100" s="42">
        <f t="shared" ref="R100:R103" si="0">+M100/$M$104</f>
        <v>0.52797202797202802</v>
      </c>
    </row>
    <row r="101" spans="2:36" x14ac:dyDescent="0.25">
      <c r="B101">
        <v>15</v>
      </c>
      <c r="C101">
        <v>19</v>
      </c>
      <c r="H101" t="s">
        <v>590</v>
      </c>
      <c r="I101">
        <v>80</v>
      </c>
      <c r="K101" t="s">
        <v>589</v>
      </c>
      <c r="L101">
        <v>60</v>
      </c>
      <c r="M101">
        <v>23</v>
      </c>
      <c r="N101" s="55">
        <v>1</v>
      </c>
      <c r="O101">
        <v>60</v>
      </c>
      <c r="P101">
        <v>23</v>
      </c>
      <c r="Q101" s="55">
        <v>1</v>
      </c>
      <c r="R101" s="42">
        <f t="shared" si="0"/>
        <v>8.0419580419580416E-2</v>
      </c>
    </row>
    <row r="102" spans="2:36" x14ac:dyDescent="0.25">
      <c r="B102">
        <v>16</v>
      </c>
      <c r="C102">
        <v>20</v>
      </c>
      <c r="H102" t="s">
        <v>591</v>
      </c>
      <c r="K102" t="s">
        <v>590</v>
      </c>
      <c r="L102">
        <v>80</v>
      </c>
      <c r="M102">
        <v>0</v>
      </c>
      <c r="N102" s="55">
        <v>1</v>
      </c>
      <c r="O102">
        <v>80</v>
      </c>
      <c r="P102">
        <v>0</v>
      </c>
      <c r="Q102" s="55">
        <v>1</v>
      </c>
      <c r="R102" s="42">
        <f t="shared" si="0"/>
        <v>0</v>
      </c>
    </row>
    <row r="103" spans="2:36" ht="15.75" thickBot="1" x14ac:dyDescent="0.3">
      <c r="B103">
        <v>20</v>
      </c>
      <c r="C103">
        <v>25</v>
      </c>
      <c r="K103" t="s">
        <v>591</v>
      </c>
      <c r="L103" s="57" t="s">
        <v>581</v>
      </c>
      <c r="M103" s="57">
        <v>0</v>
      </c>
      <c r="N103" s="95">
        <v>1</v>
      </c>
      <c r="O103" s="57" t="s">
        <v>581</v>
      </c>
      <c r="P103" s="57">
        <v>0</v>
      </c>
      <c r="Q103" s="95">
        <v>1</v>
      </c>
      <c r="R103" s="42">
        <f t="shared" si="0"/>
        <v>0</v>
      </c>
    </row>
    <row r="104" spans="2:36" x14ac:dyDescent="0.25">
      <c r="B104">
        <v>20</v>
      </c>
      <c r="C104">
        <v>24</v>
      </c>
      <c r="M104">
        <f>+SUM(M99:M103)</f>
        <v>286</v>
      </c>
    </row>
    <row r="105" spans="2:36" x14ac:dyDescent="0.25">
      <c r="B105">
        <v>20</v>
      </c>
      <c r="C105">
        <v>25</v>
      </c>
    </row>
    <row r="106" spans="2:36" x14ac:dyDescent="0.25">
      <c r="B106">
        <v>20</v>
      </c>
      <c r="C106">
        <v>24</v>
      </c>
    </row>
    <row r="107" spans="2:36" x14ac:dyDescent="0.25">
      <c r="B107">
        <v>20</v>
      </c>
      <c r="C107">
        <v>20</v>
      </c>
    </row>
    <row r="108" spans="2:36" x14ac:dyDescent="0.25">
      <c r="B108">
        <v>20</v>
      </c>
      <c r="C108">
        <v>24</v>
      </c>
    </row>
    <row r="109" spans="2:36" x14ac:dyDescent="0.25">
      <c r="B109">
        <v>20</v>
      </c>
      <c r="C109">
        <v>24</v>
      </c>
    </row>
    <row r="110" spans="2:36" x14ac:dyDescent="0.25">
      <c r="B110">
        <v>20</v>
      </c>
      <c r="C110">
        <v>24</v>
      </c>
      <c r="AJ110" t="s">
        <v>655</v>
      </c>
    </row>
    <row r="111" spans="2:36" x14ac:dyDescent="0.25">
      <c r="B111">
        <v>18</v>
      </c>
      <c r="C111">
        <v>22</v>
      </c>
    </row>
    <row r="112" spans="2:36" x14ac:dyDescent="0.25">
      <c r="B112">
        <v>18</v>
      </c>
      <c r="C112">
        <v>22</v>
      </c>
    </row>
    <row r="113" spans="2:15" x14ac:dyDescent="0.25">
      <c r="B113">
        <v>18</v>
      </c>
      <c r="C113">
        <v>22</v>
      </c>
    </row>
    <row r="114" spans="2:15" x14ac:dyDescent="0.25">
      <c r="B114">
        <v>18</v>
      </c>
      <c r="C114">
        <v>22</v>
      </c>
    </row>
    <row r="115" spans="2:15" ht="15.75" thickBot="1" x14ac:dyDescent="0.3">
      <c r="B115">
        <v>25</v>
      </c>
      <c r="C115">
        <v>29</v>
      </c>
      <c r="N115" s="57"/>
      <c r="O115" s="57"/>
    </row>
    <row r="116" spans="2:15" x14ac:dyDescent="0.25">
      <c r="B116">
        <v>25</v>
      </c>
      <c r="C116">
        <v>29</v>
      </c>
    </row>
    <row r="117" spans="2:15" x14ac:dyDescent="0.25">
      <c r="B117">
        <v>25</v>
      </c>
      <c r="C117">
        <v>29</v>
      </c>
    </row>
    <row r="118" spans="2:15" x14ac:dyDescent="0.25">
      <c r="B118">
        <v>25</v>
      </c>
      <c r="C118">
        <v>29</v>
      </c>
    </row>
    <row r="119" spans="2:15" x14ac:dyDescent="0.25">
      <c r="B119">
        <v>25</v>
      </c>
      <c r="C119">
        <v>28</v>
      </c>
    </row>
    <row r="120" spans="2:15" x14ac:dyDescent="0.25">
      <c r="B120">
        <v>25</v>
      </c>
      <c r="C120">
        <v>25</v>
      </c>
    </row>
    <row r="121" spans="2:15" x14ac:dyDescent="0.25">
      <c r="B121">
        <v>25</v>
      </c>
      <c r="C121">
        <v>29</v>
      </c>
    </row>
    <row r="122" spans="2:15" x14ac:dyDescent="0.25">
      <c r="B122">
        <v>25</v>
      </c>
      <c r="C122">
        <v>25</v>
      </c>
    </row>
    <row r="123" spans="2:15" x14ac:dyDescent="0.25">
      <c r="B123">
        <v>25</v>
      </c>
      <c r="C123">
        <v>29</v>
      </c>
    </row>
    <row r="124" spans="2:15" x14ac:dyDescent="0.25">
      <c r="B124">
        <v>25</v>
      </c>
      <c r="C124">
        <v>28</v>
      </c>
    </row>
    <row r="125" spans="2:15" x14ac:dyDescent="0.25">
      <c r="B125">
        <v>25</v>
      </c>
      <c r="C125">
        <v>29</v>
      </c>
    </row>
    <row r="126" spans="2:15" x14ac:dyDescent="0.25">
      <c r="B126">
        <v>27</v>
      </c>
      <c r="C126">
        <v>31</v>
      </c>
    </row>
    <row r="127" spans="2:15" x14ac:dyDescent="0.25">
      <c r="B127">
        <v>19</v>
      </c>
      <c r="C127">
        <v>24</v>
      </c>
    </row>
    <row r="128" spans="2:15" x14ac:dyDescent="0.25">
      <c r="B128">
        <v>21</v>
      </c>
      <c r="C128">
        <v>24</v>
      </c>
    </row>
    <row r="129" spans="2:3" x14ac:dyDescent="0.25">
      <c r="B129">
        <v>21</v>
      </c>
      <c r="C129">
        <v>25</v>
      </c>
    </row>
    <row r="130" spans="2:3" x14ac:dyDescent="0.25">
      <c r="B130">
        <v>27</v>
      </c>
      <c r="C130">
        <v>33</v>
      </c>
    </row>
    <row r="131" spans="2:3" x14ac:dyDescent="0.25">
      <c r="B131">
        <v>27</v>
      </c>
      <c r="C131">
        <v>31</v>
      </c>
    </row>
    <row r="132" spans="2:3" x14ac:dyDescent="0.25">
      <c r="B132">
        <v>27</v>
      </c>
      <c r="C132">
        <v>32</v>
      </c>
    </row>
    <row r="133" spans="2:3" x14ac:dyDescent="0.25">
      <c r="B133">
        <v>32</v>
      </c>
      <c r="C133">
        <v>38</v>
      </c>
    </row>
    <row r="134" spans="2:3" x14ac:dyDescent="0.25">
      <c r="B134">
        <v>27</v>
      </c>
      <c r="C134">
        <v>31</v>
      </c>
    </row>
    <row r="135" spans="2:3" x14ac:dyDescent="0.25">
      <c r="B135">
        <v>27</v>
      </c>
      <c r="C135">
        <v>31</v>
      </c>
    </row>
    <row r="136" spans="2:3" x14ac:dyDescent="0.25">
      <c r="B136">
        <v>23</v>
      </c>
      <c r="C136">
        <v>27</v>
      </c>
    </row>
    <row r="137" spans="2:3" x14ac:dyDescent="0.25">
      <c r="B137">
        <v>23</v>
      </c>
      <c r="C137">
        <v>28</v>
      </c>
    </row>
    <row r="138" spans="2:3" x14ac:dyDescent="0.25">
      <c r="B138">
        <v>24</v>
      </c>
      <c r="C138">
        <v>28</v>
      </c>
    </row>
    <row r="139" spans="2:3" x14ac:dyDescent="0.25">
      <c r="B139">
        <v>29</v>
      </c>
      <c r="C139">
        <v>30</v>
      </c>
    </row>
    <row r="140" spans="2:3" x14ac:dyDescent="0.25">
      <c r="B140">
        <v>19</v>
      </c>
      <c r="C140">
        <v>23</v>
      </c>
    </row>
    <row r="141" spans="2:3" x14ac:dyDescent="0.25">
      <c r="B141">
        <v>19</v>
      </c>
      <c r="C141">
        <v>22</v>
      </c>
    </row>
    <row r="142" spans="2:3" x14ac:dyDescent="0.25">
      <c r="B142">
        <v>22</v>
      </c>
      <c r="C142">
        <v>26</v>
      </c>
    </row>
    <row r="143" spans="2:3" x14ac:dyDescent="0.25">
      <c r="B143">
        <v>24</v>
      </c>
      <c r="C143">
        <v>29</v>
      </c>
    </row>
    <row r="144" spans="2:3" x14ac:dyDescent="0.25">
      <c r="B144">
        <v>27</v>
      </c>
      <c r="C144">
        <v>30</v>
      </c>
    </row>
    <row r="145" spans="2:3" x14ac:dyDescent="0.25">
      <c r="B145">
        <v>26</v>
      </c>
      <c r="C145">
        <v>30</v>
      </c>
    </row>
    <row r="146" spans="2:3" x14ac:dyDescent="0.25">
      <c r="B146">
        <v>35</v>
      </c>
      <c r="C146">
        <v>36</v>
      </c>
    </row>
    <row r="147" spans="2:3" x14ac:dyDescent="0.25">
      <c r="B147">
        <v>19</v>
      </c>
      <c r="C147">
        <v>23</v>
      </c>
    </row>
    <row r="148" spans="2:3" x14ac:dyDescent="0.25">
      <c r="B148">
        <v>18</v>
      </c>
      <c r="C148">
        <v>21</v>
      </c>
    </row>
    <row r="149" spans="2:3" x14ac:dyDescent="0.25">
      <c r="B149">
        <v>18</v>
      </c>
      <c r="C149">
        <v>21</v>
      </c>
    </row>
    <row r="150" spans="2:3" x14ac:dyDescent="0.25">
      <c r="B150">
        <v>23</v>
      </c>
      <c r="C150">
        <v>26</v>
      </c>
    </row>
    <row r="151" spans="2:3" x14ac:dyDescent="0.25">
      <c r="B151">
        <v>18</v>
      </c>
      <c r="C151">
        <v>21</v>
      </c>
    </row>
    <row r="152" spans="2:3" x14ac:dyDescent="0.25">
      <c r="B152">
        <v>16</v>
      </c>
      <c r="C152">
        <v>20</v>
      </c>
    </row>
    <row r="153" spans="2:3" x14ac:dyDescent="0.25">
      <c r="B153">
        <v>17</v>
      </c>
      <c r="C153">
        <v>20</v>
      </c>
    </row>
    <row r="154" spans="2:3" x14ac:dyDescent="0.25">
      <c r="B154">
        <v>15</v>
      </c>
      <c r="C154">
        <v>19</v>
      </c>
    </row>
    <row r="155" spans="2:3" x14ac:dyDescent="0.25">
      <c r="B155">
        <v>47</v>
      </c>
      <c r="C155">
        <v>49</v>
      </c>
    </row>
    <row r="156" spans="2:3" x14ac:dyDescent="0.25">
      <c r="B156">
        <v>53</v>
      </c>
      <c r="C156">
        <v>54</v>
      </c>
    </row>
    <row r="157" spans="2:3" x14ac:dyDescent="0.25">
      <c r="B157">
        <v>52</v>
      </c>
      <c r="C157">
        <v>53</v>
      </c>
    </row>
    <row r="158" spans="2:3" x14ac:dyDescent="0.25">
      <c r="B158">
        <v>48</v>
      </c>
      <c r="C158">
        <v>49</v>
      </c>
    </row>
    <row r="159" spans="2:3" x14ac:dyDescent="0.25">
      <c r="B159">
        <v>38</v>
      </c>
      <c r="C159">
        <v>40</v>
      </c>
    </row>
    <row r="161" spans="2:3" x14ac:dyDescent="0.25">
      <c r="B161">
        <v>27</v>
      </c>
      <c r="C161">
        <v>36</v>
      </c>
    </row>
    <row r="162" spans="2:3" x14ac:dyDescent="0.25">
      <c r="B162">
        <v>13</v>
      </c>
      <c r="C162">
        <v>16</v>
      </c>
    </row>
    <row r="163" spans="2:3" x14ac:dyDescent="0.25">
      <c r="B163">
        <v>17</v>
      </c>
      <c r="C163">
        <v>19</v>
      </c>
    </row>
    <row r="164" spans="2:3" x14ac:dyDescent="0.25">
      <c r="B164">
        <v>18</v>
      </c>
      <c r="C164">
        <v>24</v>
      </c>
    </row>
    <row r="165" spans="2:3" x14ac:dyDescent="0.25">
      <c r="B165">
        <v>17</v>
      </c>
      <c r="C165">
        <v>19</v>
      </c>
    </row>
    <row r="166" spans="2:3" x14ac:dyDescent="0.25">
      <c r="B166">
        <v>18</v>
      </c>
      <c r="C166">
        <v>19</v>
      </c>
    </row>
    <row r="167" spans="2:3" x14ac:dyDescent="0.25">
      <c r="B167">
        <v>19</v>
      </c>
      <c r="C167">
        <v>20</v>
      </c>
    </row>
    <row r="168" spans="2:3" x14ac:dyDescent="0.25">
      <c r="B168">
        <v>19</v>
      </c>
      <c r="C168">
        <v>20</v>
      </c>
    </row>
    <row r="169" spans="2:3" x14ac:dyDescent="0.25">
      <c r="B169">
        <v>21</v>
      </c>
      <c r="C169">
        <v>23</v>
      </c>
    </row>
    <row r="170" spans="2:3" x14ac:dyDescent="0.25">
      <c r="B170">
        <v>33</v>
      </c>
      <c r="C170">
        <v>42</v>
      </c>
    </row>
    <row r="171" spans="2:3" x14ac:dyDescent="0.25">
      <c r="B171">
        <v>29</v>
      </c>
      <c r="C171">
        <v>37</v>
      </c>
    </row>
    <row r="172" spans="2:3" x14ac:dyDescent="0.25">
      <c r="B172">
        <v>18</v>
      </c>
      <c r="C172">
        <v>22</v>
      </c>
    </row>
    <row r="173" spans="2:3" x14ac:dyDescent="0.25">
      <c r="B173">
        <v>20</v>
      </c>
      <c r="C173">
        <v>22</v>
      </c>
    </row>
    <row r="174" spans="2:3" x14ac:dyDescent="0.25">
      <c r="B174">
        <v>27</v>
      </c>
      <c r="C174">
        <v>33</v>
      </c>
    </row>
    <row r="175" spans="2:3" x14ac:dyDescent="0.25">
      <c r="B175">
        <v>26</v>
      </c>
      <c r="C175">
        <v>31</v>
      </c>
    </row>
    <row r="176" spans="2:3" x14ac:dyDescent="0.25">
      <c r="B176">
        <v>20</v>
      </c>
      <c r="C176">
        <v>23</v>
      </c>
    </row>
    <row r="177" spans="2:3" x14ac:dyDescent="0.25">
      <c r="B177">
        <v>31</v>
      </c>
      <c r="C177">
        <v>40</v>
      </c>
    </row>
    <row r="178" spans="2:3" x14ac:dyDescent="0.25">
      <c r="B178">
        <v>19</v>
      </c>
      <c r="C178">
        <v>22</v>
      </c>
    </row>
    <row r="179" spans="2:3" x14ac:dyDescent="0.25">
      <c r="B179">
        <v>22</v>
      </c>
      <c r="C179">
        <v>25</v>
      </c>
    </row>
    <row r="180" spans="2:3" x14ac:dyDescent="0.25">
      <c r="B180">
        <v>22</v>
      </c>
      <c r="C180">
        <v>25</v>
      </c>
    </row>
    <row r="181" spans="2:3" x14ac:dyDescent="0.25">
      <c r="B181">
        <v>25</v>
      </c>
      <c r="C181">
        <v>27</v>
      </c>
    </row>
    <row r="182" spans="2:3" x14ac:dyDescent="0.25">
      <c r="B182">
        <v>38</v>
      </c>
      <c r="C182">
        <v>36</v>
      </c>
    </row>
    <row r="183" spans="2:3" x14ac:dyDescent="0.25">
      <c r="B183">
        <v>19</v>
      </c>
      <c r="C183">
        <v>22</v>
      </c>
    </row>
    <row r="184" spans="2:3" x14ac:dyDescent="0.25">
      <c r="B184">
        <v>19</v>
      </c>
      <c r="C184">
        <v>22</v>
      </c>
    </row>
    <row r="185" spans="2:3" x14ac:dyDescent="0.25">
      <c r="B185">
        <v>19</v>
      </c>
      <c r="C185">
        <v>22</v>
      </c>
    </row>
    <row r="186" spans="2:3" x14ac:dyDescent="0.25">
      <c r="B186">
        <v>23</v>
      </c>
      <c r="C186">
        <v>26</v>
      </c>
    </row>
    <row r="187" spans="2:3" x14ac:dyDescent="0.25">
      <c r="B187">
        <v>40</v>
      </c>
      <c r="C187">
        <v>39</v>
      </c>
    </row>
    <row r="188" spans="2:3" x14ac:dyDescent="0.25">
      <c r="B188">
        <v>38</v>
      </c>
      <c r="C188">
        <v>36</v>
      </c>
    </row>
    <row r="189" spans="2:3" x14ac:dyDescent="0.25">
      <c r="B189">
        <v>43</v>
      </c>
      <c r="C189">
        <v>41</v>
      </c>
    </row>
    <row r="190" spans="2:3" x14ac:dyDescent="0.25">
      <c r="B190">
        <v>35</v>
      </c>
      <c r="C190">
        <v>35</v>
      </c>
    </row>
    <row r="191" spans="2:3" x14ac:dyDescent="0.25">
      <c r="B191">
        <v>21</v>
      </c>
      <c r="C191">
        <v>25</v>
      </c>
    </row>
    <row r="192" spans="2:3" x14ac:dyDescent="0.25">
      <c r="B192">
        <v>21</v>
      </c>
      <c r="C192">
        <v>24</v>
      </c>
    </row>
    <row r="193" spans="2:3" x14ac:dyDescent="0.25">
      <c r="B193">
        <v>22</v>
      </c>
      <c r="C193">
        <v>25</v>
      </c>
    </row>
    <row r="194" spans="2:3" x14ac:dyDescent="0.25">
      <c r="B194">
        <v>22</v>
      </c>
      <c r="C194">
        <v>26</v>
      </c>
    </row>
    <row r="195" spans="2:3" x14ac:dyDescent="0.25">
      <c r="B195">
        <v>18</v>
      </c>
      <c r="C195">
        <v>22</v>
      </c>
    </row>
    <row r="196" spans="2:3" x14ac:dyDescent="0.25">
      <c r="B196">
        <v>26</v>
      </c>
      <c r="C196">
        <v>30</v>
      </c>
    </row>
    <row r="197" spans="2:3" x14ac:dyDescent="0.25">
      <c r="B197">
        <v>24</v>
      </c>
      <c r="C197">
        <v>25</v>
      </c>
    </row>
    <row r="198" spans="2:3" x14ac:dyDescent="0.25">
      <c r="B198">
        <v>19</v>
      </c>
      <c r="C198">
        <v>20</v>
      </c>
    </row>
    <row r="199" spans="2:3" x14ac:dyDescent="0.25">
      <c r="B199">
        <v>23</v>
      </c>
      <c r="C199">
        <v>25</v>
      </c>
    </row>
    <row r="200" spans="2:3" x14ac:dyDescent="0.25">
      <c r="B200">
        <v>27</v>
      </c>
      <c r="C200">
        <v>27</v>
      </c>
    </row>
    <row r="201" spans="2:3" x14ac:dyDescent="0.25">
      <c r="B201">
        <v>16</v>
      </c>
      <c r="C201">
        <v>20</v>
      </c>
    </row>
    <row r="202" spans="2:3" x14ac:dyDescent="0.25">
      <c r="B202">
        <v>17</v>
      </c>
      <c r="C202">
        <v>20</v>
      </c>
    </row>
    <row r="203" spans="2:3" x14ac:dyDescent="0.25">
      <c r="B203">
        <v>20</v>
      </c>
      <c r="C203">
        <v>23</v>
      </c>
    </row>
    <row r="204" spans="2:3" x14ac:dyDescent="0.25">
      <c r="B204">
        <v>27</v>
      </c>
      <c r="C204">
        <v>30</v>
      </c>
    </row>
    <row r="205" spans="2:3" x14ac:dyDescent="0.25">
      <c r="B205">
        <v>26</v>
      </c>
      <c r="C205">
        <v>30</v>
      </c>
    </row>
    <row r="206" spans="2:3" x14ac:dyDescent="0.25">
      <c r="B206">
        <v>33</v>
      </c>
      <c r="C206">
        <v>33</v>
      </c>
    </row>
    <row r="207" spans="2:3" x14ac:dyDescent="0.25">
      <c r="B207">
        <v>34</v>
      </c>
      <c r="C207">
        <v>34</v>
      </c>
    </row>
    <row r="208" spans="2:3" x14ac:dyDescent="0.25">
      <c r="B208">
        <v>47</v>
      </c>
      <c r="C208">
        <v>43</v>
      </c>
    </row>
    <row r="209" spans="2:3" x14ac:dyDescent="0.25">
      <c r="B209">
        <v>45</v>
      </c>
      <c r="C209">
        <v>43</v>
      </c>
    </row>
    <row r="210" spans="2:3" x14ac:dyDescent="0.25">
      <c r="B210">
        <v>40</v>
      </c>
      <c r="C210">
        <v>39</v>
      </c>
    </row>
    <row r="211" spans="2:3" x14ac:dyDescent="0.25">
      <c r="B211">
        <v>48</v>
      </c>
      <c r="C211">
        <v>47</v>
      </c>
    </row>
    <row r="212" spans="2:3" x14ac:dyDescent="0.25">
      <c r="B212">
        <v>34</v>
      </c>
      <c r="C212">
        <v>36</v>
      </c>
    </row>
    <row r="213" spans="2:3" x14ac:dyDescent="0.25">
      <c r="B213">
        <v>24</v>
      </c>
      <c r="C213">
        <v>28</v>
      </c>
    </row>
    <row r="214" spans="2:3" x14ac:dyDescent="0.25">
      <c r="B214">
        <v>23</v>
      </c>
      <c r="C214">
        <v>24</v>
      </c>
    </row>
    <row r="215" spans="2:3" x14ac:dyDescent="0.25">
      <c r="B215">
        <v>18</v>
      </c>
      <c r="C215">
        <v>19</v>
      </c>
    </row>
    <row r="216" spans="2:3" x14ac:dyDescent="0.25">
      <c r="B216">
        <v>26</v>
      </c>
      <c r="C216">
        <v>30</v>
      </c>
    </row>
    <row r="217" spans="2:3" x14ac:dyDescent="0.25">
      <c r="B217">
        <v>26</v>
      </c>
      <c r="C217">
        <v>29</v>
      </c>
    </row>
    <row r="218" spans="2:3" x14ac:dyDescent="0.25">
      <c r="B218">
        <v>17</v>
      </c>
      <c r="C218">
        <v>18</v>
      </c>
    </row>
    <row r="219" spans="2:3" x14ac:dyDescent="0.25">
      <c r="B219">
        <v>17</v>
      </c>
      <c r="C219">
        <v>18</v>
      </c>
    </row>
    <row r="220" spans="2:3" x14ac:dyDescent="0.25">
      <c r="B220">
        <v>30</v>
      </c>
      <c r="C220">
        <v>32</v>
      </c>
    </row>
    <row r="221" spans="2:3" x14ac:dyDescent="0.25">
      <c r="B221">
        <v>38</v>
      </c>
      <c r="C221">
        <v>38</v>
      </c>
    </row>
    <row r="222" spans="2:3" x14ac:dyDescent="0.25">
      <c r="B222">
        <v>21</v>
      </c>
      <c r="C222">
        <v>20</v>
      </c>
    </row>
    <row r="223" spans="2:3" x14ac:dyDescent="0.25">
      <c r="B223">
        <v>37</v>
      </c>
      <c r="C223">
        <v>38</v>
      </c>
    </row>
    <row r="224" spans="2:3" x14ac:dyDescent="0.25">
      <c r="B224">
        <v>32</v>
      </c>
      <c r="C224">
        <v>33</v>
      </c>
    </row>
    <row r="225" spans="2:3" x14ac:dyDescent="0.25">
      <c r="B225">
        <v>36</v>
      </c>
      <c r="C225">
        <v>38</v>
      </c>
    </row>
    <row r="226" spans="2:3" x14ac:dyDescent="0.25">
      <c r="B226" s="125">
        <v>44</v>
      </c>
      <c r="C226" s="85">
        <v>45</v>
      </c>
    </row>
    <row r="227" spans="2:3" x14ac:dyDescent="0.25">
      <c r="B227" s="125">
        <v>31</v>
      </c>
      <c r="C227" s="85">
        <v>35</v>
      </c>
    </row>
    <row r="228" spans="2:3" x14ac:dyDescent="0.25">
      <c r="B228" s="125">
        <v>34</v>
      </c>
      <c r="C228" s="85">
        <v>38</v>
      </c>
    </row>
    <row r="229" spans="2:3" x14ac:dyDescent="0.25">
      <c r="B229" s="125">
        <v>21</v>
      </c>
      <c r="C229" s="85">
        <v>24</v>
      </c>
    </row>
    <row r="230" spans="2:3" x14ac:dyDescent="0.25">
      <c r="B230" s="125">
        <v>34</v>
      </c>
      <c r="C230" s="85">
        <v>38</v>
      </c>
    </row>
    <row r="231" spans="2:3" x14ac:dyDescent="0.25">
      <c r="B231" s="125">
        <v>24</v>
      </c>
      <c r="C231" s="85">
        <v>28</v>
      </c>
    </row>
    <row r="232" spans="2:3" x14ac:dyDescent="0.25">
      <c r="B232" s="125">
        <v>35</v>
      </c>
      <c r="C232" s="85">
        <v>40</v>
      </c>
    </row>
    <row r="233" spans="2:3" x14ac:dyDescent="0.25">
      <c r="B233" s="125">
        <v>42</v>
      </c>
      <c r="C233" s="85">
        <v>47</v>
      </c>
    </row>
    <row r="234" spans="2:3" x14ac:dyDescent="0.25">
      <c r="B234" s="125">
        <v>16</v>
      </c>
      <c r="C234" s="85">
        <v>20</v>
      </c>
    </row>
    <row r="235" spans="2:3" x14ac:dyDescent="0.25">
      <c r="B235" s="125">
        <v>16</v>
      </c>
      <c r="C235" s="85">
        <v>20</v>
      </c>
    </row>
    <row r="236" spans="2:3" x14ac:dyDescent="0.25">
      <c r="B236" s="125">
        <v>29</v>
      </c>
      <c r="C236" s="85">
        <v>34</v>
      </c>
    </row>
    <row r="237" spans="2:3" x14ac:dyDescent="0.25">
      <c r="B237" s="125">
        <v>19</v>
      </c>
      <c r="C237" s="85">
        <v>23</v>
      </c>
    </row>
    <row r="238" spans="2:3" x14ac:dyDescent="0.25">
      <c r="B238" s="125">
        <v>19</v>
      </c>
      <c r="C238" s="85">
        <v>23</v>
      </c>
    </row>
    <row r="239" spans="2:3" x14ac:dyDescent="0.25">
      <c r="B239" s="125">
        <v>21</v>
      </c>
      <c r="C239" s="85">
        <v>27</v>
      </c>
    </row>
    <row r="240" spans="2:3" x14ac:dyDescent="0.25">
      <c r="B240" s="125">
        <v>26</v>
      </c>
      <c r="C240" s="85">
        <v>31</v>
      </c>
    </row>
    <row r="241" spans="2:3" x14ac:dyDescent="0.25">
      <c r="B241" s="125">
        <v>20</v>
      </c>
      <c r="C241" s="85">
        <v>25</v>
      </c>
    </row>
    <row r="242" spans="2:3" x14ac:dyDescent="0.25">
      <c r="B242" s="125">
        <v>16</v>
      </c>
      <c r="C242" s="85">
        <v>21</v>
      </c>
    </row>
    <row r="243" spans="2:3" x14ac:dyDescent="0.25">
      <c r="B243" s="125">
        <v>28</v>
      </c>
      <c r="C243" s="85">
        <v>32</v>
      </c>
    </row>
    <row r="244" spans="2:3" x14ac:dyDescent="0.25">
      <c r="B244" s="125">
        <v>22</v>
      </c>
      <c r="C244" s="85">
        <v>28</v>
      </c>
    </row>
    <row r="245" spans="2:3" x14ac:dyDescent="0.25">
      <c r="B245" s="125">
        <v>33</v>
      </c>
      <c r="C245" s="85">
        <v>38</v>
      </c>
    </row>
    <row r="246" spans="2:3" x14ac:dyDescent="0.25">
      <c r="B246" s="125">
        <v>44</v>
      </c>
      <c r="C246" s="85">
        <v>46</v>
      </c>
    </row>
    <row r="247" spans="2:3" x14ac:dyDescent="0.25">
      <c r="B247" s="125">
        <v>25</v>
      </c>
      <c r="C247" s="85">
        <v>30</v>
      </c>
    </row>
    <row r="248" spans="2:3" x14ac:dyDescent="0.25">
      <c r="B248" s="125">
        <v>22</v>
      </c>
      <c r="C248" s="85">
        <v>27</v>
      </c>
    </row>
    <row r="249" spans="2:3" x14ac:dyDescent="0.25">
      <c r="B249" s="125">
        <v>33</v>
      </c>
      <c r="C249" s="85">
        <v>37</v>
      </c>
    </row>
    <row r="250" spans="2:3" x14ac:dyDescent="0.25">
      <c r="B250" s="125">
        <v>48</v>
      </c>
      <c r="C250" s="85">
        <v>48</v>
      </c>
    </row>
    <row r="251" spans="2:3" x14ac:dyDescent="0.25">
      <c r="B251" s="125">
        <v>32</v>
      </c>
      <c r="C251" s="85">
        <v>36</v>
      </c>
    </row>
    <row r="252" spans="2:3" x14ac:dyDescent="0.25">
      <c r="B252" s="125">
        <v>22</v>
      </c>
      <c r="C252" s="85">
        <v>28</v>
      </c>
    </row>
    <row r="253" spans="2:3" x14ac:dyDescent="0.25">
      <c r="B253" s="125">
        <v>28</v>
      </c>
      <c r="C253" s="85">
        <v>32</v>
      </c>
    </row>
    <row r="254" spans="2:3" x14ac:dyDescent="0.25">
      <c r="B254" s="125">
        <v>22</v>
      </c>
      <c r="C254" s="85">
        <v>27</v>
      </c>
    </row>
    <row r="255" spans="2:3" x14ac:dyDescent="0.25">
      <c r="B255" s="125">
        <v>24</v>
      </c>
      <c r="C255" s="85">
        <v>31</v>
      </c>
    </row>
    <row r="256" spans="2:3" x14ac:dyDescent="0.25">
      <c r="B256" s="125">
        <v>21</v>
      </c>
      <c r="C256" s="85">
        <v>26</v>
      </c>
    </row>
    <row r="257" spans="2:3" x14ac:dyDescent="0.25">
      <c r="B257" s="125">
        <v>21</v>
      </c>
      <c r="C257" s="85">
        <v>26</v>
      </c>
    </row>
    <row r="258" spans="2:3" x14ac:dyDescent="0.25">
      <c r="B258" s="125">
        <v>21</v>
      </c>
      <c r="C258" s="85">
        <v>26</v>
      </c>
    </row>
    <row r="259" spans="2:3" x14ac:dyDescent="0.25">
      <c r="B259" s="125">
        <v>21</v>
      </c>
      <c r="C259" s="85">
        <v>26</v>
      </c>
    </row>
    <row r="260" spans="2:3" x14ac:dyDescent="0.25">
      <c r="B260" s="125">
        <v>21</v>
      </c>
      <c r="C260" s="85">
        <v>25</v>
      </c>
    </row>
    <row r="261" spans="2:3" x14ac:dyDescent="0.25">
      <c r="B261" s="125">
        <v>21</v>
      </c>
      <c r="C261" s="85">
        <v>24</v>
      </c>
    </row>
    <row r="262" spans="2:3" x14ac:dyDescent="0.25">
      <c r="B262" s="125">
        <v>18</v>
      </c>
      <c r="C262" s="85">
        <v>21</v>
      </c>
    </row>
    <row r="263" spans="2:3" x14ac:dyDescent="0.25">
      <c r="B263" s="125">
        <v>18</v>
      </c>
      <c r="C263" s="85">
        <v>23</v>
      </c>
    </row>
    <row r="264" spans="2:3" x14ac:dyDescent="0.25">
      <c r="B264" s="125">
        <v>17</v>
      </c>
      <c r="C264" s="85">
        <v>24</v>
      </c>
    </row>
    <row r="265" spans="2:3" x14ac:dyDescent="0.25">
      <c r="B265" s="125">
        <v>18</v>
      </c>
      <c r="C265" s="85">
        <v>24</v>
      </c>
    </row>
    <row r="266" spans="2:3" x14ac:dyDescent="0.25">
      <c r="B266" s="125">
        <v>18</v>
      </c>
      <c r="C266" s="85">
        <v>23</v>
      </c>
    </row>
    <row r="267" spans="2:3" x14ac:dyDescent="0.25">
      <c r="B267" s="125">
        <v>18</v>
      </c>
      <c r="C267" s="85">
        <v>24</v>
      </c>
    </row>
    <row r="268" spans="2:3" x14ac:dyDescent="0.25">
      <c r="B268" s="125">
        <v>18</v>
      </c>
      <c r="C268" s="85">
        <v>23</v>
      </c>
    </row>
    <row r="269" spans="2:3" x14ac:dyDescent="0.25">
      <c r="B269" s="125">
        <v>20</v>
      </c>
      <c r="C269" s="85">
        <v>25</v>
      </c>
    </row>
    <row r="270" spans="2:3" x14ac:dyDescent="0.25">
      <c r="B270" s="125">
        <v>20</v>
      </c>
      <c r="C270" s="85">
        <v>24</v>
      </c>
    </row>
    <row r="271" spans="2:3" x14ac:dyDescent="0.25">
      <c r="B271" s="125">
        <v>20</v>
      </c>
      <c r="C271" s="85">
        <v>24</v>
      </c>
    </row>
    <row r="272" spans="2:3" x14ac:dyDescent="0.25">
      <c r="B272" s="125">
        <v>20</v>
      </c>
      <c r="C272" s="85">
        <v>24</v>
      </c>
    </row>
    <row r="273" spans="2:3" x14ac:dyDescent="0.25">
      <c r="B273" s="125">
        <v>20</v>
      </c>
      <c r="C273" s="85">
        <v>20</v>
      </c>
    </row>
    <row r="274" spans="2:3" x14ac:dyDescent="0.25">
      <c r="B274" s="125">
        <v>20</v>
      </c>
      <c r="C274" s="85">
        <v>24</v>
      </c>
    </row>
    <row r="275" spans="2:3" x14ac:dyDescent="0.25">
      <c r="B275" s="125">
        <v>20</v>
      </c>
      <c r="C275" s="85">
        <v>24</v>
      </c>
    </row>
    <row r="276" spans="2:3" x14ac:dyDescent="0.25">
      <c r="B276" s="125">
        <v>20</v>
      </c>
      <c r="C276" s="85">
        <v>25</v>
      </c>
    </row>
    <row r="277" spans="2:3" x14ac:dyDescent="0.25">
      <c r="B277" s="125">
        <v>18</v>
      </c>
      <c r="C277" s="85">
        <v>19</v>
      </c>
    </row>
    <row r="278" spans="2:3" x14ac:dyDescent="0.25">
      <c r="B278" s="125">
        <v>17</v>
      </c>
      <c r="C278" s="85">
        <v>19</v>
      </c>
    </row>
    <row r="279" spans="2:3" x14ac:dyDescent="0.25">
      <c r="B279" s="125">
        <v>19</v>
      </c>
      <c r="C279" s="85">
        <v>19</v>
      </c>
    </row>
    <row r="280" spans="2:3" x14ac:dyDescent="0.25">
      <c r="B280" s="125">
        <v>17</v>
      </c>
      <c r="C280" s="85">
        <v>18</v>
      </c>
    </row>
    <row r="281" spans="2:3" x14ac:dyDescent="0.25">
      <c r="B281" s="125">
        <v>17</v>
      </c>
      <c r="C281" s="85">
        <v>19</v>
      </c>
    </row>
    <row r="282" spans="2:3" x14ac:dyDescent="0.25">
      <c r="B282" s="125">
        <v>17</v>
      </c>
      <c r="C282" s="85">
        <v>19</v>
      </c>
    </row>
    <row r="283" spans="2:3" x14ac:dyDescent="0.25">
      <c r="B283" s="125">
        <v>26</v>
      </c>
      <c r="C283" s="85">
        <v>27</v>
      </c>
    </row>
    <row r="284" spans="2:3" x14ac:dyDescent="0.25">
      <c r="B284" s="125">
        <v>23</v>
      </c>
      <c r="C284" s="85">
        <v>27</v>
      </c>
    </row>
    <row r="285" spans="2:3" x14ac:dyDescent="0.25">
      <c r="B285" s="125">
        <v>18</v>
      </c>
      <c r="C285" s="85">
        <v>19</v>
      </c>
    </row>
    <row r="286" spans="2:3" x14ac:dyDescent="0.25">
      <c r="B286" s="125">
        <v>24</v>
      </c>
      <c r="C286" s="85">
        <v>31</v>
      </c>
    </row>
    <row r="287" spans="2:3" x14ac:dyDescent="0.25">
      <c r="B287" s="125">
        <v>23</v>
      </c>
      <c r="C287" s="85">
        <v>25</v>
      </c>
    </row>
    <row r="288" spans="2:3" x14ac:dyDescent="0.25">
      <c r="B288" s="125">
        <v>18</v>
      </c>
      <c r="C288" s="85">
        <v>19</v>
      </c>
    </row>
    <row r="289" spans="2:3" x14ac:dyDescent="0.25">
      <c r="B289" s="125">
        <v>28</v>
      </c>
      <c r="C289" s="85">
        <v>33</v>
      </c>
    </row>
    <row r="290" spans="2:3" x14ac:dyDescent="0.25">
      <c r="B290" s="125">
        <v>16</v>
      </c>
      <c r="C290" s="85">
        <v>19</v>
      </c>
    </row>
    <row r="291" spans="2:3" x14ac:dyDescent="0.25">
      <c r="B291" s="125">
        <v>28</v>
      </c>
      <c r="C291" s="85">
        <v>29</v>
      </c>
    </row>
    <row r="292" spans="2:3" x14ac:dyDescent="0.25">
      <c r="B292" s="125">
        <v>23</v>
      </c>
      <c r="C292" s="85">
        <v>33</v>
      </c>
    </row>
    <row r="293" spans="2:3" x14ac:dyDescent="0.25">
      <c r="B293" s="125">
        <v>17</v>
      </c>
      <c r="C293" s="85">
        <v>20</v>
      </c>
    </row>
    <row r="294" spans="2:3" x14ac:dyDescent="0.25">
      <c r="B294" s="125">
        <v>19</v>
      </c>
      <c r="C294" s="85">
        <v>24</v>
      </c>
    </row>
    <row r="295" spans="2:3" x14ac:dyDescent="0.25">
      <c r="B295" s="125">
        <v>15</v>
      </c>
      <c r="C295" s="85">
        <v>20</v>
      </c>
    </row>
    <row r="296" spans="2:3" x14ac:dyDescent="0.25">
      <c r="B296" s="125">
        <v>16</v>
      </c>
      <c r="C296" s="85">
        <v>20</v>
      </c>
    </row>
    <row r="297" spans="2:3" x14ac:dyDescent="0.25">
      <c r="B297" s="125">
        <v>16</v>
      </c>
      <c r="C297" s="85">
        <v>19</v>
      </c>
    </row>
    <row r="298" spans="2:3" x14ac:dyDescent="0.25">
      <c r="B298" s="125">
        <v>16</v>
      </c>
      <c r="C298" s="85">
        <v>20</v>
      </c>
    </row>
    <row r="299" spans="2:3" x14ac:dyDescent="0.25">
      <c r="B299" s="125">
        <v>17</v>
      </c>
      <c r="C299" s="85">
        <v>21</v>
      </c>
    </row>
    <row r="300" spans="2:3" x14ac:dyDescent="0.25">
      <c r="B300" s="125">
        <v>16</v>
      </c>
      <c r="C300" s="85">
        <v>20</v>
      </c>
    </row>
    <row r="301" spans="2:3" x14ac:dyDescent="0.25">
      <c r="B301" s="125">
        <v>16</v>
      </c>
      <c r="C301" s="85">
        <v>20</v>
      </c>
    </row>
    <row r="302" spans="2:3" x14ac:dyDescent="0.25">
      <c r="B302" s="125">
        <v>17</v>
      </c>
      <c r="C302" s="85">
        <v>18</v>
      </c>
    </row>
    <row r="303" spans="2:3" x14ac:dyDescent="0.25">
      <c r="B303" s="125">
        <v>17</v>
      </c>
      <c r="C303" s="85">
        <v>19</v>
      </c>
    </row>
    <row r="304" spans="2:3" x14ac:dyDescent="0.25">
      <c r="B304" s="125">
        <v>18</v>
      </c>
      <c r="C304" s="85">
        <v>19</v>
      </c>
    </row>
    <row r="305" spans="2:3" x14ac:dyDescent="0.25">
      <c r="B305" s="125">
        <v>18</v>
      </c>
      <c r="C305" s="85">
        <v>19</v>
      </c>
    </row>
    <row r="306" spans="2:3" x14ac:dyDescent="0.25">
      <c r="B306" s="125">
        <v>22</v>
      </c>
      <c r="C306" s="85">
        <v>26</v>
      </c>
    </row>
    <row r="307" spans="2:3" x14ac:dyDescent="0.25">
      <c r="B307" s="125">
        <v>20</v>
      </c>
      <c r="C307" s="85">
        <v>24</v>
      </c>
    </row>
    <row r="308" spans="2:3" x14ac:dyDescent="0.25">
      <c r="B308" s="125">
        <v>27</v>
      </c>
      <c r="C308" s="85">
        <v>30</v>
      </c>
    </row>
    <row r="309" spans="2:3" x14ac:dyDescent="0.25">
      <c r="B309" s="125">
        <v>30</v>
      </c>
      <c r="C309" s="85">
        <v>32</v>
      </c>
    </row>
    <row r="310" spans="2:3" x14ac:dyDescent="0.25">
      <c r="B310" s="125">
        <v>31</v>
      </c>
      <c r="C310" s="85">
        <v>37</v>
      </c>
    </row>
    <row r="311" spans="2:3" x14ac:dyDescent="0.25">
      <c r="B311" s="125">
        <v>21</v>
      </c>
      <c r="C311" s="85">
        <v>29</v>
      </c>
    </row>
    <row r="312" spans="2:3" x14ac:dyDescent="0.25">
      <c r="B312" s="125">
        <v>26</v>
      </c>
      <c r="C312" s="85">
        <v>26</v>
      </c>
    </row>
    <row r="313" spans="2:3" x14ac:dyDescent="0.25">
      <c r="B313" s="125">
        <v>22</v>
      </c>
      <c r="C313" s="85">
        <v>24</v>
      </c>
    </row>
    <row r="314" spans="2:3" x14ac:dyDescent="0.25">
      <c r="B314" s="125">
        <v>27</v>
      </c>
      <c r="C314" s="85">
        <v>26</v>
      </c>
    </row>
    <row r="315" spans="2:3" x14ac:dyDescent="0.25">
      <c r="B315" s="125">
        <v>17</v>
      </c>
      <c r="C315" s="85">
        <v>22</v>
      </c>
    </row>
    <row r="316" spans="2:3" x14ac:dyDescent="0.25">
      <c r="B316" s="125">
        <v>22</v>
      </c>
      <c r="C316" s="85">
        <v>25</v>
      </c>
    </row>
    <row r="317" spans="2:3" x14ac:dyDescent="0.25">
      <c r="B317" s="125">
        <v>26</v>
      </c>
      <c r="C317" s="85">
        <v>35</v>
      </c>
    </row>
    <row r="318" spans="2:3" x14ac:dyDescent="0.25">
      <c r="B318" s="125">
        <v>25</v>
      </c>
      <c r="C318" s="85">
        <v>33</v>
      </c>
    </row>
    <row r="319" spans="2:3" x14ac:dyDescent="0.25">
      <c r="B319" s="125">
        <v>16</v>
      </c>
      <c r="C319" s="85">
        <v>21</v>
      </c>
    </row>
    <row r="320" spans="2:3" x14ac:dyDescent="0.25">
      <c r="B320" s="125">
        <v>19</v>
      </c>
      <c r="C320" s="85">
        <v>21</v>
      </c>
    </row>
    <row r="321" spans="2:3" x14ac:dyDescent="0.25">
      <c r="B321" s="125">
        <v>17</v>
      </c>
      <c r="C321" s="85">
        <v>21</v>
      </c>
    </row>
    <row r="322" spans="2:3" x14ac:dyDescent="0.25">
      <c r="B322" s="125">
        <v>25</v>
      </c>
      <c r="C322" s="85">
        <v>27</v>
      </c>
    </row>
    <row r="323" spans="2:3" x14ac:dyDescent="0.25">
      <c r="B323" s="125">
        <v>26</v>
      </c>
      <c r="C323" s="85">
        <v>28</v>
      </c>
    </row>
    <row r="324" spans="2:3" x14ac:dyDescent="0.25">
      <c r="B324" s="125">
        <v>16</v>
      </c>
      <c r="C324" s="85">
        <v>20</v>
      </c>
    </row>
    <row r="325" spans="2:3" x14ac:dyDescent="0.25">
      <c r="B325" s="125">
        <v>17</v>
      </c>
      <c r="C325" s="85">
        <v>20</v>
      </c>
    </row>
    <row r="326" spans="2:3" x14ac:dyDescent="0.25">
      <c r="B326" s="125">
        <v>15</v>
      </c>
      <c r="C326" s="85">
        <v>20</v>
      </c>
    </row>
    <row r="327" spans="2:3" x14ac:dyDescent="0.25">
      <c r="B327" s="125">
        <v>16</v>
      </c>
      <c r="C327" s="85">
        <v>20</v>
      </c>
    </row>
    <row r="328" spans="2:3" x14ac:dyDescent="0.25">
      <c r="B328" s="125">
        <v>19</v>
      </c>
      <c r="C328" s="85">
        <v>19</v>
      </c>
    </row>
    <row r="329" spans="2:3" x14ac:dyDescent="0.25">
      <c r="B329" s="125">
        <v>32</v>
      </c>
      <c r="C329" s="85">
        <v>31</v>
      </c>
    </row>
    <row r="330" spans="2:3" x14ac:dyDescent="0.25">
      <c r="B330" s="125">
        <v>31</v>
      </c>
      <c r="C330" s="85">
        <v>30</v>
      </c>
    </row>
    <row r="331" spans="2:3" x14ac:dyDescent="0.25">
      <c r="B331" s="125">
        <v>27</v>
      </c>
      <c r="C331" s="85">
        <v>26</v>
      </c>
    </row>
    <row r="332" spans="2:3" x14ac:dyDescent="0.25">
      <c r="B332" s="125">
        <v>23</v>
      </c>
      <c r="C332" s="85">
        <v>26</v>
      </c>
    </row>
    <row r="333" spans="2:3" x14ac:dyDescent="0.25">
      <c r="B333" s="125">
        <v>17</v>
      </c>
      <c r="C333" s="85">
        <v>19</v>
      </c>
    </row>
    <row r="334" spans="2:3" x14ac:dyDescent="0.25">
      <c r="B334" s="125">
        <v>30</v>
      </c>
      <c r="C334" s="85">
        <v>31</v>
      </c>
    </row>
    <row r="335" spans="2:3" x14ac:dyDescent="0.25">
      <c r="B335" s="125">
        <v>22</v>
      </c>
      <c r="C335" s="85">
        <v>22</v>
      </c>
    </row>
    <row r="336" spans="2:3" x14ac:dyDescent="0.25">
      <c r="B336" s="125">
        <v>28</v>
      </c>
      <c r="C336" s="85">
        <v>30</v>
      </c>
    </row>
    <row r="337" spans="2:3" x14ac:dyDescent="0.25">
      <c r="B337" s="125">
        <v>49</v>
      </c>
      <c r="C337" s="85">
        <v>47</v>
      </c>
    </row>
    <row r="338" spans="2:3" x14ac:dyDescent="0.25">
      <c r="B338" s="125">
        <v>29</v>
      </c>
      <c r="C338" s="85">
        <v>30</v>
      </c>
    </row>
    <row r="339" spans="2:3" x14ac:dyDescent="0.25">
      <c r="B339" s="125">
        <v>47</v>
      </c>
      <c r="C339" s="85">
        <v>43</v>
      </c>
    </row>
    <row r="340" spans="2:3" x14ac:dyDescent="0.25">
      <c r="B340" s="125">
        <v>20</v>
      </c>
      <c r="C340" s="85">
        <v>24</v>
      </c>
    </row>
    <row r="341" spans="2:3" x14ac:dyDescent="0.25">
      <c r="B341" s="125">
        <v>17</v>
      </c>
      <c r="C341" s="85">
        <v>19</v>
      </c>
    </row>
    <row r="342" spans="2:3" x14ac:dyDescent="0.25">
      <c r="B342" s="125">
        <v>35</v>
      </c>
      <c r="C342" s="85">
        <v>32</v>
      </c>
    </row>
    <row r="343" spans="2:3" x14ac:dyDescent="0.25">
      <c r="B343" s="125">
        <v>17</v>
      </c>
      <c r="C343" s="85">
        <v>17</v>
      </c>
    </row>
    <row r="344" spans="2:3" x14ac:dyDescent="0.25">
      <c r="B344" s="125">
        <v>14</v>
      </c>
      <c r="C344" s="85">
        <v>17</v>
      </c>
    </row>
    <row r="345" spans="2:3" x14ac:dyDescent="0.25">
      <c r="B345" s="125">
        <v>17</v>
      </c>
      <c r="C345" s="85">
        <v>16</v>
      </c>
    </row>
    <row r="346" spans="2:3" x14ac:dyDescent="0.25">
      <c r="B346" s="125">
        <v>24</v>
      </c>
      <c r="C346" s="85">
        <v>24</v>
      </c>
    </row>
    <row r="347" spans="2:3" x14ac:dyDescent="0.25">
      <c r="B347" s="125">
        <v>26</v>
      </c>
      <c r="C347" s="85">
        <v>23</v>
      </c>
    </row>
    <row r="348" spans="2:3" x14ac:dyDescent="0.25">
      <c r="B348" s="125">
        <v>20</v>
      </c>
      <c r="C348" s="85">
        <v>19</v>
      </c>
    </row>
    <row r="349" spans="2:3" x14ac:dyDescent="0.25">
      <c r="B349" s="125">
        <v>34</v>
      </c>
      <c r="C349" s="85">
        <v>27</v>
      </c>
    </row>
    <row r="350" spans="2:3" x14ac:dyDescent="0.25">
      <c r="B350" s="125">
        <v>14</v>
      </c>
      <c r="C350" s="85">
        <v>13</v>
      </c>
    </row>
    <row r="351" spans="2:3" x14ac:dyDescent="0.25">
      <c r="B351" s="125">
        <v>24</v>
      </c>
      <c r="C351" s="85">
        <v>21</v>
      </c>
    </row>
    <row r="352" spans="2:3" x14ac:dyDescent="0.25">
      <c r="B352" s="125">
        <v>38</v>
      </c>
      <c r="C352" s="85">
        <v>35</v>
      </c>
    </row>
    <row r="353" spans="2:3" x14ac:dyDescent="0.25">
      <c r="B353" s="125">
        <v>35</v>
      </c>
      <c r="C353" s="85">
        <v>33</v>
      </c>
    </row>
    <row r="354" spans="2:3" x14ac:dyDescent="0.25">
      <c r="B354" s="125">
        <v>36</v>
      </c>
      <c r="C354" s="85">
        <v>36</v>
      </c>
    </row>
    <row r="355" spans="2:3" x14ac:dyDescent="0.25">
      <c r="B355" s="125">
        <v>31</v>
      </c>
      <c r="C355" s="85">
        <v>31</v>
      </c>
    </row>
    <row r="356" spans="2:3" x14ac:dyDescent="0.25">
      <c r="B356" s="125">
        <v>33</v>
      </c>
      <c r="C356" s="85">
        <v>34</v>
      </c>
    </row>
    <row r="357" spans="2:3" x14ac:dyDescent="0.25">
      <c r="B357" s="125">
        <v>28</v>
      </c>
      <c r="C357" s="85">
        <v>29</v>
      </c>
    </row>
    <row r="358" spans="2:3" x14ac:dyDescent="0.25">
      <c r="B358" s="125">
        <v>31</v>
      </c>
      <c r="C358" s="85">
        <v>32</v>
      </c>
    </row>
    <row r="359" spans="2:3" x14ac:dyDescent="0.25">
      <c r="B359" s="125">
        <v>43</v>
      </c>
      <c r="C359" s="85">
        <v>40</v>
      </c>
    </row>
    <row r="360" spans="2:3" x14ac:dyDescent="0.25">
      <c r="B360" s="125">
        <v>29</v>
      </c>
      <c r="C360" s="85">
        <v>29</v>
      </c>
    </row>
    <row r="361" spans="2:3" x14ac:dyDescent="0.25">
      <c r="B361" s="125">
        <v>33</v>
      </c>
      <c r="C361" s="85">
        <v>34</v>
      </c>
    </row>
    <row r="362" spans="2:3" x14ac:dyDescent="0.25">
      <c r="B362" s="67">
        <v>22</v>
      </c>
      <c r="C362" s="18">
        <v>26</v>
      </c>
    </row>
  </sheetData>
  <sortState xmlns:xlrd2="http://schemas.microsoft.com/office/spreadsheetml/2017/richdata2" ref="O99:P103">
    <sortCondition descending="1" ref="P99"/>
  </sortState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6">
    <tabColor theme="9" tint="0.79998168889431442"/>
  </sheetPr>
  <dimension ref="A1:AG75"/>
  <sheetViews>
    <sheetView topLeftCell="H1" zoomScale="85" zoomScaleNormal="85" workbookViewId="0">
      <selection activeCell="L22" sqref="L22"/>
    </sheetView>
  </sheetViews>
  <sheetFormatPr defaultColWidth="11.42578125" defaultRowHeight="15" x14ac:dyDescent="0.25"/>
  <cols>
    <col min="2" max="2" width="13" customWidth="1"/>
    <col min="3" max="3" width="12" customWidth="1"/>
    <col min="4" max="5" width="18.42578125" bestFit="1" customWidth="1"/>
    <col min="6" max="6" width="12.85546875" customWidth="1"/>
    <col min="7" max="7" width="18.42578125" bestFit="1" customWidth="1"/>
    <col min="15" max="15" width="16.7109375" customWidth="1"/>
    <col min="16" max="16" width="22.42578125" customWidth="1"/>
    <col min="20" max="20" width="24.7109375" customWidth="1"/>
    <col min="21" max="21" width="23.140625" customWidth="1"/>
    <col min="22" max="22" width="14.140625" customWidth="1"/>
    <col min="28" max="28" width="12.5703125" customWidth="1"/>
    <col min="29" max="29" width="11.85546875" bestFit="1" customWidth="1"/>
  </cols>
  <sheetData>
    <row r="1" spans="1:33" ht="27" thickBot="1" x14ac:dyDescent="0.45">
      <c r="B1" s="251" t="s">
        <v>12</v>
      </c>
      <c r="C1" s="252"/>
      <c r="D1" s="252"/>
      <c r="E1" s="252"/>
      <c r="F1" s="253"/>
      <c r="G1" s="7"/>
      <c r="H1" s="7"/>
      <c r="I1" s="7"/>
      <c r="J1" s="251" t="s">
        <v>13</v>
      </c>
      <c r="K1" s="253"/>
    </row>
    <row r="2" spans="1:33" x14ac:dyDescent="0.25">
      <c r="B2" s="7"/>
      <c r="C2" s="7"/>
      <c r="D2" s="7"/>
      <c r="E2" s="7"/>
      <c r="F2" s="7"/>
      <c r="G2" s="7"/>
      <c r="H2" s="7"/>
      <c r="I2" s="7"/>
    </row>
    <row r="3" spans="1:33" x14ac:dyDescent="0.25">
      <c r="B3" s="80" t="s">
        <v>713</v>
      </c>
      <c r="C3" s="80" t="s">
        <v>15</v>
      </c>
      <c r="D3" s="81" t="s">
        <v>16</v>
      </c>
      <c r="E3" s="80" t="s">
        <v>17</v>
      </c>
      <c r="F3" s="7"/>
      <c r="G3" s="7"/>
      <c r="H3" s="7"/>
      <c r="I3" s="7"/>
      <c r="J3" s="254" t="s">
        <v>18</v>
      </c>
      <c r="K3" s="254"/>
      <c r="O3" s="81" t="s">
        <v>14</v>
      </c>
      <c r="P3" s="81" t="s">
        <v>666</v>
      </c>
      <c r="Q3" s="81" t="s">
        <v>15</v>
      </c>
      <c r="R3" s="81" t="s">
        <v>16</v>
      </c>
      <c r="S3" s="81" t="s">
        <v>17</v>
      </c>
      <c r="T3" s="81" t="s">
        <v>667</v>
      </c>
      <c r="U3" s="81" t="s">
        <v>668</v>
      </c>
      <c r="AB3" s="81" t="s">
        <v>727</v>
      </c>
      <c r="AC3" s="81" t="s">
        <v>721</v>
      </c>
      <c r="AD3" s="81" t="s">
        <v>15</v>
      </c>
      <c r="AE3" s="81" t="s">
        <v>16</v>
      </c>
      <c r="AF3" s="81" t="s">
        <v>17</v>
      </c>
    </row>
    <row r="4" spans="1:33" x14ac:dyDescent="0.25">
      <c r="A4">
        <v>250</v>
      </c>
      <c r="B4" s="61" t="s">
        <v>19</v>
      </c>
      <c r="C4" s="62" t="s">
        <v>20</v>
      </c>
      <c r="D4" s="61">
        <v>15</v>
      </c>
      <c r="E4" s="75">
        <v>15</v>
      </c>
      <c r="F4" s="7"/>
      <c r="G4" s="7">
        <v>70000</v>
      </c>
      <c r="H4" s="7"/>
      <c r="I4" s="7"/>
      <c r="J4" s="9" t="s">
        <v>21</v>
      </c>
      <c r="K4" s="9">
        <v>1</v>
      </c>
      <c r="O4" s="189" t="s">
        <v>19</v>
      </c>
      <c r="P4" s="49" t="s">
        <v>669</v>
      </c>
      <c r="Q4" s="190" t="s">
        <v>20</v>
      </c>
      <c r="R4" s="189">
        <v>15</v>
      </c>
      <c r="S4" s="75">
        <v>15</v>
      </c>
      <c r="T4" s="49" t="s">
        <v>670</v>
      </c>
      <c r="U4" s="77" t="s">
        <v>671</v>
      </c>
      <c r="V4">
        <v>6</v>
      </c>
      <c r="AB4" s="18" t="s">
        <v>546</v>
      </c>
      <c r="AC4" s="189" t="s">
        <v>19</v>
      </c>
      <c r="AD4" s="190" t="s">
        <v>20</v>
      </c>
      <c r="AE4" s="189">
        <v>15</v>
      </c>
      <c r="AF4" s="75">
        <v>15</v>
      </c>
    </row>
    <row r="5" spans="1:33" x14ac:dyDescent="0.25">
      <c r="A5">
        <v>100</v>
      </c>
      <c r="B5" s="61" t="s">
        <v>22</v>
      </c>
      <c r="C5" s="62" t="s">
        <v>23</v>
      </c>
      <c r="D5" s="61">
        <v>12</v>
      </c>
      <c r="E5" s="75">
        <v>14</v>
      </c>
      <c r="F5" s="7"/>
      <c r="G5" s="7">
        <v>50000</v>
      </c>
      <c r="H5" s="7"/>
      <c r="I5" s="7"/>
      <c r="J5" s="9">
        <v>1</v>
      </c>
      <c r="K5" s="9">
        <v>2</v>
      </c>
      <c r="O5" s="189" t="s">
        <v>22</v>
      </c>
      <c r="P5" s="49" t="s">
        <v>672</v>
      </c>
      <c r="Q5" s="190" t="s">
        <v>23</v>
      </c>
      <c r="R5" s="189">
        <v>12</v>
      </c>
      <c r="S5" s="75">
        <v>14</v>
      </c>
      <c r="T5" s="49" t="s">
        <v>673</v>
      </c>
      <c r="U5" s="77" t="s">
        <v>674</v>
      </c>
      <c r="V5">
        <v>5</v>
      </c>
      <c r="AB5" s="18" t="s">
        <v>546</v>
      </c>
      <c r="AC5" s="189" t="s">
        <v>22</v>
      </c>
      <c r="AD5" s="190" t="s">
        <v>23</v>
      </c>
      <c r="AE5" s="189">
        <v>12</v>
      </c>
      <c r="AF5" s="75">
        <v>14</v>
      </c>
    </row>
    <row r="6" spans="1:33" x14ac:dyDescent="0.25">
      <c r="A6">
        <v>50</v>
      </c>
      <c r="B6" s="61" t="s">
        <v>24</v>
      </c>
      <c r="C6" s="62" t="s">
        <v>25</v>
      </c>
      <c r="D6" s="61">
        <v>7</v>
      </c>
      <c r="E6" s="75">
        <v>7</v>
      </c>
      <c r="F6" s="7"/>
      <c r="G6" s="7">
        <f>12000*3.5</f>
        <v>42000</v>
      </c>
      <c r="H6" s="7"/>
      <c r="I6" s="7"/>
      <c r="J6" s="9" t="s">
        <v>26</v>
      </c>
      <c r="K6" s="9">
        <v>3</v>
      </c>
      <c r="O6" s="189" t="s">
        <v>24</v>
      </c>
      <c r="P6" s="49" t="s">
        <v>675</v>
      </c>
      <c r="Q6" s="190" t="s">
        <v>25</v>
      </c>
      <c r="R6" s="189">
        <v>7</v>
      </c>
      <c r="S6" s="75">
        <v>7</v>
      </c>
      <c r="T6" s="49" t="s">
        <v>676</v>
      </c>
      <c r="U6" s="77" t="s">
        <v>677</v>
      </c>
      <c r="V6">
        <v>4</v>
      </c>
      <c r="AB6" s="18" t="s">
        <v>546</v>
      </c>
      <c r="AC6" s="189" t="s">
        <v>24</v>
      </c>
      <c r="AD6" s="190" t="s">
        <v>25</v>
      </c>
      <c r="AE6" s="189">
        <v>7</v>
      </c>
      <c r="AF6" s="75">
        <v>7</v>
      </c>
    </row>
    <row r="7" spans="1:33" x14ac:dyDescent="0.25">
      <c r="A7">
        <v>25</v>
      </c>
      <c r="B7" s="61" t="s">
        <v>27</v>
      </c>
      <c r="C7" s="62" t="s">
        <v>28</v>
      </c>
      <c r="D7" s="61">
        <v>4</v>
      </c>
      <c r="E7" s="75">
        <v>4</v>
      </c>
      <c r="F7" s="7"/>
      <c r="G7" s="7">
        <v>34000</v>
      </c>
      <c r="H7" s="7"/>
      <c r="I7" s="7"/>
      <c r="J7" s="9">
        <v>2</v>
      </c>
      <c r="K7" s="9">
        <v>4</v>
      </c>
      <c r="O7" s="189" t="s">
        <v>27</v>
      </c>
      <c r="P7" s="49" t="s">
        <v>678</v>
      </c>
      <c r="Q7" s="190" t="s">
        <v>28</v>
      </c>
      <c r="R7" s="189">
        <v>4</v>
      </c>
      <c r="S7" s="75">
        <v>4</v>
      </c>
      <c r="T7" s="49" t="s">
        <v>679</v>
      </c>
      <c r="U7" s="77" t="s">
        <v>680</v>
      </c>
      <c r="V7">
        <v>3</v>
      </c>
      <c r="AB7" s="18" t="s">
        <v>546</v>
      </c>
      <c r="AC7" s="189" t="s">
        <v>27</v>
      </c>
      <c r="AD7" s="190" t="s">
        <v>28</v>
      </c>
      <c r="AE7" s="189">
        <v>4</v>
      </c>
      <c r="AF7" s="75">
        <v>4</v>
      </c>
    </row>
    <row r="8" spans="1:33" x14ac:dyDescent="0.25">
      <c r="A8">
        <v>5</v>
      </c>
      <c r="B8" s="61" t="s">
        <v>29</v>
      </c>
      <c r="C8" s="62" t="s">
        <v>30</v>
      </c>
      <c r="D8" s="61">
        <v>2</v>
      </c>
      <c r="E8" s="75">
        <v>2</v>
      </c>
      <c r="F8" s="7"/>
      <c r="G8" s="7">
        <f>+SUM(G4:G7)</f>
        <v>196000</v>
      </c>
      <c r="H8" s="7"/>
      <c r="I8" s="7"/>
      <c r="J8" s="9" t="s">
        <v>31</v>
      </c>
      <c r="K8" s="9">
        <v>6</v>
      </c>
      <c r="O8" s="189" t="s">
        <v>29</v>
      </c>
      <c r="P8" s="49" t="s">
        <v>681</v>
      </c>
      <c r="Q8" s="190" t="s">
        <v>30</v>
      </c>
      <c r="R8" s="189">
        <v>2</v>
      </c>
      <c r="S8" s="75">
        <v>2</v>
      </c>
      <c r="T8" s="49" t="s">
        <v>682</v>
      </c>
      <c r="U8" s="77" t="s">
        <v>683</v>
      </c>
      <c r="V8">
        <v>2</v>
      </c>
      <c r="AB8" s="18" t="s">
        <v>546</v>
      </c>
      <c r="AC8" s="189" t="s">
        <v>29</v>
      </c>
      <c r="AD8" s="190" t="s">
        <v>30</v>
      </c>
      <c r="AE8" s="189">
        <v>2</v>
      </c>
      <c r="AF8" s="75">
        <v>2</v>
      </c>
    </row>
    <row r="9" spans="1:33" x14ac:dyDescent="0.25">
      <c r="A9">
        <v>1</v>
      </c>
      <c r="B9" s="61" t="s">
        <v>32</v>
      </c>
      <c r="C9" s="62" t="s">
        <v>33</v>
      </c>
      <c r="D9" s="61">
        <v>1</v>
      </c>
      <c r="E9" s="75">
        <v>1</v>
      </c>
      <c r="F9" s="7"/>
      <c r="G9" s="7">
        <v>300000</v>
      </c>
      <c r="H9" s="7"/>
      <c r="I9" s="7"/>
      <c r="J9" s="9">
        <v>3</v>
      </c>
      <c r="K9" s="9">
        <v>9</v>
      </c>
      <c r="O9" s="189" t="s">
        <v>32</v>
      </c>
      <c r="P9" s="49" t="s">
        <v>684</v>
      </c>
      <c r="Q9" s="190" t="s">
        <v>33</v>
      </c>
      <c r="R9" s="189">
        <v>1</v>
      </c>
      <c r="S9" s="75">
        <v>1</v>
      </c>
      <c r="T9" s="49" t="s">
        <v>685</v>
      </c>
      <c r="U9" s="77" t="s">
        <v>683</v>
      </c>
      <c r="V9">
        <v>1</v>
      </c>
      <c r="AB9" s="18" t="s">
        <v>546</v>
      </c>
      <c r="AC9" s="189" t="s">
        <v>32</v>
      </c>
      <c r="AD9" s="190" t="s">
        <v>33</v>
      </c>
      <c r="AE9" s="189">
        <v>1</v>
      </c>
      <c r="AF9" s="75">
        <v>1</v>
      </c>
    </row>
    <row r="10" spans="1:33" x14ac:dyDescent="0.25">
      <c r="A10">
        <v>0</v>
      </c>
      <c r="B10" s="61" t="s">
        <v>34</v>
      </c>
      <c r="C10" s="62" t="s">
        <v>35</v>
      </c>
      <c r="D10" s="61">
        <v>0</v>
      </c>
      <c r="E10" s="75">
        <v>0</v>
      </c>
      <c r="F10" s="7"/>
      <c r="G10" s="7">
        <v>800000</v>
      </c>
      <c r="H10" s="7"/>
      <c r="I10" s="7"/>
      <c r="J10" s="9" t="s">
        <v>36</v>
      </c>
      <c r="K10" s="9">
        <v>12</v>
      </c>
      <c r="O10" s="189" t="s">
        <v>34</v>
      </c>
      <c r="P10" s="49" t="s">
        <v>686</v>
      </c>
      <c r="Q10" s="190" t="s">
        <v>35</v>
      </c>
      <c r="R10" s="189">
        <v>0</v>
      </c>
      <c r="S10" s="75">
        <v>0</v>
      </c>
      <c r="T10" s="49">
        <v>0</v>
      </c>
      <c r="U10" s="77" t="s">
        <v>683</v>
      </c>
      <c r="V10">
        <v>0</v>
      </c>
      <c r="AB10" s="18" t="s">
        <v>722</v>
      </c>
      <c r="AC10" s="189" t="s">
        <v>34</v>
      </c>
      <c r="AD10" s="190" t="s">
        <v>35</v>
      </c>
      <c r="AE10" s="189">
        <v>0</v>
      </c>
      <c r="AF10" s="75">
        <v>0</v>
      </c>
    </row>
    <row r="11" spans="1:33" x14ac:dyDescent="0.25">
      <c r="B11" s="12"/>
      <c r="C11" s="12"/>
      <c r="D11" s="12"/>
      <c r="E11" s="13"/>
      <c r="F11" s="7"/>
      <c r="G11" s="7">
        <f>+G9/G10</f>
        <v>0.375</v>
      </c>
      <c r="H11" s="7"/>
      <c r="I11" s="7"/>
      <c r="J11" s="9">
        <v>4</v>
      </c>
      <c r="K11" s="9">
        <v>15</v>
      </c>
      <c r="AB11" s="18" t="s">
        <v>239</v>
      </c>
      <c r="AC11" s="18" t="s">
        <v>726</v>
      </c>
      <c r="AD11" s="190" t="s">
        <v>723</v>
      </c>
      <c r="AE11" s="18">
        <v>-0.5</v>
      </c>
      <c r="AF11" s="18">
        <v>-0.5</v>
      </c>
      <c r="AG11" s="249" t="s">
        <v>728</v>
      </c>
    </row>
    <row r="12" spans="1:33" x14ac:dyDescent="0.25">
      <c r="D12" s="80" t="s">
        <v>11</v>
      </c>
      <c r="E12" s="80" t="s">
        <v>16</v>
      </c>
      <c r="F12" s="81" t="s">
        <v>17</v>
      </c>
      <c r="G12" s="7"/>
      <c r="H12" s="7"/>
      <c r="I12" s="7"/>
      <c r="J12" s="9" t="s">
        <v>37</v>
      </c>
      <c r="K12" s="9">
        <v>20</v>
      </c>
      <c r="AB12" s="18" t="s">
        <v>200</v>
      </c>
      <c r="AC12" s="18" t="s">
        <v>726</v>
      </c>
      <c r="AD12" s="190" t="s">
        <v>725</v>
      </c>
      <c r="AE12" s="18">
        <v>-1</v>
      </c>
      <c r="AF12" s="18">
        <v>-1</v>
      </c>
      <c r="AG12" s="249"/>
    </row>
    <row r="13" spans="1:33" x14ac:dyDescent="0.25">
      <c r="B13" s="14">
        <v>0</v>
      </c>
      <c r="C13" s="14"/>
      <c r="D13" s="15" t="s">
        <v>38</v>
      </c>
      <c r="E13" s="9">
        <v>3</v>
      </c>
      <c r="F13" s="16">
        <v>3</v>
      </c>
      <c r="G13" s="7"/>
      <c r="H13" s="7"/>
      <c r="I13" s="7"/>
      <c r="J13" s="255" t="s">
        <v>39</v>
      </c>
      <c r="K13" s="256"/>
      <c r="AB13" s="18" t="s">
        <v>228</v>
      </c>
      <c r="AC13" s="18" t="s">
        <v>726</v>
      </c>
      <c r="AD13" s="18"/>
      <c r="AE13" s="18">
        <v>-1</v>
      </c>
      <c r="AF13" s="18">
        <v>-1</v>
      </c>
      <c r="AG13" s="249"/>
    </row>
    <row r="14" spans="1:33" x14ac:dyDescent="0.25">
      <c r="B14" s="14">
        <v>25</v>
      </c>
      <c r="C14" s="14"/>
      <c r="D14" s="14" t="s">
        <v>40</v>
      </c>
      <c r="E14" s="14">
        <v>8</v>
      </c>
      <c r="F14" s="3">
        <v>8</v>
      </c>
      <c r="H14" s="7"/>
      <c r="I14" s="7"/>
      <c r="J14" s="9" t="s">
        <v>41</v>
      </c>
      <c r="K14" s="9">
        <v>4</v>
      </c>
      <c r="AB14" s="18" t="s">
        <v>242</v>
      </c>
      <c r="AC14" s="18" t="s">
        <v>726</v>
      </c>
      <c r="AD14" s="190" t="s">
        <v>724</v>
      </c>
      <c r="AE14" s="18">
        <v>-1</v>
      </c>
      <c r="AF14" s="18">
        <v>-1</v>
      </c>
      <c r="AG14" s="249"/>
    </row>
    <row r="15" spans="1:33" x14ac:dyDescent="0.25">
      <c r="B15" s="14">
        <v>50</v>
      </c>
      <c r="C15" s="14"/>
      <c r="D15" s="14" t="s">
        <v>42</v>
      </c>
      <c r="E15" s="14">
        <v>13</v>
      </c>
      <c r="F15" s="3">
        <v>13</v>
      </c>
      <c r="H15" s="7"/>
      <c r="I15" s="7"/>
      <c r="J15" s="9" t="s">
        <v>43</v>
      </c>
      <c r="K15" s="9">
        <v>3</v>
      </c>
    </row>
    <row r="16" spans="1:33" x14ac:dyDescent="0.25">
      <c r="B16" s="14">
        <v>75</v>
      </c>
      <c r="C16" s="14"/>
      <c r="D16" s="14" t="s">
        <v>44</v>
      </c>
      <c r="E16" s="14">
        <v>17</v>
      </c>
      <c r="F16" s="3">
        <v>17</v>
      </c>
      <c r="H16" s="7"/>
      <c r="I16" s="7"/>
      <c r="J16" s="9" t="s">
        <v>45</v>
      </c>
      <c r="K16" s="9">
        <v>2</v>
      </c>
      <c r="O16" s="81" t="s">
        <v>14</v>
      </c>
      <c r="P16" s="81" t="s">
        <v>666</v>
      </c>
      <c r="Q16" s="81" t="s">
        <v>15</v>
      </c>
      <c r="R16" s="81" t="s">
        <v>17</v>
      </c>
    </row>
    <row r="17" spans="1:23" x14ac:dyDescent="0.25">
      <c r="B17" s="14">
        <v>90</v>
      </c>
      <c r="C17" s="14"/>
      <c r="D17" s="14" t="s">
        <v>46</v>
      </c>
      <c r="E17" s="14">
        <v>20</v>
      </c>
      <c r="F17" s="3">
        <v>20</v>
      </c>
      <c r="H17" s="7">
        <f>60/1000</f>
        <v>0.06</v>
      </c>
      <c r="I17" s="7"/>
      <c r="J17" s="9" t="s">
        <v>47</v>
      </c>
      <c r="K17" s="9">
        <v>1.5</v>
      </c>
      <c r="O17" s="189" t="s">
        <v>19</v>
      </c>
      <c r="P17" s="49" t="s">
        <v>669</v>
      </c>
      <c r="Q17" s="190" t="s">
        <v>20</v>
      </c>
      <c r="R17" s="75">
        <v>15</v>
      </c>
    </row>
    <row r="18" spans="1:23" x14ac:dyDescent="0.25">
      <c r="B18" s="17"/>
      <c r="C18" s="17"/>
      <c r="H18" s="7">
        <f>200/1000</f>
        <v>0.2</v>
      </c>
      <c r="I18" s="7"/>
      <c r="J18" s="9" t="s">
        <v>48</v>
      </c>
      <c r="K18" s="9">
        <v>1.5</v>
      </c>
      <c r="O18" s="189" t="s">
        <v>22</v>
      </c>
      <c r="P18" s="49" t="s">
        <v>672</v>
      </c>
      <c r="Q18" s="190" t="s">
        <v>23</v>
      </c>
      <c r="R18" s="75">
        <v>14</v>
      </c>
    </row>
    <row r="19" spans="1:23" x14ac:dyDescent="0.25">
      <c r="B19" s="17"/>
      <c r="C19" s="17"/>
      <c r="D19">
        <f>200/1000</f>
        <v>0.2</v>
      </c>
      <c r="H19" s="7">
        <f>1000/1000</f>
        <v>1</v>
      </c>
      <c r="I19" s="7"/>
      <c r="J19" s="9" t="s">
        <v>49</v>
      </c>
      <c r="K19" s="9">
        <v>1</v>
      </c>
      <c r="O19" s="189" t="s">
        <v>24</v>
      </c>
      <c r="P19" s="49" t="s">
        <v>675</v>
      </c>
      <c r="Q19" s="190" t="s">
        <v>25</v>
      </c>
      <c r="R19" s="75">
        <v>7</v>
      </c>
      <c r="U19" s="127" t="s">
        <v>711</v>
      </c>
      <c r="V19" s="232" t="s">
        <v>17</v>
      </c>
      <c r="W19" s="233"/>
    </row>
    <row r="20" spans="1:23" x14ac:dyDescent="0.25">
      <c r="B20" s="17"/>
      <c r="C20" s="17"/>
      <c r="D20">
        <f>+D19*100</f>
        <v>20</v>
      </c>
      <c r="H20">
        <f>2000/1000</f>
        <v>2</v>
      </c>
      <c r="I20" s="7"/>
      <c r="J20" s="9" t="s">
        <v>50</v>
      </c>
      <c r="K20" s="9">
        <v>0.5</v>
      </c>
      <c r="O20" s="189" t="s">
        <v>27</v>
      </c>
      <c r="P20" s="49" t="s">
        <v>678</v>
      </c>
      <c r="Q20" s="190" t="s">
        <v>28</v>
      </c>
      <c r="R20" s="75">
        <v>4</v>
      </c>
      <c r="U20" s="18" t="s">
        <v>52</v>
      </c>
      <c r="V20" s="234">
        <v>5</v>
      </c>
      <c r="W20" s="233"/>
    </row>
    <row r="21" spans="1:23" x14ac:dyDescent="0.25">
      <c r="B21" s="17"/>
      <c r="C21" s="17"/>
      <c r="D21" s="80" t="s">
        <v>711</v>
      </c>
      <c r="E21" s="80" t="s">
        <v>16</v>
      </c>
      <c r="F21" s="81" t="s">
        <v>17</v>
      </c>
      <c r="I21" s="7"/>
      <c r="J21" s="9" t="s">
        <v>51</v>
      </c>
      <c r="K21" s="9">
        <v>1</v>
      </c>
      <c r="O21" s="189" t="s">
        <v>29</v>
      </c>
      <c r="P21" s="49" t="s">
        <v>681</v>
      </c>
      <c r="Q21" s="190" t="s">
        <v>30</v>
      </c>
      <c r="R21" s="75">
        <v>2</v>
      </c>
      <c r="U21" s="18" t="s">
        <v>54</v>
      </c>
      <c r="V21" s="183">
        <v>8</v>
      </c>
      <c r="W21" s="233"/>
    </row>
    <row r="22" spans="1:23" x14ac:dyDescent="0.25">
      <c r="B22" s="3">
        <v>0</v>
      </c>
      <c r="C22" s="3"/>
      <c r="D22" s="18" t="s">
        <v>52</v>
      </c>
      <c r="E22" s="18">
        <v>5</v>
      </c>
      <c r="F22" s="16">
        <v>5</v>
      </c>
      <c r="I22" s="7"/>
      <c r="J22" s="9" t="s">
        <v>53</v>
      </c>
      <c r="K22" s="9">
        <v>1</v>
      </c>
      <c r="O22" s="189" t="s">
        <v>32</v>
      </c>
      <c r="P22" s="49" t="s">
        <v>684</v>
      </c>
      <c r="Q22" s="190" t="s">
        <v>33</v>
      </c>
      <c r="R22" s="75">
        <v>1</v>
      </c>
      <c r="U22" s="18" t="s">
        <v>56</v>
      </c>
      <c r="V22" s="183">
        <v>20</v>
      </c>
      <c r="W22" s="233"/>
    </row>
    <row r="23" spans="1:23" x14ac:dyDescent="0.25">
      <c r="B23" s="3">
        <v>50</v>
      </c>
      <c r="C23" s="3"/>
      <c r="D23" s="18" t="s">
        <v>54</v>
      </c>
      <c r="E23" s="18">
        <v>8</v>
      </c>
      <c r="F23" s="3">
        <v>8</v>
      </c>
      <c r="I23" s="7"/>
      <c r="J23" s="254" t="s">
        <v>55</v>
      </c>
      <c r="K23" s="254"/>
      <c r="O23" s="189" t="s">
        <v>34</v>
      </c>
      <c r="P23" s="49" t="s">
        <v>686</v>
      </c>
      <c r="Q23" s="190" t="s">
        <v>35</v>
      </c>
      <c r="R23" s="75">
        <v>0</v>
      </c>
      <c r="U23" s="18" t="s">
        <v>574</v>
      </c>
      <c r="V23" s="183">
        <v>22</v>
      </c>
      <c r="W23" s="233"/>
    </row>
    <row r="24" spans="1:23" x14ac:dyDescent="0.25">
      <c r="B24" s="3">
        <v>300</v>
      </c>
      <c r="C24" s="3"/>
      <c r="D24" s="18" t="s">
        <v>56</v>
      </c>
      <c r="E24" s="18">
        <v>10</v>
      </c>
      <c r="F24" s="3">
        <v>20</v>
      </c>
      <c r="I24" s="7"/>
      <c r="J24" s="9" t="s">
        <v>41</v>
      </c>
      <c r="K24" s="9">
        <v>0.75</v>
      </c>
      <c r="U24" s="18" t="s">
        <v>57</v>
      </c>
      <c r="V24" s="183">
        <v>30</v>
      </c>
      <c r="W24" s="233"/>
    </row>
    <row r="25" spans="1:23" x14ac:dyDescent="0.25">
      <c r="B25" s="3">
        <v>1000</v>
      </c>
      <c r="C25" s="3"/>
      <c r="D25" s="18" t="s">
        <v>574</v>
      </c>
      <c r="E25" s="18">
        <v>15</v>
      </c>
      <c r="F25" s="3">
        <v>22</v>
      </c>
      <c r="I25" s="7"/>
      <c r="J25" s="9" t="s">
        <v>43</v>
      </c>
      <c r="K25" s="9">
        <v>1</v>
      </c>
      <c r="U25" s="233"/>
      <c r="V25" s="235"/>
      <c r="W25" s="233"/>
    </row>
    <row r="26" spans="1:23" x14ac:dyDescent="0.25">
      <c r="B26" s="3">
        <v>2000</v>
      </c>
      <c r="C26" s="3"/>
      <c r="D26" s="18" t="s">
        <v>57</v>
      </c>
      <c r="E26" s="18">
        <v>20</v>
      </c>
      <c r="F26" s="3">
        <v>30</v>
      </c>
      <c r="I26" s="7"/>
      <c r="J26" s="9" t="s">
        <v>45</v>
      </c>
      <c r="K26" s="9">
        <v>2</v>
      </c>
      <c r="O26" s="77" t="s">
        <v>671</v>
      </c>
      <c r="P26" s="49" t="s">
        <v>670</v>
      </c>
      <c r="U26" s="233"/>
      <c r="V26" s="235"/>
      <c r="W26" s="233"/>
    </row>
    <row r="27" spans="1:23" x14ac:dyDescent="0.25">
      <c r="B27" s="20"/>
      <c r="C27" s="20"/>
      <c r="D27" s="7"/>
      <c r="E27" s="7"/>
      <c r="F27" s="7"/>
      <c r="G27" s="7"/>
      <c r="H27" s="7"/>
      <c r="I27" s="7"/>
      <c r="J27" s="9" t="s">
        <v>47</v>
      </c>
      <c r="K27" s="9">
        <v>3</v>
      </c>
      <c r="N27" s="81" t="s">
        <v>710</v>
      </c>
      <c r="O27" s="81" t="s">
        <v>668</v>
      </c>
      <c r="P27" s="81" t="s">
        <v>667</v>
      </c>
      <c r="U27" s="127" t="s">
        <v>11</v>
      </c>
      <c r="V27" s="232" t="s">
        <v>17</v>
      </c>
      <c r="W27" s="233"/>
    </row>
    <row r="28" spans="1:23" x14ac:dyDescent="0.25">
      <c r="B28" s="7"/>
      <c r="C28" s="7"/>
      <c r="D28" s="7"/>
      <c r="E28" s="7"/>
      <c r="F28" s="7"/>
      <c r="G28" s="7"/>
      <c r="H28" s="7"/>
      <c r="I28" s="7"/>
      <c r="J28" s="9" t="s">
        <v>48</v>
      </c>
      <c r="K28" s="9">
        <v>4</v>
      </c>
      <c r="N28" s="206">
        <v>4</v>
      </c>
      <c r="O28" s="77" t="s">
        <v>677</v>
      </c>
      <c r="P28" s="49" t="s">
        <v>676</v>
      </c>
      <c r="U28" s="236" t="s">
        <v>38</v>
      </c>
      <c r="V28" s="234">
        <v>3</v>
      </c>
      <c r="W28" s="233"/>
    </row>
    <row r="29" spans="1:23" x14ac:dyDescent="0.25">
      <c r="B29" s="80" t="s">
        <v>58</v>
      </c>
      <c r="C29" s="80"/>
      <c r="D29" s="81" t="s">
        <v>16</v>
      </c>
      <c r="E29" s="80" t="s">
        <v>17</v>
      </c>
      <c r="F29" s="21"/>
      <c r="G29" s="21"/>
      <c r="H29" s="7"/>
      <c r="I29" s="7"/>
      <c r="J29" s="9" t="s">
        <v>49</v>
      </c>
      <c r="K29" s="9">
        <v>4</v>
      </c>
      <c r="N29" s="207">
        <v>3</v>
      </c>
      <c r="O29" s="77" t="s">
        <v>680</v>
      </c>
      <c r="P29" s="49" t="s">
        <v>679</v>
      </c>
      <c r="U29" s="237" t="s">
        <v>40</v>
      </c>
      <c r="V29" s="183">
        <v>8</v>
      </c>
      <c r="W29" s="233"/>
    </row>
    <row r="30" spans="1:23" x14ac:dyDescent="0.25">
      <c r="A30" s="22" t="s">
        <v>59</v>
      </c>
      <c r="B30" s="61" t="s">
        <v>60</v>
      </c>
      <c r="C30" s="76" t="s">
        <v>59</v>
      </c>
      <c r="D30" s="61">
        <v>6</v>
      </c>
      <c r="E30" s="77">
        <v>5</v>
      </c>
      <c r="F30" s="22" t="s">
        <v>59</v>
      </c>
      <c r="G30" s="9" t="s">
        <v>60</v>
      </c>
      <c r="H30" s="7"/>
      <c r="I30" s="7"/>
      <c r="J30" s="9" t="s">
        <v>50</v>
      </c>
      <c r="K30" s="9">
        <v>6</v>
      </c>
      <c r="N30" s="250">
        <v>2</v>
      </c>
      <c r="O30" s="77" t="s">
        <v>683</v>
      </c>
      <c r="P30" s="49" t="s">
        <v>682</v>
      </c>
      <c r="U30" s="237" t="s">
        <v>42</v>
      </c>
      <c r="V30" s="183">
        <v>13</v>
      </c>
      <c r="W30" s="233"/>
    </row>
    <row r="31" spans="1:23" x14ac:dyDescent="0.25">
      <c r="A31" s="10" t="s">
        <v>61</v>
      </c>
      <c r="B31" s="61" t="s">
        <v>62</v>
      </c>
      <c r="C31" s="62" t="s">
        <v>61</v>
      </c>
      <c r="D31" s="61">
        <v>4</v>
      </c>
      <c r="E31" s="77">
        <v>4</v>
      </c>
      <c r="F31" s="10" t="s">
        <v>61</v>
      </c>
      <c r="G31" s="9" t="s">
        <v>62</v>
      </c>
      <c r="H31" s="7"/>
      <c r="I31" s="7"/>
      <c r="J31" s="9" t="s">
        <v>51</v>
      </c>
      <c r="K31" s="9">
        <v>8</v>
      </c>
      <c r="N31" s="250"/>
      <c r="O31" s="77" t="s">
        <v>683</v>
      </c>
      <c r="P31" s="49" t="s">
        <v>685</v>
      </c>
      <c r="U31" s="237" t="s">
        <v>44</v>
      </c>
      <c r="V31" s="183">
        <v>17</v>
      </c>
      <c r="W31" s="233"/>
    </row>
    <row r="32" spans="1:23" x14ac:dyDescent="0.25">
      <c r="A32" s="10" t="s">
        <v>63</v>
      </c>
      <c r="B32" s="61" t="s">
        <v>64</v>
      </c>
      <c r="C32" s="62" t="s">
        <v>63</v>
      </c>
      <c r="D32" s="61">
        <v>2</v>
      </c>
      <c r="E32" s="77">
        <v>3</v>
      </c>
      <c r="F32" s="10" t="s">
        <v>63</v>
      </c>
      <c r="G32" s="9" t="s">
        <v>64</v>
      </c>
      <c r="H32" s="7"/>
      <c r="I32" s="7"/>
      <c r="J32" s="9" t="s">
        <v>53</v>
      </c>
      <c r="K32" s="9">
        <v>10</v>
      </c>
      <c r="N32" s="250"/>
      <c r="O32" s="77" t="s">
        <v>683</v>
      </c>
      <c r="P32" s="49">
        <v>0</v>
      </c>
      <c r="U32" s="237" t="s">
        <v>46</v>
      </c>
      <c r="V32" s="183">
        <v>20</v>
      </c>
      <c r="W32" s="233"/>
    </row>
    <row r="33" spans="1:23" x14ac:dyDescent="0.25">
      <c r="A33" s="10" t="s">
        <v>65</v>
      </c>
      <c r="B33" s="61" t="s">
        <v>66</v>
      </c>
      <c r="C33" s="62" t="s">
        <v>65</v>
      </c>
      <c r="D33" s="61">
        <v>1</v>
      </c>
      <c r="E33" s="77">
        <v>1</v>
      </c>
      <c r="F33" s="10" t="s">
        <v>65</v>
      </c>
      <c r="G33" s="9" t="s">
        <v>66</v>
      </c>
      <c r="H33" s="7"/>
      <c r="I33" s="7"/>
      <c r="J33" s="9" t="s">
        <v>67</v>
      </c>
      <c r="K33" s="9">
        <v>6</v>
      </c>
      <c r="U33" s="233"/>
      <c r="V33" s="235"/>
      <c r="W33" s="233"/>
    </row>
    <row r="34" spans="1:23" x14ac:dyDescent="0.25">
      <c r="A34" s="10" t="s">
        <v>68</v>
      </c>
      <c r="B34" s="61" t="s">
        <v>69</v>
      </c>
      <c r="C34" s="62" t="s">
        <v>68</v>
      </c>
      <c r="D34" s="61">
        <v>0</v>
      </c>
      <c r="E34" s="77">
        <v>0</v>
      </c>
      <c r="F34" s="10" t="s">
        <v>68</v>
      </c>
      <c r="G34" s="9" t="s">
        <v>69</v>
      </c>
      <c r="H34" s="7"/>
      <c r="I34" s="7"/>
      <c r="J34" s="9" t="s">
        <v>70</v>
      </c>
      <c r="K34" s="9">
        <v>8</v>
      </c>
      <c r="U34" s="233"/>
      <c r="V34" s="235"/>
      <c r="W34" s="233"/>
    </row>
    <row r="35" spans="1:23" x14ac:dyDescent="0.25">
      <c r="B35" s="7"/>
      <c r="C35" s="7"/>
      <c r="D35" s="7"/>
      <c r="F35" s="7"/>
      <c r="G35" s="7"/>
      <c r="H35" s="7"/>
      <c r="I35" s="7"/>
      <c r="J35" s="9" t="s">
        <v>21</v>
      </c>
      <c r="K35" s="9">
        <v>10</v>
      </c>
      <c r="U35" s="127" t="s">
        <v>713</v>
      </c>
      <c r="V35" s="238" t="s">
        <v>15</v>
      </c>
      <c r="W35" s="127" t="s">
        <v>17</v>
      </c>
    </row>
    <row r="36" spans="1:23" x14ac:dyDescent="0.25">
      <c r="B36" s="7"/>
      <c r="C36" s="7"/>
      <c r="D36" s="7">
        <f>+D30+D39+D47+D55+D63</f>
        <v>30</v>
      </c>
      <c r="F36" s="7"/>
      <c r="G36" s="7"/>
      <c r="H36" s="7"/>
      <c r="I36" s="7"/>
      <c r="J36" s="9" t="s">
        <v>71</v>
      </c>
      <c r="K36" s="9">
        <v>13</v>
      </c>
      <c r="U36" s="189" t="s">
        <v>19</v>
      </c>
      <c r="V36" s="239" t="s">
        <v>20</v>
      </c>
      <c r="W36" s="75">
        <v>15</v>
      </c>
    </row>
    <row r="37" spans="1:23" x14ac:dyDescent="0.25">
      <c r="B37" s="7"/>
      <c r="C37" s="7"/>
      <c r="D37" s="7"/>
      <c r="F37" s="7"/>
      <c r="G37" s="7"/>
      <c r="H37" s="7"/>
      <c r="I37" s="7"/>
      <c r="J37" s="9" t="s">
        <v>72</v>
      </c>
      <c r="K37" s="9">
        <v>15</v>
      </c>
      <c r="U37" s="189" t="s">
        <v>22</v>
      </c>
      <c r="V37" s="239" t="s">
        <v>23</v>
      </c>
      <c r="W37" s="75">
        <v>14</v>
      </c>
    </row>
    <row r="38" spans="1:23" x14ac:dyDescent="0.25">
      <c r="B38" s="80" t="s">
        <v>714</v>
      </c>
      <c r="C38" s="80" t="s">
        <v>261</v>
      </c>
      <c r="D38" s="81" t="s">
        <v>16</v>
      </c>
      <c r="E38" s="80" t="s">
        <v>17</v>
      </c>
      <c r="F38" s="25"/>
      <c r="G38" s="25"/>
      <c r="U38" s="189" t="s">
        <v>24</v>
      </c>
      <c r="V38" s="239" t="s">
        <v>25</v>
      </c>
      <c r="W38" s="75">
        <v>7</v>
      </c>
    </row>
    <row r="39" spans="1:23" x14ac:dyDescent="0.25">
      <c r="B39" s="75" t="s">
        <v>73</v>
      </c>
      <c r="C39" s="75" t="s">
        <v>74</v>
      </c>
      <c r="D39" s="75">
        <v>6</v>
      </c>
      <c r="E39" s="77">
        <v>5</v>
      </c>
      <c r="F39" s="26" t="s">
        <v>74</v>
      </c>
      <c r="G39" s="11" t="s">
        <v>73</v>
      </c>
      <c r="U39" s="189" t="s">
        <v>27</v>
      </c>
      <c r="V39" s="239" t="s">
        <v>28</v>
      </c>
      <c r="W39" s="75">
        <v>4</v>
      </c>
    </row>
    <row r="40" spans="1:23" x14ac:dyDescent="0.25">
      <c r="B40" s="75" t="s">
        <v>75</v>
      </c>
      <c r="C40" s="75" t="s">
        <v>76</v>
      </c>
      <c r="D40" s="75">
        <v>5</v>
      </c>
      <c r="E40" s="77">
        <v>4</v>
      </c>
      <c r="F40" s="26" t="s">
        <v>76</v>
      </c>
      <c r="G40" s="11" t="s">
        <v>75</v>
      </c>
      <c r="U40" s="189" t="s">
        <v>29</v>
      </c>
      <c r="V40" s="239" t="s">
        <v>30</v>
      </c>
      <c r="W40" s="75">
        <v>2</v>
      </c>
    </row>
    <row r="41" spans="1:23" x14ac:dyDescent="0.25">
      <c r="B41" s="75" t="s">
        <v>77</v>
      </c>
      <c r="C41" s="75" t="s">
        <v>78</v>
      </c>
      <c r="D41" s="75">
        <v>3</v>
      </c>
      <c r="E41" s="77">
        <v>3</v>
      </c>
      <c r="F41" s="26" t="s">
        <v>78</v>
      </c>
      <c r="G41" s="11" t="s">
        <v>77</v>
      </c>
      <c r="U41" s="189" t="s">
        <v>32</v>
      </c>
      <c r="V41" s="239" t="s">
        <v>33</v>
      </c>
      <c r="W41" s="75">
        <v>1</v>
      </c>
    </row>
    <row r="42" spans="1:23" x14ac:dyDescent="0.25">
      <c r="B42" s="75" t="s">
        <v>79</v>
      </c>
      <c r="C42" s="75" t="s">
        <v>80</v>
      </c>
      <c r="D42" s="75">
        <v>1</v>
      </c>
      <c r="E42" s="77">
        <v>1</v>
      </c>
      <c r="F42" s="26" t="s">
        <v>80</v>
      </c>
      <c r="G42" s="11" t="s">
        <v>79</v>
      </c>
      <c r="U42" s="189" t="s">
        <v>34</v>
      </c>
      <c r="V42" s="239" t="s">
        <v>35</v>
      </c>
      <c r="W42" s="75">
        <v>0</v>
      </c>
    </row>
    <row r="43" spans="1:23" ht="25.5" x14ac:dyDescent="0.25">
      <c r="B43" s="75" t="s">
        <v>81</v>
      </c>
      <c r="C43" s="75" t="s">
        <v>82</v>
      </c>
      <c r="D43" s="75">
        <v>0</v>
      </c>
      <c r="E43" s="77">
        <v>0</v>
      </c>
      <c r="F43" s="26" t="s">
        <v>82</v>
      </c>
      <c r="G43" s="11" t="s">
        <v>81</v>
      </c>
      <c r="U43" s="233"/>
      <c r="V43" s="235"/>
      <c r="W43" s="233"/>
    </row>
    <row r="44" spans="1:23" ht="30" customHeight="1" x14ac:dyDescent="0.25">
      <c r="B44" s="7"/>
      <c r="C44" s="7"/>
      <c r="D44" s="7"/>
      <c r="F44" s="7"/>
      <c r="G44" s="7"/>
      <c r="H44" s="7"/>
      <c r="U44" s="81" t="s">
        <v>714</v>
      </c>
      <c r="V44" s="232" t="s">
        <v>720</v>
      </c>
      <c r="W44" s="81" t="s">
        <v>17</v>
      </c>
    </row>
    <row r="45" spans="1:23" x14ac:dyDescent="0.25">
      <c r="B45" s="7"/>
      <c r="C45" s="7"/>
      <c r="D45" s="7"/>
      <c r="F45" s="7"/>
      <c r="G45" s="7"/>
      <c r="H45" s="7"/>
      <c r="U45" s="75" t="s">
        <v>73</v>
      </c>
      <c r="V45" s="239" t="s">
        <v>715</v>
      </c>
      <c r="W45" s="49">
        <v>5</v>
      </c>
    </row>
    <row r="46" spans="1:23" x14ac:dyDescent="0.25">
      <c r="B46" s="80" t="s">
        <v>83</v>
      </c>
      <c r="C46" s="80" t="s">
        <v>261</v>
      </c>
      <c r="D46" s="81" t="s">
        <v>16</v>
      </c>
      <c r="E46" s="80" t="s">
        <v>17</v>
      </c>
      <c r="F46" s="25"/>
      <c r="G46" s="25" t="s">
        <v>84</v>
      </c>
      <c r="H46" s="25"/>
      <c r="U46" s="75" t="s">
        <v>75</v>
      </c>
      <c r="V46" s="239" t="s">
        <v>716</v>
      </c>
      <c r="W46" s="49">
        <v>4</v>
      </c>
    </row>
    <row r="47" spans="1:23" x14ac:dyDescent="0.25">
      <c r="A47" s="1">
        <v>0</v>
      </c>
      <c r="B47" s="75" t="s">
        <v>85</v>
      </c>
      <c r="C47" s="75">
        <v>0</v>
      </c>
      <c r="D47" s="75">
        <v>6</v>
      </c>
      <c r="E47" s="77">
        <v>5</v>
      </c>
      <c r="F47" s="26" t="s">
        <v>86</v>
      </c>
      <c r="G47" s="28" t="s">
        <v>45</v>
      </c>
      <c r="H47" s="11" t="s">
        <v>85</v>
      </c>
      <c r="U47" s="75" t="s">
        <v>77</v>
      </c>
      <c r="V47" s="239" t="s">
        <v>717</v>
      </c>
      <c r="W47" s="49">
        <v>3</v>
      </c>
    </row>
    <row r="48" spans="1:23" x14ac:dyDescent="0.25">
      <c r="A48" s="1" t="s">
        <v>87</v>
      </c>
      <c r="B48" s="75" t="s">
        <v>88</v>
      </c>
      <c r="C48" s="75" t="s">
        <v>87</v>
      </c>
      <c r="D48" s="75">
        <v>5</v>
      </c>
      <c r="E48" s="77">
        <v>4</v>
      </c>
      <c r="F48" s="26" t="s">
        <v>89</v>
      </c>
      <c r="G48" s="28" t="s">
        <v>90</v>
      </c>
      <c r="H48" s="11" t="s">
        <v>88</v>
      </c>
      <c r="U48" s="75" t="s">
        <v>79</v>
      </c>
      <c r="V48" s="239" t="s">
        <v>718</v>
      </c>
      <c r="W48" s="49">
        <v>1</v>
      </c>
    </row>
    <row r="49" spans="1:23" x14ac:dyDescent="0.25">
      <c r="A49" t="s">
        <v>91</v>
      </c>
      <c r="B49" s="75" t="s">
        <v>92</v>
      </c>
      <c r="C49" s="79" t="s">
        <v>91</v>
      </c>
      <c r="D49" s="75">
        <v>3</v>
      </c>
      <c r="E49" s="77">
        <v>3</v>
      </c>
      <c r="F49" s="26" t="s">
        <v>93</v>
      </c>
      <c r="G49" s="28" t="s">
        <v>94</v>
      </c>
      <c r="H49" s="11" t="s">
        <v>92</v>
      </c>
      <c r="U49" s="75" t="s">
        <v>81</v>
      </c>
      <c r="V49" s="239" t="s">
        <v>719</v>
      </c>
      <c r="W49" s="49">
        <v>0</v>
      </c>
    </row>
    <row r="50" spans="1:23" x14ac:dyDescent="0.25">
      <c r="A50" s="1" t="s">
        <v>95</v>
      </c>
      <c r="B50" s="75" t="s">
        <v>96</v>
      </c>
      <c r="C50" s="75" t="s">
        <v>95</v>
      </c>
      <c r="D50" s="75">
        <v>1</v>
      </c>
      <c r="E50" s="77">
        <v>1</v>
      </c>
      <c r="F50" s="26" t="s">
        <v>97</v>
      </c>
      <c r="G50" s="28" t="s">
        <v>98</v>
      </c>
      <c r="H50" s="11" t="s">
        <v>96</v>
      </c>
    </row>
    <row r="51" spans="1:23" ht="25.5" x14ac:dyDescent="0.25">
      <c r="A51" s="1" t="s">
        <v>99</v>
      </c>
      <c r="B51" s="75" t="s">
        <v>100</v>
      </c>
      <c r="C51" s="75" t="s">
        <v>99</v>
      </c>
      <c r="D51" s="75">
        <v>0</v>
      </c>
      <c r="E51" s="77">
        <v>0</v>
      </c>
      <c r="F51" s="26" t="s">
        <v>101</v>
      </c>
      <c r="G51" s="28" t="s">
        <v>102</v>
      </c>
      <c r="H51" s="11" t="s">
        <v>100</v>
      </c>
    </row>
    <row r="52" spans="1:23" x14ac:dyDescent="0.25">
      <c r="B52" s="7"/>
      <c r="C52" s="7"/>
      <c r="D52" s="7"/>
      <c r="F52" s="7"/>
      <c r="G52" s="7"/>
      <c r="H52" s="7"/>
      <c r="I52" s="7"/>
    </row>
    <row r="53" spans="1:23" x14ac:dyDescent="0.25">
      <c r="B53" s="7"/>
      <c r="C53" s="7"/>
      <c r="D53" s="7"/>
      <c r="F53" s="7"/>
      <c r="G53" s="7"/>
      <c r="H53" s="7"/>
      <c r="I53" s="7"/>
    </row>
    <row r="54" spans="1:23" x14ac:dyDescent="0.25">
      <c r="B54" s="80" t="s">
        <v>290</v>
      </c>
      <c r="C54" s="80" t="s">
        <v>261</v>
      </c>
      <c r="D54" s="81" t="s">
        <v>16</v>
      </c>
      <c r="E54" s="80" t="s">
        <v>17</v>
      </c>
      <c r="F54" s="25"/>
      <c r="G54" s="25"/>
    </row>
    <row r="55" spans="1:23" x14ac:dyDescent="0.25">
      <c r="B55" s="75" t="s">
        <v>103</v>
      </c>
      <c r="C55" s="75" t="s">
        <v>104</v>
      </c>
      <c r="D55" s="75">
        <v>6</v>
      </c>
      <c r="E55" s="77">
        <v>5</v>
      </c>
      <c r="F55" s="26" t="s">
        <v>104</v>
      </c>
      <c r="G55" s="11" t="s">
        <v>103</v>
      </c>
    </row>
    <row r="56" spans="1:23" x14ac:dyDescent="0.25">
      <c r="B56" s="75" t="s">
        <v>105</v>
      </c>
      <c r="C56" s="75" t="s">
        <v>106</v>
      </c>
      <c r="D56" s="75">
        <v>4</v>
      </c>
      <c r="E56" s="77">
        <v>4</v>
      </c>
      <c r="F56" s="26" t="s">
        <v>106</v>
      </c>
      <c r="G56" s="11" t="s">
        <v>105</v>
      </c>
    </row>
    <row r="57" spans="1:23" x14ac:dyDescent="0.25">
      <c r="B57" s="75" t="s">
        <v>107</v>
      </c>
      <c r="C57" s="75" t="s">
        <v>108</v>
      </c>
      <c r="D57" s="75">
        <v>3</v>
      </c>
      <c r="E57" s="77">
        <v>3</v>
      </c>
      <c r="F57" s="26" t="s">
        <v>108</v>
      </c>
      <c r="G57" s="11" t="s">
        <v>107</v>
      </c>
    </row>
    <row r="58" spans="1:23" x14ac:dyDescent="0.25">
      <c r="B58" s="75" t="s">
        <v>109</v>
      </c>
      <c r="C58" s="75" t="s">
        <v>110</v>
      </c>
      <c r="D58" s="75">
        <v>1</v>
      </c>
      <c r="E58" s="77">
        <v>1</v>
      </c>
      <c r="F58" s="26" t="s">
        <v>110</v>
      </c>
      <c r="G58" s="11" t="s">
        <v>109</v>
      </c>
    </row>
    <row r="59" spans="1:23" x14ac:dyDescent="0.25">
      <c r="B59" s="75" t="s">
        <v>111</v>
      </c>
      <c r="C59" s="75" t="s">
        <v>112</v>
      </c>
      <c r="D59" s="75">
        <v>0</v>
      </c>
      <c r="E59" s="77">
        <v>0</v>
      </c>
      <c r="F59" s="26" t="s">
        <v>112</v>
      </c>
      <c r="G59" s="11" t="s">
        <v>111</v>
      </c>
    </row>
    <row r="60" spans="1:23" x14ac:dyDescent="0.25">
      <c r="B60" s="7"/>
      <c r="C60" s="7"/>
      <c r="D60" s="7"/>
      <c r="F60" s="7"/>
      <c r="G60" s="7"/>
      <c r="H60" s="7"/>
      <c r="I60" s="7"/>
    </row>
    <row r="61" spans="1:23" x14ac:dyDescent="0.25">
      <c r="B61" s="7"/>
      <c r="C61" s="7"/>
      <c r="D61" s="7"/>
      <c r="F61" s="7"/>
      <c r="G61" s="7"/>
      <c r="H61" s="7"/>
      <c r="I61" s="7"/>
    </row>
    <row r="62" spans="1:23" x14ac:dyDescent="0.25">
      <c r="B62" s="80" t="s">
        <v>113</v>
      </c>
      <c r="C62" s="80" t="s">
        <v>261</v>
      </c>
      <c r="D62" s="81" t="s">
        <v>16</v>
      </c>
      <c r="E62" s="80" t="s">
        <v>17</v>
      </c>
      <c r="F62" s="25"/>
      <c r="G62" s="25"/>
      <c r="H62" s="7"/>
    </row>
    <row r="63" spans="1:23" x14ac:dyDescent="0.25">
      <c r="B63" s="75" t="s">
        <v>114</v>
      </c>
      <c r="C63" s="78" t="s">
        <v>115</v>
      </c>
      <c r="D63" s="75">
        <v>6</v>
      </c>
      <c r="E63" s="77">
        <v>5</v>
      </c>
      <c r="F63" s="26" t="s">
        <v>115</v>
      </c>
      <c r="G63" s="11" t="s">
        <v>114</v>
      </c>
    </row>
    <row r="64" spans="1:23" x14ac:dyDescent="0.25">
      <c r="B64" s="75" t="s">
        <v>116</v>
      </c>
      <c r="C64" s="78" t="s">
        <v>117</v>
      </c>
      <c r="D64" s="75">
        <v>4</v>
      </c>
      <c r="E64" s="77">
        <v>4</v>
      </c>
      <c r="F64" s="26" t="s">
        <v>117</v>
      </c>
      <c r="G64" s="11" t="s">
        <v>116</v>
      </c>
    </row>
    <row r="65" spans="2:7" x14ac:dyDescent="0.25">
      <c r="B65" s="75" t="s">
        <v>118</v>
      </c>
      <c r="C65" s="78" t="s">
        <v>119</v>
      </c>
      <c r="D65" s="75">
        <v>2</v>
      </c>
      <c r="E65" s="77">
        <v>3</v>
      </c>
      <c r="F65" s="26" t="s">
        <v>119</v>
      </c>
      <c r="G65" s="11" t="s">
        <v>118</v>
      </c>
    </row>
    <row r="66" spans="2:7" x14ac:dyDescent="0.25">
      <c r="B66" s="75" t="s">
        <v>120</v>
      </c>
      <c r="C66" s="78" t="s">
        <v>121</v>
      </c>
      <c r="D66" s="75">
        <v>2</v>
      </c>
      <c r="E66" s="77">
        <v>2</v>
      </c>
      <c r="F66" s="26" t="s">
        <v>121</v>
      </c>
      <c r="G66" s="11" t="s">
        <v>120</v>
      </c>
    </row>
    <row r="67" spans="2:7" x14ac:dyDescent="0.25">
      <c r="B67" s="75" t="s">
        <v>122</v>
      </c>
      <c r="C67" s="78" t="s">
        <v>123</v>
      </c>
      <c r="D67" s="75">
        <v>0</v>
      </c>
      <c r="E67" s="77">
        <v>0</v>
      </c>
      <c r="F67" s="26" t="s">
        <v>123</v>
      </c>
      <c r="G67" s="11" t="s">
        <v>122</v>
      </c>
    </row>
    <row r="68" spans="2:7" x14ac:dyDescent="0.25">
      <c r="B68" s="29"/>
      <c r="C68" s="29"/>
      <c r="D68" s="29"/>
      <c r="E68" s="13"/>
      <c r="F68" s="7"/>
      <c r="G68" s="7"/>
    </row>
    <row r="69" spans="2:7" x14ac:dyDescent="0.25">
      <c r="B69" s="7"/>
      <c r="C69" s="7"/>
      <c r="D69" s="7"/>
      <c r="E69" s="7"/>
      <c r="F69" s="7"/>
      <c r="G69" s="7"/>
    </row>
    <row r="70" spans="2:7" x14ac:dyDescent="0.25">
      <c r="B70" s="23" t="s">
        <v>124</v>
      </c>
      <c r="C70" s="23"/>
      <c r="D70" s="27" t="s">
        <v>16</v>
      </c>
      <c r="E70" s="8" t="s">
        <v>17</v>
      </c>
      <c r="F70" s="25"/>
    </row>
    <row r="71" spans="2:7" x14ac:dyDescent="0.25">
      <c r="B71" s="11" t="s">
        <v>198</v>
      </c>
      <c r="C71" s="11" t="s">
        <v>125</v>
      </c>
      <c r="D71" s="11">
        <v>15</v>
      </c>
      <c r="E71" s="11">
        <v>10</v>
      </c>
      <c r="F71" s="6"/>
    </row>
    <row r="72" spans="2:7" x14ac:dyDescent="0.25">
      <c r="B72" s="11" t="s">
        <v>126</v>
      </c>
      <c r="C72" s="11" t="s">
        <v>51</v>
      </c>
      <c r="D72" s="11">
        <v>10</v>
      </c>
      <c r="E72" s="11">
        <v>7</v>
      </c>
      <c r="F72" s="6"/>
    </row>
    <row r="73" spans="2:7" x14ac:dyDescent="0.25">
      <c r="B73" s="11" t="s">
        <v>573</v>
      </c>
      <c r="C73" s="11" t="s">
        <v>21</v>
      </c>
      <c r="D73" s="11">
        <v>7</v>
      </c>
      <c r="E73" s="11">
        <v>5</v>
      </c>
      <c r="F73" s="6"/>
    </row>
    <row r="74" spans="2:7" x14ac:dyDescent="0.25">
      <c r="B74" s="11" t="s">
        <v>127</v>
      </c>
      <c r="C74" s="11" t="s">
        <v>50</v>
      </c>
      <c r="D74" s="11">
        <v>4</v>
      </c>
      <c r="E74" s="11">
        <v>4</v>
      </c>
      <c r="F74" s="6"/>
    </row>
    <row r="75" spans="2:7" x14ac:dyDescent="0.25">
      <c r="B75" s="3" t="s">
        <v>128</v>
      </c>
      <c r="C75" s="3" t="s">
        <v>49</v>
      </c>
      <c r="D75" s="11">
        <v>0</v>
      </c>
      <c r="E75" s="3">
        <v>0</v>
      </c>
      <c r="F75" s="6"/>
    </row>
  </sheetData>
  <mergeCells count="7">
    <mergeCell ref="AG11:AG14"/>
    <mergeCell ref="N30:N32"/>
    <mergeCell ref="B1:F1"/>
    <mergeCell ref="J1:K1"/>
    <mergeCell ref="J3:K3"/>
    <mergeCell ref="J13:K13"/>
    <mergeCell ref="J23:K2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675D-F43D-4348-A2EF-ACA92971382B}">
  <dimension ref="A1"/>
  <sheetViews>
    <sheetView zoomScale="70" zoomScaleNormal="70" workbookViewId="0">
      <selection activeCell="M32" sqref="M32"/>
    </sheetView>
  </sheetViews>
  <sheetFormatPr defaultColWidth="11.42578125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ECAB-A5F8-4C45-8386-AC0BDD19BA1D}">
  <sheetPr codeName="Planilha7"/>
  <dimension ref="A1:U104"/>
  <sheetViews>
    <sheetView zoomScale="40" zoomScaleNormal="40" workbookViewId="0">
      <selection activeCell="AA82" sqref="AA82"/>
    </sheetView>
  </sheetViews>
  <sheetFormatPr defaultColWidth="8.85546875" defaultRowHeight="15" x14ac:dyDescent="0.25"/>
  <cols>
    <col min="1" max="1" width="20.28515625" bestFit="1" customWidth="1"/>
    <col min="2" max="2" width="10.28515625" customWidth="1"/>
    <col min="3" max="3" width="11" customWidth="1"/>
    <col min="4" max="4" width="14.42578125" bestFit="1" customWidth="1"/>
    <col min="5" max="5" width="13.28515625" hidden="1" customWidth="1"/>
    <col min="6" max="6" width="13.28515625" customWidth="1"/>
    <col min="7" max="7" width="16.28515625" customWidth="1"/>
    <col min="8" max="8" width="13.28515625" customWidth="1"/>
    <col min="9" max="9" width="12.140625" hidden="1" customWidth="1"/>
    <col min="10" max="10" width="10.42578125" hidden="1" customWidth="1"/>
    <col min="11" max="11" width="9" hidden="1" customWidth="1"/>
    <col min="12" max="12" width="47.28515625" bestFit="1" customWidth="1"/>
    <col min="13" max="13" width="13" bestFit="1" customWidth="1"/>
    <col min="15" max="15" width="8.85546875" customWidth="1"/>
    <col min="16" max="16" width="12.7109375" customWidth="1"/>
    <col min="17" max="17" width="10.85546875" customWidth="1"/>
    <col min="20" max="20" width="112.7109375" bestFit="1" customWidth="1"/>
    <col min="21" max="21" width="31.28515625" bestFit="1" customWidth="1"/>
  </cols>
  <sheetData>
    <row r="1" spans="1:21" ht="51" x14ac:dyDescent="0.25">
      <c r="A1" s="68" t="s">
        <v>351</v>
      </c>
      <c r="B1" s="68" t="s">
        <v>352</v>
      </c>
      <c r="C1" s="68" t="s">
        <v>353</v>
      </c>
      <c r="D1" s="68" t="s">
        <v>354</v>
      </c>
      <c r="E1" s="68" t="s">
        <v>355</v>
      </c>
      <c r="F1" s="68" t="s">
        <v>356</v>
      </c>
      <c r="G1" s="68" t="s">
        <v>357</v>
      </c>
      <c r="H1" s="68" t="s">
        <v>358</v>
      </c>
      <c r="I1" s="68" t="s">
        <v>356</v>
      </c>
      <c r="J1" s="68" t="s">
        <v>357</v>
      </c>
      <c r="K1" s="68" t="s">
        <v>358</v>
      </c>
      <c r="L1" s="68" t="s">
        <v>359</v>
      </c>
      <c r="M1" s="68" t="s">
        <v>360</v>
      </c>
      <c r="N1" s="68" t="s">
        <v>361</v>
      </c>
      <c r="O1" s="68" t="s">
        <v>362</v>
      </c>
      <c r="P1" s="68" t="s">
        <v>363</v>
      </c>
      <c r="Q1" s="68" t="s">
        <v>364</v>
      </c>
      <c r="R1" s="68" t="s">
        <v>365</v>
      </c>
      <c r="S1" s="68" t="s">
        <v>366</v>
      </c>
      <c r="T1" s="68" t="s">
        <v>367</v>
      </c>
      <c r="U1" s="68" t="s">
        <v>368</v>
      </c>
    </row>
    <row r="2" spans="1:21" x14ac:dyDescent="0.25">
      <c r="A2" s="6" t="s">
        <v>369</v>
      </c>
      <c r="B2" s="69">
        <v>45321</v>
      </c>
      <c r="C2" s="6" t="s">
        <v>370</v>
      </c>
      <c r="D2" s="6" t="s">
        <v>371</v>
      </c>
      <c r="E2" s="6" t="s">
        <v>372</v>
      </c>
      <c r="F2" s="70">
        <v>175136.06849999999</v>
      </c>
      <c r="G2" s="70">
        <v>9062996.5930000003</v>
      </c>
      <c r="H2" s="70">
        <v>372.52676806097401</v>
      </c>
      <c r="I2" s="70">
        <v>175136.06849999999</v>
      </c>
      <c r="J2" s="70">
        <v>9062996.5930000003</v>
      </c>
      <c r="K2" s="70">
        <v>363.4</v>
      </c>
      <c r="L2" s="6" t="s">
        <v>373</v>
      </c>
      <c r="M2" s="6" t="s">
        <v>374</v>
      </c>
      <c r="N2" s="71">
        <v>196</v>
      </c>
      <c r="O2" s="72">
        <v>54</v>
      </c>
      <c r="P2" s="73">
        <v>-19</v>
      </c>
      <c r="Q2" s="73">
        <v>-22.3</v>
      </c>
      <c r="R2" s="73">
        <v>-3.3000000000000007</v>
      </c>
      <c r="S2" s="71">
        <v>192.7</v>
      </c>
      <c r="T2" s="72" t="s">
        <v>375</v>
      </c>
      <c r="U2" s="6"/>
    </row>
    <row r="3" spans="1:21" x14ac:dyDescent="0.25">
      <c r="A3" s="6" t="s">
        <v>369</v>
      </c>
      <c r="B3" s="69">
        <v>45321</v>
      </c>
      <c r="C3" s="6" t="s">
        <v>376</v>
      </c>
      <c r="D3" s="6" t="s">
        <v>371</v>
      </c>
      <c r="E3" s="6" t="s">
        <v>372</v>
      </c>
      <c r="F3" s="70">
        <v>175141.23540000001</v>
      </c>
      <c r="G3" s="70">
        <v>9063001.5840000007</v>
      </c>
      <c r="H3" s="70">
        <v>372.33153050469798</v>
      </c>
      <c r="I3" s="70">
        <v>175141.23540000001</v>
      </c>
      <c r="J3" s="70">
        <v>9063001.5840000007</v>
      </c>
      <c r="K3" s="70">
        <v>363.1</v>
      </c>
      <c r="L3" s="6" t="s">
        <v>373</v>
      </c>
      <c r="M3" s="6" t="s">
        <v>374</v>
      </c>
      <c r="N3" s="71">
        <v>198</v>
      </c>
      <c r="O3" s="72">
        <v>49</v>
      </c>
      <c r="P3" s="73">
        <v>-19</v>
      </c>
      <c r="Q3" s="73">
        <v>-22.3</v>
      </c>
      <c r="R3" s="73">
        <v>-3.3000000000000007</v>
      </c>
      <c r="S3" s="71">
        <v>194.7</v>
      </c>
      <c r="T3" s="72" t="s">
        <v>375</v>
      </c>
      <c r="U3" s="6"/>
    </row>
    <row r="4" spans="1:21" x14ac:dyDescent="0.25">
      <c r="A4" s="6" t="s">
        <v>369</v>
      </c>
      <c r="B4" s="69">
        <v>45321</v>
      </c>
      <c r="C4" s="6" t="s">
        <v>377</v>
      </c>
      <c r="D4" s="6" t="s">
        <v>378</v>
      </c>
      <c r="E4" s="6" t="s">
        <v>372</v>
      </c>
      <c r="F4" s="70">
        <v>175143.73149999999</v>
      </c>
      <c r="G4" s="70">
        <v>9063003.4780000001</v>
      </c>
      <c r="H4" s="70">
        <v>371.82454408067099</v>
      </c>
      <c r="I4" s="70">
        <v>175143.73149999999</v>
      </c>
      <c r="J4" s="70">
        <v>9063003.4780000001</v>
      </c>
      <c r="K4" s="70">
        <v>365</v>
      </c>
      <c r="L4" s="6" t="s">
        <v>373</v>
      </c>
      <c r="M4" s="6" t="s">
        <v>374</v>
      </c>
      <c r="N4" s="71">
        <v>104</v>
      </c>
      <c r="O4" s="72">
        <v>60</v>
      </c>
      <c r="P4" s="73">
        <v>-19</v>
      </c>
      <c r="Q4" s="73">
        <v>-22.3</v>
      </c>
      <c r="R4" s="73">
        <v>-3.3000000000000007</v>
      </c>
      <c r="S4" s="71">
        <v>100.7</v>
      </c>
      <c r="T4" s="72" t="s">
        <v>375</v>
      </c>
      <c r="U4" s="6"/>
    </row>
    <row r="5" spans="1:21" x14ac:dyDescent="0.25">
      <c r="A5" s="6" t="s">
        <v>369</v>
      </c>
      <c r="B5" s="69">
        <v>45321</v>
      </c>
      <c r="C5" s="6" t="s">
        <v>379</v>
      </c>
      <c r="D5" s="6" t="s">
        <v>378</v>
      </c>
      <c r="E5" s="6" t="s">
        <v>372</v>
      </c>
      <c r="F5" s="70">
        <v>175145.97399999999</v>
      </c>
      <c r="G5" s="70">
        <v>9063007.1999999993</v>
      </c>
      <c r="H5" s="70">
        <v>372.024710233772</v>
      </c>
      <c r="I5" s="70">
        <v>189715.1232</v>
      </c>
      <c r="J5" s="70">
        <v>9061166.9890000001</v>
      </c>
      <c r="K5" s="70">
        <v>354</v>
      </c>
      <c r="L5" s="6" t="s">
        <v>373</v>
      </c>
      <c r="M5" s="6" t="s">
        <v>374</v>
      </c>
      <c r="N5" s="71">
        <v>82</v>
      </c>
      <c r="O5" s="72">
        <v>50</v>
      </c>
      <c r="P5" s="73">
        <v>-19</v>
      </c>
      <c r="Q5" s="73">
        <v>-22.3</v>
      </c>
      <c r="R5" s="73">
        <v>-3.3000000000000007</v>
      </c>
      <c r="S5" s="71">
        <v>78.7</v>
      </c>
      <c r="T5" s="72" t="s">
        <v>375</v>
      </c>
      <c r="U5" s="6"/>
    </row>
    <row r="6" spans="1:21" x14ac:dyDescent="0.25">
      <c r="A6" s="6" t="s">
        <v>369</v>
      </c>
      <c r="B6" s="69">
        <v>45321</v>
      </c>
      <c r="C6" s="6" t="s">
        <v>380</v>
      </c>
      <c r="D6" s="6" t="s">
        <v>381</v>
      </c>
      <c r="E6" s="6" t="s">
        <v>372</v>
      </c>
      <c r="F6" s="70">
        <v>175150.43599999999</v>
      </c>
      <c r="G6" s="70">
        <v>9063013.0869999994</v>
      </c>
      <c r="H6" s="70">
        <v>371.93714338202</v>
      </c>
      <c r="I6" s="70">
        <v>175148.76319999999</v>
      </c>
      <c r="J6" s="70">
        <v>9063014.1870000008</v>
      </c>
      <c r="K6" s="70">
        <v>362.7</v>
      </c>
      <c r="L6" s="6" t="s">
        <v>373</v>
      </c>
      <c r="M6" s="6" t="s">
        <v>374</v>
      </c>
      <c r="N6" s="71">
        <v>205</v>
      </c>
      <c r="O6" s="72">
        <v>70</v>
      </c>
      <c r="P6" s="73">
        <v>-19</v>
      </c>
      <c r="Q6" s="73">
        <v>-22.3</v>
      </c>
      <c r="R6" s="73">
        <v>-3.3000000000000007</v>
      </c>
      <c r="S6" s="71">
        <v>201.7</v>
      </c>
      <c r="T6" s="72" t="s">
        <v>375</v>
      </c>
      <c r="U6" s="6"/>
    </row>
    <row r="7" spans="1:21" x14ac:dyDescent="0.25">
      <c r="A7" s="6" t="s">
        <v>369</v>
      </c>
      <c r="B7" s="69">
        <v>45321</v>
      </c>
      <c r="C7" s="6" t="s">
        <v>382</v>
      </c>
      <c r="D7" s="6" t="s">
        <v>381</v>
      </c>
      <c r="E7" s="6"/>
      <c r="F7" s="70">
        <v>175150.54199999999</v>
      </c>
      <c r="G7" s="70">
        <v>9063015.8300000001</v>
      </c>
      <c r="H7" s="70">
        <v>372.57199240989399</v>
      </c>
      <c r="I7" s="70"/>
      <c r="J7" s="70"/>
      <c r="K7" s="70"/>
      <c r="L7" s="6" t="s">
        <v>373</v>
      </c>
      <c r="M7" s="6" t="s">
        <v>374</v>
      </c>
      <c r="N7" s="71">
        <v>203</v>
      </c>
      <c r="O7" s="72">
        <v>80</v>
      </c>
      <c r="P7" s="73">
        <v>-19</v>
      </c>
      <c r="Q7" s="73">
        <v>-22.3</v>
      </c>
      <c r="R7" s="73">
        <v>-3.3000000000000007</v>
      </c>
      <c r="S7" s="71">
        <v>199.7</v>
      </c>
      <c r="T7" s="72" t="s">
        <v>375</v>
      </c>
      <c r="U7" s="6"/>
    </row>
    <row r="8" spans="1:21" x14ac:dyDescent="0.25">
      <c r="A8" s="6" t="s">
        <v>383</v>
      </c>
      <c r="B8" s="69">
        <v>45321</v>
      </c>
      <c r="C8" s="6" t="s">
        <v>384</v>
      </c>
      <c r="D8" s="6" t="s">
        <v>385</v>
      </c>
      <c r="E8" s="6"/>
      <c r="F8" s="70">
        <v>174984.80300000001</v>
      </c>
      <c r="G8" s="70">
        <v>9062900.2789999992</v>
      </c>
      <c r="H8" s="70">
        <v>377.02540000020599</v>
      </c>
      <c r="I8" s="70"/>
      <c r="J8" s="70"/>
      <c r="K8" s="70"/>
      <c r="L8" s="6" t="s">
        <v>373</v>
      </c>
      <c r="M8" s="6" t="s">
        <v>374</v>
      </c>
      <c r="N8" s="71">
        <v>360</v>
      </c>
      <c r="O8" s="72">
        <v>50</v>
      </c>
      <c r="P8" s="73">
        <v>-19</v>
      </c>
      <c r="Q8" s="73">
        <v>-22.3</v>
      </c>
      <c r="R8" s="73">
        <v>-3.3000000000000007</v>
      </c>
      <c r="S8" s="71">
        <v>356.7</v>
      </c>
      <c r="T8" s="72" t="s">
        <v>375</v>
      </c>
      <c r="U8" s="6"/>
    </row>
    <row r="9" spans="1:21" x14ac:dyDescent="0.25">
      <c r="A9" s="6" t="s">
        <v>383</v>
      </c>
      <c r="B9" s="69">
        <v>45321</v>
      </c>
      <c r="C9" s="6" t="s">
        <v>386</v>
      </c>
      <c r="D9" s="6" t="s">
        <v>385</v>
      </c>
      <c r="E9" s="6" t="s">
        <v>372</v>
      </c>
      <c r="F9" s="70">
        <v>174984.95</v>
      </c>
      <c r="G9" s="70">
        <v>9062899.8699999992</v>
      </c>
      <c r="H9" s="70">
        <v>377.07016842125603</v>
      </c>
      <c r="I9" s="70">
        <v>174984.9473</v>
      </c>
      <c r="J9" s="70">
        <v>9062899.8739999998</v>
      </c>
      <c r="K9" s="70">
        <v>374.4</v>
      </c>
      <c r="L9" s="6" t="s">
        <v>373</v>
      </c>
      <c r="M9" s="6" t="s">
        <v>374</v>
      </c>
      <c r="N9" s="71">
        <v>2</v>
      </c>
      <c r="O9" s="72">
        <v>35</v>
      </c>
      <c r="P9" s="73">
        <v>-19</v>
      </c>
      <c r="Q9" s="73">
        <v>-22.3</v>
      </c>
      <c r="R9" s="73">
        <v>-3.3000000000000007</v>
      </c>
      <c r="S9" s="71">
        <v>358.7</v>
      </c>
      <c r="T9" s="72" t="s">
        <v>375</v>
      </c>
      <c r="U9" s="6"/>
    </row>
    <row r="10" spans="1:21" x14ac:dyDescent="0.25">
      <c r="A10" s="6" t="s">
        <v>383</v>
      </c>
      <c r="B10" s="69">
        <v>45321</v>
      </c>
      <c r="C10" s="6" t="s">
        <v>387</v>
      </c>
      <c r="D10" s="6" t="s">
        <v>388</v>
      </c>
      <c r="E10" s="6" t="s">
        <v>372</v>
      </c>
      <c r="F10" s="70">
        <v>174983.95</v>
      </c>
      <c r="G10" s="70">
        <v>9062898.5800000001</v>
      </c>
      <c r="H10" s="70">
        <v>377.80298947365998</v>
      </c>
      <c r="I10" s="70">
        <v>174983.94690000001</v>
      </c>
      <c r="J10" s="70">
        <v>9062898.5749999993</v>
      </c>
      <c r="K10" s="70">
        <v>373.5</v>
      </c>
      <c r="L10" s="6" t="s">
        <v>373</v>
      </c>
      <c r="M10" s="6" t="s">
        <v>374</v>
      </c>
      <c r="N10" s="71">
        <v>210</v>
      </c>
      <c r="O10" s="72">
        <v>45</v>
      </c>
      <c r="P10" s="73">
        <v>-19</v>
      </c>
      <c r="Q10" s="73">
        <v>-22.3</v>
      </c>
      <c r="R10" s="73">
        <v>-3.3000000000000007</v>
      </c>
      <c r="S10" s="71">
        <v>206.7</v>
      </c>
      <c r="T10" s="72" t="s">
        <v>375</v>
      </c>
      <c r="U10" s="6"/>
    </row>
    <row r="11" spans="1:21" x14ac:dyDescent="0.25">
      <c r="A11" s="6" t="s">
        <v>383</v>
      </c>
      <c r="B11" s="69">
        <v>45321</v>
      </c>
      <c r="C11" s="6" t="s">
        <v>389</v>
      </c>
      <c r="D11" s="6" t="s">
        <v>388</v>
      </c>
      <c r="E11" s="6" t="s">
        <v>372</v>
      </c>
      <c r="F11" s="70">
        <v>174984.04</v>
      </c>
      <c r="G11" s="70">
        <v>9062898.6999999993</v>
      </c>
      <c r="H11" s="70">
        <v>377.73604210544897</v>
      </c>
      <c r="I11" s="70">
        <v>174984.03779999999</v>
      </c>
      <c r="J11" s="70">
        <v>9062898.6989999991</v>
      </c>
      <c r="K11" s="70">
        <v>373.2</v>
      </c>
      <c r="L11" s="6" t="s">
        <v>373</v>
      </c>
      <c r="M11" s="6" t="s">
        <v>374</v>
      </c>
      <c r="N11" s="71">
        <v>200</v>
      </c>
      <c r="O11" s="72">
        <v>45</v>
      </c>
      <c r="P11" s="73">
        <v>-19</v>
      </c>
      <c r="Q11" s="73">
        <v>-22.3</v>
      </c>
      <c r="R11" s="73">
        <v>-3.3000000000000007</v>
      </c>
      <c r="S11" s="71">
        <v>196.7</v>
      </c>
      <c r="T11" s="72" t="s">
        <v>375</v>
      </c>
      <c r="U11" s="6"/>
    </row>
    <row r="12" spans="1:21" x14ac:dyDescent="0.25">
      <c r="A12" s="6" t="s">
        <v>390</v>
      </c>
      <c r="B12" s="69">
        <v>45321</v>
      </c>
      <c r="C12" s="6" t="s">
        <v>391</v>
      </c>
      <c r="D12" s="6" t="s">
        <v>392</v>
      </c>
      <c r="E12" s="6" t="s">
        <v>372</v>
      </c>
      <c r="F12" s="70">
        <v>174980.04</v>
      </c>
      <c r="G12" s="70">
        <v>9062913.3399999999</v>
      </c>
      <c r="H12" s="70">
        <v>379.37422064055698</v>
      </c>
      <c r="I12" s="70">
        <v>174980.03839999999</v>
      </c>
      <c r="J12" s="70">
        <v>9062913.3359999992</v>
      </c>
      <c r="K12" s="70">
        <v>370.6</v>
      </c>
      <c r="L12" s="6" t="s">
        <v>373</v>
      </c>
      <c r="M12" s="6" t="s">
        <v>374</v>
      </c>
      <c r="N12" s="71">
        <v>135</v>
      </c>
      <c r="O12" s="72">
        <v>65</v>
      </c>
      <c r="P12" s="73">
        <v>-19</v>
      </c>
      <c r="Q12" s="73">
        <v>-22.3</v>
      </c>
      <c r="R12" s="73">
        <v>-3.3000000000000007</v>
      </c>
      <c r="S12" s="71">
        <v>131.69999999999999</v>
      </c>
      <c r="T12" s="72" t="s">
        <v>375</v>
      </c>
      <c r="U12" s="6"/>
    </row>
    <row r="13" spans="1:21" x14ac:dyDescent="0.25">
      <c r="A13" s="6" t="s">
        <v>390</v>
      </c>
      <c r="B13" s="69">
        <v>45321</v>
      </c>
      <c r="C13" s="6" t="s">
        <v>393</v>
      </c>
      <c r="D13" s="6" t="s">
        <v>392</v>
      </c>
      <c r="E13" s="6" t="s">
        <v>372</v>
      </c>
      <c r="F13" s="70">
        <v>174980.34</v>
      </c>
      <c r="G13" s="70">
        <v>9062914.1099999994</v>
      </c>
      <c r="H13" s="70">
        <v>379.40848139702803</v>
      </c>
      <c r="I13" s="70">
        <v>174980.33869999999</v>
      </c>
      <c r="J13" s="70">
        <v>9062914.1070000008</v>
      </c>
      <c r="K13" s="70">
        <v>370.4</v>
      </c>
      <c r="L13" s="6" t="s">
        <v>373</v>
      </c>
      <c r="M13" s="6" t="s">
        <v>374</v>
      </c>
      <c r="N13" s="71">
        <v>125</v>
      </c>
      <c r="O13" s="72">
        <v>65</v>
      </c>
      <c r="P13" s="73">
        <v>-19</v>
      </c>
      <c r="Q13" s="73">
        <v>-22.3</v>
      </c>
      <c r="R13" s="73">
        <v>-3.3000000000000007</v>
      </c>
      <c r="S13" s="71">
        <v>121.7</v>
      </c>
      <c r="T13" s="72" t="s">
        <v>375</v>
      </c>
      <c r="U13" s="6"/>
    </row>
    <row r="14" spans="1:21" x14ac:dyDescent="0.25">
      <c r="A14" s="6" t="s">
        <v>390</v>
      </c>
      <c r="B14" s="69">
        <v>45321</v>
      </c>
      <c r="C14" s="6" t="s">
        <v>394</v>
      </c>
      <c r="D14" s="6" t="s">
        <v>395</v>
      </c>
      <c r="E14" s="6" t="s">
        <v>372</v>
      </c>
      <c r="F14" s="70">
        <v>174979.87</v>
      </c>
      <c r="G14" s="70">
        <v>9062914.7799999993</v>
      </c>
      <c r="H14" s="70">
        <v>379.59700835221901</v>
      </c>
      <c r="I14" s="70">
        <v>174979.8744</v>
      </c>
      <c r="J14" s="70">
        <v>9062914.7799999993</v>
      </c>
      <c r="K14" s="70">
        <v>370.5</v>
      </c>
      <c r="L14" s="6" t="s">
        <v>373</v>
      </c>
      <c r="M14" s="6" t="s">
        <v>374</v>
      </c>
      <c r="N14" s="71">
        <v>230</v>
      </c>
      <c r="O14" s="72">
        <v>45</v>
      </c>
      <c r="P14" s="73">
        <v>-19</v>
      </c>
      <c r="Q14" s="73">
        <v>-22.3</v>
      </c>
      <c r="R14" s="73">
        <v>-3.3000000000000007</v>
      </c>
      <c r="S14" s="71">
        <v>226.7</v>
      </c>
      <c r="T14" s="72" t="s">
        <v>375</v>
      </c>
      <c r="U14" s="6"/>
    </row>
    <row r="15" spans="1:21" x14ac:dyDescent="0.25">
      <c r="A15" s="6" t="s">
        <v>390</v>
      </c>
      <c r="B15" s="69">
        <v>45321</v>
      </c>
      <c r="C15" s="6" t="s">
        <v>396</v>
      </c>
      <c r="D15" s="6" t="s">
        <v>395</v>
      </c>
      <c r="E15" s="6" t="s">
        <v>372</v>
      </c>
      <c r="F15" s="70">
        <v>174979.68</v>
      </c>
      <c r="G15" s="70">
        <v>9062915.9199999999</v>
      </c>
      <c r="H15" s="70">
        <v>379.79927107060502</v>
      </c>
      <c r="I15" s="70">
        <v>174979.68210000001</v>
      </c>
      <c r="J15" s="70">
        <v>9062915.9169999994</v>
      </c>
      <c r="K15" s="70">
        <v>370.5</v>
      </c>
      <c r="L15" s="6" t="s">
        <v>373</v>
      </c>
      <c r="M15" s="6" t="s">
        <v>374</v>
      </c>
      <c r="N15" s="71">
        <v>213</v>
      </c>
      <c r="O15" s="72">
        <v>40</v>
      </c>
      <c r="P15" s="73">
        <v>-19</v>
      </c>
      <c r="Q15" s="73">
        <v>-22.3</v>
      </c>
      <c r="R15" s="73">
        <v>-3.3000000000000007</v>
      </c>
      <c r="S15" s="71">
        <v>209.7</v>
      </c>
      <c r="T15" s="72" t="s">
        <v>375</v>
      </c>
      <c r="U15" s="6"/>
    </row>
    <row r="16" spans="1:21" x14ac:dyDescent="0.25">
      <c r="A16" s="6" t="s">
        <v>397</v>
      </c>
      <c r="B16" s="69">
        <v>45321</v>
      </c>
      <c r="C16" s="6" t="s">
        <v>398</v>
      </c>
      <c r="D16" s="6" t="s">
        <v>399</v>
      </c>
      <c r="E16" s="6" t="s">
        <v>372</v>
      </c>
      <c r="F16" s="70">
        <v>174990.82</v>
      </c>
      <c r="G16" s="70">
        <v>9062936.7599999998</v>
      </c>
      <c r="H16" s="70">
        <v>378.58807692298802</v>
      </c>
      <c r="I16" s="70">
        <v>174990.82120000001</v>
      </c>
      <c r="J16" s="70">
        <v>9062936.7579999994</v>
      </c>
      <c r="K16" s="70">
        <v>371.3</v>
      </c>
      <c r="L16" s="6" t="s">
        <v>373</v>
      </c>
      <c r="M16" s="6" t="s">
        <v>374</v>
      </c>
      <c r="N16" s="71">
        <v>355</v>
      </c>
      <c r="O16" s="72">
        <v>31</v>
      </c>
      <c r="P16" s="73">
        <v>-19</v>
      </c>
      <c r="Q16" s="73">
        <v>-22.3</v>
      </c>
      <c r="R16" s="73">
        <v>-3.3000000000000007</v>
      </c>
      <c r="S16" s="71">
        <v>351.7</v>
      </c>
      <c r="T16" s="72" t="s">
        <v>375</v>
      </c>
      <c r="U16" s="6"/>
    </row>
    <row r="17" spans="1:21" x14ac:dyDescent="0.25">
      <c r="A17" s="6" t="s">
        <v>400</v>
      </c>
      <c r="B17" s="69">
        <v>45321</v>
      </c>
      <c r="C17" s="6" t="s">
        <v>401</v>
      </c>
      <c r="D17" s="6" t="s">
        <v>402</v>
      </c>
      <c r="E17" s="6" t="s">
        <v>372</v>
      </c>
      <c r="F17" s="70">
        <v>175043.66</v>
      </c>
      <c r="G17" s="70">
        <v>9062998.2599999998</v>
      </c>
      <c r="H17" s="70">
        <v>379.77473933639601</v>
      </c>
      <c r="I17" s="70">
        <v>175043.6568</v>
      </c>
      <c r="J17" s="70">
        <v>9062998.2599999998</v>
      </c>
      <c r="K17" s="70">
        <v>371.7</v>
      </c>
      <c r="L17" s="6" t="s">
        <v>373</v>
      </c>
      <c r="M17" s="6" t="s">
        <v>374</v>
      </c>
      <c r="N17" s="71">
        <v>105</v>
      </c>
      <c r="O17" s="72">
        <v>36</v>
      </c>
      <c r="P17" s="73">
        <v>-19</v>
      </c>
      <c r="Q17" s="73">
        <v>-22.3</v>
      </c>
      <c r="R17" s="73">
        <v>-3.3000000000000007</v>
      </c>
      <c r="S17" s="71">
        <v>101.7</v>
      </c>
      <c r="T17" s="72" t="s">
        <v>375</v>
      </c>
      <c r="U17" s="6"/>
    </row>
    <row r="18" spans="1:21" x14ac:dyDescent="0.25">
      <c r="A18" s="6" t="s">
        <v>400</v>
      </c>
      <c r="B18" s="69">
        <v>45321</v>
      </c>
      <c r="C18" s="6" t="s">
        <v>403</v>
      </c>
      <c r="D18" s="6" t="s">
        <v>402</v>
      </c>
      <c r="E18" s="6" t="s">
        <v>372</v>
      </c>
      <c r="F18" s="70">
        <v>175041.85</v>
      </c>
      <c r="G18" s="70">
        <v>9062994.8000000007</v>
      </c>
      <c r="H18" s="70">
        <v>379.37196613376602</v>
      </c>
      <c r="I18" s="70">
        <v>175041.8461</v>
      </c>
      <c r="J18" s="70">
        <v>9062994.8019999992</v>
      </c>
      <c r="K18" s="70">
        <v>372.4</v>
      </c>
      <c r="L18" s="6" t="s">
        <v>373</v>
      </c>
      <c r="M18" s="6" t="s">
        <v>374</v>
      </c>
      <c r="N18" s="71">
        <v>95</v>
      </c>
      <c r="O18" s="72">
        <v>48</v>
      </c>
      <c r="P18" s="73">
        <v>-19</v>
      </c>
      <c r="Q18" s="73">
        <v>-22.3</v>
      </c>
      <c r="R18" s="73">
        <v>-3.3000000000000007</v>
      </c>
      <c r="S18" s="71">
        <v>91.7</v>
      </c>
      <c r="T18" s="72" t="s">
        <v>375</v>
      </c>
      <c r="U18" s="6"/>
    </row>
    <row r="19" spans="1:21" x14ac:dyDescent="0.25">
      <c r="A19" s="6" t="s">
        <v>400</v>
      </c>
      <c r="B19" s="69">
        <v>45321</v>
      </c>
      <c r="C19" s="6" t="s">
        <v>404</v>
      </c>
      <c r="D19" s="6" t="s">
        <v>402</v>
      </c>
      <c r="E19" s="6" t="s">
        <v>372</v>
      </c>
      <c r="F19" s="70">
        <v>175041.72</v>
      </c>
      <c r="G19" s="70">
        <v>9062995.5399999991</v>
      </c>
      <c r="H19" s="70">
        <v>379.61053621802699</v>
      </c>
      <c r="I19" s="70">
        <v>175041.71799999999</v>
      </c>
      <c r="J19" s="70">
        <v>9062995.5390000008</v>
      </c>
      <c r="K19" s="70">
        <v>371.8</v>
      </c>
      <c r="L19" s="6" t="s">
        <v>373</v>
      </c>
      <c r="M19" s="6" t="s">
        <v>374</v>
      </c>
      <c r="N19" s="71">
        <v>95</v>
      </c>
      <c r="O19" s="72">
        <v>45</v>
      </c>
      <c r="P19" s="73">
        <v>-19</v>
      </c>
      <c r="Q19" s="73">
        <v>-22.3</v>
      </c>
      <c r="R19" s="73">
        <v>-3.3000000000000007</v>
      </c>
      <c r="S19" s="71">
        <v>91.7</v>
      </c>
      <c r="T19" s="72" t="s">
        <v>375</v>
      </c>
      <c r="U19" s="6"/>
    </row>
    <row r="20" spans="1:21" x14ac:dyDescent="0.25">
      <c r="A20" s="6" t="s">
        <v>400</v>
      </c>
      <c r="B20" s="69">
        <v>45321</v>
      </c>
      <c r="C20" s="6" t="s">
        <v>405</v>
      </c>
      <c r="D20" s="6" t="s">
        <v>406</v>
      </c>
      <c r="E20" s="6" t="s">
        <v>372</v>
      </c>
      <c r="F20" s="70">
        <v>175041.96</v>
      </c>
      <c r="G20" s="70">
        <v>9062995.7899999991</v>
      </c>
      <c r="H20" s="70">
        <v>379.57147695180299</v>
      </c>
      <c r="I20" s="70">
        <v>175041.96109999999</v>
      </c>
      <c r="J20" s="70">
        <v>9062995.7870000005</v>
      </c>
      <c r="K20" s="70">
        <v>371.6</v>
      </c>
      <c r="L20" s="6" t="s">
        <v>373</v>
      </c>
      <c r="M20" s="6" t="s">
        <v>374</v>
      </c>
      <c r="N20" s="71">
        <v>210</v>
      </c>
      <c r="O20" s="72">
        <v>48</v>
      </c>
      <c r="P20" s="73">
        <v>-19</v>
      </c>
      <c r="Q20" s="73">
        <v>-22.3</v>
      </c>
      <c r="R20" s="73">
        <v>-3.3000000000000007</v>
      </c>
      <c r="S20" s="71">
        <v>206.7</v>
      </c>
      <c r="T20" s="72" t="s">
        <v>375</v>
      </c>
      <c r="U20" s="6"/>
    </row>
    <row r="21" spans="1:21" x14ac:dyDescent="0.25">
      <c r="A21" s="6" t="s">
        <v>400</v>
      </c>
      <c r="B21" s="69">
        <v>45321</v>
      </c>
      <c r="C21" s="6" t="s">
        <v>407</v>
      </c>
      <c r="D21" s="6" t="s">
        <v>408</v>
      </c>
      <c r="E21" s="6" t="s">
        <v>372</v>
      </c>
      <c r="F21" s="70">
        <v>175040.9</v>
      </c>
      <c r="G21" s="70">
        <v>9062994.7599999998</v>
      </c>
      <c r="H21" s="70">
        <v>379.64093023250399</v>
      </c>
      <c r="I21" s="70">
        <v>175040.89730000001</v>
      </c>
      <c r="J21" s="70">
        <v>9062994.7640000004</v>
      </c>
      <c r="K21" s="70">
        <v>371.4</v>
      </c>
      <c r="L21" s="6" t="s">
        <v>373</v>
      </c>
      <c r="M21" s="6" t="s">
        <v>409</v>
      </c>
      <c r="N21" s="71">
        <v>180</v>
      </c>
      <c r="O21" s="72">
        <v>65</v>
      </c>
      <c r="P21" s="73">
        <v>-19</v>
      </c>
      <c r="Q21" s="73">
        <v>-22.3</v>
      </c>
      <c r="R21" s="73">
        <v>-3.3000000000000007</v>
      </c>
      <c r="S21" s="71">
        <v>176.7</v>
      </c>
      <c r="T21" s="72" t="s">
        <v>375</v>
      </c>
      <c r="U21" s="6"/>
    </row>
    <row r="22" spans="1:21" x14ac:dyDescent="0.25">
      <c r="A22" s="6" t="s">
        <v>410</v>
      </c>
      <c r="B22" s="69">
        <v>45322</v>
      </c>
      <c r="C22" s="6" t="s">
        <v>411</v>
      </c>
      <c r="D22" s="6" t="s">
        <v>412</v>
      </c>
      <c r="E22" s="6" t="s">
        <v>413</v>
      </c>
      <c r="F22" s="70">
        <v>175056.42</v>
      </c>
      <c r="G22" s="70">
        <v>9063002.6600000001</v>
      </c>
      <c r="H22" s="70">
        <v>376.975694106189</v>
      </c>
      <c r="I22" s="70">
        <v>175056.4209</v>
      </c>
      <c r="J22" s="70">
        <v>9063002.6620000005</v>
      </c>
      <c r="K22" s="70">
        <v>366.5</v>
      </c>
      <c r="L22" s="6" t="s">
        <v>373</v>
      </c>
      <c r="M22" s="6" t="s">
        <v>374</v>
      </c>
      <c r="N22" s="71">
        <v>20</v>
      </c>
      <c r="O22" s="72">
        <v>51</v>
      </c>
      <c r="P22" s="73">
        <v>-19</v>
      </c>
      <c r="Q22" s="73">
        <v>-22.3</v>
      </c>
      <c r="R22" s="73">
        <v>-3.3000000000000007</v>
      </c>
      <c r="S22" s="71">
        <v>16.7</v>
      </c>
      <c r="T22" s="72" t="s">
        <v>375</v>
      </c>
      <c r="U22" s="6"/>
    </row>
    <row r="23" spans="1:21" x14ac:dyDescent="0.25">
      <c r="A23" s="6" t="s">
        <v>410</v>
      </c>
      <c r="B23" s="69">
        <v>45322</v>
      </c>
      <c r="C23" s="6" t="s">
        <v>414</v>
      </c>
      <c r="D23" s="6" t="s">
        <v>412</v>
      </c>
      <c r="E23" s="6" t="s">
        <v>413</v>
      </c>
      <c r="F23" s="70">
        <v>175057.94</v>
      </c>
      <c r="G23" s="70">
        <v>9063004.4299999997</v>
      </c>
      <c r="H23" s="70">
        <v>376.97615065652099</v>
      </c>
      <c r="I23" s="70">
        <v>175057.93830000001</v>
      </c>
      <c r="J23" s="70">
        <v>9063004.4260000009</v>
      </c>
      <c r="K23" s="70">
        <v>364.1</v>
      </c>
      <c r="L23" s="6" t="s">
        <v>373</v>
      </c>
      <c r="M23" s="6" t="s">
        <v>374</v>
      </c>
      <c r="N23" s="71">
        <v>349</v>
      </c>
      <c r="O23" s="72">
        <v>54</v>
      </c>
      <c r="P23" s="73">
        <v>-19</v>
      </c>
      <c r="Q23" s="73">
        <v>-22.3</v>
      </c>
      <c r="R23" s="73">
        <v>-3.3000000000000007</v>
      </c>
      <c r="S23" s="71">
        <v>345.7</v>
      </c>
      <c r="T23" s="72" t="s">
        <v>375</v>
      </c>
      <c r="U23" s="6"/>
    </row>
    <row r="24" spans="1:21" x14ac:dyDescent="0.25">
      <c r="A24" s="6" t="s">
        <v>410</v>
      </c>
      <c r="B24" s="69">
        <v>45322</v>
      </c>
      <c r="C24" s="6" t="s">
        <v>415</v>
      </c>
      <c r="D24" s="6" t="s">
        <v>416</v>
      </c>
      <c r="E24" s="6" t="s">
        <v>413</v>
      </c>
      <c r="F24" s="70">
        <v>175059.6</v>
      </c>
      <c r="G24" s="70">
        <v>9063007.5099999998</v>
      </c>
      <c r="H24" s="70">
        <v>377.77142533925797</v>
      </c>
      <c r="I24" s="70">
        <v>175059.59880000001</v>
      </c>
      <c r="J24" s="70">
        <v>9063007.5140000004</v>
      </c>
      <c r="K24" s="70">
        <v>367.3</v>
      </c>
      <c r="L24" s="6" t="s">
        <v>373</v>
      </c>
      <c r="M24" s="6" t="s">
        <v>374</v>
      </c>
      <c r="N24" s="71">
        <v>270</v>
      </c>
      <c r="O24" s="72">
        <v>59</v>
      </c>
      <c r="P24" s="73">
        <v>-19</v>
      </c>
      <c r="Q24" s="73">
        <v>-22.3</v>
      </c>
      <c r="R24" s="73">
        <v>-3.3000000000000007</v>
      </c>
      <c r="S24" s="71">
        <v>266.7</v>
      </c>
      <c r="T24" s="72" t="s">
        <v>375</v>
      </c>
      <c r="U24" s="6"/>
    </row>
    <row r="25" spans="1:21" x14ac:dyDescent="0.25">
      <c r="A25" s="6" t="s">
        <v>410</v>
      </c>
      <c r="B25" s="69">
        <v>45322</v>
      </c>
      <c r="C25" s="6" t="s">
        <v>417</v>
      </c>
      <c r="D25" s="6" t="s">
        <v>418</v>
      </c>
      <c r="E25" s="6" t="s">
        <v>413</v>
      </c>
      <c r="F25" s="70">
        <v>175059</v>
      </c>
      <c r="G25" s="70">
        <v>9063006.25</v>
      </c>
      <c r="H25" s="70">
        <v>377.166666666666</v>
      </c>
      <c r="I25" s="70">
        <v>175058.99600000001</v>
      </c>
      <c r="J25" s="70">
        <v>9063006.2489999998</v>
      </c>
      <c r="K25" s="70">
        <v>364.5</v>
      </c>
      <c r="L25" s="6" t="s">
        <v>373</v>
      </c>
      <c r="M25" s="6" t="s">
        <v>374</v>
      </c>
      <c r="N25" s="71">
        <v>305</v>
      </c>
      <c r="O25" s="72">
        <v>31</v>
      </c>
      <c r="P25" s="73">
        <v>-19</v>
      </c>
      <c r="Q25" s="73">
        <v>-22.3</v>
      </c>
      <c r="R25" s="73">
        <v>-3.3000000000000007</v>
      </c>
      <c r="S25" s="71">
        <v>301.7</v>
      </c>
      <c r="T25" s="72" t="s">
        <v>375</v>
      </c>
      <c r="U25" s="6"/>
    </row>
    <row r="26" spans="1:21" x14ac:dyDescent="0.25">
      <c r="A26" s="6" t="s">
        <v>419</v>
      </c>
      <c r="B26" s="69">
        <v>45322</v>
      </c>
      <c r="C26" s="6" t="s">
        <v>420</v>
      </c>
      <c r="D26" s="6" t="s">
        <v>421</v>
      </c>
      <c r="E26" s="6" t="s">
        <v>413</v>
      </c>
      <c r="F26" s="70">
        <v>175062.97</v>
      </c>
      <c r="G26" s="70">
        <v>9063011.0099999998</v>
      </c>
      <c r="H26" s="70">
        <v>377.595859872522</v>
      </c>
      <c r="I26" s="70">
        <v>175062.9706</v>
      </c>
      <c r="J26" s="70">
        <v>9063011.0140000004</v>
      </c>
      <c r="K26" s="70">
        <v>365.2</v>
      </c>
      <c r="L26" s="6" t="s">
        <v>373</v>
      </c>
      <c r="M26" s="6" t="s">
        <v>374</v>
      </c>
      <c r="N26" s="71">
        <v>48</v>
      </c>
      <c r="O26" s="72">
        <v>32</v>
      </c>
      <c r="P26" s="73">
        <v>-19</v>
      </c>
      <c r="Q26" s="73">
        <v>-22.3</v>
      </c>
      <c r="R26" s="73">
        <v>-3.3000000000000007</v>
      </c>
      <c r="S26" s="71">
        <v>44.7</v>
      </c>
      <c r="T26" s="72" t="s">
        <v>375</v>
      </c>
      <c r="U26" s="6"/>
    </row>
    <row r="27" spans="1:21" x14ac:dyDescent="0.25">
      <c r="A27" s="6" t="s">
        <v>419</v>
      </c>
      <c r="B27" s="69">
        <v>45322</v>
      </c>
      <c r="C27" s="6" t="s">
        <v>422</v>
      </c>
      <c r="D27" s="6" t="s">
        <v>423</v>
      </c>
      <c r="E27" s="6" t="s">
        <v>413</v>
      </c>
      <c r="F27" s="70">
        <v>175072.26</v>
      </c>
      <c r="G27" s="70">
        <v>9063017.2699999996</v>
      </c>
      <c r="H27" s="70">
        <v>376.99420487104402</v>
      </c>
      <c r="I27" s="70">
        <v>175072.261</v>
      </c>
      <c r="J27" s="70">
        <v>9063017.2660000008</v>
      </c>
      <c r="K27" s="70">
        <v>364.3</v>
      </c>
      <c r="L27" s="6" t="s">
        <v>373</v>
      </c>
      <c r="M27" s="6" t="s">
        <v>374</v>
      </c>
      <c r="N27" s="71">
        <v>315</v>
      </c>
      <c r="O27" s="72">
        <v>54</v>
      </c>
      <c r="P27" s="73">
        <v>-19</v>
      </c>
      <c r="Q27" s="73">
        <v>-22.3</v>
      </c>
      <c r="R27" s="73">
        <v>-3.3000000000000007</v>
      </c>
      <c r="S27" s="71">
        <v>311.7</v>
      </c>
      <c r="T27" s="72" t="s">
        <v>375</v>
      </c>
      <c r="U27" s="6"/>
    </row>
    <row r="28" spans="1:21" x14ac:dyDescent="0.25">
      <c r="A28" s="6" t="s">
        <v>419</v>
      </c>
      <c r="B28" s="69">
        <v>45322</v>
      </c>
      <c r="C28" s="6" t="s">
        <v>424</v>
      </c>
      <c r="D28" s="6" t="s">
        <v>423</v>
      </c>
      <c r="E28" s="6" t="s">
        <v>413</v>
      </c>
      <c r="F28" s="70">
        <v>175073.93</v>
      </c>
      <c r="G28" s="70">
        <v>9063019.1199999992</v>
      </c>
      <c r="H28" s="70">
        <v>377.46301735585899</v>
      </c>
      <c r="I28" s="70">
        <v>175073.9308</v>
      </c>
      <c r="J28" s="70">
        <v>9063019.1229999997</v>
      </c>
      <c r="K28" s="70">
        <v>365.9</v>
      </c>
      <c r="L28" s="6" t="s">
        <v>373</v>
      </c>
      <c r="M28" s="6" t="s">
        <v>374</v>
      </c>
      <c r="N28" s="71">
        <v>308</v>
      </c>
      <c r="O28" s="72">
        <v>48</v>
      </c>
      <c r="P28" s="73">
        <v>-19</v>
      </c>
      <c r="Q28" s="73">
        <v>-22.3</v>
      </c>
      <c r="R28" s="73">
        <v>-3.3000000000000007</v>
      </c>
      <c r="S28" s="71">
        <v>304.7</v>
      </c>
      <c r="T28" s="72" t="s">
        <v>375</v>
      </c>
      <c r="U28" s="6"/>
    </row>
    <row r="29" spans="1:21" x14ac:dyDescent="0.25">
      <c r="A29" s="6" t="s">
        <v>419</v>
      </c>
      <c r="B29" s="69">
        <v>45322</v>
      </c>
      <c r="C29" s="6" t="s">
        <v>425</v>
      </c>
      <c r="D29" s="6" t="s">
        <v>426</v>
      </c>
      <c r="E29" s="6" t="s">
        <v>413</v>
      </c>
      <c r="F29" s="70">
        <v>175063.46</v>
      </c>
      <c r="G29" s="70">
        <v>9063011.3599999994</v>
      </c>
      <c r="H29" s="70">
        <v>377.556772823546</v>
      </c>
      <c r="I29" s="70">
        <v>175063.4578</v>
      </c>
      <c r="J29" s="70">
        <v>9063011.3560000006</v>
      </c>
      <c r="K29" s="70">
        <v>365.9</v>
      </c>
      <c r="L29" s="6" t="s">
        <v>373</v>
      </c>
      <c r="M29" s="6" t="s">
        <v>374</v>
      </c>
      <c r="N29" s="71">
        <v>242</v>
      </c>
      <c r="O29" s="72">
        <v>88</v>
      </c>
      <c r="P29" s="73">
        <v>-19</v>
      </c>
      <c r="Q29" s="73">
        <v>-22.3</v>
      </c>
      <c r="R29" s="73">
        <v>-3.3000000000000007</v>
      </c>
      <c r="S29" s="71">
        <v>238.7</v>
      </c>
      <c r="T29" s="72" t="s">
        <v>375</v>
      </c>
      <c r="U29" s="6"/>
    </row>
    <row r="30" spans="1:21" x14ac:dyDescent="0.25">
      <c r="A30" s="6" t="s">
        <v>419</v>
      </c>
      <c r="B30" s="69">
        <v>45322</v>
      </c>
      <c r="C30" s="6" t="s">
        <v>427</v>
      </c>
      <c r="D30" s="6" t="s">
        <v>428</v>
      </c>
      <c r="E30" s="6" t="s">
        <v>413</v>
      </c>
      <c r="F30" s="70">
        <v>175084.61</v>
      </c>
      <c r="G30" s="70">
        <v>9063027.5099999998</v>
      </c>
      <c r="H30" s="70">
        <v>377.28190174312698</v>
      </c>
      <c r="I30" s="70">
        <v>175084.6134</v>
      </c>
      <c r="J30" s="70">
        <v>9063027.5069999993</v>
      </c>
      <c r="K30" s="70">
        <v>368.6</v>
      </c>
      <c r="L30" s="6" t="s">
        <v>373</v>
      </c>
      <c r="M30" s="6" t="s">
        <v>374</v>
      </c>
      <c r="N30" s="71">
        <v>140</v>
      </c>
      <c r="O30" s="72">
        <v>26</v>
      </c>
      <c r="P30" s="73">
        <v>-19</v>
      </c>
      <c r="Q30" s="73">
        <v>-22.3</v>
      </c>
      <c r="R30" s="73">
        <v>-3.3000000000000007</v>
      </c>
      <c r="S30" s="71">
        <v>136.69999999999999</v>
      </c>
      <c r="T30" s="72" t="s">
        <v>375</v>
      </c>
      <c r="U30" s="6"/>
    </row>
    <row r="31" spans="1:21" x14ac:dyDescent="0.25">
      <c r="A31" s="6" t="s">
        <v>429</v>
      </c>
      <c r="B31" s="69">
        <v>45322</v>
      </c>
      <c r="C31" s="6" t="s">
        <v>430</v>
      </c>
      <c r="D31" s="6" t="s">
        <v>431</v>
      </c>
      <c r="E31" s="6" t="s">
        <v>413</v>
      </c>
      <c r="F31" s="70">
        <v>175085.19</v>
      </c>
      <c r="G31" s="70">
        <v>9063035.5</v>
      </c>
      <c r="H31" s="70">
        <v>380.11905555555302</v>
      </c>
      <c r="I31" s="70">
        <v>175085.189415</v>
      </c>
      <c r="J31" s="70">
        <v>9063035.5000400003</v>
      </c>
      <c r="K31" s="70">
        <v>380.11949185499998</v>
      </c>
      <c r="L31" s="6" t="s">
        <v>373</v>
      </c>
      <c r="M31" s="6" t="s">
        <v>374</v>
      </c>
      <c r="N31" s="6">
        <v>191</v>
      </c>
      <c r="O31" s="72">
        <v>64</v>
      </c>
      <c r="P31" s="73">
        <v>-19</v>
      </c>
      <c r="Q31" s="73">
        <v>-22.3</v>
      </c>
      <c r="R31" s="73">
        <v>-3.3000000000000007</v>
      </c>
      <c r="S31" s="71">
        <v>187.7</v>
      </c>
      <c r="T31" s="72" t="s">
        <v>375</v>
      </c>
      <c r="U31" s="6"/>
    </row>
    <row r="32" spans="1:21" x14ac:dyDescent="0.25">
      <c r="A32" s="6" t="s">
        <v>429</v>
      </c>
      <c r="B32" s="69">
        <v>45322</v>
      </c>
      <c r="C32" s="6" t="s">
        <v>432</v>
      </c>
      <c r="D32" s="6" t="s">
        <v>431</v>
      </c>
      <c r="E32" s="6" t="s">
        <v>413</v>
      </c>
      <c r="F32" s="70">
        <v>175093.62</v>
      </c>
      <c r="G32" s="70">
        <v>9063049.1400000006</v>
      </c>
      <c r="H32" s="70">
        <v>380.38183333346001</v>
      </c>
      <c r="I32" s="70">
        <v>175093.62403899999</v>
      </c>
      <c r="J32" s="70">
        <v>9063049.1432000007</v>
      </c>
      <c r="K32" s="70">
        <v>380.38034555000002</v>
      </c>
      <c r="L32" s="6" t="s">
        <v>373</v>
      </c>
      <c r="M32" s="6" t="s">
        <v>374</v>
      </c>
      <c r="N32" s="71">
        <v>205</v>
      </c>
      <c r="O32" s="72">
        <v>42</v>
      </c>
      <c r="P32" s="73">
        <v>-19</v>
      </c>
      <c r="Q32" s="73">
        <v>-22.3</v>
      </c>
      <c r="R32" s="73">
        <v>-3.3000000000000007</v>
      </c>
      <c r="S32" s="71">
        <v>201.7</v>
      </c>
      <c r="T32" s="72" t="s">
        <v>375</v>
      </c>
      <c r="U32" s="6"/>
    </row>
    <row r="33" spans="1:21" x14ac:dyDescent="0.25">
      <c r="A33" s="6" t="s">
        <v>429</v>
      </c>
      <c r="B33" s="69">
        <v>45322</v>
      </c>
      <c r="C33" s="6" t="s">
        <v>433</v>
      </c>
      <c r="D33" s="6" t="s">
        <v>434</v>
      </c>
      <c r="E33" s="6" t="s">
        <v>413</v>
      </c>
      <c r="F33" s="70">
        <v>175086.07</v>
      </c>
      <c r="G33" s="70">
        <v>9063029.5500000007</v>
      </c>
      <c r="H33" s="70">
        <v>377.72538827306499</v>
      </c>
      <c r="I33" s="70">
        <v>175086.0675</v>
      </c>
      <c r="J33" s="70">
        <v>9063029.5480000004</v>
      </c>
      <c r="K33" s="70">
        <v>368.3</v>
      </c>
      <c r="L33" s="6" t="s">
        <v>373</v>
      </c>
      <c r="M33" s="6" t="s">
        <v>374</v>
      </c>
      <c r="N33" s="71">
        <v>75</v>
      </c>
      <c r="O33" s="72">
        <v>51</v>
      </c>
      <c r="P33" s="73">
        <v>-19</v>
      </c>
      <c r="Q33" s="73">
        <v>-22.3</v>
      </c>
      <c r="R33" s="73">
        <v>-3.3000000000000007</v>
      </c>
      <c r="S33" s="71">
        <v>71.7</v>
      </c>
      <c r="T33" s="72" t="s">
        <v>375</v>
      </c>
      <c r="U33" s="6"/>
    </row>
    <row r="34" spans="1:21" x14ac:dyDescent="0.25">
      <c r="A34" s="6" t="s">
        <v>435</v>
      </c>
      <c r="B34" s="69">
        <v>45322</v>
      </c>
      <c r="C34" s="6" t="s">
        <v>436</v>
      </c>
      <c r="D34" s="6" t="s">
        <v>437</v>
      </c>
      <c r="E34" s="6" t="s">
        <v>413</v>
      </c>
      <c r="F34" s="70">
        <v>175098.55</v>
      </c>
      <c r="G34" s="70">
        <v>9063054.8300000001</v>
      </c>
      <c r="H34" s="70">
        <v>378.35114926742</v>
      </c>
      <c r="I34" s="70">
        <v>175098.55069999999</v>
      </c>
      <c r="J34" s="70">
        <v>9063054.8269999996</v>
      </c>
      <c r="K34" s="70">
        <v>376.6</v>
      </c>
      <c r="L34" s="6" t="s">
        <v>373</v>
      </c>
      <c r="M34" s="6" t="s">
        <v>374</v>
      </c>
      <c r="N34" s="71">
        <v>151</v>
      </c>
      <c r="O34" s="72">
        <v>41</v>
      </c>
      <c r="P34" s="73">
        <v>-19</v>
      </c>
      <c r="Q34" s="73">
        <v>-22.3</v>
      </c>
      <c r="R34" s="73">
        <v>-3.3000000000000007</v>
      </c>
      <c r="S34" s="71">
        <v>147.69999999999999</v>
      </c>
      <c r="T34" s="72" t="s">
        <v>375</v>
      </c>
      <c r="U34" s="6"/>
    </row>
    <row r="35" spans="1:21" x14ac:dyDescent="0.25">
      <c r="A35" s="6" t="s">
        <v>435</v>
      </c>
      <c r="B35" s="69">
        <v>45322</v>
      </c>
      <c r="C35" s="6" t="s">
        <v>438</v>
      </c>
      <c r="D35" s="6" t="s">
        <v>437</v>
      </c>
      <c r="E35" s="6" t="s">
        <v>413</v>
      </c>
      <c r="F35" s="70">
        <v>175098.98</v>
      </c>
      <c r="G35" s="70">
        <v>9063055.0500000007</v>
      </c>
      <c r="H35" s="70">
        <v>378.18297161187201</v>
      </c>
      <c r="I35" s="70">
        <v>175098.97769999999</v>
      </c>
      <c r="J35" s="70">
        <v>9063055.0460000001</v>
      </c>
      <c r="K35" s="70">
        <v>377.1</v>
      </c>
      <c r="L35" s="6" t="s">
        <v>373</v>
      </c>
      <c r="M35" s="6" t="s">
        <v>374</v>
      </c>
      <c r="N35" s="71">
        <v>155</v>
      </c>
      <c r="O35" s="72">
        <v>40</v>
      </c>
      <c r="P35" s="73">
        <v>-19</v>
      </c>
      <c r="Q35" s="73">
        <v>-22.3</v>
      </c>
      <c r="R35" s="73">
        <v>-3.3000000000000007</v>
      </c>
      <c r="S35" s="71">
        <v>151.69999999999999</v>
      </c>
      <c r="T35" s="72" t="s">
        <v>375</v>
      </c>
      <c r="U35" s="6"/>
    </row>
    <row r="36" spans="1:21" x14ac:dyDescent="0.25">
      <c r="A36" s="6" t="s">
        <v>435</v>
      </c>
      <c r="B36" s="69">
        <v>45322</v>
      </c>
      <c r="C36" s="6" t="s">
        <v>439</v>
      </c>
      <c r="D36" s="6" t="s">
        <v>440</v>
      </c>
      <c r="E36" s="6" t="s">
        <v>413</v>
      </c>
      <c r="F36" s="70">
        <v>175102.6</v>
      </c>
      <c r="G36" s="70">
        <v>9063061.9299999997</v>
      </c>
      <c r="H36" s="70">
        <v>377.78833783777498</v>
      </c>
      <c r="I36" s="70">
        <v>175102.59940000001</v>
      </c>
      <c r="J36" s="70">
        <v>9063061.9299999997</v>
      </c>
      <c r="K36" s="70">
        <v>374.8</v>
      </c>
      <c r="L36" s="6" t="s">
        <v>373</v>
      </c>
      <c r="M36" s="6" t="s">
        <v>374</v>
      </c>
      <c r="N36" s="71">
        <v>310</v>
      </c>
      <c r="O36" s="72">
        <v>59</v>
      </c>
      <c r="P36" s="73">
        <v>-19</v>
      </c>
      <c r="Q36" s="73">
        <v>-22.3</v>
      </c>
      <c r="R36" s="73">
        <v>-3.3000000000000007</v>
      </c>
      <c r="S36" s="71">
        <v>306.7</v>
      </c>
      <c r="T36" s="72" t="s">
        <v>375</v>
      </c>
      <c r="U36" s="6"/>
    </row>
    <row r="37" spans="1:21" x14ac:dyDescent="0.25">
      <c r="A37" s="6" t="s">
        <v>435</v>
      </c>
      <c r="B37" s="69">
        <v>45322</v>
      </c>
      <c r="C37" s="6" t="s">
        <v>441</v>
      </c>
      <c r="D37" s="6" t="s">
        <v>440</v>
      </c>
      <c r="E37" s="6" t="s">
        <v>413</v>
      </c>
      <c r="F37" s="70">
        <v>175103.3</v>
      </c>
      <c r="G37" s="70">
        <v>9063062.9800000004</v>
      </c>
      <c r="H37" s="70">
        <v>377.78009090917101</v>
      </c>
      <c r="I37" s="70">
        <v>175103.29560000001</v>
      </c>
      <c r="J37" s="70">
        <v>9063062.9810000006</v>
      </c>
      <c r="K37" s="70">
        <v>376.2</v>
      </c>
      <c r="L37" s="6" t="s">
        <v>373</v>
      </c>
      <c r="M37" s="6" t="s">
        <v>374</v>
      </c>
      <c r="N37" s="71">
        <v>278</v>
      </c>
      <c r="O37" s="72">
        <v>54</v>
      </c>
      <c r="P37" s="73">
        <v>-19</v>
      </c>
      <c r="Q37" s="73">
        <v>-22.3</v>
      </c>
      <c r="R37" s="73">
        <v>-3.3000000000000007</v>
      </c>
      <c r="S37" s="71">
        <v>274.7</v>
      </c>
      <c r="T37" s="72" t="s">
        <v>375</v>
      </c>
      <c r="U37" s="6"/>
    </row>
    <row r="38" spans="1:21" x14ac:dyDescent="0.25">
      <c r="A38" s="6" t="s">
        <v>435</v>
      </c>
      <c r="B38" s="69">
        <v>45322</v>
      </c>
      <c r="C38" s="6" t="s">
        <v>442</v>
      </c>
      <c r="D38" s="6" t="s">
        <v>440</v>
      </c>
      <c r="E38" s="6" t="s">
        <v>413</v>
      </c>
      <c r="F38" s="70">
        <v>175102.61</v>
      </c>
      <c r="G38" s="70">
        <v>9063064.4199999999</v>
      </c>
      <c r="H38" s="70">
        <v>378.309622641494</v>
      </c>
      <c r="I38" s="70">
        <v>175102.61110000001</v>
      </c>
      <c r="J38" s="70">
        <v>9063064.4210000001</v>
      </c>
      <c r="K38" s="70">
        <v>374.2</v>
      </c>
      <c r="L38" s="6" t="s">
        <v>373</v>
      </c>
      <c r="M38" s="6" t="s">
        <v>374</v>
      </c>
      <c r="N38" s="71">
        <v>101</v>
      </c>
      <c r="O38" s="72">
        <v>74</v>
      </c>
      <c r="P38" s="73">
        <v>-19</v>
      </c>
      <c r="Q38" s="73">
        <v>-22.3</v>
      </c>
      <c r="R38" s="73">
        <v>-3.3000000000000007</v>
      </c>
      <c r="S38" s="71">
        <v>97.7</v>
      </c>
      <c r="T38" s="72" t="s">
        <v>375</v>
      </c>
      <c r="U38" s="6"/>
    </row>
    <row r="39" spans="1:21" x14ac:dyDescent="0.25">
      <c r="A39" s="6" t="s">
        <v>435</v>
      </c>
      <c r="B39" s="69">
        <v>45322</v>
      </c>
      <c r="C39" s="6" t="s">
        <v>443</v>
      </c>
      <c r="D39" s="6" t="s">
        <v>444</v>
      </c>
      <c r="E39" s="6" t="s">
        <v>413</v>
      </c>
      <c r="F39" s="70">
        <v>175105.91</v>
      </c>
      <c r="G39" s="70">
        <v>9063068.9700000007</v>
      </c>
      <c r="H39" s="70">
        <v>378.10301886811197</v>
      </c>
      <c r="I39" s="70">
        <v>175105.91380000001</v>
      </c>
      <c r="J39" s="70">
        <v>9063068.9670000002</v>
      </c>
      <c r="K39" s="70">
        <v>376.1</v>
      </c>
      <c r="L39" s="6" t="s">
        <v>373</v>
      </c>
      <c r="M39" s="6" t="s">
        <v>409</v>
      </c>
      <c r="N39" s="71">
        <v>35</v>
      </c>
      <c r="O39" s="72">
        <v>74</v>
      </c>
      <c r="P39" s="73">
        <v>-19</v>
      </c>
      <c r="Q39" s="73">
        <v>-22.3</v>
      </c>
      <c r="R39" s="73">
        <v>-3.3000000000000007</v>
      </c>
      <c r="S39" s="71">
        <v>31.7</v>
      </c>
      <c r="T39" s="72" t="s">
        <v>375</v>
      </c>
      <c r="U39" s="6"/>
    </row>
    <row r="40" spans="1:21" x14ac:dyDescent="0.25">
      <c r="A40" s="6" t="s">
        <v>435</v>
      </c>
      <c r="B40" s="69">
        <v>45322</v>
      </c>
      <c r="C40" s="6" t="s">
        <v>445</v>
      </c>
      <c r="D40" s="6" t="s">
        <v>440</v>
      </c>
      <c r="E40" s="6" t="s">
        <v>413</v>
      </c>
      <c r="F40" s="70">
        <v>175106</v>
      </c>
      <c r="G40" s="70">
        <v>9063073.4600000009</v>
      </c>
      <c r="H40" s="70">
        <v>379.42651732909201</v>
      </c>
      <c r="I40" s="70">
        <v>175106.00219999999</v>
      </c>
      <c r="J40" s="70">
        <v>9063073.4570000004</v>
      </c>
      <c r="K40" s="70">
        <v>368.7</v>
      </c>
      <c r="L40" s="6" t="s">
        <v>373</v>
      </c>
      <c r="M40" s="6" t="s">
        <v>374</v>
      </c>
      <c r="N40" s="71">
        <v>114</v>
      </c>
      <c r="O40" s="72">
        <v>59</v>
      </c>
      <c r="P40" s="73">
        <v>-19</v>
      </c>
      <c r="Q40" s="73">
        <v>-22.3</v>
      </c>
      <c r="R40" s="73">
        <v>-3.3000000000000007</v>
      </c>
      <c r="S40" s="71">
        <v>110.7</v>
      </c>
      <c r="T40" s="72" t="s">
        <v>375</v>
      </c>
      <c r="U40" s="6"/>
    </row>
    <row r="41" spans="1:21" x14ac:dyDescent="0.25">
      <c r="A41" s="6" t="s">
        <v>446</v>
      </c>
      <c r="B41" s="69">
        <v>45322</v>
      </c>
      <c r="C41" s="6" t="s">
        <v>447</v>
      </c>
      <c r="D41" s="6" t="s">
        <v>448</v>
      </c>
      <c r="E41" s="6" t="s">
        <v>413</v>
      </c>
      <c r="F41" s="70">
        <v>175107.45</v>
      </c>
      <c r="G41" s="70">
        <v>9063076.9399999995</v>
      </c>
      <c r="H41" s="70">
        <v>379.95932193017097</v>
      </c>
      <c r="I41" s="70">
        <v>175107.44529999999</v>
      </c>
      <c r="J41" s="70">
        <v>9063076.943</v>
      </c>
      <c r="K41" s="70">
        <v>367</v>
      </c>
      <c r="L41" s="6" t="s">
        <v>373</v>
      </c>
      <c r="M41" s="6" t="s">
        <v>374</v>
      </c>
      <c r="N41" s="71">
        <v>189</v>
      </c>
      <c r="O41" s="72">
        <v>50</v>
      </c>
      <c r="P41" s="73">
        <v>-19</v>
      </c>
      <c r="Q41" s="73">
        <v>-22.3</v>
      </c>
      <c r="R41" s="73">
        <v>-3.3000000000000007</v>
      </c>
      <c r="S41" s="71">
        <v>185.7</v>
      </c>
      <c r="T41" s="72" t="s">
        <v>375</v>
      </c>
      <c r="U41" s="6"/>
    </row>
    <row r="42" spans="1:21" x14ac:dyDescent="0.25">
      <c r="A42" s="6" t="s">
        <v>446</v>
      </c>
      <c r="B42" s="69">
        <v>45322</v>
      </c>
      <c r="C42" s="6" t="s">
        <v>449</v>
      </c>
      <c r="D42" s="6" t="s">
        <v>450</v>
      </c>
      <c r="E42" s="6" t="s">
        <v>413</v>
      </c>
      <c r="F42" s="70">
        <v>175107.84</v>
      </c>
      <c r="G42" s="70">
        <v>9063077.7799999993</v>
      </c>
      <c r="H42" s="70">
        <v>380.12048258986601</v>
      </c>
      <c r="I42" s="70">
        <v>175107.837</v>
      </c>
      <c r="J42" s="70">
        <v>9063077.7760000005</v>
      </c>
      <c r="K42" s="70">
        <v>370</v>
      </c>
      <c r="L42" s="6" t="s">
        <v>373</v>
      </c>
      <c r="M42" s="6" t="s">
        <v>374</v>
      </c>
      <c r="N42" s="71">
        <v>180</v>
      </c>
      <c r="O42" s="72">
        <v>41</v>
      </c>
      <c r="P42" s="73">
        <v>-19</v>
      </c>
      <c r="Q42" s="73">
        <v>-22.3</v>
      </c>
      <c r="R42" s="73">
        <v>-3.3000000000000007</v>
      </c>
      <c r="S42" s="71">
        <v>176.7</v>
      </c>
      <c r="T42" s="72" t="s">
        <v>375</v>
      </c>
      <c r="U42" s="6"/>
    </row>
    <row r="43" spans="1:21" x14ac:dyDescent="0.25">
      <c r="A43" s="6" t="s">
        <v>446</v>
      </c>
      <c r="B43" s="69">
        <v>45322</v>
      </c>
      <c r="C43" s="6" t="s">
        <v>451</v>
      </c>
      <c r="D43" s="6" t="s">
        <v>452</v>
      </c>
      <c r="E43" s="6" t="s">
        <v>413</v>
      </c>
      <c r="F43" s="70">
        <v>175106.83</v>
      </c>
      <c r="G43" s="70">
        <v>9063073.5600000005</v>
      </c>
      <c r="H43" s="70">
        <v>379.05235841098198</v>
      </c>
      <c r="I43" s="70">
        <v>175106.82800000001</v>
      </c>
      <c r="J43" s="70">
        <v>9063073.5549999997</v>
      </c>
      <c r="K43" s="70">
        <v>368.6</v>
      </c>
      <c r="L43" s="6" t="s">
        <v>373</v>
      </c>
      <c r="M43" s="6" t="s">
        <v>374</v>
      </c>
      <c r="N43" s="71">
        <v>302</v>
      </c>
      <c r="O43" s="72">
        <v>48</v>
      </c>
      <c r="P43" s="73">
        <v>-19</v>
      </c>
      <c r="Q43" s="73">
        <v>-22.3</v>
      </c>
      <c r="R43" s="73">
        <v>-3.3000000000000007</v>
      </c>
      <c r="S43" s="71">
        <v>298.7</v>
      </c>
      <c r="T43" s="72" t="s">
        <v>375</v>
      </c>
      <c r="U43" s="6"/>
    </row>
    <row r="44" spans="1:21" x14ac:dyDescent="0.25">
      <c r="A44" s="6" t="s">
        <v>446</v>
      </c>
      <c r="B44" s="69">
        <v>45322</v>
      </c>
      <c r="C44" s="6" t="s">
        <v>453</v>
      </c>
      <c r="D44" s="6" t="s">
        <v>452</v>
      </c>
      <c r="E44" s="6" t="s">
        <v>413</v>
      </c>
      <c r="F44" s="70">
        <v>175112.56</v>
      </c>
      <c r="G44" s="70">
        <v>9063080.4000000004</v>
      </c>
      <c r="H44" s="70">
        <v>379.32484033622501</v>
      </c>
      <c r="I44" s="70">
        <v>175112.5626</v>
      </c>
      <c r="J44" s="70">
        <v>9063080.3949999996</v>
      </c>
      <c r="K44" s="70">
        <v>368.4</v>
      </c>
      <c r="L44" s="6" t="s">
        <v>373</v>
      </c>
      <c r="M44" s="6" t="s">
        <v>374</v>
      </c>
      <c r="N44" s="71">
        <v>314</v>
      </c>
      <c r="O44" s="72">
        <v>48</v>
      </c>
      <c r="P44" s="73">
        <v>-19</v>
      </c>
      <c r="Q44" s="73">
        <v>-22.3</v>
      </c>
      <c r="R44" s="73">
        <v>-3.3000000000000007</v>
      </c>
      <c r="S44" s="71">
        <v>310.7</v>
      </c>
      <c r="T44" s="72" t="s">
        <v>375</v>
      </c>
      <c r="U44" s="6"/>
    </row>
    <row r="45" spans="1:21" x14ac:dyDescent="0.25">
      <c r="A45" s="6" t="s">
        <v>454</v>
      </c>
      <c r="B45" s="69">
        <v>45322</v>
      </c>
      <c r="C45" s="6" t="s">
        <v>455</v>
      </c>
      <c r="D45" s="6" t="s">
        <v>456</v>
      </c>
      <c r="E45" s="6" t="s">
        <v>413</v>
      </c>
      <c r="F45" s="70">
        <v>175130.49</v>
      </c>
      <c r="G45" s="70">
        <v>9063098.6999999993</v>
      </c>
      <c r="H45" s="70">
        <v>377.62314960607898</v>
      </c>
      <c r="I45" s="70">
        <v>175130.4872</v>
      </c>
      <c r="J45" s="70">
        <v>9063098.7039999999</v>
      </c>
      <c r="K45" s="70">
        <v>369.5</v>
      </c>
      <c r="L45" s="6" t="s">
        <v>373</v>
      </c>
      <c r="M45" s="6" t="s">
        <v>374</v>
      </c>
      <c r="N45" s="71">
        <v>155</v>
      </c>
      <c r="O45" s="72">
        <v>59</v>
      </c>
      <c r="P45" s="73">
        <v>-19</v>
      </c>
      <c r="Q45" s="73">
        <v>-22.3</v>
      </c>
      <c r="R45" s="73">
        <v>-3.3000000000000007</v>
      </c>
      <c r="S45" s="71">
        <v>151.69999999999999</v>
      </c>
      <c r="T45" s="72" t="s">
        <v>375</v>
      </c>
      <c r="U45" s="6"/>
    </row>
    <row r="46" spans="1:21" x14ac:dyDescent="0.25">
      <c r="A46" s="6" t="s">
        <v>457</v>
      </c>
      <c r="B46" s="69">
        <v>45322</v>
      </c>
      <c r="C46" s="6" t="s">
        <v>458</v>
      </c>
      <c r="D46" s="6" t="s">
        <v>459</v>
      </c>
      <c r="E46" s="6" t="s">
        <v>413</v>
      </c>
      <c r="F46" s="70">
        <v>175137.87</v>
      </c>
      <c r="G46" s="70">
        <v>9063113.8599999994</v>
      </c>
      <c r="H46" s="70">
        <v>379.41422319464402</v>
      </c>
      <c r="I46" s="70">
        <v>175137.8731</v>
      </c>
      <c r="J46" s="70">
        <v>9063113.8589999992</v>
      </c>
      <c r="K46" s="70">
        <v>368</v>
      </c>
      <c r="L46" s="6" t="s">
        <v>373</v>
      </c>
      <c r="M46" s="6" t="s">
        <v>374</v>
      </c>
      <c r="N46" s="71">
        <v>279</v>
      </c>
      <c r="O46" s="72">
        <v>50</v>
      </c>
      <c r="P46" s="73">
        <v>-19</v>
      </c>
      <c r="Q46" s="73">
        <v>-22.3</v>
      </c>
      <c r="R46" s="73">
        <v>-3.3000000000000007</v>
      </c>
      <c r="S46" s="71">
        <v>275.7</v>
      </c>
      <c r="T46" s="72" t="s">
        <v>375</v>
      </c>
      <c r="U46" s="6"/>
    </row>
    <row r="47" spans="1:21" x14ac:dyDescent="0.25">
      <c r="A47" s="6" t="s">
        <v>457</v>
      </c>
      <c r="B47" s="69">
        <v>45322</v>
      </c>
      <c r="C47" s="6" t="s">
        <v>460</v>
      </c>
      <c r="D47" s="6" t="s">
        <v>461</v>
      </c>
      <c r="E47" s="6" t="s">
        <v>413</v>
      </c>
      <c r="F47" s="70">
        <v>175139.89</v>
      </c>
      <c r="G47" s="70">
        <v>9063118.0600000005</v>
      </c>
      <c r="H47" s="70">
        <v>379.50114851493203</v>
      </c>
      <c r="I47" s="70">
        <v>175139.89259999999</v>
      </c>
      <c r="J47" s="70">
        <v>9063118.0559999999</v>
      </c>
      <c r="K47" s="70">
        <v>370.5</v>
      </c>
      <c r="L47" s="6" t="s">
        <v>373</v>
      </c>
      <c r="M47" s="6" t="s">
        <v>374</v>
      </c>
      <c r="N47" s="71">
        <v>106</v>
      </c>
      <c r="O47" s="72">
        <v>52</v>
      </c>
      <c r="P47" s="73">
        <v>-19</v>
      </c>
      <c r="Q47" s="73">
        <v>-22.3</v>
      </c>
      <c r="R47" s="73">
        <v>-3.3000000000000007</v>
      </c>
      <c r="S47" s="71">
        <v>102.7</v>
      </c>
      <c r="T47" s="72" t="s">
        <v>375</v>
      </c>
      <c r="U47" s="6"/>
    </row>
    <row r="48" spans="1:21" x14ac:dyDescent="0.25">
      <c r="A48" s="6" t="s">
        <v>457</v>
      </c>
      <c r="B48" s="69">
        <v>45322</v>
      </c>
      <c r="C48" s="6" t="s">
        <v>462</v>
      </c>
      <c r="D48" s="6" t="s">
        <v>463</v>
      </c>
      <c r="E48" s="6" t="s">
        <v>413</v>
      </c>
      <c r="F48" s="70">
        <v>175141.36</v>
      </c>
      <c r="G48" s="70">
        <v>9063118.6500000004</v>
      </c>
      <c r="H48" s="70">
        <v>379.14080568726899</v>
      </c>
      <c r="I48" s="70">
        <v>175141.35759999999</v>
      </c>
      <c r="J48" s="70">
        <v>9063118.6520000007</v>
      </c>
      <c r="K48" s="70">
        <v>371.2</v>
      </c>
      <c r="L48" s="6" t="s">
        <v>373</v>
      </c>
      <c r="M48" s="6" t="s">
        <v>374</v>
      </c>
      <c r="N48" s="71">
        <v>195</v>
      </c>
      <c r="O48" s="72">
        <v>63</v>
      </c>
      <c r="P48" s="73">
        <v>-19</v>
      </c>
      <c r="Q48" s="73">
        <v>-22.3</v>
      </c>
      <c r="R48" s="73">
        <v>-3.3000000000000007</v>
      </c>
      <c r="S48" s="71">
        <v>191.7</v>
      </c>
      <c r="T48" s="72" t="s">
        <v>375</v>
      </c>
      <c r="U48" s="6"/>
    </row>
    <row r="49" spans="1:21" x14ac:dyDescent="0.25">
      <c r="A49" s="6" t="s">
        <v>464</v>
      </c>
      <c r="B49" s="69">
        <v>45322</v>
      </c>
      <c r="C49" s="6" t="s">
        <v>465</v>
      </c>
      <c r="D49" s="6" t="s">
        <v>466</v>
      </c>
      <c r="E49" s="6" t="s">
        <v>413</v>
      </c>
      <c r="F49" s="70">
        <v>175149.196</v>
      </c>
      <c r="G49" s="70">
        <v>9063111.2029999997</v>
      </c>
      <c r="H49" s="70">
        <v>375.06649077087002</v>
      </c>
      <c r="I49" s="70">
        <v>175144.27009999999</v>
      </c>
      <c r="J49" s="70">
        <v>9063114.0920000002</v>
      </c>
      <c r="K49" s="70">
        <v>370</v>
      </c>
      <c r="L49" s="6" t="s">
        <v>373</v>
      </c>
      <c r="M49" s="6" t="s">
        <v>374</v>
      </c>
      <c r="N49" s="71">
        <v>150</v>
      </c>
      <c r="O49" s="72">
        <v>72</v>
      </c>
      <c r="P49" s="73">
        <v>-19</v>
      </c>
      <c r="Q49" s="73">
        <v>-22.3</v>
      </c>
      <c r="R49" s="73">
        <v>-3.3000000000000007</v>
      </c>
      <c r="S49" s="71">
        <v>146.69999999999999</v>
      </c>
      <c r="T49" s="72" t="s">
        <v>375</v>
      </c>
      <c r="U49" s="6"/>
    </row>
    <row r="50" spans="1:21" x14ac:dyDescent="0.25">
      <c r="A50" s="6" t="s">
        <v>464</v>
      </c>
      <c r="B50" s="69">
        <v>45322</v>
      </c>
      <c r="C50" s="6" t="s">
        <v>467</v>
      </c>
      <c r="D50" s="6" t="s">
        <v>466</v>
      </c>
      <c r="E50" s="6" t="s">
        <v>413</v>
      </c>
      <c r="F50" s="70">
        <v>175149.17800000001</v>
      </c>
      <c r="G50" s="70">
        <v>9063110.057</v>
      </c>
      <c r="H50" s="70">
        <v>375.00996212119401</v>
      </c>
      <c r="I50" s="70">
        <v>175144.06049999999</v>
      </c>
      <c r="J50" s="70">
        <v>9063113.4749999996</v>
      </c>
      <c r="K50" s="70">
        <v>368.8</v>
      </c>
      <c r="L50" s="6" t="s">
        <v>373</v>
      </c>
      <c r="M50" s="6" t="s">
        <v>374</v>
      </c>
      <c r="N50" s="71">
        <v>145</v>
      </c>
      <c r="O50" s="72">
        <v>68</v>
      </c>
      <c r="P50" s="73">
        <v>-19</v>
      </c>
      <c r="Q50" s="73">
        <v>-22.3</v>
      </c>
      <c r="R50" s="73">
        <v>-3.3000000000000007</v>
      </c>
      <c r="S50" s="71">
        <v>141.69999999999999</v>
      </c>
      <c r="T50" s="72" t="s">
        <v>375</v>
      </c>
      <c r="U50" s="6"/>
    </row>
    <row r="51" spans="1:21" x14ac:dyDescent="0.25">
      <c r="A51" s="6" t="s">
        <v>464</v>
      </c>
      <c r="B51" s="69">
        <v>45322</v>
      </c>
      <c r="C51" s="6" t="s">
        <v>468</v>
      </c>
      <c r="D51" s="6" t="s">
        <v>466</v>
      </c>
      <c r="E51" s="6" t="s">
        <v>413</v>
      </c>
      <c r="F51" s="70">
        <v>175149.742</v>
      </c>
      <c r="G51" s="70">
        <v>9063112.7819999997</v>
      </c>
      <c r="H51" s="70">
        <v>374.82035613459198</v>
      </c>
      <c r="I51" s="70">
        <v>175143.31520000001</v>
      </c>
      <c r="J51" s="70">
        <v>9063114.8530000001</v>
      </c>
      <c r="K51" s="70">
        <v>368.9</v>
      </c>
      <c r="L51" s="6" t="s">
        <v>373</v>
      </c>
      <c r="M51" s="6" t="s">
        <v>374</v>
      </c>
      <c r="N51" s="71">
        <v>145</v>
      </c>
      <c r="O51" s="72">
        <v>68</v>
      </c>
      <c r="P51" s="73">
        <v>-19</v>
      </c>
      <c r="Q51" s="73">
        <v>-22.3</v>
      </c>
      <c r="R51" s="73">
        <v>-3.3000000000000007</v>
      </c>
      <c r="S51" s="71">
        <v>141.69999999999999</v>
      </c>
      <c r="T51" s="72" t="s">
        <v>375</v>
      </c>
      <c r="U51" s="6"/>
    </row>
    <row r="52" spans="1:21" x14ac:dyDescent="0.25">
      <c r="A52" s="6" t="s">
        <v>464</v>
      </c>
      <c r="B52" s="69">
        <v>45322</v>
      </c>
      <c r="C52" s="6" t="s">
        <v>469</v>
      </c>
      <c r="D52" s="6" t="s">
        <v>470</v>
      </c>
      <c r="E52" s="6" t="s">
        <v>413</v>
      </c>
      <c r="F52" s="70">
        <v>175150.11199999999</v>
      </c>
      <c r="G52" s="70">
        <v>9063117.6099999994</v>
      </c>
      <c r="H52" s="70">
        <v>375.45176629206401</v>
      </c>
      <c r="I52" s="70">
        <v>175146.1557</v>
      </c>
      <c r="J52" s="70">
        <v>9063119.7949999999</v>
      </c>
      <c r="K52" s="70">
        <v>369</v>
      </c>
      <c r="L52" s="6" t="s">
        <v>373</v>
      </c>
      <c r="M52" s="6" t="s">
        <v>374</v>
      </c>
      <c r="N52" s="71">
        <v>68</v>
      </c>
      <c r="O52" s="72">
        <v>49</v>
      </c>
      <c r="P52" s="73">
        <v>-19</v>
      </c>
      <c r="Q52" s="73">
        <v>-22.3</v>
      </c>
      <c r="R52" s="73">
        <v>-3.3000000000000007</v>
      </c>
      <c r="S52" s="71">
        <v>64.7</v>
      </c>
      <c r="T52" s="72" t="s">
        <v>375</v>
      </c>
      <c r="U52" s="6"/>
    </row>
    <row r="53" spans="1:21" x14ac:dyDescent="0.25">
      <c r="A53" s="6" t="s">
        <v>464</v>
      </c>
      <c r="B53" s="69">
        <v>45322</v>
      </c>
      <c r="C53" s="6" t="s">
        <v>471</v>
      </c>
      <c r="D53" s="6" t="s">
        <v>470</v>
      </c>
      <c r="E53" s="6" t="s">
        <v>413</v>
      </c>
      <c r="F53" s="70">
        <v>175150.22</v>
      </c>
      <c r="G53" s="70">
        <v>9063117.1889999993</v>
      </c>
      <c r="H53" s="70">
        <v>375.27263370777399</v>
      </c>
      <c r="I53" s="70">
        <v>175146.37650000001</v>
      </c>
      <c r="J53" s="70">
        <v>9063118.9360000007</v>
      </c>
      <c r="K53" s="70">
        <v>369</v>
      </c>
      <c r="L53" s="6" t="s">
        <v>373</v>
      </c>
      <c r="M53" s="6" t="s">
        <v>374</v>
      </c>
      <c r="N53" s="71">
        <v>75</v>
      </c>
      <c r="O53" s="72">
        <v>48</v>
      </c>
      <c r="P53" s="73">
        <v>-19</v>
      </c>
      <c r="Q53" s="73">
        <v>-22.3</v>
      </c>
      <c r="R53" s="73">
        <v>-3.3000000000000007</v>
      </c>
      <c r="S53" s="71">
        <v>71.7</v>
      </c>
      <c r="T53" s="72" t="s">
        <v>375</v>
      </c>
      <c r="U53" s="6"/>
    </row>
    <row r="54" spans="1:21" x14ac:dyDescent="0.25">
      <c r="A54" s="6" t="s">
        <v>472</v>
      </c>
      <c r="B54" s="69">
        <v>45322</v>
      </c>
      <c r="C54" s="6" t="s">
        <v>473</v>
      </c>
      <c r="D54" s="6" t="s">
        <v>474</v>
      </c>
      <c r="E54" s="6" t="s">
        <v>413</v>
      </c>
      <c r="F54" s="70">
        <v>175153.2297</v>
      </c>
      <c r="G54" s="70">
        <v>9063117.3249999993</v>
      </c>
      <c r="H54" s="70">
        <v>373.97830891634499</v>
      </c>
      <c r="I54" s="70">
        <v>175148.2297</v>
      </c>
      <c r="J54" s="70">
        <v>9063120.8249999993</v>
      </c>
      <c r="K54" s="70">
        <v>371.5</v>
      </c>
      <c r="L54" s="6" t="s">
        <v>373</v>
      </c>
      <c r="M54" s="6" t="s">
        <v>374</v>
      </c>
      <c r="N54" s="71">
        <v>182</v>
      </c>
      <c r="O54" s="72">
        <v>39</v>
      </c>
      <c r="P54" s="73">
        <v>-19</v>
      </c>
      <c r="Q54" s="73">
        <v>-22.3</v>
      </c>
      <c r="R54" s="73">
        <v>-3.3000000000000007</v>
      </c>
      <c r="S54" s="71">
        <v>178.7</v>
      </c>
      <c r="T54" s="72" t="s">
        <v>375</v>
      </c>
      <c r="U54" s="6"/>
    </row>
    <row r="55" spans="1:21" x14ac:dyDescent="0.25">
      <c r="A55" s="6" t="s">
        <v>472</v>
      </c>
      <c r="B55" s="69">
        <v>45322</v>
      </c>
      <c r="C55" s="6" t="s">
        <v>475</v>
      </c>
      <c r="D55" s="6" t="s">
        <v>476</v>
      </c>
      <c r="E55" s="6" t="s">
        <v>413</v>
      </c>
      <c r="F55" s="70">
        <v>175154.51439999999</v>
      </c>
      <c r="G55" s="70">
        <v>9063121.5170000009</v>
      </c>
      <c r="H55" s="70">
        <v>373.99007961734401</v>
      </c>
      <c r="I55" s="70">
        <v>175149.51439999999</v>
      </c>
      <c r="J55" s="70">
        <v>9063125.0170000009</v>
      </c>
      <c r="K55" s="70">
        <v>370.9</v>
      </c>
      <c r="L55" s="6" t="s">
        <v>373</v>
      </c>
      <c r="M55" s="6" t="s">
        <v>374</v>
      </c>
      <c r="N55" s="71">
        <v>11</v>
      </c>
      <c r="O55" s="72">
        <v>41</v>
      </c>
      <c r="P55" s="73">
        <v>-19</v>
      </c>
      <c r="Q55" s="73">
        <v>-22.3</v>
      </c>
      <c r="R55" s="73">
        <v>-3.3000000000000007</v>
      </c>
      <c r="S55" s="71">
        <v>7.6999999999999993</v>
      </c>
      <c r="T55" s="72" t="s">
        <v>375</v>
      </c>
      <c r="U55" s="6"/>
    </row>
    <row r="56" spans="1:21" x14ac:dyDescent="0.25">
      <c r="A56" s="6" t="s">
        <v>472</v>
      </c>
      <c r="B56" s="69">
        <v>45322</v>
      </c>
      <c r="C56" s="6" t="s">
        <v>477</v>
      </c>
      <c r="D56" s="6" t="s">
        <v>478</v>
      </c>
      <c r="E56" s="6" t="s">
        <v>413</v>
      </c>
      <c r="F56" s="70">
        <v>175155.0117</v>
      </c>
      <c r="G56" s="70">
        <v>9063132.6530000009</v>
      </c>
      <c r="H56" s="70">
        <v>375.94201558472702</v>
      </c>
      <c r="I56" s="70">
        <v>175150.0117</v>
      </c>
      <c r="J56" s="70">
        <v>9063136.1530000009</v>
      </c>
      <c r="K56" s="70">
        <v>368</v>
      </c>
      <c r="L56" s="6" t="s">
        <v>373</v>
      </c>
      <c r="M56" s="6" t="s">
        <v>374</v>
      </c>
      <c r="N56" s="71">
        <v>160</v>
      </c>
      <c r="O56" s="72">
        <v>45</v>
      </c>
      <c r="P56" s="73">
        <v>-19</v>
      </c>
      <c r="Q56" s="73">
        <v>-22.3</v>
      </c>
      <c r="R56" s="73">
        <v>-3.3000000000000007</v>
      </c>
      <c r="S56" s="71">
        <v>156.69999999999999</v>
      </c>
      <c r="T56" s="72" t="s">
        <v>375</v>
      </c>
      <c r="U56" s="6"/>
    </row>
    <row r="57" spans="1:21" x14ac:dyDescent="0.25">
      <c r="A57" s="6" t="s">
        <v>472</v>
      </c>
      <c r="B57" s="69">
        <v>45322</v>
      </c>
      <c r="C57" s="6" t="s">
        <v>479</v>
      </c>
      <c r="D57" s="6" t="s">
        <v>478</v>
      </c>
      <c r="E57" s="6" t="s">
        <v>413</v>
      </c>
      <c r="F57" s="70">
        <v>175155.9056</v>
      </c>
      <c r="G57" s="70">
        <v>9063131.8599999994</v>
      </c>
      <c r="H57" s="70">
        <v>374.760984615236</v>
      </c>
      <c r="I57" s="70">
        <v>175150.9056</v>
      </c>
      <c r="J57" s="70">
        <v>9063135.3599999994</v>
      </c>
      <c r="K57" s="70">
        <v>369.5</v>
      </c>
      <c r="L57" s="6" t="s">
        <v>373</v>
      </c>
      <c r="M57" s="6" t="s">
        <v>374</v>
      </c>
      <c r="N57" s="71">
        <v>155</v>
      </c>
      <c r="O57" s="72">
        <v>55</v>
      </c>
      <c r="P57" s="73">
        <v>-19</v>
      </c>
      <c r="Q57" s="73">
        <v>-22.3</v>
      </c>
      <c r="R57" s="73">
        <v>-3.3000000000000007</v>
      </c>
      <c r="S57" s="71">
        <v>151.69999999999999</v>
      </c>
      <c r="T57" s="72" t="s">
        <v>375</v>
      </c>
      <c r="U57" s="6"/>
    </row>
    <row r="58" spans="1:21" x14ac:dyDescent="0.25">
      <c r="A58" s="6" t="s">
        <v>472</v>
      </c>
      <c r="B58" s="69">
        <v>45322</v>
      </c>
      <c r="C58" s="6" t="s">
        <v>480</v>
      </c>
      <c r="D58" s="6" t="s">
        <v>478</v>
      </c>
      <c r="E58" s="6" t="s">
        <v>413</v>
      </c>
      <c r="F58" s="70">
        <v>175155.78080000001</v>
      </c>
      <c r="G58" s="70">
        <v>9063132.1669999994</v>
      </c>
      <c r="H58" s="70">
        <v>374.92567472512701</v>
      </c>
      <c r="I58" s="70">
        <v>175150.78080000001</v>
      </c>
      <c r="J58" s="70">
        <v>9063135.6669999994</v>
      </c>
      <c r="K58" s="70">
        <v>369.5</v>
      </c>
      <c r="L58" s="6" t="s">
        <v>373</v>
      </c>
      <c r="M58" s="6" t="s">
        <v>374</v>
      </c>
      <c r="N58" s="71">
        <v>135</v>
      </c>
      <c r="O58" s="72">
        <v>50</v>
      </c>
      <c r="P58" s="73">
        <v>-19</v>
      </c>
      <c r="Q58" s="73">
        <v>-22.3</v>
      </c>
      <c r="R58" s="73">
        <v>-3.3000000000000007</v>
      </c>
      <c r="S58" s="71">
        <v>131.69999999999999</v>
      </c>
      <c r="T58" s="72" t="s">
        <v>375</v>
      </c>
      <c r="U58" s="6"/>
    </row>
    <row r="59" spans="1:21" x14ac:dyDescent="0.25">
      <c r="A59" s="6" t="s">
        <v>472</v>
      </c>
      <c r="B59" s="69">
        <v>45322</v>
      </c>
      <c r="C59" s="6" t="s">
        <v>481</v>
      </c>
      <c r="D59" s="6" t="s">
        <v>482</v>
      </c>
      <c r="E59" s="6" t="s">
        <v>413</v>
      </c>
      <c r="F59" s="70">
        <v>175155.9032</v>
      </c>
      <c r="G59" s="70">
        <v>9063132.1669999994</v>
      </c>
      <c r="H59" s="70">
        <v>374.83959120864802</v>
      </c>
      <c r="I59" s="70">
        <v>175150.9032</v>
      </c>
      <c r="J59" s="70">
        <v>9063135.6669999994</v>
      </c>
      <c r="K59" s="70">
        <v>370.2</v>
      </c>
      <c r="L59" s="6" t="s">
        <v>373</v>
      </c>
      <c r="M59" s="6" t="s">
        <v>374</v>
      </c>
      <c r="N59" s="71">
        <v>90</v>
      </c>
      <c r="O59" s="72">
        <v>49</v>
      </c>
      <c r="P59" s="73">
        <v>-19</v>
      </c>
      <c r="Q59" s="73">
        <v>-22.3</v>
      </c>
      <c r="R59" s="73">
        <v>-3.3000000000000007</v>
      </c>
      <c r="S59" s="71">
        <v>86.7</v>
      </c>
      <c r="T59" s="72" t="s">
        <v>375</v>
      </c>
      <c r="U59" s="6"/>
    </row>
    <row r="60" spans="1:21" x14ac:dyDescent="0.25">
      <c r="A60" s="6" t="s">
        <v>472</v>
      </c>
      <c r="B60" s="69">
        <v>45322</v>
      </c>
      <c r="C60" s="6" t="s">
        <v>483</v>
      </c>
      <c r="D60" s="6" t="s">
        <v>484</v>
      </c>
      <c r="E60" s="6" t="s">
        <v>413</v>
      </c>
      <c r="F60" s="70">
        <v>175156.4798</v>
      </c>
      <c r="G60" s="70">
        <v>9063132.8479999993</v>
      </c>
      <c r="H60" s="70">
        <v>374.60469450531798</v>
      </c>
      <c r="I60" s="70">
        <v>175151.4798</v>
      </c>
      <c r="J60" s="70">
        <v>9063136.3479999993</v>
      </c>
      <c r="K60" s="70">
        <v>370.7</v>
      </c>
      <c r="L60" s="6" t="s">
        <v>373</v>
      </c>
      <c r="M60" s="6" t="s">
        <v>374</v>
      </c>
      <c r="N60" s="71">
        <v>110</v>
      </c>
      <c r="O60" s="72">
        <v>70</v>
      </c>
      <c r="P60" s="73">
        <v>-19</v>
      </c>
      <c r="Q60" s="73">
        <v>-22.3</v>
      </c>
      <c r="R60" s="73">
        <v>-3.3000000000000007</v>
      </c>
      <c r="S60" s="71">
        <v>106.7</v>
      </c>
      <c r="T60" s="72" t="s">
        <v>375</v>
      </c>
      <c r="U60" s="6"/>
    </row>
    <row r="61" spans="1:21" x14ac:dyDescent="0.25">
      <c r="A61" s="6" t="s">
        <v>485</v>
      </c>
      <c r="B61" s="69">
        <v>45322</v>
      </c>
      <c r="C61" s="6" t="s">
        <v>486</v>
      </c>
      <c r="D61" s="6" t="s">
        <v>487</v>
      </c>
      <c r="E61" s="6" t="s">
        <v>413</v>
      </c>
      <c r="F61" s="70">
        <v>175158.59969999999</v>
      </c>
      <c r="G61" s="70">
        <v>9063144.8000000007</v>
      </c>
      <c r="H61" s="70">
        <v>375.75525161343501</v>
      </c>
      <c r="I61" s="70">
        <v>175154.59969999999</v>
      </c>
      <c r="J61" s="70">
        <v>9063144.7980000004</v>
      </c>
      <c r="K61" s="70">
        <v>371</v>
      </c>
      <c r="L61" s="6" t="s">
        <v>373</v>
      </c>
      <c r="M61" s="6" t="s">
        <v>374</v>
      </c>
      <c r="N61" s="71">
        <v>60</v>
      </c>
      <c r="O61" s="72">
        <v>25</v>
      </c>
      <c r="P61" s="73">
        <v>-19</v>
      </c>
      <c r="Q61" s="73">
        <v>-22.3</v>
      </c>
      <c r="R61" s="73">
        <v>-3.3000000000000007</v>
      </c>
      <c r="S61" s="71">
        <v>56.7</v>
      </c>
      <c r="T61" s="72" t="s">
        <v>375</v>
      </c>
      <c r="U61" s="6"/>
    </row>
    <row r="62" spans="1:21" x14ac:dyDescent="0.25">
      <c r="A62" s="6" t="s">
        <v>485</v>
      </c>
      <c r="B62" s="69">
        <v>45322</v>
      </c>
      <c r="C62" s="6" t="s">
        <v>488</v>
      </c>
      <c r="D62" s="6" t="s">
        <v>487</v>
      </c>
      <c r="E62" s="6" t="s">
        <v>413</v>
      </c>
      <c r="F62" s="70">
        <v>175159.03349999999</v>
      </c>
      <c r="G62" s="70">
        <v>9063144.1199999992</v>
      </c>
      <c r="H62" s="70">
        <v>374.9808862836</v>
      </c>
      <c r="I62" s="70">
        <v>175155.03349999999</v>
      </c>
      <c r="J62" s="70">
        <v>9063144.1239999998</v>
      </c>
      <c r="K62" s="70">
        <v>371.1</v>
      </c>
      <c r="L62" s="6" t="s">
        <v>373</v>
      </c>
      <c r="M62" s="6" t="s">
        <v>374</v>
      </c>
      <c r="N62" s="71">
        <v>44</v>
      </c>
      <c r="O62" s="72">
        <v>22</v>
      </c>
      <c r="P62" s="73">
        <v>-19</v>
      </c>
      <c r="Q62" s="73">
        <v>-22.3</v>
      </c>
      <c r="R62" s="73">
        <v>-3.3000000000000007</v>
      </c>
      <c r="S62" s="71">
        <v>40.700000000000003</v>
      </c>
      <c r="T62" s="72" t="s">
        <v>375</v>
      </c>
      <c r="U62" s="6"/>
    </row>
    <row r="63" spans="1:21" x14ac:dyDescent="0.25">
      <c r="A63" s="6" t="s">
        <v>485</v>
      </c>
      <c r="B63" s="69">
        <v>45322</v>
      </c>
      <c r="C63" s="6" t="s">
        <v>489</v>
      </c>
      <c r="D63" s="6" t="s">
        <v>487</v>
      </c>
      <c r="E63" s="6" t="s">
        <v>413</v>
      </c>
      <c r="F63" s="70">
        <v>175158.62909999999</v>
      </c>
      <c r="G63" s="70">
        <v>9063140.9199999999</v>
      </c>
      <c r="H63" s="70">
        <v>374.73902180538602</v>
      </c>
      <c r="I63" s="70">
        <v>175154.62909999999</v>
      </c>
      <c r="J63" s="70">
        <v>9063140.9230000004</v>
      </c>
      <c r="K63" s="70">
        <v>373.6</v>
      </c>
      <c r="L63" s="6" t="s">
        <v>373</v>
      </c>
      <c r="M63" s="6" t="s">
        <v>374</v>
      </c>
      <c r="N63" s="71">
        <v>52</v>
      </c>
      <c r="O63" s="72">
        <v>20</v>
      </c>
      <c r="P63" s="73">
        <v>-19</v>
      </c>
      <c r="Q63" s="73">
        <v>-22.3</v>
      </c>
      <c r="R63" s="73">
        <v>-3.3000000000000007</v>
      </c>
      <c r="S63" s="71">
        <v>48.7</v>
      </c>
      <c r="T63" s="72" t="s">
        <v>375</v>
      </c>
      <c r="U63" s="6"/>
    </row>
    <row r="64" spans="1:21" x14ac:dyDescent="0.25">
      <c r="A64" s="6" t="s">
        <v>490</v>
      </c>
      <c r="B64" s="69">
        <v>45322</v>
      </c>
      <c r="C64" s="6" t="s">
        <v>491</v>
      </c>
      <c r="D64" s="6" t="s">
        <v>492</v>
      </c>
      <c r="E64" s="6" t="s">
        <v>413</v>
      </c>
      <c r="F64" s="70">
        <v>175178.67</v>
      </c>
      <c r="G64" s="70">
        <v>9063152.4499999993</v>
      </c>
      <c r="H64" s="70">
        <v>376.01904967567401</v>
      </c>
      <c r="I64" s="70">
        <v>175178.6672</v>
      </c>
      <c r="J64" s="70">
        <v>9063152.4529999997</v>
      </c>
      <c r="K64" s="70">
        <v>374.6</v>
      </c>
      <c r="L64" s="6" t="s">
        <v>373</v>
      </c>
      <c r="M64" s="6" t="s">
        <v>374</v>
      </c>
      <c r="N64" s="71">
        <v>340</v>
      </c>
      <c r="O64" s="72">
        <v>55</v>
      </c>
      <c r="P64" s="73">
        <v>-19</v>
      </c>
      <c r="Q64" s="73">
        <v>-22.3</v>
      </c>
      <c r="R64" s="73">
        <v>-3.3000000000000007</v>
      </c>
      <c r="S64" s="71">
        <v>336.7</v>
      </c>
      <c r="T64" s="72" t="s">
        <v>375</v>
      </c>
      <c r="U64" s="6"/>
    </row>
    <row r="65" spans="1:21" x14ac:dyDescent="0.25">
      <c r="A65" s="6" t="s">
        <v>490</v>
      </c>
      <c r="B65" s="69">
        <v>45322</v>
      </c>
      <c r="C65" s="6" t="s">
        <v>493</v>
      </c>
      <c r="D65" s="6" t="s">
        <v>492</v>
      </c>
      <c r="E65" s="6" t="s">
        <v>413</v>
      </c>
      <c r="F65" s="70">
        <v>175178.98</v>
      </c>
      <c r="G65" s="70">
        <v>9063152.1500000004</v>
      </c>
      <c r="H65" s="70">
        <v>375.94077753797598</v>
      </c>
      <c r="I65" s="70">
        <v>175178.97560000001</v>
      </c>
      <c r="J65" s="70">
        <v>9063152.1469999999</v>
      </c>
      <c r="K65" s="70">
        <v>374.6</v>
      </c>
      <c r="L65" s="6" t="s">
        <v>373</v>
      </c>
      <c r="M65" s="6" t="s">
        <v>374</v>
      </c>
      <c r="N65" s="71">
        <v>330</v>
      </c>
      <c r="O65" s="72">
        <v>50</v>
      </c>
      <c r="P65" s="73">
        <v>-19</v>
      </c>
      <c r="Q65" s="73">
        <v>-22.3</v>
      </c>
      <c r="R65" s="73">
        <v>-3.3000000000000007</v>
      </c>
      <c r="S65" s="71">
        <v>326.7</v>
      </c>
      <c r="T65" s="72" t="s">
        <v>375</v>
      </c>
      <c r="U65" s="6"/>
    </row>
    <row r="66" spans="1:21" x14ac:dyDescent="0.25">
      <c r="A66" s="6" t="s">
        <v>490</v>
      </c>
      <c r="B66" s="69">
        <v>45322</v>
      </c>
      <c r="C66" s="6" t="s">
        <v>494</v>
      </c>
      <c r="D66" s="6" t="s">
        <v>492</v>
      </c>
      <c r="E66" s="6" t="s">
        <v>413</v>
      </c>
      <c r="F66" s="70">
        <v>175178.82</v>
      </c>
      <c r="G66" s="70">
        <v>9063152.2400000002</v>
      </c>
      <c r="H66" s="70">
        <v>375.95036717073401</v>
      </c>
      <c r="I66" s="70">
        <v>175178.82190000001</v>
      </c>
      <c r="J66" s="70">
        <v>9063152.2379999999</v>
      </c>
      <c r="K66" s="70">
        <v>374.3</v>
      </c>
      <c r="L66" s="6" t="s">
        <v>373</v>
      </c>
      <c r="M66" s="6" t="s">
        <v>374</v>
      </c>
      <c r="N66" s="71">
        <v>329</v>
      </c>
      <c r="O66" s="72">
        <v>56</v>
      </c>
      <c r="P66" s="73">
        <v>-19</v>
      </c>
      <c r="Q66" s="73">
        <v>-22.3</v>
      </c>
      <c r="R66" s="73">
        <v>-3.3000000000000007</v>
      </c>
      <c r="S66" s="71">
        <v>325.7</v>
      </c>
      <c r="T66" s="72" t="s">
        <v>375</v>
      </c>
      <c r="U66" s="6"/>
    </row>
    <row r="67" spans="1:21" x14ac:dyDescent="0.25">
      <c r="A67" s="6" t="s">
        <v>490</v>
      </c>
      <c r="B67" s="69">
        <v>45322</v>
      </c>
      <c r="C67" s="6" t="s">
        <v>495</v>
      </c>
      <c r="D67" s="6" t="s">
        <v>496</v>
      </c>
      <c r="E67" s="6" t="s">
        <v>413</v>
      </c>
      <c r="F67" s="70">
        <v>175178.73</v>
      </c>
      <c r="G67" s="70">
        <v>9063151.9600000009</v>
      </c>
      <c r="H67" s="70">
        <v>375.79866090755399</v>
      </c>
      <c r="I67" s="70">
        <v>175178.73209999999</v>
      </c>
      <c r="J67" s="70">
        <v>9063151.9609999992</v>
      </c>
      <c r="K67" s="70">
        <v>376.3</v>
      </c>
      <c r="L67" s="6" t="s">
        <v>373</v>
      </c>
      <c r="M67" s="6" t="s">
        <v>374</v>
      </c>
      <c r="N67" s="71">
        <v>126</v>
      </c>
      <c r="O67" s="72">
        <v>66</v>
      </c>
      <c r="P67" s="73">
        <v>-19</v>
      </c>
      <c r="Q67" s="73">
        <v>-22.3</v>
      </c>
      <c r="R67" s="73">
        <v>-3.3000000000000007</v>
      </c>
      <c r="S67" s="71">
        <v>122.7</v>
      </c>
      <c r="T67" s="72" t="s">
        <v>375</v>
      </c>
      <c r="U67" s="6"/>
    </row>
    <row r="68" spans="1:21" x14ac:dyDescent="0.25">
      <c r="A68" s="6" t="s">
        <v>497</v>
      </c>
      <c r="B68" s="69">
        <v>45323</v>
      </c>
      <c r="C68" s="6" t="s">
        <v>498</v>
      </c>
      <c r="D68" s="6" t="s">
        <v>499</v>
      </c>
      <c r="E68" s="6" t="s">
        <v>372</v>
      </c>
      <c r="F68" s="70">
        <v>173763.61199999999</v>
      </c>
      <c r="G68" s="70">
        <v>9063915.5380000006</v>
      </c>
      <c r="H68" s="70">
        <v>441.15800000000002</v>
      </c>
      <c r="I68" s="70">
        <v>173762.9976</v>
      </c>
      <c r="J68" s="70">
        <v>9063912.8920000009</v>
      </c>
      <c r="K68" s="70">
        <v>428.3</v>
      </c>
      <c r="L68" s="6" t="s">
        <v>500</v>
      </c>
      <c r="M68" s="6" t="s">
        <v>374</v>
      </c>
      <c r="N68" s="71">
        <v>279</v>
      </c>
      <c r="O68" s="72">
        <v>43</v>
      </c>
      <c r="P68" s="73">
        <v>-19</v>
      </c>
      <c r="Q68" s="73">
        <v>-22.3</v>
      </c>
      <c r="R68" s="73">
        <v>-3.3000000000000007</v>
      </c>
      <c r="S68" s="71">
        <v>275.7</v>
      </c>
      <c r="T68" s="72" t="s">
        <v>375</v>
      </c>
      <c r="U68" s="6"/>
    </row>
    <row r="69" spans="1:21" x14ac:dyDescent="0.25">
      <c r="A69" s="6" t="s">
        <v>497</v>
      </c>
      <c r="B69" s="69">
        <v>45323</v>
      </c>
      <c r="C69" s="6" t="s">
        <v>501</v>
      </c>
      <c r="D69" s="6" t="s">
        <v>499</v>
      </c>
      <c r="E69" s="6" t="s">
        <v>372</v>
      </c>
      <c r="F69" s="70">
        <v>173764.43</v>
      </c>
      <c r="G69" s="70">
        <v>9063914.4100000001</v>
      </c>
      <c r="H69" s="70">
        <v>440</v>
      </c>
      <c r="I69" s="70">
        <v>173764.42499999999</v>
      </c>
      <c r="J69" s="70">
        <v>9063914.409</v>
      </c>
      <c r="K69" s="70">
        <v>428.2</v>
      </c>
      <c r="L69" s="6" t="s">
        <v>500</v>
      </c>
      <c r="M69" s="6" t="s">
        <v>374</v>
      </c>
      <c r="N69" s="71">
        <v>239</v>
      </c>
      <c r="O69" s="72">
        <v>51</v>
      </c>
      <c r="P69" s="73">
        <v>-19</v>
      </c>
      <c r="Q69" s="73">
        <v>-22.3</v>
      </c>
      <c r="R69" s="73">
        <v>-3.3000000000000007</v>
      </c>
      <c r="S69" s="71">
        <v>235.7</v>
      </c>
      <c r="T69" s="72" t="s">
        <v>375</v>
      </c>
      <c r="U69" s="6"/>
    </row>
    <row r="70" spans="1:21" x14ac:dyDescent="0.25">
      <c r="A70" s="6" t="s">
        <v>497</v>
      </c>
      <c r="B70" s="69">
        <v>45323</v>
      </c>
      <c r="C70" s="6" t="s">
        <v>502</v>
      </c>
      <c r="D70" s="6" t="s">
        <v>499</v>
      </c>
      <c r="E70" s="6" t="s">
        <v>372</v>
      </c>
      <c r="F70" s="70">
        <v>173760.86</v>
      </c>
      <c r="G70" s="70">
        <v>9063915.1070000008</v>
      </c>
      <c r="H70" s="70">
        <v>440.93700000000001</v>
      </c>
      <c r="I70" s="70">
        <v>173760.86040000001</v>
      </c>
      <c r="J70" s="70">
        <v>9063912.1070000008</v>
      </c>
      <c r="K70" s="70">
        <v>430.6</v>
      </c>
      <c r="L70" s="6" t="s">
        <v>500</v>
      </c>
      <c r="M70" s="6" t="s">
        <v>374</v>
      </c>
      <c r="N70" s="71">
        <v>329</v>
      </c>
      <c r="O70" s="72">
        <v>11</v>
      </c>
      <c r="P70" s="73">
        <v>-19</v>
      </c>
      <c r="Q70" s="73">
        <v>-22.3</v>
      </c>
      <c r="R70" s="73">
        <v>-3.3000000000000007</v>
      </c>
      <c r="S70" s="71">
        <v>325.7</v>
      </c>
      <c r="T70" s="72" t="s">
        <v>375</v>
      </c>
      <c r="U70" s="6"/>
    </row>
    <row r="71" spans="1:21" x14ac:dyDescent="0.25">
      <c r="A71" s="6" t="s">
        <v>497</v>
      </c>
      <c r="B71" s="69">
        <v>45323</v>
      </c>
      <c r="C71" s="6" t="s">
        <v>503</v>
      </c>
      <c r="D71" s="6" t="s">
        <v>504</v>
      </c>
      <c r="E71" s="6" t="s">
        <v>372</v>
      </c>
      <c r="F71" s="70">
        <v>173752.97700000001</v>
      </c>
      <c r="G71" s="70">
        <v>9063913.7949999999</v>
      </c>
      <c r="H71" s="70">
        <v>440.76900000000001</v>
      </c>
      <c r="I71" s="70">
        <v>173753.2659</v>
      </c>
      <c r="J71" s="70">
        <v>9063912.2949999999</v>
      </c>
      <c r="K71" s="70">
        <v>428.3</v>
      </c>
      <c r="L71" s="6" t="s">
        <v>500</v>
      </c>
      <c r="M71" s="6" t="s">
        <v>374</v>
      </c>
      <c r="N71" s="71">
        <v>88</v>
      </c>
      <c r="O71" s="72">
        <v>71</v>
      </c>
      <c r="P71" s="73">
        <v>-19</v>
      </c>
      <c r="Q71" s="73">
        <v>-22.3</v>
      </c>
      <c r="R71" s="73">
        <v>-3.3000000000000007</v>
      </c>
      <c r="S71" s="71">
        <v>84.7</v>
      </c>
      <c r="T71" s="72" t="s">
        <v>375</v>
      </c>
      <c r="U71" s="6"/>
    </row>
    <row r="72" spans="1:21" x14ac:dyDescent="0.25">
      <c r="A72" s="6" t="s">
        <v>497</v>
      </c>
      <c r="B72" s="69">
        <v>45323</v>
      </c>
      <c r="C72" s="6" t="s">
        <v>505</v>
      </c>
      <c r="D72" s="6" t="s">
        <v>504</v>
      </c>
      <c r="E72" s="6" t="s">
        <v>372</v>
      </c>
      <c r="F72" s="70">
        <v>173737</v>
      </c>
      <c r="G72" s="70">
        <v>9063917.6099999994</v>
      </c>
      <c r="H72" s="70">
        <v>445.60999999940299</v>
      </c>
      <c r="I72" s="70">
        <v>173736.99840000001</v>
      </c>
      <c r="J72" s="70">
        <v>9063917.6140000001</v>
      </c>
      <c r="K72" s="70">
        <v>433.9</v>
      </c>
      <c r="L72" s="6" t="s">
        <v>500</v>
      </c>
      <c r="M72" s="6" t="s">
        <v>374</v>
      </c>
      <c r="N72" s="71">
        <v>85</v>
      </c>
      <c r="O72" s="72">
        <v>64</v>
      </c>
      <c r="P72" s="73">
        <v>-19</v>
      </c>
      <c r="Q72" s="73">
        <v>-22.3</v>
      </c>
      <c r="R72" s="73">
        <v>-3.3000000000000007</v>
      </c>
      <c r="S72" s="71">
        <v>81.7</v>
      </c>
      <c r="T72" s="72" t="s">
        <v>375</v>
      </c>
      <c r="U72" s="6"/>
    </row>
    <row r="73" spans="1:21" x14ac:dyDescent="0.25">
      <c r="A73" s="6" t="s">
        <v>506</v>
      </c>
      <c r="B73" s="69">
        <v>45323</v>
      </c>
      <c r="C73" s="6" t="s">
        <v>507</v>
      </c>
      <c r="D73" s="6" t="s">
        <v>508</v>
      </c>
      <c r="E73" s="6" t="s">
        <v>372</v>
      </c>
      <c r="F73" s="70">
        <v>173746.06</v>
      </c>
      <c r="G73" s="70">
        <v>9063897.1400000006</v>
      </c>
      <c r="H73" s="70">
        <v>446.034025973555</v>
      </c>
      <c r="I73" s="70">
        <v>173746.0638</v>
      </c>
      <c r="J73" s="70">
        <v>9063897.1410000008</v>
      </c>
      <c r="K73" s="70">
        <v>438</v>
      </c>
      <c r="L73" s="6" t="s">
        <v>509</v>
      </c>
      <c r="M73" s="6" t="s">
        <v>374</v>
      </c>
      <c r="N73" s="71">
        <v>236</v>
      </c>
      <c r="O73" s="72">
        <v>39</v>
      </c>
      <c r="P73" s="73">
        <v>-19</v>
      </c>
      <c r="Q73" s="73">
        <v>-22.3</v>
      </c>
      <c r="R73" s="73">
        <v>-3.3000000000000007</v>
      </c>
      <c r="S73" s="71">
        <v>232.7</v>
      </c>
      <c r="T73" s="72" t="s">
        <v>375</v>
      </c>
      <c r="U73" s="6"/>
    </row>
    <row r="74" spans="1:21" x14ac:dyDescent="0.25">
      <c r="A74" s="6" t="s">
        <v>506</v>
      </c>
      <c r="B74" s="69">
        <v>45323</v>
      </c>
      <c r="C74" s="6" t="s">
        <v>510</v>
      </c>
      <c r="D74" s="6" t="s">
        <v>508</v>
      </c>
      <c r="E74" s="6" t="s">
        <v>372</v>
      </c>
      <c r="F74" s="70">
        <v>173749.63</v>
      </c>
      <c r="G74" s="70">
        <v>9063894.6500000004</v>
      </c>
      <c r="H74" s="70">
        <v>444.98429936281502</v>
      </c>
      <c r="I74" s="70">
        <v>173749.63430000001</v>
      </c>
      <c r="J74" s="70">
        <v>9063894.6469999999</v>
      </c>
      <c r="K74" s="70">
        <v>441</v>
      </c>
      <c r="L74" s="6" t="s">
        <v>509</v>
      </c>
      <c r="M74" s="6" t="s">
        <v>374</v>
      </c>
      <c r="N74" s="71">
        <v>314</v>
      </c>
      <c r="O74" s="72">
        <v>70</v>
      </c>
      <c r="P74" s="73">
        <v>-19</v>
      </c>
      <c r="Q74" s="73">
        <v>-22.3</v>
      </c>
      <c r="R74" s="73">
        <v>-3.3000000000000007</v>
      </c>
      <c r="S74" s="71">
        <v>310.7</v>
      </c>
      <c r="T74" s="72" t="s">
        <v>375</v>
      </c>
      <c r="U74" s="6"/>
    </row>
    <row r="75" spans="1:21" x14ac:dyDescent="0.25">
      <c r="A75" s="6" t="s">
        <v>506</v>
      </c>
      <c r="B75" s="69">
        <v>45323</v>
      </c>
      <c r="C75" s="6" t="s">
        <v>511</v>
      </c>
      <c r="D75" s="6" t="s">
        <v>508</v>
      </c>
      <c r="E75" s="6" t="s">
        <v>372</v>
      </c>
      <c r="F75" s="70">
        <v>173750.25</v>
      </c>
      <c r="G75" s="70">
        <v>9063894.8100000005</v>
      </c>
      <c r="H75" s="70">
        <v>444.37640127355098</v>
      </c>
      <c r="I75" s="70">
        <v>173750.24549999999</v>
      </c>
      <c r="J75" s="70">
        <v>9063894.8049999997</v>
      </c>
      <c r="K75" s="70">
        <v>438.6</v>
      </c>
      <c r="L75" s="6" t="s">
        <v>509</v>
      </c>
      <c r="M75" s="6" t="s">
        <v>374</v>
      </c>
      <c r="N75" s="71">
        <v>285</v>
      </c>
      <c r="O75" s="72">
        <v>85</v>
      </c>
      <c r="P75" s="73">
        <v>-19</v>
      </c>
      <c r="Q75" s="73">
        <v>-22.3</v>
      </c>
      <c r="R75" s="73">
        <v>-3.3000000000000007</v>
      </c>
      <c r="S75" s="71">
        <v>281.7</v>
      </c>
      <c r="T75" s="72" t="s">
        <v>375</v>
      </c>
      <c r="U75" s="6"/>
    </row>
    <row r="76" spans="1:21" x14ac:dyDescent="0.25">
      <c r="A76" s="6" t="s">
        <v>506</v>
      </c>
      <c r="B76" s="69">
        <v>45323</v>
      </c>
      <c r="C76" s="6" t="s">
        <v>512</v>
      </c>
      <c r="D76" s="6" t="s">
        <v>508</v>
      </c>
      <c r="E76" s="6" t="s">
        <v>372</v>
      </c>
      <c r="F76" s="70">
        <v>173750.86</v>
      </c>
      <c r="G76" s="70">
        <v>9063894.9000000004</v>
      </c>
      <c r="H76" s="70">
        <v>443.93645569599602</v>
      </c>
      <c r="I76" s="70">
        <v>173750.85709999999</v>
      </c>
      <c r="J76" s="70">
        <v>9063894.9020000007</v>
      </c>
      <c r="K76" s="70">
        <v>438.4</v>
      </c>
      <c r="L76" s="6" t="s">
        <v>509</v>
      </c>
      <c r="M76" s="6" t="s">
        <v>374</v>
      </c>
      <c r="N76" s="71">
        <v>214</v>
      </c>
      <c r="O76" s="72">
        <v>88</v>
      </c>
      <c r="P76" s="73">
        <v>-19</v>
      </c>
      <c r="Q76" s="73">
        <v>-22.3</v>
      </c>
      <c r="R76" s="73">
        <v>-3.3000000000000007</v>
      </c>
      <c r="S76" s="71">
        <v>210.7</v>
      </c>
      <c r="T76" s="72" t="s">
        <v>375</v>
      </c>
      <c r="U76" s="6"/>
    </row>
    <row r="77" spans="1:21" x14ac:dyDescent="0.25">
      <c r="A77" s="6" t="s">
        <v>506</v>
      </c>
      <c r="B77" s="69">
        <v>45323</v>
      </c>
      <c r="C77" s="6" t="s">
        <v>513</v>
      </c>
      <c r="D77" s="6" t="s">
        <v>508</v>
      </c>
      <c r="E77" s="6" t="s">
        <v>372</v>
      </c>
      <c r="F77" s="70">
        <v>173749.4</v>
      </c>
      <c r="G77" s="70">
        <v>9063893.7799999993</v>
      </c>
      <c r="H77" s="70">
        <v>445.72872611508302</v>
      </c>
      <c r="I77" s="70">
        <v>173749.39600000001</v>
      </c>
      <c r="J77" s="70">
        <v>9063893.784</v>
      </c>
      <c r="K77" s="70">
        <v>436.7</v>
      </c>
      <c r="L77" s="6" t="s">
        <v>509</v>
      </c>
      <c r="M77" s="6" t="s">
        <v>374</v>
      </c>
      <c r="N77" s="71">
        <v>90</v>
      </c>
      <c r="O77" s="72">
        <v>60</v>
      </c>
      <c r="P77" s="73">
        <v>-19</v>
      </c>
      <c r="Q77" s="73">
        <v>-22.3</v>
      </c>
      <c r="R77" s="73">
        <v>-3.3000000000000007</v>
      </c>
      <c r="S77" s="71">
        <v>86.7</v>
      </c>
      <c r="T77" s="72" t="s">
        <v>375</v>
      </c>
      <c r="U77" s="6"/>
    </row>
    <row r="78" spans="1:21" x14ac:dyDescent="0.25">
      <c r="A78" s="6" t="s">
        <v>506</v>
      </c>
      <c r="B78" s="69">
        <v>45323</v>
      </c>
      <c r="C78" s="6" t="s">
        <v>514</v>
      </c>
      <c r="D78" s="6" t="s">
        <v>508</v>
      </c>
      <c r="E78" s="6" t="s">
        <v>372</v>
      </c>
      <c r="F78" s="70">
        <v>173752.99</v>
      </c>
      <c r="G78" s="70">
        <v>9063896.4900000002</v>
      </c>
      <c r="H78" s="70">
        <v>442.13775700933002</v>
      </c>
      <c r="I78" s="70">
        <v>173752.98819999999</v>
      </c>
      <c r="J78" s="70">
        <v>9063896.4869999997</v>
      </c>
      <c r="K78" s="70">
        <v>433.6</v>
      </c>
      <c r="L78" s="6" t="s">
        <v>509</v>
      </c>
      <c r="M78" s="6" t="s">
        <v>374</v>
      </c>
      <c r="N78" s="71">
        <v>265</v>
      </c>
      <c r="O78" s="72">
        <v>28</v>
      </c>
      <c r="P78" s="73">
        <v>-19</v>
      </c>
      <c r="Q78" s="73">
        <v>-22.3</v>
      </c>
      <c r="R78" s="73">
        <v>-3.3000000000000007</v>
      </c>
      <c r="S78" s="71">
        <v>261.7</v>
      </c>
      <c r="T78" s="72" t="s">
        <v>375</v>
      </c>
      <c r="U78" s="6"/>
    </row>
    <row r="79" spans="1:21" x14ac:dyDescent="0.25">
      <c r="A79" s="6" t="s">
        <v>506</v>
      </c>
      <c r="B79" s="69">
        <v>45323</v>
      </c>
      <c r="C79" s="6" t="s">
        <v>515</v>
      </c>
      <c r="D79" s="6" t="s">
        <v>508</v>
      </c>
      <c r="E79" s="6" t="s">
        <v>372</v>
      </c>
      <c r="F79" s="70">
        <v>173752.89</v>
      </c>
      <c r="G79" s="70">
        <v>9063896.6999999993</v>
      </c>
      <c r="H79" s="70">
        <v>442.17794392529402</v>
      </c>
      <c r="I79" s="70">
        <v>173752.8947</v>
      </c>
      <c r="J79" s="70">
        <v>9063896.7009999994</v>
      </c>
      <c r="K79" s="70">
        <v>433.1</v>
      </c>
      <c r="L79" s="6" t="s">
        <v>509</v>
      </c>
      <c r="M79" s="6" t="s">
        <v>374</v>
      </c>
      <c r="N79" s="71">
        <v>92</v>
      </c>
      <c r="O79" s="72">
        <v>82</v>
      </c>
      <c r="P79" s="73">
        <v>-19</v>
      </c>
      <c r="Q79" s="73">
        <v>-22.3</v>
      </c>
      <c r="R79" s="73">
        <v>-3.3000000000000007</v>
      </c>
      <c r="S79" s="71">
        <v>88.7</v>
      </c>
      <c r="T79" s="72" t="s">
        <v>375</v>
      </c>
      <c r="U79" s="6"/>
    </row>
    <row r="80" spans="1:21" x14ac:dyDescent="0.25">
      <c r="A80" s="6" t="s">
        <v>506</v>
      </c>
      <c r="B80" s="69">
        <v>45323</v>
      </c>
      <c r="C80" s="6" t="s">
        <v>516</v>
      </c>
      <c r="D80" s="6" t="s">
        <v>508</v>
      </c>
      <c r="E80" s="6" t="s">
        <v>372</v>
      </c>
      <c r="F80" s="70">
        <v>173752.56</v>
      </c>
      <c r="G80" s="70">
        <v>9063893.0399999991</v>
      </c>
      <c r="H80" s="70">
        <v>443.43343089470602</v>
      </c>
      <c r="I80" s="70">
        <v>173752.5552</v>
      </c>
      <c r="J80" s="70">
        <v>9063893.0399999991</v>
      </c>
      <c r="K80" s="70">
        <v>436.1</v>
      </c>
      <c r="L80" s="6" t="s">
        <v>509</v>
      </c>
      <c r="M80" s="6" t="s">
        <v>374</v>
      </c>
      <c r="N80" s="71">
        <v>185</v>
      </c>
      <c r="O80" s="72">
        <v>86</v>
      </c>
      <c r="P80" s="73">
        <v>-19</v>
      </c>
      <c r="Q80" s="73">
        <v>-22.3</v>
      </c>
      <c r="R80" s="73">
        <v>-3.3000000000000007</v>
      </c>
      <c r="S80" s="71">
        <v>181.7</v>
      </c>
      <c r="T80" s="72" t="s">
        <v>375</v>
      </c>
      <c r="U80" s="6"/>
    </row>
    <row r="81" spans="1:21" x14ac:dyDescent="0.25">
      <c r="A81" s="6" t="s">
        <v>517</v>
      </c>
      <c r="B81" s="69">
        <v>45323</v>
      </c>
      <c r="C81" s="6" t="s">
        <v>518</v>
      </c>
      <c r="D81" s="6" t="s">
        <v>519</v>
      </c>
      <c r="E81" s="6" t="s">
        <v>372</v>
      </c>
      <c r="F81" s="70">
        <v>173763.85699999999</v>
      </c>
      <c r="G81" s="70">
        <v>9063892.3359999992</v>
      </c>
      <c r="H81" s="70">
        <v>441.73899999999998</v>
      </c>
      <c r="I81" s="70">
        <v>173763.82370000001</v>
      </c>
      <c r="J81" s="70">
        <v>9063892.8489999995</v>
      </c>
      <c r="K81" s="70">
        <v>435.2</v>
      </c>
      <c r="L81" s="6" t="s">
        <v>500</v>
      </c>
      <c r="M81" s="6" t="s">
        <v>374</v>
      </c>
      <c r="N81" s="71">
        <v>105</v>
      </c>
      <c r="O81" s="72">
        <v>45</v>
      </c>
      <c r="P81" s="73">
        <v>-19</v>
      </c>
      <c r="Q81" s="73">
        <v>-22.3</v>
      </c>
      <c r="R81" s="73">
        <v>-3.3000000000000007</v>
      </c>
      <c r="S81" s="71">
        <v>101.7</v>
      </c>
      <c r="T81" s="72" t="s">
        <v>375</v>
      </c>
      <c r="U81" s="6"/>
    </row>
    <row r="82" spans="1:21" x14ac:dyDescent="0.25">
      <c r="A82" s="6" t="s">
        <v>517</v>
      </c>
      <c r="B82" s="69">
        <v>45323</v>
      </c>
      <c r="C82" s="6" t="s">
        <v>520</v>
      </c>
      <c r="D82" s="6" t="s">
        <v>521</v>
      </c>
      <c r="E82" s="6" t="s">
        <v>372</v>
      </c>
      <c r="F82" s="70">
        <v>173762.739</v>
      </c>
      <c r="G82" s="70">
        <v>9063892.4800000004</v>
      </c>
      <c r="H82" s="70">
        <v>441.79399999999998</v>
      </c>
      <c r="I82" s="70">
        <v>173762.71780000001</v>
      </c>
      <c r="J82" s="70">
        <v>9063893.3320000004</v>
      </c>
      <c r="K82" s="70">
        <v>434.3</v>
      </c>
      <c r="L82" s="6" t="s">
        <v>500</v>
      </c>
      <c r="M82" s="6" t="s">
        <v>374</v>
      </c>
      <c r="N82" s="71">
        <v>178</v>
      </c>
      <c r="O82" s="72">
        <v>84</v>
      </c>
      <c r="P82" s="73">
        <v>-19</v>
      </c>
      <c r="Q82" s="73">
        <v>-22.3</v>
      </c>
      <c r="R82" s="73">
        <v>-3.3000000000000007</v>
      </c>
      <c r="S82" s="71">
        <v>174.7</v>
      </c>
      <c r="T82" s="72" t="s">
        <v>375</v>
      </c>
      <c r="U82" s="6"/>
    </row>
    <row r="83" spans="1:21" x14ac:dyDescent="0.25">
      <c r="A83" s="6" t="s">
        <v>517</v>
      </c>
      <c r="B83" s="69">
        <v>45323</v>
      </c>
      <c r="C83" s="6" t="s">
        <v>522</v>
      </c>
      <c r="D83" s="6" t="s">
        <v>521</v>
      </c>
      <c r="E83" s="6" t="s">
        <v>372</v>
      </c>
      <c r="F83" s="70">
        <v>173762.826</v>
      </c>
      <c r="G83" s="70">
        <v>9063892.7689999994</v>
      </c>
      <c r="H83" s="70">
        <v>441.23099999999999</v>
      </c>
      <c r="I83" s="70">
        <v>173762.67879999999</v>
      </c>
      <c r="J83" s="70">
        <v>9063894.4389999993</v>
      </c>
      <c r="K83" s="70">
        <v>434.1</v>
      </c>
      <c r="L83" s="6" t="s">
        <v>500</v>
      </c>
      <c r="M83" s="6" t="s">
        <v>374</v>
      </c>
      <c r="N83" s="71">
        <v>175</v>
      </c>
      <c r="O83" s="72">
        <v>67</v>
      </c>
      <c r="P83" s="73">
        <v>-19</v>
      </c>
      <c r="Q83" s="73">
        <v>-22.3</v>
      </c>
      <c r="R83" s="73">
        <v>-3.3000000000000007</v>
      </c>
      <c r="S83" s="71">
        <v>171.7</v>
      </c>
      <c r="T83" s="72" t="s">
        <v>375</v>
      </c>
      <c r="U83" s="6"/>
    </row>
    <row r="84" spans="1:21" x14ac:dyDescent="0.25">
      <c r="A84" s="6" t="s">
        <v>517</v>
      </c>
      <c r="B84" s="69">
        <v>45323</v>
      </c>
      <c r="C84" s="6" t="s">
        <v>523</v>
      </c>
      <c r="D84" s="6" t="s">
        <v>524</v>
      </c>
      <c r="E84" s="6" t="s">
        <v>372</v>
      </c>
      <c r="F84" s="70">
        <v>173766.63500000001</v>
      </c>
      <c r="G84" s="70">
        <v>9063892.2689999994</v>
      </c>
      <c r="H84" s="70">
        <v>443.10500000000002</v>
      </c>
      <c r="I84" s="70">
        <v>173769.14929999999</v>
      </c>
      <c r="J84" s="70">
        <v>9063893.0739999991</v>
      </c>
      <c r="K84" s="70">
        <v>436.4</v>
      </c>
      <c r="L84" s="6" t="s">
        <v>500</v>
      </c>
      <c r="M84" s="6" t="s">
        <v>374</v>
      </c>
      <c r="N84" s="71">
        <v>110</v>
      </c>
      <c r="O84" s="72">
        <v>12</v>
      </c>
      <c r="P84" s="73">
        <v>-19</v>
      </c>
      <c r="Q84" s="73">
        <v>-22.3</v>
      </c>
      <c r="R84" s="73">
        <v>-3.3000000000000007</v>
      </c>
      <c r="S84" s="71">
        <v>106.7</v>
      </c>
      <c r="T84" s="72" t="s">
        <v>375</v>
      </c>
      <c r="U84" s="6"/>
    </row>
    <row r="85" spans="1:21" x14ac:dyDescent="0.25">
      <c r="A85" s="6" t="s">
        <v>517</v>
      </c>
      <c r="B85" s="69">
        <v>45323</v>
      </c>
      <c r="C85" s="6" t="s">
        <v>525</v>
      </c>
      <c r="D85" s="6" t="s">
        <v>526</v>
      </c>
      <c r="E85" s="6" t="s">
        <v>372</v>
      </c>
      <c r="F85" s="70">
        <v>173773.29</v>
      </c>
      <c r="G85" s="70">
        <v>9063892.1500000004</v>
      </c>
      <c r="H85" s="70">
        <v>443.10605633795302</v>
      </c>
      <c r="I85" s="70">
        <v>173773.28959999999</v>
      </c>
      <c r="J85" s="70">
        <v>9063892.1520000007</v>
      </c>
      <c r="K85" s="70">
        <v>435.5</v>
      </c>
      <c r="L85" s="6" t="s">
        <v>500</v>
      </c>
      <c r="M85" s="6" t="s">
        <v>374</v>
      </c>
      <c r="N85" s="71">
        <v>276</v>
      </c>
      <c r="O85" s="72">
        <v>71</v>
      </c>
      <c r="P85" s="73">
        <v>-19</v>
      </c>
      <c r="Q85" s="73">
        <v>-22.3</v>
      </c>
      <c r="R85" s="73">
        <v>-3.3000000000000007</v>
      </c>
      <c r="S85" s="71">
        <v>272.7</v>
      </c>
      <c r="T85" s="72" t="s">
        <v>375</v>
      </c>
      <c r="U85" s="6"/>
    </row>
    <row r="86" spans="1:21" x14ac:dyDescent="0.25">
      <c r="A86" s="6" t="s">
        <v>517</v>
      </c>
      <c r="B86" s="69">
        <v>45323</v>
      </c>
      <c r="C86" s="6" t="s">
        <v>527</v>
      </c>
      <c r="D86" s="6" t="s">
        <v>526</v>
      </c>
      <c r="E86" s="6" t="s">
        <v>372</v>
      </c>
      <c r="F86" s="70">
        <v>173773.07</v>
      </c>
      <c r="G86" s="70">
        <v>9063892.5800000001</v>
      </c>
      <c r="H86" s="70">
        <v>442.970756429647</v>
      </c>
      <c r="I86" s="70">
        <v>173773.07209999999</v>
      </c>
      <c r="J86" s="70">
        <v>9063892.5810000002</v>
      </c>
      <c r="K86" s="70">
        <v>437.4</v>
      </c>
      <c r="L86" s="6" t="s">
        <v>500</v>
      </c>
      <c r="M86" s="6" t="s">
        <v>374</v>
      </c>
      <c r="N86" s="71">
        <v>274</v>
      </c>
      <c r="O86" s="72">
        <v>72</v>
      </c>
      <c r="P86" s="73">
        <v>-19</v>
      </c>
      <c r="Q86" s="73">
        <v>-22.3</v>
      </c>
      <c r="R86" s="73">
        <v>-3.3000000000000007</v>
      </c>
      <c r="S86" s="71">
        <v>270.7</v>
      </c>
      <c r="T86" s="72" t="s">
        <v>375</v>
      </c>
      <c r="U86" s="6"/>
    </row>
    <row r="87" spans="1:21" x14ac:dyDescent="0.25">
      <c r="A87" s="6" t="s">
        <v>517</v>
      </c>
      <c r="B87" s="69">
        <v>45323</v>
      </c>
      <c r="C87" s="6" t="s">
        <v>528</v>
      </c>
      <c r="D87" s="6" t="s">
        <v>529</v>
      </c>
      <c r="E87" s="6" t="s">
        <v>372</v>
      </c>
      <c r="F87" s="70">
        <v>173777.56</v>
      </c>
      <c r="G87" s="70">
        <v>9063897.7200000007</v>
      </c>
      <c r="H87" s="70">
        <v>444.15388235307302</v>
      </c>
      <c r="I87" s="70">
        <v>173777.5643</v>
      </c>
      <c r="J87" s="70">
        <v>9063897.7200000007</v>
      </c>
      <c r="K87" s="70">
        <v>434.6</v>
      </c>
      <c r="L87" s="6" t="s">
        <v>500</v>
      </c>
      <c r="M87" s="6" t="s">
        <v>374</v>
      </c>
      <c r="N87" s="71">
        <v>1</v>
      </c>
      <c r="O87" s="72">
        <v>50</v>
      </c>
      <c r="P87" s="73">
        <v>-19</v>
      </c>
      <c r="Q87" s="73">
        <v>-22.3</v>
      </c>
      <c r="R87" s="73">
        <v>-3.3000000000000007</v>
      </c>
      <c r="S87" s="71">
        <v>357.7</v>
      </c>
      <c r="T87" s="72" t="s">
        <v>375</v>
      </c>
      <c r="U87" s="6"/>
    </row>
    <row r="88" spans="1:21" x14ac:dyDescent="0.25">
      <c r="A88" s="6" t="s">
        <v>517</v>
      </c>
      <c r="B88" s="69">
        <v>45323</v>
      </c>
      <c r="C88" s="6" t="s">
        <v>530</v>
      </c>
      <c r="D88" s="6" t="s">
        <v>531</v>
      </c>
      <c r="E88" s="6" t="s">
        <v>372</v>
      </c>
      <c r="F88" s="70">
        <v>173777.89</v>
      </c>
      <c r="G88" s="70">
        <v>9063898.9800000004</v>
      </c>
      <c r="H88" s="70">
        <v>444.348823529372</v>
      </c>
      <c r="I88" s="70">
        <v>173777.89139999999</v>
      </c>
      <c r="J88" s="70">
        <v>9063898.9829999991</v>
      </c>
      <c r="K88" s="70">
        <v>434.1</v>
      </c>
      <c r="L88" s="6" t="s">
        <v>500</v>
      </c>
      <c r="M88" s="6" t="s">
        <v>374</v>
      </c>
      <c r="N88" s="71">
        <v>195</v>
      </c>
      <c r="O88" s="72">
        <v>46</v>
      </c>
      <c r="P88" s="73">
        <v>-19</v>
      </c>
      <c r="Q88" s="73">
        <v>-22.3</v>
      </c>
      <c r="R88" s="73">
        <v>-3.3000000000000007</v>
      </c>
      <c r="S88" s="71">
        <v>191.7</v>
      </c>
      <c r="T88" s="72" t="s">
        <v>375</v>
      </c>
      <c r="U88" s="6"/>
    </row>
    <row r="89" spans="1:21" x14ac:dyDescent="0.25">
      <c r="A89" s="6" t="s">
        <v>532</v>
      </c>
      <c r="B89" s="69">
        <v>45323</v>
      </c>
      <c r="C89" s="6" t="s">
        <v>533</v>
      </c>
      <c r="D89" s="6" t="s">
        <v>534</v>
      </c>
      <c r="E89" s="6" t="s">
        <v>372</v>
      </c>
      <c r="F89" s="70">
        <v>173743.372</v>
      </c>
      <c r="G89" s="70">
        <v>9063872.2980000004</v>
      </c>
      <c r="H89" s="70">
        <v>455.125</v>
      </c>
      <c r="I89" s="70">
        <v>173743.6127</v>
      </c>
      <c r="J89" s="70">
        <v>9063873.2290000003</v>
      </c>
      <c r="K89" s="70">
        <v>452.4</v>
      </c>
      <c r="L89" s="6" t="s">
        <v>535</v>
      </c>
      <c r="M89" s="6" t="s">
        <v>374</v>
      </c>
      <c r="N89" s="71">
        <v>340</v>
      </c>
      <c r="O89" s="72">
        <v>31</v>
      </c>
      <c r="P89" s="73">
        <v>-19</v>
      </c>
      <c r="Q89" s="73">
        <v>-22.3</v>
      </c>
      <c r="R89" s="73">
        <v>-3.3000000000000007</v>
      </c>
      <c r="S89" s="71">
        <v>336.7</v>
      </c>
      <c r="T89" s="72" t="s">
        <v>375</v>
      </c>
      <c r="U89" s="6" t="s">
        <v>536</v>
      </c>
    </row>
    <row r="90" spans="1:21" x14ac:dyDescent="0.25">
      <c r="A90" s="6" t="s">
        <v>532</v>
      </c>
      <c r="B90" s="69">
        <v>45323</v>
      </c>
      <c r="C90" s="6" t="s">
        <v>537</v>
      </c>
      <c r="D90" s="6" t="s">
        <v>534</v>
      </c>
      <c r="E90" s="6" t="s">
        <v>372</v>
      </c>
      <c r="F90" s="70">
        <v>173750.18100000001</v>
      </c>
      <c r="G90" s="70">
        <v>9063864.409</v>
      </c>
      <c r="H90" s="70">
        <v>455.17500000000001</v>
      </c>
      <c r="I90" s="70">
        <v>173751.3872</v>
      </c>
      <c r="J90" s="70">
        <v>9063865.4780000001</v>
      </c>
      <c r="K90" s="70">
        <v>455.1</v>
      </c>
      <c r="L90" s="6" t="s">
        <v>535</v>
      </c>
      <c r="M90" s="6" t="s">
        <v>374</v>
      </c>
      <c r="N90" s="71">
        <v>110</v>
      </c>
      <c r="O90" s="72">
        <v>32</v>
      </c>
      <c r="P90" s="73">
        <v>-19</v>
      </c>
      <c r="Q90" s="73">
        <v>-22.3</v>
      </c>
      <c r="R90" s="73">
        <v>-3.3000000000000007</v>
      </c>
      <c r="S90" s="71">
        <v>106.7</v>
      </c>
      <c r="T90" s="72" t="s">
        <v>375</v>
      </c>
      <c r="U90" s="6" t="s">
        <v>536</v>
      </c>
    </row>
    <row r="91" spans="1:21" x14ac:dyDescent="0.25">
      <c r="A91" s="6" t="s">
        <v>538</v>
      </c>
      <c r="B91" s="69">
        <v>45323</v>
      </c>
      <c r="C91" s="6" t="s">
        <v>539</v>
      </c>
      <c r="D91" s="6" t="s">
        <v>540</v>
      </c>
      <c r="E91" s="6" t="s">
        <v>372</v>
      </c>
      <c r="F91" s="70">
        <v>173752.68</v>
      </c>
      <c r="G91" s="70">
        <v>9063860.8100000005</v>
      </c>
      <c r="H91" s="70">
        <v>455.394880952091</v>
      </c>
      <c r="I91" s="70">
        <v>173752.67800000001</v>
      </c>
      <c r="J91" s="70">
        <v>9063860.8139999993</v>
      </c>
      <c r="K91" s="70">
        <v>450.6</v>
      </c>
      <c r="L91" s="6" t="s">
        <v>541</v>
      </c>
      <c r="M91" s="6" t="s">
        <v>374</v>
      </c>
      <c r="N91" s="71">
        <v>331</v>
      </c>
      <c r="O91" s="72">
        <v>80</v>
      </c>
      <c r="P91" s="73">
        <v>-19</v>
      </c>
      <c r="Q91" s="73">
        <v>-22.3</v>
      </c>
      <c r="R91" s="73">
        <v>-3.3000000000000007</v>
      </c>
      <c r="S91" s="71">
        <v>327.7</v>
      </c>
      <c r="T91" s="72" t="s">
        <v>375</v>
      </c>
      <c r="U91" s="6"/>
    </row>
    <row r="92" spans="1:21" x14ac:dyDescent="0.25">
      <c r="A92" s="6" t="s">
        <v>538</v>
      </c>
      <c r="B92" s="69">
        <v>45323</v>
      </c>
      <c r="C92" s="6" t="s">
        <v>542</v>
      </c>
      <c r="D92" s="6" t="s">
        <v>543</v>
      </c>
      <c r="E92" s="6" t="s">
        <v>372</v>
      </c>
      <c r="F92" s="70">
        <v>173758.2071</v>
      </c>
      <c r="G92" s="70">
        <v>9063853.2070000004</v>
      </c>
      <c r="H92" s="70">
        <v>456.19771791884699</v>
      </c>
      <c r="I92" s="70">
        <v>173756.2071</v>
      </c>
      <c r="J92" s="70">
        <v>9063851.7070000004</v>
      </c>
      <c r="K92" s="70">
        <v>449.8</v>
      </c>
      <c r="L92" s="6" t="s">
        <v>541</v>
      </c>
      <c r="M92" s="6" t="s">
        <v>374</v>
      </c>
      <c r="N92" s="71">
        <v>143</v>
      </c>
      <c r="O92" s="72">
        <v>21</v>
      </c>
      <c r="P92" s="73">
        <v>-19</v>
      </c>
      <c r="Q92" s="73">
        <v>-22.3</v>
      </c>
      <c r="R92" s="73">
        <v>-3.3000000000000007</v>
      </c>
      <c r="S92" s="71">
        <v>139.69999999999999</v>
      </c>
      <c r="T92" s="72" t="s">
        <v>375</v>
      </c>
      <c r="U92" s="6"/>
    </row>
    <row r="93" spans="1:21" x14ac:dyDescent="0.25">
      <c r="A93" s="6" t="s">
        <v>538</v>
      </c>
      <c r="B93" s="69">
        <v>45323</v>
      </c>
      <c r="C93" s="6" t="s">
        <v>544</v>
      </c>
      <c r="D93" s="6" t="s">
        <v>543</v>
      </c>
      <c r="E93" s="6" t="s">
        <v>372</v>
      </c>
      <c r="F93" s="70">
        <v>173757.4326</v>
      </c>
      <c r="G93" s="70">
        <v>9063854.4010000005</v>
      </c>
      <c r="H93" s="70">
        <v>456.09438843900199</v>
      </c>
      <c r="I93" s="70">
        <v>173755.4326</v>
      </c>
      <c r="J93" s="70">
        <v>9063852.9010000005</v>
      </c>
      <c r="K93" s="70">
        <v>447.9</v>
      </c>
      <c r="L93" s="6" t="s">
        <v>541</v>
      </c>
      <c r="M93" s="6" t="s">
        <v>374</v>
      </c>
      <c r="N93" s="71">
        <v>160</v>
      </c>
      <c r="O93" s="72">
        <v>23</v>
      </c>
      <c r="P93" s="73">
        <v>-19</v>
      </c>
      <c r="Q93" s="73">
        <v>-22.3</v>
      </c>
      <c r="R93" s="73">
        <v>-3.3000000000000007</v>
      </c>
      <c r="S93" s="71">
        <v>156.69999999999999</v>
      </c>
      <c r="T93" s="72" t="s">
        <v>375</v>
      </c>
      <c r="U93" s="6"/>
    </row>
    <row r="94" spans="1:21" x14ac:dyDescent="0.25">
      <c r="A94" s="6" t="s">
        <v>410</v>
      </c>
      <c r="B94" s="69">
        <v>45322</v>
      </c>
      <c r="C94" s="6" t="s">
        <v>545</v>
      </c>
      <c r="D94" s="6" t="s">
        <v>546</v>
      </c>
      <c r="E94" s="6" t="s">
        <v>413</v>
      </c>
      <c r="F94" s="70">
        <v>175052.75</v>
      </c>
      <c r="G94" s="70">
        <v>9063002.8200000003</v>
      </c>
      <c r="H94" s="70">
        <v>378.306107382721</v>
      </c>
      <c r="I94" s="70">
        <v>175052.74578570999</v>
      </c>
      <c r="J94" s="70">
        <v>9063002.8185982108</v>
      </c>
      <c r="K94" s="70">
        <v>364.9</v>
      </c>
      <c r="L94" s="6" t="s">
        <v>373</v>
      </c>
      <c r="M94" s="6" t="s">
        <v>409</v>
      </c>
      <c r="N94" s="71">
        <v>29</v>
      </c>
      <c r="O94" s="72">
        <v>72</v>
      </c>
      <c r="P94" s="73">
        <v>-19</v>
      </c>
      <c r="Q94" s="73">
        <v>-22.3</v>
      </c>
      <c r="R94" s="73">
        <v>-3.3000000000000007</v>
      </c>
      <c r="S94" s="71">
        <v>25.7</v>
      </c>
      <c r="T94" s="72" t="s">
        <v>375</v>
      </c>
      <c r="U94" s="6"/>
    </row>
    <row r="95" spans="1:21" x14ac:dyDescent="0.25">
      <c r="A95" s="6" t="s">
        <v>410</v>
      </c>
      <c r="B95" s="69">
        <v>45322</v>
      </c>
      <c r="C95" s="6" t="s">
        <v>547</v>
      </c>
      <c r="D95" s="6" t="s">
        <v>546</v>
      </c>
      <c r="E95" s="6" t="s">
        <v>413</v>
      </c>
      <c r="F95" s="70">
        <v>175053.99</v>
      </c>
      <c r="G95" s="70">
        <v>9063003.6899999995</v>
      </c>
      <c r="H95" s="70">
        <v>378.24969026517999</v>
      </c>
      <c r="I95" s="70">
        <v>175053.994436304</v>
      </c>
      <c r="J95" s="70">
        <v>9063003.6890883408</v>
      </c>
      <c r="K95" s="70">
        <v>365.3</v>
      </c>
      <c r="L95" s="6" t="s">
        <v>373</v>
      </c>
      <c r="M95" s="6" t="s">
        <v>409</v>
      </c>
      <c r="N95" s="71">
        <v>214</v>
      </c>
      <c r="O95" s="72">
        <v>70</v>
      </c>
      <c r="P95" s="73">
        <v>-19</v>
      </c>
      <c r="Q95" s="73">
        <v>-22.3</v>
      </c>
      <c r="R95" s="73">
        <v>-3.3000000000000007</v>
      </c>
      <c r="S95" s="71">
        <v>210.7</v>
      </c>
      <c r="T95" s="72" t="s">
        <v>375</v>
      </c>
      <c r="U95" s="6"/>
    </row>
    <row r="96" spans="1:21" x14ac:dyDescent="0.25">
      <c r="A96" s="6" t="s">
        <v>410</v>
      </c>
      <c r="B96" s="69">
        <v>45322</v>
      </c>
      <c r="C96" s="6" t="s">
        <v>548</v>
      </c>
      <c r="D96" s="6" t="s">
        <v>546</v>
      </c>
      <c r="E96" s="6" t="s">
        <v>413</v>
      </c>
      <c r="F96" s="70">
        <v>175059.32</v>
      </c>
      <c r="G96" s="70">
        <v>9063008.3699999992</v>
      </c>
      <c r="H96" s="70">
        <v>378.37514328761</v>
      </c>
      <c r="I96" s="70">
        <v>175059.316695571</v>
      </c>
      <c r="J96" s="70">
        <v>9063008.3728046902</v>
      </c>
      <c r="K96" s="70">
        <v>366</v>
      </c>
      <c r="L96" s="6" t="s">
        <v>373</v>
      </c>
      <c r="M96" s="6" t="s">
        <v>409</v>
      </c>
      <c r="N96" s="71">
        <v>86</v>
      </c>
      <c r="O96" s="72">
        <v>64</v>
      </c>
      <c r="P96" s="73">
        <v>-19</v>
      </c>
      <c r="Q96" s="73">
        <v>-22.3</v>
      </c>
      <c r="R96" s="73">
        <v>-3.3000000000000007</v>
      </c>
      <c r="S96" s="71">
        <v>82.7</v>
      </c>
      <c r="T96" s="72" t="s">
        <v>375</v>
      </c>
      <c r="U96" s="6"/>
    </row>
    <row r="97" spans="1:21" x14ac:dyDescent="0.25">
      <c r="A97" s="6" t="s">
        <v>419</v>
      </c>
      <c r="B97" s="69">
        <v>45322</v>
      </c>
      <c r="C97" s="6" t="s">
        <v>549</v>
      </c>
      <c r="D97" s="6" t="s">
        <v>546</v>
      </c>
      <c r="E97" s="6" t="s">
        <v>413</v>
      </c>
      <c r="F97" s="70">
        <v>175069.52</v>
      </c>
      <c r="G97" s="70">
        <v>9063015.8300000001</v>
      </c>
      <c r="H97" s="70">
        <v>377.12932059451299</v>
      </c>
      <c r="I97" s="70">
        <v>175069.51647017899</v>
      </c>
      <c r="J97" s="70">
        <v>9063015.8303278293</v>
      </c>
      <c r="K97" s="70">
        <v>364.8</v>
      </c>
      <c r="L97" s="6" t="s">
        <v>550</v>
      </c>
      <c r="M97" s="6" t="s">
        <v>550</v>
      </c>
      <c r="N97" s="71">
        <v>210</v>
      </c>
      <c r="O97" s="72">
        <v>74</v>
      </c>
      <c r="P97" s="73">
        <v>-19</v>
      </c>
      <c r="Q97" s="73">
        <v>-22.3</v>
      </c>
      <c r="R97" s="73">
        <v>-3.3000000000000007</v>
      </c>
      <c r="S97" s="71">
        <v>206.7</v>
      </c>
      <c r="T97" s="72" t="s">
        <v>375</v>
      </c>
      <c r="U97" s="6"/>
    </row>
    <row r="98" spans="1:21" x14ac:dyDescent="0.25">
      <c r="A98" s="6" t="s">
        <v>429</v>
      </c>
      <c r="B98" s="69">
        <v>45322</v>
      </c>
      <c r="C98" s="6" t="s">
        <v>551</v>
      </c>
      <c r="D98" s="6" t="s">
        <v>546</v>
      </c>
      <c r="E98" s="6" t="s">
        <v>413</v>
      </c>
      <c r="F98" s="70">
        <v>175090.88</v>
      </c>
      <c r="G98" s="70">
        <v>9063037.2400000002</v>
      </c>
      <c r="H98" s="70">
        <v>378.38268146891301</v>
      </c>
      <c r="I98" s="70">
        <v>175090.877070574</v>
      </c>
      <c r="J98" s="70">
        <v>9063037.2410110608</v>
      </c>
      <c r="K98" s="70">
        <v>370.8</v>
      </c>
      <c r="L98" s="6" t="s">
        <v>373</v>
      </c>
      <c r="M98" s="6" t="s">
        <v>409</v>
      </c>
      <c r="N98" s="71">
        <v>94</v>
      </c>
      <c r="O98" s="72">
        <v>81</v>
      </c>
      <c r="P98" s="73">
        <v>-19</v>
      </c>
      <c r="Q98" s="73">
        <v>-22.3</v>
      </c>
      <c r="R98" s="73">
        <v>-3.3000000000000007</v>
      </c>
      <c r="S98" s="71">
        <v>90.7</v>
      </c>
      <c r="T98" s="72" t="s">
        <v>375</v>
      </c>
      <c r="U98" s="6"/>
    </row>
    <row r="99" spans="1:21" x14ac:dyDescent="0.25">
      <c r="A99" s="6" t="s">
        <v>429</v>
      </c>
      <c r="B99" s="69">
        <v>45322</v>
      </c>
      <c r="C99" s="6" t="s">
        <v>552</v>
      </c>
      <c r="D99" s="6" t="s">
        <v>546</v>
      </c>
      <c r="E99" s="6" t="s">
        <v>413</v>
      </c>
      <c r="F99" s="70">
        <v>175091.16</v>
      </c>
      <c r="G99" s="70">
        <v>9063037.0500000007</v>
      </c>
      <c r="H99" s="70">
        <v>378.12538001736601</v>
      </c>
      <c r="I99" s="70">
        <v>175091.16211461299</v>
      </c>
      <c r="J99" s="70">
        <v>9063037.0546523295</v>
      </c>
      <c r="K99" s="70">
        <v>378.12579687068302</v>
      </c>
      <c r="L99" s="6" t="s">
        <v>373</v>
      </c>
      <c r="M99" s="6" t="s">
        <v>553</v>
      </c>
      <c r="N99" s="71">
        <v>294</v>
      </c>
      <c r="O99" s="72">
        <v>67</v>
      </c>
      <c r="P99" s="73">
        <v>-19</v>
      </c>
      <c r="Q99" s="73">
        <v>-22.3</v>
      </c>
      <c r="R99" s="73">
        <v>-3.3000000000000007</v>
      </c>
      <c r="S99" s="71">
        <v>290.7</v>
      </c>
      <c r="T99" s="72" t="s">
        <v>375</v>
      </c>
      <c r="U99" s="6" t="s">
        <v>554</v>
      </c>
    </row>
    <row r="100" spans="1:21" x14ac:dyDescent="0.25">
      <c r="A100" s="6" t="s">
        <v>429</v>
      </c>
      <c r="B100" s="69">
        <v>45322</v>
      </c>
      <c r="C100" s="6" t="s">
        <v>555</v>
      </c>
      <c r="D100" s="6" t="s">
        <v>546</v>
      </c>
      <c r="E100" s="6" t="s">
        <v>413</v>
      </c>
      <c r="F100" s="70">
        <v>175094.25</v>
      </c>
      <c r="G100" s="70">
        <v>9063044.9800000004</v>
      </c>
      <c r="H100" s="70">
        <v>379.01227779380798</v>
      </c>
      <c r="I100" s="70">
        <v>175094.24730801501</v>
      </c>
      <c r="J100" s="70">
        <v>9063044.9849588703</v>
      </c>
      <c r="K100" s="70">
        <v>371.8</v>
      </c>
      <c r="L100" s="6" t="s">
        <v>373</v>
      </c>
      <c r="M100" s="6" t="s">
        <v>553</v>
      </c>
      <c r="N100" s="71">
        <v>299</v>
      </c>
      <c r="O100" s="72">
        <v>62</v>
      </c>
      <c r="P100" s="73">
        <v>-19</v>
      </c>
      <c r="Q100" s="73">
        <v>-22.3</v>
      </c>
      <c r="R100" s="73">
        <v>-3.3000000000000007</v>
      </c>
      <c r="S100" s="71">
        <v>295.7</v>
      </c>
      <c r="T100" s="72" t="s">
        <v>375</v>
      </c>
      <c r="U100" s="6"/>
    </row>
    <row r="101" spans="1:21" x14ac:dyDescent="0.25">
      <c r="A101" s="6" t="s">
        <v>464</v>
      </c>
      <c r="B101" s="69">
        <v>45322</v>
      </c>
      <c r="C101" s="6" t="s">
        <v>556</v>
      </c>
      <c r="D101" s="6" t="s">
        <v>546</v>
      </c>
      <c r="E101" s="6" t="s">
        <v>413</v>
      </c>
      <c r="F101" s="70">
        <v>175149.932</v>
      </c>
      <c r="G101" s="70">
        <v>9063114.909</v>
      </c>
      <c r="H101" s="70">
        <v>375.12792125983702</v>
      </c>
      <c r="I101" s="70">
        <v>175146.519249751</v>
      </c>
      <c r="J101" s="70">
        <v>9063116.2614144795</v>
      </c>
      <c r="K101" s="70">
        <v>370.2</v>
      </c>
      <c r="L101" s="6" t="s">
        <v>557</v>
      </c>
      <c r="M101" s="6" t="s">
        <v>557</v>
      </c>
      <c r="N101" s="71">
        <v>151</v>
      </c>
      <c r="O101" s="72">
        <v>77</v>
      </c>
      <c r="P101" s="73">
        <v>-19</v>
      </c>
      <c r="Q101" s="73">
        <v>-22.3</v>
      </c>
      <c r="R101" s="73">
        <v>-3.3000000000000007</v>
      </c>
      <c r="S101" s="71">
        <v>147.69999999999999</v>
      </c>
      <c r="T101" s="72" t="s">
        <v>375</v>
      </c>
      <c r="U101" s="6" t="s">
        <v>558</v>
      </c>
    </row>
    <row r="102" spans="1:21" x14ac:dyDescent="0.25">
      <c r="A102" s="6" t="s">
        <v>506</v>
      </c>
      <c r="B102" s="69">
        <v>45323</v>
      </c>
      <c r="C102" s="6" t="s">
        <v>559</v>
      </c>
      <c r="D102" s="6" t="s">
        <v>546</v>
      </c>
      <c r="E102" s="6" t="s">
        <v>372</v>
      </c>
      <c r="F102" s="70">
        <v>173747.23</v>
      </c>
      <c r="G102" s="70">
        <v>9063910.7379999999</v>
      </c>
      <c r="H102" s="70">
        <v>441.78899999999999</v>
      </c>
      <c r="I102" s="70">
        <v>173746.53734425499</v>
      </c>
      <c r="J102" s="70">
        <v>9063911.3519624602</v>
      </c>
      <c r="K102" s="70">
        <v>432.8</v>
      </c>
      <c r="L102" s="6" t="s">
        <v>535</v>
      </c>
      <c r="M102" s="6" t="s">
        <v>557</v>
      </c>
      <c r="N102" s="71">
        <v>144</v>
      </c>
      <c r="O102" s="72">
        <v>64</v>
      </c>
      <c r="P102" s="73">
        <v>-19</v>
      </c>
      <c r="Q102" s="73">
        <v>-22.3</v>
      </c>
      <c r="R102" s="73">
        <v>-3.3000000000000007</v>
      </c>
      <c r="S102" s="71">
        <v>140.69999999999999</v>
      </c>
      <c r="T102" s="72" t="s">
        <v>375</v>
      </c>
      <c r="U102" s="6" t="s">
        <v>560</v>
      </c>
    </row>
    <row r="103" spans="1:21" x14ac:dyDescent="0.25">
      <c r="A103" s="6" t="s">
        <v>506</v>
      </c>
      <c r="B103" s="69">
        <v>45323</v>
      </c>
      <c r="C103" s="6" t="s">
        <v>561</v>
      </c>
      <c r="D103" s="6" t="s">
        <v>546</v>
      </c>
      <c r="E103" s="6" t="s">
        <v>372</v>
      </c>
      <c r="F103" s="70">
        <v>173746.58</v>
      </c>
      <c r="G103" s="70">
        <v>9063909.8100000005</v>
      </c>
      <c r="H103" s="70">
        <v>442.01772626937299</v>
      </c>
      <c r="I103" s="70">
        <v>173746.57966229299</v>
      </c>
      <c r="J103" s="70">
        <v>9063909.8147432003</v>
      </c>
      <c r="K103" s="70">
        <v>431.9</v>
      </c>
      <c r="L103" s="6" t="s">
        <v>535</v>
      </c>
      <c r="M103" s="6" t="s">
        <v>557</v>
      </c>
      <c r="N103" s="71">
        <v>290</v>
      </c>
      <c r="O103" s="72">
        <v>36</v>
      </c>
      <c r="P103" s="73">
        <v>-19</v>
      </c>
      <c r="Q103" s="73">
        <v>-22.3</v>
      </c>
      <c r="R103" s="73">
        <v>-3.3000000000000007</v>
      </c>
      <c r="S103" s="71">
        <v>286.7</v>
      </c>
      <c r="T103" s="72" t="s">
        <v>375</v>
      </c>
      <c r="U103" s="6" t="s">
        <v>562</v>
      </c>
    </row>
    <row r="104" spans="1:21" x14ac:dyDescent="0.25">
      <c r="A104" s="6" t="s">
        <v>517</v>
      </c>
      <c r="B104" s="69">
        <v>45323</v>
      </c>
      <c r="C104" s="6" t="s">
        <v>563</v>
      </c>
      <c r="D104" s="6" t="s">
        <v>546</v>
      </c>
      <c r="E104" s="6" t="s">
        <v>372</v>
      </c>
      <c r="F104" s="70">
        <v>173753.64</v>
      </c>
      <c r="G104" s="70">
        <v>9063914.0800000001</v>
      </c>
      <c r="H104" s="70">
        <v>440.83668202773799</v>
      </c>
      <c r="I104" s="70">
        <v>173753.636597</v>
      </c>
      <c r="J104" s="70">
        <v>9063914.0818499997</v>
      </c>
      <c r="K104" s="70">
        <v>440.84053547600001</v>
      </c>
      <c r="L104" s="6" t="s">
        <v>500</v>
      </c>
      <c r="M104" s="6" t="s">
        <v>409</v>
      </c>
      <c r="N104" s="71">
        <v>205</v>
      </c>
      <c r="O104" s="72">
        <v>71</v>
      </c>
      <c r="P104" s="73">
        <v>-19</v>
      </c>
      <c r="Q104" s="73">
        <v>-22.3</v>
      </c>
      <c r="R104" s="73">
        <v>-3.3000000000000007</v>
      </c>
      <c r="S104" s="71">
        <v>201.7</v>
      </c>
      <c r="T104" s="72" t="s">
        <v>375</v>
      </c>
      <c r="U104" s="6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9821-0958-4636-B62F-4321FFBA3681}">
  <sheetPr codeName="Planilha5">
    <tabColor theme="4" tint="-0.249977111117893"/>
  </sheetPr>
  <dimension ref="C41:T96"/>
  <sheetViews>
    <sheetView topLeftCell="A28" zoomScale="40" zoomScaleNormal="40" workbookViewId="0">
      <selection activeCell="R25" sqref="R25"/>
    </sheetView>
  </sheetViews>
  <sheetFormatPr defaultColWidth="8.85546875" defaultRowHeight="15" x14ac:dyDescent="0.25"/>
  <sheetData>
    <row r="41" spans="3:15" ht="77.45" customHeight="1" x14ac:dyDescent="0.25">
      <c r="C41" s="63" t="s">
        <v>338</v>
      </c>
      <c r="D41" s="24" t="s">
        <v>14</v>
      </c>
      <c r="E41" s="24" t="s">
        <v>261</v>
      </c>
      <c r="F41" s="24" t="s">
        <v>16</v>
      </c>
      <c r="J41" s="66" t="s">
        <v>341</v>
      </c>
      <c r="K41" s="64" t="s">
        <v>343</v>
      </c>
      <c r="L41" s="66" t="s">
        <v>342</v>
      </c>
      <c r="M41" s="66" t="s">
        <v>324</v>
      </c>
      <c r="N41" s="66" t="s">
        <v>325</v>
      </c>
      <c r="O41" s="66" t="s">
        <v>326</v>
      </c>
    </row>
    <row r="42" spans="3:15" x14ac:dyDescent="0.25">
      <c r="C42" s="3" t="s">
        <v>329</v>
      </c>
      <c r="D42" s="61" t="s">
        <v>24</v>
      </c>
      <c r="E42" s="62" t="s">
        <v>25</v>
      </c>
      <c r="F42" s="61">
        <v>7</v>
      </c>
      <c r="J42" s="18">
        <v>40</v>
      </c>
      <c r="K42" s="4">
        <v>31.29</v>
      </c>
      <c r="L42" s="4">
        <v>22.22</v>
      </c>
      <c r="M42" s="4">
        <f>0.25*L42</f>
        <v>5.5549999999999997</v>
      </c>
      <c r="N42" s="4">
        <f>+L42*0.5</f>
        <v>11.11</v>
      </c>
      <c r="O42" s="4">
        <f>0.75*L42</f>
        <v>16.664999999999999</v>
      </c>
    </row>
    <row r="43" spans="3:15" x14ac:dyDescent="0.25">
      <c r="C43" s="3" t="s">
        <v>334</v>
      </c>
      <c r="D43" s="61" t="s">
        <v>27</v>
      </c>
      <c r="E43" s="62" t="s">
        <v>28</v>
      </c>
      <c r="F43" s="61">
        <v>4</v>
      </c>
      <c r="J43" s="18">
        <v>10</v>
      </c>
      <c r="K43" s="4">
        <v>25.146833333333333</v>
      </c>
      <c r="L43" s="4">
        <v>10.018899888044928</v>
      </c>
      <c r="M43" s="4">
        <f>0.25*L43</f>
        <v>2.5047249720112319</v>
      </c>
      <c r="N43" s="4">
        <f>+L43*0.5</f>
        <v>5.0094499440224638</v>
      </c>
      <c r="O43" s="4">
        <f>0.75*L43</f>
        <v>7.5141749160336957</v>
      </c>
    </row>
    <row r="44" spans="3:15" x14ac:dyDescent="0.25">
      <c r="C44" s="3" t="s">
        <v>337</v>
      </c>
      <c r="D44" s="61" t="s">
        <v>29</v>
      </c>
      <c r="E44" s="62" t="s">
        <v>30</v>
      </c>
      <c r="F44" s="61">
        <v>2</v>
      </c>
      <c r="J44" s="18">
        <v>11</v>
      </c>
      <c r="K44" s="4">
        <v>28.660117647058829</v>
      </c>
      <c r="L44" s="4">
        <v>7.0121753974013883</v>
      </c>
      <c r="M44" s="4">
        <f>0.25*L44</f>
        <v>1.7530438493503471</v>
      </c>
      <c r="N44" s="4">
        <f>+L44*0.5</f>
        <v>3.5060876987006941</v>
      </c>
      <c r="O44" s="4">
        <f>0.75*L44</f>
        <v>5.259131548051041</v>
      </c>
    </row>
    <row r="45" spans="3:15" x14ac:dyDescent="0.25">
      <c r="C45" s="3" t="s">
        <v>336</v>
      </c>
      <c r="D45" s="61" t="s">
        <v>32</v>
      </c>
      <c r="E45" s="62" t="s">
        <v>33</v>
      </c>
      <c r="F45" s="61">
        <v>1</v>
      </c>
      <c r="J45" s="18">
        <v>30</v>
      </c>
      <c r="K45" s="4">
        <v>10.52</v>
      </c>
      <c r="L45" s="4">
        <v>22.71</v>
      </c>
      <c r="M45" s="4">
        <f>0.25*L45</f>
        <v>5.6775000000000002</v>
      </c>
      <c r="N45" s="4">
        <f>+L45*0.5</f>
        <v>11.355</v>
      </c>
      <c r="O45" s="4">
        <f>0.75*L45</f>
        <v>17.032499999999999</v>
      </c>
    </row>
    <row r="46" spans="3:15" x14ac:dyDescent="0.25">
      <c r="C46" s="3" t="s">
        <v>335</v>
      </c>
      <c r="D46" s="61" t="s">
        <v>34</v>
      </c>
      <c r="E46" s="62" t="s">
        <v>35</v>
      </c>
      <c r="F46" s="61">
        <v>0</v>
      </c>
    </row>
    <row r="51" spans="20:20" x14ac:dyDescent="0.25">
      <c r="T51" t="e" vm="3">
        <v>#VALUE!</v>
      </c>
    </row>
    <row r="96" spans="18:18" x14ac:dyDescent="0.25">
      <c r="R96" t="e" vm="4">
        <v>#VALUE!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E12D-A9DB-4493-87DB-B37342B1ED33}">
  <sheetPr codeName="Planilha14" filterMode="1">
    <tabColor rgb="FF00B050"/>
  </sheetPr>
  <dimension ref="A2:CI658"/>
  <sheetViews>
    <sheetView topLeftCell="Q1" zoomScale="70" zoomScaleNormal="70" workbookViewId="0">
      <pane ySplit="3" topLeftCell="A10" activePane="bottomLeft" state="frozen"/>
      <selection pane="bottomLeft" activeCell="BX167" sqref="BX167"/>
    </sheetView>
  </sheetViews>
  <sheetFormatPr defaultColWidth="11.42578125" defaultRowHeight="15" outlineLevelCol="2" x14ac:dyDescent="0.25"/>
  <cols>
    <col min="1" max="1" width="15.7109375" customWidth="1"/>
    <col min="4" max="4" width="16.140625" customWidth="1"/>
    <col min="5" max="5" width="12.7109375" customWidth="1"/>
    <col min="6" max="6" width="24.28515625" customWidth="1"/>
    <col min="7" max="7" width="16.28515625" customWidth="1"/>
    <col min="8" max="8" width="14.7109375" customWidth="1" outlineLevel="1"/>
    <col min="9" max="9" width="15.28515625" customWidth="1" outlineLevel="1"/>
    <col min="10" max="10" width="10.28515625" customWidth="1" outlineLevel="1"/>
    <col min="11" max="11" width="17.85546875" customWidth="1" outlineLevel="1"/>
    <col min="12" max="14" width="12.28515625" customWidth="1" outlineLevel="1"/>
    <col min="15" max="15" width="13.85546875" customWidth="1" outlineLevel="2"/>
    <col min="16" max="16" width="20" customWidth="1" outlineLevel="2"/>
    <col min="17" max="17" width="12.7109375" customWidth="1" outlineLevel="2"/>
    <col min="18" max="18" width="19.28515625" customWidth="1" outlineLevel="1"/>
    <col min="19" max="25" width="19.7109375" customWidth="1" outlineLevel="1"/>
    <col min="26" max="26" width="23.140625" customWidth="1" outlineLevel="1"/>
    <col min="27" max="27" width="18.85546875" customWidth="1" outlineLevel="1"/>
    <col min="28" max="28" width="22.42578125" customWidth="1" outlineLevel="1"/>
    <col min="29" max="29" width="20.140625" customWidth="1" outlineLevel="1"/>
    <col min="30" max="30" width="19.7109375" bestFit="1" customWidth="1"/>
    <col min="31" max="33" width="19.7109375" customWidth="1"/>
    <col min="34" max="34" width="16.7109375" customWidth="1"/>
    <col min="35" max="35" width="19.28515625" customWidth="1"/>
    <col min="36" max="36" width="14" customWidth="1"/>
    <col min="37" max="37" width="14.140625" customWidth="1"/>
    <col min="38" max="38" width="15.28515625" customWidth="1"/>
    <col min="39" max="39" width="14.7109375" customWidth="1"/>
    <col min="40" max="40" width="23.7109375" customWidth="1"/>
    <col min="41" max="41" width="36.140625" style="1" customWidth="1"/>
    <col min="42" max="42" width="10.28515625" customWidth="1"/>
    <col min="43" max="43" width="18.28515625" customWidth="1"/>
    <col min="44" max="44" width="17.28515625" customWidth="1"/>
    <col min="46" max="46" width="15.28515625" customWidth="1"/>
    <col min="48" max="50" width="17.140625" customWidth="1"/>
    <col min="51" max="51" width="18.85546875" customWidth="1"/>
    <col min="52" max="52" width="17.140625" customWidth="1"/>
    <col min="53" max="53" width="18" customWidth="1"/>
    <col min="54" max="54" width="21.85546875" customWidth="1"/>
    <col min="55" max="66" width="18" customWidth="1"/>
    <col min="67" max="67" width="28.7109375" bestFit="1" customWidth="1"/>
    <col min="71" max="71" width="21.42578125" customWidth="1"/>
    <col min="72" max="72" width="14.7109375" customWidth="1"/>
    <col min="73" max="73" width="16.28515625" customWidth="1"/>
    <col min="74" max="74" width="18.140625" customWidth="1"/>
    <col min="75" max="75" width="21.85546875" customWidth="1"/>
  </cols>
  <sheetData>
    <row r="2" spans="1:75" ht="23.25" x14ac:dyDescent="0.35">
      <c r="AD2" s="34" t="s">
        <v>187</v>
      </c>
      <c r="AE2" t="s">
        <v>349</v>
      </c>
    </row>
    <row r="3" spans="1:75" ht="44.25" customHeight="1" x14ac:dyDescent="0.25">
      <c r="A3" s="2" t="s">
        <v>0</v>
      </c>
      <c r="B3" s="46" t="s">
        <v>1</v>
      </c>
      <c r="C3" s="46" t="s">
        <v>137</v>
      </c>
      <c r="D3" s="46" t="s">
        <v>2</v>
      </c>
      <c r="E3" s="46" t="s">
        <v>131</v>
      </c>
      <c r="F3" s="30" t="s">
        <v>155</v>
      </c>
      <c r="G3" s="33" t="s">
        <v>129</v>
      </c>
      <c r="H3" s="48" t="s">
        <v>3</v>
      </c>
      <c r="I3" s="48" t="s">
        <v>4</v>
      </c>
      <c r="J3" s="46" t="s">
        <v>5</v>
      </c>
      <c r="K3" s="46" t="s">
        <v>133</v>
      </c>
      <c r="L3" s="46" t="s">
        <v>345</v>
      </c>
      <c r="M3" s="51" t="s">
        <v>627</v>
      </c>
      <c r="N3" s="51" t="s">
        <v>628</v>
      </c>
      <c r="O3" s="45" t="s">
        <v>339</v>
      </c>
      <c r="P3" s="45" t="s">
        <v>285</v>
      </c>
      <c r="Q3" s="45" t="s">
        <v>286</v>
      </c>
      <c r="R3" s="83" t="s">
        <v>576</v>
      </c>
      <c r="S3" s="83" t="s">
        <v>575</v>
      </c>
      <c r="T3" s="83" t="s">
        <v>11</v>
      </c>
      <c r="U3" s="83" t="s">
        <v>577</v>
      </c>
      <c r="V3" s="83" t="s">
        <v>578</v>
      </c>
      <c r="W3" s="83" t="s">
        <v>579</v>
      </c>
      <c r="X3" s="83" t="s">
        <v>285</v>
      </c>
      <c r="Y3" s="83" t="s">
        <v>626</v>
      </c>
      <c r="Z3" s="45" t="s">
        <v>340</v>
      </c>
      <c r="AA3" s="45" t="s">
        <v>7</v>
      </c>
      <c r="AB3" s="45" t="s">
        <v>8</v>
      </c>
      <c r="AC3" s="45" t="s">
        <v>9</v>
      </c>
      <c r="AD3" s="46" t="s">
        <v>188</v>
      </c>
      <c r="AE3" s="46" t="s">
        <v>347</v>
      </c>
      <c r="AF3" s="46" t="s">
        <v>350</v>
      </c>
      <c r="AG3" s="30" t="s">
        <v>305</v>
      </c>
      <c r="AH3" s="46" t="s">
        <v>344</v>
      </c>
      <c r="AI3" s="46" t="s">
        <v>189</v>
      </c>
      <c r="AJ3" s="46" t="s">
        <v>190</v>
      </c>
      <c r="AK3" s="46" t="s">
        <v>191</v>
      </c>
      <c r="AL3" s="46" t="s">
        <v>192</v>
      </c>
      <c r="AM3" s="46" t="s">
        <v>113</v>
      </c>
      <c r="AN3" s="46" t="s">
        <v>193</v>
      </c>
      <c r="AO3" s="47" t="s">
        <v>226</v>
      </c>
      <c r="AP3" s="46"/>
      <c r="AQ3" s="46" t="s">
        <v>189</v>
      </c>
      <c r="AR3" s="46" t="s">
        <v>190</v>
      </c>
      <c r="AS3" s="46" t="s">
        <v>191</v>
      </c>
      <c r="AT3" s="46" t="s">
        <v>192</v>
      </c>
      <c r="AU3" s="46" t="s">
        <v>572</v>
      </c>
      <c r="AV3" s="51" t="s">
        <v>208</v>
      </c>
      <c r="AW3" s="51" t="s">
        <v>300</v>
      </c>
      <c r="AX3" s="51" t="s">
        <v>301</v>
      </c>
      <c r="AY3" s="51" t="s">
        <v>302</v>
      </c>
      <c r="AZ3" s="51" t="s">
        <v>303</v>
      </c>
      <c r="BA3" s="51" t="s">
        <v>304</v>
      </c>
      <c r="BB3" s="46" t="s">
        <v>346</v>
      </c>
      <c r="BC3" s="64" t="s">
        <v>565</v>
      </c>
      <c r="BD3" s="64" t="s">
        <v>566</v>
      </c>
      <c r="BE3" s="64" t="s">
        <v>564</v>
      </c>
      <c r="BF3" s="64" t="s">
        <v>567</v>
      </c>
      <c r="BG3" s="64" t="s">
        <v>568</v>
      </c>
      <c r="BH3" s="64" t="s">
        <v>569</v>
      </c>
      <c r="BI3" s="64" t="s">
        <v>570</v>
      </c>
      <c r="BJ3" s="64" t="s">
        <v>571</v>
      </c>
      <c r="BK3" s="64" t="s">
        <v>304</v>
      </c>
      <c r="BL3" s="46" t="s">
        <v>194</v>
      </c>
      <c r="BM3" s="46" t="s">
        <v>12</v>
      </c>
      <c r="BN3" s="46"/>
      <c r="BO3" s="46" t="s">
        <v>327</v>
      </c>
      <c r="BP3" s="46" t="s">
        <v>592</v>
      </c>
      <c r="BQ3" s="46" t="s">
        <v>593</v>
      </c>
      <c r="BR3" s="46" t="s">
        <v>594</v>
      </c>
      <c r="BS3" s="46" t="s">
        <v>595</v>
      </c>
      <c r="BT3" s="46" t="s">
        <v>596</v>
      </c>
      <c r="BU3" s="46" t="s">
        <v>630</v>
      </c>
      <c r="BV3" s="46" t="s">
        <v>629</v>
      </c>
      <c r="BW3" s="46" t="s">
        <v>631</v>
      </c>
    </row>
    <row r="4" spans="1:75" hidden="1" x14ac:dyDescent="0.25">
      <c r="A4" s="18" t="s">
        <v>6</v>
      </c>
      <c r="B4" s="18">
        <v>2024</v>
      </c>
      <c r="C4" s="18" t="s">
        <v>138</v>
      </c>
      <c r="D4" s="18" t="s">
        <v>10</v>
      </c>
      <c r="E4" s="18">
        <v>60</v>
      </c>
      <c r="F4" s="18" t="s">
        <v>136</v>
      </c>
      <c r="G4" s="18" t="s">
        <v>157</v>
      </c>
      <c r="H4" s="31">
        <v>0</v>
      </c>
      <c r="I4" s="31">
        <v>0.5</v>
      </c>
      <c r="J4" s="4">
        <f>+I4-H4</f>
        <v>0.5</v>
      </c>
      <c r="K4" s="5">
        <v>0.98</v>
      </c>
      <c r="L4" s="31">
        <f>+J4*K4</f>
        <v>0.49</v>
      </c>
      <c r="M4" s="31">
        <v>2.11</v>
      </c>
      <c r="N4" s="31">
        <v>16.600000000000001</v>
      </c>
      <c r="O4" s="31">
        <f t="shared" ref="O4:O67" si="0">+K4*J4</f>
        <v>0.49</v>
      </c>
      <c r="P4" s="31">
        <v>490</v>
      </c>
      <c r="Q4" s="31">
        <v>1</v>
      </c>
      <c r="R4" s="31"/>
      <c r="S4" s="31"/>
      <c r="T4" s="85">
        <v>0</v>
      </c>
      <c r="U4" s="31"/>
      <c r="V4" s="31"/>
      <c r="W4" s="31"/>
      <c r="X4" s="31">
        <v>0</v>
      </c>
      <c r="Y4" s="31">
        <f>+X4/1000</f>
        <v>0</v>
      </c>
      <c r="Z4" s="18">
        <v>58</v>
      </c>
      <c r="AA4" s="18" t="s">
        <v>330</v>
      </c>
      <c r="AB4" s="18" t="s">
        <v>333</v>
      </c>
      <c r="AC4" s="18" t="s">
        <v>336</v>
      </c>
      <c r="AD4" s="18">
        <v>20</v>
      </c>
      <c r="AE4" s="18">
        <v>24.5</v>
      </c>
      <c r="AF4" s="18" t="s">
        <v>32</v>
      </c>
      <c r="AG4" s="18" t="s">
        <v>228</v>
      </c>
      <c r="AH4" s="18" t="s">
        <v>228</v>
      </c>
      <c r="AI4" s="18" t="s">
        <v>69</v>
      </c>
      <c r="AJ4" s="18" t="s">
        <v>81</v>
      </c>
      <c r="AK4" s="18" t="s">
        <v>100</v>
      </c>
      <c r="AL4" s="18" t="s">
        <v>111</v>
      </c>
      <c r="AM4" s="18" t="s">
        <v>122</v>
      </c>
      <c r="AN4" s="18" t="s">
        <v>198</v>
      </c>
      <c r="AO4" s="18" t="s">
        <v>195</v>
      </c>
      <c r="AP4" s="18"/>
      <c r="AQ4" s="18">
        <f>+VLOOKUP(AI4,Leyenda!$B$30:$E$34,3,FALSE)</f>
        <v>0</v>
      </c>
      <c r="AR4" s="18">
        <f>+VLOOKUP('3. Blasting'!AJ4,Meteorizacion,3,FALSE)</f>
        <v>0</v>
      </c>
      <c r="AS4" s="18">
        <f>+VLOOKUP('3. Blasting'!AK4,Apertura,3,FALSE)</f>
        <v>0</v>
      </c>
      <c r="AT4" s="18">
        <f>+VLOOKUP('3. Blasting'!AL4,Leyenda!$B$55:$D$59,3,FALSE)</f>
        <v>0</v>
      </c>
      <c r="AU4" s="18">
        <f>+VLOOKUP('3. Blasting'!AM4,Relleno,3,FALSE)</f>
        <v>0</v>
      </c>
      <c r="AV4" s="18">
        <f t="shared" ref="AV4:AV9" si="1">+SUM(AQ4:AU4)</f>
        <v>0</v>
      </c>
      <c r="AW4" s="49">
        <f>ROUND(-0.0002*POWER(Z4,2)+0.2197*Z4,0)</f>
        <v>12</v>
      </c>
      <c r="AX4" s="49">
        <f>VLOOKUP(AF4,Leyenda!$B$4:$D$10,3,FALSE)</f>
        <v>1</v>
      </c>
      <c r="AY4" s="49">
        <f t="shared" ref="AY4:AY67" si="2">IF(P4="",ROUND((IF(P4&lt;=400,1.5478*POWER(P4,0.3351),-2*POWER(10,-6)*POWER(P4,2)+0.0091*P4+8.1704)),0),ROUND((IF(P4&lt;=400,1.5478*POWER(P4,0.3351),-2*POWER(10,-6)*POWER(P4,2)+0.0091*P4+8.1704)),0))</f>
        <v>12</v>
      </c>
      <c r="AZ4" s="49">
        <f>+AV4</f>
        <v>0</v>
      </c>
      <c r="BA4" s="49">
        <f>VLOOKUP(AN4,Leyenda!$B$70:$D$75,3,FALSE)</f>
        <v>15</v>
      </c>
      <c r="BB4" s="67">
        <f>1.5*AV4+(T4*0.5)</f>
        <v>0</v>
      </c>
      <c r="BC4" s="67">
        <f>VLOOKUP(AF4,Leyenda!$B$4:$E$10,4,FALSE)</f>
        <v>1</v>
      </c>
      <c r="BD4" s="67">
        <f>IF(X4="",ROUND(IF(X4&lt;=50,5,IF(X4&gt;=3000,30,6.038*LN(X4)-19.63)),0),ROUND(IF(X4&lt;=50,5,IF(X4&gt;=3000,30,6.038*LN(X4)-19.63)),0))</f>
        <v>5</v>
      </c>
      <c r="BE4" s="67">
        <f>ROUND(-0.0002*POWER(T4,2)+0.2197*T4,0)</f>
        <v>0</v>
      </c>
      <c r="BF4" s="67">
        <f>+VLOOKUP('3. Blasting'!AK4,Leyenda!$B$47:$E$51,4,FALSE)</f>
        <v>0</v>
      </c>
      <c r="BG4" s="67">
        <f>+VLOOKUP('3. Blasting'!AL4,Leyenda!$B$55:$E$59,4,FALSE)</f>
        <v>0</v>
      </c>
      <c r="BH4" s="67">
        <f>+VLOOKUP('3. Blasting'!AM4,Leyenda!$B$63:$E$67,3,FALSE)</f>
        <v>0</v>
      </c>
      <c r="BI4" s="67">
        <f>+VLOOKUP('3. Blasting'!AJ4,Leyenda!$B$39:$E$43,4,FALSE)</f>
        <v>0</v>
      </c>
      <c r="BJ4" s="67">
        <f>+VLOOKUP('3. Blasting'!AI4,Leyenda!$B$30:$E$34,4,FALSE)</f>
        <v>0</v>
      </c>
      <c r="BK4" s="67">
        <f>VLOOKUP(AN4,Leyenda!$B$71:$E$75,4,FALSE)</f>
        <v>10</v>
      </c>
      <c r="BL4" s="67">
        <f>+BC4+BD4+BE4+BF4+BG4+BH4+BI4+BJ4+BK4</f>
        <v>16</v>
      </c>
      <c r="BM4" s="18">
        <f>+AX4+AY4+AW4+AZ4+BA4</f>
        <v>40</v>
      </c>
      <c r="BN4" s="18">
        <f>+CORREL(BB4:BB353,BL4:BL353)</f>
        <v>0.98136515090580723</v>
      </c>
      <c r="BO4" s="18"/>
      <c r="BP4" s="6">
        <f>+IF(BL4&lt;30,10,IF(BL4&lt;=41,20,30))</f>
        <v>10</v>
      </c>
      <c r="BQ4" s="6">
        <f>+IF(Y4&lt;0.1,10,IF(AND(Y4&gt;0.1,Y4&lt;1),20,50))</f>
        <v>10</v>
      </c>
      <c r="BR4" s="6">
        <v>20</v>
      </c>
      <c r="BS4" s="6">
        <f>25*M4-50</f>
        <v>2.75</v>
      </c>
      <c r="BT4" s="6">
        <f>0.05*N4</f>
        <v>0.83000000000000007</v>
      </c>
      <c r="BU4" s="6">
        <f>0.5*((BP4+BQ4)+BR4+BS4+BT4)</f>
        <v>21.79</v>
      </c>
      <c r="BV4" s="18">
        <f t="shared" ref="BV4:BV67" si="3">0.004*BU4</f>
        <v>8.7160000000000001E-2</v>
      </c>
      <c r="BW4" s="18">
        <f t="shared" ref="BW4:BW67" si="4">+BV4*M4</f>
        <v>0.1839076</v>
      </c>
    </row>
    <row r="5" spans="1:75" hidden="1" x14ac:dyDescent="0.25">
      <c r="A5" s="18" t="s">
        <v>6</v>
      </c>
      <c r="B5" s="18">
        <v>2024</v>
      </c>
      <c r="C5" s="18" t="s">
        <v>138</v>
      </c>
      <c r="D5" s="18" t="s">
        <v>10</v>
      </c>
      <c r="E5" s="18">
        <v>60</v>
      </c>
      <c r="F5" s="18" t="s">
        <v>136</v>
      </c>
      <c r="G5" s="18" t="s">
        <v>158</v>
      </c>
      <c r="H5" s="31">
        <f>+I4</f>
        <v>0.5</v>
      </c>
      <c r="I5" s="31">
        <f>+H5+0.5</f>
        <v>1</v>
      </c>
      <c r="J5" s="4">
        <f t="shared" ref="J5:J68" si="5">+I5-H5</f>
        <v>0.5</v>
      </c>
      <c r="K5" s="5">
        <v>0.98</v>
      </c>
      <c r="L5" s="31">
        <f t="shared" ref="L5:L68" si="6">+J5*K5</f>
        <v>0.49</v>
      </c>
      <c r="M5" s="31">
        <v>2.11</v>
      </c>
      <c r="N5" s="31">
        <v>16.600000000000001</v>
      </c>
      <c r="O5" s="31">
        <f t="shared" si="0"/>
        <v>0.49</v>
      </c>
      <c r="P5" s="31">
        <v>490</v>
      </c>
      <c r="Q5" s="31">
        <v>1</v>
      </c>
      <c r="R5" s="31"/>
      <c r="S5" s="31"/>
      <c r="T5" s="85">
        <v>0</v>
      </c>
      <c r="U5" s="31"/>
      <c r="V5" s="31"/>
      <c r="W5" s="31"/>
      <c r="X5" s="31">
        <v>0</v>
      </c>
      <c r="Y5" s="31">
        <f t="shared" ref="Y5:Y68" si="7">+X5/1000</f>
        <v>0</v>
      </c>
      <c r="Z5" s="18">
        <v>24</v>
      </c>
      <c r="AA5" s="18" t="s">
        <v>330</v>
      </c>
      <c r="AB5" s="18" t="s">
        <v>333</v>
      </c>
      <c r="AC5" s="18" t="s">
        <v>336</v>
      </c>
      <c r="AD5" s="18">
        <v>20</v>
      </c>
      <c r="AE5" s="18">
        <v>24.5</v>
      </c>
      <c r="AF5" s="18" t="s">
        <v>32</v>
      </c>
      <c r="AG5" s="18" t="s">
        <v>228</v>
      </c>
      <c r="AH5" s="18" t="s">
        <v>228</v>
      </c>
      <c r="AI5" s="18" t="s">
        <v>69</v>
      </c>
      <c r="AJ5" s="18" t="s">
        <v>81</v>
      </c>
      <c r="AK5" s="18" t="s">
        <v>100</v>
      </c>
      <c r="AL5" s="18" t="s">
        <v>111</v>
      </c>
      <c r="AM5" s="18" t="s">
        <v>122</v>
      </c>
      <c r="AN5" s="18" t="s">
        <v>198</v>
      </c>
      <c r="AO5" s="18"/>
      <c r="AP5" s="18"/>
      <c r="AQ5" s="18">
        <f>+VLOOKUP(AI5,Leyenda!$B$30:$E$34,3,FALSE)</f>
        <v>0</v>
      </c>
      <c r="AR5" s="18">
        <f>+VLOOKUP('3. Blasting'!AJ5,Meteorizacion,3,FALSE)</f>
        <v>0</v>
      </c>
      <c r="AS5" s="18">
        <f>+VLOOKUP('3. Blasting'!AK5,Apertura,3,FALSE)</f>
        <v>0</v>
      </c>
      <c r="AT5" s="18">
        <f>+VLOOKUP('3. Blasting'!AL5,Leyenda!$B$55:$D$59,3,FALSE)</f>
        <v>0</v>
      </c>
      <c r="AU5" s="18">
        <f>+VLOOKUP('3. Blasting'!AM5,Relleno,3,FALSE)</f>
        <v>0</v>
      </c>
      <c r="AV5" s="18">
        <f t="shared" si="1"/>
        <v>0</v>
      </c>
      <c r="AW5" s="49">
        <f t="shared" ref="AW5:AW68" si="8">ROUND(-0.0002*POWER(Z5,2)+0.2197*Z5,0)</f>
        <v>5</v>
      </c>
      <c r="AX5" s="49">
        <f>VLOOKUP(AF5,Leyenda!$B$4:$D$10,3,FALSE)</f>
        <v>1</v>
      </c>
      <c r="AY5" s="49">
        <f t="shared" si="2"/>
        <v>12</v>
      </c>
      <c r="AZ5" s="49">
        <f t="shared" ref="AZ5:AZ68" si="9">+AV5</f>
        <v>0</v>
      </c>
      <c r="BA5" s="49">
        <f>VLOOKUP(AN5,Leyenda!$B$70:$D$75,3,FALSE)</f>
        <v>15</v>
      </c>
      <c r="BB5" s="67">
        <f t="shared" ref="BB5:BB68" si="10">1.5*AV5+(T5*0.5)</f>
        <v>0</v>
      </c>
      <c r="BC5" s="67">
        <f>VLOOKUP(AF5,Leyenda!$B$4:$E$10,4,FALSE)</f>
        <v>1</v>
      </c>
      <c r="BD5" s="67">
        <f t="shared" ref="BD5:BD68" si="11">IF(X5="",ROUND(IF(X5&lt;=50,5,IF(X5&gt;=3000,30,6.038*LN(X5)-19.63)),0),ROUND(IF(X5&lt;=50,5,IF(X5&gt;=3000,30,6.038*LN(X5)-19.63)),0))</f>
        <v>5</v>
      </c>
      <c r="BE5" s="67">
        <f t="shared" ref="BE5:BE68" si="12">ROUND(-0.0002*POWER(T5,2)+0.2197*T5,0)</f>
        <v>0</v>
      </c>
      <c r="BF5" s="67">
        <f>+VLOOKUP('3. Blasting'!AK5,Leyenda!$B$47:$E$51,4,FALSE)</f>
        <v>0</v>
      </c>
      <c r="BG5" s="67">
        <f>+VLOOKUP('3. Blasting'!AL5,Leyenda!$B$55:$E$59,4,FALSE)</f>
        <v>0</v>
      </c>
      <c r="BH5" s="67">
        <f>+VLOOKUP('3. Blasting'!AM5,Leyenda!$B$63:$E$67,3,FALSE)</f>
        <v>0</v>
      </c>
      <c r="BI5" s="67">
        <f>+VLOOKUP('3. Blasting'!AJ5,Leyenda!$B$39:$E$43,4,FALSE)</f>
        <v>0</v>
      </c>
      <c r="BJ5" s="67">
        <f>+VLOOKUP('3. Blasting'!AI5,Leyenda!$B$30:$E$34,4,FALSE)</f>
        <v>0</v>
      </c>
      <c r="BK5" s="67">
        <f>VLOOKUP(AN5,Leyenda!$B$71:$E$75,4,FALSE)</f>
        <v>10</v>
      </c>
      <c r="BL5" s="67">
        <f t="shared" ref="BL5:BL68" si="13">+BC5+BD5+BE5+BF5+BG5+BH5+BI5+BJ5+BK5</f>
        <v>16</v>
      </c>
      <c r="BM5" s="18">
        <f t="shared" ref="BM5:BM68" si="14">+AX5+AY5+AW5+AZ5+BA5</f>
        <v>33</v>
      </c>
      <c r="BN5" s="18">
        <f t="shared" ref="BN5:BN12" si="15">+CORREL(BB5:BB354,BL5:BL354)</f>
        <v>0.98135580792822252</v>
      </c>
      <c r="BO5" s="18"/>
      <c r="BP5" s="6">
        <f t="shared" ref="BP5:BP68" si="16">+IF(BL5&lt;30,10,IF(BL5&lt;=41,20,30))</f>
        <v>10</v>
      </c>
      <c r="BQ5" s="6">
        <f t="shared" ref="BQ5:BQ68" si="17">+IF(Y5&lt;0.1,10,IF(AND(Y5&gt;0.1,Y5&lt;1),20,50))</f>
        <v>10</v>
      </c>
      <c r="BR5" s="6">
        <v>20</v>
      </c>
      <c r="BS5" s="6">
        <f t="shared" ref="BS5:BS68" si="18">25*M5-50</f>
        <v>2.75</v>
      </c>
      <c r="BT5" s="6">
        <f t="shared" ref="BT5:BT68" si="19">0.05*N5</f>
        <v>0.83000000000000007</v>
      </c>
      <c r="BU5" s="6">
        <f t="shared" ref="BU5:BU68" si="20">0.5*((BP5+BQ5)+BR5+BS5+BT5)</f>
        <v>21.79</v>
      </c>
      <c r="BV5" s="18">
        <f t="shared" si="3"/>
        <v>8.7160000000000001E-2</v>
      </c>
      <c r="BW5" s="18">
        <f t="shared" si="4"/>
        <v>0.1839076</v>
      </c>
    </row>
    <row r="6" spans="1:75" hidden="1" x14ac:dyDescent="0.25">
      <c r="A6" s="18" t="s">
        <v>6</v>
      </c>
      <c r="B6" s="18">
        <v>2024</v>
      </c>
      <c r="C6" s="18" t="s">
        <v>138</v>
      </c>
      <c r="D6" s="18" t="s">
        <v>10</v>
      </c>
      <c r="E6" s="18">
        <v>60</v>
      </c>
      <c r="F6" s="18" t="s">
        <v>136</v>
      </c>
      <c r="G6" s="18" t="s">
        <v>158</v>
      </c>
      <c r="H6" s="31">
        <f t="shared" ref="H6:H69" si="21">+I5</f>
        <v>1</v>
      </c>
      <c r="I6" s="31">
        <f>+H6+0.5</f>
        <v>1.5</v>
      </c>
      <c r="J6" s="4">
        <f t="shared" si="5"/>
        <v>0.5</v>
      </c>
      <c r="K6" s="5">
        <v>0.86</v>
      </c>
      <c r="L6" s="31">
        <f t="shared" si="6"/>
        <v>0.43</v>
      </c>
      <c r="M6" s="31">
        <v>2.11</v>
      </c>
      <c r="N6" s="31">
        <v>16.600000000000001</v>
      </c>
      <c r="O6" s="31">
        <f t="shared" si="0"/>
        <v>0.43</v>
      </c>
      <c r="P6" s="31">
        <v>430</v>
      </c>
      <c r="Q6" s="31">
        <v>1</v>
      </c>
      <c r="R6" s="31"/>
      <c r="S6" s="31"/>
      <c r="T6" s="85">
        <v>0</v>
      </c>
      <c r="U6" s="31"/>
      <c r="V6" s="31"/>
      <c r="W6" s="31"/>
      <c r="X6" s="31">
        <v>0</v>
      </c>
      <c r="Y6" s="31">
        <f t="shared" si="7"/>
        <v>0</v>
      </c>
      <c r="Z6" s="18">
        <v>42</v>
      </c>
      <c r="AA6" s="18" t="s">
        <v>100</v>
      </c>
      <c r="AB6" s="18" t="s">
        <v>333</v>
      </c>
      <c r="AC6" s="18" t="s">
        <v>336</v>
      </c>
      <c r="AD6" s="18">
        <v>20</v>
      </c>
      <c r="AE6" s="18">
        <v>21.5</v>
      </c>
      <c r="AF6" s="18" t="s">
        <v>32</v>
      </c>
      <c r="AG6" s="18" t="s">
        <v>228</v>
      </c>
      <c r="AH6" s="18" t="s">
        <v>228</v>
      </c>
      <c r="AI6" s="18" t="s">
        <v>69</v>
      </c>
      <c r="AJ6" s="18" t="s">
        <v>81</v>
      </c>
      <c r="AK6" s="18" t="s">
        <v>100</v>
      </c>
      <c r="AL6" s="18" t="s">
        <v>111</v>
      </c>
      <c r="AM6" s="18" t="s">
        <v>122</v>
      </c>
      <c r="AN6" s="18" t="s">
        <v>198</v>
      </c>
      <c r="AO6" s="18"/>
      <c r="AP6" s="18"/>
      <c r="AQ6" s="18">
        <f>+VLOOKUP(AI6,Leyenda!$B$30:$E$34,3,FALSE)</f>
        <v>0</v>
      </c>
      <c r="AR6" s="18">
        <f>+VLOOKUP('3. Blasting'!AJ6,Meteorizacion,3,FALSE)</f>
        <v>0</v>
      </c>
      <c r="AS6" s="18">
        <f>+VLOOKUP('3. Blasting'!AK6,Apertura,3,FALSE)</f>
        <v>0</v>
      </c>
      <c r="AT6" s="18">
        <f>+VLOOKUP('3. Blasting'!AL6,Leyenda!$B$55:$D$59,3,FALSE)</f>
        <v>0</v>
      </c>
      <c r="AU6" s="18">
        <f>+VLOOKUP('3. Blasting'!AM6,Relleno,3,FALSE)</f>
        <v>0</v>
      </c>
      <c r="AV6" s="18">
        <f t="shared" si="1"/>
        <v>0</v>
      </c>
      <c r="AW6" s="49">
        <f t="shared" si="8"/>
        <v>9</v>
      </c>
      <c r="AX6" s="49">
        <f>VLOOKUP(AF6,Leyenda!$B$4:$D$10,3,FALSE)</f>
        <v>1</v>
      </c>
      <c r="AY6" s="49">
        <f t="shared" si="2"/>
        <v>12</v>
      </c>
      <c r="AZ6" s="49">
        <f t="shared" si="9"/>
        <v>0</v>
      </c>
      <c r="BA6" s="49">
        <f>VLOOKUP(AN6,Leyenda!$B$70:$D$75,3,FALSE)</f>
        <v>15</v>
      </c>
      <c r="BB6" s="67">
        <f t="shared" si="10"/>
        <v>0</v>
      </c>
      <c r="BC6" s="67">
        <f>VLOOKUP(AF6,Leyenda!$B$4:$E$10,4,FALSE)</f>
        <v>1</v>
      </c>
      <c r="BD6" s="67">
        <f t="shared" si="11"/>
        <v>5</v>
      </c>
      <c r="BE6" s="67">
        <f t="shared" si="12"/>
        <v>0</v>
      </c>
      <c r="BF6" s="67">
        <f>+VLOOKUP('3. Blasting'!AK6,Leyenda!$B$47:$E$51,4,FALSE)</f>
        <v>0</v>
      </c>
      <c r="BG6" s="67">
        <f>+VLOOKUP('3. Blasting'!AL6,Leyenda!$B$55:$E$59,4,FALSE)</f>
        <v>0</v>
      </c>
      <c r="BH6" s="67">
        <f>+VLOOKUP('3. Blasting'!AM6,Leyenda!$B$63:$E$67,3,FALSE)</f>
        <v>0</v>
      </c>
      <c r="BI6" s="67">
        <f>+VLOOKUP('3. Blasting'!AJ6,Leyenda!$B$39:$E$43,4,FALSE)</f>
        <v>0</v>
      </c>
      <c r="BJ6" s="67">
        <f>+VLOOKUP('3. Blasting'!AI6,Leyenda!$B$30:$E$34,4,FALSE)</f>
        <v>0</v>
      </c>
      <c r="BK6" s="67">
        <f>VLOOKUP(AN6,Leyenda!$B$71:$E$75,4,FALSE)</f>
        <v>10</v>
      </c>
      <c r="BL6" s="67">
        <f t="shared" si="13"/>
        <v>16</v>
      </c>
      <c r="BM6" s="18">
        <f t="shared" si="14"/>
        <v>37</v>
      </c>
      <c r="BN6" s="18">
        <f t="shared" si="15"/>
        <v>0.98134660217435277</v>
      </c>
      <c r="BO6" s="18"/>
      <c r="BP6" s="6">
        <f t="shared" si="16"/>
        <v>10</v>
      </c>
      <c r="BQ6" s="6">
        <f t="shared" si="17"/>
        <v>10</v>
      </c>
      <c r="BR6" s="6">
        <v>20</v>
      </c>
      <c r="BS6" s="6">
        <f t="shared" si="18"/>
        <v>2.75</v>
      </c>
      <c r="BT6" s="6">
        <f t="shared" si="19"/>
        <v>0.83000000000000007</v>
      </c>
      <c r="BU6" s="6">
        <f t="shared" si="20"/>
        <v>21.79</v>
      </c>
      <c r="BV6" s="18">
        <f t="shared" si="3"/>
        <v>8.7160000000000001E-2</v>
      </c>
      <c r="BW6" s="18">
        <f t="shared" si="4"/>
        <v>0.1839076</v>
      </c>
    </row>
    <row r="7" spans="1:75" hidden="1" x14ac:dyDescent="0.25">
      <c r="A7" s="18" t="s">
        <v>6</v>
      </c>
      <c r="B7" s="18">
        <v>2024</v>
      </c>
      <c r="C7" s="18" t="s">
        <v>138</v>
      </c>
      <c r="D7" s="18" t="s">
        <v>10</v>
      </c>
      <c r="E7" s="18">
        <v>60</v>
      </c>
      <c r="F7" s="18" t="s">
        <v>136</v>
      </c>
      <c r="G7" s="18" t="s">
        <v>158</v>
      </c>
      <c r="H7" s="31">
        <f t="shared" si="21"/>
        <v>1.5</v>
      </c>
      <c r="I7" s="31">
        <f t="shared" ref="I7:I50" si="22">+H7+0.5</f>
        <v>2</v>
      </c>
      <c r="J7" s="4">
        <f t="shared" si="5"/>
        <v>0.5</v>
      </c>
      <c r="K7" s="5">
        <v>0.6</v>
      </c>
      <c r="L7" s="31">
        <f t="shared" si="6"/>
        <v>0.3</v>
      </c>
      <c r="M7" s="31">
        <v>2.11</v>
      </c>
      <c r="N7" s="31">
        <v>16.600000000000001</v>
      </c>
      <c r="O7" s="31">
        <f t="shared" si="0"/>
        <v>0.3</v>
      </c>
      <c r="P7" s="31">
        <v>15</v>
      </c>
      <c r="Q7" s="31">
        <v>20</v>
      </c>
      <c r="R7" s="31"/>
      <c r="S7" s="31"/>
      <c r="T7" s="85">
        <v>0</v>
      </c>
      <c r="U7" s="31"/>
      <c r="V7" s="31"/>
      <c r="W7" s="31"/>
      <c r="X7" s="31">
        <v>0</v>
      </c>
      <c r="Y7" s="31">
        <f t="shared" si="7"/>
        <v>0</v>
      </c>
      <c r="Z7" s="18">
        <v>58</v>
      </c>
      <c r="AA7" s="18" t="s">
        <v>88</v>
      </c>
      <c r="AB7" s="18" t="s">
        <v>333</v>
      </c>
      <c r="AC7" s="18" t="s">
        <v>336</v>
      </c>
      <c r="AD7" s="18">
        <v>20</v>
      </c>
      <c r="AE7" s="18">
        <v>15</v>
      </c>
      <c r="AF7" s="18" t="s">
        <v>32</v>
      </c>
      <c r="AG7" s="18" t="s">
        <v>228</v>
      </c>
      <c r="AH7" s="18" t="s">
        <v>228</v>
      </c>
      <c r="AI7" s="18" t="s">
        <v>69</v>
      </c>
      <c r="AJ7" s="18" t="s">
        <v>81</v>
      </c>
      <c r="AK7" s="18" t="s">
        <v>100</v>
      </c>
      <c r="AL7" s="18" t="s">
        <v>111</v>
      </c>
      <c r="AM7" s="18" t="s">
        <v>122</v>
      </c>
      <c r="AN7" s="18" t="s">
        <v>198</v>
      </c>
      <c r="AO7" s="18"/>
      <c r="AP7" s="18"/>
      <c r="AQ7" s="18">
        <f>+VLOOKUP(AI7,Leyenda!$B$30:$E$34,3,FALSE)</f>
        <v>0</v>
      </c>
      <c r="AR7" s="18">
        <f>+VLOOKUP('3. Blasting'!AJ7,Meteorizacion,3,FALSE)</f>
        <v>0</v>
      </c>
      <c r="AS7" s="18">
        <f>+VLOOKUP('3. Blasting'!AK7,Apertura,3,FALSE)</f>
        <v>0</v>
      </c>
      <c r="AT7" s="18">
        <f>+VLOOKUP('3. Blasting'!AL7,Leyenda!$B$55:$D$59,3,FALSE)</f>
        <v>0</v>
      </c>
      <c r="AU7" s="18">
        <f>+VLOOKUP('3. Blasting'!AM7,Relleno,3,FALSE)</f>
        <v>0</v>
      </c>
      <c r="AV7" s="18">
        <f t="shared" si="1"/>
        <v>0</v>
      </c>
      <c r="AW7" s="49">
        <f t="shared" si="8"/>
        <v>12</v>
      </c>
      <c r="AX7" s="49">
        <f>VLOOKUP(AF7,Leyenda!$B$4:$D$10,3,FALSE)</f>
        <v>1</v>
      </c>
      <c r="AY7" s="49">
        <f t="shared" si="2"/>
        <v>4</v>
      </c>
      <c r="AZ7" s="49">
        <f t="shared" si="9"/>
        <v>0</v>
      </c>
      <c r="BA7" s="49">
        <f>VLOOKUP(AN7,Leyenda!$B$70:$D$75,3,FALSE)</f>
        <v>15</v>
      </c>
      <c r="BB7" s="67">
        <f t="shared" si="10"/>
        <v>0</v>
      </c>
      <c r="BC7" s="67">
        <f>VLOOKUP(AF7,Leyenda!$B$4:$E$10,4,FALSE)</f>
        <v>1</v>
      </c>
      <c r="BD7" s="67">
        <f t="shared" si="11"/>
        <v>5</v>
      </c>
      <c r="BE7" s="67">
        <f t="shared" si="12"/>
        <v>0</v>
      </c>
      <c r="BF7" s="67">
        <f>+VLOOKUP('3. Blasting'!AK7,Leyenda!$B$47:$E$51,4,FALSE)</f>
        <v>0</v>
      </c>
      <c r="BG7" s="67">
        <f>+VLOOKUP('3. Blasting'!AL7,Leyenda!$B$55:$E$59,4,FALSE)</f>
        <v>0</v>
      </c>
      <c r="BH7" s="67">
        <f>+VLOOKUP('3. Blasting'!AM7,Leyenda!$B$63:$E$67,3,FALSE)</f>
        <v>0</v>
      </c>
      <c r="BI7" s="67">
        <f>+VLOOKUP('3. Blasting'!AJ7,Leyenda!$B$39:$E$43,4,FALSE)</f>
        <v>0</v>
      </c>
      <c r="BJ7" s="67">
        <f>+VLOOKUP('3. Blasting'!AI7,Leyenda!$B$30:$E$34,4,FALSE)</f>
        <v>0</v>
      </c>
      <c r="BK7" s="67">
        <f>VLOOKUP(AN7,Leyenda!$B$71:$E$75,4,FALSE)</f>
        <v>10</v>
      </c>
      <c r="BL7" s="67">
        <f t="shared" si="13"/>
        <v>16</v>
      </c>
      <c r="BM7" s="18">
        <f t="shared" si="14"/>
        <v>32</v>
      </c>
      <c r="BN7" s="18">
        <f t="shared" si="15"/>
        <v>0.98134660217435266</v>
      </c>
      <c r="BO7" s="18"/>
      <c r="BP7" s="6">
        <f t="shared" si="16"/>
        <v>10</v>
      </c>
      <c r="BQ7" s="6">
        <f t="shared" si="17"/>
        <v>10</v>
      </c>
      <c r="BR7" s="6">
        <v>20</v>
      </c>
      <c r="BS7" s="6">
        <f t="shared" si="18"/>
        <v>2.75</v>
      </c>
      <c r="BT7" s="6">
        <f t="shared" si="19"/>
        <v>0.83000000000000007</v>
      </c>
      <c r="BU7" s="6">
        <f t="shared" si="20"/>
        <v>21.79</v>
      </c>
      <c r="BV7" s="18">
        <f t="shared" si="3"/>
        <v>8.7160000000000001E-2</v>
      </c>
      <c r="BW7" s="18">
        <f t="shared" si="4"/>
        <v>0.1839076</v>
      </c>
    </row>
    <row r="8" spans="1:75" hidden="1" x14ac:dyDescent="0.25">
      <c r="A8" s="18" t="s">
        <v>6</v>
      </c>
      <c r="B8" s="18">
        <v>2024</v>
      </c>
      <c r="C8" s="18" t="s">
        <v>138</v>
      </c>
      <c r="D8" s="18" t="s">
        <v>10</v>
      </c>
      <c r="E8" s="18">
        <v>60</v>
      </c>
      <c r="F8" s="18" t="s">
        <v>136</v>
      </c>
      <c r="G8" s="18" t="s">
        <v>158</v>
      </c>
      <c r="H8" s="31">
        <f t="shared" si="21"/>
        <v>2</v>
      </c>
      <c r="I8" s="31">
        <f t="shared" si="22"/>
        <v>2.5</v>
      </c>
      <c r="J8" s="4">
        <f t="shared" si="5"/>
        <v>0.5</v>
      </c>
      <c r="K8" s="5">
        <v>0.57999999999999996</v>
      </c>
      <c r="L8" s="31">
        <f t="shared" si="6"/>
        <v>0.28999999999999998</v>
      </c>
      <c r="M8" s="31">
        <v>2.11</v>
      </c>
      <c r="N8" s="31">
        <v>16.600000000000001</v>
      </c>
      <c r="O8" s="31">
        <f t="shared" si="0"/>
        <v>0.28999999999999998</v>
      </c>
      <c r="P8" s="31">
        <v>290</v>
      </c>
      <c r="Q8" s="31">
        <v>1</v>
      </c>
      <c r="R8" s="31"/>
      <c r="S8" s="31"/>
      <c r="T8" s="85">
        <v>0</v>
      </c>
      <c r="U8" s="31"/>
      <c r="V8" s="31"/>
      <c r="W8" s="31"/>
      <c r="X8" s="31">
        <v>0</v>
      </c>
      <c r="Y8" s="31">
        <f t="shared" si="7"/>
        <v>0</v>
      </c>
      <c r="Z8" s="18">
        <v>0</v>
      </c>
      <c r="AA8" s="18" t="s">
        <v>88</v>
      </c>
      <c r="AB8" s="18" t="s">
        <v>333</v>
      </c>
      <c r="AC8" s="18" t="s">
        <v>336</v>
      </c>
      <c r="AD8" s="18">
        <v>20</v>
      </c>
      <c r="AE8" s="18">
        <v>14.5</v>
      </c>
      <c r="AF8" s="18" t="s">
        <v>32</v>
      </c>
      <c r="AG8" s="18" t="s">
        <v>228</v>
      </c>
      <c r="AH8" s="18" t="s">
        <v>228</v>
      </c>
      <c r="AI8" s="18" t="s">
        <v>69</v>
      </c>
      <c r="AJ8" s="18" t="s">
        <v>81</v>
      </c>
      <c r="AK8" s="18" t="s">
        <v>100</v>
      </c>
      <c r="AL8" s="18" t="s">
        <v>111</v>
      </c>
      <c r="AM8" s="18" t="s">
        <v>122</v>
      </c>
      <c r="AN8" s="18" t="s">
        <v>198</v>
      </c>
      <c r="AO8" s="18"/>
      <c r="AP8" s="18"/>
      <c r="AQ8" s="18">
        <f>+VLOOKUP(AI8,Leyenda!$B$30:$E$34,3,FALSE)</f>
        <v>0</v>
      </c>
      <c r="AR8" s="18">
        <f>+VLOOKUP('3. Blasting'!AJ8,Meteorizacion,3,FALSE)</f>
        <v>0</v>
      </c>
      <c r="AS8" s="18">
        <f>+VLOOKUP('3. Blasting'!AK8,Apertura,3,FALSE)</f>
        <v>0</v>
      </c>
      <c r="AT8" s="18">
        <f>+VLOOKUP('3. Blasting'!AL8,Leyenda!$B$55:$D$59,3,FALSE)</f>
        <v>0</v>
      </c>
      <c r="AU8" s="18">
        <f>+VLOOKUP('3. Blasting'!AM8,Relleno,3,FALSE)</f>
        <v>0</v>
      </c>
      <c r="AV8" s="18">
        <f t="shared" si="1"/>
        <v>0</v>
      </c>
      <c r="AW8" s="49">
        <f t="shared" si="8"/>
        <v>0</v>
      </c>
      <c r="AX8" s="49">
        <f>VLOOKUP(AF8,Leyenda!$B$4:$D$10,3,FALSE)</f>
        <v>1</v>
      </c>
      <c r="AY8" s="49">
        <f t="shared" si="2"/>
        <v>10</v>
      </c>
      <c r="AZ8" s="49">
        <f t="shared" si="9"/>
        <v>0</v>
      </c>
      <c r="BA8" s="49">
        <f>VLOOKUP(AN8,Leyenda!$B$70:$D$75,3,FALSE)</f>
        <v>15</v>
      </c>
      <c r="BB8" s="67">
        <f t="shared" si="10"/>
        <v>0</v>
      </c>
      <c r="BC8" s="67">
        <f>VLOOKUP(AF8,Leyenda!$B$4:$E$10,4,FALSE)</f>
        <v>1</v>
      </c>
      <c r="BD8" s="67">
        <f t="shared" si="11"/>
        <v>5</v>
      </c>
      <c r="BE8" s="67">
        <f t="shared" si="12"/>
        <v>0</v>
      </c>
      <c r="BF8" s="67">
        <f>+VLOOKUP('3. Blasting'!AK8,Leyenda!$B$47:$E$51,4,FALSE)</f>
        <v>0</v>
      </c>
      <c r="BG8" s="67">
        <f>+VLOOKUP('3. Blasting'!AL8,Leyenda!$B$55:$E$59,4,FALSE)</f>
        <v>0</v>
      </c>
      <c r="BH8" s="67">
        <f>+VLOOKUP('3. Blasting'!AM8,Leyenda!$B$63:$E$67,3,FALSE)</f>
        <v>0</v>
      </c>
      <c r="BI8" s="67">
        <f>+VLOOKUP('3. Blasting'!AJ8,Leyenda!$B$39:$E$43,4,FALSE)</f>
        <v>0</v>
      </c>
      <c r="BJ8" s="67">
        <f>+VLOOKUP('3. Blasting'!AI8,Leyenda!$B$30:$E$34,4,FALSE)</f>
        <v>0</v>
      </c>
      <c r="BK8" s="67">
        <f>VLOOKUP(AN8,Leyenda!$B$71:$E$75,4,FALSE)</f>
        <v>10</v>
      </c>
      <c r="BL8" s="67">
        <f t="shared" si="13"/>
        <v>16</v>
      </c>
      <c r="BM8" s="18">
        <f t="shared" si="14"/>
        <v>26</v>
      </c>
      <c r="BN8" s="18">
        <f t="shared" si="15"/>
        <v>0.98114684557885767</v>
      </c>
      <c r="BO8" s="18"/>
      <c r="BP8" s="6">
        <f t="shared" si="16"/>
        <v>10</v>
      </c>
      <c r="BQ8" s="6">
        <f t="shared" si="17"/>
        <v>10</v>
      </c>
      <c r="BR8" s="6">
        <v>20</v>
      </c>
      <c r="BS8" s="6">
        <f t="shared" si="18"/>
        <v>2.75</v>
      </c>
      <c r="BT8" s="6">
        <f t="shared" si="19"/>
        <v>0.83000000000000007</v>
      </c>
      <c r="BU8" s="6">
        <f t="shared" si="20"/>
        <v>21.79</v>
      </c>
      <c r="BV8" s="18">
        <f t="shared" si="3"/>
        <v>8.7160000000000001E-2</v>
      </c>
      <c r="BW8" s="18">
        <f t="shared" si="4"/>
        <v>0.1839076</v>
      </c>
    </row>
    <row r="9" spans="1:75" hidden="1" x14ac:dyDescent="0.25">
      <c r="A9" s="18" t="s">
        <v>6</v>
      </c>
      <c r="B9" s="18">
        <v>2024</v>
      </c>
      <c r="C9" s="18" t="s">
        <v>138</v>
      </c>
      <c r="D9" s="18" t="s">
        <v>10</v>
      </c>
      <c r="E9" s="18">
        <v>60</v>
      </c>
      <c r="F9" s="18" t="s">
        <v>136</v>
      </c>
      <c r="G9" s="18" t="s">
        <v>158</v>
      </c>
      <c r="H9" s="31">
        <f t="shared" si="21"/>
        <v>2.5</v>
      </c>
      <c r="I9" s="31">
        <f t="shared" si="22"/>
        <v>3</v>
      </c>
      <c r="J9" s="4">
        <f t="shared" si="5"/>
        <v>0.5</v>
      </c>
      <c r="K9" s="5">
        <v>0.8</v>
      </c>
      <c r="L9" s="31">
        <f t="shared" si="6"/>
        <v>0.4</v>
      </c>
      <c r="M9" s="31">
        <v>2.11</v>
      </c>
      <c r="N9" s="31">
        <v>16.600000000000001</v>
      </c>
      <c r="O9" s="31">
        <f t="shared" si="0"/>
        <v>0.4</v>
      </c>
      <c r="P9" s="31">
        <v>80</v>
      </c>
      <c r="Q9" s="31">
        <v>5</v>
      </c>
      <c r="R9" s="31"/>
      <c r="S9" s="31"/>
      <c r="T9" s="85">
        <v>0</v>
      </c>
      <c r="U9" s="31"/>
      <c r="V9" s="31"/>
      <c r="W9" s="31"/>
      <c r="X9" s="31">
        <v>0</v>
      </c>
      <c r="Y9" s="31">
        <f t="shared" si="7"/>
        <v>0</v>
      </c>
      <c r="Z9" s="18">
        <v>50</v>
      </c>
      <c r="AA9" s="18" t="s">
        <v>88</v>
      </c>
      <c r="AB9" s="18" t="s">
        <v>333</v>
      </c>
      <c r="AC9" s="18" t="s">
        <v>336</v>
      </c>
      <c r="AD9" s="18">
        <v>20</v>
      </c>
      <c r="AE9" s="18">
        <v>20</v>
      </c>
      <c r="AF9" s="18" t="s">
        <v>32</v>
      </c>
      <c r="AG9" s="18" t="s">
        <v>228</v>
      </c>
      <c r="AH9" s="18" t="s">
        <v>228</v>
      </c>
      <c r="AI9" s="18" t="s">
        <v>69</v>
      </c>
      <c r="AJ9" s="18" t="s">
        <v>81</v>
      </c>
      <c r="AK9" s="18" t="s">
        <v>100</v>
      </c>
      <c r="AL9" s="18" t="s">
        <v>111</v>
      </c>
      <c r="AM9" s="18" t="s">
        <v>122</v>
      </c>
      <c r="AN9" s="18" t="s">
        <v>198</v>
      </c>
      <c r="AO9" s="18"/>
      <c r="AP9" s="18"/>
      <c r="AQ9" s="18">
        <f>+VLOOKUP(AI9,Leyenda!$B$30:$E$34,3,FALSE)</f>
        <v>0</v>
      </c>
      <c r="AR9" s="18">
        <f>+VLOOKUP('3. Blasting'!AJ9,Meteorizacion,3,FALSE)</f>
        <v>0</v>
      </c>
      <c r="AS9" s="18">
        <f>+VLOOKUP('3. Blasting'!AK9,Apertura,3,FALSE)</f>
        <v>0</v>
      </c>
      <c r="AT9" s="18">
        <f>+VLOOKUP('3. Blasting'!AL9,Leyenda!$B$55:$D$59,3,FALSE)</f>
        <v>0</v>
      </c>
      <c r="AU9" s="18">
        <f>+VLOOKUP('3. Blasting'!AM9,Relleno,3,FALSE)</f>
        <v>0</v>
      </c>
      <c r="AV9" s="18">
        <f t="shared" si="1"/>
        <v>0</v>
      </c>
      <c r="AW9" s="49">
        <f t="shared" si="8"/>
        <v>10</v>
      </c>
      <c r="AX9" s="49">
        <f>VLOOKUP(AF9,Leyenda!$B$4:$D$10,3,FALSE)</f>
        <v>1</v>
      </c>
      <c r="AY9" s="49">
        <f t="shared" si="2"/>
        <v>7</v>
      </c>
      <c r="AZ9" s="49">
        <f t="shared" si="9"/>
        <v>0</v>
      </c>
      <c r="BA9" s="49">
        <f>VLOOKUP(AN9,Leyenda!$B$70:$D$75,3,FALSE)</f>
        <v>15</v>
      </c>
      <c r="BB9" s="67">
        <f t="shared" si="10"/>
        <v>0</v>
      </c>
      <c r="BC9" s="67">
        <f>VLOOKUP(AF9,Leyenda!$B$4:$E$10,4,FALSE)</f>
        <v>1</v>
      </c>
      <c r="BD9" s="67">
        <f t="shared" si="11"/>
        <v>5</v>
      </c>
      <c r="BE9" s="67">
        <f t="shared" si="12"/>
        <v>0</v>
      </c>
      <c r="BF9" s="67">
        <f>+VLOOKUP('3. Blasting'!AK9,Leyenda!$B$47:$E$51,4,FALSE)</f>
        <v>0</v>
      </c>
      <c r="BG9" s="67">
        <f>+VLOOKUP('3. Blasting'!AL9,Leyenda!$B$55:$E$59,4,FALSE)</f>
        <v>0</v>
      </c>
      <c r="BH9" s="67">
        <f>+VLOOKUP('3. Blasting'!AM9,Leyenda!$B$63:$E$67,3,FALSE)</f>
        <v>0</v>
      </c>
      <c r="BI9" s="67">
        <f>+VLOOKUP('3. Blasting'!AJ9,Leyenda!$B$39:$E$43,4,FALSE)</f>
        <v>0</v>
      </c>
      <c r="BJ9" s="67">
        <f>+VLOOKUP('3. Blasting'!AI9,Leyenda!$B$30:$E$34,4,FALSE)</f>
        <v>0</v>
      </c>
      <c r="BK9" s="67">
        <f>VLOOKUP(AN9,Leyenda!$B$71:$E$75,4,FALSE)</f>
        <v>10</v>
      </c>
      <c r="BL9" s="67">
        <f t="shared" si="13"/>
        <v>16</v>
      </c>
      <c r="BM9" s="18">
        <f t="shared" si="14"/>
        <v>33</v>
      </c>
      <c r="BN9" s="18">
        <f t="shared" si="15"/>
        <v>0.98050763624881099</v>
      </c>
      <c r="BO9" s="18"/>
      <c r="BP9" s="6">
        <f t="shared" si="16"/>
        <v>10</v>
      </c>
      <c r="BQ9" s="6">
        <f t="shared" si="17"/>
        <v>10</v>
      </c>
      <c r="BR9" s="6">
        <v>20</v>
      </c>
      <c r="BS9" s="6">
        <f t="shared" si="18"/>
        <v>2.75</v>
      </c>
      <c r="BT9" s="6">
        <f t="shared" si="19"/>
        <v>0.83000000000000007</v>
      </c>
      <c r="BU9" s="6">
        <f t="shared" si="20"/>
        <v>21.79</v>
      </c>
      <c r="BV9" s="18">
        <f t="shared" si="3"/>
        <v>8.7160000000000001E-2</v>
      </c>
      <c r="BW9" s="18">
        <f t="shared" si="4"/>
        <v>0.1839076</v>
      </c>
    </row>
    <row r="10" spans="1:75" x14ac:dyDescent="0.25">
      <c r="A10" s="18" t="s">
        <v>6</v>
      </c>
      <c r="B10" s="18">
        <v>2024</v>
      </c>
      <c r="C10" s="18" t="s">
        <v>138</v>
      </c>
      <c r="D10" s="18" t="s">
        <v>10</v>
      </c>
      <c r="E10" s="18">
        <v>40</v>
      </c>
      <c r="F10" s="18" t="s">
        <v>153</v>
      </c>
      <c r="G10" s="18" t="s">
        <v>158</v>
      </c>
      <c r="H10" s="31">
        <f t="shared" si="21"/>
        <v>3</v>
      </c>
      <c r="I10" s="31">
        <f t="shared" si="22"/>
        <v>3.5</v>
      </c>
      <c r="J10" s="4">
        <f t="shared" si="5"/>
        <v>0.5</v>
      </c>
      <c r="K10" s="5">
        <v>0.8</v>
      </c>
      <c r="L10" s="31">
        <f t="shared" si="6"/>
        <v>0.4</v>
      </c>
      <c r="M10" s="31">
        <v>2.14</v>
      </c>
      <c r="N10" s="31">
        <v>31.3</v>
      </c>
      <c r="O10" s="31">
        <f t="shared" si="0"/>
        <v>0.4</v>
      </c>
      <c r="P10" s="31">
        <v>80</v>
      </c>
      <c r="Q10" s="31">
        <v>5</v>
      </c>
      <c r="R10" s="31">
        <v>0.38</v>
      </c>
      <c r="S10" s="31">
        <v>0.3</v>
      </c>
      <c r="T10" s="86">
        <f>+S10/J10*100</f>
        <v>60</v>
      </c>
      <c r="U10" s="31">
        <v>1</v>
      </c>
      <c r="V10" s="31">
        <v>2</v>
      </c>
      <c r="W10" s="31">
        <f>+U10+V10</f>
        <v>3</v>
      </c>
      <c r="X10" s="31">
        <f t="shared" ref="X10:X28" si="23">+IF(R10=0,"",(R10*1000)/W10)</f>
        <v>126.66666666666667</v>
      </c>
      <c r="Y10" s="31">
        <f t="shared" si="7"/>
        <v>0.12666666666666668</v>
      </c>
      <c r="Z10" s="18">
        <v>64</v>
      </c>
      <c r="AA10" s="18" t="s">
        <v>88</v>
      </c>
      <c r="AB10" s="18" t="s">
        <v>118</v>
      </c>
      <c r="AC10" s="18" t="s">
        <v>336</v>
      </c>
      <c r="AD10" s="18">
        <v>5</v>
      </c>
      <c r="AE10" s="18">
        <v>80</v>
      </c>
      <c r="AF10" s="18" t="s">
        <v>32</v>
      </c>
      <c r="AG10" s="18" t="s">
        <v>196</v>
      </c>
      <c r="AH10" s="18" t="s">
        <v>196</v>
      </c>
      <c r="AI10" s="18" t="s">
        <v>64</v>
      </c>
      <c r="AJ10" s="18" t="s">
        <v>79</v>
      </c>
      <c r="AK10" s="18" t="s">
        <v>96</v>
      </c>
      <c r="AL10" s="18" t="s">
        <v>107</v>
      </c>
      <c r="AM10" s="18" t="s">
        <v>116</v>
      </c>
      <c r="AN10" s="18" t="s">
        <v>198</v>
      </c>
      <c r="AO10" s="18" t="s">
        <v>197</v>
      </c>
      <c r="AP10" s="18"/>
      <c r="AQ10" s="18">
        <f>+VLOOKUP(AI10,Leyenda!$B$30:$E$34,3,FALSE)</f>
        <v>2</v>
      </c>
      <c r="AR10" s="18">
        <f>+VLOOKUP('3. Blasting'!AJ10,Meteorizacion,3,FALSE)</f>
        <v>1</v>
      </c>
      <c r="AS10" s="18">
        <f>+VLOOKUP('3. Blasting'!AK10,Apertura,3,FALSE)</f>
        <v>1</v>
      </c>
      <c r="AT10" s="18">
        <f>+VLOOKUP('3. Blasting'!AL10,Leyenda!$B$55:$D$59,3,FALSE)</f>
        <v>3</v>
      </c>
      <c r="AU10" s="18">
        <f>+VLOOKUP('3. Blasting'!AM10,Relleno,3,FALSE)</f>
        <v>4</v>
      </c>
      <c r="AV10" s="18">
        <f>+SUM(AQ10:AU10)</f>
        <v>11</v>
      </c>
      <c r="AW10" s="49">
        <f t="shared" si="8"/>
        <v>13</v>
      </c>
      <c r="AX10" s="49">
        <f>VLOOKUP(AF10,Leyenda!$B$4:$D$10,3,FALSE)</f>
        <v>1</v>
      </c>
      <c r="AY10" s="49">
        <f t="shared" si="2"/>
        <v>7</v>
      </c>
      <c r="AZ10" s="49">
        <f t="shared" si="9"/>
        <v>11</v>
      </c>
      <c r="BA10" s="49">
        <f>VLOOKUP(AN10,Leyenda!$B$70:$D$75,3,FALSE)</f>
        <v>15</v>
      </c>
      <c r="BB10" s="67">
        <f t="shared" si="10"/>
        <v>46.5</v>
      </c>
      <c r="BC10" s="67">
        <f>VLOOKUP(AF10,Leyenda!$B$4:$E$10,4,FALSE)</f>
        <v>1</v>
      </c>
      <c r="BD10" s="67">
        <f t="shared" si="11"/>
        <v>10</v>
      </c>
      <c r="BE10" s="67">
        <f t="shared" si="12"/>
        <v>12</v>
      </c>
      <c r="BF10" s="67">
        <f>+VLOOKUP('3. Blasting'!AK10,Leyenda!$B$47:$E$51,4,FALSE)</f>
        <v>1</v>
      </c>
      <c r="BG10" s="67">
        <f>+VLOOKUP('3. Blasting'!AL10,Leyenda!$B$55:$E$59,4,FALSE)</f>
        <v>3</v>
      </c>
      <c r="BH10" s="67">
        <f>+VLOOKUP('3. Blasting'!AM10,Leyenda!$B$63:$E$67,3,FALSE)</f>
        <v>4</v>
      </c>
      <c r="BI10" s="67">
        <f>+VLOOKUP('3. Blasting'!AJ10,Leyenda!$B$39:$E$43,4,FALSE)</f>
        <v>1</v>
      </c>
      <c r="BJ10" s="67">
        <f>+VLOOKUP('3. Blasting'!AI10,Leyenda!$B$30:$E$34,4,FALSE)</f>
        <v>3</v>
      </c>
      <c r="BK10" s="67">
        <f>VLOOKUP(AN10,Leyenda!$B$71:$E$75,4,FALSE)</f>
        <v>10</v>
      </c>
      <c r="BL10" s="125">
        <f t="shared" si="13"/>
        <v>45</v>
      </c>
      <c r="BM10" s="85">
        <f t="shared" si="14"/>
        <v>47</v>
      </c>
      <c r="BN10" s="18">
        <f t="shared" si="15"/>
        <v>0.98043404505773102</v>
      </c>
      <c r="BO10" s="18"/>
      <c r="BP10" s="6">
        <f t="shared" si="16"/>
        <v>30</v>
      </c>
      <c r="BQ10" s="6">
        <f t="shared" si="17"/>
        <v>20</v>
      </c>
      <c r="BR10" s="6">
        <v>20</v>
      </c>
      <c r="BS10" s="6">
        <f t="shared" si="18"/>
        <v>3.5</v>
      </c>
      <c r="BT10" s="6">
        <f t="shared" si="19"/>
        <v>1.5650000000000002</v>
      </c>
      <c r="BU10" s="6">
        <f t="shared" si="20"/>
        <v>37.532499999999999</v>
      </c>
      <c r="BV10" s="18">
        <f t="shared" si="3"/>
        <v>0.15012999999999999</v>
      </c>
      <c r="BW10" s="18">
        <f t="shared" si="4"/>
        <v>0.32127820000000001</v>
      </c>
    </row>
    <row r="11" spans="1:75" x14ac:dyDescent="0.25">
      <c r="A11" s="18" t="s">
        <v>6</v>
      </c>
      <c r="B11" s="18">
        <v>2024</v>
      </c>
      <c r="C11" s="18" t="s">
        <v>138</v>
      </c>
      <c r="D11" s="18" t="s">
        <v>10</v>
      </c>
      <c r="E11" s="18">
        <v>40</v>
      </c>
      <c r="F11" s="18" t="s">
        <v>153</v>
      </c>
      <c r="G11" s="18" t="s">
        <v>158</v>
      </c>
      <c r="H11" s="31">
        <f t="shared" si="21"/>
        <v>3.5</v>
      </c>
      <c r="I11" s="31">
        <f t="shared" si="22"/>
        <v>4</v>
      </c>
      <c r="J11" s="4">
        <f t="shared" si="5"/>
        <v>0.5</v>
      </c>
      <c r="K11" s="5">
        <v>0.76</v>
      </c>
      <c r="L11" s="31">
        <f t="shared" si="6"/>
        <v>0.38</v>
      </c>
      <c r="M11" s="31">
        <v>2.14</v>
      </c>
      <c r="N11" s="31">
        <v>31.3</v>
      </c>
      <c r="O11" s="31">
        <f t="shared" si="0"/>
        <v>0.38</v>
      </c>
      <c r="P11" s="31">
        <v>76</v>
      </c>
      <c r="Q11" s="31">
        <v>5</v>
      </c>
      <c r="R11" s="31">
        <v>0.42</v>
      </c>
      <c r="S11" s="31">
        <v>0.5</v>
      </c>
      <c r="T11" s="86">
        <f t="shared" ref="T11:T74" si="24">+S11/J11*100</f>
        <v>100</v>
      </c>
      <c r="U11" s="31">
        <v>3</v>
      </c>
      <c r="V11" s="31"/>
      <c r="W11" s="31">
        <f t="shared" ref="W11:W74" si="25">+U11+V11</f>
        <v>3</v>
      </c>
      <c r="X11" s="31">
        <f t="shared" si="23"/>
        <v>140</v>
      </c>
      <c r="Y11" s="31">
        <f t="shared" si="7"/>
        <v>0.14000000000000001</v>
      </c>
      <c r="Z11" s="18">
        <v>22</v>
      </c>
      <c r="AA11" s="18" t="s">
        <v>88</v>
      </c>
      <c r="AB11" s="18" t="s">
        <v>118</v>
      </c>
      <c r="AC11" s="18" t="s">
        <v>336</v>
      </c>
      <c r="AD11" s="18">
        <v>5</v>
      </c>
      <c r="AE11" s="18">
        <v>76</v>
      </c>
      <c r="AF11" s="18" t="s">
        <v>32</v>
      </c>
      <c r="AG11" s="18" t="s">
        <v>199</v>
      </c>
      <c r="AH11" s="18" t="s">
        <v>199</v>
      </c>
      <c r="AI11" s="18" t="s">
        <v>64</v>
      </c>
      <c r="AJ11" s="18" t="s">
        <v>81</v>
      </c>
      <c r="AK11" s="18" t="s">
        <v>96</v>
      </c>
      <c r="AL11" s="18" t="s">
        <v>107</v>
      </c>
      <c r="AM11" s="18" t="s">
        <v>118</v>
      </c>
      <c r="AN11" s="18" t="s">
        <v>198</v>
      </c>
      <c r="AO11" s="18" t="s">
        <v>197</v>
      </c>
      <c r="AP11" s="18"/>
      <c r="AQ11" s="18">
        <f>+VLOOKUP(AI11,Leyenda!$B$30:$E$34,3,FALSE)</f>
        <v>2</v>
      </c>
      <c r="AR11" s="18">
        <f>+VLOOKUP('3. Blasting'!AJ11,Meteorizacion,3,FALSE)</f>
        <v>0</v>
      </c>
      <c r="AS11" s="18">
        <f>+VLOOKUP('3. Blasting'!AK11,Apertura,3,FALSE)</f>
        <v>1</v>
      </c>
      <c r="AT11" s="18">
        <f>+VLOOKUP('3. Blasting'!AL11,Leyenda!$B$55:$D$59,3,FALSE)</f>
        <v>3</v>
      </c>
      <c r="AU11" s="18">
        <f>+VLOOKUP('3. Blasting'!AM11,Relleno,3,FALSE)</f>
        <v>2</v>
      </c>
      <c r="AV11" s="18">
        <f t="shared" ref="AV11:AV74" si="26">+SUM(AQ11:AU11)</f>
        <v>8</v>
      </c>
      <c r="AW11" s="49">
        <f t="shared" si="8"/>
        <v>5</v>
      </c>
      <c r="AX11" s="49">
        <f>VLOOKUP(AF11,Leyenda!$B$4:$D$10,3,FALSE)</f>
        <v>1</v>
      </c>
      <c r="AY11" s="49">
        <f t="shared" si="2"/>
        <v>7</v>
      </c>
      <c r="AZ11" s="49">
        <f t="shared" si="9"/>
        <v>8</v>
      </c>
      <c r="BA11" s="49">
        <f>VLOOKUP(AN11,Leyenda!$B$70:$D$75,3,FALSE)</f>
        <v>15</v>
      </c>
      <c r="BB11" s="67">
        <f t="shared" si="10"/>
        <v>62</v>
      </c>
      <c r="BC11" s="67">
        <f>VLOOKUP(AF11,Leyenda!$B$4:$E$10,4,FALSE)</f>
        <v>1</v>
      </c>
      <c r="BD11" s="67">
        <f t="shared" si="11"/>
        <v>10</v>
      </c>
      <c r="BE11" s="67">
        <f t="shared" si="12"/>
        <v>20</v>
      </c>
      <c r="BF11" s="67">
        <f>+VLOOKUP('3. Blasting'!AK11,Leyenda!$B$47:$E$51,4,FALSE)</f>
        <v>1</v>
      </c>
      <c r="BG11" s="67">
        <f>+VLOOKUP('3. Blasting'!AL11,Leyenda!$B$55:$E$59,4,FALSE)</f>
        <v>3</v>
      </c>
      <c r="BH11" s="67">
        <f>+VLOOKUP('3. Blasting'!AM11,Leyenda!$B$63:$E$67,3,FALSE)</f>
        <v>2</v>
      </c>
      <c r="BI11" s="67">
        <f>+VLOOKUP('3. Blasting'!AJ11,Leyenda!$B$39:$E$43,4,FALSE)</f>
        <v>0</v>
      </c>
      <c r="BJ11" s="67">
        <f>+VLOOKUP('3. Blasting'!AI11,Leyenda!$B$30:$E$34,4,FALSE)</f>
        <v>3</v>
      </c>
      <c r="BK11" s="67">
        <f>VLOOKUP(AN11,Leyenda!$B$71:$E$75,4,FALSE)</f>
        <v>10</v>
      </c>
      <c r="BL11" s="125">
        <f t="shared" si="13"/>
        <v>50</v>
      </c>
      <c r="BM11" s="85">
        <f t="shared" si="14"/>
        <v>36</v>
      </c>
      <c r="BN11" s="18">
        <f t="shared" si="15"/>
        <v>0.98025031508185967</v>
      </c>
      <c r="BO11" s="18"/>
      <c r="BP11" s="6">
        <f t="shared" si="16"/>
        <v>30</v>
      </c>
      <c r="BQ11" s="6">
        <f t="shared" si="17"/>
        <v>20</v>
      </c>
      <c r="BR11" s="6">
        <v>20</v>
      </c>
      <c r="BS11" s="6">
        <f t="shared" si="18"/>
        <v>3.5</v>
      </c>
      <c r="BT11" s="6">
        <f t="shared" si="19"/>
        <v>1.5650000000000002</v>
      </c>
      <c r="BU11" s="6">
        <f t="shared" si="20"/>
        <v>37.532499999999999</v>
      </c>
      <c r="BV11" s="18">
        <f t="shared" si="3"/>
        <v>0.15012999999999999</v>
      </c>
      <c r="BW11" s="18">
        <f t="shared" si="4"/>
        <v>0.32127820000000001</v>
      </c>
    </row>
    <row r="12" spans="1:75" x14ac:dyDescent="0.25">
      <c r="A12" s="18" t="s">
        <v>6</v>
      </c>
      <c r="B12" s="18">
        <v>2024</v>
      </c>
      <c r="C12" s="18" t="s">
        <v>138</v>
      </c>
      <c r="D12" s="18" t="s">
        <v>10</v>
      </c>
      <c r="E12" s="18">
        <v>40</v>
      </c>
      <c r="F12" s="18" t="s">
        <v>153</v>
      </c>
      <c r="G12" s="18" t="s">
        <v>158</v>
      </c>
      <c r="H12" s="31">
        <f t="shared" si="21"/>
        <v>4</v>
      </c>
      <c r="I12" s="31">
        <f t="shared" si="22"/>
        <v>4.5</v>
      </c>
      <c r="J12" s="4">
        <f t="shared" si="5"/>
        <v>0.5</v>
      </c>
      <c r="K12" s="5">
        <v>0.86</v>
      </c>
      <c r="L12" s="31">
        <f t="shared" si="6"/>
        <v>0.43</v>
      </c>
      <c r="M12" s="31">
        <v>2.14</v>
      </c>
      <c r="N12" s="31">
        <v>31.3</v>
      </c>
      <c r="O12" s="31">
        <f t="shared" si="0"/>
        <v>0.43</v>
      </c>
      <c r="P12" s="31">
        <v>21.5</v>
      </c>
      <c r="Q12" s="31">
        <v>20</v>
      </c>
      <c r="R12" s="31">
        <v>0.19</v>
      </c>
      <c r="S12" s="31">
        <v>0</v>
      </c>
      <c r="T12" s="86">
        <f t="shared" si="24"/>
        <v>0</v>
      </c>
      <c r="U12" s="31">
        <v>0</v>
      </c>
      <c r="V12" s="31">
        <v>10</v>
      </c>
      <c r="W12" s="31">
        <f t="shared" si="25"/>
        <v>10</v>
      </c>
      <c r="X12" s="31">
        <f t="shared" si="23"/>
        <v>19</v>
      </c>
      <c r="Y12" s="31">
        <f t="shared" si="7"/>
        <v>1.9E-2</v>
      </c>
      <c r="Z12" s="18">
        <v>0</v>
      </c>
      <c r="AA12" s="18" t="s">
        <v>88</v>
      </c>
      <c r="AB12" s="18" t="s">
        <v>333</v>
      </c>
      <c r="AC12" s="18" t="s">
        <v>336</v>
      </c>
      <c r="AD12" s="18">
        <v>20</v>
      </c>
      <c r="AE12" s="18">
        <v>21.5</v>
      </c>
      <c r="AF12" s="18" t="s">
        <v>32</v>
      </c>
      <c r="AG12" s="18" t="s">
        <v>199</v>
      </c>
      <c r="AH12" s="18" t="s">
        <v>199</v>
      </c>
      <c r="AI12" s="18" t="s">
        <v>64</v>
      </c>
      <c r="AJ12" s="18" t="s">
        <v>81</v>
      </c>
      <c r="AK12" s="18" t="s">
        <v>100</v>
      </c>
      <c r="AL12" s="18" t="s">
        <v>111</v>
      </c>
      <c r="AM12" s="18" t="s">
        <v>122</v>
      </c>
      <c r="AN12" s="18" t="s">
        <v>198</v>
      </c>
      <c r="AO12" s="18" t="s">
        <v>201</v>
      </c>
      <c r="AP12" s="18"/>
      <c r="AQ12" s="18">
        <f>+VLOOKUP(AI12,Leyenda!$B$30:$E$34,3,FALSE)</f>
        <v>2</v>
      </c>
      <c r="AR12" s="18">
        <f>+VLOOKUP('3. Blasting'!AJ12,Meteorizacion,3,FALSE)</f>
        <v>0</v>
      </c>
      <c r="AS12" s="18">
        <f>+VLOOKUP('3. Blasting'!AK12,Apertura,3,FALSE)</f>
        <v>0</v>
      </c>
      <c r="AT12" s="18">
        <f>+VLOOKUP('3. Blasting'!AL12,Leyenda!$B$55:$D$59,3,FALSE)</f>
        <v>0</v>
      </c>
      <c r="AU12" s="18">
        <f>+VLOOKUP('3. Blasting'!AM12,Relleno,3,FALSE)</f>
        <v>0</v>
      </c>
      <c r="AV12" s="18">
        <f t="shared" si="26"/>
        <v>2</v>
      </c>
      <c r="AW12" s="49">
        <f t="shared" si="8"/>
        <v>0</v>
      </c>
      <c r="AX12" s="49">
        <f>VLOOKUP(AF12,Leyenda!$B$4:$D$10,3,FALSE)</f>
        <v>1</v>
      </c>
      <c r="AY12" s="49">
        <f t="shared" si="2"/>
        <v>4</v>
      </c>
      <c r="AZ12" s="49">
        <f t="shared" si="9"/>
        <v>2</v>
      </c>
      <c r="BA12" s="49">
        <f>VLOOKUP(AN12,Leyenda!$B$70:$D$75,3,FALSE)</f>
        <v>15</v>
      </c>
      <c r="BB12" s="67">
        <f t="shared" si="10"/>
        <v>3</v>
      </c>
      <c r="BC12" s="67">
        <f>VLOOKUP(AF12,Leyenda!$B$4:$E$10,4,FALSE)</f>
        <v>1</v>
      </c>
      <c r="BD12" s="67">
        <f t="shared" si="11"/>
        <v>5</v>
      </c>
      <c r="BE12" s="67">
        <f t="shared" si="12"/>
        <v>0</v>
      </c>
      <c r="BF12" s="67">
        <f>+VLOOKUP('3. Blasting'!AK12,Leyenda!$B$47:$E$51,4,FALSE)</f>
        <v>0</v>
      </c>
      <c r="BG12" s="67">
        <f>+VLOOKUP('3. Blasting'!AL12,Leyenda!$B$55:$E$59,4,FALSE)</f>
        <v>0</v>
      </c>
      <c r="BH12" s="67">
        <f>+VLOOKUP('3. Blasting'!AM12,Leyenda!$B$63:$E$67,3,FALSE)</f>
        <v>0</v>
      </c>
      <c r="BI12" s="67">
        <f>+VLOOKUP('3. Blasting'!AJ12,Leyenda!$B$39:$E$43,4,FALSE)</f>
        <v>0</v>
      </c>
      <c r="BJ12" s="67">
        <f>+VLOOKUP('3. Blasting'!AI12,Leyenda!$B$30:$E$34,4,FALSE)</f>
        <v>3</v>
      </c>
      <c r="BK12" s="67">
        <f>VLOOKUP(AN12,Leyenda!$B$71:$E$75,4,FALSE)</f>
        <v>10</v>
      </c>
      <c r="BL12" s="125">
        <f t="shared" si="13"/>
        <v>19</v>
      </c>
      <c r="BM12" s="85">
        <f t="shared" si="14"/>
        <v>22</v>
      </c>
      <c r="BN12" s="18">
        <f t="shared" si="15"/>
        <v>0.98055103079002892</v>
      </c>
      <c r="BO12" s="18"/>
      <c r="BP12" s="6">
        <f t="shared" si="16"/>
        <v>10</v>
      </c>
      <c r="BQ12" s="6">
        <f t="shared" si="17"/>
        <v>10</v>
      </c>
      <c r="BR12" s="6">
        <v>20</v>
      </c>
      <c r="BS12" s="6">
        <f t="shared" si="18"/>
        <v>3.5</v>
      </c>
      <c r="BT12" s="6">
        <f t="shared" si="19"/>
        <v>1.5650000000000002</v>
      </c>
      <c r="BU12" s="6">
        <f t="shared" si="20"/>
        <v>22.532499999999999</v>
      </c>
      <c r="BV12" s="18">
        <f t="shared" si="3"/>
        <v>9.0130000000000002E-2</v>
      </c>
      <c r="BW12" s="18">
        <f t="shared" si="4"/>
        <v>0.19287820000000003</v>
      </c>
    </row>
    <row r="13" spans="1:75" hidden="1" x14ac:dyDescent="0.25">
      <c r="A13" s="35" t="s">
        <v>6</v>
      </c>
      <c r="B13" s="35">
        <v>2024</v>
      </c>
      <c r="C13" s="35" t="s">
        <v>138</v>
      </c>
      <c r="D13" s="35" t="s">
        <v>10</v>
      </c>
      <c r="E13" s="35">
        <v>50</v>
      </c>
      <c r="F13" s="35" t="s">
        <v>154</v>
      </c>
      <c r="G13" s="35" t="s">
        <v>158</v>
      </c>
      <c r="H13" s="114">
        <f t="shared" si="21"/>
        <v>4.5</v>
      </c>
      <c r="I13" s="114">
        <f t="shared" si="22"/>
        <v>5</v>
      </c>
      <c r="J13" s="115">
        <f t="shared" si="5"/>
        <v>0.5</v>
      </c>
      <c r="K13" s="116">
        <v>0.38</v>
      </c>
      <c r="L13" s="114">
        <f t="shared" si="6"/>
        <v>0.19</v>
      </c>
      <c r="M13" s="114"/>
      <c r="N13" s="114"/>
      <c r="O13" s="114">
        <f t="shared" si="0"/>
        <v>0.19</v>
      </c>
      <c r="P13" s="114">
        <v>190</v>
      </c>
      <c r="Q13" s="114">
        <v>1</v>
      </c>
      <c r="R13" s="114">
        <v>0.36</v>
      </c>
      <c r="S13" s="114">
        <v>0.3</v>
      </c>
      <c r="T13" s="117">
        <f t="shared" si="24"/>
        <v>60</v>
      </c>
      <c r="U13" s="114">
        <v>2</v>
      </c>
      <c r="V13" s="114"/>
      <c r="W13" s="114">
        <f t="shared" si="25"/>
        <v>2</v>
      </c>
      <c r="X13" s="114">
        <f t="shared" si="23"/>
        <v>180</v>
      </c>
      <c r="Y13" s="114">
        <f t="shared" si="7"/>
        <v>0.18</v>
      </c>
      <c r="Z13" s="35">
        <v>64</v>
      </c>
      <c r="AA13" s="35" t="s">
        <v>88</v>
      </c>
      <c r="AB13" s="35" t="s">
        <v>116</v>
      </c>
      <c r="AC13" s="35" t="s">
        <v>336</v>
      </c>
      <c r="AD13" s="35">
        <v>1</v>
      </c>
      <c r="AE13" s="35">
        <v>190</v>
      </c>
      <c r="AF13" s="35" t="s">
        <v>32</v>
      </c>
      <c r="AG13" s="35" t="s">
        <v>196</v>
      </c>
      <c r="AH13" s="35" t="s">
        <v>196</v>
      </c>
      <c r="AI13" s="35" t="s">
        <v>64</v>
      </c>
      <c r="AJ13" s="35" t="s">
        <v>79</v>
      </c>
      <c r="AK13" s="35" t="s">
        <v>100</v>
      </c>
      <c r="AL13" s="35" t="s">
        <v>107</v>
      </c>
      <c r="AM13" s="35" t="s">
        <v>118</v>
      </c>
      <c r="AN13" s="35" t="s">
        <v>198</v>
      </c>
      <c r="AO13" s="35" t="s">
        <v>202</v>
      </c>
      <c r="AP13" s="35"/>
      <c r="AQ13" s="35">
        <f>+VLOOKUP(AI13,Leyenda!$B$30:$E$34,3,FALSE)</f>
        <v>2</v>
      </c>
      <c r="AR13" s="35">
        <f>+VLOOKUP('3. Blasting'!AJ13,Meteorizacion,3,FALSE)</f>
        <v>1</v>
      </c>
      <c r="AS13" s="35">
        <f>+VLOOKUP('3. Blasting'!AK13,Apertura,3,FALSE)</f>
        <v>0</v>
      </c>
      <c r="AT13" s="35">
        <f>+VLOOKUP('3. Blasting'!AL13,Leyenda!$B$55:$D$59,3,FALSE)</f>
        <v>3</v>
      </c>
      <c r="AU13" s="35">
        <f>+VLOOKUP('3. Blasting'!AM13,Relleno,3,FALSE)</f>
        <v>2</v>
      </c>
      <c r="AV13" s="35">
        <f t="shared" si="26"/>
        <v>8</v>
      </c>
      <c r="AW13" s="118">
        <f t="shared" si="8"/>
        <v>13</v>
      </c>
      <c r="AX13" s="118">
        <f>VLOOKUP(AF13,Leyenda!$B$4:$D$10,3,FALSE)</f>
        <v>1</v>
      </c>
      <c r="AY13" s="119">
        <f t="shared" si="2"/>
        <v>9</v>
      </c>
      <c r="AZ13" s="118">
        <f t="shared" si="9"/>
        <v>8</v>
      </c>
      <c r="BA13" s="118">
        <f>VLOOKUP(AN13,Leyenda!$B$70:$D$75,3,FALSE)</f>
        <v>15</v>
      </c>
      <c r="BB13" s="120">
        <f t="shared" si="10"/>
        <v>42</v>
      </c>
      <c r="BC13" s="120">
        <f>VLOOKUP(AF13,Leyenda!$B$4:$E$10,4,FALSE)</f>
        <v>1</v>
      </c>
      <c r="BD13" s="120">
        <f t="shared" si="11"/>
        <v>12</v>
      </c>
      <c r="BE13" s="120">
        <f t="shared" si="12"/>
        <v>12</v>
      </c>
      <c r="BF13" s="120">
        <f>+VLOOKUP('3. Blasting'!AK13,Leyenda!$B$47:$E$51,4,FALSE)</f>
        <v>0</v>
      </c>
      <c r="BG13" s="120">
        <f>+VLOOKUP('3. Blasting'!AL13,Leyenda!$B$55:$E$59,4,FALSE)</f>
        <v>3</v>
      </c>
      <c r="BH13" s="120">
        <f>+VLOOKUP('3. Blasting'!AM13,Leyenda!$B$63:$E$67,3,FALSE)</f>
        <v>2</v>
      </c>
      <c r="BI13" s="120">
        <f>+VLOOKUP('3. Blasting'!AJ13,Leyenda!$B$39:$E$43,4,FALSE)</f>
        <v>1</v>
      </c>
      <c r="BJ13" s="120">
        <f>+VLOOKUP('3. Blasting'!AI13,Leyenda!$B$30:$E$34,4,FALSE)</f>
        <v>3</v>
      </c>
      <c r="BK13" s="120">
        <f>VLOOKUP(AN13,Leyenda!$B$71:$E$75,4,FALSE)</f>
        <v>10</v>
      </c>
      <c r="BL13" s="120">
        <f t="shared" si="13"/>
        <v>44</v>
      </c>
      <c r="BM13" s="35">
        <f t="shared" si="14"/>
        <v>46</v>
      </c>
      <c r="BN13" s="35"/>
      <c r="BO13" s="35"/>
      <c r="BP13" s="121">
        <f t="shared" si="16"/>
        <v>30</v>
      </c>
      <c r="BQ13" s="121">
        <f t="shared" si="17"/>
        <v>20</v>
      </c>
      <c r="BR13" s="121">
        <v>20</v>
      </c>
      <c r="BS13" s="121">
        <f t="shared" si="18"/>
        <v>-50</v>
      </c>
      <c r="BT13" s="121">
        <f t="shared" si="19"/>
        <v>0</v>
      </c>
      <c r="BU13" s="121">
        <f t="shared" si="20"/>
        <v>10</v>
      </c>
      <c r="BV13" s="35">
        <f t="shared" si="3"/>
        <v>0.04</v>
      </c>
      <c r="BW13" s="1">
        <f t="shared" si="4"/>
        <v>0</v>
      </c>
    </row>
    <row r="14" spans="1:75" hidden="1" x14ac:dyDescent="0.25">
      <c r="A14" s="18" t="s">
        <v>6</v>
      </c>
      <c r="B14" s="18">
        <v>2024</v>
      </c>
      <c r="C14" s="18" t="s">
        <v>138</v>
      </c>
      <c r="D14" s="18" t="s">
        <v>10</v>
      </c>
      <c r="E14" s="18">
        <v>50</v>
      </c>
      <c r="F14" s="18" t="s">
        <v>154</v>
      </c>
      <c r="G14" s="18" t="s">
        <v>158</v>
      </c>
      <c r="H14" s="31">
        <f t="shared" si="21"/>
        <v>5</v>
      </c>
      <c r="I14" s="31">
        <f t="shared" si="22"/>
        <v>5.5</v>
      </c>
      <c r="J14" s="4">
        <f t="shared" si="5"/>
        <v>0.5</v>
      </c>
      <c r="K14" s="5">
        <v>0.82</v>
      </c>
      <c r="L14" s="31">
        <f t="shared" si="6"/>
        <v>0.41</v>
      </c>
      <c r="M14" s="31"/>
      <c r="N14" s="31"/>
      <c r="O14" s="31">
        <f t="shared" si="0"/>
        <v>0.41</v>
      </c>
      <c r="P14" s="31">
        <v>82</v>
      </c>
      <c r="Q14" s="31">
        <v>5</v>
      </c>
      <c r="R14" s="31">
        <v>0.39</v>
      </c>
      <c r="S14" s="31">
        <v>0.13</v>
      </c>
      <c r="T14" s="86">
        <f t="shared" si="24"/>
        <v>26</v>
      </c>
      <c r="U14" s="31">
        <v>5</v>
      </c>
      <c r="V14" s="31"/>
      <c r="W14" s="31">
        <f t="shared" si="25"/>
        <v>5</v>
      </c>
      <c r="X14" s="31">
        <f t="shared" si="23"/>
        <v>78</v>
      </c>
      <c r="Y14" s="31">
        <f t="shared" si="7"/>
        <v>7.8E-2</v>
      </c>
      <c r="Z14" s="18">
        <v>32</v>
      </c>
      <c r="AA14" s="18" t="s">
        <v>88</v>
      </c>
      <c r="AB14" s="18" t="s">
        <v>118</v>
      </c>
      <c r="AC14" s="18" t="s">
        <v>336</v>
      </c>
      <c r="AD14" s="18">
        <v>5</v>
      </c>
      <c r="AE14" s="18">
        <v>82</v>
      </c>
      <c r="AF14" s="18" t="s">
        <v>32</v>
      </c>
      <c r="AG14" s="18" t="s">
        <v>196</v>
      </c>
      <c r="AH14" s="18" t="s">
        <v>196</v>
      </c>
      <c r="AI14" s="18" t="s">
        <v>64</v>
      </c>
      <c r="AJ14" s="18" t="s">
        <v>79</v>
      </c>
      <c r="AK14" s="18" t="s">
        <v>100</v>
      </c>
      <c r="AL14" s="18" t="s">
        <v>109</v>
      </c>
      <c r="AM14" s="18" t="s">
        <v>120</v>
      </c>
      <c r="AN14" s="18" t="s">
        <v>198</v>
      </c>
      <c r="AO14" s="18" t="s">
        <v>203</v>
      </c>
      <c r="AP14" s="18"/>
      <c r="AQ14" s="18">
        <f>+VLOOKUP(AI14,Leyenda!$B$30:$E$34,3,FALSE)</f>
        <v>2</v>
      </c>
      <c r="AR14" s="18">
        <f>+VLOOKUP('3. Blasting'!AJ14,Meteorizacion,3,FALSE)</f>
        <v>1</v>
      </c>
      <c r="AS14" s="18">
        <f>+VLOOKUP('3. Blasting'!AK14,Apertura,3,FALSE)</f>
        <v>0</v>
      </c>
      <c r="AT14" s="18">
        <f>+VLOOKUP('3. Blasting'!AL14,Leyenda!$B$55:$D$59,3,FALSE)</f>
        <v>1</v>
      </c>
      <c r="AU14" s="18">
        <f>+VLOOKUP('3. Blasting'!AM14,Relleno,3,FALSE)</f>
        <v>2</v>
      </c>
      <c r="AV14" s="18">
        <f t="shared" si="26"/>
        <v>6</v>
      </c>
      <c r="AW14" s="49">
        <f t="shared" si="8"/>
        <v>7</v>
      </c>
      <c r="AX14" s="49">
        <f>VLOOKUP(AF14,Leyenda!$B$4:$D$10,3,FALSE)</f>
        <v>1</v>
      </c>
      <c r="AY14" s="50">
        <f t="shared" si="2"/>
        <v>7</v>
      </c>
      <c r="AZ14" s="49">
        <f t="shared" si="9"/>
        <v>6</v>
      </c>
      <c r="BA14" s="49">
        <f>VLOOKUP(AN14,Leyenda!$B$70:$D$75,3,FALSE)</f>
        <v>15</v>
      </c>
      <c r="BB14" s="67">
        <f t="shared" si="10"/>
        <v>22</v>
      </c>
      <c r="BC14" s="67">
        <f>VLOOKUP(AF14,Leyenda!$B$4:$E$10,4,FALSE)</f>
        <v>1</v>
      </c>
      <c r="BD14" s="67">
        <f t="shared" si="11"/>
        <v>7</v>
      </c>
      <c r="BE14" s="67">
        <f t="shared" si="12"/>
        <v>6</v>
      </c>
      <c r="BF14" s="67">
        <f>+VLOOKUP('3. Blasting'!AK14,Leyenda!$B$47:$E$51,4,FALSE)</f>
        <v>0</v>
      </c>
      <c r="BG14" s="67">
        <f>+VLOOKUP('3. Blasting'!AL14,Leyenda!$B$55:$E$59,4,FALSE)</f>
        <v>1</v>
      </c>
      <c r="BH14" s="67">
        <f>+VLOOKUP('3. Blasting'!AM14,Leyenda!$B$63:$E$67,3,FALSE)</f>
        <v>2</v>
      </c>
      <c r="BI14" s="67">
        <f>+VLOOKUP('3. Blasting'!AJ14,Leyenda!$B$39:$E$43,4,FALSE)</f>
        <v>1</v>
      </c>
      <c r="BJ14" s="67">
        <f>+VLOOKUP('3. Blasting'!AI14,Leyenda!$B$30:$E$34,4,FALSE)</f>
        <v>3</v>
      </c>
      <c r="BK14" s="67">
        <f>VLOOKUP(AN14,Leyenda!$B$71:$E$75,4,FALSE)</f>
        <v>10</v>
      </c>
      <c r="BL14" s="67">
        <f t="shared" si="13"/>
        <v>31</v>
      </c>
      <c r="BM14" s="18">
        <f t="shared" si="14"/>
        <v>36</v>
      </c>
      <c r="BN14" s="18"/>
      <c r="BO14" s="18"/>
      <c r="BP14" s="6">
        <f t="shared" si="16"/>
        <v>20</v>
      </c>
      <c r="BQ14" s="6">
        <f t="shared" si="17"/>
        <v>10</v>
      </c>
      <c r="BR14" s="6">
        <v>20</v>
      </c>
      <c r="BS14" s="6">
        <f t="shared" si="18"/>
        <v>-50</v>
      </c>
      <c r="BT14" s="6">
        <f t="shared" si="19"/>
        <v>0</v>
      </c>
      <c r="BU14" s="6">
        <f t="shared" si="20"/>
        <v>0</v>
      </c>
      <c r="BV14" s="18">
        <f t="shared" si="3"/>
        <v>0</v>
      </c>
      <c r="BW14" s="1">
        <f t="shared" si="4"/>
        <v>0</v>
      </c>
    </row>
    <row r="15" spans="1:75" hidden="1" x14ac:dyDescent="0.25">
      <c r="A15" s="18" t="s">
        <v>6</v>
      </c>
      <c r="B15" s="18">
        <v>2024</v>
      </c>
      <c r="C15" s="18" t="s">
        <v>138</v>
      </c>
      <c r="D15" s="18" t="s">
        <v>10</v>
      </c>
      <c r="E15" s="18">
        <v>50</v>
      </c>
      <c r="F15" s="18" t="s">
        <v>154</v>
      </c>
      <c r="G15" s="18" t="s">
        <v>158</v>
      </c>
      <c r="H15" s="31">
        <f t="shared" si="21"/>
        <v>5.5</v>
      </c>
      <c r="I15" s="31">
        <f t="shared" si="22"/>
        <v>6</v>
      </c>
      <c r="J15" s="4">
        <f t="shared" si="5"/>
        <v>0.5</v>
      </c>
      <c r="K15" s="5">
        <v>0.82</v>
      </c>
      <c r="L15" s="31">
        <f t="shared" si="6"/>
        <v>0.41</v>
      </c>
      <c r="M15" s="31"/>
      <c r="N15" s="31"/>
      <c r="O15" s="31">
        <f t="shared" si="0"/>
        <v>0.41</v>
      </c>
      <c r="P15" s="31">
        <v>410</v>
      </c>
      <c r="Q15" s="31">
        <v>1</v>
      </c>
      <c r="R15" s="31">
        <v>0.35</v>
      </c>
      <c r="S15" s="31">
        <v>0.16</v>
      </c>
      <c r="T15" s="86">
        <f t="shared" si="24"/>
        <v>32</v>
      </c>
      <c r="U15" s="31">
        <v>4</v>
      </c>
      <c r="V15" s="31"/>
      <c r="W15" s="31">
        <f t="shared" si="25"/>
        <v>4</v>
      </c>
      <c r="X15" s="31">
        <f t="shared" si="23"/>
        <v>87.5</v>
      </c>
      <c r="Y15" s="31">
        <f t="shared" si="7"/>
        <v>8.7499999999999994E-2</v>
      </c>
      <c r="Z15" s="18">
        <v>38</v>
      </c>
      <c r="AA15" s="18" t="s">
        <v>88</v>
      </c>
      <c r="AB15" s="18" t="s">
        <v>116</v>
      </c>
      <c r="AC15" s="18" t="s">
        <v>336</v>
      </c>
      <c r="AD15" s="18">
        <v>1</v>
      </c>
      <c r="AE15" s="18">
        <v>410</v>
      </c>
      <c r="AF15" s="18" t="s">
        <v>32</v>
      </c>
      <c r="AG15" s="18" t="s">
        <v>199</v>
      </c>
      <c r="AH15" s="18" t="s">
        <v>199</v>
      </c>
      <c r="AI15" s="18" t="s">
        <v>64</v>
      </c>
      <c r="AJ15" s="18" t="s">
        <v>77</v>
      </c>
      <c r="AK15" s="18" t="s">
        <v>100</v>
      </c>
      <c r="AL15" s="18" t="s">
        <v>109</v>
      </c>
      <c r="AM15" s="18" t="s">
        <v>120</v>
      </c>
      <c r="AN15" s="18" t="s">
        <v>198</v>
      </c>
      <c r="AO15" s="18" t="s">
        <v>203</v>
      </c>
      <c r="AP15" s="18"/>
      <c r="AQ15" s="18">
        <f>+VLOOKUP(AI15,Leyenda!$B$30:$E$34,3,FALSE)</f>
        <v>2</v>
      </c>
      <c r="AR15" s="18">
        <f>+VLOOKUP('3. Blasting'!AJ15,Meteorizacion,3,FALSE)</f>
        <v>3</v>
      </c>
      <c r="AS15" s="18">
        <f>+VLOOKUP('3. Blasting'!AK15,Apertura,3,FALSE)</f>
        <v>0</v>
      </c>
      <c r="AT15" s="18">
        <f>+VLOOKUP('3. Blasting'!AL15,Leyenda!$B$55:$D$59,3,FALSE)</f>
        <v>1</v>
      </c>
      <c r="AU15" s="18">
        <f>+VLOOKUP('3. Blasting'!AM15,Relleno,3,FALSE)</f>
        <v>2</v>
      </c>
      <c r="AV15" s="18">
        <f t="shared" si="26"/>
        <v>8</v>
      </c>
      <c r="AW15" s="49">
        <f t="shared" si="8"/>
        <v>8</v>
      </c>
      <c r="AX15" s="49">
        <f>VLOOKUP(AF15,Leyenda!$B$4:$D$10,3,FALSE)</f>
        <v>1</v>
      </c>
      <c r="AY15" s="50">
        <f t="shared" si="2"/>
        <v>12</v>
      </c>
      <c r="AZ15" s="49">
        <f t="shared" si="9"/>
        <v>8</v>
      </c>
      <c r="BA15" s="49">
        <f>VLOOKUP(AN15,Leyenda!$B$70:$D$75,3,FALSE)</f>
        <v>15</v>
      </c>
      <c r="BB15" s="67">
        <f t="shared" si="10"/>
        <v>28</v>
      </c>
      <c r="BC15" s="67">
        <f>VLOOKUP(AF15,Leyenda!$B$4:$E$10,4,FALSE)</f>
        <v>1</v>
      </c>
      <c r="BD15" s="67">
        <f t="shared" si="11"/>
        <v>7</v>
      </c>
      <c r="BE15" s="67">
        <f t="shared" si="12"/>
        <v>7</v>
      </c>
      <c r="BF15" s="67">
        <f>+VLOOKUP('3. Blasting'!AK15,Leyenda!$B$47:$E$51,4,FALSE)</f>
        <v>0</v>
      </c>
      <c r="BG15" s="67">
        <f>+VLOOKUP('3. Blasting'!AL15,Leyenda!$B$55:$E$59,4,FALSE)</f>
        <v>1</v>
      </c>
      <c r="BH15" s="67">
        <f>+VLOOKUP('3. Blasting'!AM15,Leyenda!$B$63:$E$67,3,FALSE)</f>
        <v>2</v>
      </c>
      <c r="BI15" s="67">
        <f>+VLOOKUP('3. Blasting'!AJ15,Leyenda!$B$39:$E$43,4,FALSE)</f>
        <v>3</v>
      </c>
      <c r="BJ15" s="67">
        <f>+VLOOKUP('3. Blasting'!AI15,Leyenda!$B$30:$E$34,4,FALSE)</f>
        <v>3</v>
      </c>
      <c r="BK15" s="67">
        <f>VLOOKUP(AN15,Leyenda!$B$71:$E$75,4,FALSE)</f>
        <v>10</v>
      </c>
      <c r="BL15" s="67">
        <f t="shared" si="13"/>
        <v>34</v>
      </c>
      <c r="BM15" s="18">
        <f t="shared" si="14"/>
        <v>44</v>
      </c>
      <c r="BN15" s="18"/>
      <c r="BO15" s="18"/>
      <c r="BP15" s="6">
        <f t="shared" si="16"/>
        <v>20</v>
      </c>
      <c r="BQ15" s="6">
        <f t="shared" si="17"/>
        <v>10</v>
      </c>
      <c r="BR15" s="6">
        <v>20</v>
      </c>
      <c r="BS15" s="6">
        <f t="shared" si="18"/>
        <v>-50</v>
      </c>
      <c r="BT15" s="6">
        <f t="shared" si="19"/>
        <v>0</v>
      </c>
      <c r="BU15" s="6">
        <f t="shared" si="20"/>
        <v>0</v>
      </c>
      <c r="BV15" s="18">
        <f t="shared" si="3"/>
        <v>0</v>
      </c>
      <c r="BW15" s="1">
        <f t="shared" si="4"/>
        <v>0</v>
      </c>
    </row>
    <row r="16" spans="1:75" hidden="1" x14ac:dyDescent="0.25">
      <c r="A16" s="36" t="s">
        <v>6</v>
      </c>
      <c r="B16" s="36">
        <v>2024</v>
      </c>
      <c r="C16" s="36" t="s">
        <v>138</v>
      </c>
      <c r="D16" s="36" t="s">
        <v>10</v>
      </c>
      <c r="E16" s="36">
        <v>50</v>
      </c>
      <c r="F16" s="36" t="s">
        <v>154</v>
      </c>
      <c r="G16" s="36" t="s">
        <v>158</v>
      </c>
      <c r="H16" s="106">
        <f t="shared" si="21"/>
        <v>6</v>
      </c>
      <c r="I16" s="106">
        <f t="shared" si="22"/>
        <v>6.5</v>
      </c>
      <c r="J16" s="107">
        <f t="shared" si="5"/>
        <v>0.5</v>
      </c>
      <c r="K16" s="108">
        <v>0.74</v>
      </c>
      <c r="L16" s="106">
        <f t="shared" si="6"/>
        <v>0.37</v>
      </c>
      <c r="M16" s="106"/>
      <c r="N16" s="106"/>
      <c r="O16" s="106">
        <f t="shared" si="0"/>
        <v>0.37</v>
      </c>
      <c r="P16" s="106">
        <v>18.5</v>
      </c>
      <c r="Q16" s="106">
        <v>20</v>
      </c>
      <c r="R16" s="106">
        <v>0.23</v>
      </c>
      <c r="S16" s="106">
        <v>0</v>
      </c>
      <c r="T16" s="109">
        <f t="shared" si="24"/>
        <v>0</v>
      </c>
      <c r="U16" s="106">
        <v>15</v>
      </c>
      <c r="V16" s="106"/>
      <c r="W16" s="106">
        <f t="shared" si="25"/>
        <v>15</v>
      </c>
      <c r="X16" s="106">
        <f t="shared" si="23"/>
        <v>15.333333333333334</v>
      </c>
      <c r="Y16" s="106">
        <f t="shared" si="7"/>
        <v>1.5333333333333334E-2</v>
      </c>
      <c r="Z16" s="36">
        <v>0</v>
      </c>
      <c r="AA16" s="36" t="s">
        <v>88</v>
      </c>
      <c r="AB16" s="36" t="s">
        <v>333</v>
      </c>
      <c r="AC16" s="36" t="s">
        <v>336</v>
      </c>
      <c r="AD16" s="36">
        <v>20</v>
      </c>
      <c r="AE16" s="36">
        <v>18.5</v>
      </c>
      <c r="AF16" s="36" t="s">
        <v>32</v>
      </c>
      <c r="AG16" s="36" t="s">
        <v>200</v>
      </c>
      <c r="AH16" s="36" t="s">
        <v>200</v>
      </c>
      <c r="AI16" s="36" t="s">
        <v>64</v>
      </c>
      <c r="AJ16" s="36" t="s">
        <v>81</v>
      </c>
      <c r="AK16" s="36" t="s">
        <v>100</v>
      </c>
      <c r="AL16" s="36" t="s">
        <v>111</v>
      </c>
      <c r="AM16" s="36" t="s">
        <v>120</v>
      </c>
      <c r="AN16" s="36" t="s">
        <v>198</v>
      </c>
      <c r="AO16" s="36" t="s">
        <v>204</v>
      </c>
      <c r="AP16" s="36"/>
      <c r="AQ16" s="36">
        <f>+VLOOKUP(AI16,Leyenda!$B$30:$E$34,3,FALSE)</f>
        <v>2</v>
      </c>
      <c r="AR16" s="36">
        <f>+VLOOKUP('3. Blasting'!AJ16,Meteorizacion,3,FALSE)</f>
        <v>0</v>
      </c>
      <c r="AS16" s="36">
        <f>+VLOOKUP('3. Blasting'!AK16,Apertura,3,FALSE)</f>
        <v>0</v>
      </c>
      <c r="AT16" s="36">
        <f>+VLOOKUP('3. Blasting'!AL16,Leyenda!$B$55:$D$59,3,FALSE)</f>
        <v>0</v>
      </c>
      <c r="AU16" s="36">
        <f>+VLOOKUP('3. Blasting'!AM16,Relleno,3,FALSE)</f>
        <v>2</v>
      </c>
      <c r="AV16" s="36">
        <f t="shared" si="26"/>
        <v>4</v>
      </c>
      <c r="AW16" s="50">
        <f t="shared" si="8"/>
        <v>0</v>
      </c>
      <c r="AX16" s="50">
        <f>VLOOKUP(AF16,Leyenda!$B$4:$D$10,3,FALSE)</f>
        <v>1</v>
      </c>
      <c r="AY16" s="50">
        <f t="shared" si="2"/>
        <v>4</v>
      </c>
      <c r="AZ16" s="50">
        <f t="shared" si="9"/>
        <v>4</v>
      </c>
      <c r="BA16" s="50">
        <f>VLOOKUP(AN16,Leyenda!$B$70:$D$75,3,FALSE)</f>
        <v>15</v>
      </c>
      <c r="BB16" s="110">
        <f t="shared" si="10"/>
        <v>6</v>
      </c>
      <c r="BC16" s="110">
        <f>VLOOKUP(AF16,Leyenda!$B$4:$E$10,4,FALSE)</f>
        <v>1</v>
      </c>
      <c r="BD16" s="110">
        <f t="shared" si="11"/>
        <v>5</v>
      </c>
      <c r="BE16" s="110">
        <f t="shared" si="12"/>
        <v>0</v>
      </c>
      <c r="BF16" s="110">
        <f>+VLOOKUP('3. Blasting'!AK16,Leyenda!$B$47:$E$51,4,FALSE)</f>
        <v>0</v>
      </c>
      <c r="BG16" s="110">
        <f>+VLOOKUP('3. Blasting'!AL16,Leyenda!$B$55:$E$59,4,FALSE)</f>
        <v>0</v>
      </c>
      <c r="BH16" s="110">
        <f>+VLOOKUP('3. Blasting'!AM16,Leyenda!$B$63:$E$67,3,FALSE)</f>
        <v>2</v>
      </c>
      <c r="BI16" s="110">
        <f>+VLOOKUP('3. Blasting'!AJ16,Leyenda!$B$39:$E$43,4,FALSE)</f>
        <v>0</v>
      </c>
      <c r="BJ16" s="110">
        <f>+VLOOKUP('3. Blasting'!AI16,Leyenda!$B$30:$E$34,4,FALSE)</f>
        <v>3</v>
      </c>
      <c r="BK16" s="110">
        <f>VLOOKUP(AN16,Leyenda!$B$71:$E$75,4,FALSE)</f>
        <v>10</v>
      </c>
      <c r="BL16" s="110">
        <f t="shared" si="13"/>
        <v>21</v>
      </c>
      <c r="BM16" s="36">
        <f t="shared" si="14"/>
        <v>24</v>
      </c>
      <c r="BN16" s="36"/>
      <c r="BO16" s="36"/>
      <c r="BP16" s="111">
        <f t="shared" si="16"/>
        <v>10</v>
      </c>
      <c r="BQ16" s="111">
        <f t="shared" si="17"/>
        <v>10</v>
      </c>
      <c r="BR16" s="111">
        <v>20</v>
      </c>
      <c r="BS16" s="111">
        <f t="shared" si="18"/>
        <v>-50</v>
      </c>
      <c r="BT16" s="111">
        <f t="shared" si="19"/>
        <v>0</v>
      </c>
      <c r="BU16" s="111">
        <f t="shared" si="20"/>
        <v>-5</v>
      </c>
      <c r="BV16" s="36">
        <f t="shared" si="3"/>
        <v>-0.02</v>
      </c>
      <c r="BW16" s="1">
        <f t="shared" si="4"/>
        <v>0</v>
      </c>
    </row>
    <row r="17" spans="1:75" x14ac:dyDescent="0.25">
      <c r="A17" s="18" t="s">
        <v>6</v>
      </c>
      <c r="B17" s="18">
        <v>2024</v>
      </c>
      <c r="C17" s="18" t="s">
        <v>138</v>
      </c>
      <c r="D17" s="18" t="s">
        <v>10</v>
      </c>
      <c r="E17" s="18">
        <v>40</v>
      </c>
      <c r="F17" s="18" t="s">
        <v>153</v>
      </c>
      <c r="G17" s="18" t="s">
        <v>158</v>
      </c>
      <c r="H17" s="31">
        <f t="shared" si="21"/>
        <v>6.5</v>
      </c>
      <c r="I17" s="31">
        <f t="shared" si="22"/>
        <v>7</v>
      </c>
      <c r="J17" s="4">
        <f t="shared" si="5"/>
        <v>0.5</v>
      </c>
      <c r="K17" s="5">
        <v>0.74</v>
      </c>
      <c r="L17" s="31">
        <f t="shared" si="6"/>
        <v>0.37</v>
      </c>
      <c r="M17" s="31">
        <v>2.14</v>
      </c>
      <c r="N17" s="31">
        <v>31.3</v>
      </c>
      <c r="O17" s="31">
        <f t="shared" si="0"/>
        <v>0.37</v>
      </c>
      <c r="P17" s="31">
        <v>74</v>
      </c>
      <c r="Q17" s="31">
        <v>5</v>
      </c>
      <c r="R17" s="31">
        <v>0.46</v>
      </c>
      <c r="S17" s="31">
        <v>0.11</v>
      </c>
      <c r="T17" s="86">
        <f t="shared" si="24"/>
        <v>22</v>
      </c>
      <c r="U17" s="31">
        <v>6</v>
      </c>
      <c r="V17" s="31"/>
      <c r="W17" s="31">
        <f t="shared" si="25"/>
        <v>6</v>
      </c>
      <c r="X17" s="31">
        <f t="shared" si="23"/>
        <v>76.666666666666671</v>
      </c>
      <c r="Y17" s="31">
        <f t="shared" si="7"/>
        <v>7.6666666666666675E-2</v>
      </c>
      <c r="Z17" s="18">
        <v>24</v>
      </c>
      <c r="AA17" s="18" t="s">
        <v>88</v>
      </c>
      <c r="AB17" s="18" t="s">
        <v>118</v>
      </c>
      <c r="AC17" s="18" t="s">
        <v>336</v>
      </c>
      <c r="AD17" s="18">
        <v>5</v>
      </c>
      <c r="AE17" s="18">
        <v>74</v>
      </c>
      <c r="AF17" s="18" t="s">
        <v>32</v>
      </c>
      <c r="AG17" s="18" t="s">
        <v>199</v>
      </c>
      <c r="AH17" s="18" t="s">
        <v>199</v>
      </c>
      <c r="AI17" s="18" t="s">
        <v>64</v>
      </c>
      <c r="AJ17" s="18" t="s">
        <v>77</v>
      </c>
      <c r="AK17" s="18" t="s">
        <v>100</v>
      </c>
      <c r="AL17" s="18" t="s">
        <v>109</v>
      </c>
      <c r="AM17" s="18" t="s">
        <v>118</v>
      </c>
      <c r="AN17" s="18" t="s">
        <v>198</v>
      </c>
      <c r="AO17" s="18" t="s">
        <v>205</v>
      </c>
      <c r="AP17" s="18"/>
      <c r="AQ17" s="18">
        <f>+VLOOKUP(AI17,Leyenda!$B$30:$E$34,3,FALSE)</f>
        <v>2</v>
      </c>
      <c r="AR17" s="18">
        <f>+VLOOKUP('3. Blasting'!AJ17,Meteorizacion,3,FALSE)</f>
        <v>3</v>
      </c>
      <c r="AS17" s="18">
        <f>+VLOOKUP('3. Blasting'!AK17,Apertura,3,FALSE)</f>
        <v>0</v>
      </c>
      <c r="AT17" s="18">
        <f>+VLOOKUP('3. Blasting'!AL17,Leyenda!$B$55:$D$59,3,FALSE)</f>
        <v>1</v>
      </c>
      <c r="AU17" s="18">
        <f>+VLOOKUP('3. Blasting'!AM17,Relleno,3,FALSE)</f>
        <v>2</v>
      </c>
      <c r="AV17" s="18">
        <f t="shared" si="26"/>
        <v>8</v>
      </c>
      <c r="AW17" s="49">
        <f t="shared" si="8"/>
        <v>5</v>
      </c>
      <c r="AX17" s="49">
        <f>VLOOKUP(AF17,Leyenda!$B$4:$D$10,3,FALSE)</f>
        <v>1</v>
      </c>
      <c r="AY17" s="49">
        <f t="shared" si="2"/>
        <v>7</v>
      </c>
      <c r="AZ17" s="49">
        <f t="shared" si="9"/>
        <v>8</v>
      </c>
      <c r="BA17" s="49">
        <f>VLOOKUP(AN17,Leyenda!$B$70:$D$75,3,FALSE)</f>
        <v>15</v>
      </c>
      <c r="BB17" s="67">
        <f t="shared" si="10"/>
        <v>23</v>
      </c>
      <c r="BC17" s="67">
        <f>VLOOKUP(AF17,Leyenda!$B$4:$E$10,4,FALSE)</f>
        <v>1</v>
      </c>
      <c r="BD17" s="67">
        <f t="shared" si="11"/>
        <v>7</v>
      </c>
      <c r="BE17" s="67">
        <f t="shared" si="12"/>
        <v>5</v>
      </c>
      <c r="BF17" s="67">
        <f>+VLOOKUP('3. Blasting'!AK17,Leyenda!$B$47:$E$51,4,FALSE)</f>
        <v>0</v>
      </c>
      <c r="BG17" s="67">
        <f>+VLOOKUP('3. Blasting'!AL17,Leyenda!$B$55:$E$59,4,FALSE)</f>
        <v>1</v>
      </c>
      <c r="BH17" s="67">
        <f>+VLOOKUP('3. Blasting'!AM17,Leyenda!$B$63:$E$67,3,FALSE)</f>
        <v>2</v>
      </c>
      <c r="BI17" s="67">
        <f>+VLOOKUP('3. Blasting'!AJ17,Leyenda!$B$39:$E$43,4,FALSE)</f>
        <v>3</v>
      </c>
      <c r="BJ17" s="67">
        <f>+VLOOKUP('3. Blasting'!AI17,Leyenda!$B$30:$E$34,4,FALSE)</f>
        <v>3</v>
      </c>
      <c r="BK17" s="67">
        <f>VLOOKUP(AN17,Leyenda!$B$71:$E$75,4,FALSE)</f>
        <v>10</v>
      </c>
      <c r="BL17" s="125">
        <f t="shared" si="13"/>
        <v>32</v>
      </c>
      <c r="BM17" s="85">
        <f t="shared" si="14"/>
        <v>36</v>
      </c>
      <c r="BN17" s="18">
        <f t="shared" ref="BN17:BN23" si="27">+CORREL(BB17:BB366,BL17:BL366)</f>
        <v>0.97991080888550297</v>
      </c>
      <c r="BO17" s="18"/>
      <c r="BP17" s="6">
        <f t="shared" si="16"/>
        <v>20</v>
      </c>
      <c r="BQ17" s="6">
        <f t="shared" si="17"/>
        <v>10</v>
      </c>
      <c r="BR17" s="6">
        <v>20</v>
      </c>
      <c r="BS17" s="6">
        <f t="shared" si="18"/>
        <v>3.5</v>
      </c>
      <c r="BT17" s="6">
        <f t="shared" si="19"/>
        <v>1.5650000000000002</v>
      </c>
      <c r="BU17" s="6">
        <f t="shared" si="20"/>
        <v>27.532499999999999</v>
      </c>
      <c r="BV17" s="18">
        <f t="shared" si="3"/>
        <v>0.11012999999999999</v>
      </c>
      <c r="BW17" s="18">
        <f t="shared" si="4"/>
        <v>0.2356782</v>
      </c>
    </row>
    <row r="18" spans="1:75" x14ac:dyDescent="0.25">
      <c r="A18" s="18" t="s">
        <v>6</v>
      </c>
      <c r="B18" s="18">
        <v>2024</v>
      </c>
      <c r="C18" s="18" t="s">
        <v>138</v>
      </c>
      <c r="D18" s="18" t="s">
        <v>10</v>
      </c>
      <c r="E18" s="18">
        <v>40</v>
      </c>
      <c r="F18" s="18" t="s">
        <v>153</v>
      </c>
      <c r="G18" s="18" t="s">
        <v>158</v>
      </c>
      <c r="H18" s="31">
        <f t="shared" si="21"/>
        <v>7</v>
      </c>
      <c r="I18" s="31">
        <f t="shared" si="22"/>
        <v>7.5</v>
      </c>
      <c r="J18" s="4">
        <f t="shared" si="5"/>
        <v>0.5</v>
      </c>
      <c r="K18" s="5">
        <v>0.98</v>
      </c>
      <c r="L18" s="31">
        <f t="shared" si="6"/>
        <v>0.49</v>
      </c>
      <c r="M18" s="31">
        <v>2.14</v>
      </c>
      <c r="N18" s="31">
        <v>31.3</v>
      </c>
      <c r="O18" s="31">
        <f t="shared" si="0"/>
        <v>0.49</v>
      </c>
      <c r="P18" s="31">
        <v>98</v>
      </c>
      <c r="Q18" s="31">
        <v>5</v>
      </c>
      <c r="R18" s="31">
        <f>0.11+0.32</f>
        <v>0.43</v>
      </c>
      <c r="S18" s="31">
        <f>0.11+0.1</f>
        <v>0.21000000000000002</v>
      </c>
      <c r="T18" s="86">
        <f t="shared" si="24"/>
        <v>42.000000000000007</v>
      </c>
      <c r="U18" s="31">
        <v>5</v>
      </c>
      <c r="V18" s="31"/>
      <c r="W18" s="31">
        <f t="shared" si="25"/>
        <v>5</v>
      </c>
      <c r="X18" s="31">
        <f t="shared" si="23"/>
        <v>86</v>
      </c>
      <c r="Y18" s="31">
        <f t="shared" si="7"/>
        <v>8.5999999999999993E-2</v>
      </c>
      <c r="Z18" s="18">
        <v>50</v>
      </c>
      <c r="AA18" s="18" t="s">
        <v>88</v>
      </c>
      <c r="AB18" s="18" t="s">
        <v>118</v>
      </c>
      <c r="AC18" s="18" t="s">
        <v>336</v>
      </c>
      <c r="AD18" s="18">
        <v>5</v>
      </c>
      <c r="AE18" s="18">
        <v>98</v>
      </c>
      <c r="AF18" s="18" t="s">
        <v>32</v>
      </c>
      <c r="AG18" s="18" t="s">
        <v>199</v>
      </c>
      <c r="AH18" s="18" t="s">
        <v>199</v>
      </c>
      <c r="AI18" s="18" t="s">
        <v>64</v>
      </c>
      <c r="AJ18" s="18" t="s">
        <v>79</v>
      </c>
      <c r="AK18" s="18" t="s">
        <v>100</v>
      </c>
      <c r="AL18" s="18" t="s">
        <v>107</v>
      </c>
      <c r="AM18" s="18" t="s">
        <v>120</v>
      </c>
      <c r="AN18" s="18" t="s">
        <v>198</v>
      </c>
      <c r="AO18" s="18" t="s">
        <v>206</v>
      </c>
      <c r="AP18" s="18"/>
      <c r="AQ18" s="18">
        <f>+VLOOKUP(AI18,Leyenda!$B$30:$E$34,3,FALSE)</f>
        <v>2</v>
      </c>
      <c r="AR18" s="18">
        <f>+VLOOKUP('3. Blasting'!AJ18,Meteorizacion,3,FALSE)</f>
        <v>1</v>
      </c>
      <c r="AS18" s="18">
        <f>+VLOOKUP('3. Blasting'!AK18,Apertura,3,FALSE)</f>
        <v>0</v>
      </c>
      <c r="AT18" s="18">
        <f>+VLOOKUP('3. Blasting'!AL18,Leyenda!$B$55:$D$59,3,FALSE)</f>
        <v>3</v>
      </c>
      <c r="AU18" s="18">
        <f>+VLOOKUP('3. Blasting'!AM18,Relleno,3,FALSE)</f>
        <v>2</v>
      </c>
      <c r="AV18" s="18">
        <f t="shared" si="26"/>
        <v>8</v>
      </c>
      <c r="AW18" s="49">
        <f t="shared" si="8"/>
        <v>10</v>
      </c>
      <c r="AX18" s="49">
        <f>VLOOKUP(AF18,Leyenda!$B$4:$D$10,3,FALSE)</f>
        <v>1</v>
      </c>
      <c r="AY18" s="49">
        <f t="shared" si="2"/>
        <v>7</v>
      </c>
      <c r="AZ18" s="49">
        <f t="shared" si="9"/>
        <v>8</v>
      </c>
      <c r="BA18" s="49">
        <f>VLOOKUP(AN18,Leyenda!$B$70:$D$75,3,FALSE)</f>
        <v>15</v>
      </c>
      <c r="BB18" s="67">
        <f t="shared" si="10"/>
        <v>33</v>
      </c>
      <c r="BC18" s="67">
        <f>VLOOKUP(AF18,Leyenda!$B$4:$E$10,4,FALSE)</f>
        <v>1</v>
      </c>
      <c r="BD18" s="67">
        <f t="shared" si="11"/>
        <v>7</v>
      </c>
      <c r="BE18" s="67">
        <f t="shared" si="12"/>
        <v>9</v>
      </c>
      <c r="BF18" s="67">
        <f>+VLOOKUP('3. Blasting'!AK18,Leyenda!$B$47:$E$51,4,FALSE)</f>
        <v>0</v>
      </c>
      <c r="BG18" s="67">
        <f>+VLOOKUP('3. Blasting'!AL18,Leyenda!$B$55:$E$59,4,FALSE)</f>
        <v>3</v>
      </c>
      <c r="BH18" s="67">
        <f>+VLOOKUP('3. Blasting'!AM18,Leyenda!$B$63:$E$67,3,FALSE)</f>
        <v>2</v>
      </c>
      <c r="BI18" s="67">
        <f>+VLOOKUP('3. Blasting'!AJ18,Leyenda!$B$39:$E$43,4,FALSE)</f>
        <v>1</v>
      </c>
      <c r="BJ18" s="67">
        <f>+VLOOKUP('3. Blasting'!AI18,Leyenda!$B$30:$E$34,4,FALSE)</f>
        <v>3</v>
      </c>
      <c r="BK18" s="67">
        <f>VLOOKUP(AN18,Leyenda!$B$71:$E$75,4,FALSE)</f>
        <v>10</v>
      </c>
      <c r="BL18" s="125">
        <f t="shared" si="13"/>
        <v>36</v>
      </c>
      <c r="BM18" s="85">
        <f t="shared" si="14"/>
        <v>41</v>
      </c>
      <c r="BN18" s="18">
        <f t="shared" si="27"/>
        <v>0.97990294183488436</v>
      </c>
      <c r="BO18" s="18"/>
      <c r="BP18" s="6">
        <f t="shared" si="16"/>
        <v>20</v>
      </c>
      <c r="BQ18" s="6">
        <f t="shared" si="17"/>
        <v>10</v>
      </c>
      <c r="BR18" s="6">
        <v>20</v>
      </c>
      <c r="BS18" s="6">
        <f t="shared" si="18"/>
        <v>3.5</v>
      </c>
      <c r="BT18" s="6">
        <f t="shared" si="19"/>
        <v>1.5650000000000002</v>
      </c>
      <c r="BU18" s="6">
        <f t="shared" si="20"/>
        <v>27.532499999999999</v>
      </c>
      <c r="BV18" s="18">
        <f t="shared" si="3"/>
        <v>0.11012999999999999</v>
      </c>
      <c r="BW18" s="18">
        <f t="shared" si="4"/>
        <v>0.2356782</v>
      </c>
    </row>
    <row r="19" spans="1:75" x14ac:dyDescent="0.25">
      <c r="A19" s="18" t="s">
        <v>6</v>
      </c>
      <c r="B19" s="18">
        <v>2024</v>
      </c>
      <c r="C19" s="18" t="s">
        <v>138</v>
      </c>
      <c r="D19" s="18" t="s">
        <v>10</v>
      </c>
      <c r="E19" s="18">
        <v>40</v>
      </c>
      <c r="F19" s="18" t="s">
        <v>153</v>
      </c>
      <c r="G19" s="18" t="s">
        <v>158</v>
      </c>
      <c r="H19" s="31">
        <f t="shared" si="21"/>
        <v>7.5</v>
      </c>
      <c r="I19" s="31">
        <f t="shared" si="22"/>
        <v>8</v>
      </c>
      <c r="J19" s="4">
        <f t="shared" si="5"/>
        <v>0.5</v>
      </c>
      <c r="K19" s="5">
        <v>1</v>
      </c>
      <c r="L19" s="31">
        <f t="shared" si="6"/>
        <v>0.5</v>
      </c>
      <c r="M19" s="31">
        <v>2.14</v>
      </c>
      <c r="N19" s="31">
        <v>31.3</v>
      </c>
      <c r="O19" s="31">
        <f t="shared" si="0"/>
        <v>0.5</v>
      </c>
      <c r="P19" s="31">
        <v>50</v>
      </c>
      <c r="Q19" s="31">
        <v>10</v>
      </c>
      <c r="R19" s="31">
        <v>0.45</v>
      </c>
      <c r="S19" s="31">
        <v>0.28000000000000003</v>
      </c>
      <c r="T19" s="86">
        <f t="shared" si="24"/>
        <v>56.000000000000007</v>
      </c>
      <c r="U19" s="31">
        <v>4</v>
      </c>
      <c r="V19" s="31"/>
      <c r="W19" s="31">
        <f t="shared" si="25"/>
        <v>4</v>
      </c>
      <c r="X19" s="31">
        <f t="shared" si="23"/>
        <v>112.5</v>
      </c>
      <c r="Y19" s="31">
        <f t="shared" si="7"/>
        <v>0.1125</v>
      </c>
      <c r="Z19" s="18">
        <v>68</v>
      </c>
      <c r="AA19" s="18" t="s">
        <v>88</v>
      </c>
      <c r="AB19" s="18" t="s">
        <v>120</v>
      </c>
      <c r="AC19" s="18" t="s">
        <v>336</v>
      </c>
      <c r="AD19" s="18">
        <v>10</v>
      </c>
      <c r="AE19" s="18">
        <v>50</v>
      </c>
      <c r="AF19" s="18" t="s">
        <v>32</v>
      </c>
      <c r="AG19" s="18" t="s">
        <v>199</v>
      </c>
      <c r="AH19" s="18" t="s">
        <v>199</v>
      </c>
      <c r="AI19" s="18" t="s">
        <v>64</v>
      </c>
      <c r="AJ19" s="18" t="s">
        <v>77</v>
      </c>
      <c r="AK19" s="18" t="s">
        <v>96</v>
      </c>
      <c r="AL19" s="18" t="s">
        <v>107</v>
      </c>
      <c r="AM19" s="18" t="s">
        <v>118</v>
      </c>
      <c r="AN19" s="18" t="s">
        <v>198</v>
      </c>
      <c r="AO19" s="18" t="s">
        <v>207</v>
      </c>
      <c r="AP19" s="18"/>
      <c r="AQ19" s="18">
        <f>+VLOOKUP(AI19,Leyenda!$B$30:$E$34,3,FALSE)</f>
        <v>2</v>
      </c>
      <c r="AR19" s="18">
        <f>+VLOOKUP('3. Blasting'!AJ19,Meteorizacion,3,FALSE)</f>
        <v>3</v>
      </c>
      <c r="AS19" s="18">
        <f>+VLOOKUP('3. Blasting'!AK19,Apertura,3,FALSE)</f>
        <v>1</v>
      </c>
      <c r="AT19" s="18">
        <f>+VLOOKUP('3. Blasting'!AL19,Leyenda!$B$55:$D$59,3,FALSE)</f>
        <v>3</v>
      </c>
      <c r="AU19" s="18">
        <f>+VLOOKUP('3. Blasting'!AM19,Relleno,3,FALSE)</f>
        <v>2</v>
      </c>
      <c r="AV19" s="18">
        <f t="shared" si="26"/>
        <v>11</v>
      </c>
      <c r="AW19" s="49">
        <f t="shared" si="8"/>
        <v>14</v>
      </c>
      <c r="AX19" s="49">
        <f>VLOOKUP(AF19,Leyenda!$B$4:$D$10,3,FALSE)</f>
        <v>1</v>
      </c>
      <c r="AY19" s="49">
        <f t="shared" si="2"/>
        <v>6</v>
      </c>
      <c r="AZ19" s="49">
        <f t="shared" si="9"/>
        <v>11</v>
      </c>
      <c r="BA19" s="49">
        <f>VLOOKUP(AN19,Leyenda!$B$70:$D$75,3,FALSE)</f>
        <v>15</v>
      </c>
      <c r="BB19" s="67">
        <f t="shared" si="10"/>
        <v>44.5</v>
      </c>
      <c r="BC19" s="67">
        <f>VLOOKUP(AF19,Leyenda!$B$4:$E$10,4,FALSE)</f>
        <v>1</v>
      </c>
      <c r="BD19" s="67">
        <f t="shared" si="11"/>
        <v>9</v>
      </c>
      <c r="BE19" s="67">
        <f t="shared" si="12"/>
        <v>12</v>
      </c>
      <c r="BF19" s="67">
        <f>+VLOOKUP('3. Blasting'!AK19,Leyenda!$B$47:$E$51,4,FALSE)</f>
        <v>1</v>
      </c>
      <c r="BG19" s="67">
        <f>+VLOOKUP('3. Blasting'!AL19,Leyenda!$B$55:$E$59,4,FALSE)</f>
        <v>3</v>
      </c>
      <c r="BH19" s="67">
        <f>+VLOOKUP('3. Blasting'!AM19,Leyenda!$B$63:$E$67,3,FALSE)</f>
        <v>2</v>
      </c>
      <c r="BI19" s="67">
        <f>+VLOOKUP('3. Blasting'!AJ19,Leyenda!$B$39:$E$43,4,FALSE)</f>
        <v>3</v>
      </c>
      <c r="BJ19" s="67">
        <f>+VLOOKUP('3. Blasting'!AI19,Leyenda!$B$30:$E$34,4,FALSE)</f>
        <v>3</v>
      </c>
      <c r="BK19" s="67">
        <f>VLOOKUP(AN19,Leyenda!$B$71:$E$75,4,FALSE)</f>
        <v>10</v>
      </c>
      <c r="BL19" s="125">
        <f t="shared" si="13"/>
        <v>44</v>
      </c>
      <c r="BM19" s="85">
        <f t="shared" si="14"/>
        <v>47</v>
      </c>
      <c r="BN19" s="18">
        <f t="shared" si="27"/>
        <v>0.97981651229328259</v>
      </c>
      <c r="BO19" s="18"/>
      <c r="BP19" s="6">
        <f t="shared" si="16"/>
        <v>30</v>
      </c>
      <c r="BQ19" s="6">
        <f t="shared" si="17"/>
        <v>20</v>
      </c>
      <c r="BR19" s="6">
        <v>20</v>
      </c>
      <c r="BS19" s="6">
        <f t="shared" si="18"/>
        <v>3.5</v>
      </c>
      <c r="BT19" s="6">
        <f t="shared" si="19"/>
        <v>1.5650000000000002</v>
      </c>
      <c r="BU19" s="6">
        <f t="shared" si="20"/>
        <v>37.532499999999999</v>
      </c>
      <c r="BV19" s="18">
        <f t="shared" si="3"/>
        <v>0.15012999999999999</v>
      </c>
      <c r="BW19" s="18">
        <f t="shared" si="4"/>
        <v>0.32127820000000001</v>
      </c>
    </row>
    <row r="20" spans="1:75" x14ac:dyDescent="0.25">
      <c r="A20" s="18" t="s">
        <v>6</v>
      </c>
      <c r="B20" s="18">
        <v>2024</v>
      </c>
      <c r="C20" s="18" t="s">
        <v>138</v>
      </c>
      <c r="D20" s="18" t="s">
        <v>10</v>
      </c>
      <c r="E20" s="18">
        <v>40</v>
      </c>
      <c r="F20" s="18" t="s">
        <v>153</v>
      </c>
      <c r="G20" s="18" t="s">
        <v>158</v>
      </c>
      <c r="H20" s="31">
        <f t="shared" si="21"/>
        <v>8</v>
      </c>
      <c r="I20" s="31">
        <f t="shared" si="22"/>
        <v>8.5</v>
      </c>
      <c r="J20" s="4">
        <f t="shared" si="5"/>
        <v>0.5</v>
      </c>
      <c r="K20" s="5">
        <v>1</v>
      </c>
      <c r="L20" s="31">
        <f t="shared" si="6"/>
        <v>0.5</v>
      </c>
      <c r="M20" s="31">
        <v>2.14</v>
      </c>
      <c r="N20" s="31">
        <v>31.3</v>
      </c>
      <c r="O20" s="31">
        <f t="shared" si="0"/>
        <v>0.5</v>
      </c>
      <c r="P20" s="31">
        <v>100</v>
      </c>
      <c r="Q20" s="31">
        <v>5</v>
      </c>
      <c r="R20" s="31">
        <v>0.47</v>
      </c>
      <c r="S20" s="31">
        <v>0.31</v>
      </c>
      <c r="T20" s="86">
        <f t="shared" si="24"/>
        <v>62</v>
      </c>
      <c r="U20" s="31">
        <v>2</v>
      </c>
      <c r="V20" s="31"/>
      <c r="W20" s="31">
        <f t="shared" si="25"/>
        <v>2</v>
      </c>
      <c r="X20" s="31">
        <f t="shared" si="23"/>
        <v>235</v>
      </c>
      <c r="Y20" s="31">
        <f t="shared" si="7"/>
        <v>0.23499999999999999</v>
      </c>
      <c r="Z20" s="18">
        <v>86</v>
      </c>
      <c r="AA20" s="18" t="s">
        <v>88</v>
      </c>
      <c r="AB20" s="18" t="s">
        <v>118</v>
      </c>
      <c r="AC20" s="18" t="s">
        <v>336</v>
      </c>
      <c r="AD20" s="18">
        <v>5</v>
      </c>
      <c r="AE20" s="18">
        <v>100</v>
      </c>
      <c r="AF20" s="18" t="s">
        <v>32</v>
      </c>
      <c r="AG20" s="18" t="s">
        <v>199</v>
      </c>
      <c r="AH20" s="18" t="s">
        <v>199</v>
      </c>
      <c r="AI20" s="18" t="s">
        <v>64</v>
      </c>
      <c r="AJ20" s="18" t="s">
        <v>77</v>
      </c>
      <c r="AK20" s="18" t="s">
        <v>96</v>
      </c>
      <c r="AL20" s="18" t="s">
        <v>107</v>
      </c>
      <c r="AM20" s="18" t="s">
        <v>118</v>
      </c>
      <c r="AN20" s="18" t="s">
        <v>198</v>
      </c>
      <c r="AO20" s="18" t="s">
        <v>205</v>
      </c>
      <c r="AP20" s="18"/>
      <c r="AQ20" s="18">
        <f>+VLOOKUP(AI20,Leyenda!$B$30:$E$34,3,FALSE)</f>
        <v>2</v>
      </c>
      <c r="AR20" s="18">
        <f>+VLOOKUP('3. Blasting'!AJ20,Meteorizacion,3,FALSE)</f>
        <v>3</v>
      </c>
      <c r="AS20" s="18">
        <f>+VLOOKUP('3. Blasting'!AK20,Apertura,3,FALSE)</f>
        <v>1</v>
      </c>
      <c r="AT20" s="18">
        <f>+VLOOKUP('3. Blasting'!AL20,Leyenda!$B$55:$D$59,3,FALSE)</f>
        <v>3</v>
      </c>
      <c r="AU20" s="18">
        <f>+VLOOKUP('3. Blasting'!AM20,Relleno,3,FALSE)</f>
        <v>2</v>
      </c>
      <c r="AV20" s="18">
        <f t="shared" si="26"/>
        <v>11</v>
      </c>
      <c r="AW20" s="49">
        <f t="shared" si="8"/>
        <v>17</v>
      </c>
      <c r="AX20" s="49">
        <f>VLOOKUP(AF20,Leyenda!$B$4:$D$10,3,FALSE)</f>
        <v>1</v>
      </c>
      <c r="AY20" s="49">
        <f t="shared" si="2"/>
        <v>7</v>
      </c>
      <c r="AZ20" s="49">
        <f t="shared" si="9"/>
        <v>11</v>
      </c>
      <c r="BA20" s="49">
        <f>VLOOKUP(AN20,Leyenda!$B$70:$D$75,3,FALSE)</f>
        <v>15</v>
      </c>
      <c r="BB20" s="67">
        <f t="shared" si="10"/>
        <v>47.5</v>
      </c>
      <c r="BC20" s="67">
        <f>VLOOKUP(AF20,Leyenda!$B$4:$E$10,4,FALSE)</f>
        <v>1</v>
      </c>
      <c r="BD20" s="67">
        <f t="shared" si="11"/>
        <v>13</v>
      </c>
      <c r="BE20" s="67">
        <f t="shared" si="12"/>
        <v>13</v>
      </c>
      <c r="BF20" s="67">
        <f>+VLOOKUP('3. Blasting'!AK20,Leyenda!$B$47:$E$51,4,FALSE)</f>
        <v>1</v>
      </c>
      <c r="BG20" s="67">
        <f>+VLOOKUP('3. Blasting'!AL20,Leyenda!$B$55:$E$59,4,FALSE)</f>
        <v>3</v>
      </c>
      <c r="BH20" s="67">
        <f>+VLOOKUP('3. Blasting'!AM20,Leyenda!$B$63:$E$67,3,FALSE)</f>
        <v>2</v>
      </c>
      <c r="BI20" s="67">
        <f>+VLOOKUP('3. Blasting'!AJ20,Leyenda!$B$39:$E$43,4,FALSE)</f>
        <v>3</v>
      </c>
      <c r="BJ20" s="67">
        <f>+VLOOKUP('3. Blasting'!AI20,Leyenda!$B$30:$E$34,4,FALSE)</f>
        <v>3</v>
      </c>
      <c r="BK20" s="67">
        <f>VLOOKUP(AN20,Leyenda!$B$71:$E$75,4,FALSE)</f>
        <v>10</v>
      </c>
      <c r="BL20" s="125">
        <f t="shared" si="13"/>
        <v>49</v>
      </c>
      <c r="BM20" s="85">
        <f t="shared" si="14"/>
        <v>51</v>
      </c>
      <c r="BN20" s="18">
        <f t="shared" si="27"/>
        <v>0.97964970267999552</v>
      </c>
      <c r="BO20" s="18"/>
      <c r="BP20" s="6">
        <f t="shared" si="16"/>
        <v>30</v>
      </c>
      <c r="BQ20" s="6">
        <f t="shared" si="17"/>
        <v>20</v>
      </c>
      <c r="BR20" s="6">
        <v>20</v>
      </c>
      <c r="BS20" s="6">
        <f t="shared" si="18"/>
        <v>3.5</v>
      </c>
      <c r="BT20" s="6">
        <f t="shared" si="19"/>
        <v>1.5650000000000002</v>
      </c>
      <c r="BU20" s="6">
        <f t="shared" si="20"/>
        <v>37.532499999999999</v>
      </c>
      <c r="BV20" s="18">
        <f t="shared" si="3"/>
        <v>0.15012999999999999</v>
      </c>
      <c r="BW20" s="18">
        <f t="shared" si="4"/>
        <v>0.32127820000000001</v>
      </c>
    </row>
    <row r="21" spans="1:75" x14ac:dyDescent="0.25">
      <c r="A21" s="18" t="s">
        <v>6</v>
      </c>
      <c r="B21" s="18">
        <v>2024</v>
      </c>
      <c r="C21" s="18" t="s">
        <v>138</v>
      </c>
      <c r="D21" s="18" t="s">
        <v>10</v>
      </c>
      <c r="E21" s="18">
        <v>40</v>
      </c>
      <c r="F21" s="18" t="s">
        <v>153</v>
      </c>
      <c r="G21" s="18" t="s">
        <v>158</v>
      </c>
      <c r="H21" s="31">
        <f t="shared" si="21"/>
        <v>8.5</v>
      </c>
      <c r="I21" s="31">
        <f t="shared" si="22"/>
        <v>9</v>
      </c>
      <c r="J21" s="4">
        <f t="shared" si="5"/>
        <v>0.5</v>
      </c>
      <c r="K21" s="5">
        <v>1</v>
      </c>
      <c r="L21" s="31">
        <f t="shared" si="6"/>
        <v>0.5</v>
      </c>
      <c r="M21" s="31">
        <v>2.14</v>
      </c>
      <c r="N21" s="31">
        <v>31.3</v>
      </c>
      <c r="O21" s="31">
        <f t="shared" si="0"/>
        <v>0.5</v>
      </c>
      <c r="P21" s="31">
        <v>500</v>
      </c>
      <c r="Q21" s="31">
        <v>1</v>
      </c>
      <c r="R21" s="31">
        <v>0.35</v>
      </c>
      <c r="S21" s="31">
        <v>0.16</v>
      </c>
      <c r="T21" s="86">
        <f t="shared" si="24"/>
        <v>32</v>
      </c>
      <c r="U21" s="31">
        <v>5</v>
      </c>
      <c r="V21" s="31"/>
      <c r="W21" s="31">
        <f t="shared" si="25"/>
        <v>5</v>
      </c>
      <c r="X21" s="31">
        <f t="shared" si="23"/>
        <v>70</v>
      </c>
      <c r="Y21" s="31">
        <f t="shared" si="7"/>
        <v>7.0000000000000007E-2</v>
      </c>
      <c r="Z21" s="18">
        <v>34</v>
      </c>
      <c r="AA21" s="18" t="s">
        <v>88</v>
      </c>
      <c r="AB21" s="18" t="s">
        <v>116</v>
      </c>
      <c r="AC21" s="18" t="s">
        <v>336</v>
      </c>
      <c r="AD21" s="18">
        <v>1</v>
      </c>
      <c r="AE21" s="18">
        <v>500</v>
      </c>
      <c r="AF21" s="18" t="s">
        <v>32</v>
      </c>
      <c r="AG21" s="18" t="s">
        <v>199</v>
      </c>
      <c r="AH21" s="18" t="s">
        <v>199</v>
      </c>
      <c r="AI21" s="18" t="s">
        <v>64</v>
      </c>
      <c r="AJ21" s="18" t="s">
        <v>79</v>
      </c>
      <c r="AK21" s="18" t="s">
        <v>100</v>
      </c>
      <c r="AL21" s="18" t="s">
        <v>109</v>
      </c>
      <c r="AM21" s="18" t="s">
        <v>120</v>
      </c>
      <c r="AN21" s="18" t="s">
        <v>198</v>
      </c>
      <c r="AO21" s="18"/>
      <c r="AP21" s="18"/>
      <c r="AQ21" s="18">
        <f>+VLOOKUP(AI21,Leyenda!$B$30:$E$34,3,FALSE)</f>
        <v>2</v>
      </c>
      <c r="AR21" s="18">
        <f>+VLOOKUP('3. Blasting'!AJ21,Meteorizacion,3,FALSE)</f>
        <v>1</v>
      </c>
      <c r="AS21" s="18">
        <f>+VLOOKUP('3. Blasting'!AK21,Apertura,3,FALSE)</f>
        <v>0</v>
      </c>
      <c r="AT21" s="18">
        <f>+VLOOKUP('3. Blasting'!AL21,Leyenda!$B$55:$D$59,3,FALSE)</f>
        <v>1</v>
      </c>
      <c r="AU21" s="18">
        <f>+VLOOKUP('3. Blasting'!AM21,Relleno,3,FALSE)</f>
        <v>2</v>
      </c>
      <c r="AV21" s="18">
        <f t="shared" si="26"/>
        <v>6</v>
      </c>
      <c r="AW21" s="49">
        <f t="shared" si="8"/>
        <v>7</v>
      </c>
      <c r="AX21" s="49">
        <f>VLOOKUP(AF21,Leyenda!$B$4:$D$10,3,FALSE)</f>
        <v>1</v>
      </c>
      <c r="AY21" s="49">
        <f t="shared" si="2"/>
        <v>12</v>
      </c>
      <c r="AZ21" s="49">
        <f t="shared" si="9"/>
        <v>6</v>
      </c>
      <c r="BA21" s="49">
        <f>VLOOKUP(AN21,Leyenda!$B$70:$D$75,3,FALSE)</f>
        <v>15</v>
      </c>
      <c r="BB21" s="67">
        <f t="shared" si="10"/>
        <v>25</v>
      </c>
      <c r="BC21" s="67">
        <f>VLOOKUP(AF21,Leyenda!$B$4:$E$10,4,FALSE)</f>
        <v>1</v>
      </c>
      <c r="BD21" s="67">
        <f t="shared" si="11"/>
        <v>6</v>
      </c>
      <c r="BE21" s="67">
        <f t="shared" si="12"/>
        <v>7</v>
      </c>
      <c r="BF21" s="67">
        <f>+VLOOKUP('3. Blasting'!AK21,Leyenda!$B$47:$E$51,4,FALSE)</f>
        <v>0</v>
      </c>
      <c r="BG21" s="67">
        <f>+VLOOKUP('3. Blasting'!AL21,Leyenda!$B$55:$E$59,4,FALSE)</f>
        <v>1</v>
      </c>
      <c r="BH21" s="67">
        <f>+VLOOKUP('3. Blasting'!AM21,Leyenda!$B$63:$E$67,3,FALSE)</f>
        <v>2</v>
      </c>
      <c r="BI21" s="67">
        <f>+VLOOKUP('3. Blasting'!AJ21,Leyenda!$B$39:$E$43,4,FALSE)</f>
        <v>1</v>
      </c>
      <c r="BJ21" s="67">
        <f>+VLOOKUP('3. Blasting'!AI21,Leyenda!$B$30:$E$34,4,FALSE)</f>
        <v>3</v>
      </c>
      <c r="BK21" s="67">
        <f>VLOOKUP(AN21,Leyenda!$B$71:$E$75,4,FALSE)</f>
        <v>10</v>
      </c>
      <c r="BL21" s="125">
        <f t="shared" si="13"/>
        <v>31</v>
      </c>
      <c r="BM21" s="85">
        <f t="shared" si="14"/>
        <v>41</v>
      </c>
      <c r="BN21" s="18">
        <f t="shared" si="27"/>
        <v>0.97938953397357731</v>
      </c>
      <c r="BO21" s="18"/>
      <c r="BP21" s="6">
        <f t="shared" si="16"/>
        <v>20</v>
      </c>
      <c r="BQ21" s="6">
        <f t="shared" si="17"/>
        <v>10</v>
      </c>
      <c r="BR21" s="6">
        <v>20</v>
      </c>
      <c r="BS21" s="6">
        <f t="shared" si="18"/>
        <v>3.5</v>
      </c>
      <c r="BT21" s="6">
        <f t="shared" si="19"/>
        <v>1.5650000000000002</v>
      </c>
      <c r="BU21" s="6">
        <f t="shared" si="20"/>
        <v>27.532499999999999</v>
      </c>
      <c r="BV21" s="18">
        <f t="shared" si="3"/>
        <v>0.11012999999999999</v>
      </c>
      <c r="BW21" s="18">
        <f t="shared" si="4"/>
        <v>0.2356782</v>
      </c>
    </row>
    <row r="22" spans="1:75" x14ac:dyDescent="0.25">
      <c r="A22" s="18" t="s">
        <v>6</v>
      </c>
      <c r="B22" s="18">
        <v>2024</v>
      </c>
      <c r="C22" s="18" t="s">
        <v>138</v>
      </c>
      <c r="D22" s="18" t="s">
        <v>10</v>
      </c>
      <c r="E22" s="18">
        <v>40</v>
      </c>
      <c r="F22" s="18" t="s">
        <v>153</v>
      </c>
      <c r="G22" s="18" t="s">
        <v>158</v>
      </c>
      <c r="H22" s="31">
        <f t="shared" si="21"/>
        <v>9</v>
      </c>
      <c r="I22" s="31">
        <f t="shared" si="22"/>
        <v>9.5</v>
      </c>
      <c r="J22" s="4">
        <f t="shared" si="5"/>
        <v>0.5</v>
      </c>
      <c r="K22" s="5">
        <v>0.8</v>
      </c>
      <c r="L22" s="31">
        <f t="shared" si="6"/>
        <v>0.4</v>
      </c>
      <c r="M22" s="31">
        <v>2.14</v>
      </c>
      <c r="N22" s="31">
        <v>31.3</v>
      </c>
      <c r="O22" s="31">
        <f t="shared" si="0"/>
        <v>0.4</v>
      </c>
      <c r="P22" s="31">
        <v>400</v>
      </c>
      <c r="Q22" s="31">
        <v>1</v>
      </c>
      <c r="R22" s="31">
        <v>0.41</v>
      </c>
      <c r="S22" s="31">
        <v>0.21</v>
      </c>
      <c r="T22" s="86">
        <f t="shared" si="24"/>
        <v>42</v>
      </c>
      <c r="U22" s="31">
        <v>4</v>
      </c>
      <c r="V22" s="31"/>
      <c r="W22" s="31">
        <f t="shared" si="25"/>
        <v>4</v>
      </c>
      <c r="X22" s="31">
        <f t="shared" si="23"/>
        <v>102.5</v>
      </c>
      <c r="Y22" s="31">
        <f t="shared" si="7"/>
        <v>0.10249999999999999</v>
      </c>
      <c r="Z22" s="18">
        <v>46</v>
      </c>
      <c r="AA22" s="18" t="s">
        <v>88</v>
      </c>
      <c r="AB22" s="18" t="s">
        <v>116</v>
      </c>
      <c r="AC22" s="18" t="s">
        <v>336</v>
      </c>
      <c r="AD22" s="18">
        <v>1</v>
      </c>
      <c r="AE22" s="18">
        <v>400</v>
      </c>
      <c r="AF22" s="18" t="s">
        <v>32</v>
      </c>
      <c r="AG22" s="18" t="s">
        <v>196</v>
      </c>
      <c r="AH22" s="18" t="s">
        <v>196</v>
      </c>
      <c r="AI22" s="18" t="s">
        <v>62</v>
      </c>
      <c r="AJ22" s="18" t="s">
        <v>77</v>
      </c>
      <c r="AK22" s="18" t="s">
        <v>96</v>
      </c>
      <c r="AL22" s="18" t="s">
        <v>109</v>
      </c>
      <c r="AM22" s="18" t="s">
        <v>120</v>
      </c>
      <c r="AN22" s="18" t="s">
        <v>198</v>
      </c>
      <c r="AO22" s="18"/>
      <c r="AP22" s="18"/>
      <c r="AQ22" s="18">
        <f>+VLOOKUP(AI22,Leyenda!$B$30:$E$34,3,FALSE)</f>
        <v>4</v>
      </c>
      <c r="AR22" s="18">
        <f>+VLOOKUP('3. Blasting'!AJ22,Meteorizacion,3,FALSE)</f>
        <v>3</v>
      </c>
      <c r="AS22" s="18">
        <f>+VLOOKUP('3. Blasting'!AK22,Apertura,3,FALSE)</f>
        <v>1</v>
      </c>
      <c r="AT22" s="18">
        <f>+VLOOKUP('3. Blasting'!AL22,Leyenda!$B$55:$D$59,3,FALSE)</f>
        <v>1</v>
      </c>
      <c r="AU22" s="18">
        <f>+VLOOKUP('3. Blasting'!AM22,Relleno,3,FALSE)</f>
        <v>2</v>
      </c>
      <c r="AV22" s="18">
        <f t="shared" si="26"/>
        <v>11</v>
      </c>
      <c r="AW22" s="49">
        <f t="shared" si="8"/>
        <v>10</v>
      </c>
      <c r="AX22" s="49">
        <f>VLOOKUP(AF22,Leyenda!$B$4:$D$10,3,FALSE)</f>
        <v>1</v>
      </c>
      <c r="AY22" s="49">
        <f t="shared" si="2"/>
        <v>12</v>
      </c>
      <c r="AZ22" s="49">
        <f t="shared" si="9"/>
        <v>11</v>
      </c>
      <c r="BA22" s="49">
        <f>VLOOKUP(AN22,Leyenda!$B$70:$D$75,3,FALSE)</f>
        <v>15</v>
      </c>
      <c r="BB22" s="67">
        <f t="shared" si="10"/>
        <v>37.5</v>
      </c>
      <c r="BC22" s="67">
        <f>VLOOKUP(AF22,Leyenda!$B$4:$E$10,4,FALSE)</f>
        <v>1</v>
      </c>
      <c r="BD22" s="67">
        <f t="shared" si="11"/>
        <v>8</v>
      </c>
      <c r="BE22" s="67">
        <f t="shared" si="12"/>
        <v>9</v>
      </c>
      <c r="BF22" s="67">
        <f>+VLOOKUP('3. Blasting'!AK22,Leyenda!$B$47:$E$51,4,FALSE)</f>
        <v>1</v>
      </c>
      <c r="BG22" s="67">
        <f>+VLOOKUP('3. Blasting'!AL22,Leyenda!$B$55:$E$59,4,FALSE)</f>
        <v>1</v>
      </c>
      <c r="BH22" s="67">
        <f>+VLOOKUP('3. Blasting'!AM22,Leyenda!$B$63:$E$67,3,FALSE)</f>
        <v>2</v>
      </c>
      <c r="BI22" s="67">
        <f>+VLOOKUP('3. Blasting'!AJ22,Leyenda!$B$39:$E$43,4,FALSE)</f>
        <v>3</v>
      </c>
      <c r="BJ22" s="67">
        <f>+VLOOKUP('3. Blasting'!AI22,Leyenda!$B$30:$E$34,4,FALSE)</f>
        <v>4</v>
      </c>
      <c r="BK22" s="67">
        <f>VLOOKUP(AN22,Leyenda!$B$71:$E$75,4,FALSE)</f>
        <v>10</v>
      </c>
      <c r="BL22" s="125">
        <f t="shared" si="13"/>
        <v>39</v>
      </c>
      <c r="BM22" s="85">
        <f t="shared" si="14"/>
        <v>49</v>
      </c>
      <c r="BN22" s="18">
        <f t="shared" si="27"/>
        <v>0.97927677035166794</v>
      </c>
      <c r="BO22" s="18"/>
      <c r="BP22" s="6">
        <f t="shared" si="16"/>
        <v>20</v>
      </c>
      <c r="BQ22" s="6">
        <f t="shared" si="17"/>
        <v>20</v>
      </c>
      <c r="BR22" s="6">
        <v>20</v>
      </c>
      <c r="BS22" s="6">
        <f t="shared" si="18"/>
        <v>3.5</v>
      </c>
      <c r="BT22" s="6">
        <f t="shared" si="19"/>
        <v>1.5650000000000002</v>
      </c>
      <c r="BU22" s="6">
        <f t="shared" si="20"/>
        <v>32.532499999999999</v>
      </c>
      <c r="BV22" s="18">
        <f t="shared" si="3"/>
        <v>0.13013</v>
      </c>
      <c r="BW22" s="18">
        <f t="shared" si="4"/>
        <v>0.27847820000000001</v>
      </c>
    </row>
    <row r="23" spans="1:75" x14ac:dyDescent="0.25">
      <c r="A23" s="18" t="s">
        <v>6</v>
      </c>
      <c r="B23" s="18">
        <v>2024</v>
      </c>
      <c r="C23" s="18" t="s">
        <v>138</v>
      </c>
      <c r="D23" s="18" t="s">
        <v>10</v>
      </c>
      <c r="E23" s="18">
        <v>40</v>
      </c>
      <c r="F23" s="18" t="s">
        <v>153</v>
      </c>
      <c r="G23" s="18" t="s">
        <v>159</v>
      </c>
      <c r="H23" s="31">
        <f t="shared" si="21"/>
        <v>9.5</v>
      </c>
      <c r="I23" s="31">
        <f t="shared" si="22"/>
        <v>10</v>
      </c>
      <c r="J23" s="4">
        <f t="shared" si="5"/>
        <v>0.5</v>
      </c>
      <c r="K23" s="5">
        <v>0.86</v>
      </c>
      <c r="L23" s="31">
        <f t="shared" si="6"/>
        <v>0.43</v>
      </c>
      <c r="M23" s="31">
        <v>2.14</v>
      </c>
      <c r="N23" s="31">
        <v>31.3</v>
      </c>
      <c r="O23" s="31">
        <f t="shared" si="0"/>
        <v>0.43</v>
      </c>
      <c r="P23" s="31">
        <v>86</v>
      </c>
      <c r="Q23" s="31">
        <v>5</v>
      </c>
      <c r="R23" s="31">
        <v>0.43</v>
      </c>
      <c r="S23" s="31">
        <v>0.25</v>
      </c>
      <c r="T23" s="86">
        <f t="shared" si="24"/>
        <v>50</v>
      </c>
      <c r="U23" s="31">
        <v>4</v>
      </c>
      <c r="V23" s="31"/>
      <c r="W23" s="31">
        <f t="shared" si="25"/>
        <v>4</v>
      </c>
      <c r="X23" s="31">
        <f t="shared" si="23"/>
        <v>107.5</v>
      </c>
      <c r="Y23" s="31">
        <f t="shared" si="7"/>
        <v>0.1075</v>
      </c>
      <c r="Z23" s="18">
        <v>42</v>
      </c>
      <c r="AA23" s="18" t="s">
        <v>88</v>
      </c>
      <c r="AB23" s="18" t="s">
        <v>118</v>
      </c>
      <c r="AC23" s="18" t="s">
        <v>334</v>
      </c>
      <c r="AD23" s="18">
        <v>5</v>
      </c>
      <c r="AE23" s="18">
        <v>86</v>
      </c>
      <c r="AF23" s="18" t="s">
        <v>27</v>
      </c>
      <c r="AG23" s="18" t="s">
        <v>27</v>
      </c>
      <c r="AH23" s="18" t="s">
        <v>27</v>
      </c>
      <c r="AI23" s="18" t="s">
        <v>62</v>
      </c>
      <c r="AJ23" s="18" t="s">
        <v>75</v>
      </c>
      <c r="AK23" s="18" t="s">
        <v>92</v>
      </c>
      <c r="AL23" s="18" t="s">
        <v>107</v>
      </c>
      <c r="AM23" s="18" t="s">
        <v>118</v>
      </c>
      <c r="AN23" s="18" t="s">
        <v>198</v>
      </c>
      <c r="AO23" s="18" t="s">
        <v>205</v>
      </c>
      <c r="AP23" s="18"/>
      <c r="AQ23" s="18">
        <f>+VLOOKUP(AI23,Leyenda!$B$30:$E$34,3,FALSE)</f>
        <v>4</v>
      </c>
      <c r="AR23" s="18">
        <f>+VLOOKUP('3. Blasting'!AJ23,Meteorizacion,3,FALSE)</f>
        <v>5</v>
      </c>
      <c r="AS23" s="18">
        <f>+VLOOKUP('3. Blasting'!AK23,Apertura,3,FALSE)</f>
        <v>3</v>
      </c>
      <c r="AT23" s="18">
        <f>+VLOOKUP('3. Blasting'!AL23,Leyenda!$B$55:$D$59,3,FALSE)</f>
        <v>3</v>
      </c>
      <c r="AU23" s="18">
        <f>+VLOOKUP('3. Blasting'!AM23,Relleno,3,FALSE)</f>
        <v>2</v>
      </c>
      <c r="AV23" s="18">
        <f t="shared" si="26"/>
        <v>17</v>
      </c>
      <c r="AW23" s="49">
        <f t="shared" si="8"/>
        <v>9</v>
      </c>
      <c r="AX23" s="49">
        <f>VLOOKUP(AF23,Leyenda!$B$4:$D$10,3,FALSE)</f>
        <v>4</v>
      </c>
      <c r="AY23" s="49">
        <f t="shared" si="2"/>
        <v>7</v>
      </c>
      <c r="AZ23" s="49">
        <f t="shared" si="9"/>
        <v>17</v>
      </c>
      <c r="BA23" s="49">
        <f>VLOOKUP(AN23,Leyenda!$B$70:$D$75,3,FALSE)</f>
        <v>15</v>
      </c>
      <c r="BB23" s="67">
        <f t="shared" si="10"/>
        <v>50.5</v>
      </c>
      <c r="BC23" s="67">
        <f>VLOOKUP(AF23,Leyenda!$B$4:$E$10,4,FALSE)</f>
        <v>4</v>
      </c>
      <c r="BD23" s="67">
        <f t="shared" si="11"/>
        <v>9</v>
      </c>
      <c r="BE23" s="67">
        <f t="shared" si="12"/>
        <v>10</v>
      </c>
      <c r="BF23" s="67">
        <f>+VLOOKUP('3. Blasting'!AK23,Leyenda!$B$47:$E$51,4,FALSE)</f>
        <v>3</v>
      </c>
      <c r="BG23" s="67">
        <f>+VLOOKUP('3. Blasting'!AL23,Leyenda!$B$55:$E$59,4,FALSE)</f>
        <v>3</v>
      </c>
      <c r="BH23" s="67">
        <f>+VLOOKUP('3. Blasting'!AM23,Leyenda!$B$63:$E$67,3,FALSE)</f>
        <v>2</v>
      </c>
      <c r="BI23" s="67">
        <f>+VLOOKUP('3. Blasting'!AJ23,Leyenda!$B$39:$E$43,4,FALSE)</f>
        <v>4</v>
      </c>
      <c r="BJ23" s="67">
        <f>+VLOOKUP('3. Blasting'!AI23,Leyenda!$B$30:$E$34,4,FALSE)</f>
        <v>4</v>
      </c>
      <c r="BK23" s="67">
        <f>VLOOKUP(AN23,Leyenda!$B$71:$E$75,4,FALSE)</f>
        <v>10</v>
      </c>
      <c r="BL23" s="125">
        <f t="shared" si="13"/>
        <v>49</v>
      </c>
      <c r="BM23" s="85">
        <f t="shared" si="14"/>
        <v>52</v>
      </c>
      <c r="BN23" s="18">
        <f t="shared" si="27"/>
        <v>0.97899428322471205</v>
      </c>
      <c r="BO23" s="18"/>
      <c r="BP23" s="6">
        <f t="shared" si="16"/>
        <v>30</v>
      </c>
      <c r="BQ23" s="6">
        <f t="shared" si="17"/>
        <v>20</v>
      </c>
      <c r="BR23" s="6">
        <v>20</v>
      </c>
      <c r="BS23" s="6">
        <f t="shared" si="18"/>
        <v>3.5</v>
      </c>
      <c r="BT23" s="6">
        <f t="shared" si="19"/>
        <v>1.5650000000000002</v>
      </c>
      <c r="BU23" s="6">
        <f t="shared" si="20"/>
        <v>37.532499999999999</v>
      </c>
      <c r="BV23" s="18">
        <f t="shared" si="3"/>
        <v>0.15012999999999999</v>
      </c>
      <c r="BW23" s="18">
        <f t="shared" si="4"/>
        <v>0.32127820000000001</v>
      </c>
    </row>
    <row r="24" spans="1:75" hidden="1" x14ac:dyDescent="0.25">
      <c r="A24" s="35" t="s">
        <v>6</v>
      </c>
      <c r="B24" s="35">
        <v>2024</v>
      </c>
      <c r="C24" s="35" t="s">
        <v>138</v>
      </c>
      <c r="D24" s="35" t="s">
        <v>10</v>
      </c>
      <c r="E24" s="35">
        <v>50</v>
      </c>
      <c r="F24" s="35" t="s">
        <v>154</v>
      </c>
      <c r="G24" s="35" t="s">
        <v>159</v>
      </c>
      <c r="H24" s="114">
        <f t="shared" si="21"/>
        <v>10</v>
      </c>
      <c r="I24" s="114">
        <f t="shared" si="22"/>
        <v>10.5</v>
      </c>
      <c r="J24" s="115">
        <f t="shared" si="5"/>
        <v>0.5</v>
      </c>
      <c r="K24" s="116">
        <v>0.9</v>
      </c>
      <c r="L24" s="114">
        <f t="shared" si="6"/>
        <v>0.45</v>
      </c>
      <c r="M24" s="114"/>
      <c r="N24" s="114"/>
      <c r="O24" s="114">
        <f t="shared" si="0"/>
        <v>0.45</v>
      </c>
      <c r="P24" s="114">
        <v>90</v>
      </c>
      <c r="Q24" s="114">
        <v>5</v>
      </c>
      <c r="R24" s="114">
        <v>0.28999999999999998</v>
      </c>
      <c r="S24" s="114">
        <v>0.11</v>
      </c>
      <c r="T24" s="117">
        <f t="shared" si="24"/>
        <v>22</v>
      </c>
      <c r="U24" s="114">
        <v>3</v>
      </c>
      <c r="V24" s="114"/>
      <c r="W24" s="114">
        <f t="shared" si="25"/>
        <v>3</v>
      </c>
      <c r="X24" s="114">
        <f t="shared" si="23"/>
        <v>96.666666666666671</v>
      </c>
      <c r="Y24" s="114">
        <f t="shared" si="7"/>
        <v>9.6666666666666665E-2</v>
      </c>
      <c r="Z24" s="35">
        <v>26</v>
      </c>
      <c r="AA24" s="35" t="s">
        <v>88</v>
      </c>
      <c r="AB24" s="35" t="s">
        <v>118</v>
      </c>
      <c r="AC24" s="35" t="s">
        <v>334</v>
      </c>
      <c r="AD24" s="35">
        <v>5</v>
      </c>
      <c r="AE24" s="35">
        <v>90</v>
      </c>
      <c r="AF24" s="35" t="s">
        <v>27</v>
      </c>
      <c r="AG24" s="35" t="s">
        <v>29</v>
      </c>
      <c r="AH24" s="35" t="s">
        <v>29</v>
      </c>
      <c r="AI24" s="35" t="s">
        <v>66</v>
      </c>
      <c r="AJ24" s="35" t="s">
        <v>79</v>
      </c>
      <c r="AK24" s="35" t="s">
        <v>100</v>
      </c>
      <c r="AL24" s="35" t="s">
        <v>107</v>
      </c>
      <c r="AM24" s="35" t="s">
        <v>120</v>
      </c>
      <c r="AN24" s="35" t="s">
        <v>198</v>
      </c>
      <c r="AO24" s="35" t="s">
        <v>209</v>
      </c>
      <c r="AP24" s="35"/>
      <c r="AQ24" s="35">
        <f>+VLOOKUP(AI24,Leyenda!$B$30:$E$34,3,FALSE)</f>
        <v>1</v>
      </c>
      <c r="AR24" s="35">
        <f>+VLOOKUP('3. Blasting'!AJ24,Meteorizacion,3,FALSE)</f>
        <v>1</v>
      </c>
      <c r="AS24" s="35">
        <f>+VLOOKUP('3. Blasting'!AK24,Apertura,3,FALSE)</f>
        <v>0</v>
      </c>
      <c r="AT24" s="35">
        <f>+VLOOKUP('3. Blasting'!AL24,Leyenda!$B$55:$D$59,3,FALSE)</f>
        <v>3</v>
      </c>
      <c r="AU24" s="35">
        <f>+VLOOKUP('3. Blasting'!AM24,Relleno,3,FALSE)</f>
        <v>2</v>
      </c>
      <c r="AV24" s="35">
        <f t="shared" si="26"/>
        <v>7</v>
      </c>
      <c r="AW24" s="118">
        <f t="shared" si="8"/>
        <v>6</v>
      </c>
      <c r="AX24" s="118">
        <f>VLOOKUP(AF24,Leyenda!$B$4:$D$10,3,FALSE)</f>
        <v>4</v>
      </c>
      <c r="AY24" s="119">
        <f t="shared" si="2"/>
        <v>7</v>
      </c>
      <c r="AZ24" s="118">
        <f t="shared" si="9"/>
        <v>7</v>
      </c>
      <c r="BA24" s="118">
        <f>VLOOKUP(AN24,Leyenda!$B$70:$D$75,3,FALSE)</f>
        <v>15</v>
      </c>
      <c r="BB24" s="120">
        <f t="shared" si="10"/>
        <v>21.5</v>
      </c>
      <c r="BC24" s="120">
        <f>VLOOKUP(AF24,Leyenda!$B$4:$E$10,4,FALSE)</f>
        <v>4</v>
      </c>
      <c r="BD24" s="120">
        <f t="shared" si="11"/>
        <v>8</v>
      </c>
      <c r="BE24" s="120">
        <f t="shared" si="12"/>
        <v>5</v>
      </c>
      <c r="BF24" s="120">
        <f>+VLOOKUP('3. Blasting'!AK24,Leyenda!$B$47:$E$51,4,FALSE)</f>
        <v>0</v>
      </c>
      <c r="BG24" s="120">
        <f>+VLOOKUP('3. Blasting'!AL24,Leyenda!$B$55:$E$59,4,FALSE)</f>
        <v>3</v>
      </c>
      <c r="BH24" s="120">
        <f>+VLOOKUP('3. Blasting'!AM24,Leyenda!$B$63:$E$67,3,FALSE)</f>
        <v>2</v>
      </c>
      <c r="BI24" s="120">
        <f>+VLOOKUP('3. Blasting'!AJ24,Leyenda!$B$39:$E$43,4,FALSE)</f>
        <v>1</v>
      </c>
      <c r="BJ24" s="120">
        <f>+VLOOKUP('3. Blasting'!AI24,Leyenda!$B$30:$E$34,4,FALSE)</f>
        <v>1</v>
      </c>
      <c r="BK24" s="120">
        <f>VLOOKUP(AN24,Leyenda!$B$71:$E$75,4,FALSE)</f>
        <v>10</v>
      </c>
      <c r="BL24" s="120">
        <f t="shared" si="13"/>
        <v>34</v>
      </c>
      <c r="BM24" s="35">
        <f t="shared" si="14"/>
        <v>39</v>
      </c>
      <c r="BN24" s="35"/>
      <c r="BO24" s="35"/>
      <c r="BP24" s="121">
        <f t="shared" si="16"/>
        <v>20</v>
      </c>
      <c r="BQ24" s="121">
        <f t="shared" si="17"/>
        <v>10</v>
      </c>
      <c r="BR24" s="121">
        <v>20</v>
      </c>
      <c r="BS24" s="121">
        <f t="shared" si="18"/>
        <v>-50</v>
      </c>
      <c r="BT24" s="121">
        <f t="shared" si="19"/>
        <v>0</v>
      </c>
      <c r="BU24" s="121">
        <f t="shared" si="20"/>
        <v>0</v>
      </c>
      <c r="BV24" s="35">
        <f t="shared" si="3"/>
        <v>0</v>
      </c>
      <c r="BW24" s="1">
        <f t="shared" si="4"/>
        <v>0</v>
      </c>
    </row>
    <row r="25" spans="1:75" hidden="1" x14ac:dyDescent="0.25">
      <c r="A25" s="18" t="s">
        <v>6</v>
      </c>
      <c r="B25" s="18">
        <v>2024</v>
      </c>
      <c r="C25" s="18" t="s">
        <v>138</v>
      </c>
      <c r="D25" s="18" t="s">
        <v>10</v>
      </c>
      <c r="E25" s="18">
        <v>50</v>
      </c>
      <c r="F25" s="18" t="s">
        <v>154</v>
      </c>
      <c r="G25" s="18" t="s">
        <v>159</v>
      </c>
      <c r="H25" s="31">
        <f t="shared" si="21"/>
        <v>10.5</v>
      </c>
      <c r="I25" s="31">
        <f t="shared" si="22"/>
        <v>11</v>
      </c>
      <c r="J25" s="4">
        <f t="shared" si="5"/>
        <v>0.5</v>
      </c>
      <c r="K25" s="5">
        <v>0.64</v>
      </c>
      <c r="L25" s="31">
        <f t="shared" si="6"/>
        <v>0.32</v>
      </c>
      <c r="M25" s="31"/>
      <c r="N25" s="31"/>
      <c r="O25" s="31">
        <f t="shared" si="0"/>
        <v>0.32</v>
      </c>
      <c r="P25" s="31">
        <v>16</v>
      </c>
      <c r="Q25" s="31">
        <v>20</v>
      </c>
      <c r="R25" s="31">
        <v>0.27</v>
      </c>
      <c r="S25" s="31">
        <v>0</v>
      </c>
      <c r="T25" s="86">
        <f t="shared" si="24"/>
        <v>0</v>
      </c>
      <c r="U25" s="31">
        <v>13</v>
      </c>
      <c r="V25" s="31"/>
      <c r="W25" s="31">
        <f t="shared" si="25"/>
        <v>13</v>
      </c>
      <c r="X25" s="31">
        <f t="shared" si="23"/>
        <v>20.76923076923077</v>
      </c>
      <c r="Y25" s="31">
        <f t="shared" si="7"/>
        <v>2.0769230769230769E-2</v>
      </c>
      <c r="Z25" s="18">
        <v>0</v>
      </c>
      <c r="AA25" s="18" t="s">
        <v>100</v>
      </c>
      <c r="AB25" s="18" t="s">
        <v>333</v>
      </c>
      <c r="AC25" s="18" t="s">
        <v>337</v>
      </c>
      <c r="AD25" s="18">
        <v>20</v>
      </c>
      <c r="AE25" s="18">
        <v>16</v>
      </c>
      <c r="AF25" s="18" t="s">
        <v>29</v>
      </c>
      <c r="AG25" s="18" t="s">
        <v>29</v>
      </c>
      <c r="AH25" s="18" t="s">
        <v>29</v>
      </c>
      <c r="AI25" s="18" t="s">
        <v>66</v>
      </c>
      <c r="AJ25" s="18" t="s">
        <v>79</v>
      </c>
      <c r="AK25" s="18" t="s">
        <v>100</v>
      </c>
      <c r="AL25" s="18" t="s">
        <v>107</v>
      </c>
      <c r="AM25" s="18" t="s">
        <v>120</v>
      </c>
      <c r="AN25" s="18" t="s">
        <v>198</v>
      </c>
      <c r="AO25" s="18" t="s">
        <v>209</v>
      </c>
      <c r="AP25" s="18"/>
      <c r="AQ25" s="18">
        <f>+VLOOKUP(AI25,Leyenda!$B$30:$E$34,3,FALSE)</f>
        <v>1</v>
      </c>
      <c r="AR25" s="18">
        <f>+VLOOKUP('3. Blasting'!AJ25,Meteorizacion,3,FALSE)</f>
        <v>1</v>
      </c>
      <c r="AS25" s="18">
        <f>+VLOOKUP('3. Blasting'!AK25,Apertura,3,FALSE)</f>
        <v>0</v>
      </c>
      <c r="AT25" s="18">
        <f>+VLOOKUP('3. Blasting'!AL25,Leyenda!$B$55:$D$59,3,FALSE)</f>
        <v>3</v>
      </c>
      <c r="AU25" s="18">
        <f>+VLOOKUP('3. Blasting'!AM25,Relleno,3,FALSE)</f>
        <v>2</v>
      </c>
      <c r="AV25" s="18">
        <f t="shared" si="26"/>
        <v>7</v>
      </c>
      <c r="AW25" s="49">
        <f t="shared" si="8"/>
        <v>0</v>
      </c>
      <c r="AX25" s="49">
        <f>VLOOKUP(AF25,Leyenda!$B$4:$D$10,3,FALSE)</f>
        <v>2</v>
      </c>
      <c r="AY25" s="50">
        <f t="shared" si="2"/>
        <v>4</v>
      </c>
      <c r="AZ25" s="49">
        <f t="shared" si="9"/>
        <v>7</v>
      </c>
      <c r="BA25" s="49">
        <f>VLOOKUP(AN25,Leyenda!$B$70:$D$75,3,FALSE)</f>
        <v>15</v>
      </c>
      <c r="BB25" s="67">
        <f t="shared" si="10"/>
        <v>10.5</v>
      </c>
      <c r="BC25" s="67">
        <f>VLOOKUP(AF25,Leyenda!$B$4:$E$10,4,FALSE)</f>
        <v>2</v>
      </c>
      <c r="BD25" s="67">
        <f t="shared" si="11"/>
        <v>5</v>
      </c>
      <c r="BE25" s="67">
        <f t="shared" si="12"/>
        <v>0</v>
      </c>
      <c r="BF25" s="67">
        <f>+VLOOKUP('3. Blasting'!AK25,Leyenda!$B$47:$E$51,4,FALSE)</f>
        <v>0</v>
      </c>
      <c r="BG25" s="67">
        <f>+VLOOKUP('3. Blasting'!AL25,Leyenda!$B$55:$E$59,4,FALSE)</f>
        <v>3</v>
      </c>
      <c r="BH25" s="67">
        <f>+VLOOKUP('3. Blasting'!AM25,Leyenda!$B$63:$E$67,3,FALSE)</f>
        <v>2</v>
      </c>
      <c r="BI25" s="67">
        <f>+VLOOKUP('3. Blasting'!AJ25,Leyenda!$B$39:$E$43,4,FALSE)</f>
        <v>1</v>
      </c>
      <c r="BJ25" s="67">
        <f>+VLOOKUP('3. Blasting'!AI25,Leyenda!$B$30:$E$34,4,FALSE)</f>
        <v>1</v>
      </c>
      <c r="BK25" s="67">
        <f>VLOOKUP(AN25,Leyenda!$B$71:$E$75,4,FALSE)</f>
        <v>10</v>
      </c>
      <c r="BL25" s="67">
        <f t="shared" si="13"/>
        <v>24</v>
      </c>
      <c r="BM25" s="18">
        <f t="shared" si="14"/>
        <v>28</v>
      </c>
      <c r="BN25" s="18"/>
      <c r="BO25" s="18"/>
      <c r="BP25" s="6">
        <f t="shared" si="16"/>
        <v>10</v>
      </c>
      <c r="BQ25" s="6">
        <f t="shared" si="17"/>
        <v>10</v>
      </c>
      <c r="BR25" s="6">
        <v>20</v>
      </c>
      <c r="BS25" s="6">
        <f t="shared" si="18"/>
        <v>-50</v>
      </c>
      <c r="BT25" s="6">
        <f t="shared" si="19"/>
        <v>0</v>
      </c>
      <c r="BU25" s="6">
        <f t="shared" si="20"/>
        <v>-5</v>
      </c>
      <c r="BV25" s="18">
        <f t="shared" si="3"/>
        <v>-0.02</v>
      </c>
      <c r="BW25" s="1">
        <f t="shared" si="4"/>
        <v>0</v>
      </c>
    </row>
    <row r="26" spans="1:75" hidden="1" x14ac:dyDescent="0.25">
      <c r="A26" s="18" t="s">
        <v>6</v>
      </c>
      <c r="B26" s="18">
        <v>2024</v>
      </c>
      <c r="C26" s="18" t="s">
        <v>138</v>
      </c>
      <c r="D26" s="18" t="s">
        <v>10</v>
      </c>
      <c r="E26" s="18">
        <v>50</v>
      </c>
      <c r="F26" s="18" t="s">
        <v>154</v>
      </c>
      <c r="G26" s="18" t="s">
        <v>159</v>
      </c>
      <c r="H26" s="31">
        <f t="shared" si="21"/>
        <v>11</v>
      </c>
      <c r="I26" s="31">
        <f t="shared" si="22"/>
        <v>11.5</v>
      </c>
      <c r="J26" s="4">
        <f t="shared" si="5"/>
        <v>0.5</v>
      </c>
      <c r="K26" s="5">
        <v>0.6</v>
      </c>
      <c r="L26" s="31">
        <f t="shared" si="6"/>
        <v>0.3</v>
      </c>
      <c r="M26" s="31"/>
      <c r="N26" s="31"/>
      <c r="O26" s="31">
        <f t="shared" si="0"/>
        <v>0.3</v>
      </c>
      <c r="P26" s="31">
        <v>15</v>
      </c>
      <c r="Q26" s="31">
        <v>20</v>
      </c>
      <c r="R26" s="84">
        <v>0.28999999999999998</v>
      </c>
      <c r="S26" s="31">
        <v>0</v>
      </c>
      <c r="T26" s="86">
        <f t="shared" si="24"/>
        <v>0</v>
      </c>
      <c r="U26" s="31">
        <v>10</v>
      </c>
      <c r="V26" s="31"/>
      <c r="W26" s="31">
        <f t="shared" si="25"/>
        <v>10</v>
      </c>
      <c r="X26" s="31">
        <f t="shared" si="23"/>
        <v>29</v>
      </c>
      <c r="Y26" s="31">
        <f t="shared" si="7"/>
        <v>2.9000000000000001E-2</v>
      </c>
      <c r="Z26" s="18">
        <v>0</v>
      </c>
      <c r="AA26" s="18" t="s">
        <v>100</v>
      </c>
      <c r="AB26" s="18" t="s">
        <v>333</v>
      </c>
      <c r="AC26" s="18" t="s">
        <v>337</v>
      </c>
      <c r="AD26" s="18">
        <v>20</v>
      </c>
      <c r="AE26" s="18">
        <v>15</v>
      </c>
      <c r="AF26" s="18" t="s">
        <v>29</v>
      </c>
      <c r="AG26" s="18" t="s">
        <v>27</v>
      </c>
      <c r="AH26" s="18" t="s">
        <v>27</v>
      </c>
      <c r="AI26" s="18" t="s">
        <v>62</v>
      </c>
      <c r="AJ26" s="18" t="s">
        <v>77</v>
      </c>
      <c r="AK26" s="18" t="s">
        <v>92</v>
      </c>
      <c r="AL26" s="18" t="s">
        <v>105</v>
      </c>
      <c r="AM26" s="18" t="s">
        <v>116</v>
      </c>
      <c r="AN26" s="18" t="s">
        <v>198</v>
      </c>
      <c r="AO26" s="18" t="s">
        <v>209</v>
      </c>
      <c r="AP26" s="18"/>
      <c r="AQ26" s="18">
        <f>+VLOOKUP(AI26,Leyenda!$B$30:$E$34,3,FALSE)</f>
        <v>4</v>
      </c>
      <c r="AR26" s="18">
        <f>+VLOOKUP('3. Blasting'!AJ26,Meteorizacion,3,FALSE)</f>
        <v>3</v>
      </c>
      <c r="AS26" s="18">
        <f>+VLOOKUP('3. Blasting'!AK26,Apertura,3,FALSE)</f>
        <v>3</v>
      </c>
      <c r="AT26" s="18">
        <f>+VLOOKUP('3. Blasting'!AL26,Leyenda!$B$55:$D$59,3,FALSE)</f>
        <v>4</v>
      </c>
      <c r="AU26" s="18">
        <f>+VLOOKUP('3. Blasting'!AM26,Relleno,3,FALSE)</f>
        <v>4</v>
      </c>
      <c r="AV26" s="18">
        <f t="shared" si="26"/>
        <v>18</v>
      </c>
      <c r="AW26" s="49">
        <f t="shared" si="8"/>
        <v>0</v>
      </c>
      <c r="AX26" s="49">
        <f>VLOOKUP(AF26,Leyenda!$B$4:$D$10,3,FALSE)</f>
        <v>2</v>
      </c>
      <c r="AY26" s="50">
        <f t="shared" si="2"/>
        <v>4</v>
      </c>
      <c r="AZ26" s="49">
        <f t="shared" si="9"/>
        <v>18</v>
      </c>
      <c r="BA26" s="49">
        <f>VLOOKUP(AN26,Leyenda!$B$70:$D$75,3,FALSE)</f>
        <v>15</v>
      </c>
      <c r="BB26" s="67">
        <f t="shared" si="10"/>
        <v>27</v>
      </c>
      <c r="BC26" s="67">
        <f>VLOOKUP(AF26,Leyenda!$B$4:$E$10,4,FALSE)</f>
        <v>2</v>
      </c>
      <c r="BD26" s="67">
        <f t="shared" si="11"/>
        <v>5</v>
      </c>
      <c r="BE26" s="67">
        <f t="shared" si="12"/>
        <v>0</v>
      </c>
      <c r="BF26" s="67">
        <f>+VLOOKUP('3. Blasting'!AK26,Leyenda!$B$47:$E$51,4,FALSE)</f>
        <v>3</v>
      </c>
      <c r="BG26" s="67">
        <f>+VLOOKUP('3. Blasting'!AL26,Leyenda!$B$55:$E$59,4,FALSE)</f>
        <v>4</v>
      </c>
      <c r="BH26" s="67">
        <f>+VLOOKUP('3. Blasting'!AM26,Leyenda!$B$63:$E$67,3,FALSE)</f>
        <v>4</v>
      </c>
      <c r="BI26" s="67">
        <f>+VLOOKUP('3. Blasting'!AJ26,Leyenda!$B$39:$E$43,4,FALSE)</f>
        <v>3</v>
      </c>
      <c r="BJ26" s="67">
        <f>+VLOOKUP('3. Blasting'!AI26,Leyenda!$B$30:$E$34,4,FALSE)</f>
        <v>4</v>
      </c>
      <c r="BK26" s="67">
        <f>VLOOKUP(AN26,Leyenda!$B$71:$E$75,4,FALSE)</f>
        <v>10</v>
      </c>
      <c r="BL26" s="67">
        <f t="shared" si="13"/>
        <v>35</v>
      </c>
      <c r="BM26" s="18">
        <f t="shared" si="14"/>
        <v>39</v>
      </c>
      <c r="BN26" s="18"/>
      <c r="BO26" s="18"/>
      <c r="BP26" s="6">
        <f t="shared" si="16"/>
        <v>20</v>
      </c>
      <c r="BQ26" s="6">
        <f t="shared" si="17"/>
        <v>10</v>
      </c>
      <c r="BR26" s="6">
        <v>20</v>
      </c>
      <c r="BS26" s="6">
        <f t="shared" si="18"/>
        <v>-50</v>
      </c>
      <c r="BT26" s="6">
        <f t="shared" si="19"/>
        <v>0</v>
      </c>
      <c r="BU26" s="6">
        <f t="shared" si="20"/>
        <v>0</v>
      </c>
      <c r="BV26" s="18">
        <f t="shared" si="3"/>
        <v>0</v>
      </c>
      <c r="BW26" s="1">
        <f t="shared" si="4"/>
        <v>0</v>
      </c>
    </row>
    <row r="27" spans="1:75" hidden="1" x14ac:dyDescent="0.25">
      <c r="A27" s="36" t="s">
        <v>6</v>
      </c>
      <c r="B27" s="36">
        <v>2024</v>
      </c>
      <c r="C27" s="36" t="s">
        <v>138</v>
      </c>
      <c r="D27" s="36" t="s">
        <v>10</v>
      </c>
      <c r="E27" s="36">
        <v>50</v>
      </c>
      <c r="F27" s="36" t="s">
        <v>154</v>
      </c>
      <c r="G27" s="36" t="s">
        <v>159</v>
      </c>
      <c r="H27" s="106">
        <f t="shared" si="21"/>
        <v>11.5</v>
      </c>
      <c r="I27" s="106">
        <f t="shared" si="22"/>
        <v>12</v>
      </c>
      <c r="J27" s="107">
        <f t="shared" si="5"/>
        <v>0.5</v>
      </c>
      <c r="K27" s="108">
        <v>0.62</v>
      </c>
      <c r="L27" s="106">
        <f t="shared" si="6"/>
        <v>0.31</v>
      </c>
      <c r="M27" s="106"/>
      <c r="N27" s="106"/>
      <c r="O27" s="106">
        <f t="shared" si="0"/>
        <v>0.31</v>
      </c>
      <c r="P27" s="106">
        <v>310</v>
      </c>
      <c r="Q27" s="106">
        <v>1</v>
      </c>
      <c r="R27" s="106">
        <v>0.32</v>
      </c>
      <c r="S27" s="106">
        <v>0.16</v>
      </c>
      <c r="T27" s="109">
        <f t="shared" si="24"/>
        <v>32</v>
      </c>
      <c r="U27" s="106">
        <v>0</v>
      </c>
      <c r="V27" s="106"/>
      <c r="W27" s="106">
        <v>10</v>
      </c>
      <c r="X27" s="106">
        <f t="shared" si="23"/>
        <v>32</v>
      </c>
      <c r="Y27" s="106">
        <f t="shared" si="7"/>
        <v>3.2000000000000001E-2</v>
      </c>
      <c r="Z27" s="36">
        <v>34</v>
      </c>
      <c r="AA27" s="36" t="s">
        <v>96</v>
      </c>
      <c r="AB27" s="36" t="s">
        <v>116</v>
      </c>
      <c r="AC27" s="36" t="s">
        <v>337</v>
      </c>
      <c r="AD27" s="36">
        <v>1</v>
      </c>
      <c r="AE27" s="36">
        <v>310</v>
      </c>
      <c r="AF27" s="36" t="s">
        <v>29</v>
      </c>
      <c r="AG27" s="36" t="s">
        <v>27</v>
      </c>
      <c r="AH27" s="36" t="s">
        <v>27</v>
      </c>
      <c r="AI27" s="36" t="s">
        <v>62</v>
      </c>
      <c r="AJ27" s="36" t="s">
        <v>77</v>
      </c>
      <c r="AK27" s="36" t="s">
        <v>92</v>
      </c>
      <c r="AL27" s="36" t="s">
        <v>105</v>
      </c>
      <c r="AM27" s="36" t="s">
        <v>116</v>
      </c>
      <c r="AN27" s="36" t="s">
        <v>198</v>
      </c>
      <c r="AO27" s="36" t="s">
        <v>210</v>
      </c>
      <c r="AP27" s="36"/>
      <c r="AQ27" s="36">
        <f>+VLOOKUP(AI27,Leyenda!$B$30:$E$34,3,FALSE)</f>
        <v>4</v>
      </c>
      <c r="AR27" s="36">
        <f>+VLOOKUP('3. Blasting'!AJ27,Meteorizacion,3,FALSE)</f>
        <v>3</v>
      </c>
      <c r="AS27" s="36">
        <f>+VLOOKUP('3. Blasting'!AK27,Apertura,3,FALSE)</f>
        <v>3</v>
      </c>
      <c r="AT27" s="36">
        <f>+VLOOKUP('3. Blasting'!AL27,Leyenda!$B$55:$D$59,3,FALSE)</f>
        <v>4</v>
      </c>
      <c r="AU27" s="36">
        <f>+VLOOKUP('3. Blasting'!AM27,Relleno,3,FALSE)</f>
        <v>4</v>
      </c>
      <c r="AV27" s="36">
        <f t="shared" si="26"/>
        <v>18</v>
      </c>
      <c r="AW27" s="50">
        <f t="shared" si="8"/>
        <v>7</v>
      </c>
      <c r="AX27" s="50">
        <f>VLOOKUP(AF27,Leyenda!$B$4:$D$10,3,FALSE)</f>
        <v>2</v>
      </c>
      <c r="AY27" s="50">
        <f t="shared" si="2"/>
        <v>11</v>
      </c>
      <c r="AZ27" s="50">
        <f t="shared" si="9"/>
        <v>18</v>
      </c>
      <c r="BA27" s="50">
        <f>VLOOKUP(AN27,Leyenda!$B$70:$D$75,3,FALSE)</f>
        <v>15</v>
      </c>
      <c r="BB27" s="110">
        <f t="shared" si="10"/>
        <v>43</v>
      </c>
      <c r="BC27" s="110">
        <f>VLOOKUP(AF27,Leyenda!$B$4:$E$10,4,FALSE)</f>
        <v>2</v>
      </c>
      <c r="BD27" s="110">
        <f t="shared" si="11"/>
        <v>5</v>
      </c>
      <c r="BE27" s="110">
        <f t="shared" si="12"/>
        <v>7</v>
      </c>
      <c r="BF27" s="110">
        <f>+VLOOKUP('3. Blasting'!AK27,Leyenda!$B$47:$E$51,4,FALSE)</f>
        <v>3</v>
      </c>
      <c r="BG27" s="110">
        <f>+VLOOKUP('3. Blasting'!AL27,Leyenda!$B$55:$E$59,4,FALSE)</f>
        <v>4</v>
      </c>
      <c r="BH27" s="110">
        <f>+VLOOKUP('3. Blasting'!AM27,Leyenda!$B$63:$E$67,3,FALSE)</f>
        <v>4</v>
      </c>
      <c r="BI27" s="110">
        <f>+VLOOKUP('3. Blasting'!AJ27,Leyenda!$B$39:$E$43,4,FALSE)</f>
        <v>3</v>
      </c>
      <c r="BJ27" s="110">
        <f>+VLOOKUP('3. Blasting'!AI27,Leyenda!$B$30:$E$34,4,FALSE)</f>
        <v>4</v>
      </c>
      <c r="BK27" s="110">
        <f>VLOOKUP(AN27,Leyenda!$B$71:$E$75,4,FALSE)</f>
        <v>10</v>
      </c>
      <c r="BL27" s="110">
        <f t="shared" si="13"/>
        <v>42</v>
      </c>
      <c r="BM27" s="36">
        <f t="shared" si="14"/>
        <v>53</v>
      </c>
      <c r="BN27" s="36"/>
      <c r="BO27" s="36"/>
      <c r="BP27" s="111">
        <f t="shared" si="16"/>
        <v>30</v>
      </c>
      <c r="BQ27" s="111">
        <f t="shared" si="17"/>
        <v>10</v>
      </c>
      <c r="BR27" s="111">
        <v>20</v>
      </c>
      <c r="BS27" s="111">
        <f t="shared" si="18"/>
        <v>-50</v>
      </c>
      <c r="BT27" s="111">
        <f t="shared" si="19"/>
        <v>0</v>
      </c>
      <c r="BU27" s="111">
        <f t="shared" si="20"/>
        <v>5</v>
      </c>
      <c r="BV27" s="36">
        <f t="shared" si="3"/>
        <v>0.02</v>
      </c>
      <c r="BW27" s="1">
        <f t="shared" si="4"/>
        <v>0</v>
      </c>
    </row>
    <row r="28" spans="1:75" x14ac:dyDescent="0.25">
      <c r="A28" s="18" t="s">
        <v>6</v>
      </c>
      <c r="B28" s="18">
        <v>2024</v>
      </c>
      <c r="C28" s="18" t="s">
        <v>138</v>
      </c>
      <c r="D28" s="18" t="s">
        <v>10</v>
      </c>
      <c r="E28" s="18">
        <v>40</v>
      </c>
      <c r="F28" s="18" t="s">
        <v>153</v>
      </c>
      <c r="G28" s="18" t="s">
        <v>159</v>
      </c>
      <c r="H28" s="31">
        <f t="shared" si="21"/>
        <v>12</v>
      </c>
      <c r="I28" s="31">
        <f t="shared" si="22"/>
        <v>12.5</v>
      </c>
      <c r="J28" s="4">
        <f t="shared" si="5"/>
        <v>0.5</v>
      </c>
      <c r="K28" s="5">
        <v>0.7</v>
      </c>
      <c r="L28" s="31">
        <f t="shared" si="6"/>
        <v>0.35</v>
      </c>
      <c r="M28" s="31">
        <v>2.14</v>
      </c>
      <c r="N28" s="31">
        <v>31.3</v>
      </c>
      <c r="O28" s="31">
        <f t="shared" si="0"/>
        <v>0.35</v>
      </c>
      <c r="P28" s="31">
        <v>350</v>
      </c>
      <c r="Q28" s="31">
        <v>1</v>
      </c>
      <c r="R28" s="31">
        <v>0.22</v>
      </c>
      <c r="S28" s="31">
        <v>0.19</v>
      </c>
      <c r="T28" s="86">
        <f t="shared" si="24"/>
        <v>38</v>
      </c>
      <c r="U28" s="31">
        <v>5</v>
      </c>
      <c r="V28" s="31"/>
      <c r="W28" s="31">
        <f t="shared" si="25"/>
        <v>5</v>
      </c>
      <c r="X28" s="31">
        <f t="shared" si="23"/>
        <v>44</v>
      </c>
      <c r="Y28" s="31">
        <f t="shared" si="7"/>
        <v>4.3999999999999997E-2</v>
      </c>
      <c r="Z28" s="18">
        <v>26</v>
      </c>
      <c r="AA28" s="18" t="s">
        <v>92</v>
      </c>
      <c r="AB28" s="18" t="s">
        <v>116</v>
      </c>
      <c r="AC28" s="18" t="s">
        <v>337</v>
      </c>
      <c r="AD28" s="18">
        <v>1</v>
      </c>
      <c r="AE28" s="18">
        <v>350</v>
      </c>
      <c r="AF28" s="18" t="s">
        <v>29</v>
      </c>
      <c r="AG28" s="18" t="s">
        <v>27</v>
      </c>
      <c r="AH28" s="18" t="s">
        <v>27</v>
      </c>
      <c r="AI28" s="18" t="s">
        <v>62</v>
      </c>
      <c r="AJ28" s="18" t="s">
        <v>77</v>
      </c>
      <c r="AK28" s="18" t="s">
        <v>92</v>
      </c>
      <c r="AL28" s="18" t="s">
        <v>105</v>
      </c>
      <c r="AM28" s="18" t="s">
        <v>116</v>
      </c>
      <c r="AN28" s="18" t="s">
        <v>198</v>
      </c>
      <c r="AO28" s="18" t="s">
        <v>210</v>
      </c>
      <c r="AP28" s="18"/>
      <c r="AQ28" s="18">
        <f>+VLOOKUP(AI28,Leyenda!$B$30:$E$34,3,FALSE)</f>
        <v>4</v>
      </c>
      <c r="AR28" s="18">
        <f>+VLOOKUP('3. Blasting'!AJ28,Meteorizacion,3,FALSE)</f>
        <v>3</v>
      </c>
      <c r="AS28" s="18">
        <f>+VLOOKUP('3. Blasting'!AK28,Apertura,3,FALSE)</f>
        <v>3</v>
      </c>
      <c r="AT28" s="18">
        <f>+VLOOKUP('3. Blasting'!AL28,Leyenda!$B$55:$D$59,3,FALSE)</f>
        <v>4</v>
      </c>
      <c r="AU28" s="18">
        <f>+VLOOKUP('3. Blasting'!AM28,Relleno,3,FALSE)</f>
        <v>4</v>
      </c>
      <c r="AV28" s="18">
        <f t="shared" si="26"/>
        <v>18</v>
      </c>
      <c r="AW28" s="49">
        <f t="shared" si="8"/>
        <v>6</v>
      </c>
      <c r="AX28" s="49">
        <f>VLOOKUP(AF28,Leyenda!$B$4:$D$10,3,FALSE)</f>
        <v>2</v>
      </c>
      <c r="AY28" s="49">
        <f t="shared" si="2"/>
        <v>11</v>
      </c>
      <c r="AZ28" s="49">
        <f t="shared" si="9"/>
        <v>18</v>
      </c>
      <c r="BA28" s="49">
        <f>VLOOKUP(AN28,Leyenda!$B$70:$D$75,3,FALSE)</f>
        <v>15</v>
      </c>
      <c r="BB28" s="67">
        <f t="shared" si="10"/>
        <v>46</v>
      </c>
      <c r="BC28" s="67">
        <f>VLOOKUP(AF28,Leyenda!$B$4:$E$10,4,FALSE)</f>
        <v>2</v>
      </c>
      <c r="BD28" s="67">
        <f t="shared" si="11"/>
        <v>5</v>
      </c>
      <c r="BE28" s="67">
        <f t="shared" si="12"/>
        <v>8</v>
      </c>
      <c r="BF28" s="67">
        <f>+VLOOKUP('3. Blasting'!AK28,Leyenda!$B$47:$E$51,4,FALSE)</f>
        <v>3</v>
      </c>
      <c r="BG28" s="67">
        <f>+VLOOKUP('3. Blasting'!AL28,Leyenda!$B$55:$E$59,4,FALSE)</f>
        <v>4</v>
      </c>
      <c r="BH28" s="67">
        <f>+VLOOKUP('3. Blasting'!AM28,Leyenda!$B$63:$E$67,3,FALSE)</f>
        <v>4</v>
      </c>
      <c r="BI28" s="67">
        <f>+VLOOKUP('3. Blasting'!AJ28,Leyenda!$B$39:$E$43,4,FALSE)</f>
        <v>3</v>
      </c>
      <c r="BJ28" s="67">
        <f>+VLOOKUP('3. Blasting'!AI28,Leyenda!$B$30:$E$34,4,FALSE)</f>
        <v>4</v>
      </c>
      <c r="BK28" s="67">
        <f>VLOOKUP(AN28,Leyenda!$B$71:$E$75,4,FALSE)</f>
        <v>10</v>
      </c>
      <c r="BL28" s="125">
        <f t="shared" si="13"/>
        <v>43</v>
      </c>
      <c r="BM28" s="85">
        <f t="shared" si="14"/>
        <v>52</v>
      </c>
      <c r="BN28" s="18">
        <f t="shared" ref="BN28:BN91" si="28">+CORREL(BB28:BB377,BL28:BL377)</f>
        <v>0.97833409418669781</v>
      </c>
      <c r="BO28" s="18"/>
      <c r="BP28" s="6">
        <f t="shared" si="16"/>
        <v>30</v>
      </c>
      <c r="BQ28" s="6">
        <f t="shared" si="17"/>
        <v>10</v>
      </c>
      <c r="BR28" s="6">
        <v>20</v>
      </c>
      <c r="BS28" s="6">
        <f t="shared" si="18"/>
        <v>3.5</v>
      </c>
      <c r="BT28" s="6">
        <f t="shared" si="19"/>
        <v>1.5650000000000002</v>
      </c>
      <c r="BU28" s="6">
        <f t="shared" si="20"/>
        <v>32.532499999999999</v>
      </c>
      <c r="BV28" s="18">
        <f t="shared" si="3"/>
        <v>0.13013</v>
      </c>
      <c r="BW28" s="18">
        <f t="shared" si="4"/>
        <v>0.27847820000000001</v>
      </c>
    </row>
    <row r="29" spans="1:75" x14ac:dyDescent="0.25">
      <c r="A29" s="18" t="s">
        <v>6</v>
      </c>
      <c r="B29" s="18">
        <v>2024</v>
      </c>
      <c r="C29" s="18" t="s">
        <v>138</v>
      </c>
      <c r="D29" s="18" t="s">
        <v>10</v>
      </c>
      <c r="E29" s="18">
        <v>40</v>
      </c>
      <c r="F29" s="18" t="s">
        <v>153</v>
      </c>
      <c r="G29" s="18" t="s">
        <v>159</v>
      </c>
      <c r="H29" s="31">
        <f t="shared" si="21"/>
        <v>12.5</v>
      </c>
      <c r="I29" s="31">
        <f t="shared" si="22"/>
        <v>13</v>
      </c>
      <c r="J29" s="4">
        <f t="shared" si="5"/>
        <v>0.5</v>
      </c>
      <c r="K29" s="5">
        <v>0.5</v>
      </c>
      <c r="L29" s="31">
        <f t="shared" si="6"/>
        <v>0.25</v>
      </c>
      <c r="M29" s="31">
        <v>2.14</v>
      </c>
      <c r="N29" s="31">
        <v>31.3</v>
      </c>
      <c r="O29" s="31">
        <f t="shared" si="0"/>
        <v>0.25</v>
      </c>
      <c r="P29" s="31">
        <v>50</v>
      </c>
      <c r="Q29" s="31">
        <v>5</v>
      </c>
      <c r="R29" s="31">
        <v>0.23</v>
      </c>
      <c r="S29" s="31">
        <v>0.11</v>
      </c>
      <c r="T29" s="86">
        <f t="shared" si="24"/>
        <v>22</v>
      </c>
      <c r="U29" s="31">
        <v>5</v>
      </c>
      <c r="V29" s="31"/>
      <c r="W29" s="31">
        <f t="shared" si="25"/>
        <v>5</v>
      </c>
      <c r="X29" s="31">
        <f>+IF(R29=0,"",(R29*1000)/W29)</f>
        <v>46</v>
      </c>
      <c r="Y29" s="31">
        <f t="shared" si="7"/>
        <v>4.5999999999999999E-2</v>
      </c>
      <c r="Z29" s="18">
        <v>24</v>
      </c>
      <c r="AA29" s="18" t="s">
        <v>92</v>
      </c>
      <c r="AB29" s="18" t="s">
        <v>118</v>
      </c>
      <c r="AC29" s="18" t="s">
        <v>337</v>
      </c>
      <c r="AD29" s="18">
        <v>5</v>
      </c>
      <c r="AE29" s="18">
        <v>50</v>
      </c>
      <c r="AF29" s="18" t="s">
        <v>29</v>
      </c>
      <c r="AG29" s="18" t="s">
        <v>24</v>
      </c>
      <c r="AH29" s="18" t="s">
        <v>24</v>
      </c>
      <c r="AI29" s="18" t="s">
        <v>62</v>
      </c>
      <c r="AJ29" s="18" t="s">
        <v>75</v>
      </c>
      <c r="AK29" s="18" t="s">
        <v>92</v>
      </c>
      <c r="AL29" s="18" t="s">
        <v>107</v>
      </c>
      <c r="AM29" s="18" t="s">
        <v>118</v>
      </c>
      <c r="AN29" s="18" t="s">
        <v>198</v>
      </c>
      <c r="AO29" s="18" t="s">
        <v>205</v>
      </c>
      <c r="AP29" s="18"/>
      <c r="AQ29" s="18">
        <f>+VLOOKUP(AI29,Leyenda!$B$30:$E$34,3,FALSE)</f>
        <v>4</v>
      </c>
      <c r="AR29" s="18">
        <f>+VLOOKUP('3. Blasting'!AJ29,Meteorizacion,3,FALSE)</f>
        <v>5</v>
      </c>
      <c r="AS29" s="18">
        <f>+VLOOKUP('3. Blasting'!AK29,Apertura,3,FALSE)</f>
        <v>3</v>
      </c>
      <c r="AT29" s="18">
        <f>+VLOOKUP('3. Blasting'!AL29,Leyenda!$B$55:$D$59,3,FALSE)</f>
        <v>3</v>
      </c>
      <c r="AU29" s="18">
        <f>+VLOOKUP('3. Blasting'!AM29,Relleno,3,FALSE)</f>
        <v>2</v>
      </c>
      <c r="AV29" s="18">
        <f t="shared" si="26"/>
        <v>17</v>
      </c>
      <c r="AW29" s="49">
        <f t="shared" si="8"/>
        <v>5</v>
      </c>
      <c r="AX29" s="49">
        <f>VLOOKUP(AF29,Leyenda!$B$4:$D$10,3,FALSE)</f>
        <v>2</v>
      </c>
      <c r="AY29" s="49">
        <f t="shared" si="2"/>
        <v>6</v>
      </c>
      <c r="AZ29" s="49">
        <f t="shared" si="9"/>
        <v>17</v>
      </c>
      <c r="BA29" s="49">
        <f>VLOOKUP(AN29,Leyenda!$B$70:$D$75,3,FALSE)</f>
        <v>15</v>
      </c>
      <c r="BB29" s="67">
        <f t="shared" si="10"/>
        <v>36.5</v>
      </c>
      <c r="BC29" s="67">
        <f>VLOOKUP(AF29,Leyenda!$B$4:$E$10,4,FALSE)</f>
        <v>2</v>
      </c>
      <c r="BD29" s="67">
        <f t="shared" si="11"/>
        <v>5</v>
      </c>
      <c r="BE29" s="67">
        <f t="shared" si="12"/>
        <v>5</v>
      </c>
      <c r="BF29" s="67">
        <f>+VLOOKUP('3. Blasting'!AK29,Leyenda!$B$47:$E$51,4,FALSE)</f>
        <v>3</v>
      </c>
      <c r="BG29" s="67">
        <f>+VLOOKUP('3. Blasting'!AL29,Leyenda!$B$55:$E$59,4,FALSE)</f>
        <v>3</v>
      </c>
      <c r="BH29" s="67">
        <f>+VLOOKUP('3. Blasting'!AM29,Leyenda!$B$63:$E$67,3,FALSE)</f>
        <v>2</v>
      </c>
      <c r="BI29" s="67">
        <f>+VLOOKUP('3. Blasting'!AJ29,Leyenda!$B$39:$E$43,4,FALSE)</f>
        <v>4</v>
      </c>
      <c r="BJ29" s="67">
        <f>+VLOOKUP('3. Blasting'!AI29,Leyenda!$B$30:$E$34,4,FALSE)</f>
        <v>4</v>
      </c>
      <c r="BK29" s="67">
        <f>VLOOKUP(AN29,Leyenda!$B$71:$E$75,4,FALSE)</f>
        <v>10</v>
      </c>
      <c r="BL29" s="125">
        <f t="shared" si="13"/>
        <v>38</v>
      </c>
      <c r="BM29" s="85">
        <f t="shared" si="14"/>
        <v>45</v>
      </c>
      <c r="BN29" s="18">
        <f t="shared" si="28"/>
        <v>0.97846555865707674</v>
      </c>
      <c r="BO29" s="18"/>
      <c r="BP29" s="6">
        <f t="shared" si="16"/>
        <v>20</v>
      </c>
      <c r="BQ29" s="6">
        <f t="shared" si="17"/>
        <v>10</v>
      </c>
      <c r="BR29" s="6">
        <v>20</v>
      </c>
      <c r="BS29" s="6">
        <f t="shared" si="18"/>
        <v>3.5</v>
      </c>
      <c r="BT29" s="6">
        <f t="shared" si="19"/>
        <v>1.5650000000000002</v>
      </c>
      <c r="BU29" s="6">
        <f t="shared" si="20"/>
        <v>27.532499999999999</v>
      </c>
      <c r="BV29" s="18">
        <f t="shared" si="3"/>
        <v>0.11012999999999999</v>
      </c>
      <c r="BW29" s="18">
        <f t="shared" si="4"/>
        <v>0.2356782</v>
      </c>
    </row>
    <row r="30" spans="1:75" x14ac:dyDescent="0.25">
      <c r="A30" s="18" t="s">
        <v>6</v>
      </c>
      <c r="B30" s="18">
        <v>2024</v>
      </c>
      <c r="C30" s="18" t="s">
        <v>138</v>
      </c>
      <c r="D30" s="18" t="s">
        <v>10</v>
      </c>
      <c r="E30" s="18">
        <v>40</v>
      </c>
      <c r="F30" s="18" t="s">
        <v>153</v>
      </c>
      <c r="G30" s="18" t="s">
        <v>159</v>
      </c>
      <c r="H30" s="31">
        <f t="shared" si="21"/>
        <v>13</v>
      </c>
      <c r="I30" s="31">
        <f t="shared" si="22"/>
        <v>13.5</v>
      </c>
      <c r="J30" s="4">
        <f t="shared" si="5"/>
        <v>0.5</v>
      </c>
      <c r="K30" s="5">
        <v>0.5</v>
      </c>
      <c r="L30" s="31">
        <f t="shared" si="6"/>
        <v>0.25</v>
      </c>
      <c r="M30" s="31">
        <v>2.14</v>
      </c>
      <c r="N30" s="31">
        <v>31.3</v>
      </c>
      <c r="O30" s="31">
        <f t="shared" si="0"/>
        <v>0.25</v>
      </c>
      <c r="P30" s="31">
        <v>12.5</v>
      </c>
      <c r="Q30" s="31">
        <v>20</v>
      </c>
      <c r="R30" s="31">
        <v>0.22</v>
      </c>
      <c r="S30" s="31">
        <v>0.12</v>
      </c>
      <c r="T30" s="86">
        <f t="shared" si="24"/>
        <v>24</v>
      </c>
      <c r="U30" s="31">
        <v>3</v>
      </c>
      <c r="V30" s="31"/>
      <c r="W30" s="31">
        <f t="shared" si="25"/>
        <v>3</v>
      </c>
      <c r="X30" s="31">
        <f>+IF(R30=0,"",(R30*1000)/W30)</f>
        <v>73.333333333333329</v>
      </c>
      <c r="Y30" s="31">
        <f t="shared" si="7"/>
        <v>7.3333333333333334E-2</v>
      </c>
      <c r="Z30" s="18">
        <v>0</v>
      </c>
      <c r="AA30" s="18" t="s">
        <v>96</v>
      </c>
      <c r="AB30" s="18" t="s">
        <v>333</v>
      </c>
      <c r="AC30" s="18" t="s">
        <v>335</v>
      </c>
      <c r="AD30" s="18">
        <v>20</v>
      </c>
      <c r="AE30" s="18">
        <v>12.5</v>
      </c>
      <c r="AF30" s="18" t="s">
        <v>34</v>
      </c>
      <c r="AG30" s="18" t="s">
        <v>34</v>
      </c>
      <c r="AH30" s="18" t="s">
        <v>34</v>
      </c>
      <c r="AI30" s="18" t="s">
        <v>66</v>
      </c>
      <c r="AJ30" s="18" t="s">
        <v>81</v>
      </c>
      <c r="AK30" s="18" t="s">
        <v>100</v>
      </c>
      <c r="AL30" s="18" t="s">
        <v>107</v>
      </c>
      <c r="AM30" s="18" t="s">
        <v>122</v>
      </c>
      <c r="AN30" s="18" t="s">
        <v>198</v>
      </c>
      <c r="AO30" s="18" t="s">
        <v>211</v>
      </c>
      <c r="AP30" s="18"/>
      <c r="AQ30" s="18">
        <f>+VLOOKUP(AI30,Leyenda!$B$30:$E$34,3,FALSE)</f>
        <v>1</v>
      </c>
      <c r="AR30" s="18">
        <f>+VLOOKUP('3. Blasting'!AJ30,Meteorizacion,3,FALSE)</f>
        <v>0</v>
      </c>
      <c r="AS30" s="18">
        <f>+VLOOKUP('3. Blasting'!AK30,Apertura,3,FALSE)</f>
        <v>0</v>
      </c>
      <c r="AT30" s="18">
        <f>+VLOOKUP('3. Blasting'!AL30,Leyenda!$B$55:$D$59,3,FALSE)</f>
        <v>3</v>
      </c>
      <c r="AU30" s="18">
        <f>+VLOOKUP('3. Blasting'!AM30,Relleno,3,FALSE)</f>
        <v>0</v>
      </c>
      <c r="AV30" s="18">
        <f t="shared" si="26"/>
        <v>4</v>
      </c>
      <c r="AW30" s="49">
        <f t="shared" si="8"/>
        <v>0</v>
      </c>
      <c r="AX30" s="49">
        <f>VLOOKUP(AF30,Leyenda!$B$4:$D$10,3,FALSE)</f>
        <v>0</v>
      </c>
      <c r="AY30" s="49">
        <f t="shared" si="2"/>
        <v>4</v>
      </c>
      <c r="AZ30" s="49">
        <f t="shared" si="9"/>
        <v>4</v>
      </c>
      <c r="BA30" s="49">
        <f>VLOOKUP(AN30,Leyenda!$B$70:$D$75,3,FALSE)</f>
        <v>15</v>
      </c>
      <c r="BB30" s="67">
        <f t="shared" si="10"/>
        <v>18</v>
      </c>
      <c r="BC30" s="67">
        <f>VLOOKUP(AF30,Leyenda!$B$4:$E$10,4,FALSE)</f>
        <v>0</v>
      </c>
      <c r="BD30" s="67">
        <f t="shared" si="11"/>
        <v>6</v>
      </c>
      <c r="BE30" s="67">
        <f t="shared" si="12"/>
        <v>5</v>
      </c>
      <c r="BF30" s="67">
        <f>+VLOOKUP('3. Blasting'!AK30,Leyenda!$B$47:$E$51,4,FALSE)</f>
        <v>0</v>
      </c>
      <c r="BG30" s="67">
        <f>+VLOOKUP('3. Blasting'!AL30,Leyenda!$B$55:$E$59,4,FALSE)</f>
        <v>3</v>
      </c>
      <c r="BH30" s="67">
        <f>+VLOOKUP('3. Blasting'!AM30,Leyenda!$B$63:$E$67,3,FALSE)</f>
        <v>0</v>
      </c>
      <c r="BI30" s="67">
        <f>+VLOOKUP('3. Blasting'!AJ30,Leyenda!$B$39:$E$43,4,FALSE)</f>
        <v>0</v>
      </c>
      <c r="BJ30" s="67">
        <f>+VLOOKUP('3. Blasting'!AI30,Leyenda!$B$30:$E$34,4,FALSE)</f>
        <v>1</v>
      </c>
      <c r="BK30" s="67">
        <f>VLOOKUP(AN30,Leyenda!$B$71:$E$75,4,FALSE)</f>
        <v>10</v>
      </c>
      <c r="BL30" s="125">
        <f t="shared" si="13"/>
        <v>25</v>
      </c>
      <c r="BM30" s="85">
        <f t="shared" si="14"/>
        <v>23</v>
      </c>
      <c r="BN30" s="18">
        <f t="shared" si="28"/>
        <v>0.97839509061168062</v>
      </c>
      <c r="BO30" s="18"/>
      <c r="BP30" s="6">
        <f t="shared" si="16"/>
        <v>10</v>
      </c>
      <c r="BQ30" s="6">
        <f t="shared" si="17"/>
        <v>10</v>
      </c>
      <c r="BR30" s="6">
        <v>20</v>
      </c>
      <c r="BS30" s="6">
        <f t="shared" si="18"/>
        <v>3.5</v>
      </c>
      <c r="BT30" s="6">
        <f t="shared" si="19"/>
        <v>1.5650000000000002</v>
      </c>
      <c r="BU30" s="6">
        <f t="shared" si="20"/>
        <v>22.532499999999999</v>
      </c>
      <c r="BV30" s="18">
        <f t="shared" si="3"/>
        <v>9.0130000000000002E-2</v>
      </c>
      <c r="BW30" s="18">
        <f t="shared" si="4"/>
        <v>0.19287820000000003</v>
      </c>
    </row>
    <row r="31" spans="1:75" x14ac:dyDescent="0.25">
      <c r="A31" s="18" t="s">
        <v>6</v>
      </c>
      <c r="B31" s="18">
        <v>2024</v>
      </c>
      <c r="C31" s="18" t="s">
        <v>138</v>
      </c>
      <c r="D31" s="18" t="s">
        <v>10</v>
      </c>
      <c r="E31" s="18">
        <v>40</v>
      </c>
      <c r="F31" s="18" t="s">
        <v>153</v>
      </c>
      <c r="G31" s="18" t="s">
        <v>160</v>
      </c>
      <c r="H31" s="31">
        <f t="shared" si="21"/>
        <v>13.5</v>
      </c>
      <c r="I31" s="31">
        <f t="shared" si="22"/>
        <v>14</v>
      </c>
      <c r="J31" s="4">
        <f t="shared" si="5"/>
        <v>0.5</v>
      </c>
      <c r="K31" s="5">
        <v>0.48</v>
      </c>
      <c r="L31" s="31">
        <f t="shared" si="6"/>
        <v>0.24</v>
      </c>
      <c r="M31" s="31">
        <v>2.14</v>
      </c>
      <c r="N31" s="31">
        <v>31.3</v>
      </c>
      <c r="O31" s="31">
        <f t="shared" si="0"/>
        <v>0.24</v>
      </c>
      <c r="P31" s="31">
        <v>12</v>
      </c>
      <c r="Q31" s="31">
        <v>20</v>
      </c>
      <c r="R31" s="31">
        <v>0.42</v>
      </c>
      <c r="S31" s="31">
        <v>0.14000000000000001</v>
      </c>
      <c r="T31" s="86">
        <f t="shared" si="24"/>
        <v>28.000000000000004</v>
      </c>
      <c r="U31" s="31">
        <v>3</v>
      </c>
      <c r="V31" s="31"/>
      <c r="W31" s="31">
        <f t="shared" si="25"/>
        <v>3</v>
      </c>
      <c r="X31" s="31">
        <f t="shared" ref="X31:X94" si="29">+IF(R31=0,"",(R31*1000)/W31)</f>
        <v>140</v>
      </c>
      <c r="Y31" s="31">
        <f t="shared" si="7"/>
        <v>0.14000000000000001</v>
      </c>
      <c r="Z31" s="18">
        <v>0</v>
      </c>
      <c r="AA31" s="18" t="s">
        <v>96</v>
      </c>
      <c r="AB31" s="18" t="s">
        <v>333</v>
      </c>
      <c r="AC31" s="18" t="s">
        <v>335</v>
      </c>
      <c r="AD31" s="18">
        <v>20</v>
      </c>
      <c r="AE31" s="18">
        <v>12</v>
      </c>
      <c r="AF31" s="18" t="s">
        <v>34</v>
      </c>
      <c r="AG31" s="18" t="s">
        <v>34</v>
      </c>
      <c r="AH31" s="18" t="s">
        <v>34</v>
      </c>
      <c r="AI31" s="18" t="s">
        <v>66</v>
      </c>
      <c r="AJ31" s="18" t="s">
        <v>81</v>
      </c>
      <c r="AK31" s="18" t="s">
        <v>100</v>
      </c>
      <c r="AL31" s="18" t="s">
        <v>107</v>
      </c>
      <c r="AM31" s="18" t="s">
        <v>122</v>
      </c>
      <c r="AN31" s="18" t="s">
        <v>198</v>
      </c>
      <c r="AO31" s="18" t="s">
        <v>211</v>
      </c>
      <c r="AP31" s="18"/>
      <c r="AQ31" s="18">
        <f>+VLOOKUP(AI31,Leyenda!$B$30:$E$34,3,FALSE)</f>
        <v>1</v>
      </c>
      <c r="AR31" s="18">
        <f>+VLOOKUP('3. Blasting'!AJ31,Meteorizacion,3,FALSE)</f>
        <v>0</v>
      </c>
      <c r="AS31" s="18">
        <f>+VLOOKUP('3. Blasting'!AK31,Apertura,3,FALSE)</f>
        <v>0</v>
      </c>
      <c r="AT31" s="18">
        <f>+VLOOKUP('3. Blasting'!AL31,Leyenda!$B$55:$D$59,3,FALSE)</f>
        <v>3</v>
      </c>
      <c r="AU31" s="18">
        <f>+VLOOKUP('3. Blasting'!AM31,Relleno,3,FALSE)</f>
        <v>0</v>
      </c>
      <c r="AV31" s="18">
        <f t="shared" si="26"/>
        <v>4</v>
      </c>
      <c r="AW31" s="49">
        <f t="shared" si="8"/>
        <v>0</v>
      </c>
      <c r="AX31" s="49">
        <f>VLOOKUP(AF31,Leyenda!$B$4:$D$10,3,FALSE)</f>
        <v>0</v>
      </c>
      <c r="AY31" s="49">
        <f t="shared" si="2"/>
        <v>4</v>
      </c>
      <c r="AZ31" s="49">
        <f t="shared" si="9"/>
        <v>4</v>
      </c>
      <c r="BA31" s="49">
        <f>VLOOKUP(AN31,Leyenda!$B$70:$D$75,3,FALSE)</f>
        <v>15</v>
      </c>
      <c r="BB31" s="67">
        <f t="shared" si="10"/>
        <v>20</v>
      </c>
      <c r="BC31" s="67">
        <f>VLOOKUP(AF31,Leyenda!$B$4:$E$10,4,FALSE)</f>
        <v>0</v>
      </c>
      <c r="BD31" s="67">
        <f t="shared" si="11"/>
        <v>10</v>
      </c>
      <c r="BE31" s="67">
        <f t="shared" si="12"/>
        <v>6</v>
      </c>
      <c r="BF31" s="67">
        <f>+VLOOKUP('3. Blasting'!AK31,Leyenda!$B$47:$E$51,4,FALSE)</f>
        <v>0</v>
      </c>
      <c r="BG31" s="67">
        <f>+VLOOKUP('3. Blasting'!AL31,Leyenda!$B$55:$E$59,4,FALSE)</f>
        <v>3</v>
      </c>
      <c r="BH31" s="67">
        <f>+VLOOKUP('3. Blasting'!AM31,Leyenda!$B$63:$E$67,3,FALSE)</f>
        <v>0</v>
      </c>
      <c r="BI31" s="67">
        <f>+VLOOKUP('3. Blasting'!AJ31,Leyenda!$B$39:$E$43,4,FALSE)</f>
        <v>0</v>
      </c>
      <c r="BJ31" s="67">
        <f>+VLOOKUP('3. Blasting'!AI31,Leyenda!$B$30:$E$34,4,FALSE)</f>
        <v>1</v>
      </c>
      <c r="BK31" s="67">
        <f>VLOOKUP(AN31,Leyenda!$B$71:$E$75,4,FALSE)</f>
        <v>10</v>
      </c>
      <c r="BL31" s="125">
        <f t="shared" si="13"/>
        <v>30</v>
      </c>
      <c r="BM31" s="85">
        <f t="shared" si="14"/>
        <v>23</v>
      </c>
      <c r="BN31" s="18">
        <f t="shared" si="28"/>
        <v>0.97848328415121311</v>
      </c>
      <c r="BO31" s="18"/>
      <c r="BP31" s="6">
        <f t="shared" si="16"/>
        <v>20</v>
      </c>
      <c r="BQ31" s="6">
        <f t="shared" si="17"/>
        <v>20</v>
      </c>
      <c r="BR31" s="6">
        <v>20</v>
      </c>
      <c r="BS31" s="6">
        <f t="shared" si="18"/>
        <v>3.5</v>
      </c>
      <c r="BT31" s="6">
        <f t="shared" si="19"/>
        <v>1.5650000000000002</v>
      </c>
      <c r="BU31" s="6">
        <f t="shared" si="20"/>
        <v>32.532499999999999</v>
      </c>
      <c r="BV31" s="18">
        <f t="shared" si="3"/>
        <v>0.13013</v>
      </c>
      <c r="BW31" s="18">
        <f t="shared" si="4"/>
        <v>0.27847820000000001</v>
      </c>
    </row>
    <row r="32" spans="1:75" x14ac:dyDescent="0.25">
      <c r="A32" s="18" t="s">
        <v>6</v>
      </c>
      <c r="B32" s="18">
        <v>2024</v>
      </c>
      <c r="C32" s="18" t="s">
        <v>138</v>
      </c>
      <c r="D32" s="18" t="s">
        <v>10</v>
      </c>
      <c r="E32" s="18">
        <v>40</v>
      </c>
      <c r="F32" s="18" t="s">
        <v>153</v>
      </c>
      <c r="G32" s="18" t="s">
        <v>160</v>
      </c>
      <c r="H32" s="31">
        <f t="shared" si="21"/>
        <v>14</v>
      </c>
      <c r="I32" s="31">
        <f t="shared" si="22"/>
        <v>14.5</v>
      </c>
      <c r="J32" s="4">
        <f t="shared" si="5"/>
        <v>0.5</v>
      </c>
      <c r="K32" s="5">
        <v>0.9</v>
      </c>
      <c r="L32" s="31">
        <f t="shared" si="6"/>
        <v>0.45</v>
      </c>
      <c r="M32" s="31">
        <v>2.14</v>
      </c>
      <c r="N32" s="31">
        <v>31.3</v>
      </c>
      <c r="O32" s="31">
        <f t="shared" si="0"/>
        <v>0.45</v>
      </c>
      <c r="P32" s="31">
        <v>22.5</v>
      </c>
      <c r="Q32" s="31">
        <v>20</v>
      </c>
      <c r="R32" s="31">
        <v>0.42</v>
      </c>
      <c r="S32" s="31">
        <v>0.22</v>
      </c>
      <c r="T32" s="86">
        <f t="shared" si="24"/>
        <v>44</v>
      </c>
      <c r="U32" s="31">
        <v>6</v>
      </c>
      <c r="V32" s="31"/>
      <c r="W32" s="31">
        <f t="shared" si="25"/>
        <v>6</v>
      </c>
      <c r="X32" s="31">
        <f t="shared" si="29"/>
        <v>70</v>
      </c>
      <c r="Y32" s="31">
        <f t="shared" si="7"/>
        <v>7.0000000000000007E-2</v>
      </c>
      <c r="Z32" s="18">
        <v>0</v>
      </c>
      <c r="AA32" s="18" t="s">
        <v>92</v>
      </c>
      <c r="AB32" s="18" t="s">
        <v>333</v>
      </c>
      <c r="AC32" s="18" t="s">
        <v>335</v>
      </c>
      <c r="AD32" s="18">
        <v>20</v>
      </c>
      <c r="AE32" s="18">
        <v>22.5</v>
      </c>
      <c r="AF32" s="18" t="s">
        <v>34</v>
      </c>
      <c r="AG32" s="18" t="s">
        <v>24</v>
      </c>
      <c r="AH32" s="18" t="s">
        <v>24</v>
      </c>
      <c r="AI32" s="18" t="s">
        <v>62</v>
      </c>
      <c r="AJ32" s="18" t="s">
        <v>77</v>
      </c>
      <c r="AK32" s="18" t="s">
        <v>92</v>
      </c>
      <c r="AL32" s="18" t="s">
        <v>107</v>
      </c>
      <c r="AM32" s="18" t="s">
        <v>118</v>
      </c>
      <c r="AN32" s="18" t="s">
        <v>198</v>
      </c>
      <c r="AO32" s="18" t="s">
        <v>212</v>
      </c>
      <c r="AP32" s="18"/>
      <c r="AQ32" s="18">
        <f>+VLOOKUP(AI32,Leyenda!$B$30:$E$34,3,FALSE)</f>
        <v>4</v>
      </c>
      <c r="AR32" s="18">
        <f>+VLOOKUP('3. Blasting'!AJ32,Meteorizacion,3,FALSE)</f>
        <v>3</v>
      </c>
      <c r="AS32" s="18">
        <f>+VLOOKUP('3. Blasting'!AK32,Apertura,3,FALSE)</f>
        <v>3</v>
      </c>
      <c r="AT32" s="18">
        <f>+VLOOKUP('3. Blasting'!AL32,Leyenda!$B$55:$D$59,3,FALSE)</f>
        <v>3</v>
      </c>
      <c r="AU32" s="18">
        <f>+VLOOKUP('3. Blasting'!AM32,Relleno,3,FALSE)</f>
        <v>2</v>
      </c>
      <c r="AV32" s="18">
        <f t="shared" si="26"/>
        <v>15</v>
      </c>
      <c r="AW32" s="49">
        <f t="shared" si="8"/>
        <v>0</v>
      </c>
      <c r="AX32" s="49">
        <f>VLOOKUP(AF32,Leyenda!$B$4:$D$10,3,FALSE)</f>
        <v>0</v>
      </c>
      <c r="AY32" s="49">
        <f t="shared" si="2"/>
        <v>4</v>
      </c>
      <c r="AZ32" s="49">
        <f t="shared" si="9"/>
        <v>15</v>
      </c>
      <c r="BA32" s="49">
        <f>VLOOKUP(AN32,Leyenda!$B$70:$D$75,3,FALSE)</f>
        <v>15</v>
      </c>
      <c r="BB32" s="67">
        <f t="shared" si="10"/>
        <v>44.5</v>
      </c>
      <c r="BC32" s="67">
        <f>VLOOKUP(AF32,Leyenda!$B$4:$E$10,4,FALSE)</f>
        <v>0</v>
      </c>
      <c r="BD32" s="67">
        <f t="shared" si="11"/>
        <v>6</v>
      </c>
      <c r="BE32" s="67">
        <f t="shared" si="12"/>
        <v>9</v>
      </c>
      <c r="BF32" s="67">
        <f>+VLOOKUP('3. Blasting'!AK32,Leyenda!$B$47:$E$51,4,FALSE)</f>
        <v>3</v>
      </c>
      <c r="BG32" s="67">
        <f>+VLOOKUP('3. Blasting'!AL32,Leyenda!$B$55:$E$59,4,FALSE)</f>
        <v>3</v>
      </c>
      <c r="BH32" s="67">
        <f>+VLOOKUP('3. Blasting'!AM32,Leyenda!$B$63:$E$67,3,FALSE)</f>
        <v>2</v>
      </c>
      <c r="BI32" s="67">
        <f>+VLOOKUP('3. Blasting'!AJ32,Leyenda!$B$39:$E$43,4,FALSE)</f>
        <v>3</v>
      </c>
      <c r="BJ32" s="67">
        <f>+VLOOKUP('3. Blasting'!AI32,Leyenda!$B$30:$E$34,4,FALSE)</f>
        <v>4</v>
      </c>
      <c r="BK32" s="67">
        <f>VLOOKUP(AN32,Leyenda!$B$71:$E$75,4,FALSE)</f>
        <v>10</v>
      </c>
      <c r="BL32" s="125">
        <f t="shared" si="13"/>
        <v>40</v>
      </c>
      <c r="BM32" s="85">
        <f t="shared" si="14"/>
        <v>34</v>
      </c>
      <c r="BN32" s="18">
        <f t="shared" si="28"/>
        <v>0.97854773000598239</v>
      </c>
      <c r="BO32" s="18"/>
      <c r="BP32" s="6">
        <f t="shared" si="16"/>
        <v>20</v>
      </c>
      <c r="BQ32" s="6">
        <f t="shared" si="17"/>
        <v>10</v>
      </c>
      <c r="BR32" s="6">
        <v>20</v>
      </c>
      <c r="BS32" s="6">
        <f t="shared" si="18"/>
        <v>3.5</v>
      </c>
      <c r="BT32" s="6">
        <f t="shared" si="19"/>
        <v>1.5650000000000002</v>
      </c>
      <c r="BU32" s="6">
        <f t="shared" si="20"/>
        <v>27.532499999999999</v>
      </c>
      <c r="BV32" s="18">
        <f t="shared" si="3"/>
        <v>0.11012999999999999</v>
      </c>
      <c r="BW32" s="18">
        <f t="shared" si="4"/>
        <v>0.2356782</v>
      </c>
    </row>
    <row r="33" spans="1:87" x14ac:dyDescent="0.25">
      <c r="A33" s="18" t="s">
        <v>6</v>
      </c>
      <c r="B33" s="18">
        <v>2024</v>
      </c>
      <c r="C33" s="18" t="s">
        <v>138</v>
      </c>
      <c r="D33" s="18" t="s">
        <v>10</v>
      </c>
      <c r="E33" s="18">
        <v>40</v>
      </c>
      <c r="F33" s="18" t="s">
        <v>153</v>
      </c>
      <c r="G33" s="18" t="s">
        <v>161</v>
      </c>
      <c r="H33" s="31">
        <f t="shared" si="21"/>
        <v>14.5</v>
      </c>
      <c r="I33" s="31">
        <f t="shared" si="22"/>
        <v>15</v>
      </c>
      <c r="J33" s="4">
        <f t="shared" si="5"/>
        <v>0.5</v>
      </c>
      <c r="K33" s="5">
        <v>0.9</v>
      </c>
      <c r="L33" s="31">
        <f t="shared" si="6"/>
        <v>0.45</v>
      </c>
      <c r="M33" s="31">
        <v>2.14</v>
      </c>
      <c r="N33" s="31">
        <v>31.3</v>
      </c>
      <c r="O33" s="31">
        <f t="shared" si="0"/>
        <v>0.45</v>
      </c>
      <c r="P33" s="31">
        <v>22.5</v>
      </c>
      <c r="Q33" s="31">
        <v>20</v>
      </c>
      <c r="R33" s="31">
        <v>0.37</v>
      </c>
      <c r="S33" s="31">
        <v>0.2</v>
      </c>
      <c r="T33" s="86">
        <f t="shared" si="24"/>
        <v>40</v>
      </c>
      <c r="U33" s="31">
        <v>4</v>
      </c>
      <c r="V33" s="31"/>
      <c r="W33" s="31">
        <f t="shared" si="25"/>
        <v>4</v>
      </c>
      <c r="X33" s="31">
        <f t="shared" si="29"/>
        <v>92.5</v>
      </c>
      <c r="Y33" s="31">
        <f t="shared" si="7"/>
        <v>9.2499999999999999E-2</v>
      </c>
      <c r="Z33" s="18">
        <v>0</v>
      </c>
      <c r="AA33" s="18" t="s">
        <v>92</v>
      </c>
      <c r="AB33" s="18" t="s">
        <v>333</v>
      </c>
      <c r="AC33" s="18" t="s">
        <v>337</v>
      </c>
      <c r="AD33" s="18">
        <v>20</v>
      </c>
      <c r="AE33" s="18">
        <v>22.5</v>
      </c>
      <c r="AF33" s="18" t="s">
        <v>29</v>
      </c>
      <c r="AG33" s="18" t="s">
        <v>24</v>
      </c>
      <c r="AH33" s="18" t="s">
        <v>24</v>
      </c>
      <c r="AI33" s="18" t="s">
        <v>62</v>
      </c>
      <c r="AJ33" s="18" t="s">
        <v>77</v>
      </c>
      <c r="AK33" s="18" t="s">
        <v>92</v>
      </c>
      <c r="AL33" s="18" t="s">
        <v>107</v>
      </c>
      <c r="AM33" s="18" t="s">
        <v>118</v>
      </c>
      <c r="AN33" s="18" t="s">
        <v>198</v>
      </c>
      <c r="AO33" s="18" t="s">
        <v>212</v>
      </c>
      <c r="AP33" s="18"/>
      <c r="AQ33" s="18">
        <f>+VLOOKUP(AI33,Leyenda!$B$30:$E$34,3,FALSE)</f>
        <v>4</v>
      </c>
      <c r="AR33" s="18">
        <f>+VLOOKUP('3. Blasting'!AJ33,Meteorizacion,3,FALSE)</f>
        <v>3</v>
      </c>
      <c r="AS33" s="18">
        <f>+VLOOKUP('3. Blasting'!AK33,Apertura,3,FALSE)</f>
        <v>3</v>
      </c>
      <c r="AT33" s="18">
        <f>+VLOOKUP('3. Blasting'!AL33,Leyenda!$B$55:$D$59,3,FALSE)</f>
        <v>3</v>
      </c>
      <c r="AU33" s="18">
        <f>+VLOOKUP('3. Blasting'!AM33,Relleno,3,FALSE)</f>
        <v>2</v>
      </c>
      <c r="AV33" s="18">
        <f t="shared" si="26"/>
        <v>15</v>
      </c>
      <c r="AW33" s="49">
        <f t="shared" si="8"/>
        <v>0</v>
      </c>
      <c r="AX33" s="49">
        <f>VLOOKUP(AF33,Leyenda!$B$4:$D$10,3,FALSE)</f>
        <v>2</v>
      </c>
      <c r="AY33" s="49">
        <f t="shared" si="2"/>
        <v>4</v>
      </c>
      <c r="AZ33" s="49">
        <f t="shared" si="9"/>
        <v>15</v>
      </c>
      <c r="BA33" s="49">
        <f>VLOOKUP(AN33,Leyenda!$B$70:$D$75,3,FALSE)</f>
        <v>15</v>
      </c>
      <c r="BB33" s="67">
        <f t="shared" si="10"/>
        <v>42.5</v>
      </c>
      <c r="BC33" s="67">
        <f>VLOOKUP(AF33,Leyenda!$B$4:$E$10,4,FALSE)</f>
        <v>2</v>
      </c>
      <c r="BD33" s="67">
        <f t="shared" si="11"/>
        <v>8</v>
      </c>
      <c r="BE33" s="67">
        <f t="shared" si="12"/>
        <v>8</v>
      </c>
      <c r="BF33" s="67">
        <f>+VLOOKUP('3. Blasting'!AK33,Leyenda!$B$47:$E$51,4,FALSE)</f>
        <v>3</v>
      </c>
      <c r="BG33" s="67">
        <f>+VLOOKUP('3. Blasting'!AL33,Leyenda!$B$55:$E$59,4,FALSE)</f>
        <v>3</v>
      </c>
      <c r="BH33" s="67">
        <f>+VLOOKUP('3. Blasting'!AM33,Leyenda!$B$63:$E$67,3,FALSE)</f>
        <v>2</v>
      </c>
      <c r="BI33" s="67">
        <f>+VLOOKUP('3. Blasting'!AJ33,Leyenda!$B$39:$E$43,4,FALSE)</f>
        <v>3</v>
      </c>
      <c r="BJ33" s="67">
        <f>+VLOOKUP('3. Blasting'!AI33,Leyenda!$B$30:$E$34,4,FALSE)</f>
        <v>4</v>
      </c>
      <c r="BK33" s="67">
        <f>VLOOKUP(AN33,Leyenda!$B$71:$E$75,4,FALSE)</f>
        <v>10</v>
      </c>
      <c r="BL33" s="125">
        <f t="shared" si="13"/>
        <v>43</v>
      </c>
      <c r="BM33" s="85">
        <f t="shared" si="14"/>
        <v>36</v>
      </c>
      <c r="BN33" s="18">
        <f t="shared" si="28"/>
        <v>0.97866097464103974</v>
      </c>
      <c r="BO33" s="18"/>
      <c r="BP33" s="6">
        <f t="shared" si="16"/>
        <v>30</v>
      </c>
      <c r="BQ33" s="6">
        <f t="shared" si="17"/>
        <v>10</v>
      </c>
      <c r="BR33" s="6">
        <v>20</v>
      </c>
      <c r="BS33" s="6">
        <f t="shared" si="18"/>
        <v>3.5</v>
      </c>
      <c r="BT33" s="6">
        <f t="shared" si="19"/>
        <v>1.5650000000000002</v>
      </c>
      <c r="BU33" s="6">
        <f t="shared" si="20"/>
        <v>32.532499999999999</v>
      </c>
      <c r="BV33" s="18">
        <f t="shared" si="3"/>
        <v>0.13013</v>
      </c>
      <c r="BW33" s="18">
        <f t="shared" si="4"/>
        <v>0.27847820000000001</v>
      </c>
    </row>
    <row r="34" spans="1:87" x14ac:dyDescent="0.25">
      <c r="A34" s="18" t="s">
        <v>6</v>
      </c>
      <c r="B34" s="18">
        <v>2024</v>
      </c>
      <c r="C34" s="18" t="s">
        <v>138</v>
      </c>
      <c r="D34" s="18" t="s">
        <v>10</v>
      </c>
      <c r="E34" s="18">
        <v>40</v>
      </c>
      <c r="F34" s="18" t="s">
        <v>153</v>
      </c>
      <c r="G34" s="18" t="s">
        <v>161</v>
      </c>
      <c r="H34" s="31">
        <f t="shared" si="21"/>
        <v>15</v>
      </c>
      <c r="I34" s="31">
        <f t="shared" si="22"/>
        <v>15.5</v>
      </c>
      <c r="J34" s="4">
        <f t="shared" si="5"/>
        <v>0.5</v>
      </c>
      <c r="K34" s="5">
        <v>0.74</v>
      </c>
      <c r="L34" s="31">
        <f t="shared" si="6"/>
        <v>0.37</v>
      </c>
      <c r="M34" s="31">
        <v>2.14</v>
      </c>
      <c r="N34" s="31">
        <v>31.3</v>
      </c>
      <c r="O34" s="31">
        <f t="shared" si="0"/>
        <v>0.37</v>
      </c>
      <c r="P34" s="31">
        <v>18.5</v>
      </c>
      <c r="Q34" s="31">
        <v>20</v>
      </c>
      <c r="R34" s="31">
        <v>0.34</v>
      </c>
      <c r="S34" s="31">
        <v>0</v>
      </c>
      <c r="T34" s="86">
        <f t="shared" si="24"/>
        <v>0</v>
      </c>
      <c r="U34" s="31">
        <v>7</v>
      </c>
      <c r="V34" s="31"/>
      <c r="W34" s="31">
        <f t="shared" si="25"/>
        <v>7</v>
      </c>
      <c r="X34" s="31">
        <f t="shared" si="29"/>
        <v>48.571428571428569</v>
      </c>
      <c r="Y34" s="31">
        <f t="shared" si="7"/>
        <v>4.8571428571428571E-2</v>
      </c>
      <c r="Z34" s="18">
        <v>0</v>
      </c>
      <c r="AA34" s="18" t="s">
        <v>100</v>
      </c>
      <c r="AB34" s="18" t="s">
        <v>333</v>
      </c>
      <c r="AC34" s="18" t="s">
        <v>334</v>
      </c>
      <c r="AD34" s="18">
        <v>20</v>
      </c>
      <c r="AE34" s="18">
        <v>18.5</v>
      </c>
      <c r="AF34" s="18" t="s">
        <v>27</v>
      </c>
      <c r="AG34" s="18" t="s">
        <v>27</v>
      </c>
      <c r="AH34" s="18" t="s">
        <v>27</v>
      </c>
      <c r="AI34" s="18" t="s">
        <v>62</v>
      </c>
      <c r="AJ34" s="18" t="s">
        <v>77</v>
      </c>
      <c r="AK34" s="18" t="s">
        <v>96</v>
      </c>
      <c r="AL34" s="18" t="s">
        <v>109</v>
      </c>
      <c r="AM34" s="18" t="s">
        <v>120</v>
      </c>
      <c r="AN34" s="18" t="s">
        <v>198</v>
      </c>
      <c r="AO34" s="18" t="s">
        <v>213</v>
      </c>
      <c r="AP34" s="18"/>
      <c r="AQ34" s="18">
        <f>+VLOOKUP(AI34,Leyenda!$B$30:$E$34,3,FALSE)</f>
        <v>4</v>
      </c>
      <c r="AR34" s="18">
        <f>+VLOOKUP('3. Blasting'!AJ34,Meteorizacion,3,FALSE)</f>
        <v>3</v>
      </c>
      <c r="AS34" s="18">
        <f>+VLOOKUP('3. Blasting'!AK34,Apertura,3,FALSE)</f>
        <v>1</v>
      </c>
      <c r="AT34" s="18">
        <f>+VLOOKUP('3. Blasting'!AL34,Leyenda!$B$55:$D$59,3,FALSE)</f>
        <v>1</v>
      </c>
      <c r="AU34" s="18">
        <f>+VLOOKUP('3. Blasting'!AM34,Relleno,3,FALSE)</f>
        <v>2</v>
      </c>
      <c r="AV34" s="18">
        <f t="shared" si="26"/>
        <v>11</v>
      </c>
      <c r="AW34" s="49">
        <f t="shared" si="8"/>
        <v>0</v>
      </c>
      <c r="AX34" s="49">
        <f>VLOOKUP(AF34,Leyenda!$B$4:$D$10,3,FALSE)</f>
        <v>4</v>
      </c>
      <c r="AY34" s="49">
        <f t="shared" si="2"/>
        <v>4</v>
      </c>
      <c r="AZ34" s="49">
        <f t="shared" si="9"/>
        <v>11</v>
      </c>
      <c r="BA34" s="49">
        <f>VLOOKUP(AN34,Leyenda!$B$70:$D$75,3,FALSE)</f>
        <v>15</v>
      </c>
      <c r="BB34" s="67">
        <f t="shared" si="10"/>
        <v>16.5</v>
      </c>
      <c r="BC34" s="67">
        <f>VLOOKUP(AF34,Leyenda!$B$4:$E$10,4,FALSE)</f>
        <v>4</v>
      </c>
      <c r="BD34" s="67">
        <f t="shared" si="11"/>
        <v>5</v>
      </c>
      <c r="BE34" s="67">
        <f t="shared" si="12"/>
        <v>0</v>
      </c>
      <c r="BF34" s="67">
        <f>+VLOOKUP('3. Blasting'!AK34,Leyenda!$B$47:$E$51,4,FALSE)</f>
        <v>1</v>
      </c>
      <c r="BG34" s="67">
        <f>+VLOOKUP('3. Blasting'!AL34,Leyenda!$B$55:$E$59,4,FALSE)</f>
        <v>1</v>
      </c>
      <c r="BH34" s="67">
        <f>+VLOOKUP('3. Blasting'!AM34,Leyenda!$B$63:$E$67,3,FALSE)</f>
        <v>2</v>
      </c>
      <c r="BI34" s="67">
        <f>+VLOOKUP('3. Blasting'!AJ34,Leyenda!$B$39:$E$43,4,FALSE)</f>
        <v>3</v>
      </c>
      <c r="BJ34" s="67">
        <f>+VLOOKUP('3. Blasting'!AI34,Leyenda!$B$30:$E$34,4,FALSE)</f>
        <v>4</v>
      </c>
      <c r="BK34" s="67">
        <f>VLOOKUP(AN34,Leyenda!$B$71:$E$75,4,FALSE)</f>
        <v>10</v>
      </c>
      <c r="BL34" s="125">
        <f t="shared" si="13"/>
        <v>30</v>
      </c>
      <c r="BM34" s="85">
        <f t="shared" si="14"/>
        <v>34</v>
      </c>
      <c r="BN34" s="18">
        <f t="shared" si="28"/>
        <v>0.97864186940742337</v>
      </c>
      <c r="BO34" s="18"/>
      <c r="BP34" s="6">
        <f t="shared" si="16"/>
        <v>20</v>
      </c>
      <c r="BQ34" s="6">
        <f t="shared" si="17"/>
        <v>10</v>
      </c>
      <c r="BR34" s="6">
        <v>20</v>
      </c>
      <c r="BS34" s="6">
        <f t="shared" si="18"/>
        <v>3.5</v>
      </c>
      <c r="BT34" s="6">
        <f t="shared" si="19"/>
        <v>1.5650000000000002</v>
      </c>
      <c r="BU34" s="6">
        <f t="shared" si="20"/>
        <v>27.532499999999999</v>
      </c>
      <c r="BV34" s="18">
        <f t="shared" si="3"/>
        <v>0.11012999999999999</v>
      </c>
      <c r="BW34" s="18">
        <f t="shared" si="4"/>
        <v>0.2356782</v>
      </c>
    </row>
    <row r="35" spans="1:87" x14ac:dyDescent="0.25">
      <c r="A35" s="18" t="s">
        <v>6</v>
      </c>
      <c r="B35" s="18">
        <v>2024</v>
      </c>
      <c r="C35" s="18" t="s">
        <v>138</v>
      </c>
      <c r="D35" s="18" t="s">
        <v>10</v>
      </c>
      <c r="E35" s="18">
        <v>40</v>
      </c>
      <c r="F35" s="18" t="s">
        <v>153</v>
      </c>
      <c r="G35" s="18" t="s">
        <v>161</v>
      </c>
      <c r="H35" s="31">
        <f t="shared" si="21"/>
        <v>15.5</v>
      </c>
      <c r="I35" s="31">
        <f t="shared" si="22"/>
        <v>16</v>
      </c>
      <c r="J35" s="4">
        <f t="shared" si="5"/>
        <v>0.5</v>
      </c>
      <c r="K35" s="5">
        <v>0.7</v>
      </c>
      <c r="L35" s="31">
        <f t="shared" si="6"/>
        <v>0.35</v>
      </c>
      <c r="M35" s="31">
        <v>2.14</v>
      </c>
      <c r="N35" s="31">
        <v>31.3</v>
      </c>
      <c r="O35" s="31">
        <f t="shared" si="0"/>
        <v>0.35</v>
      </c>
      <c r="P35" s="31">
        <v>70</v>
      </c>
      <c r="Q35" s="31">
        <v>5</v>
      </c>
      <c r="R35" s="31">
        <v>0.49</v>
      </c>
      <c r="S35" s="31">
        <v>0.27</v>
      </c>
      <c r="T35" s="86">
        <f t="shared" si="24"/>
        <v>54</v>
      </c>
      <c r="U35" s="31">
        <v>6</v>
      </c>
      <c r="V35" s="31"/>
      <c r="W35" s="31">
        <f t="shared" si="25"/>
        <v>6</v>
      </c>
      <c r="X35" s="31">
        <f t="shared" si="29"/>
        <v>81.666666666666671</v>
      </c>
      <c r="Y35" s="31">
        <f t="shared" si="7"/>
        <v>8.1666666666666665E-2</v>
      </c>
      <c r="Z35" s="18">
        <v>54</v>
      </c>
      <c r="AA35" s="18" t="s">
        <v>96</v>
      </c>
      <c r="AB35" s="18" t="s">
        <v>118</v>
      </c>
      <c r="AC35" s="18" t="s">
        <v>337</v>
      </c>
      <c r="AD35" s="18">
        <v>5</v>
      </c>
      <c r="AE35" s="18">
        <v>70</v>
      </c>
      <c r="AF35" s="18" t="s">
        <v>29</v>
      </c>
      <c r="AG35" s="18" t="s">
        <v>196</v>
      </c>
      <c r="AH35" s="18" t="s">
        <v>196</v>
      </c>
      <c r="AI35" s="18" t="s">
        <v>62</v>
      </c>
      <c r="AJ35" s="18" t="s">
        <v>79</v>
      </c>
      <c r="AK35" s="18" t="s">
        <v>96</v>
      </c>
      <c r="AL35" s="18" t="s">
        <v>107</v>
      </c>
      <c r="AM35" s="18" t="s">
        <v>120</v>
      </c>
      <c r="AN35" s="18" t="s">
        <v>198</v>
      </c>
      <c r="AO35" s="18" t="s">
        <v>213</v>
      </c>
      <c r="AP35" s="18"/>
      <c r="AQ35" s="18">
        <f>+VLOOKUP(AI35,Leyenda!$B$30:$E$34,3,FALSE)</f>
        <v>4</v>
      </c>
      <c r="AR35" s="18">
        <f>+VLOOKUP('3. Blasting'!AJ35,Meteorizacion,3,FALSE)</f>
        <v>1</v>
      </c>
      <c r="AS35" s="18">
        <f>+VLOOKUP('3. Blasting'!AK35,Apertura,3,FALSE)</f>
        <v>1</v>
      </c>
      <c r="AT35" s="18">
        <f>+VLOOKUP('3. Blasting'!AL35,Leyenda!$B$55:$D$59,3,FALSE)</f>
        <v>3</v>
      </c>
      <c r="AU35" s="18">
        <f>+VLOOKUP('3. Blasting'!AM35,Relleno,3,FALSE)</f>
        <v>2</v>
      </c>
      <c r="AV35" s="18">
        <f t="shared" si="26"/>
        <v>11</v>
      </c>
      <c r="AW35" s="49">
        <f t="shared" si="8"/>
        <v>11</v>
      </c>
      <c r="AX35" s="49">
        <f>VLOOKUP(AF35,Leyenda!$B$4:$D$10,3,FALSE)</f>
        <v>2</v>
      </c>
      <c r="AY35" s="49">
        <f t="shared" si="2"/>
        <v>6</v>
      </c>
      <c r="AZ35" s="49">
        <f t="shared" si="9"/>
        <v>11</v>
      </c>
      <c r="BA35" s="49">
        <f>VLOOKUP(AN35,Leyenda!$B$70:$D$75,3,FALSE)</f>
        <v>15</v>
      </c>
      <c r="BB35" s="67">
        <f t="shared" si="10"/>
        <v>43.5</v>
      </c>
      <c r="BC35" s="67">
        <f>VLOOKUP(AF35,Leyenda!$B$4:$E$10,4,FALSE)</f>
        <v>2</v>
      </c>
      <c r="BD35" s="67">
        <f t="shared" si="11"/>
        <v>7</v>
      </c>
      <c r="BE35" s="67">
        <f t="shared" si="12"/>
        <v>11</v>
      </c>
      <c r="BF35" s="67">
        <f>+VLOOKUP('3. Blasting'!AK35,Leyenda!$B$47:$E$51,4,FALSE)</f>
        <v>1</v>
      </c>
      <c r="BG35" s="67">
        <f>+VLOOKUP('3. Blasting'!AL35,Leyenda!$B$55:$E$59,4,FALSE)</f>
        <v>3</v>
      </c>
      <c r="BH35" s="67">
        <f>+VLOOKUP('3. Blasting'!AM35,Leyenda!$B$63:$E$67,3,FALSE)</f>
        <v>2</v>
      </c>
      <c r="BI35" s="67">
        <f>+VLOOKUP('3. Blasting'!AJ35,Leyenda!$B$39:$E$43,4,FALSE)</f>
        <v>1</v>
      </c>
      <c r="BJ35" s="67">
        <f>+VLOOKUP('3. Blasting'!AI35,Leyenda!$B$30:$E$34,4,FALSE)</f>
        <v>4</v>
      </c>
      <c r="BK35" s="67">
        <f>VLOOKUP(AN35,Leyenda!$B$71:$E$75,4,FALSE)</f>
        <v>10</v>
      </c>
      <c r="BL35" s="125">
        <f t="shared" si="13"/>
        <v>41</v>
      </c>
      <c r="BM35" s="85">
        <f t="shared" si="14"/>
        <v>45</v>
      </c>
      <c r="BN35" s="18">
        <f t="shared" si="28"/>
        <v>0.97878230066230265</v>
      </c>
      <c r="BO35" s="18"/>
      <c r="BP35" s="6">
        <f t="shared" si="16"/>
        <v>20</v>
      </c>
      <c r="BQ35" s="6">
        <f t="shared" si="17"/>
        <v>10</v>
      </c>
      <c r="BR35" s="6">
        <v>20</v>
      </c>
      <c r="BS35" s="6">
        <f t="shared" si="18"/>
        <v>3.5</v>
      </c>
      <c r="BT35" s="6">
        <f t="shared" si="19"/>
        <v>1.5650000000000002</v>
      </c>
      <c r="BU35" s="6">
        <f t="shared" si="20"/>
        <v>27.532499999999999</v>
      </c>
      <c r="BV35" s="18">
        <f t="shared" si="3"/>
        <v>0.11012999999999999</v>
      </c>
      <c r="BW35" s="18">
        <f t="shared" si="4"/>
        <v>0.2356782</v>
      </c>
    </row>
    <row r="36" spans="1:87" x14ac:dyDescent="0.25">
      <c r="A36" s="18" t="s">
        <v>6</v>
      </c>
      <c r="B36" s="18">
        <v>2024</v>
      </c>
      <c r="C36" s="18" t="s">
        <v>138</v>
      </c>
      <c r="D36" s="18" t="s">
        <v>10</v>
      </c>
      <c r="E36" s="18">
        <v>40</v>
      </c>
      <c r="F36" s="18" t="s">
        <v>153</v>
      </c>
      <c r="G36" s="18" t="s">
        <v>161</v>
      </c>
      <c r="H36" s="31">
        <f t="shared" si="21"/>
        <v>16</v>
      </c>
      <c r="I36" s="31">
        <f t="shared" si="22"/>
        <v>16.5</v>
      </c>
      <c r="J36" s="4">
        <f t="shared" si="5"/>
        <v>0.5</v>
      </c>
      <c r="K36" s="5">
        <v>1</v>
      </c>
      <c r="L36" s="31">
        <f t="shared" si="6"/>
        <v>0.5</v>
      </c>
      <c r="M36" s="31">
        <v>2.14</v>
      </c>
      <c r="N36" s="31">
        <v>31.3</v>
      </c>
      <c r="O36" s="31">
        <f t="shared" si="0"/>
        <v>0.5</v>
      </c>
      <c r="P36" s="31">
        <v>25</v>
      </c>
      <c r="Q36" s="31">
        <v>20</v>
      </c>
      <c r="R36" s="31">
        <v>0.28000000000000003</v>
      </c>
      <c r="S36" s="31">
        <v>0.12</v>
      </c>
      <c r="T36" s="86">
        <f t="shared" si="24"/>
        <v>24</v>
      </c>
      <c r="U36" s="31">
        <v>3</v>
      </c>
      <c r="V36" s="31"/>
      <c r="W36" s="31">
        <f t="shared" si="25"/>
        <v>3</v>
      </c>
      <c r="X36" s="31">
        <f t="shared" si="29"/>
        <v>93.333333333333329</v>
      </c>
      <c r="Y36" s="31">
        <f t="shared" si="7"/>
        <v>9.3333333333333324E-2</v>
      </c>
      <c r="Z36" s="18">
        <v>0</v>
      </c>
      <c r="AA36" s="18" t="s">
        <v>96</v>
      </c>
      <c r="AB36" s="18" t="s">
        <v>333</v>
      </c>
      <c r="AC36" s="18" t="s">
        <v>337</v>
      </c>
      <c r="AD36" s="18">
        <v>20</v>
      </c>
      <c r="AE36" s="18">
        <v>25</v>
      </c>
      <c r="AF36" s="18" t="s">
        <v>29</v>
      </c>
      <c r="AG36" s="18" t="s">
        <v>24</v>
      </c>
      <c r="AH36" s="18" t="s">
        <v>24</v>
      </c>
      <c r="AI36" s="18" t="s">
        <v>66</v>
      </c>
      <c r="AJ36" s="18" t="s">
        <v>79</v>
      </c>
      <c r="AK36" s="18" t="s">
        <v>96</v>
      </c>
      <c r="AL36" s="18" t="s">
        <v>107</v>
      </c>
      <c r="AM36" s="18" t="s">
        <v>120</v>
      </c>
      <c r="AN36" s="18" t="s">
        <v>198</v>
      </c>
      <c r="AO36" s="18" t="s">
        <v>215</v>
      </c>
      <c r="AP36" s="18"/>
      <c r="AQ36" s="18">
        <f>+VLOOKUP(AI36,Leyenda!$B$30:$E$34,3,FALSE)</f>
        <v>1</v>
      </c>
      <c r="AR36" s="18">
        <f>+VLOOKUP('3. Blasting'!AJ36,Meteorizacion,3,FALSE)</f>
        <v>1</v>
      </c>
      <c r="AS36" s="18">
        <f>+VLOOKUP('3. Blasting'!AK36,Apertura,3,FALSE)</f>
        <v>1</v>
      </c>
      <c r="AT36" s="18">
        <f>+VLOOKUP('3. Blasting'!AL36,Leyenda!$B$55:$D$59,3,FALSE)</f>
        <v>3</v>
      </c>
      <c r="AU36" s="18">
        <f>+VLOOKUP('3. Blasting'!AM36,Relleno,3,FALSE)</f>
        <v>2</v>
      </c>
      <c r="AV36" s="18">
        <f t="shared" si="26"/>
        <v>8</v>
      </c>
      <c r="AW36" s="49">
        <f t="shared" si="8"/>
        <v>0</v>
      </c>
      <c r="AX36" s="49">
        <f>VLOOKUP(AF36,Leyenda!$B$4:$D$10,3,FALSE)</f>
        <v>2</v>
      </c>
      <c r="AY36" s="49">
        <f t="shared" si="2"/>
        <v>5</v>
      </c>
      <c r="AZ36" s="49">
        <f t="shared" si="9"/>
        <v>8</v>
      </c>
      <c r="BA36" s="49">
        <f>VLOOKUP(AN36,Leyenda!$B$70:$D$75,3,FALSE)</f>
        <v>15</v>
      </c>
      <c r="BB36" s="67">
        <f t="shared" si="10"/>
        <v>24</v>
      </c>
      <c r="BC36" s="67">
        <f>VLOOKUP(AF36,Leyenda!$B$4:$E$10,4,FALSE)</f>
        <v>2</v>
      </c>
      <c r="BD36" s="67">
        <f t="shared" si="11"/>
        <v>8</v>
      </c>
      <c r="BE36" s="67">
        <f t="shared" si="12"/>
        <v>5</v>
      </c>
      <c r="BF36" s="67">
        <f>+VLOOKUP('3. Blasting'!AK36,Leyenda!$B$47:$E$51,4,FALSE)</f>
        <v>1</v>
      </c>
      <c r="BG36" s="67">
        <f>+VLOOKUP('3. Blasting'!AL36,Leyenda!$B$55:$E$59,4,FALSE)</f>
        <v>3</v>
      </c>
      <c r="BH36" s="67">
        <f>+VLOOKUP('3. Blasting'!AM36,Leyenda!$B$63:$E$67,3,FALSE)</f>
        <v>2</v>
      </c>
      <c r="BI36" s="67">
        <f>+VLOOKUP('3. Blasting'!AJ36,Leyenda!$B$39:$E$43,4,FALSE)</f>
        <v>1</v>
      </c>
      <c r="BJ36" s="67">
        <f>+VLOOKUP('3. Blasting'!AI36,Leyenda!$B$30:$E$34,4,FALSE)</f>
        <v>1</v>
      </c>
      <c r="BK36" s="67">
        <f>VLOOKUP(AN36,Leyenda!$B$71:$E$75,4,FALSE)</f>
        <v>10</v>
      </c>
      <c r="BL36" s="125">
        <f t="shared" si="13"/>
        <v>33</v>
      </c>
      <c r="BM36" s="85">
        <f t="shared" si="14"/>
        <v>30</v>
      </c>
      <c r="BN36" s="18">
        <f t="shared" si="28"/>
        <v>0.978965441691522</v>
      </c>
      <c r="BO36" s="18"/>
      <c r="BP36" s="6">
        <f t="shared" si="16"/>
        <v>20</v>
      </c>
      <c r="BQ36" s="6">
        <f t="shared" si="17"/>
        <v>10</v>
      </c>
      <c r="BR36" s="6">
        <v>20</v>
      </c>
      <c r="BS36" s="6">
        <f t="shared" si="18"/>
        <v>3.5</v>
      </c>
      <c r="BT36" s="6">
        <f t="shared" si="19"/>
        <v>1.5650000000000002</v>
      </c>
      <c r="BU36" s="6">
        <f t="shared" si="20"/>
        <v>27.532499999999999</v>
      </c>
      <c r="BV36" s="18">
        <f t="shared" si="3"/>
        <v>0.11012999999999999</v>
      </c>
      <c r="BW36" s="18">
        <f t="shared" si="4"/>
        <v>0.2356782</v>
      </c>
    </row>
    <row r="37" spans="1:87" x14ac:dyDescent="0.25">
      <c r="A37" s="18" t="s">
        <v>6</v>
      </c>
      <c r="B37" s="18">
        <v>2024</v>
      </c>
      <c r="C37" s="18" t="s">
        <v>138</v>
      </c>
      <c r="D37" s="18" t="s">
        <v>10</v>
      </c>
      <c r="E37" s="18">
        <v>40</v>
      </c>
      <c r="F37" s="18" t="s">
        <v>153</v>
      </c>
      <c r="G37" s="18" t="s">
        <v>161</v>
      </c>
      <c r="H37" s="31">
        <f t="shared" si="21"/>
        <v>16.5</v>
      </c>
      <c r="I37" s="31">
        <f t="shared" si="22"/>
        <v>17</v>
      </c>
      <c r="J37" s="4">
        <f t="shared" si="5"/>
        <v>0.5</v>
      </c>
      <c r="K37" s="5">
        <v>0.62</v>
      </c>
      <c r="L37" s="31">
        <f t="shared" si="6"/>
        <v>0.31</v>
      </c>
      <c r="M37" s="31">
        <v>2.14</v>
      </c>
      <c r="N37" s="31">
        <v>31.3</v>
      </c>
      <c r="O37" s="31">
        <f t="shared" si="0"/>
        <v>0.31</v>
      </c>
      <c r="P37" s="31">
        <v>15.5</v>
      </c>
      <c r="Q37" s="31">
        <v>20</v>
      </c>
      <c r="R37" s="31">
        <v>0.33</v>
      </c>
      <c r="S37" s="31">
        <v>0</v>
      </c>
      <c r="T37" s="86">
        <f t="shared" si="24"/>
        <v>0</v>
      </c>
      <c r="U37" s="31">
        <v>6</v>
      </c>
      <c r="V37" s="31"/>
      <c r="W37" s="31">
        <f t="shared" si="25"/>
        <v>6</v>
      </c>
      <c r="X37" s="31">
        <f t="shared" si="29"/>
        <v>55</v>
      </c>
      <c r="Y37" s="31">
        <f t="shared" si="7"/>
        <v>5.5E-2</v>
      </c>
      <c r="Z37" s="18">
        <v>0</v>
      </c>
      <c r="AA37" s="18" t="s">
        <v>96</v>
      </c>
      <c r="AB37" s="18" t="s">
        <v>333</v>
      </c>
      <c r="AC37" s="18" t="s">
        <v>337</v>
      </c>
      <c r="AD37" s="18">
        <v>20</v>
      </c>
      <c r="AE37" s="18">
        <v>15.5</v>
      </c>
      <c r="AF37" s="18" t="s">
        <v>29</v>
      </c>
      <c r="AG37" s="18" t="s">
        <v>199</v>
      </c>
      <c r="AH37" s="18" t="s">
        <v>199</v>
      </c>
      <c r="AI37" s="18" t="s">
        <v>66</v>
      </c>
      <c r="AJ37" s="18" t="s">
        <v>79</v>
      </c>
      <c r="AK37" s="18" t="s">
        <v>100</v>
      </c>
      <c r="AL37" s="18" t="s">
        <v>107</v>
      </c>
      <c r="AM37" s="18" t="s">
        <v>120</v>
      </c>
      <c r="AN37" s="18" t="s">
        <v>198</v>
      </c>
      <c r="AO37" s="18"/>
      <c r="AP37" s="18"/>
      <c r="AQ37" s="18">
        <f>+VLOOKUP(AI37,Leyenda!$B$30:$E$34,3,FALSE)</f>
        <v>1</v>
      </c>
      <c r="AR37" s="18">
        <f>+VLOOKUP('3. Blasting'!AJ37,Meteorizacion,3,FALSE)</f>
        <v>1</v>
      </c>
      <c r="AS37" s="18">
        <f>+VLOOKUP('3. Blasting'!AK37,Apertura,3,FALSE)</f>
        <v>0</v>
      </c>
      <c r="AT37" s="18">
        <f>+VLOOKUP('3. Blasting'!AL37,Leyenda!$B$55:$D$59,3,FALSE)</f>
        <v>3</v>
      </c>
      <c r="AU37" s="18">
        <f>+VLOOKUP('3. Blasting'!AM37,Relleno,3,FALSE)</f>
        <v>2</v>
      </c>
      <c r="AV37" s="18">
        <f t="shared" si="26"/>
        <v>7</v>
      </c>
      <c r="AW37" s="49">
        <f t="shared" si="8"/>
        <v>0</v>
      </c>
      <c r="AX37" s="49">
        <f>VLOOKUP(AF37,Leyenda!$B$4:$D$10,3,FALSE)</f>
        <v>2</v>
      </c>
      <c r="AY37" s="49">
        <f t="shared" si="2"/>
        <v>4</v>
      </c>
      <c r="AZ37" s="49">
        <f t="shared" si="9"/>
        <v>7</v>
      </c>
      <c r="BA37" s="49">
        <f>VLOOKUP(AN37,Leyenda!$B$70:$D$75,3,FALSE)</f>
        <v>15</v>
      </c>
      <c r="BB37" s="67">
        <f t="shared" si="10"/>
        <v>10.5</v>
      </c>
      <c r="BC37" s="67">
        <f>VLOOKUP(AF37,Leyenda!$B$4:$E$10,4,FALSE)</f>
        <v>2</v>
      </c>
      <c r="BD37" s="67">
        <f t="shared" si="11"/>
        <v>5</v>
      </c>
      <c r="BE37" s="67">
        <f t="shared" si="12"/>
        <v>0</v>
      </c>
      <c r="BF37" s="67">
        <f>+VLOOKUP('3. Blasting'!AK37,Leyenda!$B$47:$E$51,4,FALSE)</f>
        <v>0</v>
      </c>
      <c r="BG37" s="67">
        <f>+VLOOKUP('3. Blasting'!AL37,Leyenda!$B$55:$E$59,4,FALSE)</f>
        <v>3</v>
      </c>
      <c r="BH37" s="67">
        <f>+VLOOKUP('3. Blasting'!AM37,Leyenda!$B$63:$E$67,3,FALSE)</f>
        <v>2</v>
      </c>
      <c r="BI37" s="67">
        <f>+VLOOKUP('3. Blasting'!AJ37,Leyenda!$B$39:$E$43,4,FALSE)</f>
        <v>1</v>
      </c>
      <c r="BJ37" s="67">
        <f>+VLOOKUP('3. Blasting'!AI37,Leyenda!$B$30:$E$34,4,FALSE)</f>
        <v>1</v>
      </c>
      <c r="BK37" s="67">
        <f>VLOOKUP(AN37,Leyenda!$B$71:$E$75,4,FALSE)</f>
        <v>10</v>
      </c>
      <c r="BL37" s="125">
        <f t="shared" si="13"/>
        <v>24</v>
      </c>
      <c r="BM37" s="85">
        <f t="shared" si="14"/>
        <v>28</v>
      </c>
      <c r="BN37" s="18">
        <f t="shared" si="28"/>
        <v>0.97902135330183704</v>
      </c>
      <c r="BO37" s="18"/>
      <c r="BP37" s="6">
        <f t="shared" si="16"/>
        <v>10</v>
      </c>
      <c r="BQ37" s="6">
        <f t="shared" si="17"/>
        <v>10</v>
      </c>
      <c r="BR37" s="6">
        <v>20</v>
      </c>
      <c r="BS37" s="6">
        <f t="shared" si="18"/>
        <v>3.5</v>
      </c>
      <c r="BT37" s="6">
        <f t="shared" si="19"/>
        <v>1.5650000000000002</v>
      </c>
      <c r="BU37" s="6">
        <f t="shared" si="20"/>
        <v>22.532499999999999</v>
      </c>
      <c r="BV37" s="18">
        <f t="shared" si="3"/>
        <v>9.0130000000000002E-2</v>
      </c>
      <c r="BW37" s="18">
        <f t="shared" si="4"/>
        <v>0.19287820000000003</v>
      </c>
      <c r="CI37" t="e" vm="1">
        <v>#VALUE!</v>
      </c>
    </row>
    <row r="38" spans="1:87" x14ac:dyDescent="0.25">
      <c r="A38" s="18" t="s">
        <v>6</v>
      </c>
      <c r="B38" s="18">
        <v>2024</v>
      </c>
      <c r="C38" s="18" t="s">
        <v>138</v>
      </c>
      <c r="D38" s="18" t="s">
        <v>10</v>
      </c>
      <c r="E38" s="18">
        <v>40</v>
      </c>
      <c r="F38" s="18" t="s">
        <v>153</v>
      </c>
      <c r="G38" s="18" t="s">
        <v>161</v>
      </c>
      <c r="H38" s="31">
        <f t="shared" si="21"/>
        <v>17</v>
      </c>
      <c r="I38" s="31">
        <f t="shared" si="22"/>
        <v>17.5</v>
      </c>
      <c r="J38" s="4">
        <f t="shared" si="5"/>
        <v>0.5</v>
      </c>
      <c r="K38" s="5">
        <v>0.64</v>
      </c>
      <c r="L38" s="31">
        <f t="shared" si="6"/>
        <v>0.32</v>
      </c>
      <c r="M38" s="31">
        <v>2.14</v>
      </c>
      <c r="N38" s="31">
        <v>31.3</v>
      </c>
      <c r="O38" s="31">
        <f t="shared" si="0"/>
        <v>0.32</v>
      </c>
      <c r="P38" s="31">
        <v>32</v>
      </c>
      <c r="Q38" s="31">
        <v>10</v>
      </c>
      <c r="R38" s="31">
        <v>0.19</v>
      </c>
      <c r="S38" s="31">
        <v>0</v>
      </c>
      <c r="T38" s="86">
        <f t="shared" si="24"/>
        <v>0</v>
      </c>
      <c r="U38" s="31">
        <v>10</v>
      </c>
      <c r="V38" s="31"/>
      <c r="W38" s="31">
        <f t="shared" si="25"/>
        <v>10</v>
      </c>
      <c r="X38" s="31">
        <f t="shared" si="29"/>
        <v>19</v>
      </c>
      <c r="Y38" s="31">
        <f t="shared" si="7"/>
        <v>1.9E-2</v>
      </c>
      <c r="Z38" s="18">
        <v>0</v>
      </c>
      <c r="AA38" s="18" t="s">
        <v>96</v>
      </c>
      <c r="AB38" s="18" t="s">
        <v>120</v>
      </c>
      <c r="AC38" s="18" t="s">
        <v>337</v>
      </c>
      <c r="AD38" s="18">
        <v>10</v>
      </c>
      <c r="AE38" s="18">
        <v>32</v>
      </c>
      <c r="AF38" s="18" t="s">
        <v>29</v>
      </c>
      <c r="AG38" s="18" t="s">
        <v>196</v>
      </c>
      <c r="AH38" s="18" t="s">
        <v>196</v>
      </c>
      <c r="AI38" s="18" t="s">
        <v>69</v>
      </c>
      <c r="AJ38" s="18" t="s">
        <v>79</v>
      </c>
      <c r="AK38" s="18" t="s">
        <v>100</v>
      </c>
      <c r="AL38" s="18" t="s">
        <v>107</v>
      </c>
      <c r="AM38" s="18" t="s">
        <v>120</v>
      </c>
      <c r="AN38" s="18" t="s">
        <v>198</v>
      </c>
      <c r="AO38" s="18" t="s">
        <v>214</v>
      </c>
      <c r="AP38" s="18"/>
      <c r="AQ38" s="18">
        <f>+VLOOKUP(AI38,Leyenda!$B$30:$E$34,3,FALSE)</f>
        <v>0</v>
      </c>
      <c r="AR38" s="18">
        <f>+VLOOKUP('3. Blasting'!AJ38,Meteorizacion,3,FALSE)</f>
        <v>1</v>
      </c>
      <c r="AS38" s="18">
        <f>+VLOOKUP('3. Blasting'!AK38,Apertura,3,FALSE)</f>
        <v>0</v>
      </c>
      <c r="AT38" s="18">
        <f>+VLOOKUP('3. Blasting'!AL38,Leyenda!$B$55:$D$59,3,FALSE)</f>
        <v>3</v>
      </c>
      <c r="AU38" s="18">
        <f>+VLOOKUP('3. Blasting'!AM38,Relleno,3,FALSE)</f>
        <v>2</v>
      </c>
      <c r="AV38" s="18">
        <f t="shared" si="26"/>
        <v>6</v>
      </c>
      <c r="AW38" s="49">
        <f t="shared" si="8"/>
        <v>0</v>
      </c>
      <c r="AX38" s="49">
        <f>VLOOKUP(AF38,Leyenda!$B$4:$D$10,3,FALSE)</f>
        <v>2</v>
      </c>
      <c r="AY38" s="49">
        <f t="shared" si="2"/>
        <v>5</v>
      </c>
      <c r="AZ38" s="49">
        <f t="shared" si="9"/>
        <v>6</v>
      </c>
      <c r="BA38" s="49">
        <f>VLOOKUP(AN38,Leyenda!$B$70:$D$75,3,FALSE)</f>
        <v>15</v>
      </c>
      <c r="BB38" s="67">
        <f t="shared" si="10"/>
        <v>9</v>
      </c>
      <c r="BC38" s="67">
        <f>VLOOKUP(AF38,Leyenda!$B$4:$E$10,4,FALSE)</f>
        <v>2</v>
      </c>
      <c r="BD38" s="67">
        <f t="shared" si="11"/>
        <v>5</v>
      </c>
      <c r="BE38" s="67">
        <f t="shared" si="12"/>
        <v>0</v>
      </c>
      <c r="BF38" s="67">
        <f>+VLOOKUP('3. Blasting'!AK38,Leyenda!$B$47:$E$51,4,FALSE)</f>
        <v>0</v>
      </c>
      <c r="BG38" s="67">
        <f>+VLOOKUP('3. Blasting'!AL38,Leyenda!$B$55:$E$59,4,FALSE)</f>
        <v>3</v>
      </c>
      <c r="BH38" s="67">
        <f>+VLOOKUP('3. Blasting'!AM38,Leyenda!$B$63:$E$67,3,FALSE)</f>
        <v>2</v>
      </c>
      <c r="BI38" s="67">
        <f>+VLOOKUP('3. Blasting'!AJ38,Leyenda!$B$39:$E$43,4,FALSE)</f>
        <v>1</v>
      </c>
      <c r="BJ38" s="67">
        <f>+VLOOKUP('3. Blasting'!AI38,Leyenda!$B$30:$E$34,4,FALSE)</f>
        <v>0</v>
      </c>
      <c r="BK38" s="67">
        <f>VLOOKUP(AN38,Leyenda!$B$71:$E$75,4,FALSE)</f>
        <v>10</v>
      </c>
      <c r="BL38" s="125">
        <f t="shared" si="13"/>
        <v>23</v>
      </c>
      <c r="BM38" s="85">
        <f t="shared" si="14"/>
        <v>28</v>
      </c>
      <c r="BN38" s="18">
        <f t="shared" si="28"/>
        <v>0.97907732442325279</v>
      </c>
      <c r="BO38" s="18"/>
      <c r="BP38" s="6">
        <f t="shared" si="16"/>
        <v>10</v>
      </c>
      <c r="BQ38" s="6">
        <f t="shared" si="17"/>
        <v>10</v>
      </c>
      <c r="BR38" s="6">
        <v>20</v>
      </c>
      <c r="BS38" s="6">
        <f t="shared" si="18"/>
        <v>3.5</v>
      </c>
      <c r="BT38" s="6">
        <f t="shared" si="19"/>
        <v>1.5650000000000002</v>
      </c>
      <c r="BU38" s="6">
        <f t="shared" si="20"/>
        <v>22.532499999999999</v>
      </c>
      <c r="BV38" s="18">
        <f t="shared" si="3"/>
        <v>9.0130000000000002E-2</v>
      </c>
      <c r="BW38" s="18">
        <f t="shared" si="4"/>
        <v>0.19287820000000003</v>
      </c>
    </row>
    <row r="39" spans="1:87" hidden="1" x14ac:dyDescent="0.25">
      <c r="A39" s="18" t="s">
        <v>6</v>
      </c>
      <c r="B39" s="18">
        <v>2024</v>
      </c>
      <c r="C39" s="18" t="s">
        <v>138</v>
      </c>
      <c r="D39" s="18" t="s">
        <v>10</v>
      </c>
      <c r="E39" s="18">
        <v>30</v>
      </c>
      <c r="F39" s="18" t="s">
        <v>152</v>
      </c>
      <c r="G39" s="18" t="s">
        <v>161</v>
      </c>
      <c r="H39" s="31">
        <f t="shared" si="21"/>
        <v>17.5</v>
      </c>
      <c r="I39" s="31">
        <f t="shared" si="22"/>
        <v>18</v>
      </c>
      <c r="J39" s="4">
        <f t="shared" si="5"/>
        <v>0.5</v>
      </c>
      <c r="K39" s="5">
        <v>0.42</v>
      </c>
      <c r="L39" s="31">
        <f t="shared" si="6"/>
        <v>0.21</v>
      </c>
      <c r="M39" s="105">
        <v>1.9</v>
      </c>
      <c r="N39" s="31">
        <v>10.5</v>
      </c>
      <c r="O39" s="31">
        <f t="shared" si="0"/>
        <v>0.21</v>
      </c>
      <c r="P39" s="31">
        <v>10.5</v>
      </c>
      <c r="Q39" s="31">
        <v>20</v>
      </c>
      <c r="R39" s="31">
        <v>0.31</v>
      </c>
      <c r="S39" s="31">
        <v>0</v>
      </c>
      <c r="T39" s="86">
        <f t="shared" si="24"/>
        <v>0</v>
      </c>
      <c r="U39" s="31">
        <v>6</v>
      </c>
      <c r="V39" s="31"/>
      <c r="W39" s="31">
        <f t="shared" si="25"/>
        <v>6</v>
      </c>
      <c r="X39" s="31">
        <f>+IF(R39=0,"",(R39*1000)/W39)</f>
        <v>51.666666666666664</v>
      </c>
      <c r="Y39" s="31">
        <f t="shared" si="7"/>
        <v>5.1666666666666666E-2</v>
      </c>
      <c r="Z39" s="18">
        <v>0</v>
      </c>
      <c r="AA39" s="18" t="s">
        <v>96</v>
      </c>
      <c r="AB39" s="18" t="s">
        <v>333</v>
      </c>
      <c r="AC39" s="18" t="s">
        <v>337</v>
      </c>
      <c r="AD39" s="18">
        <v>20</v>
      </c>
      <c r="AE39" s="18">
        <v>10.5</v>
      </c>
      <c r="AF39" s="18" t="s">
        <v>29</v>
      </c>
      <c r="AG39" s="18" t="s">
        <v>196</v>
      </c>
      <c r="AH39" s="18" t="s">
        <v>196</v>
      </c>
      <c r="AI39" s="18" t="s">
        <v>69</v>
      </c>
      <c r="AJ39" s="18" t="s">
        <v>79</v>
      </c>
      <c r="AK39" s="18" t="s">
        <v>100</v>
      </c>
      <c r="AL39" s="18" t="s">
        <v>107</v>
      </c>
      <c r="AM39" s="18" t="s">
        <v>120</v>
      </c>
      <c r="AN39" s="18" t="s">
        <v>198</v>
      </c>
      <c r="AO39" s="18"/>
      <c r="AP39" s="18"/>
      <c r="AQ39" s="18">
        <f>+VLOOKUP(AI39,Leyenda!$B$30:$E$34,3,FALSE)</f>
        <v>0</v>
      </c>
      <c r="AR39" s="18">
        <f>+VLOOKUP('3. Blasting'!AJ39,Meteorizacion,3,FALSE)</f>
        <v>1</v>
      </c>
      <c r="AS39" s="18">
        <f>+VLOOKUP('3. Blasting'!AK39,Apertura,3,FALSE)</f>
        <v>0</v>
      </c>
      <c r="AT39" s="18">
        <f>+VLOOKUP('3. Blasting'!AL39,Leyenda!$B$55:$D$59,3,FALSE)</f>
        <v>3</v>
      </c>
      <c r="AU39" s="18">
        <f>+VLOOKUP('3. Blasting'!AM39,Relleno,3,FALSE)</f>
        <v>2</v>
      </c>
      <c r="AV39" s="18">
        <f t="shared" si="26"/>
        <v>6</v>
      </c>
      <c r="AW39" s="49">
        <f t="shared" si="8"/>
        <v>0</v>
      </c>
      <c r="AX39" s="49">
        <f>VLOOKUP(AF39,Leyenda!$B$4:$D$10,3,FALSE)</f>
        <v>2</v>
      </c>
      <c r="AY39" s="49">
        <f t="shared" si="2"/>
        <v>3</v>
      </c>
      <c r="AZ39" s="49">
        <f t="shared" si="9"/>
        <v>6</v>
      </c>
      <c r="BA39" s="49">
        <f>VLOOKUP(AN39,Leyenda!$B$70:$D$75,3,FALSE)</f>
        <v>15</v>
      </c>
      <c r="BB39" s="67">
        <f t="shared" si="10"/>
        <v>9</v>
      </c>
      <c r="BC39" s="67">
        <f>VLOOKUP(AF39,Leyenda!$B$4:$E$10,4,FALSE)</f>
        <v>2</v>
      </c>
      <c r="BD39" s="67">
        <f t="shared" si="11"/>
        <v>4</v>
      </c>
      <c r="BE39" s="67">
        <f t="shared" si="12"/>
        <v>0</v>
      </c>
      <c r="BF39" s="67">
        <f>+VLOOKUP('3. Blasting'!AK39,Leyenda!$B$47:$E$51,4,FALSE)</f>
        <v>0</v>
      </c>
      <c r="BG39" s="67">
        <f>+VLOOKUP('3. Blasting'!AL39,Leyenda!$B$55:$E$59,4,FALSE)</f>
        <v>3</v>
      </c>
      <c r="BH39" s="67">
        <f>+VLOOKUP('3. Blasting'!AM39,Leyenda!$B$63:$E$67,3,FALSE)</f>
        <v>2</v>
      </c>
      <c r="BI39" s="67">
        <f>+VLOOKUP('3. Blasting'!AJ39,Leyenda!$B$39:$E$43,4,FALSE)</f>
        <v>1</v>
      </c>
      <c r="BJ39" s="67">
        <f>+VLOOKUP('3. Blasting'!AI39,Leyenda!$B$30:$E$34,4,FALSE)</f>
        <v>0</v>
      </c>
      <c r="BK39" s="67">
        <f>VLOOKUP(AN39,Leyenda!$B$71:$E$75,4,FALSE)</f>
        <v>10</v>
      </c>
      <c r="BL39" s="67">
        <f t="shared" si="13"/>
        <v>22</v>
      </c>
      <c r="BM39" s="18">
        <f t="shared" si="14"/>
        <v>26</v>
      </c>
      <c r="BN39" s="18">
        <f t="shared" si="28"/>
        <v>0.97912832239019409</v>
      </c>
      <c r="BO39" s="18"/>
      <c r="BP39" s="6">
        <f t="shared" si="16"/>
        <v>10</v>
      </c>
      <c r="BQ39" s="6">
        <f t="shared" si="17"/>
        <v>10</v>
      </c>
      <c r="BR39" s="6">
        <v>20</v>
      </c>
      <c r="BS39" s="6">
        <f t="shared" si="18"/>
        <v>-2.5</v>
      </c>
      <c r="BT39" s="6">
        <f t="shared" si="19"/>
        <v>0.52500000000000002</v>
      </c>
      <c r="BU39" s="6">
        <f t="shared" si="20"/>
        <v>19.012499999999999</v>
      </c>
      <c r="BV39" s="18">
        <f t="shared" si="3"/>
        <v>7.6049999999999993E-2</v>
      </c>
      <c r="BW39" s="18">
        <f t="shared" si="4"/>
        <v>0.14449499999999998</v>
      </c>
    </row>
    <row r="40" spans="1:87" hidden="1" x14ac:dyDescent="0.25">
      <c r="A40" s="18" t="s">
        <v>6</v>
      </c>
      <c r="B40" s="18">
        <v>2024</v>
      </c>
      <c r="C40" s="18" t="s">
        <v>138</v>
      </c>
      <c r="D40" s="18" t="s">
        <v>10</v>
      </c>
      <c r="E40" s="18">
        <v>30</v>
      </c>
      <c r="F40" s="18" t="s">
        <v>152</v>
      </c>
      <c r="G40" s="18" t="s">
        <v>161</v>
      </c>
      <c r="H40" s="31">
        <f t="shared" si="21"/>
        <v>18</v>
      </c>
      <c r="I40" s="31">
        <f t="shared" si="22"/>
        <v>18.5</v>
      </c>
      <c r="J40" s="4">
        <f t="shared" si="5"/>
        <v>0.5</v>
      </c>
      <c r="K40" s="5">
        <v>0.6</v>
      </c>
      <c r="L40" s="31">
        <f t="shared" si="6"/>
        <v>0.3</v>
      </c>
      <c r="M40" s="105">
        <v>1.9</v>
      </c>
      <c r="N40" s="31">
        <v>10.5</v>
      </c>
      <c r="O40" s="31">
        <f t="shared" si="0"/>
        <v>0.3</v>
      </c>
      <c r="P40" s="31">
        <v>15</v>
      </c>
      <c r="Q40" s="31">
        <v>20</v>
      </c>
      <c r="R40" s="31">
        <v>0.13</v>
      </c>
      <c r="S40" s="31">
        <v>0</v>
      </c>
      <c r="T40" s="86">
        <f t="shared" si="24"/>
        <v>0</v>
      </c>
      <c r="U40" s="31">
        <v>10</v>
      </c>
      <c r="V40" s="31"/>
      <c r="W40" s="31">
        <f t="shared" si="25"/>
        <v>10</v>
      </c>
      <c r="X40" s="31">
        <f>+IF(R40=0,"",(R40*1000)/W40)</f>
        <v>13</v>
      </c>
      <c r="Y40" s="31">
        <f t="shared" si="7"/>
        <v>1.2999999999999999E-2</v>
      </c>
      <c r="Z40" s="18">
        <v>0</v>
      </c>
      <c r="AA40" s="18" t="s">
        <v>96</v>
      </c>
      <c r="AB40" s="18" t="s">
        <v>333</v>
      </c>
      <c r="AC40" s="18" t="s">
        <v>337</v>
      </c>
      <c r="AD40" s="18">
        <v>20</v>
      </c>
      <c r="AE40" s="18">
        <v>15</v>
      </c>
      <c r="AF40" s="18" t="s">
        <v>29</v>
      </c>
      <c r="AG40" s="18" t="s">
        <v>196</v>
      </c>
      <c r="AH40" s="18" t="s">
        <v>196</v>
      </c>
      <c r="AI40" s="18" t="s">
        <v>69</v>
      </c>
      <c r="AJ40" s="18" t="s">
        <v>79</v>
      </c>
      <c r="AK40" s="18" t="s">
        <v>100</v>
      </c>
      <c r="AL40" s="18" t="s">
        <v>107</v>
      </c>
      <c r="AM40" s="18" t="s">
        <v>120</v>
      </c>
      <c r="AN40" s="18" t="s">
        <v>198</v>
      </c>
      <c r="AO40" s="18"/>
      <c r="AP40" s="18"/>
      <c r="AQ40" s="18">
        <f>+VLOOKUP(AI40,Leyenda!$B$30:$E$34,3,FALSE)</f>
        <v>0</v>
      </c>
      <c r="AR40" s="18">
        <f>+VLOOKUP('3. Blasting'!AJ40,Meteorizacion,3,FALSE)</f>
        <v>1</v>
      </c>
      <c r="AS40" s="18">
        <f>+VLOOKUP('3. Blasting'!AK40,Apertura,3,FALSE)</f>
        <v>0</v>
      </c>
      <c r="AT40" s="18">
        <f>+VLOOKUP('3. Blasting'!AL40,Leyenda!$B$55:$D$59,3,FALSE)</f>
        <v>3</v>
      </c>
      <c r="AU40" s="18">
        <f>+VLOOKUP('3. Blasting'!AM40,Relleno,3,FALSE)</f>
        <v>2</v>
      </c>
      <c r="AV40" s="18">
        <f t="shared" si="26"/>
        <v>6</v>
      </c>
      <c r="AW40" s="49">
        <f t="shared" si="8"/>
        <v>0</v>
      </c>
      <c r="AX40" s="49">
        <f>VLOOKUP(AF40,Leyenda!$B$4:$D$10,3,FALSE)</f>
        <v>2</v>
      </c>
      <c r="AY40" s="49">
        <f t="shared" si="2"/>
        <v>4</v>
      </c>
      <c r="AZ40" s="49">
        <f t="shared" si="9"/>
        <v>6</v>
      </c>
      <c r="BA40" s="49">
        <f>VLOOKUP(AN40,Leyenda!$B$70:$D$75,3,FALSE)</f>
        <v>15</v>
      </c>
      <c r="BB40" s="67">
        <f t="shared" si="10"/>
        <v>9</v>
      </c>
      <c r="BC40" s="67">
        <f>VLOOKUP(AF40,Leyenda!$B$4:$E$10,4,FALSE)</f>
        <v>2</v>
      </c>
      <c r="BD40" s="67">
        <f t="shared" si="11"/>
        <v>5</v>
      </c>
      <c r="BE40" s="67">
        <f t="shared" si="12"/>
        <v>0</v>
      </c>
      <c r="BF40" s="67">
        <f>+VLOOKUP('3. Blasting'!AK40,Leyenda!$B$47:$E$51,4,FALSE)</f>
        <v>0</v>
      </c>
      <c r="BG40" s="67">
        <f>+VLOOKUP('3. Blasting'!AL40,Leyenda!$B$55:$E$59,4,FALSE)</f>
        <v>3</v>
      </c>
      <c r="BH40" s="67">
        <f>+VLOOKUP('3. Blasting'!AM40,Leyenda!$B$63:$E$67,3,FALSE)</f>
        <v>2</v>
      </c>
      <c r="BI40" s="67">
        <f>+VLOOKUP('3. Blasting'!AJ40,Leyenda!$B$39:$E$43,4,FALSE)</f>
        <v>1</v>
      </c>
      <c r="BJ40" s="67">
        <f>+VLOOKUP('3. Blasting'!AI40,Leyenda!$B$30:$E$34,4,FALSE)</f>
        <v>0</v>
      </c>
      <c r="BK40" s="67">
        <f>VLOOKUP(AN40,Leyenda!$B$71:$E$75,4,FALSE)</f>
        <v>10</v>
      </c>
      <c r="BL40" s="67">
        <f t="shared" si="13"/>
        <v>23</v>
      </c>
      <c r="BM40" s="18">
        <f t="shared" si="14"/>
        <v>27</v>
      </c>
      <c r="BN40" s="18">
        <f t="shared" si="28"/>
        <v>0.97916576897863539</v>
      </c>
      <c r="BO40" s="18"/>
      <c r="BP40" s="6">
        <f t="shared" si="16"/>
        <v>10</v>
      </c>
      <c r="BQ40" s="6">
        <f t="shared" si="17"/>
        <v>10</v>
      </c>
      <c r="BR40" s="6">
        <v>20</v>
      </c>
      <c r="BS40" s="6">
        <f t="shared" si="18"/>
        <v>-2.5</v>
      </c>
      <c r="BT40" s="6">
        <f t="shared" si="19"/>
        <v>0.52500000000000002</v>
      </c>
      <c r="BU40" s="6">
        <f t="shared" si="20"/>
        <v>19.012499999999999</v>
      </c>
      <c r="BV40" s="18">
        <f t="shared" si="3"/>
        <v>7.6049999999999993E-2</v>
      </c>
      <c r="BW40" s="18">
        <f t="shared" si="4"/>
        <v>0.14449499999999998</v>
      </c>
    </row>
    <row r="41" spans="1:87" hidden="1" x14ac:dyDescent="0.25">
      <c r="A41" s="18" t="s">
        <v>6</v>
      </c>
      <c r="B41" s="18">
        <v>2024</v>
      </c>
      <c r="C41" s="18" t="s">
        <v>138</v>
      </c>
      <c r="D41" s="18" t="s">
        <v>10</v>
      </c>
      <c r="E41" s="18">
        <v>30</v>
      </c>
      <c r="F41" s="18" t="s">
        <v>152</v>
      </c>
      <c r="G41" s="18" t="s">
        <v>161</v>
      </c>
      <c r="H41" s="31">
        <f t="shared" si="21"/>
        <v>18.5</v>
      </c>
      <c r="I41" s="31">
        <f t="shared" si="22"/>
        <v>19</v>
      </c>
      <c r="J41" s="4">
        <f t="shared" si="5"/>
        <v>0.5</v>
      </c>
      <c r="K41" s="5">
        <v>0.34</v>
      </c>
      <c r="L41" s="31">
        <f t="shared" si="6"/>
        <v>0.17</v>
      </c>
      <c r="M41" s="105">
        <v>1.9</v>
      </c>
      <c r="N41" s="31">
        <v>10.5</v>
      </c>
      <c r="O41" s="31">
        <f t="shared" si="0"/>
        <v>0.17</v>
      </c>
      <c r="P41" s="31">
        <v>170</v>
      </c>
      <c r="Q41" s="31">
        <v>1</v>
      </c>
      <c r="R41" s="31">
        <v>0.11</v>
      </c>
      <c r="S41" s="31">
        <v>0</v>
      </c>
      <c r="T41" s="86">
        <f t="shared" si="24"/>
        <v>0</v>
      </c>
      <c r="U41" s="31">
        <v>10</v>
      </c>
      <c r="V41" s="31"/>
      <c r="W41" s="31">
        <f t="shared" si="25"/>
        <v>10</v>
      </c>
      <c r="X41" s="31">
        <f t="shared" si="29"/>
        <v>11</v>
      </c>
      <c r="Y41" s="31">
        <f t="shared" si="7"/>
        <v>1.0999999999999999E-2</v>
      </c>
      <c r="Z41" s="18">
        <v>0</v>
      </c>
      <c r="AA41" s="18" t="s">
        <v>96</v>
      </c>
      <c r="AB41" s="18" t="s">
        <v>116</v>
      </c>
      <c r="AC41" s="18" t="s">
        <v>337</v>
      </c>
      <c r="AD41" s="18">
        <v>1</v>
      </c>
      <c r="AE41" s="18">
        <v>170</v>
      </c>
      <c r="AF41" s="18" t="s">
        <v>29</v>
      </c>
      <c r="AG41" s="18" t="s">
        <v>34</v>
      </c>
      <c r="AH41" s="18" t="s">
        <v>34</v>
      </c>
      <c r="AI41" s="18" t="s">
        <v>64</v>
      </c>
      <c r="AJ41" s="18" t="s">
        <v>79</v>
      </c>
      <c r="AK41" s="18" t="s">
        <v>100</v>
      </c>
      <c r="AL41" s="18" t="s">
        <v>107</v>
      </c>
      <c r="AM41" s="18" t="s">
        <v>120</v>
      </c>
      <c r="AN41" s="18" t="s">
        <v>198</v>
      </c>
      <c r="AO41" s="18" t="s">
        <v>216</v>
      </c>
      <c r="AP41" s="18"/>
      <c r="AQ41" s="18">
        <f>+VLOOKUP(AI41,Leyenda!$B$30:$E$34,3,FALSE)</f>
        <v>2</v>
      </c>
      <c r="AR41" s="18">
        <f>+VLOOKUP('3. Blasting'!AJ41,Meteorizacion,3,FALSE)</f>
        <v>1</v>
      </c>
      <c r="AS41" s="18">
        <f>+VLOOKUP('3. Blasting'!AK41,Apertura,3,FALSE)</f>
        <v>0</v>
      </c>
      <c r="AT41" s="18">
        <f>+VLOOKUP('3. Blasting'!AL41,Leyenda!$B$55:$D$59,3,FALSE)</f>
        <v>3</v>
      </c>
      <c r="AU41" s="18">
        <f>+VLOOKUP('3. Blasting'!AM41,Relleno,3,FALSE)</f>
        <v>2</v>
      </c>
      <c r="AV41" s="18">
        <f t="shared" si="26"/>
        <v>8</v>
      </c>
      <c r="AW41" s="49">
        <f t="shared" si="8"/>
        <v>0</v>
      </c>
      <c r="AX41" s="49">
        <f>VLOOKUP(AF41,Leyenda!$B$4:$D$10,3,FALSE)</f>
        <v>2</v>
      </c>
      <c r="AY41" s="49">
        <f t="shared" si="2"/>
        <v>9</v>
      </c>
      <c r="AZ41" s="49">
        <f t="shared" si="9"/>
        <v>8</v>
      </c>
      <c r="BA41" s="49">
        <f>VLOOKUP(AN41,Leyenda!$B$70:$D$75,3,FALSE)</f>
        <v>15</v>
      </c>
      <c r="BB41" s="67">
        <f t="shared" si="10"/>
        <v>12</v>
      </c>
      <c r="BC41" s="67">
        <f>VLOOKUP(AF41,Leyenda!$B$4:$E$10,4,FALSE)</f>
        <v>2</v>
      </c>
      <c r="BD41" s="67">
        <f t="shared" si="11"/>
        <v>5</v>
      </c>
      <c r="BE41" s="67">
        <f t="shared" si="12"/>
        <v>0</v>
      </c>
      <c r="BF41" s="67">
        <f>+VLOOKUP('3. Blasting'!AK41,Leyenda!$B$47:$E$51,4,FALSE)</f>
        <v>0</v>
      </c>
      <c r="BG41" s="67">
        <f>+VLOOKUP('3. Blasting'!AL41,Leyenda!$B$55:$E$59,4,FALSE)</f>
        <v>3</v>
      </c>
      <c r="BH41" s="67">
        <f>+VLOOKUP('3. Blasting'!AM41,Leyenda!$B$63:$E$67,3,FALSE)</f>
        <v>2</v>
      </c>
      <c r="BI41" s="67">
        <f>+VLOOKUP('3. Blasting'!AJ41,Leyenda!$B$39:$E$43,4,FALSE)</f>
        <v>1</v>
      </c>
      <c r="BJ41" s="67">
        <f>+VLOOKUP('3. Blasting'!AI41,Leyenda!$B$30:$E$34,4,FALSE)</f>
        <v>3</v>
      </c>
      <c r="BK41" s="67">
        <f>VLOOKUP(AN41,Leyenda!$B$71:$E$75,4,FALSE)</f>
        <v>10</v>
      </c>
      <c r="BL41" s="67">
        <f t="shared" si="13"/>
        <v>26</v>
      </c>
      <c r="BM41" s="18">
        <f t="shared" si="14"/>
        <v>34</v>
      </c>
      <c r="BN41" s="18">
        <f t="shared" si="28"/>
        <v>0.97905302365278346</v>
      </c>
      <c r="BO41" s="18"/>
      <c r="BP41" s="6">
        <f t="shared" si="16"/>
        <v>10</v>
      </c>
      <c r="BQ41" s="6">
        <f t="shared" si="17"/>
        <v>10</v>
      </c>
      <c r="BR41" s="6">
        <v>20</v>
      </c>
      <c r="BS41" s="6">
        <f t="shared" si="18"/>
        <v>-2.5</v>
      </c>
      <c r="BT41" s="6">
        <f t="shared" si="19"/>
        <v>0.52500000000000002</v>
      </c>
      <c r="BU41" s="6">
        <f t="shared" si="20"/>
        <v>19.012499999999999</v>
      </c>
      <c r="BV41" s="18">
        <f t="shared" si="3"/>
        <v>7.6049999999999993E-2</v>
      </c>
      <c r="BW41" s="18">
        <f t="shared" si="4"/>
        <v>0.14449499999999998</v>
      </c>
    </row>
    <row r="42" spans="1:87" hidden="1" x14ac:dyDescent="0.25">
      <c r="A42" s="18" t="s">
        <v>6</v>
      </c>
      <c r="B42" s="18">
        <v>2024</v>
      </c>
      <c r="C42" s="18" t="s">
        <v>138</v>
      </c>
      <c r="D42" s="18" t="s">
        <v>10</v>
      </c>
      <c r="E42" s="18">
        <v>30</v>
      </c>
      <c r="F42" s="18" t="s">
        <v>152</v>
      </c>
      <c r="G42" s="18" t="s">
        <v>161</v>
      </c>
      <c r="H42" s="31">
        <f t="shared" si="21"/>
        <v>19</v>
      </c>
      <c r="I42" s="31">
        <f t="shared" si="22"/>
        <v>19.5</v>
      </c>
      <c r="J42" s="4">
        <f t="shared" si="5"/>
        <v>0.5</v>
      </c>
      <c r="K42" s="5">
        <v>0.5</v>
      </c>
      <c r="L42" s="31">
        <f t="shared" si="6"/>
        <v>0.25</v>
      </c>
      <c r="M42" s="105">
        <v>1.9</v>
      </c>
      <c r="N42" s="31">
        <v>10.5</v>
      </c>
      <c r="O42" s="31">
        <f t="shared" si="0"/>
        <v>0.25</v>
      </c>
      <c r="P42" s="31">
        <v>25</v>
      </c>
      <c r="Q42" s="31">
        <v>10</v>
      </c>
      <c r="R42" s="31">
        <v>0.14000000000000001</v>
      </c>
      <c r="S42" s="31">
        <v>0</v>
      </c>
      <c r="T42" s="86">
        <f t="shared" si="24"/>
        <v>0</v>
      </c>
      <c r="U42" s="31">
        <v>10</v>
      </c>
      <c r="V42" s="31"/>
      <c r="W42" s="31">
        <f t="shared" si="25"/>
        <v>10</v>
      </c>
      <c r="X42" s="31">
        <f t="shared" si="29"/>
        <v>14</v>
      </c>
      <c r="Y42" s="31">
        <f t="shared" si="7"/>
        <v>1.4E-2</v>
      </c>
      <c r="Z42" s="18">
        <v>0</v>
      </c>
      <c r="AA42" s="18" t="s">
        <v>96</v>
      </c>
      <c r="AB42" s="18" t="s">
        <v>120</v>
      </c>
      <c r="AC42" s="18" t="s">
        <v>337</v>
      </c>
      <c r="AD42" s="18">
        <v>10</v>
      </c>
      <c r="AE42" s="18">
        <v>25</v>
      </c>
      <c r="AF42" s="18" t="s">
        <v>29</v>
      </c>
      <c r="AG42" s="18" t="s">
        <v>34</v>
      </c>
      <c r="AH42" s="18" t="s">
        <v>34</v>
      </c>
      <c r="AI42" s="18" t="s">
        <v>64</v>
      </c>
      <c r="AJ42" s="18" t="s">
        <v>79</v>
      </c>
      <c r="AK42" s="18" t="s">
        <v>100</v>
      </c>
      <c r="AL42" s="18" t="s">
        <v>107</v>
      </c>
      <c r="AM42" s="18" t="s">
        <v>120</v>
      </c>
      <c r="AN42" s="18" t="s">
        <v>198</v>
      </c>
      <c r="AO42" s="18" t="s">
        <v>216</v>
      </c>
      <c r="AP42" s="18"/>
      <c r="AQ42" s="18">
        <f>+VLOOKUP(AI42,Leyenda!$B$30:$E$34,3,FALSE)</f>
        <v>2</v>
      </c>
      <c r="AR42" s="18">
        <f>+VLOOKUP('3. Blasting'!AJ42,Meteorizacion,3,FALSE)</f>
        <v>1</v>
      </c>
      <c r="AS42" s="18">
        <f>+VLOOKUP('3. Blasting'!AK42,Apertura,3,FALSE)</f>
        <v>0</v>
      </c>
      <c r="AT42" s="18">
        <f>+VLOOKUP('3. Blasting'!AL42,Leyenda!$B$55:$D$59,3,FALSE)</f>
        <v>3</v>
      </c>
      <c r="AU42" s="18">
        <f>+VLOOKUP('3. Blasting'!AM42,Relleno,3,FALSE)</f>
        <v>2</v>
      </c>
      <c r="AV42" s="18">
        <f t="shared" si="26"/>
        <v>8</v>
      </c>
      <c r="AW42" s="49">
        <f t="shared" si="8"/>
        <v>0</v>
      </c>
      <c r="AX42" s="49">
        <f>VLOOKUP(AF42,Leyenda!$B$4:$D$10,3,FALSE)</f>
        <v>2</v>
      </c>
      <c r="AY42" s="49">
        <f t="shared" si="2"/>
        <v>5</v>
      </c>
      <c r="AZ42" s="49">
        <f t="shared" si="9"/>
        <v>8</v>
      </c>
      <c r="BA42" s="49">
        <f>VLOOKUP(AN42,Leyenda!$B$70:$D$75,3,FALSE)</f>
        <v>15</v>
      </c>
      <c r="BB42" s="67">
        <f t="shared" si="10"/>
        <v>12</v>
      </c>
      <c r="BC42" s="67">
        <f>VLOOKUP(AF42,Leyenda!$B$4:$E$10,4,FALSE)</f>
        <v>2</v>
      </c>
      <c r="BD42" s="67">
        <f t="shared" si="11"/>
        <v>5</v>
      </c>
      <c r="BE42" s="67">
        <f t="shared" si="12"/>
        <v>0</v>
      </c>
      <c r="BF42" s="67">
        <f>+VLOOKUP('3. Blasting'!AK42,Leyenda!$B$47:$E$51,4,FALSE)</f>
        <v>0</v>
      </c>
      <c r="BG42" s="67">
        <f>+VLOOKUP('3. Blasting'!AL42,Leyenda!$B$55:$E$59,4,FALSE)</f>
        <v>3</v>
      </c>
      <c r="BH42" s="67">
        <f>+VLOOKUP('3. Blasting'!AM42,Leyenda!$B$63:$E$67,3,FALSE)</f>
        <v>2</v>
      </c>
      <c r="BI42" s="67">
        <f>+VLOOKUP('3. Blasting'!AJ42,Leyenda!$B$39:$E$43,4,FALSE)</f>
        <v>1</v>
      </c>
      <c r="BJ42" s="67">
        <f>+VLOOKUP('3. Blasting'!AI42,Leyenda!$B$30:$E$34,4,FALSE)</f>
        <v>3</v>
      </c>
      <c r="BK42" s="67">
        <f>VLOOKUP(AN42,Leyenda!$B$71:$E$75,4,FALSE)</f>
        <v>10</v>
      </c>
      <c r="BL42" s="67">
        <f t="shared" si="13"/>
        <v>26</v>
      </c>
      <c r="BM42" s="18">
        <f t="shared" si="14"/>
        <v>30</v>
      </c>
      <c r="BN42" s="18">
        <f t="shared" si="28"/>
        <v>0.97898095572764332</v>
      </c>
      <c r="BO42" s="18"/>
      <c r="BP42" s="6">
        <f t="shared" si="16"/>
        <v>10</v>
      </c>
      <c r="BQ42" s="6">
        <f t="shared" si="17"/>
        <v>10</v>
      </c>
      <c r="BR42" s="6">
        <v>20</v>
      </c>
      <c r="BS42" s="6">
        <f t="shared" si="18"/>
        <v>-2.5</v>
      </c>
      <c r="BT42" s="6">
        <f t="shared" si="19"/>
        <v>0.52500000000000002</v>
      </c>
      <c r="BU42" s="6">
        <f t="shared" si="20"/>
        <v>19.012499999999999</v>
      </c>
      <c r="BV42" s="18">
        <f t="shared" si="3"/>
        <v>7.6049999999999993E-2</v>
      </c>
      <c r="BW42" s="18">
        <f t="shared" si="4"/>
        <v>0.14449499999999998</v>
      </c>
    </row>
    <row r="43" spans="1:87" hidden="1" x14ac:dyDescent="0.25">
      <c r="A43" s="18" t="s">
        <v>6</v>
      </c>
      <c r="B43" s="18">
        <v>2024</v>
      </c>
      <c r="C43" s="18" t="s">
        <v>138</v>
      </c>
      <c r="D43" s="18" t="s">
        <v>10</v>
      </c>
      <c r="E43" s="18">
        <v>30</v>
      </c>
      <c r="F43" s="18" t="s">
        <v>152</v>
      </c>
      <c r="G43" s="18" t="s">
        <v>161</v>
      </c>
      <c r="H43" s="31">
        <f t="shared" si="21"/>
        <v>19.5</v>
      </c>
      <c r="I43" s="31">
        <f t="shared" si="22"/>
        <v>20</v>
      </c>
      <c r="J43" s="4">
        <f t="shared" si="5"/>
        <v>0.5</v>
      </c>
      <c r="K43" s="5">
        <v>0.3</v>
      </c>
      <c r="L43" s="31">
        <f t="shared" si="6"/>
        <v>0.15</v>
      </c>
      <c r="M43" s="105">
        <v>1.9</v>
      </c>
      <c r="N43" s="31">
        <v>10.5</v>
      </c>
      <c r="O43" s="31">
        <f t="shared" si="0"/>
        <v>0.15</v>
      </c>
      <c r="P43" s="31">
        <v>30</v>
      </c>
      <c r="Q43" s="31">
        <v>5</v>
      </c>
      <c r="R43" s="31">
        <v>0.23</v>
      </c>
      <c r="S43" s="31">
        <v>0</v>
      </c>
      <c r="T43" s="86">
        <f t="shared" si="24"/>
        <v>0</v>
      </c>
      <c r="U43" s="31">
        <v>10</v>
      </c>
      <c r="V43" s="31"/>
      <c r="W43" s="31">
        <f t="shared" si="25"/>
        <v>10</v>
      </c>
      <c r="X43" s="31">
        <f t="shared" si="29"/>
        <v>23</v>
      </c>
      <c r="Y43" s="31">
        <f t="shared" si="7"/>
        <v>2.3E-2</v>
      </c>
      <c r="Z43" s="18">
        <v>0</v>
      </c>
      <c r="AA43" s="18" t="s">
        <v>96</v>
      </c>
      <c r="AB43" s="18" t="s">
        <v>118</v>
      </c>
      <c r="AC43" s="18" t="s">
        <v>337</v>
      </c>
      <c r="AD43" s="18">
        <v>5</v>
      </c>
      <c r="AE43" s="18">
        <v>30</v>
      </c>
      <c r="AF43" s="18" t="s">
        <v>29</v>
      </c>
      <c r="AG43" s="18" t="s">
        <v>34</v>
      </c>
      <c r="AH43" s="18" t="s">
        <v>34</v>
      </c>
      <c r="AI43" s="18" t="s">
        <v>64</v>
      </c>
      <c r="AJ43" s="18" t="s">
        <v>81</v>
      </c>
      <c r="AK43" s="18" t="s">
        <v>100</v>
      </c>
      <c r="AL43" s="18" t="s">
        <v>107</v>
      </c>
      <c r="AM43" s="18" t="s">
        <v>120</v>
      </c>
      <c r="AN43" s="18" t="s">
        <v>198</v>
      </c>
      <c r="AO43" s="18" t="s">
        <v>216</v>
      </c>
      <c r="AP43" s="18"/>
      <c r="AQ43" s="18">
        <f>+VLOOKUP(AI43,Leyenda!$B$30:$E$34,3,FALSE)</f>
        <v>2</v>
      </c>
      <c r="AR43" s="18">
        <f>+VLOOKUP('3. Blasting'!AJ43,Meteorizacion,3,FALSE)</f>
        <v>0</v>
      </c>
      <c r="AS43" s="18">
        <f>+VLOOKUP('3. Blasting'!AK43,Apertura,3,FALSE)</f>
        <v>0</v>
      </c>
      <c r="AT43" s="18">
        <f>+VLOOKUP('3. Blasting'!AL43,Leyenda!$B$55:$D$59,3,FALSE)</f>
        <v>3</v>
      </c>
      <c r="AU43" s="18">
        <f>+VLOOKUP('3. Blasting'!AM43,Relleno,3,FALSE)</f>
        <v>2</v>
      </c>
      <c r="AV43" s="18">
        <f t="shared" si="26"/>
        <v>7</v>
      </c>
      <c r="AW43" s="49">
        <f t="shared" si="8"/>
        <v>0</v>
      </c>
      <c r="AX43" s="49">
        <f>VLOOKUP(AF43,Leyenda!$B$4:$D$10,3,FALSE)</f>
        <v>2</v>
      </c>
      <c r="AY43" s="49">
        <f t="shared" si="2"/>
        <v>5</v>
      </c>
      <c r="AZ43" s="49">
        <f t="shared" si="9"/>
        <v>7</v>
      </c>
      <c r="BA43" s="49">
        <f>VLOOKUP(AN43,Leyenda!$B$70:$D$75,3,FALSE)</f>
        <v>15</v>
      </c>
      <c r="BB43" s="67">
        <f t="shared" si="10"/>
        <v>10.5</v>
      </c>
      <c r="BC43" s="67">
        <f>VLOOKUP(AF43,Leyenda!$B$4:$E$10,4,FALSE)</f>
        <v>2</v>
      </c>
      <c r="BD43" s="67">
        <f t="shared" si="11"/>
        <v>5</v>
      </c>
      <c r="BE43" s="67">
        <f t="shared" si="12"/>
        <v>0</v>
      </c>
      <c r="BF43" s="67">
        <f>+VLOOKUP('3. Blasting'!AK43,Leyenda!$B$47:$E$51,4,FALSE)</f>
        <v>0</v>
      </c>
      <c r="BG43" s="67">
        <f>+VLOOKUP('3. Blasting'!AL43,Leyenda!$B$55:$E$59,4,FALSE)</f>
        <v>3</v>
      </c>
      <c r="BH43" s="67">
        <f>+VLOOKUP('3. Blasting'!AM43,Leyenda!$B$63:$E$67,3,FALSE)</f>
        <v>2</v>
      </c>
      <c r="BI43" s="67">
        <f>+VLOOKUP('3. Blasting'!AJ43,Leyenda!$B$39:$E$43,4,FALSE)</f>
        <v>0</v>
      </c>
      <c r="BJ43" s="67">
        <f>+VLOOKUP('3. Blasting'!AI43,Leyenda!$B$30:$E$34,4,FALSE)</f>
        <v>3</v>
      </c>
      <c r="BK43" s="67">
        <f>VLOOKUP(AN43,Leyenda!$B$71:$E$75,4,FALSE)</f>
        <v>10</v>
      </c>
      <c r="BL43" s="67">
        <f t="shared" si="13"/>
        <v>25</v>
      </c>
      <c r="BM43" s="18">
        <f t="shared" si="14"/>
        <v>29</v>
      </c>
      <c r="BN43" s="18">
        <f t="shared" si="28"/>
        <v>0.97897202529372251</v>
      </c>
      <c r="BO43" s="18"/>
      <c r="BP43" s="6">
        <f t="shared" si="16"/>
        <v>10</v>
      </c>
      <c r="BQ43" s="6">
        <f t="shared" si="17"/>
        <v>10</v>
      </c>
      <c r="BR43" s="6">
        <v>20</v>
      </c>
      <c r="BS43" s="6">
        <f t="shared" si="18"/>
        <v>-2.5</v>
      </c>
      <c r="BT43" s="6">
        <f t="shared" si="19"/>
        <v>0.52500000000000002</v>
      </c>
      <c r="BU43" s="6">
        <f t="shared" si="20"/>
        <v>19.012499999999999</v>
      </c>
      <c r="BV43" s="18">
        <f t="shared" si="3"/>
        <v>7.6049999999999993E-2</v>
      </c>
      <c r="BW43" s="18">
        <f t="shared" si="4"/>
        <v>0.14449499999999998</v>
      </c>
    </row>
    <row r="44" spans="1:87" hidden="1" x14ac:dyDescent="0.25">
      <c r="A44" s="18" t="s">
        <v>6</v>
      </c>
      <c r="B44" s="18">
        <v>2024</v>
      </c>
      <c r="C44" s="18" t="s">
        <v>138</v>
      </c>
      <c r="D44" s="18" t="s">
        <v>10</v>
      </c>
      <c r="E44" s="18">
        <v>30</v>
      </c>
      <c r="F44" s="18" t="s">
        <v>152</v>
      </c>
      <c r="G44" s="18" t="s">
        <v>161</v>
      </c>
      <c r="H44" s="31">
        <f t="shared" si="21"/>
        <v>20</v>
      </c>
      <c r="I44" s="31">
        <f t="shared" si="22"/>
        <v>20.5</v>
      </c>
      <c r="J44" s="4">
        <f t="shared" si="5"/>
        <v>0.5</v>
      </c>
      <c r="K44" s="5">
        <v>0.5</v>
      </c>
      <c r="L44" s="31">
        <f t="shared" si="6"/>
        <v>0.25</v>
      </c>
      <c r="M44" s="105">
        <v>1.9</v>
      </c>
      <c r="N44" s="31">
        <v>10.5</v>
      </c>
      <c r="O44" s="31">
        <f t="shared" si="0"/>
        <v>0.25</v>
      </c>
      <c r="P44" s="31">
        <v>250</v>
      </c>
      <c r="Q44" s="31">
        <v>1</v>
      </c>
      <c r="R44" s="31">
        <v>0.17</v>
      </c>
      <c r="S44" s="31">
        <v>0.11</v>
      </c>
      <c r="T44" s="86">
        <f t="shared" si="24"/>
        <v>22</v>
      </c>
      <c r="U44" s="31">
        <v>5</v>
      </c>
      <c r="V44" s="31"/>
      <c r="W44" s="31">
        <f t="shared" si="25"/>
        <v>5</v>
      </c>
      <c r="X44" s="31">
        <f t="shared" si="29"/>
        <v>34</v>
      </c>
      <c r="Y44" s="31">
        <f t="shared" si="7"/>
        <v>3.4000000000000002E-2</v>
      </c>
      <c r="Z44" s="18">
        <v>26</v>
      </c>
      <c r="AA44" s="18" t="s">
        <v>96</v>
      </c>
      <c r="AB44" s="18" t="s">
        <v>116</v>
      </c>
      <c r="AC44" s="18" t="s">
        <v>329</v>
      </c>
      <c r="AD44" s="18">
        <v>1</v>
      </c>
      <c r="AE44" s="18">
        <v>250</v>
      </c>
      <c r="AF44" s="18" t="s">
        <v>24</v>
      </c>
      <c r="AG44" s="18" t="s">
        <v>27</v>
      </c>
      <c r="AH44" s="18" t="s">
        <v>27</v>
      </c>
      <c r="AI44" s="18" t="s">
        <v>64</v>
      </c>
      <c r="AJ44" s="18" t="s">
        <v>77</v>
      </c>
      <c r="AK44" s="18" t="s">
        <v>96</v>
      </c>
      <c r="AL44" s="18" t="s">
        <v>107</v>
      </c>
      <c r="AM44" s="18" t="s">
        <v>120</v>
      </c>
      <c r="AN44" s="18" t="s">
        <v>198</v>
      </c>
      <c r="AO44" s="18" t="s">
        <v>216</v>
      </c>
      <c r="AP44" s="18"/>
      <c r="AQ44" s="18">
        <f>+VLOOKUP(AI44,Leyenda!$B$30:$E$34,3,FALSE)</f>
        <v>2</v>
      </c>
      <c r="AR44" s="18">
        <f>+VLOOKUP('3. Blasting'!AJ44,Meteorizacion,3,FALSE)</f>
        <v>3</v>
      </c>
      <c r="AS44" s="18">
        <f>+VLOOKUP('3. Blasting'!AK44,Apertura,3,FALSE)</f>
        <v>1</v>
      </c>
      <c r="AT44" s="18">
        <f>+VLOOKUP('3. Blasting'!AL44,Leyenda!$B$55:$D$59,3,FALSE)</f>
        <v>3</v>
      </c>
      <c r="AU44" s="18">
        <f>+VLOOKUP('3. Blasting'!AM44,Relleno,3,FALSE)</f>
        <v>2</v>
      </c>
      <c r="AV44" s="18">
        <f t="shared" si="26"/>
        <v>11</v>
      </c>
      <c r="AW44" s="49">
        <f t="shared" si="8"/>
        <v>6</v>
      </c>
      <c r="AX44" s="49">
        <f>VLOOKUP(AF44,Leyenda!$B$4:$D$10,3,FALSE)</f>
        <v>7</v>
      </c>
      <c r="AY44" s="49">
        <f t="shared" si="2"/>
        <v>10</v>
      </c>
      <c r="AZ44" s="49">
        <f t="shared" si="9"/>
        <v>11</v>
      </c>
      <c r="BA44" s="49">
        <f>VLOOKUP(AN44,Leyenda!$B$70:$D$75,3,FALSE)</f>
        <v>15</v>
      </c>
      <c r="BB44" s="67">
        <f t="shared" si="10"/>
        <v>27.5</v>
      </c>
      <c r="BC44" s="67">
        <f>VLOOKUP(AF44,Leyenda!$B$4:$E$10,4,FALSE)</f>
        <v>7</v>
      </c>
      <c r="BD44" s="67">
        <f t="shared" si="11"/>
        <v>5</v>
      </c>
      <c r="BE44" s="67">
        <f t="shared" si="12"/>
        <v>5</v>
      </c>
      <c r="BF44" s="67">
        <f>+VLOOKUP('3. Blasting'!AK44,Leyenda!$B$47:$E$51,4,FALSE)</f>
        <v>1</v>
      </c>
      <c r="BG44" s="67">
        <f>+VLOOKUP('3. Blasting'!AL44,Leyenda!$B$55:$E$59,4,FALSE)</f>
        <v>3</v>
      </c>
      <c r="BH44" s="67">
        <f>+VLOOKUP('3. Blasting'!AM44,Leyenda!$B$63:$E$67,3,FALSE)</f>
        <v>2</v>
      </c>
      <c r="BI44" s="67">
        <f>+VLOOKUP('3. Blasting'!AJ44,Leyenda!$B$39:$E$43,4,FALSE)</f>
        <v>3</v>
      </c>
      <c r="BJ44" s="67">
        <f>+VLOOKUP('3. Blasting'!AI44,Leyenda!$B$30:$E$34,4,FALSE)</f>
        <v>3</v>
      </c>
      <c r="BK44" s="67">
        <f>VLOOKUP(AN44,Leyenda!$B$71:$E$75,4,FALSE)</f>
        <v>10</v>
      </c>
      <c r="BL44" s="67">
        <f t="shared" si="13"/>
        <v>39</v>
      </c>
      <c r="BM44" s="18">
        <f t="shared" si="14"/>
        <v>49</v>
      </c>
      <c r="BN44" s="18">
        <f t="shared" si="28"/>
        <v>0.97896278785107438</v>
      </c>
      <c r="BO44" s="18"/>
      <c r="BP44" s="6">
        <f t="shared" si="16"/>
        <v>20</v>
      </c>
      <c r="BQ44" s="6">
        <f t="shared" si="17"/>
        <v>10</v>
      </c>
      <c r="BR44" s="6">
        <v>20</v>
      </c>
      <c r="BS44" s="6">
        <f t="shared" si="18"/>
        <v>-2.5</v>
      </c>
      <c r="BT44" s="6">
        <f t="shared" si="19"/>
        <v>0.52500000000000002</v>
      </c>
      <c r="BU44" s="6">
        <f t="shared" si="20"/>
        <v>24.012499999999999</v>
      </c>
      <c r="BV44" s="18">
        <f t="shared" si="3"/>
        <v>9.6049999999999996E-2</v>
      </c>
      <c r="BW44" s="18">
        <f t="shared" si="4"/>
        <v>0.18249499999999999</v>
      </c>
    </row>
    <row r="45" spans="1:87" hidden="1" x14ac:dyDescent="0.25">
      <c r="A45" s="18" t="s">
        <v>6</v>
      </c>
      <c r="B45" s="18">
        <v>2024</v>
      </c>
      <c r="C45" s="18" t="s">
        <v>138</v>
      </c>
      <c r="D45" s="18" t="s">
        <v>10</v>
      </c>
      <c r="E45" s="18">
        <v>30</v>
      </c>
      <c r="F45" s="18" t="s">
        <v>152</v>
      </c>
      <c r="G45" s="18" t="s">
        <v>161</v>
      </c>
      <c r="H45" s="31">
        <f t="shared" si="21"/>
        <v>20.5</v>
      </c>
      <c r="I45" s="31">
        <f t="shared" si="22"/>
        <v>21</v>
      </c>
      <c r="J45" s="4">
        <f t="shared" si="5"/>
        <v>0.5</v>
      </c>
      <c r="K45" s="5">
        <v>0.38</v>
      </c>
      <c r="L45" s="31">
        <f t="shared" si="6"/>
        <v>0.19</v>
      </c>
      <c r="M45" s="105">
        <v>1.9</v>
      </c>
      <c r="N45" s="31">
        <v>10.5</v>
      </c>
      <c r="O45" s="31">
        <f t="shared" si="0"/>
        <v>0.19</v>
      </c>
      <c r="P45" s="31">
        <v>38</v>
      </c>
      <c r="Q45" s="31">
        <v>5</v>
      </c>
      <c r="R45" s="31">
        <v>0.13</v>
      </c>
      <c r="S45" s="31">
        <v>0</v>
      </c>
      <c r="T45" s="86">
        <f t="shared" si="24"/>
        <v>0</v>
      </c>
      <c r="U45" s="31">
        <v>10</v>
      </c>
      <c r="V45" s="31"/>
      <c r="W45" s="31">
        <f t="shared" si="25"/>
        <v>10</v>
      </c>
      <c r="X45" s="31">
        <f t="shared" si="29"/>
        <v>13</v>
      </c>
      <c r="Y45" s="31">
        <f t="shared" si="7"/>
        <v>1.2999999999999999E-2</v>
      </c>
      <c r="Z45" s="18">
        <v>0</v>
      </c>
      <c r="AA45" s="18" t="s">
        <v>100</v>
      </c>
      <c r="AB45" s="18" t="s">
        <v>118</v>
      </c>
      <c r="AC45" s="18" t="s">
        <v>335</v>
      </c>
      <c r="AD45" s="18">
        <v>5</v>
      </c>
      <c r="AE45" s="18">
        <v>38</v>
      </c>
      <c r="AF45" s="18" t="s">
        <v>34</v>
      </c>
      <c r="AG45" s="18" t="s">
        <v>27</v>
      </c>
      <c r="AH45" s="18" t="s">
        <v>27</v>
      </c>
      <c r="AI45" s="18" t="s">
        <v>64</v>
      </c>
      <c r="AJ45" s="18" t="s">
        <v>77</v>
      </c>
      <c r="AK45" s="18" t="s">
        <v>96</v>
      </c>
      <c r="AL45" s="18" t="s">
        <v>107</v>
      </c>
      <c r="AM45" s="18" t="s">
        <v>120</v>
      </c>
      <c r="AN45" s="18" t="s">
        <v>198</v>
      </c>
      <c r="AO45" s="18" t="s">
        <v>216</v>
      </c>
      <c r="AP45" s="18"/>
      <c r="AQ45" s="18">
        <f>+VLOOKUP(AI45,Leyenda!$B$30:$E$34,3,FALSE)</f>
        <v>2</v>
      </c>
      <c r="AR45" s="18">
        <f>+VLOOKUP('3. Blasting'!AJ45,Meteorizacion,3,FALSE)</f>
        <v>3</v>
      </c>
      <c r="AS45" s="18">
        <f>+VLOOKUP('3. Blasting'!AK45,Apertura,3,FALSE)</f>
        <v>1</v>
      </c>
      <c r="AT45" s="18">
        <f>+VLOOKUP('3. Blasting'!AL45,Leyenda!$B$55:$D$59,3,FALSE)</f>
        <v>3</v>
      </c>
      <c r="AU45" s="18">
        <f>+VLOOKUP('3. Blasting'!AM45,Relleno,3,FALSE)</f>
        <v>2</v>
      </c>
      <c r="AV45" s="18">
        <f t="shared" si="26"/>
        <v>11</v>
      </c>
      <c r="AW45" s="49">
        <f t="shared" si="8"/>
        <v>0</v>
      </c>
      <c r="AX45" s="49">
        <f>VLOOKUP(AF45,Leyenda!$B$4:$D$10,3,FALSE)</f>
        <v>0</v>
      </c>
      <c r="AY45" s="49">
        <f t="shared" si="2"/>
        <v>5</v>
      </c>
      <c r="AZ45" s="49">
        <f t="shared" si="9"/>
        <v>11</v>
      </c>
      <c r="BA45" s="49">
        <f>VLOOKUP(AN45,Leyenda!$B$70:$D$75,3,FALSE)</f>
        <v>15</v>
      </c>
      <c r="BB45" s="67">
        <f t="shared" si="10"/>
        <v>16.5</v>
      </c>
      <c r="BC45" s="67">
        <f>VLOOKUP(AF45,Leyenda!$B$4:$E$10,4,FALSE)</f>
        <v>0</v>
      </c>
      <c r="BD45" s="67">
        <f t="shared" si="11"/>
        <v>5</v>
      </c>
      <c r="BE45" s="67">
        <f t="shared" si="12"/>
        <v>0</v>
      </c>
      <c r="BF45" s="67">
        <f>+VLOOKUP('3. Blasting'!AK45,Leyenda!$B$47:$E$51,4,FALSE)</f>
        <v>1</v>
      </c>
      <c r="BG45" s="67">
        <f>+VLOOKUP('3. Blasting'!AL45,Leyenda!$B$55:$E$59,4,FALSE)</f>
        <v>3</v>
      </c>
      <c r="BH45" s="67">
        <f>+VLOOKUP('3. Blasting'!AM45,Leyenda!$B$63:$E$67,3,FALSE)</f>
        <v>2</v>
      </c>
      <c r="BI45" s="67">
        <f>+VLOOKUP('3. Blasting'!AJ45,Leyenda!$B$39:$E$43,4,FALSE)</f>
        <v>3</v>
      </c>
      <c r="BJ45" s="67">
        <f>+VLOOKUP('3. Blasting'!AI45,Leyenda!$B$30:$E$34,4,FALSE)</f>
        <v>3</v>
      </c>
      <c r="BK45" s="67">
        <f>VLOOKUP(AN45,Leyenda!$B$71:$E$75,4,FALSE)</f>
        <v>10</v>
      </c>
      <c r="BL45" s="67">
        <f t="shared" si="13"/>
        <v>27</v>
      </c>
      <c r="BM45" s="18">
        <f t="shared" si="14"/>
        <v>31</v>
      </c>
      <c r="BN45" s="18">
        <f t="shared" si="28"/>
        <v>0.97911766998297611</v>
      </c>
      <c r="BO45" s="18"/>
      <c r="BP45" s="6">
        <f t="shared" si="16"/>
        <v>10</v>
      </c>
      <c r="BQ45" s="6">
        <f t="shared" si="17"/>
        <v>10</v>
      </c>
      <c r="BR45" s="6">
        <v>20</v>
      </c>
      <c r="BS45" s="6">
        <f t="shared" si="18"/>
        <v>-2.5</v>
      </c>
      <c r="BT45" s="6">
        <f t="shared" si="19"/>
        <v>0.52500000000000002</v>
      </c>
      <c r="BU45" s="6">
        <f t="shared" si="20"/>
        <v>19.012499999999999</v>
      </c>
      <c r="BV45" s="18">
        <f t="shared" si="3"/>
        <v>7.6049999999999993E-2</v>
      </c>
      <c r="BW45" s="18">
        <f t="shared" si="4"/>
        <v>0.14449499999999998</v>
      </c>
    </row>
    <row r="46" spans="1:87" hidden="1" x14ac:dyDescent="0.25">
      <c r="A46" s="18" t="s">
        <v>6</v>
      </c>
      <c r="B46" s="18">
        <v>2024</v>
      </c>
      <c r="C46" s="18" t="s">
        <v>138</v>
      </c>
      <c r="D46" s="18" t="s">
        <v>10</v>
      </c>
      <c r="E46" s="18">
        <v>30</v>
      </c>
      <c r="F46" s="18" t="s">
        <v>152</v>
      </c>
      <c r="G46" s="18" t="s">
        <v>161</v>
      </c>
      <c r="H46" s="31">
        <f t="shared" si="21"/>
        <v>21</v>
      </c>
      <c r="I46" s="31">
        <f t="shared" si="22"/>
        <v>21.5</v>
      </c>
      <c r="J46" s="4">
        <f t="shared" si="5"/>
        <v>0.5</v>
      </c>
      <c r="K46" s="5">
        <v>0.38</v>
      </c>
      <c r="L46" s="31">
        <f t="shared" si="6"/>
        <v>0.19</v>
      </c>
      <c r="M46" s="105">
        <v>1.9</v>
      </c>
      <c r="N46" s="31">
        <v>10.5</v>
      </c>
      <c r="O46" s="31">
        <f t="shared" si="0"/>
        <v>0.19</v>
      </c>
      <c r="P46" s="31">
        <v>9.5</v>
      </c>
      <c r="Q46" s="31">
        <v>20</v>
      </c>
      <c r="R46" s="31">
        <v>0.31</v>
      </c>
      <c r="S46" s="31">
        <v>0</v>
      </c>
      <c r="T46" s="86">
        <f t="shared" si="24"/>
        <v>0</v>
      </c>
      <c r="U46" s="31">
        <v>6</v>
      </c>
      <c r="V46" s="31"/>
      <c r="W46" s="31">
        <f t="shared" si="25"/>
        <v>6</v>
      </c>
      <c r="X46" s="31">
        <f t="shared" si="29"/>
        <v>51.666666666666664</v>
      </c>
      <c r="Y46" s="31">
        <f t="shared" si="7"/>
        <v>5.1666666666666666E-2</v>
      </c>
      <c r="Z46" s="18">
        <v>0</v>
      </c>
      <c r="AA46" s="18" t="s">
        <v>100</v>
      </c>
      <c r="AB46" s="18" t="s">
        <v>333</v>
      </c>
      <c r="AC46" s="18" t="s">
        <v>337</v>
      </c>
      <c r="AD46" s="18">
        <v>20</v>
      </c>
      <c r="AE46" s="18">
        <v>9.5</v>
      </c>
      <c r="AF46" s="18" t="s">
        <v>29</v>
      </c>
      <c r="AG46" s="18" t="s">
        <v>27</v>
      </c>
      <c r="AH46" s="18" t="s">
        <v>27</v>
      </c>
      <c r="AI46" s="18" t="s">
        <v>64</v>
      </c>
      <c r="AJ46" s="18" t="s">
        <v>77</v>
      </c>
      <c r="AK46" s="18" t="s">
        <v>96</v>
      </c>
      <c r="AL46" s="18" t="s">
        <v>107</v>
      </c>
      <c r="AM46" s="18" t="s">
        <v>120</v>
      </c>
      <c r="AN46" s="18" t="s">
        <v>198</v>
      </c>
      <c r="AO46" s="18" t="s">
        <v>216</v>
      </c>
      <c r="AP46" s="18"/>
      <c r="AQ46" s="18">
        <f>+VLOOKUP(AI46,Leyenda!$B$30:$E$34,3,FALSE)</f>
        <v>2</v>
      </c>
      <c r="AR46" s="18">
        <f>+VLOOKUP('3. Blasting'!AJ46,Meteorizacion,3,FALSE)</f>
        <v>3</v>
      </c>
      <c r="AS46" s="18">
        <f>+VLOOKUP('3. Blasting'!AK46,Apertura,3,FALSE)</f>
        <v>1</v>
      </c>
      <c r="AT46" s="18">
        <f>+VLOOKUP('3. Blasting'!AL46,Leyenda!$B$55:$D$59,3,FALSE)</f>
        <v>3</v>
      </c>
      <c r="AU46" s="18">
        <f>+VLOOKUP('3. Blasting'!AM46,Relleno,3,FALSE)</f>
        <v>2</v>
      </c>
      <c r="AV46" s="18">
        <f t="shared" si="26"/>
        <v>11</v>
      </c>
      <c r="AW46" s="49">
        <f t="shared" si="8"/>
        <v>0</v>
      </c>
      <c r="AX46" s="49">
        <f>VLOOKUP(AF46,Leyenda!$B$4:$D$10,3,FALSE)</f>
        <v>2</v>
      </c>
      <c r="AY46" s="49">
        <f t="shared" si="2"/>
        <v>3</v>
      </c>
      <c r="AZ46" s="49">
        <f t="shared" si="9"/>
        <v>11</v>
      </c>
      <c r="BA46" s="49">
        <f>VLOOKUP(AN46,Leyenda!$B$70:$D$75,3,FALSE)</f>
        <v>15</v>
      </c>
      <c r="BB46" s="67">
        <f t="shared" si="10"/>
        <v>16.5</v>
      </c>
      <c r="BC46" s="67">
        <f>VLOOKUP(AF46,Leyenda!$B$4:$E$10,4,FALSE)</f>
        <v>2</v>
      </c>
      <c r="BD46" s="67">
        <f t="shared" si="11"/>
        <v>4</v>
      </c>
      <c r="BE46" s="67">
        <f t="shared" si="12"/>
        <v>0</v>
      </c>
      <c r="BF46" s="67">
        <f>+VLOOKUP('3. Blasting'!AK46,Leyenda!$B$47:$E$51,4,FALSE)</f>
        <v>1</v>
      </c>
      <c r="BG46" s="67">
        <f>+VLOOKUP('3. Blasting'!AL46,Leyenda!$B$55:$E$59,4,FALSE)</f>
        <v>3</v>
      </c>
      <c r="BH46" s="67">
        <f>+VLOOKUP('3. Blasting'!AM46,Leyenda!$B$63:$E$67,3,FALSE)</f>
        <v>2</v>
      </c>
      <c r="BI46" s="67">
        <f>+VLOOKUP('3. Blasting'!AJ46,Leyenda!$B$39:$E$43,4,FALSE)</f>
        <v>3</v>
      </c>
      <c r="BJ46" s="67">
        <f>+VLOOKUP('3. Blasting'!AI46,Leyenda!$B$30:$E$34,4,FALSE)</f>
        <v>3</v>
      </c>
      <c r="BK46" s="67">
        <f>VLOOKUP(AN46,Leyenda!$B$71:$E$75,4,FALSE)</f>
        <v>10</v>
      </c>
      <c r="BL46" s="67">
        <f t="shared" si="13"/>
        <v>28</v>
      </c>
      <c r="BM46" s="18">
        <f t="shared" si="14"/>
        <v>31</v>
      </c>
      <c r="BN46" s="18">
        <f t="shared" si="28"/>
        <v>0.97893366940674731</v>
      </c>
      <c r="BO46" s="18"/>
      <c r="BP46" s="6">
        <f t="shared" si="16"/>
        <v>10</v>
      </c>
      <c r="BQ46" s="6">
        <f t="shared" si="17"/>
        <v>10</v>
      </c>
      <c r="BR46" s="6">
        <v>20</v>
      </c>
      <c r="BS46" s="6">
        <f t="shared" si="18"/>
        <v>-2.5</v>
      </c>
      <c r="BT46" s="6">
        <f t="shared" si="19"/>
        <v>0.52500000000000002</v>
      </c>
      <c r="BU46" s="6">
        <f t="shared" si="20"/>
        <v>19.012499999999999</v>
      </c>
      <c r="BV46" s="18">
        <f t="shared" si="3"/>
        <v>7.6049999999999993E-2</v>
      </c>
      <c r="BW46" s="18">
        <f t="shared" si="4"/>
        <v>0.14449499999999998</v>
      </c>
    </row>
    <row r="47" spans="1:87" hidden="1" x14ac:dyDescent="0.25">
      <c r="A47" s="18" t="s">
        <v>6</v>
      </c>
      <c r="B47" s="18">
        <v>2024</v>
      </c>
      <c r="C47" s="18" t="s">
        <v>138</v>
      </c>
      <c r="D47" s="18" t="s">
        <v>10</v>
      </c>
      <c r="E47" s="18">
        <v>30</v>
      </c>
      <c r="F47" s="18" t="s">
        <v>152</v>
      </c>
      <c r="G47" s="18" t="s">
        <v>162</v>
      </c>
      <c r="H47" s="31">
        <f t="shared" si="21"/>
        <v>21.5</v>
      </c>
      <c r="I47" s="31">
        <f t="shared" si="22"/>
        <v>22</v>
      </c>
      <c r="J47" s="4">
        <f t="shared" si="5"/>
        <v>0.5</v>
      </c>
      <c r="K47" s="5">
        <v>0.6</v>
      </c>
      <c r="L47" s="31">
        <f t="shared" si="6"/>
        <v>0.3</v>
      </c>
      <c r="M47" s="105">
        <v>1.9</v>
      </c>
      <c r="N47" s="31">
        <v>10.5</v>
      </c>
      <c r="O47" s="31">
        <f t="shared" si="0"/>
        <v>0.3</v>
      </c>
      <c r="P47" s="31">
        <v>15</v>
      </c>
      <c r="Q47" s="31">
        <v>20</v>
      </c>
      <c r="R47" s="31">
        <v>0.27</v>
      </c>
      <c r="S47" s="31">
        <v>0.26</v>
      </c>
      <c r="T47" s="86">
        <f t="shared" si="24"/>
        <v>52</v>
      </c>
      <c r="U47" s="31">
        <v>5</v>
      </c>
      <c r="V47" s="31"/>
      <c r="W47" s="31">
        <f t="shared" si="25"/>
        <v>5</v>
      </c>
      <c r="X47" s="31">
        <f t="shared" si="29"/>
        <v>54</v>
      </c>
      <c r="Y47" s="31">
        <f t="shared" si="7"/>
        <v>5.3999999999999999E-2</v>
      </c>
      <c r="Z47" s="18">
        <v>44</v>
      </c>
      <c r="AA47" s="18" t="s">
        <v>88</v>
      </c>
      <c r="AB47" s="18" t="s">
        <v>333</v>
      </c>
      <c r="AC47" s="18" t="s">
        <v>334</v>
      </c>
      <c r="AD47" s="18">
        <v>20</v>
      </c>
      <c r="AE47" s="18">
        <v>15</v>
      </c>
      <c r="AF47" s="18" t="s">
        <v>27</v>
      </c>
      <c r="AG47" s="18" t="s">
        <v>27</v>
      </c>
      <c r="AH47" s="18" t="s">
        <v>27</v>
      </c>
      <c r="AI47" s="18" t="s">
        <v>62</v>
      </c>
      <c r="AJ47" s="18" t="s">
        <v>75</v>
      </c>
      <c r="AK47" s="18" t="s">
        <v>92</v>
      </c>
      <c r="AL47" s="18" t="s">
        <v>107</v>
      </c>
      <c r="AM47" s="18" t="s">
        <v>116</v>
      </c>
      <c r="AN47" s="18" t="s">
        <v>198</v>
      </c>
      <c r="AO47" s="18" t="s">
        <v>217</v>
      </c>
      <c r="AP47" s="18"/>
      <c r="AQ47" s="18">
        <f>+VLOOKUP(AI47,Leyenda!$B$30:$E$34,3,FALSE)</f>
        <v>4</v>
      </c>
      <c r="AR47" s="18">
        <f>+VLOOKUP('3. Blasting'!AJ47,Meteorizacion,3,FALSE)</f>
        <v>5</v>
      </c>
      <c r="AS47" s="18">
        <f>+VLOOKUP('3. Blasting'!AK47,Apertura,3,FALSE)</f>
        <v>3</v>
      </c>
      <c r="AT47" s="18">
        <f>+VLOOKUP('3. Blasting'!AL47,Leyenda!$B$55:$D$59,3,FALSE)</f>
        <v>3</v>
      </c>
      <c r="AU47" s="18">
        <f>+VLOOKUP('3. Blasting'!AM47,Relleno,3,FALSE)</f>
        <v>4</v>
      </c>
      <c r="AV47" s="18">
        <f t="shared" si="26"/>
        <v>19</v>
      </c>
      <c r="AW47" s="49">
        <f t="shared" si="8"/>
        <v>9</v>
      </c>
      <c r="AX47" s="49">
        <f>VLOOKUP(AF47,Leyenda!$B$4:$D$10,3,FALSE)</f>
        <v>4</v>
      </c>
      <c r="AY47" s="49">
        <f t="shared" si="2"/>
        <v>4</v>
      </c>
      <c r="AZ47" s="49">
        <f t="shared" si="9"/>
        <v>19</v>
      </c>
      <c r="BA47" s="49">
        <f>VLOOKUP(AN47,Leyenda!$B$70:$D$75,3,FALSE)</f>
        <v>15</v>
      </c>
      <c r="BB47" s="67">
        <f t="shared" si="10"/>
        <v>54.5</v>
      </c>
      <c r="BC47" s="67">
        <f>VLOOKUP(AF47,Leyenda!$B$4:$E$10,4,FALSE)</f>
        <v>4</v>
      </c>
      <c r="BD47" s="67">
        <f t="shared" si="11"/>
        <v>4</v>
      </c>
      <c r="BE47" s="67">
        <f t="shared" si="12"/>
        <v>11</v>
      </c>
      <c r="BF47" s="67">
        <f>+VLOOKUP('3. Blasting'!AK47,Leyenda!$B$47:$E$51,4,FALSE)</f>
        <v>3</v>
      </c>
      <c r="BG47" s="67">
        <f>+VLOOKUP('3. Blasting'!AL47,Leyenda!$B$55:$E$59,4,FALSE)</f>
        <v>3</v>
      </c>
      <c r="BH47" s="67">
        <f>+VLOOKUP('3. Blasting'!AM47,Leyenda!$B$63:$E$67,3,FALSE)</f>
        <v>4</v>
      </c>
      <c r="BI47" s="67">
        <f>+VLOOKUP('3. Blasting'!AJ47,Leyenda!$B$39:$E$43,4,FALSE)</f>
        <v>4</v>
      </c>
      <c r="BJ47" s="67">
        <f>+VLOOKUP('3. Blasting'!AI47,Leyenda!$B$30:$E$34,4,FALSE)</f>
        <v>4</v>
      </c>
      <c r="BK47" s="67">
        <f>VLOOKUP(AN47,Leyenda!$B$71:$E$75,4,FALSE)</f>
        <v>10</v>
      </c>
      <c r="BL47" s="67">
        <f t="shared" si="13"/>
        <v>47</v>
      </c>
      <c r="BM47" s="18">
        <f t="shared" si="14"/>
        <v>51</v>
      </c>
      <c r="BN47" s="18">
        <f t="shared" si="28"/>
        <v>0.97896358464625399</v>
      </c>
      <c r="BO47" s="18"/>
      <c r="BP47" s="6">
        <f t="shared" si="16"/>
        <v>30</v>
      </c>
      <c r="BQ47" s="6">
        <f t="shared" si="17"/>
        <v>10</v>
      </c>
      <c r="BR47" s="6">
        <v>20</v>
      </c>
      <c r="BS47" s="6">
        <f t="shared" si="18"/>
        <v>-2.5</v>
      </c>
      <c r="BT47" s="6">
        <f t="shared" si="19"/>
        <v>0.52500000000000002</v>
      </c>
      <c r="BU47" s="6">
        <f t="shared" si="20"/>
        <v>29.012499999999999</v>
      </c>
      <c r="BV47" s="18">
        <f t="shared" si="3"/>
        <v>0.11605</v>
      </c>
      <c r="BW47" s="18">
        <f t="shared" si="4"/>
        <v>0.220495</v>
      </c>
    </row>
    <row r="48" spans="1:87" hidden="1" x14ac:dyDescent="0.25">
      <c r="A48" s="18" t="s">
        <v>6</v>
      </c>
      <c r="B48" s="18">
        <v>2024</v>
      </c>
      <c r="C48" s="18" t="s">
        <v>138</v>
      </c>
      <c r="D48" s="18" t="s">
        <v>10</v>
      </c>
      <c r="E48" s="18">
        <v>30</v>
      </c>
      <c r="F48" s="18" t="s">
        <v>152</v>
      </c>
      <c r="G48" s="18" t="s">
        <v>162</v>
      </c>
      <c r="H48" s="31">
        <f t="shared" si="21"/>
        <v>22</v>
      </c>
      <c r="I48" s="31">
        <f t="shared" si="22"/>
        <v>22.5</v>
      </c>
      <c r="J48" s="4">
        <f t="shared" si="5"/>
        <v>0.5</v>
      </c>
      <c r="K48" s="5">
        <v>0.6</v>
      </c>
      <c r="L48" s="31">
        <f t="shared" si="6"/>
        <v>0.3</v>
      </c>
      <c r="M48" s="105">
        <v>1.9</v>
      </c>
      <c r="N48" s="31">
        <v>10.5</v>
      </c>
      <c r="O48" s="31">
        <f t="shared" si="0"/>
        <v>0.3</v>
      </c>
      <c r="P48" s="31">
        <v>15</v>
      </c>
      <c r="Q48" s="31">
        <v>20</v>
      </c>
      <c r="R48" s="31">
        <v>0.44</v>
      </c>
      <c r="S48" s="31">
        <v>0.18</v>
      </c>
      <c r="T48" s="86">
        <f t="shared" si="24"/>
        <v>36</v>
      </c>
      <c r="U48" s="31">
        <v>4</v>
      </c>
      <c r="V48" s="31"/>
      <c r="W48" s="31">
        <f t="shared" si="25"/>
        <v>4</v>
      </c>
      <c r="X48" s="31">
        <f t="shared" si="29"/>
        <v>110</v>
      </c>
      <c r="Y48" s="31">
        <f t="shared" si="7"/>
        <v>0.11</v>
      </c>
      <c r="Z48" s="18">
        <v>42</v>
      </c>
      <c r="AA48" s="18" t="s">
        <v>88</v>
      </c>
      <c r="AB48" s="18" t="s">
        <v>333</v>
      </c>
      <c r="AC48" s="18" t="s">
        <v>329</v>
      </c>
      <c r="AD48" s="18">
        <v>20</v>
      </c>
      <c r="AE48" s="18">
        <v>15</v>
      </c>
      <c r="AF48" s="18" t="s">
        <v>24</v>
      </c>
      <c r="AG48" s="18" t="s">
        <v>27</v>
      </c>
      <c r="AH48" s="18" t="s">
        <v>27</v>
      </c>
      <c r="AI48" s="18" t="s">
        <v>62</v>
      </c>
      <c r="AJ48" s="18" t="s">
        <v>75</v>
      </c>
      <c r="AK48" s="18" t="s">
        <v>92</v>
      </c>
      <c r="AL48" s="18" t="s">
        <v>107</v>
      </c>
      <c r="AM48" s="18" t="s">
        <v>116</v>
      </c>
      <c r="AN48" s="18" t="s">
        <v>198</v>
      </c>
      <c r="AO48" s="18" t="s">
        <v>217</v>
      </c>
      <c r="AP48" s="18"/>
      <c r="AQ48" s="18">
        <f>+VLOOKUP(AI48,Leyenda!$B$30:$E$34,3,FALSE)</f>
        <v>4</v>
      </c>
      <c r="AR48" s="18">
        <f>+VLOOKUP('3. Blasting'!AJ48,Meteorizacion,3,FALSE)</f>
        <v>5</v>
      </c>
      <c r="AS48" s="18">
        <f>+VLOOKUP('3. Blasting'!AK48,Apertura,3,FALSE)</f>
        <v>3</v>
      </c>
      <c r="AT48" s="18">
        <f>+VLOOKUP('3. Blasting'!AL48,Leyenda!$B$55:$D$59,3,FALSE)</f>
        <v>3</v>
      </c>
      <c r="AU48" s="18">
        <f>+VLOOKUP('3. Blasting'!AM48,Relleno,3,FALSE)</f>
        <v>4</v>
      </c>
      <c r="AV48" s="18">
        <f t="shared" si="26"/>
        <v>19</v>
      </c>
      <c r="AW48" s="49">
        <f t="shared" si="8"/>
        <v>9</v>
      </c>
      <c r="AX48" s="49">
        <f>VLOOKUP(AF48,Leyenda!$B$4:$D$10,3,FALSE)</f>
        <v>7</v>
      </c>
      <c r="AY48" s="49">
        <f t="shared" si="2"/>
        <v>4</v>
      </c>
      <c r="AZ48" s="49">
        <f t="shared" si="9"/>
        <v>19</v>
      </c>
      <c r="BA48" s="49">
        <f>VLOOKUP(AN48,Leyenda!$B$70:$D$75,3,FALSE)</f>
        <v>15</v>
      </c>
      <c r="BB48" s="67">
        <f t="shared" si="10"/>
        <v>46.5</v>
      </c>
      <c r="BC48" s="67">
        <f>VLOOKUP(AF48,Leyenda!$B$4:$E$10,4,FALSE)</f>
        <v>7</v>
      </c>
      <c r="BD48" s="67">
        <f t="shared" si="11"/>
        <v>9</v>
      </c>
      <c r="BE48" s="67">
        <f t="shared" si="12"/>
        <v>8</v>
      </c>
      <c r="BF48" s="67">
        <f>+VLOOKUP('3. Blasting'!AK48,Leyenda!$B$47:$E$51,4,FALSE)</f>
        <v>3</v>
      </c>
      <c r="BG48" s="67">
        <f>+VLOOKUP('3. Blasting'!AL48,Leyenda!$B$55:$E$59,4,FALSE)</f>
        <v>3</v>
      </c>
      <c r="BH48" s="67">
        <f>+VLOOKUP('3. Blasting'!AM48,Leyenda!$B$63:$E$67,3,FALSE)</f>
        <v>4</v>
      </c>
      <c r="BI48" s="67">
        <f>+VLOOKUP('3. Blasting'!AJ48,Leyenda!$B$39:$E$43,4,FALSE)</f>
        <v>4</v>
      </c>
      <c r="BJ48" s="67">
        <f>+VLOOKUP('3. Blasting'!AI48,Leyenda!$B$30:$E$34,4,FALSE)</f>
        <v>4</v>
      </c>
      <c r="BK48" s="67">
        <f>VLOOKUP(AN48,Leyenda!$B$71:$E$75,4,FALSE)</f>
        <v>10</v>
      </c>
      <c r="BL48" s="67">
        <f t="shared" si="13"/>
        <v>52</v>
      </c>
      <c r="BM48" s="18">
        <f t="shared" si="14"/>
        <v>54</v>
      </c>
      <c r="BN48" s="18">
        <f t="shared" si="28"/>
        <v>0.97892093321411067</v>
      </c>
      <c r="BO48" s="18"/>
      <c r="BP48" s="6">
        <f t="shared" si="16"/>
        <v>30</v>
      </c>
      <c r="BQ48" s="6">
        <f t="shared" si="17"/>
        <v>20</v>
      </c>
      <c r="BR48" s="6">
        <v>20</v>
      </c>
      <c r="BS48" s="6">
        <f t="shared" si="18"/>
        <v>-2.5</v>
      </c>
      <c r="BT48" s="6">
        <f t="shared" si="19"/>
        <v>0.52500000000000002</v>
      </c>
      <c r="BU48" s="6">
        <f t="shared" si="20"/>
        <v>34.012500000000003</v>
      </c>
      <c r="BV48" s="18">
        <f t="shared" si="3"/>
        <v>0.13605</v>
      </c>
      <c r="BW48" s="18">
        <f t="shared" si="4"/>
        <v>0.25849499999999997</v>
      </c>
    </row>
    <row r="49" spans="1:75" hidden="1" x14ac:dyDescent="0.25">
      <c r="A49" s="18" t="s">
        <v>6</v>
      </c>
      <c r="B49" s="18">
        <v>2024</v>
      </c>
      <c r="C49" s="18" t="s">
        <v>138</v>
      </c>
      <c r="D49" s="18" t="s">
        <v>10</v>
      </c>
      <c r="E49" s="18">
        <v>30</v>
      </c>
      <c r="F49" s="18" t="s">
        <v>152</v>
      </c>
      <c r="G49" s="18" t="s">
        <v>162</v>
      </c>
      <c r="H49" s="31">
        <f t="shared" si="21"/>
        <v>22.5</v>
      </c>
      <c r="I49" s="31">
        <f t="shared" si="22"/>
        <v>23</v>
      </c>
      <c r="J49" s="4">
        <f t="shared" si="5"/>
        <v>0.5</v>
      </c>
      <c r="K49" s="5">
        <v>1</v>
      </c>
      <c r="L49" s="31">
        <f t="shared" si="6"/>
        <v>0.5</v>
      </c>
      <c r="M49" s="105">
        <v>1.9</v>
      </c>
      <c r="N49" s="31">
        <v>10.5</v>
      </c>
      <c r="O49" s="31">
        <f t="shared" si="0"/>
        <v>0.5</v>
      </c>
      <c r="P49" s="31">
        <v>25</v>
      </c>
      <c r="Q49" s="31">
        <v>20</v>
      </c>
      <c r="R49" s="31">
        <v>0.5</v>
      </c>
      <c r="S49" s="31">
        <v>0.5</v>
      </c>
      <c r="T49" s="86">
        <f t="shared" si="24"/>
        <v>100</v>
      </c>
      <c r="U49" s="31">
        <v>1</v>
      </c>
      <c r="V49" s="31"/>
      <c r="W49" s="31">
        <f t="shared" si="25"/>
        <v>1</v>
      </c>
      <c r="X49" s="31">
        <f t="shared" si="29"/>
        <v>500</v>
      </c>
      <c r="Y49" s="31">
        <f t="shared" si="7"/>
        <v>0.5</v>
      </c>
      <c r="Z49" s="18">
        <v>97</v>
      </c>
      <c r="AA49" s="18" t="s">
        <v>96</v>
      </c>
      <c r="AB49" s="18" t="s">
        <v>333</v>
      </c>
      <c r="AC49" s="18" t="s">
        <v>329</v>
      </c>
      <c r="AD49" s="18">
        <v>20</v>
      </c>
      <c r="AE49" s="18">
        <v>25</v>
      </c>
      <c r="AF49" s="18" t="s">
        <v>24</v>
      </c>
      <c r="AG49" s="18" t="s">
        <v>27</v>
      </c>
      <c r="AH49" s="18" t="s">
        <v>27</v>
      </c>
      <c r="AI49" s="18" t="s">
        <v>62</v>
      </c>
      <c r="AJ49" s="18" t="s">
        <v>75</v>
      </c>
      <c r="AK49" s="18" t="s">
        <v>88</v>
      </c>
      <c r="AL49" s="18" t="s">
        <v>107</v>
      </c>
      <c r="AM49" s="18" t="s">
        <v>116</v>
      </c>
      <c r="AN49" s="18" t="s">
        <v>198</v>
      </c>
      <c r="AO49" s="18" t="s">
        <v>217</v>
      </c>
      <c r="AP49" s="18"/>
      <c r="AQ49" s="18">
        <f>+VLOOKUP(AI49,Leyenda!$B$30:$E$34,3,FALSE)</f>
        <v>4</v>
      </c>
      <c r="AR49" s="18">
        <f>+VLOOKUP('3. Blasting'!AJ49,Meteorizacion,3,FALSE)</f>
        <v>5</v>
      </c>
      <c r="AS49" s="18">
        <f>+VLOOKUP('3. Blasting'!AK49,Apertura,3,FALSE)</f>
        <v>5</v>
      </c>
      <c r="AT49" s="18">
        <f>+VLOOKUP('3. Blasting'!AL49,Leyenda!$B$55:$D$59,3,FALSE)</f>
        <v>3</v>
      </c>
      <c r="AU49" s="18">
        <f>+VLOOKUP('3. Blasting'!AM49,Relleno,3,FALSE)</f>
        <v>4</v>
      </c>
      <c r="AV49" s="18">
        <f t="shared" si="26"/>
        <v>21</v>
      </c>
      <c r="AW49" s="49">
        <f t="shared" si="8"/>
        <v>19</v>
      </c>
      <c r="AX49" s="49">
        <f>VLOOKUP(AF49,Leyenda!$B$4:$D$10,3,FALSE)</f>
        <v>7</v>
      </c>
      <c r="AY49" s="49">
        <f t="shared" si="2"/>
        <v>5</v>
      </c>
      <c r="AZ49" s="49">
        <f t="shared" si="9"/>
        <v>21</v>
      </c>
      <c r="BA49" s="49">
        <f>VLOOKUP(AN49,Leyenda!$B$70:$D$75,3,FALSE)</f>
        <v>15</v>
      </c>
      <c r="BB49" s="67">
        <f t="shared" si="10"/>
        <v>81.5</v>
      </c>
      <c r="BC49" s="67">
        <f>VLOOKUP(AF49,Leyenda!$B$4:$E$10,4,FALSE)</f>
        <v>7</v>
      </c>
      <c r="BD49" s="67">
        <f t="shared" si="11"/>
        <v>18</v>
      </c>
      <c r="BE49" s="67">
        <f t="shared" si="12"/>
        <v>20</v>
      </c>
      <c r="BF49" s="67">
        <f>+VLOOKUP('3. Blasting'!AK49,Leyenda!$B$47:$E$51,4,FALSE)</f>
        <v>4</v>
      </c>
      <c r="BG49" s="67">
        <f>+VLOOKUP('3. Blasting'!AL49,Leyenda!$B$55:$E$59,4,FALSE)</f>
        <v>3</v>
      </c>
      <c r="BH49" s="67">
        <f>+VLOOKUP('3. Blasting'!AM49,Leyenda!$B$63:$E$67,3,FALSE)</f>
        <v>4</v>
      </c>
      <c r="BI49" s="67">
        <f>+VLOOKUP('3. Blasting'!AJ49,Leyenda!$B$39:$E$43,4,FALSE)</f>
        <v>4</v>
      </c>
      <c r="BJ49" s="67">
        <f>+VLOOKUP('3. Blasting'!AI49,Leyenda!$B$30:$E$34,4,FALSE)</f>
        <v>4</v>
      </c>
      <c r="BK49" s="67">
        <f>VLOOKUP(AN49,Leyenda!$B$71:$E$75,4,FALSE)</f>
        <v>10</v>
      </c>
      <c r="BL49" s="67">
        <f t="shared" si="13"/>
        <v>74</v>
      </c>
      <c r="BM49" s="18">
        <f t="shared" si="14"/>
        <v>67</v>
      </c>
      <c r="BN49" s="18">
        <f t="shared" si="28"/>
        <v>0.97836860532815972</v>
      </c>
      <c r="BO49" s="18"/>
      <c r="BP49" s="6">
        <f t="shared" si="16"/>
        <v>30</v>
      </c>
      <c r="BQ49" s="6">
        <f t="shared" si="17"/>
        <v>20</v>
      </c>
      <c r="BR49" s="6">
        <v>20</v>
      </c>
      <c r="BS49" s="6">
        <f t="shared" si="18"/>
        <v>-2.5</v>
      </c>
      <c r="BT49" s="6">
        <f t="shared" si="19"/>
        <v>0.52500000000000002</v>
      </c>
      <c r="BU49" s="6">
        <f t="shared" si="20"/>
        <v>34.012500000000003</v>
      </c>
      <c r="BV49" s="18">
        <f t="shared" si="3"/>
        <v>0.13605</v>
      </c>
      <c r="BW49" s="18">
        <f t="shared" si="4"/>
        <v>0.25849499999999997</v>
      </c>
    </row>
    <row r="50" spans="1:75" hidden="1" x14ac:dyDescent="0.25">
      <c r="A50" s="18" t="s">
        <v>6</v>
      </c>
      <c r="B50" s="18">
        <v>2024</v>
      </c>
      <c r="C50" s="18" t="s">
        <v>138</v>
      </c>
      <c r="D50" s="18" t="s">
        <v>10</v>
      </c>
      <c r="E50" s="18">
        <v>30</v>
      </c>
      <c r="F50" s="18" t="s">
        <v>152</v>
      </c>
      <c r="G50" s="18" t="s">
        <v>162</v>
      </c>
      <c r="H50" s="31">
        <f t="shared" si="21"/>
        <v>23</v>
      </c>
      <c r="I50" s="31">
        <f t="shared" si="22"/>
        <v>23.5</v>
      </c>
      <c r="J50" s="4">
        <f t="shared" si="5"/>
        <v>0.5</v>
      </c>
      <c r="K50" s="5">
        <v>0.97</v>
      </c>
      <c r="L50" s="31">
        <f t="shared" si="6"/>
        <v>0.48499999999999999</v>
      </c>
      <c r="M50" s="105">
        <v>1.9</v>
      </c>
      <c r="N50" s="31">
        <v>10.5</v>
      </c>
      <c r="O50" s="31">
        <f t="shared" si="0"/>
        <v>0.48499999999999999</v>
      </c>
      <c r="P50" s="31">
        <v>24.25</v>
      </c>
      <c r="Q50" s="31">
        <v>20</v>
      </c>
      <c r="R50" s="31">
        <v>0.5</v>
      </c>
      <c r="S50" s="31">
        <v>0.31</v>
      </c>
      <c r="T50" s="86">
        <f t="shared" si="24"/>
        <v>62</v>
      </c>
      <c r="U50" s="31">
        <v>3</v>
      </c>
      <c r="V50" s="31"/>
      <c r="W50" s="31">
        <f t="shared" si="25"/>
        <v>3</v>
      </c>
      <c r="X50" s="31">
        <f t="shared" si="29"/>
        <v>166.66666666666666</v>
      </c>
      <c r="Y50" s="31">
        <f t="shared" si="7"/>
        <v>0.16666666666666666</v>
      </c>
      <c r="Z50" s="18">
        <v>100</v>
      </c>
      <c r="AA50" s="18" t="s">
        <v>96</v>
      </c>
      <c r="AB50" s="18" t="s">
        <v>333</v>
      </c>
      <c r="AC50" s="18" t="s">
        <v>334</v>
      </c>
      <c r="AD50" s="18">
        <v>20</v>
      </c>
      <c r="AE50" s="18">
        <v>24.25</v>
      </c>
      <c r="AF50" s="18" t="s">
        <v>27</v>
      </c>
      <c r="AG50" s="18" t="s">
        <v>27</v>
      </c>
      <c r="AH50" s="18" t="s">
        <v>27</v>
      </c>
      <c r="AI50" s="18" t="s">
        <v>62</v>
      </c>
      <c r="AJ50" s="18" t="s">
        <v>75</v>
      </c>
      <c r="AK50" s="18" t="s">
        <v>88</v>
      </c>
      <c r="AL50" s="18" t="s">
        <v>107</v>
      </c>
      <c r="AM50" s="18" t="s">
        <v>116</v>
      </c>
      <c r="AN50" s="18" t="s">
        <v>198</v>
      </c>
      <c r="AO50" s="18" t="s">
        <v>217</v>
      </c>
      <c r="AP50" s="18"/>
      <c r="AQ50" s="18">
        <f>+VLOOKUP(AI50,Leyenda!$B$30:$E$34,3,FALSE)</f>
        <v>4</v>
      </c>
      <c r="AR50" s="18">
        <f>+VLOOKUP('3. Blasting'!AJ50,Meteorizacion,3,FALSE)</f>
        <v>5</v>
      </c>
      <c r="AS50" s="18">
        <f>+VLOOKUP('3. Blasting'!AK50,Apertura,3,FALSE)</f>
        <v>5</v>
      </c>
      <c r="AT50" s="18">
        <f>+VLOOKUP('3. Blasting'!AL50,Leyenda!$B$55:$D$59,3,FALSE)</f>
        <v>3</v>
      </c>
      <c r="AU50" s="18">
        <f>+VLOOKUP('3. Blasting'!AM50,Relleno,3,FALSE)</f>
        <v>4</v>
      </c>
      <c r="AV50" s="18">
        <f t="shared" si="26"/>
        <v>21</v>
      </c>
      <c r="AW50" s="49">
        <f t="shared" si="8"/>
        <v>20</v>
      </c>
      <c r="AX50" s="49">
        <f>VLOOKUP(AF50,Leyenda!$B$4:$D$10,3,FALSE)</f>
        <v>4</v>
      </c>
      <c r="AY50" s="49">
        <f t="shared" si="2"/>
        <v>5</v>
      </c>
      <c r="AZ50" s="49">
        <f t="shared" si="9"/>
        <v>21</v>
      </c>
      <c r="BA50" s="49">
        <f>VLOOKUP(AN50,Leyenda!$B$70:$D$75,3,FALSE)</f>
        <v>15</v>
      </c>
      <c r="BB50" s="67">
        <f t="shared" si="10"/>
        <v>62.5</v>
      </c>
      <c r="BC50" s="67">
        <f>VLOOKUP(AF50,Leyenda!$B$4:$E$10,4,FALSE)</f>
        <v>4</v>
      </c>
      <c r="BD50" s="67">
        <f t="shared" si="11"/>
        <v>11</v>
      </c>
      <c r="BE50" s="67">
        <f t="shared" si="12"/>
        <v>13</v>
      </c>
      <c r="BF50" s="67">
        <f>+VLOOKUP('3. Blasting'!AK50,Leyenda!$B$47:$E$51,4,FALSE)</f>
        <v>4</v>
      </c>
      <c r="BG50" s="67">
        <f>+VLOOKUP('3. Blasting'!AL50,Leyenda!$B$55:$E$59,4,FALSE)</f>
        <v>3</v>
      </c>
      <c r="BH50" s="67">
        <f>+VLOOKUP('3. Blasting'!AM50,Leyenda!$B$63:$E$67,3,FALSE)</f>
        <v>4</v>
      </c>
      <c r="BI50" s="67">
        <f>+VLOOKUP('3. Blasting'!AJ50,Leyenda!$B$39:$E$43,4,FALSE)</f>
        <v>4</v>
      </c>
      <c r="BJ50" s="67">
        <f>+VLOOKUP('3. Blasting'!AI50,Leyenda!$B$30:$E$34,4,FALSE)</f>
        <v>4</v>
      </c>
      <c r="BK50" s="67">
        <f>VLOOKUP(AN50,Leyenda!$B$71:$E$75,4,FALSE)</f>
        <v>10</v>
      </c>
      <c r="BL50" s="67">
        <f t="shared" si="13"/>
        <v>57</v>
      </c>
      <c r="BM50" s="18">
        <f t="shared" si="14"/>
        <v>65</v>
      </c>
      <c r="BN50" s="18">
        <f t="shared" si="28"/>
        <v>0.97742927710990124</v>
      </c>
      <c r="BO50" s="18"/>
      <c r="BP50" s="6">
        <f t="shared" si="16"/>
        <v>30</v>
      </c>
      <c r="BQ50" s="6">
        <f t="shared" si="17"/>
        <v>20</v>
      </c>
      <c r="BR50" s="6">
        <v>20</v>
      </c>
      <c r="BS50" s="6">
        <f t="shared" si="18"/>
        <v>-2.5</v>
      </c>
      <c r="BT50" s="6">
        <f t="shared" si="19"/>
        <v>0.52500000000000002</v>
      </c>
      <c r="BU50" s="6">
        <f t="shared" si="20"/>
        <v>34.012500000000003</v>
      </c>
      <c r="BV50" s="18">
        <f t="shared" si="3"/>
        <v>0.13605</v>
      </c>
      <c r="BW50" s="18">
        <f t="shared" si="4"/>
        <v>0.25849499999999997</v>
      </c>
    </row>
    <row r="51" spans="1:75" hidden="1" x14ac:dyDescent="0.25">
      <c r="A51" s="18" t="s">
        <v>6</v>
      </c>
      <c r="B51" s="18">
        <v>2024</v>
      </c>
      <c r="C51" s="18" t="s">
        <v>138</v>
      </c>
      <c r="D51" s="18" t="s">
        <v>10</v>
      </c>
      <c r="E51" s="18">
        <v>30</v>
      </c>
      <c r="F51" s="18" t="s">
        <v>152</v>
      </c>
      <c r="G51" s="18" t="s">
        <v>162</v>
      </c>
      <c r="H51" s="31">
        <f t="shared" si="21"/>
        <v>23.5</v>
      </c>
      <c r="I51" s="31">
        <v>24.83</v>
      </c>
      <c r="J51" s="4">
        <f t="shared" si="5"/>
        <v>1.3299999999999983</v>
      </c>
      <c r="K51" s="5">
        <v>1</v>
      </c>
      <c r="L51" s="31">
        <f t="shared" si="6"/>
        <v>1.3299999999999983</v>
      </c>
      <c r="M51" s="105">
        <v>1.9</v>
      </c>
      <c r="N51" s="31">
        <v>10.5</v>
      </c>
      <c r="O51" s="31">
        <f t="shared" si="0"/>
        <v>1.3299999999999983</v>
      </c>
      <c r="P51" s="31">
        <v>265.99999999999966</v>
      </c>
      <c r="Q51" s="31">
        <v>5</v>
      </c>
      <c r="R51" s="31">
        <v>1.33</v>
      </c>
      <c r="S51" s="31">
        <v>1.26</v>
      </c>
      <c r="T51" s="86">
        <f>+S51/J51*100</f>
        <v>94.736842105263278</v>
      </c>
      <c r="U51" s="31">
        <v>1</v>
      </c>
      <c r="V51" s="31"/>
      <c r="W51" s="31">
        <f t="shared" si="25"/>
        <v>1</v>
      </c>
      <c r="X51" s="31">
        <f t="shared" si="29"/>
        <v>1330</v>
      </c>
      <c r="Y51" s="31">
        <f t="shared" si="7"/>
        <v>1.33</v>
      </c>
      <c r="Z51" s="18">
        <v>11</v>
      </c>
      <c r="AA51" s="18" t="s">
        <v>88</v>
      </c>
      <c r="AB51" s="18" t="s">
        <v>118</v>
      </c>
      <c r="AC51" s="18" t="s">
        <v>334</v>
      </c>
      <c r="AD51" s="18">
        <v>5</v>
      </c>
      <c r="AE51" s="18">
        <v>265.99999999999966</v>
      </c>
      <c r="AF51" s="18" t="s">
        <v>27</v>
      </c>
      <c r="AG51" s="18" t="s">
        <v>27</v>
      </c>
      <c r="AH51" s="18" t="s">
        <v>27</v>
      </c>
      <c r="AI51" s="18" t="s">
        <v>62</v>
      </c>
      <c r="AJ51" s="18" t="s">
        <v>75</v>
      </c>
      <c r="AK51" s="18" t="s">
        <v>92</v>
      </c>
      <c r="AL51" s="18" t="s">
        <v>105</v>
      </c>
      <c r="AM51" s="18" t="s">
        <v>116</v>
      </c>
      <c r="AN51" s="18" t="s">
        <v>198</v>
      </c>
      <c r="AO51" s="18"/>
      <c r="AP51" s="18"/>
      <c r="AQ51" s="18">
        <f>+VLOOKUP(AI51,Leyenda!$B$30:$E$34,3,FALSE)</f>
        <v>4</v>
      </c>
      <c r="AR51" s="18">
        <f>+VLOOKUP('3. Blasting'!AJ51,Meteorizacion,3,FALSE)</f>
        <v>5</v>
      </c>
      <c r="AS51" s="18">
        <f>+VLOOKUP('3. Blasting'!AK51,Apertura,3,FALSE)</f>
        <v>3</v>
      </c>
      <c r="AT51" s="18">
        <f>+VLOOKUP('3. Blasting'!AL51,Leyenda!$B$55:$D$59,3,FALSE)</f>
        <v>4</v>
      </c>
      <c r="AU51" s="18">
        <f>+VLOOKUP('3. Blasting'!AM51,Relleno,3,FALSE)</f>
        <v>4</v>
      </c>
      <c r="AV51" s="18">
        <f t="shared" si="26"/>
        <v>20</v>
      </c>
      <c r="AW51" s="49">
        <f t="shared" si="8"/>
        <v>2</v>
      </c>
      <c r="AX51" s="49">
        <f>VLOOKUP(AF51,Leyenda!$B$4:$D$10,3,FALSE)</f>
        <v>4</v>
      </c>
      <c r="AY51" s="49">
        <f t="shared" si="2"/>
        <v>10</v>
      </c>
      <c r="AZ51" s="49">
        <f t="shared" si="9"/>
        <v>20</v>
      </c>
      <c r="BA51" s="49">
        <f>VLOOKUP(AN51,Leyenda!$B$70:$D$75,3,FALSE)</f>
        <v>15</v>
      </c>
      <c r="BB51" s="67">
        <f t="shared" si="10"/>
        <v>77.368421052631646</v>
      </c>
      <c r="BC51" s="67">
        <f>VLOOKUP(AF51,Leyenda!$B$4:$E$10,4,FALSE)</f>
        <v>4</v>
      </c>
      <c r="BD51" s="67">
        <f t="shared" si="11"/>
        <v>24</v>
      </c>
      <c r="BE51" s="67">
        <f t="shared" si="12"/>
        <v>19</v>
      </c>
      <c r="BF51" s="67">
        <f>+VLOOKUP('3. Blasting'!AK51,Leyenda!$B$47:$E$51,4,FALSE)</f>
        <v>3</v>
      </c>
      <c r="BG51" s="67">
        <f>+VLOOKUP('3. Blasting'!AL51,Leyenda!$B$55:$E$59,4,FALSE)</f>
        <v>4</v>
      </c>
      <c r="BH51" s="67">
        <f>+VLOOKUP('3. Blasting'!AM51,Leyenda!$B$63:$E$67,3,FALSE)</f>
        <v>4</v>
      </c>
      <c r="BI51" s="67">
        <f>+VLOOKUP('3. Blasting'!AJ51,Leyenda!$B$39:$E$43,4,FALSE)</f>
        <v>4</v>
      </c>
      <c r="BJ51" s="67">
        <f>+VLOOKUP('3. Blasting'!AI51,Leyenda!$B$30:$E$34,4,FALSE)</f>
        <v>4</v>
      </c>
      <c r="BK51" s="67">
        <f>VLOOKUP(AN51,Leyenda!$B$71:$E$75,4,FALSE)</f>
        <v>10</v>
      </c>
      <c r="BL51" s="67">
        <f t="shared" si="13"/>
        <v>76</v>
      </c>
      <c r="BM51" s="18">
        <f t="shared" si="14"/>
        <v>51</v>
      </c>
      <c r="BN51" s="18">
        <f t="shared" si="28"/>
        <v>0.97693082172634083</v>
      </c>
      <c r="BO51" s="18"/>
      <c r="BP51" s="6">
        <f t="shared" si="16"/>
        <v>30</v>
      </c>
      <c r="BQ51" s="6">
        <f t="shared" si="17"/>
        <v>50</v>
      </c>
      <c r="BR51" s="6">
        <v>20</v>
      </c>
      <c r="BS51" s="6">
        <f t="shared" si="18"/>
        <v>-2.5</v>
      </c>
      <c r="BT51" s="6">
        <f t="shared" si="19"/>
        <v>0.52500000000000002</v>
      </c>
      <c r="BU51" s="6">
        <f t="shared" si="20"/>
        <v>49.012500000000003</v>
      </c>
      <c r="BV51" s="18">
        <f t="shared" si="3"/>
        <v>0.19605</v>
      </c>
      <c r="BW51" s="18">
        <f t="shared" si="4"/>
        <v>0.37249499999999997</v>
      </c>
    </row>
    <row r="52" spans="1:75" hidden="1" x14ac:dyDescent="0.25">
      <c r="A52" s="18" t="s">
        <v>6</v>
      </c>
      <c r="B52" s="18">
        <v>2024</v>
      </c>
      <c r="C52" s="18" t="s">
        <v>138</v>
      </c>
      <c r="D52" s="18" t="s">
        <v>10</v>
      </c>
      <c r="E52" s="18">
        <v>30</v>
      </c>
      <c r="F52" s="18" t="s">
        <v>152</v>
      </c>
      <c r="G52" s="18" t="s">
        <v>162</v>
      </c>
      <c r="H52" s="31">
        <f t="shared" si="21"/>
        <v>24.83</v>
      </c>
      <c r="I52" s="31">
        <v>25.33</v>
      </c>
      <c r="J52" s="4">
        <f t="shared" si="5"/>
        <v>0.5</v>
      </c>
      <c r="K52" s="5">
        <v>0.68</v>
      </c>
      <c r="L52" s="31">
        <f t="shared" si="6"/>
        <v>0.34</v>
      </c>
      <c r="M52" s="105">
        <v>1.9</v>
      </c>
      <c r="N52" s="31">
        <v>10.5</v>
      </c>
      <c r="O52" s="31">
        <f t="shared" si="0"/>
        <v>0.34</v>
      </c>
      <c r="P52" s="31">
        <v>340</v>
      </c>
      <c r="Q52" s="31">
        <v>1</v>
      </c>
      <c r="R52" s="31">
        <v>0.35</v>
      </c>
      <c r="S52" s="31">
        <v>0.17</v>
      </c>
      <c r="T52" s="86">
        <f>+S52/J52*100</f>
        <v>34</v>
      </c>
      <c r="U52" s="31">
        <v>4</v>
      </c>
      <c r="V52" s="31"/>
      <c r="W52" s="31">
        <f t="shared" si="25"/>
        <v>4</v>
      </c>
      <c r="X52" s="31">
        <f t="shared" si="29"/>
        <v>87.5</v>
      </c>
      <c r="Y52" s="31">
        <f t="shared" si="7"/>
        <v>8.7499999999999994E-2</v>
      </c>
      <c r="Z52" s="18">
        <v>42</v>
      </c>
      <c r="AA52" s="18" t="s">
        <v>92</v>
      </c>
      <c r="AB52" s="18" t="s">
        <v>116</v>
      </c>
      <c r="AC52" s="18" t="s">
        <v>337</v>
      </c>
      <c r="AD52" s="18">
        <v>1</v>
      </c>
      <c r="AE52" s="18">
        <v>340</v>
      </c>
      <c r="AF52" s="18" t="s">
        <v>29</v>
      </c>
      <c r="AG52" s="18" t="s">
        <v>27</v>
      </c>
      <c r="AH52" s="18" t="s">
        <v>27</v>
      </c>
      <c r="AI52" s="18" t="s">
        <v>62</v>
      </c>
      <c r="AJ52" s="18" t="s">
        <v>75</v>
      </c>
      <c r="AK52" s="18" t="s">
        <v>92</v>
      </c>
      <c r="AL52" s="18" t="s">
        <v>105</v>
      </c>
      <c r="AM52" s="18" t="s">
        <v>116</v>
      </c>
      <c r="AN52" s="18" t="s">
        <v>198</v>
      </c>
      <c r="AO52" s="18"/>
      <c r="AP52" s="18"/>
      <c r="AQ52" s="18">
        <f>+VLOOKUP(AI52,Leyenda!$B$30:$E$34,3,FALSE)</f>
        <v>4</v>
      </c>
      <c r="AR52" s="18">
        <f>+VLOOKUP('3. Blasting'!AJ52,Meteorizacion,3,FALSE)</f>
        <v>5</v>
      </c>
      <c r="AS52" s="18">
        <f>+VLOOKUP('3. Blasting'!AK52,Apertura,3,FALSE)</f>
        <v>3</v>
      </c>
      <c r="AT52" s="18">
        <f>+VLOOKUP('3. Blasting'!AL52,Leyenda!$B$55:$D$59,3,FALSE)</f>
        <v>4</v>
      </c>
      <c r="AU52" s="18">
        <f>+VLOOKUP('3. Blasting'!AM52,Relleno,3,FALSE)</f>
        <v>4</v>
      </c>
      <c r="AV52" s="18">
        <f t="shared" si="26"/>
        <v>20</v>
      </c>
      <c r="AW52" s="49">
        <f t="shared" si="8"/>
        <v>9</v>
      </c>
      <c r="AX52" s="49">
        <f>VLOOKUP(AF52,Leyenda!$B$4:$D$10,3,FALSE)</f>
        <v>2</v>
      </c>
      <c r="AY52" s="49">
        <f t="shared" si="2"/>
        <v>11</v>
      </c>
      <c r="AZ52" s="49">
        <f t="shared" si="9"/>
        <v>20</v>
      </c>
      <c r="BA52" s="49">
        <f>VLOOKUP(AN52,Leyenda!$B$70:$D$75,3,FALSE)</f>
        <v>15</v>
      </c>
      <c r="BB52" s="67">
        <f t="shared" si="10"/>
        <v>47</v>
      </c>
      <c r="BC52" s="67">
        <f>VLOOKUP(AF52,Leyenda!$B$4:$E$10,4,FALSE)</f>
        <v>2</v>
      </c>
      <c r="BD52" s="67">
        <f t="shared" si="11"/>
        <v>7</v>
      </c>
      <c r="BE52" s="67">
        <f t="shared" si="12"/>
        <v>7</v>
      </c>
      <c r="BF52" s="67">
        <f>+VLOOKUP('3. Blasting'!AK52,Leyenda!$B$47:$E$51,4,FALSE)</f>
        <v>3</v>
      </c>
      <c r="BG52" s="67">
        <f>+VLOOKUP('3. Blasting'!AL52,Leyenda!$B$55:$E$59,4,FALSE)</f>
        <v>4</v>
      </c>
      <c r="BH52" s="67">
        <f>+VLOOKUP('3. Blasting'!AM52,Leyenda!$B$63:$E$67,3,FALSE)</f>
        <v>4</v>
      </c>
      <c r="BI52" s="67">
        <f>+VLOOKUP('3. Blasting'!AJ52,Leyenda!$B$39:$E$43,4,FALSE)</f>
        <v>4</v>
      </c>
      <c r="BJ52" s="67">
        <f>+VLOOKUP('3. Blasting'!AI52,Leyenda!$B$30:$E$34,4,FALSE)</f>
        <v>4</v>
      </c>
      <c r="BK52" s="67">
        <f>VLOOKUP(AN52,Leyenda!$B$71:$E$75,4,FALSE)</f>
        <v>10</v>
      </c>
      <c r="BL52" s="67">
        <f t="shared" si="13"/>
        <v>45</v>
      </c>
      <c r="BM52" s="18">
        <f t="shared" si="14"/>
        <v>57</v>
      </c>
      <c r="BN52" s="18">
        <f t="shared" si="28"/>
        <v>0.97564899915043024</v>
      </c>
      <c r="BO52" s="18"/>
      <c r="BP52" s="6">
        <f t="shared" si="16"/>
        <v>30</v>
      </c>
      <c r="BQ52" s="6">
        <f t="shared" si="17"/>
        <v>10</v>
      </c>
      <c r="BR52" s="6">
        <v>20</v>
      </c>
      <c r="BS52" s="6">
        <f t="shared" si="18"/>
        <v>-2.5</v>
      </c>
      <c r="BT52" s="6">
        <f t="shared" si="19"/>
        <v>0.52500000000000002</v>
      </c>
      <c r="BU52" s="6">
        <f t="shared" si="20"/>
        <v>29.012499999999999</v>
      </c>
      <c r="BV52" s="18">
        <f t="shared" si="3"/>
        <v>0.11605</v>
      </c>
      <c r="BW52" s="18">
        <f t="shared" si="4"/>
        <v>0.220495</v>
      </c>
    </row>
    <row r="53" spans="1:75" hidden="1" x14ac:dyDescent="0.25">
      <c r="A53" s="18" t="s">
        <v>6</v>
      </c>
      <c r="B53" s="18">
        <v>2024</v>
      </c>
      <c r="C53" s="18" t="s">
        <v>138</v>
      </c>
      <c r="D53" s="18" t="s">
        <v>10</v>
      </c>
      <c r="E53" s="18">
        <v>30</v>
      </c>
      <c r="F53" s="18" t="s">
        <v>152</v>
      </c>
      <c r="G53" s="18" t="s">
        <v>162</v>
      </c>
      <c r="H53" s="31">
        <f t="shared" si="21"/>
        <v>25.33</v>
      </c>
      <c r="I53" s="31">
        <v>25.83</v>
      </c>
      <c r="J53" s="4">
        <f t="shared" si="5"/>
        <v>0.5</v>
      </c>
      <c r="K53" s="5">
        <v>0.42</v>
      </c>
      <c r="L53" s="31">
        <f t="shared" si="6"/>
        <v>0.21</v>
      </c>
      <c r="M53" s="105">
        <v>1.9</v>
      </c>
      <c r="N53" s="31">
        <v>10.5</v>
      </c>
      <c r="O53" s="31">
        <f t="shared" si="0"/>
        <v>0.21</v>
      </c>
      <c r="P53" s="31">
        <v>42</v>
      </c>
      <c r="Q53" s="31">
        <v>5</v>
      </c>
      <c r="R53" s="31">
        <v>0.19</v>
      </c>
      <c r="S53" s="31">
        <v>0.16</v>
      </c>
      <c r="T53" s="86">
        <f t="shared" si="24"/>
        <v>32</v>
      </c>
      <c r="U53" s="31">
        <v>4</v>
      </c>
      <c r="V53" s="31"/>
      <c r="W53" s="31">
        <f t="shared" si="25"/>
        <v>4</v>
      </c>
      <c r="X53" s="31">
        <f t="shared" si="29"/>
        <v>47.5</v>
      </c>
      <c r="Y53" s="31">
        <f t="shared" si="7"/>
        <v>4.7500000000000001E-2</v>
      </c>
      <c r="Z53" s="18">
        <v>30</v>
      </c>
      <c r="AA53" s="18" t="s">
        <v>88</v>
      </c>
      <c r="AB53" s="18" t="s">
        <v>118</v>
      </c>
      <c r="AC53" s="18" t="s">
        <v>334</v>
      </c>
      <c r="AD53" s="18">
        <v>5</v>
      </c>
      <c r="AE53" s="18">
        <v>42</v>
      </c>
      <c r="AF53" s="18" t="s">
        <v>27</v>
      </c>
      <c r="AG53" s="18" t="s">
        <v>27</v>
      </c>
      <c r="AH53" s="18" t="s">
        <v>27</v>
      </c>
      <c r="AI53" s="18" t="s">
        <v>62</v>
      </c>
      <c r="AJ53" s="18" t="s">
        <v>75</v>
      </c>
      <c r="AK53" s="18" t="s">
        <v>92</v>
      </c>
      <c r="AL53" s="18" t="s">
        <v>105</v>
      </c>
      <c r="AM53" s="18" t="s">
        <v>116</v>
      </c>
      <c r="AN53" s="18" t="s">
        <v>198</v>
      </c>
      <c r="AO53" s="18"/>
      <c r="AP53" s="18"/>
      <c r="AQ53" s="18">
        <f>+VLOOKUP(AI53,Leyenda!$B$30:$E$34,3,FALSE)</f>
        <v>4</v>
      </c>
      <c r="AR53" s="18">
        <f>+VLOOKUP('3. Blasting'!AJ53,Meteorizacion,3,FALSE)</f>
        <v>5</v>
      </c>
      <c r="AS53" s="18">
        <f>+VLOOKUP('3. Blasting'!AK53,Apertura,3,FALSE)</f>
        <v>3</v>
      </c>
      <c r="AT53" s="18">
        <f>+VLOOKUP('3. Blasting'!AL53,Leyenda!$B$55:$D$59,3,FALSE)</f>
        <v>4</v>
      </c>
      <c r="AU53" s="18">
        <f>+VLOOKUP('3. Blasting'!AM53,Relleno,3,FALSE)</f>
        <v>4</v>
      </c>
      <c r="AV53" s="18">
        <f t="shared" si="26"/>
        <v>20</v>
      </c>
      <c r="AW53" s="49">
        <f t="shared" si="8"/>
        <v>6</v>
      </c>
      <c r="AX53" s="49">
        <f>VLOOKUP(AF53,Leyenda!$B$4:$D$10,3,FALSE)</f>
        <v>4</v>
      </c>
      <c r="AY53" s="49">
        <f t="shared" si="2"/>
        <v>5</v>
      </c>
      <c r="AZ53" s="49">
        <f t="shared" si="9"/>
        <v>20</v>
      </c>
      <c r="BA53" s="49">
        <f>VLOOKUP(AN53,Leyenda!$B$70:$D$75,3,FALSE)</f>
        <v>15</v>
      </c>
      <c r="BB53" s="67">
        <f t="shared" si="10"/>
        <v>46</v>
      </c>
      <c r="BC53" s="67">
        <f>VLOOKUP(AF53,Leyenda!$B$4:$E$10,4,FALSE)</f>
        <v>4</v>
      </c>
      <c r="BD53" s="67">
        <f t="shared" si="11"/>
        <v>5</v>
      </c>
      <c r="BE53" s="67">
        <f t="shared" si="12"/>
        <v>7</v>
      </c>
      <c r="BF53" s="67">
        <f>+VLOOKUP('3. Blasting'!AK53,Leyenda!$B$47:$E$51,4,FALSE)</f>
        <v>3</v>
      </c>
      <c r="BG53" s="67">
        <f>+VLOOKUP('3. Blasting'!AL53,Leyenda!$B$55:$E$59,4,FALSE)</f>
        <v>4</v>
      </c>
      <c r="BH53" s="67">
        <f>+VLOOKUP('3. Blasting'!AM53,Leyenda!$B$63:$E$67,3,FALSE)</f>
        <v>4</v>
      </c>
      <c r="BI53" s="67">
        <f>+VLOOKUP('3. Blasting'!AJ53,Leyenda!$B$39:$E$43,4,FALSE)</f>
        <v>4</v>
      </c>
      <c r="BJ53" s="67">
        <f>+VLOOKUP('3. Blasting'!AI53,Leyenda!$B$30:$E$34,4,FALSE)</f>
        <v>4</v>
      </c>
      <c r="BK53" s="67">
        <f>VLOOKUP(AN53,Leyenda!$B$71:$E$75,4,FALSE)</f>
        <v>10</v>
      </c>
      <c r="BL53" s="67">
        <f t="shared" si="13"/>
        <v>45</v>
      </c>
      <c r="BM53" s="18">
        <f t="shared" si="14"/>
        <v>50</v>
      </c>
      <c r="BN53" s="18">
        <f t="shared" si="28"/>
        <v>0.97555836967732068</v>
      </c>
      <c r="BO53" s="18"/>
      <c r="BP53" s="6">
        <f t="shared" si="16"/>
        <v>30</v>
      </c>
      <c r="BQ53" s="6">
        <f t="shared" si="17"/>
        <v>10</v>
      </c>
      <c r="BR53" s="6">
        <v>20</v>
      </c>
      <c r="BS53" s="6">
        <f t="shared" si="18"/>
        <v>-2.5</v>
      </c>
      <c r="BT53" s="6">
        <f t="shared" si="19"/>
        <v>0.52500000000000002</v>
      </c>
      <c r="BU53" s="6">
        <f t="shared" si="20"/>
        <v>29.012499999999999</v>
      </c>
      <c r="BV53" s="18">
        <f t="shared" si="3"/>
        <v>0.11605</v>
      </c>
      <c r="BW53" s="18">
        <f t="shared" si="4"/>
        <v>0.220495</v>
      </c>
    </row>
    <row r="54" spans="1:75" hidden="1" x14ac:dyDescent="0.25">
      <c r="A54" s="18" t="s">
        <v>6</v>
      </c>
      <c r="B54" s="18">
        <v>2024</v>
      </c>
      <c r="C54" s="18" t="s">
        <v>138</v>
      </c>
      <c r="D54" s="18" t="s">
        <v>10</v>
      </c>
      <c r="E54" s="18">
        <v>30</v>
      </c>
      <c r="F54" s="18" t="s">
        <v>152</v>
      </c>
      <c r="G54" s="18" t="s">
        <v>162</v>
      </c>
      <c r="H54" s="31">
        <f t="shared" si="21"/>
        <v>25.83</v>
      </c>
      <c r="I54" s="31">
        <v>26.33</v>
      </c>
      <c r="J54" s="4">
        <f t="shared" si="5"/>
        <v>0.5</v>
      </c>
      <c r="K54" s="5">
        <v>0.7</v>
      </c>
      <c r="L54" s="31">
        <f t="shared" si="6"/>
        <v>0.35</v>
      </c>
      <c r="M54" s="105">
        <v>1.9</v>
      </c>
      <c r="N54" s="31">
        <v>10.5</v>
      </c>
      <c r="O54" s="31">
        <f t="shared" si="0"/>
        <v>0.35</v>
      </c>
      <c r="P54" s="31">
        <v>350</v>
      </c>
      <c r="Q54" s="31">
        <v>1</v>
      </c>
      <c r="R54" s="31">
        <v>0.31</v>
      </c>
      <c r="S54" s="31">
        <v>0.11</v>
      </c>
      <c r="T54" s="86">
        <f t="shared" si="24"/>
        <v>22</v>
      </c>
      <c r="U54" s="31">
        <v>3</v>
      </c>
      <c r="V54" s="31"/>
      <c r="W54" s="31">
        <f t="shared" si="25"/>
        <v>3</v>
      </c>
      <c r="X54" s="31">
        <f t="shared" si="29"/>
        <v>103.33333333333333</v>
      </c>
      <c r="Y54" s="31">
        <f t="shared" si="7"/>
        <v>0.10333333333333333</v>
      </c>
      <c r="Z54" s="18">
        <v>70</v>
      </c>
      <c r="AA54" s="18" t="s">
        <v>92</v>
      </c>
      <c r="AB54" s="18" t="s">
        <v>116</v>
      </c>
      <c r="AC54" s="18" t="s">
        <v>334</v>
      </c>
      <c r="AD54" s="18">
        <v>1</v>
      </c>
      <c r="AE54" s="18">
        <v>350</v>
      </c>
      <c r="AF54" s="18" t="s">
        <v>27</v>
      </c>
      <c r="AG54" s="18" t="s">
        <v>27</v>
      </c>
      <c r="AH54" s="18" t="s">
        <v>27</v>
      </c>
      <c r="AI54" s="18" t="s">
        <v>62</v>
      </c>
      <c r="AJ54" s="18" t="s">
        <v>75</v>
      </c>
      <c r="AK54" s="18" t="s">
        <v>92</v>
      </c>
      <c r="AL54" s="18" t="s">
        <v>105</v>
      </c>
      <c r="AM54" s="18" t="s">
        <v>116</v>
      </c>
      <c r="AN54" s="18" t="s">
        <v>198</v>
      </c>
      <c r="AO54" s="18"/>
      <c r="AP54" s="18"/>
      <c r="AQ54" s="18">
        <f>+VLOOKUP(AI54,Leyenda!$B$30:$E$34,3,FALSE)</f>
        <v>4</v>
      </c>
      <c r="AR54" s="18">
        <f>+VLOOKUP('3. Blasting'!AJ54,Meteorizacion,3,FALSE)</f>
        <v>5</v>
      </c>
      <c r="AS54" s="18">
        <f>+VLOOKUP('3. Blasting'!AK54,Apertura,3,FALSE)</f>
        <v>3</v>
      </c>
      <c r="AT54" s="18">
        <f>+VLOOKUP('3. Blasting'!AL54,Leyenda!$B$55:$D$59,3,FALSE)</f>
        <v>4</v>
      </c>
      <c r="AU54" s="18">
        <f>+VLOOKUP('3. Blasting'!AM54,Relleno,3,FALSE)</f>
        <v>4</v>
      </c>
      <c r="AV54" s="18">
        <f t="shared" si="26"/>
        <v>20</v>
      </c>
      <c r="AW54" s="49">
        <f t="shared" si="8"/>
        <v>14</v>
      </c>
      <c r="AX54" s="49">
        <f>VLOOKUP(AF54,Leyenda!$B$4:$D$10,3,FALSE)</f>
        <v>4</v>
      </c>
      <c r="AY54" s="49">
        <f t="shared" si="2"/>
        <v>11</v>
      </c>
      <c r="AZ54" s="49">
        <f t="shared" si="9"/>
        <v>20</v>
      </c>
      <c r="BA54" s="49">
        <f>VLOOKUP(AN54,Leyenda!$B$70:$D$75,3,FALSE)</f>
        <v>15</v>
      </c>
      <c r="BB54" s="67">
        <f t="shared" si="10"/>
        <v>41</v>
      </c>
      <c r="BC54" s="67">
        <f>VLOOKUP(AF54,Leyenda!$B$4:$E$10,4,FALSE)</f>
        <v>4</v>
      </c>
      <c r="BD54" s="67">
        <f t="shared" si="11"/>
        <v>8</v>
      </c>
      <c r="BE54" s="67">
        <f t="shared" si="12"/>
        <v>5</v>
      </c>
      <c r="BF54" s="67">
        <f>+VLOOKUP('3. Blasting'!AK54,Leyenda!$B$47:$E$51,4,FALSE)</f>
        <v>3</v>
      </c>
      <c r="BG54" s="67">
        <f>+VLOOKUP('3. Blasting'!AL54,Leyenda!$B$55:$E$59,4,FALSE)</f>
        <v>4</v>
      </c>
      <c r="BH54" s="67">
        <f>+VLOOKUP('3. Blasting'!AM54,Leyenda!$B$63:$E$67,3,FALSE)</f>
        <v>4</v>
      </c>
      <c r="BI54" s="67">
        <f>+VLOOKUP('3. Blasting'!AJ54,Leyenda!$B$39:$E$43,4,FALSE)</f>
        <v>4</v>
      </c>
      <c r="BJ54" s="67">
        <f>+VLOOKUP('3. Blasting'!AI54,Leyenda!$B$30:$E$34,4,FALSE)</f>
        <v>4</v>
      </c>
      <c r="BK54" s="67">
        <f>VLOOKUP(AN54,Leyenda!$B$71:$E$75,4,FALSE)</f>
        <v>10</v>
      </c>
      <c r="BL54" s="67">
        <f t="shared" si="13"/>
        <v>46</v>
      </c>
      <c r="BM54" s="18">
        <f t="shared" si="14"/>
        <v>64</v>
      </c>
      <c r="BN54" s="18">
        <f t="shared" si="28"/>
        <v>0.97532467079256369</v>
      </c>
      <c r="BO54" s="18"/>
      <c r="BP54" s="6">
        <f t="shared" si="16"/>
        <v>30</v>
      </c>
      <c r="BQ54" s="6">
        <f t="shared" si="17"/>
        <v>20</v>
      </c>
      <c r="BR54" s="6">
        <v>20</v>
      </c>
      <c r="BS54" s="6">
        <f t="shared" si="18"/>
        <v>-2.5</v>
      </c>
      <c r="BT54" s="6">
        <f t="shared" si="19"/>
        <v>0.52500000000000002</v>
      </c>
      <c r="BU54" s="6">
        <f t="shared" si="20"/>
        <v>34.012500000000003</v>
      </c>
      <c r="BV54" s="18">
        <f t="shared" si="3"/>
        <v>0.13605</v>
      </c>
      <c r="BW54" s="18">
        <f t="shared" si="4"/>
        <v>0.25849499999999997</v>
      </c>
    </row>
    <row r="55" spans="1:75" hidden="1" x14ac:dyDescent="0.25">
      <c r="A55" s="18" t="s">
        <v>6</v>
      </c>
      <c r="B55" s="18">
        <v>2024</v>
      </c>
      <c r="C55" s="18" t="s">
        <v>138</v>
      </c>
      <c r="D55" s="18" t="s">
        <v>10</v>
      </c>
      <c r="E55" s="18">
        <v>30</v>
      </c>
      <c r="F55" s="18" t="s">
        <v>152</v>
      </c>
      <c r="G55" s="18" t="s">
        <v>162</v>
      </c>
      <c r="H55" s="31">
        <f t="shared" si="21"/>
        <v>26.33</v>
      </c>
      <c r="I55" s="31">
        <v>27.03</v>
      </c>
      <c r="J55" s="4">
        <f t="shared" si="5"/>
        <v>0.70000000000000284</v>
      </c>
      <c r="K55" s="5">
        <v>1</v>
      </c>
      <c r="L55" s="31">
        <f t="shared" si="6"/>
        <v>0.70000000000000284</v>
      </c>
      <c r="M55" s="105">
        <v>1.9</v>
      </c>
      <c r="N55" s="31">
        <v>10.5</v>
      </c>
      <c r="O55" s="31">
        <f t="shared" si="0"/>
        <v>0.70000000000000284</v>
      </c>
      <c r="P55" s="31">
        <v>140.00000000000057</v>
      </c>
      <c r="Q55" s="31">
        <v>5</v>
      </c>
      <c r="R55" s="31">
        <v>0.61</v>
      </c>
      <c r="S55" s="31">
        <v>0.6</v>
      </c>
      <c r="T55" s="86">
        <f t="shared" si="24"/>
        <v>85.714285714285367</v>
      </c>
      <c r="U55" s="31">
        <v>2</v>
      </c>
      <c r="V55" s="31"/>
      <c r="W55" s="31">
        <f t="shared" si="25"/>
        <v>2</v>
      </c>
      <c r="X55" s="31">
        <f t="shared" si="29"/>
        <v>305</v>
      </c>
      <c r="Y55" s="31">
        <f t="shared" si="7"/>
        <v>0.30499999999999999</v>
      </c>
      <c r="Z55" s="18">
        <v>94</v>
      </c>
      <c r="AA55" s="18" t="s">
        <v>96</v>
      </c>
      <c r="AB55" s="18" t="s">
        <v>118</v>
      </c>
      <c r="AC55" s="18" t="s">
        <v>334</v>
      </c>
      <c r="AD55" s="18">
        <v>5</v>
      </c>
      <c r="AE55" s="18">
        <v>140.00000000000057</v>
      </c>
      <c r="AF55" s="18" t="s">
        <v>27</v>
      </c>
      <c r="AG55" s="18" t="s">
        <v>27</v>
      </c>
      <c r="AH55" s="18" t="s">
        <v>27</v>
      </c>
      <c r="AI55" s="18" t="s">
        <v>62</v>
      </c>
      <c r="AJ55" s="18" t="s">
        <v>75</v>
      </c>
      <c r="AK55" s="18" t="s">
        <v>92</v>
      </c>
      <c r="AL55" s="18" t="s">
        <v>105</v>
      </c>
      <c r="AM55" s="18" t="s">
        <v>116</v>
      </c>
      <c r="AN55" s="18" t="s">
        <v>198</v>
      </c>
      <c r="AO55" s="18"/>
      <c r="AP55" s="18"/>
      <c r="AQ55" s="18">
        <f>+VLOOKUP(AI55,Leyenda!$B$30:$E$34,3,FALSE)</f>
        <v>4</v>
      </c>
      <c r="AR55" s="18">
        <f>+VLOOKUP('3. Blasting'!AJ55,Meteorizacion,3,FALSE)</f>
        <v>5</v>
      </c>
      <c r="AS55" s="18">
        <f>+VLOOKUP('3. Blasting'!AK55,Apertura,3,FALSE)</f>
        <v>3</v>
      </c>
      <c r="AT55" s="18">
        <f>+VLOOKUP('3. Blasting'!AL55,Leyenda!$B$55:$D$59,3,FALSE)</f>
        <v>4</v>
      </c>
      <c r="AU55" s="18">
        <f>+VLOOKUP('3. Blasting'!AM55,Relleno,3,FALSE)</f>
        <v>4</v>
      </c>
      <c r="AV55" s="18">
        <f t="shared" si="26"/>
        <v>20</v>
      </c>
      <c r="AW55" s="49">
        <f t="shared" si="8"/>
        <v>19</v>
      </c>
      <c r="AX55" s="49">
        <f>VLOOKUP(AF55,Leyenda!$B$4:$D$10,3,FALSE)</f>
        <v>4</v>
      </c>
      <c r="AY55" s="49">
        <f t="shared" si="2"/>
        <v>8</v>
      </c>
      <c r="AZ55" s="49">
        <f t="shared" si="9"/>
        <v>20</v>
      </c>
      <c r="BA55" s="49">
        <f>VLOOKUP(AN55,Leyenda!$B$70:$D$75,3,FALSE)</f>
        <v>15</v>
      </c>
      <c r="BB55" s="67">
        <f t="shared" si="10"/>
        <v>72.857142857142691</v>
      </c>
      <c r="BC55" s="67">
        <f>VLOOKUP(AF55,Leyenda!$B$4:$E$10,4,FALSE)</f>
        <v>4</v>
      </c>
      <c r="BD55" s="67">
        <f t="shared" si="11"/>
        <v>15</v>
      </c>
      <c r="BE55" s="67">
        <f t="shared" si="12"/>
        <v>17</v>
      </c>
      <c r="BF55" s="67">
        <f>+VLOOKUP('3. Blasting'!AK55,Leyenda!$B$47:$E$51,4,FALSE)</f>
        <v>3</v>
      </c>
      <c r="BG55" s="67">
        <f>+VLOOKUP('3. Blasting'!AL55,Leyenda!$B$55:$E$59,4,FALSE)</f>
        <v>4</v>
      </c>
      <c r="BH55" s="67">
        <f>+VLOOKUP('3. Blasting'!AM55,Leyenda!$B$63:$E$67,3,FALSE)</f>
        <v>4</v>
      </c>
      <c r="BI55" s="67">
        <f>+VLOOKUP('3. Blasting'!AJ55,Leyenda!$B$39:$E$43,4,FALSE)</f>
        <v>4</v>
      </c>
      <c r="BJ55" s="67">
        <f>+VLOOKUP('3. Blasting'!AI55,Leyenda!$B$30:$E$34,4,FALSE)</f>
        <v>4</v>
      </c>
      <c r="BK55" s="67">
        <f>VLOOKUP(AN55,Leyenda!$B$71:$E$75,4,FALSE)</f>
        <v>10</v>
      </c>
      <c r="BL55" s="67">
        <f t="shared" si="13"/>
        <v>65</v>
      </c>
      <c r="BM55" s="18">
        <f t="shared" si="14"/>
        <v>66</v>
      </c>
      <c r="BN55" s="18">
        <f t="shared" si="28"/>
        <v>0.97520891556596323</v>
      </c>
      <c r="BO55" s="18"/>
      <c r="BP55" s="6">
        <f t="shared" si="16"/>
        <v>30</v>
      </c>
      <c r="BQ55" s="6">
        <f t="shared" si="17"/>
        <v>20</v>
      </c>
      <c r="BR55" s="6">
        <v>20</v>
      </c>
      <c r="BS55" s="6">
        <f t="shared" si="18"/>
        <v>-2.5</v>
      </c>
      <c r="BT55" s="6">
        <f t="shared" si="19"/>
        <v>0.52500000000000002</v>
      </c>
      <c r="BU55" s="6">
        <f t="shared" si="20"/>
        <v>34.012500000000003</v>
      </c>
      <c r="BV55" s="18">
        <f t="shared" si="3"/>
        <v>0.13605</v>
      </c>
      <c r="BW55" s="18">
        <f t="shared" si="4"/>
        <v>0.25849499999999997</v>
      </c>
    </row>
    <row r="56" spans="1:75" hidden="1" x14ac:dyDescent="0.25">
      <c r="A56" s="18" t="s">
        <v>6</v>
      </c>
      <c r="B56" s="18">
        <v>2024</v>
      </c>
      <c r="C56" s="18" t="s">
        <v>138</v>
      </c>
      <c r="D56" s="18" t="s">
        <v>10</v>
      </c>
      <c r="E56" s="18">
        <v>30</v>
      </c>
      <c r="F56" s="18" t="s">
        <v>152</v>
      </c>
      <c r="G56" s="18" t="s">
        <v>162</v>
      </c>
      <c r="H56" s="31">
        <f t="shared" si="21"/>
        <v>27.03</v>
      </c>
      <c r="I56" s="31">
        <v>27.97</v>
      </c>
      <c r="J56" s="4">
        <f t="shared" si="5"/>
        <v>0.93999999999999773</v>
      </c>
      <c r="K56" s="5">
        <v>1</v>
      </c>
      <c r="L56" s="31">
        <f t="shared" si="6"/>
        <v>0.93999999999999773</v>
      </c>
      <c r="M56" s="105">
        <v>1.9</v>
      </c>
      <c r="N56" s="31">
        <v>10.5</v>
      </c>
      <c r="O56" s="31">
        <f t="shared" si="0"/>
        <v>0.93999999999999773</v>
      </c>
      <c r="P56" s="31">
        <v>93.999999999999773</v>
      </c>
      <c r="Q56" s="31">
        <v>10</v>
      </c>
      <c r="R56" s="31">
        <v>0.86</v>
      </c>
      <c r="S56" s="31">
        <v>0.55000000000000004</v>
      </c>
      <c r="T56" s="86">
        <f t="shared" si="24"/>
        <v>58.510638297872489</v>
      </c>
      <c r="U56" s="31">
        <v>3</v>
      </c>
      <c r="V56" s="31"/>
      <c r="W56" s="31">
        <f t="shared" si="25"/>
        <v>3</v>
      </c>
      <c r="X56" s="31">
        <f t="shared" si="29"/>
        <v>286.66666666666669</v>
      </c>
      <c r="Y56" s="31">
        <f t="shared" si="7"/>
        <v>0.28666666666666668</v>
      </c>
      <c r="Z56" s="18">
        <v>85</v>
      </c>
      <c r="AA56" s="18" t="s">
        <v>96</v>
      </c>
      <c r="AB56" s="18" t="s">
        <v>120</v>
      </c>
      <c r="AC56" s="18" t="s">
        <v>334</v>
      </c>
      <c r="AD56" s="18">
        <v>10</v>
      </c>
      <c r="AE56" s="18">
        <v>93.999999999999773</v>
      </c>
      <c r="AF56" s="18" t="s">
        <v>27</v>
      </c>
      <c r="AG56" s="18" t="s">
        <v>27</v>
      </c>
      <c r="AH56" s="18" t="s">
        <v>27</v>
      </c>
      <c r="AI56" s="18" t="s">
        <v>62</v>
      </c>
      <c r="AJ56" s="18" t="s">
        <v>75</v>
      </c>
      <c r="AK56" s="18" t="s">
        <v>92</v>
      </c>
      <c r="AL56" s="18" t="s">
        <v>105</v>
      </c>
      <c r="AM56" s="18" t="s">
        <v>116</v>
      </c>
      <c r="AN56" s="18" t="s">
        <v>198</v>
      </c>
      <c r="AO56" s="18"/>
      <c r="AP56" s="18"/>
      <c r="AQ56" s="18">
        <f>+VLOOKUP(AI56,Leyenda!$B$30:$E$34,3,FALSE)</f>
        <v>4</v>
      </c>
      <c r="AR56" s="18">
        <f>+VLOOKUP('3. Blasting'!AJ56,Meteorizacion,3,FALSE)</f>
        <v>5</v>
      </c>
      <c r="AS56" s="18">
        <f>+VLOOKUP('3. Blasting'!AK56,Apertura,3,FALSE)</f>
        <v>3</v>
      </c>
      <c r="AT56" s="18">
        <f>+VLOOKUP('3. Blasting'!AL56,Leyenda!$B$55:$D$59,3,FALSE)</f>
        <v>4</v>
      </c>
      <c r="AU56" s="18">
        <f>+VLOOKUP('3. Blasting'!AM56,Relleno,3,FALSE)</f>
        <v>4</v>
      </c>
      <c r="AV56" s="18">
        <f t="shared" si="26"/>
        <v>20</v>
      </c>
      <c r="AW56" s="49">
        <f t="shared" si="8"/>
        <v>17</v>
      </c>
      <c r="AX56" s="49">
        <f>VLOOKUP(AF56,Leyenda!$B$4:$D$10,3,FALSE)</f>
        <v>4</v>
      </c>
      <c r="AY56" s="49">
        <f t="shared" si="2"/>
        <v>7</v>
      </c>
      <c r="AZ56" s="49">
        <f t="shared" si="9"/>
        <v>20</v>
      </c>
      <c r="BA56" s="49">
        <f>VLOOKUP(AN56,Leyenda!$B$70:$D$75,3,FALSE)</f>
        <v>15</v>
      </c>
      <c r="BB56" s="67">
        <f t="shared" si="10"/>
        <v>59.255319148936245</v>
      </c>
      <c r="BC56" s="67">
        <f>VLOOKUP(AF56,Leyenda!$B$4:$E$10,4,FALSE)</f>
        <v>4</v>
      </c>
      <c r="BD56" s="67">
        <f t="shared" si="11"/>
        <v>15</v>
      </c>
      <c r="BE56" s="67">
        <f t="shared" si="12"/>
        <v>12</v>
      </c>
      <c r="BF56" s="67">
        <f>+VLOOKUP('3. Blasting'!AK56,Leyenda!$B$47:$E$51,4,FALSE)</f>
        <v>3</v>
      </c>
      <c r="BG56" s="67">
        <f>+VLOOKUP('3. Blasting'!AL56,Leyenda!$B$55:$E$59,4,FALSE)</f>
        <v>4</v>
      </c>
      <c r="BH56" s="67">
        <f>+VLOOKUP('3. Blasting'!AM56,Leyenda!$B$63:$E$67,3,FALSE)</f>
        <v>4</v>
      </c>
      <c r="BI56" s="67">
        <f>+VLOOKUP('3. Blasting'!AJ56,Leyenda!$B$39:$E$43,4,FALSE)</f>
        <v>4</v>
      </c>
      <c r="BJ56" s="67">
        <f>+VLOOKUP('3. Blasting'!AI56,Leyenda!$B$30:$E$34,4,FALSE)</f>
        <v>4</v>
      </c>
      <c r="BK56" s="67">
        <f>VLOOKUP(AN56,Leyenda!$B$71:$E$75,4,FALSE)</f>
        <v>10</v>
      </c>
      <c r="BL56" s="67">
        <f t="shared" si="13"/>
        <v>60</v>
      </c>
      <c r="BM56" s="18">
        <f t="shared" si="14"/>
        <v>63</v>
      </c>
      <c r="BN56" s="18">
        <f t="shared" si="28"/>
        <v>0.97441121925742247</v>
      </c>
      <c r="BO56" s="18"/>
      <c r="BP56" s="6">
        <f t="shared" si="16"/>
        <v>30</v>
      </c>
      <c r="BQ56" s="6">
        <f t="shared" si="17"/>
        <v>20</v>
      </c>
      <c r="BR56" s="6">
        <v>20</v>
      </c>
      <c r="BS56" s="6">
        <f t="shared" si="18"/>
        <v>-2.5</v>
      </c>
      <c r="BT56" s="6">
        <f t="shared" si="19"/>
        <v>0.52500000000000002</v>
      </c>
      <c r="BU56" s="6">
        <f t="shared" si="20"/>
        <v>34.012500000000003</v>
      </c>
      <c r="BV56" s="18">
        <f t="shared" si="3"/>
        <v>0.13605</v>
      </c>
      <c r="BW56" s="18">
        <f t="shared" si="4"/>
        <v>0.25849499999999997</v>
      </c>
    </row>
    <row r="57" spans="1:75" hidden="1" x14ac:dyDescent="0.25">
      <c r="A57" s="18" t="s">
        <v>6</v>
      </c>
      <c r="B57" s="18">
        <v>2024</v>
      </c>
      <c r="C57" s="18" t="s">
        <v>138</v>
      </c>
      <c r="D57" s="18" t="s">
        <v>10</v>
      </c>
      <c r="E57" s="18">
        <v>10</v>
      </c>
      <c r="F57" s="18" t="s">
        <v>135</v>
      </c>
      <c r="G57" s="18" t="s">
        <v>162</v>
      </c>
      <c r="H57" s="31">
        <f t="shared" si="21"/>
        <v>27.97</v>
      </c>
      <c r="I57" s="31">
        <v>29</v>
      </c>
      <c r="J57" s="4">
        <f t="shared" si="5"/>
        <v>1.0300000000000011</v>
      </c>
      <c r="K57" s="5">
        <v>0.87</v>
      </c>
      <c r="L57" s="31">
        <f t="shared" si="6"/>
        <v>0.89610000000000101</v>
      </c>
      <c r="M57" s="31">
        <v>2.6</v>
      </c>
      <c r="N57" s="31">
        <v>25.1</v>
      </c>
      <c r="O57" s="31">
        <f t="shared" si="0"/>
        <v>0.89610000000000101</v>
      </c>
      <c r="P57" s="31">
        <v>89.610000000000099</v>
      </c>
      <c r="Q57" s="31">
        <v>10</v>
      </c>
      <c r="R57" s="31">
        <v>0.82</v>
      </c>
      <c r="S57" s="31">
        <f>0.38+0.16</f>
        <v>0.54</v>
      </c>
      <c r="T57" s="86">
        <f t="shared" si="24"/>
        <v>52.427184466019362</v>
      </c>
      <c r="U57" s="31">
        <v>5</v>
      </c>
      <c r="V57" s="31"/>
      <c r="W57" s="31">
        <f t="shared" si="25"/>
        <v>5</v>
      </c>
      <c r="X57" s="31">
        <f t="shared" si="29"/>
        <v>164</v>
      </c>
      <c r="Y57" s="31">
        <f t="shared" si="7"/>
        <v>0.16400000000000001</v>
      </c>
      <c r="Z57" s="18">
        <v>34</v>
      </c>
      <c r="AA57" s="18" t="s">
        <v>88</v>
      </c>
      <c r="AB57" s="18" t="s">
        <v>120</v>
      </c>
      <c r="AC57" s="18" t="s">
        <v>334</v>
      </c>
      <c r="AD57" s="18">
        <v>10</v>
      </c>
      <c r="AE57" s="18">
        <v>89.610000000000099</v>
      </c>
      <c r="AF57" s="18" t="s">
        <v>27</v>
      </c>
      <c r="AG57" s="18" t="s">
        <v>24</v>
      </c>
      <c r="AH57" s="18" t="s">
        <v>24</v>
      </c>
      <c r="AI57" s="18" t="s">
        <v>62</v>
      </c>
      <c r="AJ57" s="18" t="s">
        <v>75</v>
      </c>
      <c r="AK57" s="18" t="s">
        <v>92</v>
      </c>
      <c r="AL57" s="18" t="s">
        <v>105</v>
      </c>
      <c r="AM57" s="18" t="s">
        <v>116</v>
      </c>
      <c r="AN57" s="18" t="s">
        <v>198</v>
      </c>
      <c r="AO57" s="18"/>
      <c r="AP57" s="18"/>
      <c r="AQ57" s="18">
        <f>+VLOOKUP(AI57,Leyenda!$B$30:$E$34,3,FALSE)</f>
        <v>4</v>
      </c>
      <c r="AR57" s="18">
        <f>+VLOOKUP('3. Blasting'!AJ57,Meteorizacion,3,FALSE)</f>
        <v>5</v>
      </c>
      <c r="AS57" s="18">
        <f>+VLOOKUP('3. Blasting'!AK57,Apertura,3,FALSE)</f>
        <v>3</v>
      </c>
      <c r="AT57" s="18">
        <f>+VLOOKUP('3. Blasting'!AL57,Leyenda!$B$55:$D$59,3,FALSE)</f>
        <v>4</v>
      </c>
      <c r="AU57" s="18">
        <f>+VLOOKUP('3. Blasting'!AM57,Relleno,3,FALSE)</f>
        <v>4</v>
      </c>
      <c r="AV57" s="18">
        <f t="shared" si="26"/>
        <v>20</v>
      </c>
      <c r="AW57" s="49">
        <f t="shared" si="8"/>
        <v>7</v>
      </c>
      <c r="AX57" s="49">
        <f>VLOOKUP(AF57,Leyenda!$B$4:$D$10,3,FALSE)</f>
        <v>4</v>
      </c>
      <c r="AY57" s="49">
        <f t="shared" si="2"/>
        <v>7</v>
      </c>
      <c r="AZ57" s="49">
        <f t="shared" si="9"/>
        <v>20</v>
      </c>
      <c r="BA57" s="49">
        <f>VLOOKUP(AN57,Leyenda!$B$70:$D$75,3,FALSE)</f>
        <v>15</v>
      </c>
      <c r="BB57" s="67">
        <f t="shared" si="10"/>
        <v>56.213592233009678</v>
      </c>
      <c r="BC57" s="67">
        <f>VLOOKUP(AF57,Leyenda!$B$4:$E$10,4,FALSE)</f>
        <v>4</v>
      </c>
      <c r="BD57" s="67">
        <f t="shared" si="11"/>
        <v>11</v>
      </c>
      <c r="BE57" s="67">
        <f t="shared" si="12"/>
        <v>11</v>
      </c>
      <c r="BF57" s="67">
        <f>+VLOOKUP('3. Blasting'!AK57,Leyenda!$B$47:$E$51,4,FALSE)</f>
        <v>3</v>
      </c>
      <c r="BG57" s="67">
        <f>+VLOOKUP('3. Blasting'!AL57,Leyenda!$B$55:$E$59,4,FALSE)</f>
        <v>4</v>
      </c>
      <c r="BH57" s="67">
        <f>+VLOOKUP('3. Blasting'!AM57,Leyenda!$B$63:$E$67,3,FALSE)</f>
        <v>4</v>
      </c>
      <c r="BI57" s="67">
        <f>+VLOOKUP('3. Blasting'!AJ57,Leyenda!$B$39:$E$43,4,FALSE)</f>
        <v>4</v>
      </c>
      <c r="BJ57" s="67">
        <f>+VLOOKUP('3. Blasting'!AI57,Leyenda!$B$30:$E$34,4,FALSE)</f>
        <v>4</v>
      </c>
      <c r="BK57" s="67">
        <f>VLOOKUP(AN57,Leyenda!$B$71:$E$75,4,FALSE)</f>
        <v>10</v>
      </c>
      <c r="BL57" s="67">
        <f t="shared" si="13"/>
        <v>55</v>
      </c>
      <c r="BM57" s="18">
        <f t="shared" si="14"/>
        <v>53</v>
      </c>
      <c r="BN57" s="18">
        <f t="shared" si="28"/>
        <v>0.97400112350978096</v>
      </c>
      <c r="BO57" s="18"/>
      <c r="BP57" s="6">
        <f t="shared" si="16"/>
        <v>30</v>
      </c>
      <c r="BQ57" s="6">
        <f t="shared" si="17"/>
        <v>20</v>
      </c>
      <c r="BR57" s="6">
        <v>20</v>
      </c>
      <c r="BS57" s="6">
        <f t="shared" si="18"/>
        <v>15</v>
      </c>
      <c r="BT57" s="6">
        <f t="shared" si="19"/>
        <v>1.2550000000000001</v>
      </c>
      <c r="BU57" s="6">
        <f t="shared" si="20"/>
        <v>43.127499999999998</v>
      </c>
      <c r="BV57" s="18">
        <f t="shared" si="3"/>
        <v>0.17251</v>
      </c>
      <c r="BW57" s="18">
        <f t="shared" si="4"/>
        <v>0.44852599999999998</v>
      </c>
    </row>
    <row r="58" spans="1:75" hidden="1" x14ac:dyDescent="0.25">
      <c r="A58" s="18" t="s">
        <v>6</v>
      </c>
      <c r="B58" s="18">
        <v>2024</v>
      </c>
      <c r="C58" s="18" t="s">
        <v>138</v>
      </c>
      <c r="D58" s="18" t="s">
        <v>10</v>
      </c>
      <c r="E58" s="18">
        <v>10</v>
      </c>
      <c r="F58" s="18" t="s">
        <v>135</v>
      </c>
      <c r="G58" s="18" t="s">
        <v>162</v>
      </c>
      <c r="H58" s="31">
        <f t="shared" si="21"/>
        <v>29</v>
      </c>
      <c r="I58" s="31">
        <v>29.5</v>
      </c>
      <c r="J58" s="4">
        <f t="shared" si="5"/>
        <v>0.5</v>
      </c>
      <c r="K58" s="5">
        <v>0.96</v>
      </c>
      <c r="L58" s="31">
        <f t="shared" si="6"/>
        <v>0.48</v>
      </c>
      <c r="M58" s="31">
        <v>2.6</v>
      </c>
      <c r="N58" s="31">
        <v>25.1</v>
      </c>
      <c r="O58" s="31">
        <f t="shared" si="0"/>
        <v>0.48</v>
      </c>
      <c r="P58" s="31">
        <v>48</v>
      </c>
      <c r="Q58" s="31">
        <v>10</v>
      </c>
      <c r="R58" s="31">
        <v>0.48</v>
      </c>
      <c r="S58" s="31">
        <v>0.4</v>
      </c>
      <c r="T58" s="86">
        <f t="shared" si="24"/>
        <v>80</v>
      </c>
      <c r="U58" s="31">
        <v>2</v>
      </c>
      <c r="V58" s="31"/>
      <c r="W58" s="31">
        <f t="shared" si="25"/>
        <v>2</v>
      </c>
      <c r="X58" s="31">
        <f t="shared" si="29"/>
        <v>240</v>
      </c>
      <c r="Y58" s="31">
        <f t="shared" si="7"/>
        <v>0.24</v>
      </c>
      <c r="Z58" s="18">
        <v>80</v>
      </c>
      <c r="AA58" s="18" t="s">
        <v>96</v>
      </c>
      <c r="AB58" s="18" t="s">
        <v>120</v>
      </c>
      <c r="AC58" s="18" t="s">
        <v>337</v>
      </c>
      <c r="AD58" s="18">
        <v>10</v>
      </c>
      <c r="AE58" s="18">
        <v>48</v>
      </c>
      <c r="AF58" s="18" t="s">
        <v>29</v>
      </c>
      <c r="AG58" s="18" t="s">
        <v>24</v>
      </c>
      <c r="AH58" s="18" t="s">
        <v>24</v>
      </c>
      <c r="AI58" s="18" t="s">
        <v>62</v>
      </c>
      <c r="AJ58" s="18" t="s">
        <v>75</v>
      </c>
      <c r="AK58" s="18" t="s">
        <v>92</v>
      </c>
      <c r="AL58" s="18" t="s">
        <v>105</v>
      </c>
      <c r="AM58" s="18" t="s">
        <v>116</v>
      </c>
      <c r="AN58" s="18" t="s">
        <v>198</v>
      </c>
      <c r="AO58" s="18"/>
      <c r="AP58" s="18"/>
      <c r="AQ58" s="18">
        <f>+VLOOKUP(AI58,Leyenda!$B$30:$E$34,3,FALSE)</f>
        <v>4</v>
      </c>
      <c r="AR58" s="18">
        <f>+VLOOKUP('3. Blasting'!AJ58,Meteorizacion,3,FALSE)</f>
        <v>5</v>
      </c>
      <c r="AS58" s="18">
        <f>+VLOOKUP('3. Blasting'!AK58,Apertura,3,FALSE)</f>
        <v>3</v>
      </c>
      <c r="AT58" s="18">
        <f>+VLOOKUP('3. Blasting'!AL58,Leyenda!$B$55:$D$59,3,FALSE)</f>
        <v>4</v>
      </c>
      <c r="AU58" s="18">
        <f>+VLOOKUP('3. Blasting'!AM58,Relleno,3,FALSE)</f>
        <v>4</v>
      </c>
      <c r="AV58" s="18">
        <f t="shared" si="26"/>
        <v>20</v>
      </c>
      <c r="AW58" s="49">
        <f t="shared" si="8"/>
        <v>16</v>
      </c>
      <c r="AX58" s="49">
        <f>VLOOKUP(AF58,Leyenda!$B$4:$D$10,3,FALSE)</f>
        <v>2</v>
      </c>
      <c r="AY58" s="49">
        <f t="shared" si="2"/>
        <v>6</v>
      </c>
      <c r="AZ58" s="49">
        <f t="shared" si="9"/>
        <v>20</v>
      </c>
      <c r="BA58" s="49">
        <f>VLOOKUP(AN58,Leyenda!$B$70:$D$75,3,FALSE)</f>
        <v>15</v>
      </c>
      <c r="BB58" s="67">
        <f t="shared" si="10"/>
        <v>70</v>
      </c>
      <c r="BC58" s="67">
        <f>VLOOKUP(AF58,Leyenda!$B$4:$E$10,4,FALSE)</f>
        <v>2</v>
      </c>
      <c r="BD58" s="67">
        <f t="shared" si="11"/>
        <v>13</v>
      </c>
      <c r="BE58" s="67">
        <f t="shared" si="12"/>
        <v>16</v>
      </c>
      <c r="BF58" s="67">
        <f>+VLOOKUP('3. Blasting'!AK58,Leyenda!$B$47:$E$51,4,FALSE)</f>
        <v>3</v>
      </c>
      <c r="BG58" s="67">
        <f>+VLOOKUP('3. Blasting'!AL58,Leyenda!$B$55:$E$59,4,FALSE)</f>
        <v>4</v>
      </c>
      <c r="BH58" s="67">
        <f>+VLOOKUP('3. Blasting'!AM58,Leyenda!$B$63:$E$67,3,FALSE)</f>
        <v>4</v>
      </c>
      <c r="BI58" s="67">
        <f>+VLOOKUP('3. Blasting'!AJ58,Leyenda!$B$39:$E$43,4,FALSE)</f>
        <v>4</v>
      </c>
      <c r="BJ58" s="67">
        <f>+VLOOKUP('3. Blasting'!AI58,Leyenda!$B$30:$E$34,4,FALSE)</f>
        <v>4</v>
      </c>
      <c r="BK58" s="67">
        <f>VLOOKUP(AN58,Leyenda!$B$71:$E$75,4,FALSE)</f>
        <v>10</v>
      </c>
      <c r="BL58" s="67">
        <f t="shared" si="13"/>
        <v>60</v>
      </c>
      <c r="BM58" s="18">
        <f t="shared" si="14"/>
        <v>59</v>
      </c>
      <c r="BN58" s="18">
        <f t="shared" si="28"/>
        <v>0.97354199187161838</v>
      </c>
      <c r="BO58" s="18"/>
      <c r="BP58" s="6">
        <f t="shared" si="16"/>
        <v>30</v>
      </c>
      <c r="BQ58" s="6">
        <f t="shared" si="17"/>
        <v>20</v>
      </c>
      <c r="BR58" s="6">
        <v>20</v>
      </c>
      <c r="BS58" s="6">
        <f t="shared" si="18"/>
        <v>15</v>
      </c>
      <c r="BT58" s="6">
        <f t="shared" si="19"/>
        <v>1.2550000000000001</v>
      </c>
      <c r="BU58" s="6">
        <f t="shared" si="20"/>
        <v>43.127499999999998</v>
      </c>
      <c r="BV58" s="18">
        <f t="shared" si="3"/>
        <v>0.17251</v>
      </c>
      <c r="BW58" s="18">
        <f t="shared" si="4"/>
        <v>0.44852599999999998</v>
      </c>
    </row>
    <row r="59" spans="1:75" hidden="1" x14ac:dyDescent="0.25">
      <c r="A59" s="18" t="s">
        <v>6</v>
      </c>
      <c r="B59" s="18">
        <v>2024</v>
      </c>
      <c r="C59" s="18" t="s">
        <v>138</v>
      </c>
      <c r="D59" s="18" t="s">
        <v>10</v>
      </c>
      <c r="E59" s="18">
        <v>10</v>
      </c>
      <c r="F59" s="18" t="s">
        <v>135</v>
      </c>
      <c r="G59" s="18" t="s">
        <v>162</v>
      </c>
      <c r="H59" s="31">
        <f t="shared" si="21"/>
        <v>29.5</v>
      </c>
      <c r="I59" s="31">
        <v>30.24</v>
      </c>
      <c r="J59" s="4">
        <f t="shared" si="5"/>
        <v>0.73999999999999844</v>
      </c>
      <c r="K59" s="5">
        <v>1</v>
      </c>
      <c r="L59" s="31">
        <f t="shared" si="6"/>
        <v>0.73999999999999844</v>
      </c>
      <c r="M59" s="31">
        <v>2.6</v>
      </c>
      <c r="N59" s="31">
        <v>25.1</v>
      </c>
      <c r="O59" s="31">
        <f t="shared" si="0"/>
        <v>0.73999999999999844</v>
      </c>
      <c r="P59" s="31">
        <v>73.999999999999844</v>
      </c>
      <c r="Q59" s="31">
        <v>10</v>
      </c>
      <c r="R59" s="31">
        <v>0.7</v>
      </c>
      <c r="S59" s="31">
        <v>0.61</v>
      </c>
      <c r="T59" s="86">
        <f t="shared" si="24"/>
        <v>82.432432432432606</v>
      </c>
      <c r="U59" s="31">
        <v>3</v>
      </c>
      <c r="V59" s="31"/>
      <c r="W59" s="31">
        <f t="shared" si="25"/>
        <v>3</v>
      </c>
      <c r="X59" s="31">
        <f t="shared" si="29"/>
        <v>233.33333333333334</v>
      </c>
      <c r="Y59" s="31">
        <f t="shared" si="7"/>
        <v>0.23333333333333334</v>
      </c>
      <c r="Z59" s="18">
        <v>86</v>
      </c>
      <c r="AA59" s="18" t="s">
        <v>96</v>
      </c>
      <c r="AB59" s="18" t="s">
        <v>120</v>
      </c>
      <c r="AC59" s="18" t="s">
        <v>337</v>
      </c>
      <c r="AD59" s="18">
        <v>10</v>
      </c>
      <c r="AE59" s="18">
        <v>73.999999999999844</v>
      </c>
      <c r="AF59" s="18" t="s">
        <v>29</v>
      </c>
      <c r="AG59" s="18" t="s">
        <v>24</v>
      </c>
      <c r="AH59" s="18" t="s">
        <v>24</v>
      </c>
      <c r="AI59" s="18" t="s">
        <v>62</v>
      </c>
      <c r="AJ59" s="18" t="s">
        <v>75</v>
      </c>
      <c r="AK59" s="18" t="s">
        <v>92</v>
      </c>
      <c r="AL59" s="18" t="s">
        <v>105</v>
      </c>
      <c r="AM59" s="18" t="s">
        <v>116</v>
      </c>
      <c r="AN59" s="18" t="s">
        <v>198</v>
      </c>
      <c r="AO59" s="18"/>
      <c r="AP59" s="18"/>
      <c r="AQ59" s="18">
        <f>+VLOOKUP(AI59,Leyenda!$B$30:$E$34,3,FALSE)</f>
        <v>4</v>
      </c>
      <c r="AR59" s="18">
        <f>+VLOOKUP('3. Blasting'!AJ59,Meteorizacion,3,FALSE)</f>
        <v>5</v>
      </c>
      <c r="AS59" s="18">
        <f>+VLOOKUP('3. Blasting'!AK59,Apertura,3,FALSE)</f>
        <v>3</v>
      </c>
      <c r="AT59" s="18">
        <f>+VLOOKUP('3. Blasting'!AL59,Leyenda!$B$55:$D$59,3,FALSE)</f>
        <v>4</v>
      </c>
      <c r="AU59" s="18">
        <f>+VLOOKUP('3. Blasting'!AM59,Relleno,3,FALSE)</f>
        <v>4</v>
      </c>
      <c r="AV59" s="18">
        <f t="shared" si="26"/>
        <v>20</v>
      </c>
      <c r="AW59" s="49">
        <f t="shared" si="8"/>
        <v>17</v>
      </c>
      <c r="AX59" s="49">
        <f>VLOOKUP(AF59,Leyenda!$B$4:$D$10,3,FALSE)</f>
        <v>2</v>
      </c>
      <c r="AY59" s="49">
        <f t="shared" si="2"/>
        <v>7</v>
      </c>
      <c r="AZ59" s="49">
        <f t="shared" si="9"/>
        <v>20</v>
      </c>
      <c r="BA59" s="49">
        <f>VLOOKUP(AN59,Leyenda!$B$70:$D$75,3,FALSE)</f>
        <v>15</v>
      </c>
      <c r="BB59" s="67">
        <f t="shared" si="10"/>
        <v>71.21621621621631</v>
      </c>
      <c r="BC59" s="67">
        <f>VLOOKUP(AF59,Leyenda!$B$4:$E$10,4,FALSE)</f>
        <v>2</v>
      </c>
      <c r="BD59" s="67">
        <f t="shared" si="11"/>
        <v>13</v>
      </c>
      <c r="BE59" s="67">
        <f t="shared" si="12"/>
        <v>17</v>
      </c>
      <c r="BF59" s="67">
        <f>+VLOOKUP('3. Blasting'!AK59,Leyenda!$B$47:$E$51,4,FALSE)</f>
        <v>3</v>
      </c>
      <c r="BG59" s="67">
        <f>+VLOOKUP('3. Blasting'!AL59,Leyenda!$B$55:$E$59,4,FALSE)</f>
        <v>4</v>
      </c>
      <c r="BH59" s="67">
        <f>+VLOOKUP('3. Blasting'!AM59,Leyenda!$B$63:$E$67,3,FALSE)</f>
        <v>4</v>
      </c>
      <c r="BI59" s="67">
        <f>+VLOOKUP('3. Blasting'!AJ59,Leyenda!$B$39:$E$43,4,FALSE)</f>
        <v>4</v>
      </c>
      <c r="BJ59" s="67">
        <f>+VLOOKUP('3. Blasting'!AI59,Leyenda!$B$30:$E$34,4,FALSE)</f>
        <v>4</v>
      </c>
      <c r="BK59" s="67">
        <f>VLOOKUP(AN59,Leyenda!$B$71:$E$75,4,FALSE)</f>
        <v>10</v>
      </c>
      <c r="BL59" s="67">
        <f t="shared" si="13"/>
        <v>61</v>
      </c>
      <c r="BM59" s="18">
        <f t="shared" si="14"/>
        <v>61</v>
      </c>
      <c r="BN59" s="18">
        <f t="shared" si="28"/>
        <v>0.97272435734372176</v>
      </c>
      <c r="BO59" s="18"/>
      <c r="BP59" s="6">
        <f t="shared" si="16"/>
        <v>30</v>
      </c>
      <c r="BQ59" s="6">
        <f t="shared" si="17"/>
        <v>20</v>
      </c>
      <c r="BR59" s="6">
        <v>20</v>
      </c>
      <c r="BS59" s="6">
        <f t="shared" si="18"/>
        <v>15</v>
      </c>
      <c r="BT59" s="6">
        <f t="shared" si="19"/>
        <v>1.2550000000000001</v>
      </c>
      <c r="BU59" s="6">
        <f t="shared" si="20"/>
        <v>43.127499999999998</v>
      </c>
      <c r="BV59" s="18">
        <f t="shared" si="3"/>
        <v>0.17251</v>
      </c>
      <c r="BW59" s="18">
        <f t="shared" si="4"/>
        <v>0.44852599999999998</v>
      </c>
    </row>
    <row r="60" spans="1:75" hidden="1" x14ac:dyDescent="0.25">
      <c r="A60" s="18" t="s">
        <v>6</v>
      </c>
      <c r="B60" s="18">
        <v>2024</v>
      </c>
      <c r="C60" s="18" t="s">
        <v>138</v>
      </c>
      <c r="D60" s="18" t="s">
        <v>10</v>
      </c>
      <c r="E60" s="18">
        <v>10</v>
      </c>
      <c r="F60" s="18" t="s">
        <v>135</v>
      </c>
      <c r="G60" s="18" t="s">
        <v>162</v>
      </c>
      <c r="H60" s="31">
        <f t="shared" si="21"/>
        <v>30.24</v>
      </c>
      <c r="I60" s="31">
        <v>31.04</v>
      </c>
      <c r="J60" s="4">
        <f t="shared" si="5"/>
        <v>0.80000000000000071</v>
      </c>
      <c r="K60" s="5">
        <v>1</v>
      </c>
      <c r="L60" s="31">
        <f t="shared" si="6"/>
        <v>0.80000000000000071</v>
      </c>
      <c r="M60" s="31">
        <v>2.6</v>
      </c>
      <c r="N60" s="31">
        <v>25.1</v>
      </c>
      <c r="O60" s="31">
        <f t="shared" si="0"/>
        <v>0.80000000000000071</v>
      </c>
      <c r="P60" s="31">
        <v>53.333333333333378</v>
      </c>
      <c r="Q60" s="31">
        <v>15</v>
      </c>
      <c r="R60" s="31">
        <v>0.71</v>
      </c>
      <c r="S60" s="31">
        <v>0.6</v>
      </c>
      <c r="T60" s="86">
        <f t="shared" si="24"/>
        <v>74.999999999999929</v>
      </c>
      <c r="U60" s="31">
        <v>3</v>
      </c>
      <c r="V60" s="31"/>
      <c r="W60" s="31">
        <f t="shared" si="25"/>
        <v>3</v>
      </c>
      <c r="X60" s="31">
        <f t="shared" si="29"/>
        <v>236.66666666666666</v>
      </c>
      <c r="Y60" s="31">
        <f t="shared" si="7"/>
        <v>0.23666666666666666</v>
      </c>
      <c r="Z60" s="18">
        <v>13</v>
      </c>
      <c r="AA60" s="18" t="s">
        <v>100</v>
      </c>
      <c r="AB60" s="18" t="s">
        <v>122</v>
      </c>
      <c r="AC60" s="18" t="s">
        <v>337</v>
      </c>
      <c r="AD60" s="18">
        <v>15</v>
      </c>
      <c r="AE60" s="18">
        <v>53.333333333333378</v>
      </c>
      <c r="AF60" s="18" t="s">
        <v>29</v>
      </c>
      <c r="AG60" s="18" t="s">
        <v>24</v>
      </c>
      <c r="AH60" s="18" t="s">
        <v>24</v>
      </c>
      <c r="AI60" s="18" t="s">
        <v>62</v>
      </c>
      <c r="AJ60" s="18" t="s">
        <v>75</v>
      </c>
      <c r="AK60" s="18" t="s">
        <v>92</v>
      </c>
      <c r="AL60" s="18" t="s">
        <v>105</v>
      </c>
      <c r="AM60" s="18" t="s">
        <v>116</v>
      </c>
      <c r="AN60" s="18" t="s">
        <v>198</v>
      </c>
      <c r="AO60" s="18"/>
      <c r="AP60" s="18"/>
      <c r="AQ60" s="18">
        <f>+VLOOKUP(AI60,Leyenda!$B$30:$E$34,3,FALSE)</f>
        <v>4</v>
      </c>
      <c r="AR60" s="18">
        <f>+VLOOKUP('3. Blasting'!AJ60,Meteorizacion,3,FALSE)</f>
        <v>5</v>
      </c>
      <c r="AS60" s="18">
        <f>+VLOOKUP('3. Blasting'!AK60,Apertura,3,FALSE)</f>
        <v>3</v>
      </c>
      <c r="AT60" s="18">
        <f>+VLOOKUP('3. Blasting'!AL60,Leyenda!$B$55:$D$59,3,FALSE)</f>
        <v>4</v>
      </c>
      <c r="AU60" s="18">
        <f>+VLOOKUP('3. Blasting'!AM60,Relleno,3,FALSE)</f>
        <v>4</v>
      </c>
      <c r="AV60" s="18">
        <f t="shared" si="26"/>
        <v>20</v>
      </c>
      <c r="AW60" s="49">
        <f t="shared" si="8"/>
        <v>3</v>
      </c>
      <c r="AX60" s="49">
        <f>VLOOKUP(AF60,Leyenda!$B$4:$D$10,3,FALSE)</f>
        <v>2</v>
      </c>
      <c r="AY60" s="49">
        <f t="shared" si="2"/>
        <v>6</v>
      </c>
      <c r="AZ60" s="49">
        <f t="shared" si="9"/>
        <v>20</v>
      </c>
      <c r="BA60" s="49">
        <f>VLOOKUP(AN60,Leyenda!$B$70:$D$75,3,FALSE)</f>
        <v>15</v>
      </c>
      <c r="BB60" s="67">
        <f t="shared" si="10"/>
        <v>67.499999999999972</v>
      </c>
      <c r="BC60" s="67">
        <f>VLOOKUP(AF60,Leyenda!$B$4:$E$10,4,FALSE)</f>
        <v>2</v>
      </c>
      <c r="BD60" s="67">
        <f t="shared" si="11"/>
        <v>13</v>
      </c>
      <c r="BE60" s="67">
        <f t="shared" si="12"/>
        <v>15</v>
      </c>
      <c r="BF60" s="67">
        <f>+VLOOKUP('3. Blasting'!AK60,Leyenda!$B$47:$E$51,4,FALSE)</f>
        <v>3</v>
      </c>
      <c r="BG60" s="67">
        <f>+VLOOKUP('3. Blasting'!AL60,Leyenda!$B$55:$E$59,4,FALSE)</f>
        <v>4</v>
      </c>
      <c r="BH60" s="67">
        <f>+VLOOKUP('3. Blasting'!AM60,Leyenda!$B$63:$E$67,3,FALSE)</f>
        <v>4</v>
      </c>
      <c r="BI60" s="67">
        <f>+VLOOKUP('3. Blasting'!AJ60,Leyenda!$B$39:$E$43,4,FALSE)</f>
        <v>4</v>
      </c>
      <c r="BJ60" s="67">
        <f>+VLOOKUP('3. Blasting'!AI60,Leyenda!$B$30:$E$34,4,FALSE)</f>
        <v>4</v>
      </c>
      <c r="BK60" s="67">
        <f>VLOOKUP(AN60,Leyenda!$B$71:$E$75,4,FALSE)</f>
        <v>10</v>
      </c>
      <c r="BL60" s="67">
        <f t="shared" si="13"/>
        <v>59</v>
      </c>
      <c r="BM60" s="18">
        <f t="shared" si="14"/>
        <v>46</v>
      </c>
      <c r="BN60" s="18">
        <f t="shared" si="28"/>
        <v>0.97189586661242389</v>
      </c>
      <c r="BO60" s="18"/>
      <c r="BP60" s="6">
        <f t="shared" si="16"/>
        <v>30</v>
      </c>
      <c r="BQ60" s="6">
        <f t="shared" si="17"/>
        <v>20</v>
      </c>
      <c r="BR60" s="6">
        <v>20</v>
      </c>
      <c r="BS60" s="6">
        <f t="shared" si="18"/>
        <v>15</v>
      </c>
      <c r="BT60" s="6">
        <f t="shared" si="19"/>
        <v>1.2550000000000001</v>
      </c>
      <c r="BU60" s="6">
        <f t="shared" si="20"/>
        <v>43.127499999999998</v>
      </c>
      <c r="BV60" s="18">
        <f t="shared" si="3"/>
        <v>0.17251</v>
      </c>
      <c r="BW60" s="18">
        <f t="shared" si="4"/>
        <v>0.44852599999999998</v>
      </c>
    </row>
    <row r="61" spans="1:75" hidden="1" x14ac:dyDescent="0.25">
      <c r="A61" s="18" t="s">
        <v>6</v>
      </c>
      <c r="B61" s="18">
        <v>2024</v>
      </c>
      <c r="C61" s="18" t="s">
        <v>138</v>
      </c>
      <c r="D61" s="18" t="s">
        <v>10</v>
      </c>
      <c r="E61" s="18">
        <v>10</v>
      </c>
      <c r="F61" s="18" t="s">
        <v>135</v>
      </c>
      <c r="G61" s="18" t="s">
        <v>162</v>
      </c>
      <c r="H61" s="31">
        <f t="shared" si="21"/>
        <v>31.04</v>
      </c>
      <c r="I61" s="31">
        <v>32.04</v>
      </c>
      <c r="J61" s="4">
        <f t="shared" si="5"/>
        <v>1</v>
      </c>
      <c r="K61" s="5">
        <v>1</v>
      </c>
      <c r="L61" s="31">
        <f t="shared" si="6"/>
        <v>1</v>
      </c>
      <c r="M61" s="31">
        <v>2.6</v>
      </c>
      <c r="N61" s="31">
        <v>25.1</v>
      </c>
      <c r="O61" s="31">
        <f t="shared" si="0"/>
        <v>1</v>
      </c>
      <c r="P61" s="31">
        <v>200</v>
      </c>
      <c r="Q61" s="31">
        <v>5</v>
      </c>
      <c r="R61" s="31">
        <v>0.9</v>
      </c>
      <c r="S61" s="31">
        <v>0.4</v>
      </c>
      <c r="T61" s="86">
        <f t="shared" si="24"/>
        <v>40</v>
      </c>
      <c r="U61" s="31">
        <v>6</v>
      </c>
      <c r="V61" s="31"/>
      <c r="W61" s="31">
        <f t="shared" si="25"/>
        <v>6</v>
      </c>
      <c r="X61" s="31">
        <f t="shared" si="29"/>
        <v>150</v>
      </c>
      <c r="Y61" s="31">
        <f t="shared" si="7"/>
        <v>0.15</v>
      </c>
      <c r="Z61" s="18">
        <v>21</v>
      </c>
      <c r="AA61" s="18" t="s">
        <v>96</v>
      </c>
      <c r="AB61" s="18" t="s">
        <v>118</v>
      </c>
      <c r="AC61" s="18" t="s">
        <v>337</v>
      </c>
      <c r="AD61" s="18">
        <v>5</v>
      </c>
      <c r="AE61" s="18">
        <v>200</v>
      </c>
      <c r="AF61" s="18" t="s">
        <v>29</v>
      </c>
      <c r="AG61" s="18" t="s">
        <v>24</v>
      </c>
      <c r="AH61" s="18" t="s">
        <v>24</v>
      </c>
      <c r="AI61" s="18" t="s">
        <v>62</v>
      </c>
      <c r="AJ61" s="18" t="s">
        <v>75</v>
      </c>
      <c r="AK61" s="18" t="s">
        <v>92</v>
      </c>
      <c r="AL61" s="18" t="s">
        <v>105</v>
      </c>
      <c r="AM61" s="18" t="s">
        <v>116</v>
      </c>
      <c r="AN61" s="18" t="s">
        <v>198</v>
      </c>
      <c r="AO61" s="18"/>
      <c r="AP61" s="18"/>
      <c r="AQ61" s="18">
        <f>+VLOOKUP(AI61,Leyenda!$B$30:$E$34,3,FALSE)</f>
        <v>4</v>
      </c>
      <c r="AR61" s="18">
        <f>+VLOOKUP('3. Blasting'!AJ61,Meteorizacion,3,FALSE)</f>
        <v>5</v>
      </c>
      <c r="AS61" s="18">
        <f>+VLOOKUP('3. Blasting'!AK61,Apertura,3,FALSE)</f>
        <v>3</v>
      </c>
      <c r="AT61" s="18">
        <f>+VLOOKUP('3. Blasting'!AL61,Leyenda!$B$55:$D$59,3,FALSE)</f>
        <v>4</v>
      </c>
      <c r="AU61" s="18">
        <f>+VLOOKUP('3. Blasting'!AM61,Relleno,3,FALSE)</f>
        <v>4</v>
      </c>
      <c r="AV61" s="18">
        <f t="shared" si="26"/>
        <v>20</v>
      </c>
      <c r="AW61" s="49">
        <f t="shared" si="8"/>
        <v>5</v>
      </c>
      <c r="AX61" s="49">
        <f>VLOOKUP(AF61,Leyenda!$B$4:$D$10,3,FALSE)</f>
        <v>2</v>
      </c>
      <c r="AY61" s="49">
        <f t="shared" si="2"/>
        <v>9</v>
      </c>
      <c r="AZ61" s="49">
        <f t="shared" si="9"/>
        <v>20</v>
      </c>
      <c r="BA61" s="49">
        <f>VLOOKUP(AN61,Leyenda!$B$70:$D$75,3,FALSE)</f>
        <v>15</v>
      </c>
      <c r="BB61" s="67">
        <f t="shared" si="10"/>
        <v>50</v>
      </c>
      <c r="BC61" s="67">
        <f>VLOOKUP(AF61,Leyenda!$B$4:$E$10,4,FALSE)</f>
        <v>2</v>
      </c>
      <c r="BD61" s="67">
        <f t="shared" si="11"/>
        <v>11</v>
      </c>
      <c r="BE61" s="67">
        <f t="shared" si="12"/>
        <v>8</v>
      </c>
      <c r="BF61" s="67">
        <f>+VLOOKUP('3. Blasting'!AK61,Leyenda!$B$47:$E$51,4,FALSE)</f>
        <v>3</v>
      </c>
      <c r="BG61" s="67">
        <f>+VLOOKUP('3. Blasting'!AL61,Leyenda!$B$55:$E$59,4,FALSE)</f>
        <v>4</v>
      </c>
      <c r="BH61" s="67">
        <f>+VLOOKUP('3. Blasting'!AM61,Leyenda!$B$63:$E$67,3,FALSE)</f>
        <v>4</v>
      </c>
      <c r="BI61" s="67">
        <f>+VLOOKUP('3. Blasting'!AJ61,Leyenda!$B$39:$E$43,4,FALSE)</f>
        <v>4</v>
      </c>
      <c r="BJ61" s="67">
        <f>+VLOOKUP('3. Blasting'!AI61,Leyenda!$B$30:$E$34,4,FALSE)</f>
        <v>4</v>
      </c>
      <c r="BK61" s="67">
        <f>VLOOKUP(AN61,Leyenda!$B$71:$E$75,4,FALSE)</f>
        <v>10</v>
      </c>
      <c r="BL61" s="67">
        <f t="shared" si="13"/>
        <v>50</v>
      </c>
      <c r="BM61" s="18">
        <f t="shared" si="14"/>
        <v>51</v>
      </c>
      <c r="BN61" s="18">
        <f t="shared" si="28"/>
        <v>0.97119795529635544</v>
      </c>
      <c r="BO61" s="18"/>
      <c r="BP61" s="6">
        <f t="shared" si="16"/>
        <v>30</v>
      </c>
      <c r="BQ61" s="6">
        <f t="shared" si="17"/>
        <v>20</v>
      </c>
      <c r="BR61" s="6">
        <v>20</v>
      </c>
      <c r="BS61" s="6">
        <f t="shared" si="18"/>
        <v>15</v>
      </c>
      <c r="BT61" s="6">
        <f t="shared" si="19"/>
        <v>1.2550000000000001</v>
      </c>
      <c r="BU61" s="6">
        <f t="shared" si="20"/>
        <v>43.127499999999998</v>
      </c>
      <c r="BV61" s="18">
        <f t="shared" si="3"/>
        <v>0.17251</v>
      </c>
      <c r="BW61" s="18">
        <f t="shared" si="4"/>
        <v>0.44852599999999998</v>
      </c>
    </row>
    <row r="62" spans="1:75" hidden="1" x14ac:dyDescent="0.25">
      <c r="A62" s="18" t="s">
        <v>6</v>
      </c>
      <c r="B62" s="18">
        <v>2024</v>
      </c>
      <c r="C62" s="18" t="s">
        <v>138</v>
      </c>
      <c r="D62" s="18" t="s">
        <v>10</v>
      </c>
      <c r="E62" s="18">
        <v>10</v>
      </c>
      <c r="F62" s="18" t="s">
        <v>135</v>
      </c>
      <c r="G62" s="18" t="s">
        <v>162</v>
      </c>
      <c r="H62" s="31">
        <f t="shared" si="21"/>
        <v>32.04</v>
      </c>
      <c r="I62" s="31">
        <v>32.54</v>
      </c>
      <c r="J62" s="4">
        <f t="shared" si="5"/>
        <v>0.5</v>
      </c>
      <c r="K62" s="5">
        <v>0.9</v>
      </c>
      <c r="L62" s="31">
        <f t="shared" si="6"/>
        <v>0.45</v>
      </c>
      <c r="M62" s="31">
        <v>2.6</v>
      </c>
      <c r="N62" s="31">
        <v>25.1</v>
      </c>
      <c r="O62" s="31">
        <f t="shared" si="0"/>
        <v>0.45</v>
      </c>
      <c r="P62" s="31">
        <v>450</v>
      </c>
      <c r="Q62" s="31">
        <v>1</v>
      </c>
      <c r="R62" s="31">
        <v>0.36</v>
      </c>
      <c r="S62" s="31">
        <v>0.15</v>
      </c>
      <c r="T62" s="86">
        <f t="shared" si="24"/>
        <v>30</v>
      </c>
      <c r="U62" s="31">
        <v>5</v>
      </c>
      <c r="V62" s="31"/>
      <c r="W62" s="31">
        <f t="shared" si="25"/>
        <v>5</v>
      </c>
      <c r="X62" s="31">
        <f t="shared" si="29"/>
        <v>72</v>
      </c>
      <c r="Y62" s="31">
        <f t="shared" si="7"/>
        <v>7.1999999999999995E-2</v>
      </c>
      <c r="Z62" s="18">
        <v>30</v>
      </c>
      <c r="AA62" s="18" t="s">
        <v>96</v>
      </c>
      <c r="AB62" s="18" t="s">
        <v>116</v>
      </c>
      <c r="AC62" s="18" t="s">
        <v>334</v>
      </c>
      <c r="AD62" s="18">
        <v>1</v>
      </c>
      <c r="AE62" s="18">
        <v>450</v>
      </c>
      <c r="AF62" s="18" t="s">
        <v>27</v>
      </c>
      <c r="AG62" s="18" t="s">
        <v>24</v>
      </c>
      <c r="AH62" s="18" t="s">
        <v>24</v>
      </c>
      <c r="AI62" s="18" t="s">
        <v>62</v>
      </c>
      <c r="AJ62" s="18" t="s">
        <v>75</v>
      </c>
      <c r="AK62" s="18" t="s">
        <v>92</v>
      </c>
      <c r="AL62" s="18" t="s">
        <v>105</v>
      </c>
      <c r="AM62" s="18" t="s">
        <v>116</v>
      </c>
      <c r="AN62" s="18" t="s">
        <v>198</v>
      </c>
      <c r="AO62" s="18"/>
      <c r="AP62" s="18"/>
      <c r="AQ62" s="18">
        <f>+VLOOKUP(AI62,Leyenda!$B$30:$E$34,3,FALSE)</f>
        <v>4</v>
      </c>
      <c r="AR62" s="18">
        <f>+VLOOKUP('3. Blasting'!AJ62,Meteorizacion,3,FALSE)</f>
        <v>5</v>
      </c>
      <c r="AS62" s="18">
        <f>+VLOOKUP('3. Blasting'!AK62,Apertura,3,FALSE)</f>
        <v>3</v>
      </c>
      <c r="AT62" s="18">
        <f>+VLOOKUP('3. Blasting'!AL62,Leyenda!$B$55:$D$59,3,FALSE)</f>
        <v>4</v>
      </c>
      <c r="AU62" s="18">
        <f>+VLOOKUP('3. Blasting'!AM62,Relleno,3,FALSE)</f>
        <v>4</v>
      </c>
      <c r="AV62" s="18">
        <f t="shared" si="26"/>
        <v>20</v>
      </c>
      <c r="AW62" s="49">
        <f t="shared" si="8"/>
        <v>6</v>
      </c>
      <c r="AX62" s="49">
        <f>VLOOKUP(AF62,Leyenda!$B$4:$D$10,3,FALSE)</f>
        <v>4</v>
      </c>
      <c r="AY62" s="49">
        <f t="shared" si="2"/>
        <v>12</v>
      </c>
      <c r="AZ62" s="49">
        <f t="shared" si="9"/>
        <v>20</v>
      </c>
      <c r="BA62" s="49">
        <f>VLOOKUP(AN62,Leyenda!$B$70:$D$75,3,FALSE)</f>
        <v>15</v>
      </c>
      <c r="BB62" s="67">
        <f t="shared" si="10"/>
        <v>45</v>
      </c>
      <c r="BC62" s="67">
        <f>VLOOKUP(AF62,Leyenda!$B$4:$E$10,4,FALSE)</f>
        <v>4</v>
      </c>
      <c r="BD62" s="67">
        <f t="shared" si="11"/>
        <v>6</v>
      </c>
      <c r="BE62" s="67">
        <f t="shared" si="12"/>
        <v>6</v>
      </c>
      <c r="BF62" s="67">
        <f>+VLOOKUP('3. Blasting'!AK62,Leyenda!$B$47:$E$51,4,FALSE)</f>
        <v>3</v>
      </c>
      <c r="BG62" s="67">
        <f>+VLOOKUP('3. Blasting'!AL62,Leyenda!$B$55:$E$59,4,FALSE)</f>
        <v>4</v>
      </c>
      <c r="BH62" s="67">
        <f>+VLOOKUP('3. Blasting'!AM62,Leyenda!$B$63:$E$67,3,FALSE)</f>
        <v>4</v>
      </c>
      <c r="BI62" s="67">
        <f>+VLOOKUP('3. Blasting'!AJ62,Leyenda!$B$39:$E$43,4,FALSE)</f>
        <v>4</v>
      </c>
      <c r="BJ62" s="67">
        <f>+VLOOKUP('3. Blasting'!AI62,Leyenda!$B$30:$E$34,4,FALSE)</f>
        <v>4</v>
      </c>
      <c r="BK62" s="67">
        <f>VLOOKUP(AN62,Leyenda!$B$71:$E$75,4,FALSE)</f>
        <v>10</v>
      </c>
      <c r="BL62" s="67">
        <f t="shared" si="13"/>
        <v>45</v>
      </c>
      <c r="BM62" s="18">
        <f t="shared" si="14"/>
        <v>57</v>
      </c>
      <c r="BN62" s="18">
        <f t="shared" si="28"/>
        <v>0.97078757279868144</v>
      </c>
      <c r="BO62" s="18"/>
      <c r="BP62" s="6">
        <f t="shared" si="16"/>
        <v>30</v>
      </c>
      <c r="BQ62" s="6">
        <f t="shared" si="17"/>
        <v>10</v>
      </c>
      <c r="BR62" s="6">
        <v>20</v>
      </c>
      <c r="BS62" s="6">
        <f t="shared" si="18"/>
        <v>15</v>
      </c>
      <c r="BT62" s="6">
        <f t="shared" si="19"/>
        <v>1.2550000000000001</v>
      </c>
      <c r="BU62" s="6">
        <f t="shared" si="20"/>
        <v>38.127499999999998</v>
      </c>
      <c r="BV62" s="18">
        <f t="shared" si="3"/>
        <v>0.15251000000000001</v>
      </c>
      <c r="BW62" s="18">
        <f t="shared" si="4"/>
        <v>0.39652600000000005</v>
      </c>
    </row>
    <row r="63" spans="1:75" hidden="1" x14ac:dyDescent="0.25">
      <c r="A63" s="18" t="s">
        <v>6</v>
      </c>
      <c r="B63" s="18">
        <v>2024</v>
      </c>
      <c r="C63" s="18" t="s">
        <v>138</v>
      </c>
      <c r="D63" s="18" t="s">
        <v>10</v>
      </c>
      <c r="E63" s="18">
        <v>10</v>
      </c>
      <c r="F63" s="18" t="s">
        <v>135</v>
      </c>
      <c r="G63" s="18" t="s">
        <v>162</v>
      </c>
      <c r="H63" s="31">
        <f t="shared" si="21"/>
        <v>32.54</v>
      </c>
      <c r="I63" s="31">
        <v>33.29</v>
      </c>
      <c r="J63" s="4">
        <f t="shared" si="5"/>
        <v>0.75</v>
      </c>
      <c r="K63" s="5">
        <v>1</v>
      </c>
      <c r="L63" s="31">
        <f t="shared" si="6"/>
        <v>0.75</v>
      </c>
      <c r="M63" s="31">
        <v>2.6</v>
      </c>
      <c r="N63" s="31">
        <v>25.1</v>
      </c>
      <c r="O63" s="31">
        <f t="shared" si="0"/>
        <v>0.75</v>
      </c>
      <c r="P63" s="31">
        <v>750</v>
      </c>
      <c r="Q63" s="31">
        <v>1</v>
      </c>
      <c r="R63" s="31">
        <v>0.74</v>
      </c>
      <c r="S63" s="31">
        <v>0.2</v>
      </c>
      <c r="T63" s="86">
        <f t="shared" si="24"/>
        <v>26.666666666666668</v>
      </c>
      <c r="U63" s="31">
        <v>7</v>
      </c>
      <c r="V63" s="31"/>
      <c r="W63" s="31">
        <f t="shared" si="25"/>
        <v>7</v>
      </c>
      <c r="X63" s="31">
        <f t="shared" si="29"/>
        <v>105.71428571428571</v>
      </c>
      <c r="Y63" s="31">
        <f t="shared" si="7"/>
        <v>0.10571428571428571</v>
      </c>
      <c r="Z63" s="18">
        <v>75</v>
      </c>
      <c r="AA63" s="18" t="s">
        <v>96</v>
      </c>
      <c r="AB63" s="18" t="s">
        <v>116</v>
      </c>
      <c r="AC63" s="18" t="s">
        <v>337</v>
      </c>
      <c r="AD63" s="18">
        <v>1</v>
      </c>
      <c r="AE63" s="18">
        <v>750</v>
      </c>
      <c r="AF63" s="18" t="s">
        <v>29</v>
      </c>
      <c r="AG63" s="18" t="s">
        <v>24</v>
      </c>
      <c r="AH63" s="18" t="s">
        <v>24</v>
      </c>
      <c r="AI63" s="18" t="s">
        <v>62</v>
      </c>
      <c r="AJ63" s="18" t="s">
        <v>75</v>
      </c>
      <c r="AK63" s="18" t="s">
        <v>92</v>
      </c>
      <c r="AL63" s="18" t="s">
        <v>105</v>
      </c>
      <c r="AM63" s="18" t="s">
        <v>116</v>
      </c>
      <c r="AN63" s="18" t="s">
        <v>198</v>
      </c>
      <c r="AO63" s="18"/>
      <c r="AP63" s="18"/>
      <c r="AQ63" s="18">
        <f>+VLOOKUP(AI63,Leyenda!$B$30:$E$34,3,FALSE)</f>
        <v>4</v>
      </c>
      <c r="AR63" s="18">
        <f>+VLOOKUP('3. Blasting'!AJ63,Meteorizacion,3,FALSE)</f>
        <v>5</v>
      </c>
      <c r="AS63" s="18">
        <f>+VLOOKUP('3. Blasting'!AK63,Apertura,3,FALSE)</f>
        <v>3</v>
      </c>
      <c r="AT63" s="18">
        <f>+VLOOKUP('3. Blasting'!AL63,Leyenda!$B$55:$D$59,3,FALSE)</f>
        <v>4</v>
      </c>
      <c r="AU63" s="18">
        <f>+VLOOKUP('3. Blasting'!AM63,Relleno,3,FALSE)</f>
        <v>4</v>
      </c>
      <c r="AV63" s="18">
        <f t="shared" si="26"/>
        <v>20</v>
      </c>
      <c r="AW63" s="49">
        <f t="shared" si="8"/>
        <v>15</v>
      </c>
      <c r="AX63" s="49">
        <f>VLOOKUP(AF63,Leyenda!$B$4:$D$10,3,FALSE)</f>
        <v>2</v>
      </c>
      <c r="AY63" s="49">
        <f t="shared" si="2"/>
        <v>14</v>
      </c>
      <c r="AZ63" s="49">
        <f t="shared" si="9"/>
        <v>20</v>
      </c>
      <c r="BA63" s="49">
        <f>VLOOKUP(AN63,Leyenda!$B$70:$D$75,3,FALSE)</f>
        <v>15</v>
      </c>
      <c r="BB63" s="67">
        <f t="shared" si="10"/>
        <v>43.333333333333336</v>
      </c>
      <c r="BC63" s="67">
        <f>VLOOKUP(AF63,Leyenda!$B$4:$E$10,4,FALSE)</f>
        <v>2</v>
      </c>
      <c r="BD63" s="67">
        <f t="shared" si="11"/>
        <v>9</v>
      </c>
      <c r="BE63" s="67">
        <f t="shared" si="12"/>
        <v>6</v>
      </c>
      <c r="BF63" s="67">
        <f>+VLOOKUP('3. Blasting'!AK63,Leyenda!$B$47:$E$51,4,FALSE)</f>
        <v>3</v>
      </c>
      <c r="BG63" s="67">
        <f>+VLOOKUP('3. Blasting'!AL63,Leyenda!$B$55:$E$59,4,FALSE)</f>
        <v>4</v>
      </c>
      <c r="BH63" s="67">
        <f>+VLOOKUP('3. Blasting'!AM63,Leyenda!$B$63:$E$67,3,FALSE)</f>
        <v>4</v>
      </c>
      <c r="BI63" s="67">
        <f>+VLOOKUP('3. Blasting'!AJ63,Leyenda!$B$39:$E$43,4,FALSE)</f>
        <v>4</v>
      </c>
      <c r="BJ63" s="67">
        <f>+VLOOKUP('3. Blasting'!AI63,Leyenda!$B$30:$E$34,4,FALSE)</f>
        <v>4</v>
      </c>
      <c r="BK63" s="67">
        <f>VLOOKUP(AN63,Leyenda!$B$71:$E$75,4,FALSE)</f>
        <v>10</v>
      </c>
      <c r="BL63" s="67">
        <f t="shared" si="13"/>
        <v>46</v>
      </c>
      <c r="BM63" s="18">
        <f t="shared" si="14"/>
        <v>66</v>
      </c>
      <c r="BN63" s="18">
        <f t="shared" si="28"/>
        <v>0.97053899849436664</v>
      </c>
      <c r="BO63" s="18"/>
      <c r="BP63" s="6">
        <f t="shared" si="16"/>
        <v>30</v>
      </c>
      <c r="BQ63" s="6">
        <f t="shared" si="17"/>
        <v>20</v>
      </c>
      <c r="BR63" s="6">
        <v>20</v>
      </c>
      <c r="BS63" s="6">
        <f t="shared" si="18"/>
        <v>15</v>
      </c>
      <c r="BT63" s="6">
        <f t="shared" si="19"/>
        <v>1.2550000000000001</v>
      </c>
      <c r="BU63" s="6">
        <f t="shared" si="20"/>
        <v>43.127499999999998</v>
      </c>
      <c r="BV63" s="18">
        <f t="shared" si="3"/>
        <v>0.17251</v>
      </c>
      <c r="BW63" s="18">
        <f t="shared" si="4"/>
        <v>0.44852599999999998</v>
      </c>
    </row>
    <row r="64" spans="1:75" hidden="1" x14ac:dyDescent="0.25">
      <c r="A64" s="18" t="s">
        <v>6</v>
      </c>
      <c r="B64" s="18">
        <v>2024</v>
      </c>
      <c r="C64" s="18" t="s">
        <v>138</v>
      </c>
      <c r="D64" s="18" t="s">
        <v>10</v>
      </c>
      <c r="E64" s="18">
        <v>10</v>
      </c>
      <c r="F64" s="18" t="s">
        <v>135</v>
      </c>
      <c r="G64" s="18" t="s">
        <v>162</v>
      </c>
      <c r="H64" s="31">
        <f t="shared" si="21"/>
        <v>33.29</v>
      </c>
      <c r="I64" s="31">
        <v>33.85</v>
      </c>
      <c r="J64" s="4">
        <f t="shared" si="5"/>
        <v>0.56000000000000227</v>
      </c>
      <c r="K64" s="5">
        <v>1</v>
      </c>
      <c r="L64" s="31">
        <f t="shared" si="6"/>
        <v>0.56000000000000227</v>
      </c>
      <c r="M64" s="31">
        <v>2.6</v>
      </c>
      <c r="N64" s="31">
        <v>25.1</v>
      </c>
      <c r="O64" s="31">
        <f t="shared" si="0"/>
        <v>0.56000000000000227</v>
      </c>
      <c r="P64" s="31">
        <v>28.000000000000114</v>
      </c>
      <c r="Q64" s="31">
        <v>20</v>
      </c>
      <c r="R64" s="31">
        <v>0.52</v>
      </c>
      <c r="S64" s="31">
        <v>0.52</v>
      </c>
      <c r="T64" s="86">
        <f t="shared" si="24"/>
        <v>92.857142857142478</v>
      </c>
      <c r="U64" s="31">
        <v>1</v>
      </c>
      <c r="V64" s="31"/>
      <c r="W64" s="31">
        <f t="shared" si="25"/>
        <v>1</v>
      </c>
      <c r="X64" s="31">
        <f t="shared" si="29"/>
        <v>520</v>
      </c>
      <c r="Y64" s="31">
        <f t="shared" si="7"/>
        <v>0.52</v>
      </c>
      <c r="Z64" s="18">
        <v>54</v>
      </c>
      <c r="AA64" s="18" t="s">
        <v>92</v>
      </c>
      <c r="AB64" s="18" t="s">
        <v>333</v>
      </c>
      <c r="AC64" s="18" t="s">
        <v>334</v>
      </c>
      <c r="AD64" s="18">
        <v>20</v>
      </c>
      <c r="AE64" s="18">
        <v>28.000000000000114</v>
      </c>
      <c r="AF64" s="18" t="s">
        <v>27</v>
      </c>
      <c r="AG64" s="18" t="s">
        <v>24</v>
      </c>
      <c r="AH64" s="18" t="s">
        <v>24</v>
      </c>
      <c r="AI64" s="18" t="s">
        <v>62</v>
      </c>
      <c r="AJ64" s="18" t="s">
        <v>75</v>
      </c>
      <c r="AK64" s="18" t="s">
        <v>92</v>
      </c>
      <c r="AL64" s="18" t="s">
        <v>105</v>
      </c>
      <c r="AM64" s="18" t="s">
        <v>116</v>
      </c>
      <c r="AN64" s="18" t="s">
        <v>198</v>
      </c>
      <c r="AO64" s="18"/>
      <c r="AP64" s="18"/>
      <c r="AQ64" s="18">
        <f>+VLOOKUP(AI64,Leyenda!$B$30:$E$34,3,FALSE)</f>
        <v>4</v>
      </c>
      <c r="AR64" s="18">
        <f>+VLOOKUP('3. Blasting'!AJ64,Meteorizacion,3,FALSE)</f>
        <v>5</v>
      </c>
      <c r="AS64" s="18">
        <f>+VLOOKUP('3. Blasting'!AK64,Apertura,3,FALSE)</f>
        <v>3</v>
      </c>
      <c r="AT64" s="18">
        <f>+VLOOKUP('3. Blasting'!AL64,Leyenda!$B$55:$D$59,3,FALSE)</f>
        <v>4</v>
      </c>
      <c r="AU64" s="18">
        <f>+VLOOKUP('3. Blasting'!AM64,Relleno,3,FALSE)</f>
        <v>4</v>
      </c>
      <c r="AV64" s="18">
        <f t="shared" si="26"/>
        <v>20</v>
      </c>
      <c r="AW64" s="49">
        <f t="shared" si="8"/>
        <v>11</v>
      </c>
      <c r="AX64" s="49">
        <f>VLOOKUP(AF64,Leyenda!$B$4:$D$10,3,FALSE)</f>
        <v>4</v>
      </c>
      <c r="AY64" s="49">
        <f t="shared" si="2"/>
        <v>5</v>
      </c>
      <c r="AZ64" s="49">
        <f t="shared" si="9"/>
        <v>20</v>
      </c>
      <c r="BA64" s="49">
        <f>VLOOKUP(AN64,Leyenda!$B$70:$D$75,3,FALSE)</f>
        <v>15</v>
      </c>
      <c r="BB64" s="67">
        <f t="shared" si="10"/>
        <v>76.428571428571246</v>
      </c>
      <c r="BC64" s="67">
        <f>VLOOKUP(AF64,Leyenda!$B$4:$E$10,4,FALSE)</f>
        <v>4</v>
      </c>
      <c r="BD64" s="67">
        <f t="shared" si="11"/>
        <v>18</v>
      </c>
      <c r="BE64" s="67">
        <f t="shared" si="12"/>
        <v>19</v>
      </c>
      <c r="BF64" s="67">
        <f>+VLOOKUP('3. Blasting'!AK64,Leyenda!$B$47:$E$51,4,FALSE)</f>
        <v>3</v>
      </c>
      <c r="BG64" s="67">
        <f>+VLOOKUP('3. Blasting'!AL64,Leyenda!$B$55:$E$59,4,FALSE)</f>
        <v>4</v>
      </c>
      <c r="BH64" s="67">
        <f>+VLOOKUP('3. Blasting'!AM64,Leyenda!$B$63:$E$67,3,FALSE)</f>
        <v>4</v>
      </c>
      <c r="BI64" s="67">
        <f>+VLOOKUP('3. Blasting'!AJ64,Leyenda!$B$39:$E$43,4,FALSE)</f>
        <v>4</v>
      </c>
      <c r="BJ64" s="67">
        <f>+VLOOKUP('3. Blasting'!AI64,Leyenda!$B$30:$E$34,4,FALSE)</f>
        <v>4</v>
      </c>
      <c r="BK64" s="67">
        <f>VLOOKUP(AN64,Leyenda!$B$71:$E$75,4,FALSE)</f>
        <v>10</v>
      </c>
      <c r="BL64" s="67">
        <f t="shared" si="13"/>
        <v>70</v>
      </c>
      <c r="BM64" s="18">
        <f t="shared" si="14"/>
        <v>55</v>
      </c>
      <c r="BN64" s="18">
        <f t="shared" si="28"/>
        <v>0.9702090240994542</v>
      </c>
      <c r="BO64" s="18"/>
      <c r="BP64" s="6">
        <f t="shared" si="16"/>
        <v>30</v>
      </c>
      <c r="BQ64" s="6">
        <f t="shared" si="17"/>
        <v>20</v>
      </c>
      <c r="BR64" s="6">
        <v>20</v>
      </c>
      <c r="BS64" s="6">
        <f t="shared" si="18"/>
        <v>15</v>
      </c>
      <c r="BT64" s="6">
        <f t="shared" si="19"/>
        <v>1.2550000000000001</v>
      </c>
      <c r="BU64" s="6">
        <f t="shared" si="20"/>
        <v>43.127499999999998</v>
      </c>
      <c r="BV64" s="18">
        <f t="shared" si="3"/>
        <v>0.17251</v>
      </c>
      <c r="BW64" s="18">
        <f t="shared" si="4"/>
        <v>0.44852599999999998</v>
      </c>
    </row>
    <row r="65" spans="1:75" hidden="1" x14ac:dyDescent="0.25">
      <c r="A65" s="18" t="s">
        <v>6</v>
      </c>
      <c r="B65" s="18">
        <v>2024</v>
      </c>
      <c r="C65" s="18" t="s">
        <v>138</v>
      </c>
      <c r="D65" s="18" t="s">
        <v>10</v>
      </c>
      <c r="E65" s="18">
        <v>10</v>
      </c>
      <c r="F65" s="18" t="s">
        <v>135</v>
      </c>
      <c r="G65" s="18" t="s">
        <v>162</v>
      </c>
      <c r="H65" s="31">
        <f t="shared" si="21"/>
        <v>33.85</v>
      </c>
      <c r="I65" s="31">
        <v>34.35</v>
      </c>
      <c r="J65" s="4">
        <f t="shared" si="5"/>
        <v>0.5</v>
      </c>
      <c r="K65" s="5">
        <v>0.78</v>
      </c>
      <c r="L65" s="31">
        <f t="shared" si="6"/>
        <v>0.39</v>
      </c>
      <c r="M65" s="31">
        <v>2.6</v>
      </c>
      <c r="N65" s="31">
        <v>25.1</v>
      </c>
      <c r="O65" s="31">
        <f t="shared" si="0"/>
        <v>0.39</v>
      </c>
      <c r="P65" s="31">
        <v>19.5</v>
      </c>
      <c r="Q65" s="31">
        <v>20</v>
      </c>
      <c r="R65" s="31">
        <v>0.37</v>
      </c>
      <c r="S65" s="31">
        <v>0.32</v>
      </c>
      <c r="T65" s="86">
        <f t="shared" si="24"/>
        <v>64</v>
      </c>
      <c r="U65" s="31">
        <v>3</v>
      </c>
      <c r="V65" s="31"/>
      <c r="W65" s="31">
        <f t="shared" si="25"/>
        <v>3</v>
      </c>
      <c r="X65" s="31">
        <f t="shared" si="29"/>
        <v>123.33333333333333</v>
      </c>
      <c r="Y65" s="31">
        <f t="shared" si="7"/>
        <v>0.12333333333333332</v>
      </c>
      <c r="Z65" s="18">
        <v>40</v>
      </c>
      <c r="AA65" s="18" t="s">
        <v>96</v>
      </c>
      <c r="AB65" s="18" t="s">
        <v>333</v>
      </c>
      <c r="AC65" s="18" t="s">
        <v>337</v>
      </c>
      <c r="AD65" s="18">
        <v>20</v>
      </c>
      <c r="AE65" s="18">
        <v>19.5</v>
      </c>
      <c r="AF65" s="18" t="s">
        <v>29</v>
      </c>
      <c r="AG65" s="18" t="s">
        <v>24</v>
      </c>
      <c r="AH65" s="18" t="s">
        <v>24</v>
      </c>
      <c r="AI65" s="18" t="s">
        <v>62</v>
      </c>
      <c r="AJ65" s="18" t="s">
        <v>75</v>
      </c>
      <c r="AK65" s="18" t="s">
        <v>92</v>
      </c>
      <c r="AL65" s="18" t="s">
        <v>105</v>
      </c>
      <c r="AM65" s="18" t="s">
        <v>116</v>
      </c>
      <c r="AN65" s="18" t="s">
        <v>198</v>
      </c>
      <c r="AO65" s="18"/>
      <c r="AP65" s="18"/>
      <c r="AQ65" s="18">
        <f>+VLOOKUP(AI65,Leyenda!$B$30:$E$34,3,FALSE)</f>
        <v>4</v>
      </c>
      <c r="AR65" s="18">
        <f>+VLOOKUP('3. Blasting'!AJ65,Meteorizacion,3,FALSE)</f>
        <v>5</v>
      </c>
      <c r="AS65" s="18">
        <f>+VLOOKUP('3. Blasting'!AK65,Apertura,3,FALSE)</f>
        <v>3</v>
      </c>
      <c r="AT65" s="18">
        <f>+VLOOKUP('3. Blasting'!AL65,Leyenda!$B$55:$D$59,3,FALSE)</f>
        <v>4</v>
      </c>
      <c r="AU65" s="18">
        <f>+VLOOKUP('3. Blasting'!AM65,Relleno,3,FALSE)</f>
        <v>4</v>
      </c>
      <c r="AV65" s="18">
        <f t="shared" si="26"/>
        <v>20</v>
      </c>
      <c r="AW65" s="49">
        <f t="shared" si="8"/>
        <v>8</v>
      </c>
      <c r="AX65" s="49">
        <f>VLOOKUP(AF65,Leyenda!$B$4:$D$10,3,FALSE)</f>
        <v>2</v>
      </c>
      <c r="AY65" s="49">
        <f t="shared" si="2"/>
        <v>4</v>
      </c>
      <c r="AZ65" s="49">
        <f t="shared" si="9"/>
        <v>20</v>
      </c>
      <c r="BA65" s="49">
        <f>VLOOKUP(AN65,Leyenda!$B$70:$D$75,3,FALSE)</f>
        <v>15</v>
      </c>
      <c r="BB65" s="67">
        <f t="shared" si="10"/>
        <v>62</v>
      </c>
      <c r="BC65" s="67">
        <f>VLOOKUP(AF65,Leyenda!$B$4:$E$10,4,FALSE)</f>
        <v>2</v>
      </c>
      <c r="BD65" s="67">
        <f t="shared" si="11"/>
        <v>9</v>
      </c>
      <c r="BE65" s="67">
        <f t="shared" si="12"/>
        <v>13</v>
      </c>
      <c r="BF65" s="67">
        <f>+VLOOKUP('3. Blasting'!AK65,Leyenda!$B$47:$E$51,4,FALSE)</f>
        <v>3</v>
      </c>
      <c r="BG65" s="67">
        <f>+VLOOKUP('3. Blasting'!AL65,Leyenda!$B$55:$E$59,4,FALSE)</f>
        <v>4</v>
      </c>
      <c r="BH65" s="67">
        <f>+VLOOKUP('3. Blasting'!AM65,Leyenda!$B$63:$E$67,3,FALSE)</f>
        <v>4</v>
      </c>
      <c r="BI65" s="67">
        <f>+VLOOKUP('3. Blasting'!AJ65,Leyenda!$B$39:$E$43,4,FALSE)</f>
        <v>4</v>
      </c>
      <c r="BJ65" s="67">
        <f>+VLOOKUP('3. Blasting'!AI65,Leyenda!$B$30:$E$34,4,FALSE)</f>
        <v>4</v>
      </c>
      <c r="BK65" s="67">
        <f>VLOOKUP(AN65,Leyenda!$B$71:$E$75,4,FALSE)</f>
        <v>10</v>
      </c>
      <c r="BL65" s="67">
        <f t="shared" si="13"/>
        <v>53</v>
      </c>
      <c r="BM65" s="18">
        <f t="shared" si="14"/>
        <v>49</v>
      </c>
      <c r="BN65" s="18">
        <f t="shared" si="28"/>
        <v>0.96868916848856335</v>
      </c>
      <c r="BO65" s="18"/>
      <c r="BP65" s="6">
        <f t="shared" si="16"/>
        <v>30</v>
      </c>
      <c r="BQ65" s="6">
        <f t="shared" si="17"/>
        <v>20</v>
      </c>
      <c r="BR65" s="6">
        <v>20</v>
      </c>
      <c r="BS65" s="6">
        <f t="shared" si="18"/>
        <v>15</v>
      </c>
      <c r="BT65" s="6">
        <f t="shared" si="19"/>
        <v>1.2550000000000001</v>
      </c>
      <c r="BU65" s="6">
        <f t="shared" si="20"/>
        <v>43.127499999999998</v>
      </c>
      <c r="BV65" s="18">
        <f t="shared" si="3"/>
        <v>0.17251</v>
      </c>
      <c r="BW65" s="18">
        <f t="shared" si="4"/>
        <v>0.44852599999999998</v>
      </c>
    </row>
    <row r="66" spans="1:75" hidden="1" x14ac:dyDescent="0.25">
      <c r="A66" s="18" t="s">
        <v>6</v>
      </c>
      <c r="B66" s="18">
        <v>2024</v>
      </c>
      <c r="C66" s="18" t="s">
        <v>138</v>
      </c>
      <c r="D66" s="18" t="s">
        <v>10</v>
      </c>
      <c r="E66" s="18">
        <v>10</v>
      </c>
      <c r="F66" s="18" t="s">
        <v>135</v>
      </c>
      <c r="G66" s="18" t="s">
        <v>162</v>
      </c>
      <c r="H66" s="31">
        <f t="shared" si="21"/>
        <v>34.35</v>
      </c>
      <c r="I66" s="31">
        <v>34.85</v>
      </c>
      <c r="J66" s="4">
        <f t="shared" si="5"/>
        <v>0.5</v>
      </c>
      <c r="K66" s="5">
        <v>0.94</v>
      </c>
      <c r="L66" s="31">
        <f t="shared" si="6"/>
        <v>0.47</v>
      </c>
      <c r="M66" s="31">
        <v>2.6</v>
      </c>
      <c r="N66" s="31">
        <v>25.1</v>
      </c>
      <c r="O66" s="31">
        <f t="shared" si="0"/>
        <v>0.47</v>
      </c>
      <c r="P66" s="31">
        <v>23.5</v>
      </c>
      <c r="Q66" s="31">
        <v>20</v>
      </c>
      <c r="R66" s="31">
        <v>0.44</v>
      </c>
      <c r="S66" s="31">
        <v>0.2</v>
      </c>
      <c r="T66" s="86">
        <f t="shared" si="24"/>
        <v>40</v>
      </c>
      <c r="U66" s="31">
        <v>6</v>
      </c>
      <c r="V66" s="31"/>
      <c r="W66" s="31">
        <f t="shared" si="25"/>
        <v>6</v>
      </c>
      <c r="X66" s="31">
        <f t="shared" si="29"/>
        <v>73.333333333333329</v>
      </c>
      <c r="Y66" s="31">
        <f t="shared" si="7"/>
        <v>7.3333333333333334E-2</v>
      </c>
      <c r="Z66" s="18">
        <v>0</v>
      </c>
      <c r="AA66" s="18" t="s">
        <v>92</v>
      </c>
      <c r="AB66" s="18" t="s">
        <v>333</v>
      </c>
      <c r="AC66" s="18" t="s">
        <v>334</v>
      </c>
      <c r="AD66" s="18">
        <v>20</v>
      </c>
      <c r="AE66" s="18">
        <v>23.5</v>
      </c>
      <c r="AF66" s="18" t="s">
        <v>27</v>
      </c>
      <c r="AG66" s="18" t="s">
        <v>24</v>
      </c>
      <c r="AH66" s="18" t="s">
        <v>24</v>
      </c>
      <c r="AI66" s="18" t="s">
        <v>62</v>
      </c>
      <c r="AJ66" s="18" t="s">
        <v>75</v>
      </c>
      <c r="AK66" s="18" t="s">
        <v>92</v>
      </c>
      <c r="AL66" s="18" t="s">
        <v>105</v>
      </c>
      <c r="AM66" s="18" t="s">
        <v>116</v>
      </c>
      <c r="AN66" s="18" t="s">
        <v>198</v>
      </c>
      <c r="AO66" s="18"/>
      <c r="AP66" s="18"/>
      <c r="AQ66" s="18">
        <f>+VLOOKUP(AI66,Leyenda!$B$30:$E$34,3,FALSE)</f>
        <v>4</v>
      </c>
      <c r="AR66" s="18">
        <f>+VLOOKUP('3. Blasting'!AJ66,Meteorizacion,3,FALSE)</f>
        <v>5</v>
      </c>
      <c r="AS66" s="18">
        <f>+VLOOKUP('3. Blasting'!AK66,Apertura,3,FALSE)</f>
        <v>3</v>
      </c>
      <c r="AT66" s="18">
        <f>+VLOOKUP('3. Blasting'!AL66,Leyenda!$B$55:$D$59,3,FALSE)</f>
        <v>4</v>
      </c>
      <c r="AU66" s="18">
        <f>+VLOOKUP('3. Blasting'!AM66,Relleno,3,FALSE)</f>
        <v>4</v>
      </c>
      <c r="AV66" s="18">
        <f t="shared" si="26"/>
        <v>20</v>
      </c>
      <c r="AW66" s="49">
        <f t="shared" si="8"/>
        <v>0</v>
      </c>
      <c r="AX66" s="49">
        <f>VLOOKUP(AF66,Leyenda!$B$4:$D$10,3,FALSE)</f>
        <v>4</v>
      </c>
      <c r="AY66" s="49">
        <f t="shared" si="2"/>
        <v>4</v>
      </c>
      <c r="AZ66" s="49">
        <f t="shared" si="9"/>
        <v>20</v>
      </c>
      <c r="BA66" s="49">
        <f>VLOOKUP(AN66,Leyenda!$B$70:$D$75,3,FALSE)</f>
        <v>15</v>
      </c>
      <c r="BB66" s="67">
        <f t="shared" si="10"/>
        <v>50</v>
      </c>
      <c r="BC66" s="67">
        <f>VLOOKUP(AF66,Leyenda!$B$4:$E$10,4,FALSE)</f>
        <v>4</v>
      </c>
      <c r="BD66" s="67">
        <f t="shared" si="11"/>
        <v>6</v>
      </c>
      <c r="BE66" s="67">
        <f t="shared" si="12"/>
        <v>8</v>
      </c>
      <c r="BF66" s="67">
        <f>+VLOOKUP('3. Blasting'!AK66,Leyenda!$B$47:$E$51,4,FALSE)</f>
        <v>3</v>
      </c>
      <c r="BG66" s="67">
        <f>+VLOOKUP('3. Blasting'!AL66,Leyenda!$B$55:$E$59,4,FALSE)</f>
        <v>4</v>
      </c>
      <c r="BH66" s="67">
        <f>+VLOOKUP('3. Blasting'!AM66,Leyenda!$B$63:$E$67,3,FALSE)</f>
        <v>4</v>
      </c>
      <c r="BI66" s="67">
        <f>+VLOOKUP('3. Blasting'!AJ66,Leyenda!$B$39:$E$43,4,FALSE)</f>
        <v>4</v>
      </c>
      <c r="BJ66" s="67">
        <f>+VLOOKUP('3. Blasting'!AI66,Leyenda!$B$30:$E$34,4,FALSE)</f>
        <v>4</v>
      </c>
      <c r="BK66" s="67">
        <f>VLOOKUP(AN66,Leyenda!$B$71:$E$75,4,FALSE)</f>
        <v>10</v>
      </c>
      <c r="BL66" s="67">
        <f t="shared" si="13"/>
        <v>47</v>
      </c>
      <c r="BM66" s="18">
        <f t="shared" si="14"/>
        <v>43</v>
      </c>
      <c r="BN66" s="18">
        <f t="shared" si="28"/>
        <v>0.96843316849684646</v>
      </c>
      <c r="BO66" s="18"/>
      <c r="BP66" s="6">
        <f t="shared" si="16"/>
        <v>30</v>
      </c>
      <c r="BQ66" s="6">
        <f t="shared" si="17"/>
        <v>10</v>
      </c>
      <c r="BR66" s="6">
        <v>20</v>
      </c>
      <c r="BS66" s="6">
        <f t="shared" si="18"/>
        <v>15</v>
      </c>
      <c r="BT66" s="6">
        <f t="shared" si="19"/>
        <v>1.2550000000000001</v>
      </c>
      <c r="BU66" s="6">
        <f t="shared" si="20"/>
        <v>38.127499999999998</v>
      </c>
      <c r="BV66" s="18">
        <f t="shared" si="3"/>
        <v>0.15251000000000001</v>
      </c>
      <c r="BW66" s="18">
        <f t="shared" si="4"/>
        <v>0.39652600000000005</v>
      </c>
    </row>
    <row r="67" spans="1:75" hidden="1" x14ac:dyDescent="0.25">
      <c r="A67" s="18" t="s">
        <v>6</v>
      </c>
      <c r="B67" s="18">
        <v>2024</v>
      </c>
      <c r="C67" s="18" t="s">
        <v>138</v>
      </c>
      <c r="D67" s="18" t="s">
        <v>10</v>
      </c>
      <c r="E67" s="18">
        <v>10</v>
      </c>
      <c r="F67" s="18" t="s">
        <v>135</v>
      </c>
      <c r="G67" s="18" t="s">
        <v>163</v>
      </c>
      <c r="H67" s="31">
        <f t="shared" si="21"/>
        <v>34.85</v>
      </c>
      <c r="I67" s="31">
        <v>35.35</v>
      </c>
      <c r="J67" s="4">
        <f t="shared" si="5"/>
        <v>0.5</v>
      </c>
      <c r="K67" s="5">
        <v>1</v>
      </c>
      <c r="L67" s="31">
        <f t="shared" si="6"/>
        <v>0.5</v>
      </c>
      <c r="M67" s="31">
        <v>2.6</v>
      </c>
      <c r="N67" s="31">
        <v>25.1</v>
      </c>
      <c r="O67" s="31">
        <f t="shared" si="0"/>
        <v>0.5</v>
      </c>
      <c r="P67" s="31">
        <v>25</v>
      </c>
      <c r="Q67" s="31">
        <v>20</v>
      </c>
      <c r="R67" s="31">
        <v>0.49</v>
      </c>
      <c r="S67" s="31">
        <v>0</v>
      </c>
      <c r="T67" s="86">
        <f t="shared" si="24"/>
        <v>0</v>
      </c>
      <c r="U67" s="31">
        <v>10</v>
      </c>
      <c r="V67" s="31"/>
      <c r="W67" s="31">
        <f t="shared" si="25"/>
        <v>10</v>
      </c>
      <c r="X67" s="31">
        <f t="shared" si="29"/>
        <v>49</v>
      </c>
      <c r="Y67" s="31">
        <f t="shared" si="7"/>
        <v>4.9000000000000002E-2</v>
      </c>
      <c r="Z67" s="18">
        <v>0</v>
      </c>
      <c r="AA67" s="18" t="s">
        <v>100</v>
      </c>
      <c r="AB67" s="18" t="s">
        <v>333</v>
      </c>
      <c r="AC67" s="18" t="s">
        <v>335</v>
      </c>
      <c r="AD67" s="18">
        <v>20</v>
      </c>
      <c r="AE67" s="18">
        <v>25</v>
      </c>
      <c r="AF67" s="18" t="s">
        <v>34</v>
      </c>
      <c r="AG67" s="18" t="s">
        <v>27</v>
      </c>
      <c r="AH67" s="18" t="s">
        <v>27</v>
      </c>
      <c r="AI67" s="18" t="s">
        <v>64</v>
      </c>
      <c r="AJ67" s="18" t="s">
        <v>77</v>
      </c>
      <c r="AK67" s="18" t="s">
        <v>92</v>
      </c>
      <c r="AL67" s="18" t="s">
        <v>107</v>
      </c>
      <c r="AM67" s="18" t="s">
        <v>118</v>
      </c>
      <c r="AN67" s="18" t="s">
        <v>198</v>
      </c>
      <c r="AO67" s="18"/>
      <c r="AP67" s="18"/>
      <c r="AQ67" s="18">
        <f>+VLOOKUP(AI67,Leyenda!$B$30:$E$34,3,FALSE)</f>
        <v>2</v>
      </c>
      <c r="AR67" s="18">
        <f>+VLOOKUP('3. Blasting'!AJ67,Meteorizacion,3,FALSE)</f>
        <v>3</v>
      </c>
      <c r="AS67" s="18">
        <f>+VLOOKUP('3. Blasting'!AK67,Apertura,3,FALSE)</f>
        <v>3</v>
      </c>
      <c r="AT67" s="18">
        <f>+VLOOKUP('3. Blasting'!AL67,Leyenda!$B$55:$D$59,3,FALSE)</f>
        <v>3</v>
      </c>
      <c r="AU67" s="18">
        <f>+VLOOKUP('3. Blasting'!AM67,Relleno,3,FALSE)</f>
        <v>2</v>
      </c>
      <c r="AV67" s="18">
        <f t="shared" si="26"/>
        <v>13</v>
      </c>
      <c r="AW67" s="49">
        <f t="shared" si="8"/>
        <v>0</v>
      </c>
      <c r="AX67" s="49">
        <f>VLOOKUP(AF67,Leyenda!$B$4:$D$10,3,FALSE)</f>
        <v>0</v>
      </c>
      <c r="AY67" s="49">
        <f t="shared" si="2"/>
        <v>5</v>
      </c>
      <c r="AZ67" s="49">
        <f t="shared" si="9"/>
        <v>13</v>
      </c>
      <c r="BA67" s="49">
        <f>VLOOKUP(AN67,Leyenda!$B$70:$D$75,3,FALSE)</f>
        <v>15</v>
      </c>
      <c r="BB67" s="67">
        <f t="shared" si="10"/>
        <v>19.5</v>
      </c>
      <c r="BC67" s="67">
        <f>VLOOKUP(AF67,Leyenda!$B$4:$E$10,4,FALSE)</f>
        <v>0</v>
      </c>
      <c r="BD67" s="67">
        <f t="shared" si="11"/>
        <v>5</v>
      </c>
      <c r="BE67" s="67">
        <f t="shared" si="12"/>
        <v>0</v>
      </c>
      <c r="BF67" s="67">
        <f>+VLOOKUP('3. Blasting'!AK67,Leyenda!$B$47:$E$51,4,FALSE)</f>
        <v>3</v>
      </c>
      <c r="BG67" s="67">
        <f>+VLOOKUP('3. Blasting'!AL67,Leyenda!$B$55:$E$59,4,FALSE)</f>
        <v>3</v>
      </c>
      <c r="BH67" s="67">
        <f>+VLOOKUP('3. Blasting'!AM67,Leyenda!$B$63:$E$67,3,FALSE)</f>
        <v>2</v>
      </c>
      <c r="BI67" s="67">
        <f>+VLOOKUP('3. Blasting'!AJ67,Leyenda!$B$39:$E$43,4,FALSE)</f>
        <v>3</v>
      </c>
      <c r="BJ67" s="67">
        <f>+VLOOKUP('3. Blasting'!AI67,Leyenda!$B$30:$E$34,4,FALSE)</f>
        <v>3</v>
      </c>
      <c r="BK67" s="67">
        <f>VLOOKUP(AN67,Leyenda!$B$71:$E$75,4,FALSE)</f>
        <v>10</v>
      </c>
      <c r="BL67" s="67">
        <f t="shared" si="13"/>
        <v>29</v>
      </c>
      <c r="BM67" s="18">
        <f t="shared" si="14"/>
        <v>33</v>
      </c>
      <c r="BN67" s="18">
        <f t="shared" si="28"/>
        <v>0.96822114696447281</v>
      </c>
      <c r="BO67" s="18"/>
      <c r="BP67" s="6">
        <f t="shared" si="16"/>
        <v>10</v>
      </c>
      <c r="BQ67" s="6">
        <f t="shared" si="17"/>
        <v>10</v>
      </c>
      <c r="BR67" s="6">
        <v>20</v>
      </c>
      <c r="BS67" s="6">
        <f t="shared" si="18"/>
        <v>15</v>
      </c>
      <c r="BT67" s="6">
        <f t="shared" si="19"/>
        <v>1.2550000000000001</v>
      </c>
      <c r="BU67" s="6">
        <f t="shared" si="20"/>
        <v>28.127500000000001</v>
      </c>
      <c r="BV67" s="18">
        <f t="shared" si="3"/>
        <v>0.11251000000000001</v>
      </c>
      <c r="BW67" s="18">
        <f t="shared" si="4"/>
        <v>0.29252600000000006</v>
      </c>
    </row>
    <row r="68" spans="1:75" hidden="1" x14ac:dyDescent="0.25">
      <c r="A68" s="18" t="s">
        <v>6</v>
      </c>
      <c r="B68" s="18">
        <v>2024</v>
      </c>
      <c r="C68" s="18" t="s">
        <v>138</v>
      </c>
      <c r="D68" s="18" t="s">
        <v>10</v>
      </c>
      <c r="E68" s="18">
        <v>10</v>
      </c>
      <c r="F68" s="18" t="s">
        <v>135</v>
      </c>
      <c r="G68" s="18" t="s">
        <v>163</v>
      </c>
      <c r="H68" s="31">
        <f t="shared" si="21"/>
        <v>35.35</v>
      </c>
      <c r="I68" s="31">
        <v>35.85</v>
      </c>
      <c r="J68" s="4">
        <f t="shared" si="5"/>
        <v>0.5</v>
      </c>
      <c r="K68" s="5">
        <v>1</v>
      </c>
      <c r="L68" s="31">
        <f t="shared" si="6"/>
        <v>0.5</v>
      </c>
      <c r="M68" s="31">
        <v>2.6</v>
      </c>
      <c r="N68" s="31">
        <v>25.1</v>
      </c>
      <c r="O68" s="31">
        <f t="shared" ref="O68:O131" si="30">+K68*J68</f>
        <v>0.5</v>
      </c>
      <c r="P68" s="31">
        <v>100</v>
      </c>
      <c r="Q68" s="31">
        <v>5</v>
      </c>
      <c r="R68" s="31">
        <v>0.5</v>
      </c>
      <c r="S68" s="31">
        <v>0.28999999999999998</v>
      </c>
      <c r="T68" s="86">
        <f t="shared" si="24"/>
        <v>57.999999999999993</v>
      </c>
      <c r="U68" s="31">
        <v>4</v>
      </c>
      <c r="V68" s="31"/>
      <c r="W68" s="31">
        <f t="shared" si="25"/>
        <v>4</v>
      </c>
      <c r="X68" s="31">
        <f t="shared" si="29"/>
        <v>125</v>
      </c>
      <c r="Y68" s="31">
        <f t="shared" si="7"/>
        <v>0.125</v>
      </c>
      <c r="Z68" s="18">
        <v>40</v>
      </c>
      <c r="AA68" s="18" t="s">
        <v>96</v>
      </c>
      <c r="AB68" s="18" t="s">
        <v>118</v>
      </c>
      <c r="AC68" s="18" t="s">
        <v>337</v>
      </c>
      <c r="AD68" s="18">
        <v>5</v>
      </c>
      <c r="AE68" s="18">
        <v>100</v>
      </c>
      <c r="AF68" s="18" t="s">
        <v>29</v>
      </c>
      <c r="AG68" s="18" t="s">
        <v>27</v>
      </c>
      <c r="AH68" s="18" t="s">
        <v>27</v>
      </c>
      <c r="AI68" s="18" t="s">
        <v>64</v>
      </c>
      <c r="AJ68" s="18" t="s">
        <v>77</v>
      </c>
      <c r="AK68" s="18" t="s">
        <v>92</v>
      </c>
      <c r="AL68" s="18" t="s">
        <v>107</v>
      </c>
      <c r="AM68" s="18" t="s">
        <v>120</v>
      </c>
      <c r="AN68" s="18" t="s">
        <v>198</v>
      </c>
      <c r="AO68" s="18"/>
      <c r="AP68" s="18"/>
      <c r="AQ68" s="18">
        <f>+VLOOKUP(AI68,Leyenda!$B$30:$E$34,3,FALSE)</f>
        <v>2</v>
      </c>
      <c r="AR68" s="18">
        <f>+VLOOKUP('3. Blasting'!AJ68,Meteorizacion,3,FALSE)</f>
        <v>3</v>
      </c>
      <c r="AS68" s="18">
        <f>+VLOOKUP('3. Blasting'!AK68,Apertura,3,FALSE)</f>
        <v>3</v>
      </c>
      <c r="AT68" s="18">
        <f>+VLOOKUP('3. Blasting'!AL68,Leyenda!$B$55:$D$59,3,FALSE)</f>
        <v>3</v>
      </c>
      <c r="AU68" s="18">
        <f>+VLOOKUP('3. Blasting'!AM68,Relleno,3,FALSE)</f>
        <v>2</v>
      </c>
      <c r="AV68" s="18">
        <f t="shared" si="26"/>
        <v>13</v>
      </c>
      <c r="AW68" s="49">
        <f t="shared" si="8"/>
        <v>8</v>
      </c>
      <c r="AX68" s="49">
        <f>VLOOKUP(AF68,Leyenda!$B$4:$D$10,3,FALSE)</f>
        <v>2</v>
      </c>
      <c r="AY68" s="49">
        <f t="shared" ref="AY68:AY131" si="31">IF(P68="",ROUND((IF(P68&lt;=400,1.5478*POWER(P68,0.3351),-2*POWER(10,-6)*POWER(P68,2)+0.0091*P68+8.1704)),0),ROUND((IF(P68&lt;=400,1.5478*POWER(P68,0.3351),-2*POWER(10,-6)*POWER(P68,2)+0.0091*P68+8.1704)),0))</f>
        <v>7</v>
      </c>
      <c r="AZ68" s="49">
        <f t="shared" si="9"/>
        <v>13</v>
      </c>
      <c r="BA68" s="49">
        <f>VLOOKUP(AN68,Leyenda!$B$70:$D$75,3,FALSE)</f>
        <v>15</v>
      </c>
      <c r="BB68" s="67">
        <f t="shared" si="10"/>
        <v>48.5</v>
      </c>
      <c r="BC68" s="67">
        <f>VLOOKUP(AF68,Leyenda!$B$4:$E$10,4,FALSE)</f>
        <v>2</v>
      </c>
      <c r="BD68" s="67">
        <f t="shared" si="11"/>
        <v>10</v>
      </c>
      <c r="BE68" s="67">
        <f t="shared" si="12"/>
        <v>12</v>
      </c>
      <c r="BF68" s="67">
        <f>+VLOOKUP('3. Blasting'!AK68,Leyenda!$B$47:$E$51,4,FALSE)</f>
        <v>3</v>
      </c>
      <c r="BG68" s="67">
        <f>+VLOOKUP('3. Blasting'!AL68,Leyenda!$B$55:$E$59,4,FALSE)</f>
        <v>3</v>
      </c>
      <c r="BH68" s="67">
        <f>+VLOOKUP('3. Blasting'!AM68,Leyenda!$B$63:$E$67,3,FALSE)</f>
        <v>2</v>
      </c>
      <c r="BI68" s="67">
        <f>+VLOOKUP('3. Blasting'!AJ68,Leyenda!$B$39:$E$43,4,FALSE)</f>
        <v>3</v>
      </c>
      <c r="BJ68" s="67">
        <f>+VLOOKUP('3. Blasting'!AI68,Leyenda!$B$30:$E$34,4,FALSE)</f>
        <v>3</v>
      </c>
      <c r="BK68" s="67">
        <f>VLOOKUP(AN68,Leyenda!$B$71:$E$75,4,FALSE)</f>
        <v>10</v>
      </c>
      <c r="BL68" s="67">
        <f t="shared" si="13"/>
        <v>48</v>
      </c>
      <c r="BM68" s="18">
        <f t="shared" si="14"/>
        <v>45</v>
      </c>
      <c r="BN68" s="18">
        <f t="shared" si="28"/>
        <v>0.96824100632723509</v>
      </c>
      <c r="BO68" s="18"/>
      <c r="BP68" s="6">
        <f t="shared" si="16"/>
        <v>30</v>
      </c>
      <c r="BQ68" s="6">
        <f t="shared" si="17"/>
        <v>20</v>
      </c>
      <c r="BR68" s="6">
        <v>20</v>
      </c>
      <c r="BS68" s="6">
        <f t="shared" si="18"/>
        <v>15</v>
      </c>
      <c r="BT68" s="6">
        <f t="shared" si="19"/>
        <v>1.2550000000000001</v>
      </c>
      <c r="BU68" s="6">
        <f t="shared" si="20"/>
        <v>43.127499999999998</v>
      </c>
      <c r="BV68" s="18">
        <f t="shared" ref="BV68:BV131" si="32">0.004*BU68</f>
        <v>0.17251</v>
      </c>
      <c r="BW68" s="18">
        <f t="shared" ref="BW68:BW131" si="33">+BV68*M68</f>
        <v>0.44852599999999998</v>
      </c>
    </row>
    <row r="69" spans="1:75" hidden="1" x14ac:dyDescent="0.25">
      <c r="A69" s="18" t="s">
        <v>6</v>
      </c>
      <c r="B69" s="18">
        <v>2024</v>
      </c>
      <c r="C69" s="18" t="s">
        <v>138</v>
      </c>
      <c r="D69" s="18" t="s">
        <v>10</v>
      </c>
      <c r="E69" s="18">
        <v>10</v>
      </c>
      <c r="F69" s="18" t="s">
        <v>135</v>
      </c>
      <c r="G69" s="18" t="s">
        <v>163</v>
      </c>
      <c r="H69" s="31">
        <f t="shared" si="21"/>
        <v>35.85</v>
      </c>
      <c r="I69" s="31">
        <v>36.35</v>
      </c>
      <c r="J69" s="4">
        <f t="shared" ref="J69:J132" si="34">+I69-H69</f>
        <v>0.5</v>
      </c>
      <c r="K69" s="5">
        <v>1</v>
      </c>
      <c r="L69" s="31">
        <f t="shared" ref="L69:L132" si="35">+J69*K69</f>
        <v>0.5</v>
      </c>
      <c r="M69" s="31">
        <v>2.6</v>
      </c>
      <c r="N69" s="31">
        <v>25.1</v>
      </c>
      <c r="O69" s="31">
        <f t="shared" si="30"/>
        <v>0.5</v>
      </c>
      <c r="P69" s="31">
        <v>25</v>
      </c>
      <c r="Q69" s="31">
        <v>20</v>
      </c>
      <c r="R69" s="31">
        <v>0.44</v>
      </c>
      <c r="S69" s="31">
        <v>0.18</v>
      </c>
      <c r="T69" s="86">
        <f t="shared" si="24"/>
        <v>36</v>
      </c>
      <c r="U69" s="31">
        <v>3</v>
      </c>
      <c r="V69" s="31"/>
      <c r="W69" s="31">
        <f t="shared" si="25"/>
        <v>3</v>
      </c>
      <c r="X69" s="31">
        <f t="shared" si="29"/>
        <v>146.66666666666666</v>
      </c>
      <c r="Y69" s="31">
        <f t="shared" ref="Y69:Y132" si="36">+X69/1000</f>
        <v>0.14666666666666667</v>
      </c>
      <c r="Z69" s="18">
        <v>0</v>
      </c>
      <c r="AA69" s="18" t="s">
        <v>92</v>
      </c>
      <c r="AB69" s="18" t="s">
        <v>333</v>
      </c>
      <c r="AC69" s="18" t="s">
        <v>334</v>
      </c>
      <c r="AD69" s="18">
        <v>20</v>
      </c>
      <c r="AE69" s="18">
        <v>25</v>
      </c>
      <c r="AF69" s="18" t="s">
        <v>27</v>
      </c>
      <c r="AG69" s="18" t="s">
        <v>27</v>
      </c>
      <c r="AH69" s="18" t="s">
        <v>27</v>
      </c>
      <c r="AI69" s="18" t="s">
        <v>64</v>
      </c>
      <c r="AJ69" s="18" t="s">
        <v>77</v>
      </c>
      <c r="AK69" s="18" t="s">
        <v>92</v>
      </c>
      <c r="AL69" s="18" t="s">
        <v>107</v>
      </c>
      <c r="AM69" s="18" t="s">
        <v>118</v>
      </c>
      <c r="AN69" s="18" t="s">
        <v>198</v>
      </c>
      <c r="AO69" s="18"/>
      <c r="AP69" s="18"/>
      <c r="AQ69" s="18">
        <f>+VLOOKUP(AI69,Leyenda!$B$30:$E$34,3,FALSE)</f>
        <v>2</v>
      </c>
      <c r="AR69" s="18">
        <f>+VLOOKUP('3. Blasting'!AJ69,Meteorizacion,3,FALSE)</f>
        <v>3</v>
      </c>
      <c r="AS69" s="18">
        <f>+VLOOKUP('3. Blasting'!AK69,Apertura,3,FALSE)</f>
        <v>3</v>
      </c>
      <c r="AT69" s="18">
        <f>+VLOOKUP('3. Blasting'!AL69,Leyenda!$B$55:$D$59,3,FALSE)</f>
        <v>3</v>
      </c>
      <c r="AU69" s="18">
        <f>+VLOOKUP('3. Blasting'!AM69,Relleno,3,FALSE)</f>
        <v>2</v>
      </c>
      <c r="AV69" s="18">
        <f t="shared" si="26"/>
        <v>13</v>
      </c>
      <c r="AW69" s="49">
        <f t="shared" ref="AW69:AW132" si="37">ROUND(-0.0002*POWER(Z69,2)+0.2197*Z69,0)</f>
        <v>0</v>
      </c>
      <c r="AX69" s="49">
        <f>VLOOKUP(AF69,Leyenda!$B$4:$D$10,3,FALSE)</f>
        <v>4</v>
      </c>
      <c r="AY69" s="49">
        <f t="shared" si="31"/>
        <v>5</v>
      </c>
      <c r="AZ69" s="49">
        <f t="shared" ref="AZ69:AZ132" si="38">+AV69</f>
        <v>13</v>
      </c>
      <c r="BA69" s="49">
        <f>VLOOKUP(AN69,Leyenda!$B$70:$D$75,3,FALSE)</f>
        <v>15</v>
      </c>
      <c r="BB69" s="67">
        <f t="shared" ref="BB69:BB132" si="39">1.5*AV69+(T69*0.5)</f>
        <v>37.5</v>
      </c>
      <c r="BC69" s="67">
        <f>VLOOKUP(AF69,Leyenda!$B$4:$E$10,4,FALSE)</f>
        <v>4</v>
      </c>
      <c r="BD69" s="67">
        <f t="shared" ref="BD69:BD132" si="40">IF(X69="",ROUND(IF(X69&lt;=50,5,IF(X69&gt;=3000,30,6.038*LN(X69)-19.63)),0),ROUND(IF(X69&lt;=50,5,IF(X69&gt;=3000,30,6.038*LN(X69)-19.63)),0))</f>
        <v>10</v>
      </c>
      <c r="BE69" s="67">
        <f t="shared" ref="BE69:BE132" si="41">ROUND(-0.0002*POWER(T69,2)+0.2197*T69,0)</f>
        <v>8</v>
      </c>
      <c r="BF69" s="67">
        <f>+VLOOKUP('3. Blasting'!AK69,Leyenda!$B$47:$E$51,4,FALSE)</f>
        <v>3</v>
      </c>
      <c r="BG69" s="67">
        <f>+VLOOKUP('3. Blasting'!AL69,Leyenda!$B$55:$E$59,4,FALSE)</f>
        <v>3</v>
      </c>
      <c r="BH69" s="67">
        <f>+VLOOKUP('3. Blasting'!AM69,Leyenda!$B$63:$E$67,3,FALSE)</f>
        <v>2</v>
      </c>
      <c r="BI69" s="67">
        <f>+VLOOKUP('3. Blasting'!AJ69,Leyenda!$B$39:$E$43,4,FALSE)</f>
        <v>3</v>
      </c>
      <c r="BJ69" s="67">
        <f>+VLOOKUP('3. Blasting'!AI69,Leyenda!$B$30:$E$34,4,FALSE)</f>
        <v>3</v>
      </c>
      <c r="BK69" s="67">
        <f>VLOOKUP(AN69,Leyenda!$B$71:$E$75,4,FALSE)</f>
        <v>10</v>
      </c>
      <c r="BL69" s="67">
        <f t="shared" ref="BL69:BL132" si="42">+BC69+BD69+BE69+BF69+BG69+BH69+BI69+BJ69+BK69</f>
        <v>46</v>
      </c>
      <c r="BM69" s="18">
        <f t="shared" ref="BM69:BM132" si="43">+AX69+AY69+AW69+AZ69+BA69</f>
        <v>37</v>
      </c>
      <c r="BN69" s="18">
        <f t="shared" si="28"/>
        <v>0.96750057365897579</v>
      </c>
      <c r="BO69" s="18"/>
      <c r="BP69" s="6">
        <f t="shared" ref="BP69:BP132" si="44">+IF(BL69&lt;30,10,IF(BL69&lt;=41,20,30))</f>
        <v>30</v>
      </c>
      <c r="BQ69" s="6">
        <f t="shared" ref="BQ69:BQ132" si="45">+IF(Y69&lt;0.1,10,IF(AND(Y69&gt;0.1,Y69&lt;1),20,50))</f>
        <v>20</v>
      </c>
      <c r="BR69" s="6">
        <v>20</v>
      </c>
      <c r="BS69" s="6">
        <f t="shared" ref="BS69:BS132" si="46">25*M69-50</f>
        <v>15</v>
      </c>
      <c r="BT69" s="6">
        <f t="shared" ref="BT69:BT132" si="47">0.05*N69</f>
        <v>1.2550000000000001</v>
      </c>
      <c r="BU69" s="6">
        <f t="shared" ref="BU69:BU132" si="48">0.5*((BP69+BQ69)+BR69+BS69+BT69)</f>
        <v>43.127499999999998</v>
      </c>
      <c r="BV69" s="18">
        <f t="shared" si="32"/>
        <v>0.17251</v>
      </c>
      <c r="BW69" s="18">
        <f t="shared" si="33"/>
        <v>0.44852599999999998</v>
      </c>
    </row>
    <row r="70" spans="1:75" hidden="1" x14ac:dyDescent="0.25">
      <c r="A70" s="18" t="s">
        <v>6</v>
      </c>
      <c r="B70" s="18">
        <v>2024</v>
      </c>
      <c r="C70" s="18" t="s">
        <v>138</v>
      </c>
      <c r="D70" s="18" t="s">
        <v>10</v>
      </c>
      <c r="E70" s="18">
        <v>10</v>
      </c>
      <c r="F70" s="18" t="s">
        <v>135</v>
      </c>
      <c r="G70" s="18" t="s">
        <v>163</v>
      </c>
      <c r="H70" s="31">
        <f t="shared" ref="H70:H113" si="49">+I69</f>
        <v>36.35</v>
      </c>
      <c r="I70" s="31">
        <v>36.85</v>
      </c>
      <c r="J70" s="4">
        <f t="shared" si="34"/>
        <v>0.5</v>
      </c>
      <c r="K70" s="5">
        <v>1</v>
      </c>
      <c r="L70" s="31">
        <f t="shared" si="35"/>
        <v>0.5</v>
      </c>
      <c r="M70" s="31">
        <v>2.6</v>
      </c>
      <c r="N70" s="31">
        <v>25.1</v>
      </c>
      <c r="O70" s="31">
        <f t="shared" si="30"/>
        <v>0.5</v>
      </c>
      <c r="P70" s="31">
        <v>25</v>
      </c>
      <c r="Q70" s="31">
        <v>20</v>
      </c>
      <c r="R70" s="31">
        <v>0.49</v>
      </c>
      <c r="S70" s="31">
        <v>0</v>
      </c>
      <c r="T70" s="86">
        <f t="shared" si="24"/>
        <v>0</v>
      </c>
      <c r="U70" s="31">
        <v>15</v>
      </c>
      <c r="V70" s="31"/>
      <c r="W70" s="31">
        <f t="shared" si="25"/>
        <v>15</v>
      </c>
      <c r="X70" s="31">
        <f t="shared" si="29"/>
        <v>32.666666666666664</v>
      </c>
      <c r="Y70" s="31">
        <f t="shared" si="36"/>
        <v>3.2666666666666663E-2</v>
      </c>
      <c r="Z70" s="18">
        <v>46</v>
      </c>
      <c r="AA70" s="18" t="s">
        <v>96</v>
      </c>
      <c r="AB70" s="18" t="s">
        <v>333</v>
      </c>
      <c r="AC70" s="18" t="s">
        <v>336</v>
      </c>
      <c r="AD70" s="18">
        <v>20</v>
      </c>
      <c r="AE70" s="18">
        <v>25</v>
      </c>
      <c r="AF70" s="18" t="s">
        <v>32</v>
      </c>
      <c r="AG70" s="18" t="s">
        <v>27</v>
      </c>
      <c r="AH70" s="18" t="s">
        <v>27</v>
      </c>
      <c r="AI70" s="18" t="s">
        <v>64</v>
      </c>
      <c r="AJ70" s="18" t="s">
        <v>77</v>
      </c>
      <c r="AK70" s="18" t="s">
        <v>92</v>
      </c>
      <c r="AL70" s="18" t="s">
        <v>107</v>
      </c>
      <c r="AM70" s="18" t="s">
        <v>120</v>
      </c>
      <c r="AN70" s="18" t="s">
        <v>198</v>
      </c>
      <c r="AO70" s="18"/>
      <c r="AP70" s="18"/>
      <c r="AQ70" s="18">
        <f>+VLOOKUP(AI70,Leyenda!$B$30:$E$34,3,FALSE)</f>
        <v>2</v>
      </c>
      <c r="AR70" s="18">
        <f>+VLOOKUP('3. Blasting'!AJ70,Meteorizacion,3,FALSE)</f>
        <v>3</v>
      </c>
      <c r="AS70" s="18">
        <f>+VLOOKUP('3. Blasting'!AK70,Apertura,3,FALSE)</f>
        <v>3</v>
      </c>
      <c r="AT70" s="18">
        <f>+VLOOKUP('3. Blasting'!AL70,Leyenda!$B$55:$D$59,3,FALSE)</f>
        <v>3</v>
      </c>
      <c r="AU70" s="18">
        <f>+VLOOKUP('3. Blasting'!AM70,Relleno,3,FALSE)</f>
        <v>2</v>
      </c>
      <c r="AV70" s="18">
        <f t="shared" si="26"/>
        <v>13</v>
      </c>
      <c r="AW70" s="49">
        <f t="shared" si="37"/>
        <v>10</v>
      </c>
      <c r="AX70" s="49">
        <f>VLOOKUP(AF70,Leyenda!$B$4:$D$10,3,FALSE)</f>
        <v>1</v>
      </c>
      <c r="AY70" s="49">
        <f t="shared" si="31"/>
        <v>5</v>
      </c>
      <c r="AZ70" s="49">
        <f t="shared" si="38"/>
        <v>13</v>
      </c>
      <c r="BA70" s="49">
        <f>VLOOKUP(AN70,Leyenda!$B$70:$D$75,3,FALSE)</f>
        <v>15</v>
      </c>
      <c r="BB70" s="67">
        <f t="shared" si="39"/>
        <v>19.5</v>
      </c>
      <c r="BC70" s="67">
        <f>VLOOKUP(AF70,Leyenda!$B$4:$E$10,4,FALSE)</f>
        <v>1</v>
      </c>
      <c r="BD70" s="67">
        <f t="shared" si="40"/>
        <v>5</v>
      </c>
      <c r="BE70" s="67">
        <f t="shared" si="41"/>
        <v>0</v>
      </c>
      <c r="BF70" s="67">
        <f>+VLOOKUP('3. Blasting'!AK70,Leyenda!$B$47:$E$51,4,FALSE)</f>
        <v>3</v>
      </c>
      <c r="BG70" s="67">
        <f>+VLOOKUP('3. Blasting'!AL70,Leyenda!$B$55:$E$59,4,FALSE)</f>
        <v>3</v>
      </c>
      <c r="BH70" s="67">
        <f>+VLOOKUP('3. Blasting'!AM70,Leyenda!$B$63:$E$67,3,FALSE)</f>
        <v>2</v>
      </c>
      <c r="BI70" s="67">
        <f>+VLOOKUP('3. Blasting'!AJ70,Leyenda!$B$39:$E$43,4,FALSE)</f>
        <v>3</v>
      </c>
      <c r="BJ70" s="67">
        <f>+VLOOKUP('3. Blasting'!AI70,Leyenda!$B$30:$E$34,4,FALSE)</f>
        <v>3</v>
      </c>
      <c r="BK70" s="67">
        <f>VLOOKUP(AN70,Leyenda!$B$71:$E$75,4,FALSE)</f>
        <v>10</v>
      </c>
      <c r="BL70" s="67">
        <f t="shared" si="42"/>
        <v>30</v>
      </c>
      <c r="BM70" s="18">
        <f t="shared" si="43"/>
        <v>44</v>
      </c>
      <c r="BN70" s="18">
        <f t="shared" si="28"/>
        <v>0.96759434932921162</v>
      </c>
      <c r="BO70" s="18"/>
      <c r="BP70" s="6">
        <f t="shared" si="44"/>
        <v>20</v>
      </c>
      <c r="BQ70" s="6">
        <f t="shared" si="45"/>
        <v>10</v>
      </c>
      <c r="BR70" s="6">
        <v>20</v>
      </c>
      <c r="BS70" s="6">
        <f t="shared" si="46"/>
        <v>15</v>
      </c>
      <c r="BT70" s="6">
        <f t="shared" si="47"/>
        <v>1.2550000000000001</v>
      </c>
      <c r="BU70" s="6">
        <f t="shared" si="48"/>
        <v>33.127499999999998</v>
      </c>
      <c r="BV70" s="18">
        <f t="shared" si="32"/>
        <v>0.13250999999999999</v>
      </c>
      <c r="BW70" s="18">
        <f t="shared" si="33"/>
        <v>0.344526</v>
      </c>
    </row>
    <row r="71" spans="1:75" hidden="1" x14ac:dyDescent="0.25">
      <c r="A71" s="18" t="s">
        <v>6</v>
      </c>
      <c r="B71" s="18">
        <v>2024</v>
      </c>
      <c r="C71" s="18" t="s">
        <v>138</v>
      </c>
      <c r="D71" s="18" t="s">
        <v>10</v>
      </c>
      <c r="E71" s="18">
        <v>10</v>
      </c>
      <c r="F71" s="18" t="s">
        <v>135</v>
      </c>
      <c r="G71" s="18" t="s">
        <v>163</v>
      </c>
      <c r="H71" s="31">
        <f t="shared" si="49"/>
        <v>36.85</v>
      </c>
      <c r="I71" s="31">
        <v>37.549999999999997</v>
      </c>
      <c r="J71" s="4">
        <f t="shared" si="34"/>
        <v>0.69999999999999574</v>
      </c>
      <c r="K71" s="5">
        <v>1</v>
      </c>
      <c r="L71" s="31">
        <f t="shared" si="35"/>
        <v>0.69999999999999574</v>
      </c>
      <c r="M71" s="31">
        <v>2.6</v>
      </c>
      <c r="N71" s="31">
        <v>25.1</v>
      </c>
      <c r="O71" s="31">
        <f t="shared" si="30"/>
        <v>0.69999999999999574</v>
      </c>
      <c r="P71" s="31">
        <v>69.999999999999574</v>
      </c>
      <c r="Q71" s="31">
        <v>10</v>
      </c>
      <c r="R71" s="31">
        <v>0.62</v>
      </c>
      <c r="S71" s="31">
        <v>0.23</v>
      </c>
      <c r="T71" s="86">
        <f t="shared" si="24"/>
        <v>32.85714285714306</v>
      </c>
      <c r="U71" s="31">
        <v>5</v>
      </c>
      <c r="V71" s="31"/>
      <c r="W71" s="31">
        <f t="shared" si="25"/>
        <v>5</v>
      </c>
      <c r="X71" s="31">
        <f t="shared" si="29"/>
        <v>124</v>
      </c>
      <c r="Y71" s="31">
        <f t="shared" si="36"/>
        <v>0.124</v>
      </c>
      <c r="Z71" s="18">
        <v>52</v>
      </c>
      <c r="AA71" s="18" t="s">
        <v>96</v>
      </c>
      <c r="AB71" s="18" t="s">
        <v>120</v>
      </c>
      <c r="AC71" s="18" t="s">
        <v>337</v>
      </c>
      <c r="AD71" s="18">
        <v>10</v>
      </c>
      <c r="AE71" s="18">
        <v>69.999999999999574</v>
      </c>
      <c r="AF71" s="18" t="s">
        <v>29</v>
      </c>
      <c r="AG71" s="18" t="s">
        <v>27</v>
      </c>
      <c r="AH71" s="18" t="s">
        <v>27</v>
      </c>
      <c r="AI71" s="18" t="s">
        <v>64</v>
      </c>
      <c r="AJ71" s="18" t="s">
        <v>77</v>
      </c>
      <c r="AK71" s="18" t="s">
        <v>92</v>
      </c>
      <c r="AL71" s="18" t="s">
        <v>107</v>
      </c>
      <c r="AM71" s="18" t="s">
        <v>118</v>
      </c>
      <c r="AN71" s="18" t="s">
        <v>198</v>
      </c>
      <c r="AO71" s="18"/>
      <c r="AP71" s="18"/>
      <c r="AQ71" s="18">
        <f>+VLOOKUP(AI71,Leyenda!$B$30:$E$34,3,FALSE)</f>
        <v>2</v>
      </c>
      <c r="AR71" s="18">
        <f>+VLOOKUP('3. Blasting'!AJ71,Meteorizacion,3,FALSE)</f>
        <v>3</v>
      </c>
      <c r="AS71" s="18">
        <f>+VLOOKUP('3. Blasting'!AK71,Apertura,3,FALSE)</f>
        <v>3</v>
      </c>
      <c r="AT71" s="18">
        <f>+VLOOKUP('3. Blasting'!AL71,Leyenda!$B$55:$D$59,3,FALSE)</f>
        <v>3</v>
      </c>
      <c r="AU71" s="18">
        <f>+VLOOKUP('3. Blasting'!AM71,Relleno,3,FALSE)</f>
        <v>2</v>
      </c>
      <c r="AV71" s="18">
        <f t="shared" si="26"/>
        <v>13</v>
      </c>
      <c r="AW71" s="49">
        <f t="shared" si="37"/>
        <v>11</v>
      </c>
      <c r="AX71" s="49">
        <f>VLOOKUP(AF71,Leyenda!$B$4:$D$10,3,FALSE)</f>
        <v>2</v>
      </c>
      <c r="AY71" s="49">
        <f t="shared" si="31"/>
        <v>6</v>
      </c>
      <c r="AZ71" s="49">
        <f t="shared" si="38"/>
        <v>13</v>
      </c>
      <c r="BA71" s="49">
        <f>VLOOKUP(AN71,Leyenda!$B$70:$D$75,3,FALSE)</f>
        <v>15</v>
      </c>
      <c r="BB71" s="67">
        <f t="shared" si="39"/>
        <v>35.92857142857153</v>
      </c>
      <c r="BC71" s="67">
        <f>VLOOKUP(AF71,Leyenda!$B$4:$E$10,4,FALSE)</f>
        <v>2</v>
      </c>
      <c r="BD71" s="67">
        <f t="shared" si="40"/>
        <v>9</v>
      </c>
      <c r="BE71" s="67">
        <f t="shared" si="41"/>
        <v>7</v>
      </c>
      <c r="BF71" s="67">
        <f>+VLOOKUP('3. Blasting'!AK71,Leyenda!$B$47:$E$51,4,FALSE)</f>
        <v>3</v>
      </c>
      <c r="BG71" s="67">
        <f>+VLOOKUP('3. Blasting'!AL71,Leyenda!$B$55:$E$59,4,FALSE)</f>
        <v>3</v>
      </c>
      <c r="BH71" s="67">
        <f>+VLOOKUP('3. Blasting'!AM71,Leyenda!$B$63:$E$67,3,FALSE)</f>
        <v>2</v>
      </c>
      <c r="BI71" s="67">
        <f>+VLOOKUP('3. Blasting'!AJ71,Leyenda!$B$39:$E$43,4,FALSE)</f>
        <v>3</v>
      </c>
      <c r="BJ71" s="67">
        <f>+VLOOKUP('3. Blasting'!AI71,Leyenda!$B$30:$E$34,4,FALSE)</f>
        <v>3</v>
      </c>
      <c r="BK71" s="67">
        <f>VLOOKUP(AN71,Leyenda!$B$71:$E$75,4,FALSE)</f>
        <v>10</v>
      </c>
      <c r="BL71" s="67">
        <f t="shared" si="42"/>
        <v>42</v>
      </c>
      <c r="BM71" s="18">
        <f t="shared" si="43"/>
        <v>47</v>
      </c>
      <c r="BN71" s="18">
        <f t="shared" si="28"/>
        <v>0.96753996086296945</v>
      </c>
      <c r="BO71" s="18"/>
      <c r="BP71" s="6">
        <f t="shared" si="44"/>
        <v>30</v>
      </c>
      <c r="BQ71" s="6">
        <f t="shared" si="45"/>
        <v>20</v>
      </c>
      <c r="BR71" s="6">
        <v>20</v>
      </c>
      <c r="BS71" s="6">
        <f t="shared" si="46"/>
        <v>15</v>
      </c>
      <c r="BT71" s="6">
        <f t="shared" si="47"/>
        <v>1.2550000000000001</v>
      </c>
      <c r="BU71" s="6">
        <f t="shared" si="48"/>
        <v>43.127499999999998</v>
      </c>
      <c r="BV71" s="18">
        <f t="shared" si="32"/>
        <v>0.17251</v>
      </c>
      <c r="BW71" s="18">
        <f t="shared" si="33"/>
        <v>0.44852599999999998</v>
      </c>
    </row>
    <row r="72" spans="1:75" hidden="1" x14ac:dyDescent="0.25">
      <c r="A72" s="18" t="s">
        <v>6</v>
      </c>
      <c r="B72" s="18">
        <v>2024</v>
      </c>
      <c r="C72" s="18" t="s">
        <v>138</v>
      </c>
      <c r="D72" s="18" t="s">
        <v>10</v>
      </c>
      <c r="E72" s="18">
        <v>10</v>
      </c>
      <c r="F72" s="18" t="s">
        <v>135</v>
      </c>
      <c r="G72" s="18" t="s">
        <v>163</v>
      </c>
      <c r="H72" s="31">
        <f t="shared" si="49"/>
        <v>37.549999999999997</v>
      </c>
      <c r="I72" s="31">
        <v>38.15</v>
      </c>
      <c r="J72" s="4">
        <f t="shared" si="34"/>
        <v>0.60000000000000142</v>
      </c>
      <c r="K72" s="5">
        <v>1</v>
      </c>
      <c r="L72" s="31">
        <f t="shared" si="35"/>
        <v>0.60000000000000142</v>
      </c>
      <c r="M72" s="31">
        <v>2.6</v>
      </c>
      <c r="N72" s="31">
        <v>25.1</v>
      </c>
      <c r="O72" s="31">
        <f t="shared" si="30"/>
        <v>0.60000000000000142</v>
      </c>
      <c r="P72" s="31">
        <v>30.000000000000068</v>
      </c>
      <c r="Q72" s="31">
        <v>20</v>
      </c>
      <c r="R72" s="31">
        <v>0.49</v>
      </c>
      <c r="S72" s="31">
        <v>0.3</v>
      </c>
      <c r="T72" s="86">
        <f t="shared" si="24"/>
        <v>49.999999999999879</v>
      </c>
      <c r="U72" s="31">
        <v>5</v>
      </c>
      <c r="V72" s="31"/>
      <c r="W72" s="31">
        <f t="shared" si="25"/>
        <v>5</v>
      </c>
      <c r="X72" s="31">
        <f t="shared" si="29"/>
        <v>98</v>
      </c>
      <c r="Y72" s="31">
        <f t="shared" si="36"/>
        <v>9.8000000000000004E-2</v>
      </c>
      <c r="Z72" s="18">
        <v>0</v>
      </c>
      <c r="AA72" s="18" t="s">
        <v>96</v>
      </c>
      <c r="AB72" s="18" t="s">
        <v>333</v>
      </c>
      <c r="AC72" s="18" t="s">
        <v>337</v>
      </c>
      <c r="AD72" s="18">
        <v>20</v>
      </c>
      <c r="AE72" s="18">
        <v>30.000000000000068</v>
      </c>
      <c r="AF72" s="18" t="s">
        <v>29</v>
      </c>
      <c r="AG72" s="18" t="s">
        <v>27</v>
      </c>
      <c r="AH72" s="18" t="s">
        <v>27</v>
      </c>
      <c r="AI72" s="18" t="s">
        <v>64</v>
      </c>
      <c r="AJ72" s="18" t="s">
        <v>77</v>
      </c>
      <c r="AK72" s="18" t="s">
        <v>92</v>
      </c>
      <c r="AL72" s="18" t="s">
        <v>107</v>
      </c>
      <c r="AM72" s="18" t="s">
        <v>120</v>
      </c>
      <c r="AN72" s="18" t="s">
        <v>198</v>
      </c>
      <c r="AO72" s="18"/>
      <c r="AP72" s="18"/>
      <c r="AQ72" s="18">
        <f>+VLOOKUP(AI72,Leyenda!$B$30:$E$34,3,FALSE)</f>
        <v>2</v>
      </c>
      <c r="AR72" s="18">
        <f>+VLOOKUP('3. Blasting'!AJ72,Meteorizacion,3,FALSE)</f>
        <v>3</v>
      </c>
      <c r="AS72" s="18">
        <f>+VLOOKUP('3. Blasting'!AK72,Apertura,3,FALSE)</f>
        <v>3</v>
      </c>
      <c r="AT72" s="18">
        <f>+VLOOKUP('3. Blasting'!AL72,Leyenda!$B$55:$D$59,3,FALSE)</f>
        <v>3</v>
      </c>
      <c r="AU72" s="18">
        <f>+VLOOKUP('3. Blasting'!AM72,Relleno,3,FALSE)</f>
        <v>2</v>
      </c>
      <c r="AV72" s="18">
        <f t="shared" si="26"/>
        <v>13</v>
      </c>
      <c r="AW72" s="49">
        <f t="shared" si="37"/>
        <v>0</v>
      </c>
      <c r="AX72" s="49">
        <f>VLOOKUP(AF72,Leyenda!$B$4:$D$10,3,FALSE)</f>
        <v>2</v>
      </c>
      <c r="AY72" s="49">
        <f t="shared" si="31"/>
        <v>5</v>
      </c>
      <c r="AZ72" s="49">
        <f t="shared" si="38"/>
        <v>13</v>
      </c>
      <c r="BA72" s="49">
        <f>VLOOKUP(AN72,Leyenda!$B$70:$D$75,3,FALSE)</f>
        <v>15</v>
      </c>
      <c r="BB72" s="67">
        <f t="shared" si="39"/>
        <v>44.499999999999943</v>
      </c>
      <c r="BC72" s="67">
        <f>VLOOKUP(AF72,Leyenda!$B$4:$E$10,4,FALSE)</f>
        <v>2</v>
      </c>
      <c r="BD72" s="67">
        <f t="shared" si="40"/>
        <v>8</v>
      </c>
      <c r="BE72" s="67">
        <f t="shared" si="41"/>
        <v>10</v>
      </c>
      <c r="BF72" s="67">
        <f>+VLOOKUP('3. Blasting'!AK72,Leyenda!$B$47:$E$51,4,FALSE)</f>
        <v>3</v>
      </c>
      <c r="BG72" s="67">
        <f>+VLOOKUP('3. Blasting'!AL72,Leyenda!$B$55:$E$59,4,FALSE)</f>
        <v>3</v>
      </c>
      <c r="BH72" s="67">
        <f>+VLOOKUP('3. Blasting'!AM72,Leyenda!$B$63:$E$67,3,FALSE)</f>
        <v>2</v>
      </c>
      <c r="BI72" s="67">
        <f>+VLOOKUP('3. Blasting'!AJ72,Leyenda!$B$39:$E$43,4,FALSE)</f>
        <v>3</v>
      </c>
      <c r="BJ72" s="67">
        <f>+VLOOKUP('3. Blasting'!AI72,Leyenda!$B$30:$E$34,4,FALSE)</f>
        <v>3</v>
      </c>
      <c r="BK72" s="67">
        <f>VLOOKUP(AN72,Leyenda!$B$71:$E$75,4,FALSE)</f>
        <v>10</v>
      </c>
      <c r="BL72" s="67">
        <f t="shared" si="42"/>
        <v>44</v>
      </c>
      <c r="BM72" s="18">
        <f t="shared" si="43"/>
        <v>35</v>
      </c>
      <c r="BN72" s="18">
        <f t="shared" si="28"/>
        <v>0.96736406904576144</v>
      </c>
      <c r="BO72" s="18"/>
      <c r="BP72" s="6">
        <f t="shared" si="44"/>
        <v>30</v>
      </c>
      <c r="BQ72" s="6">
        <f t="shared" si="45"/>
        <v>10</v>
      </c>
      <c r="BR72" s="6">
        <v>20</v>
      </c>
      <c r="BS72" s="6">
        <f t="shared" si="46"/>
        <v>15</v>
      </c>
      <c r="BT72" s="6">
        <f t="shared" si="47"/>
        <v>1.2550000000000001</v>
      </c>
      <c r="BU72" s="6">
        <f t="shared" si="48"/>
        <v>38.127499999999998</v>
      </c>
      <c r="BV72" s="18">
        <f t="shared" si="32"/>
        <v>0.15251000000000001</v>
      </c>
      <c r="BW72" s="18">
        <f t="shared" si="33"/>
        <v>0.39652600000000005</v>
      </c>
    </row>
    <row r="73" spans="1:75" hidden="1" x14ac:dyDescent="0.25">
      <c r="A73" s="18" t="s">
        <v>6</v>
      </c>
      <c r="B73" s="18">
        <v>2024</v>
      </c>
      <c r="C73" s="18" t="s">
        <v>138</v>
      </c>
      <c r="D73" s="18" t="s">
        <v>10</v>
      </c>
      <c r="E73" s="18">
        <v>10</v>
      </c>
      <c r="F73" s="18" t="s">
        <v>135</v>
      </c>
      <c r="G73" s="18" t="s">
        <v>163</v>
      </c>
      <c r="H73" s="31">
        <f t="shared" si="49"/>
        <v>38.15</v>
      </c>
      <c r="I73" s="31">
        <v>38.65</v>
      </c>
      <c r="J73" s="4">
        <f t="shared" si="34"/>
        <v>0.5</v>
      </c>
      <c r="K73" s="5">
        <v>1</v>
      </c>
      <c r="L73" s="31">
        <f t="shared" si="35"/>
        <v>0.5</v>
      </c>
      <c r="M73" s="31">
        <v>2.6</v>
      </c>
      <c r="N73" s="31">
        <v>25.1</v>
      </c>
      <c r="O73" s="31">
        <f t="shared" si="30"/>
        <v>0.5</v>
      </c>
      <c r="P73" s="31">
        <v>25</v>
      </c>
      <c r="Q73" s="31">
        <v>20</v>
      </c>
      <c r="R73" s="31">
        <v>0.48</v>
      </c>
      <c r="S73" s="31">
        <v>0.11</v>
      </c>
      <c r="T73" s="86">
        <f t="shared" si="24"/>
        <v>22</v>
      </c>
      <c r="U73" s="31">
        <v>4</v>
      </c>
      <c r="V73" s="31"/>
      <c r="W73" s="31">
        <f t="shared" si="25"/>
        <v>4</v>
      </c>
      <c r="X73" s="31">
        <f t="shared" si="29"/>
        <v>120</v>
      </c>
      <c r="Y73" s="31">
        <f t="shared" si="36"/>
        <v>0.12</v>
      </c>
      <c r="Z73" s="18">
        <v>0</v>
      </c>
      <c r="AA73" s="18" t="s">
        <v>100</v>
      </c>
      <c r="AB73" s="18" t="s">
        <v>333</v>
      </c>
      <c r="AC73" s="18" t="s">
        <v>337</v>
      </c>
      <c r="AD73" s="18">
        <v>20</v>
      </c>
      <c r="AE73" s="18">
        <v>25</v>
      </c>
      <c r="AF73" s="18" t="s">
        <v>29</v>
      </c>
      <c r="AG73" s="18" t="s">
        <v>27</v>
      </c>
      <c r="AH73" s="18" t="s">
        <v>27</v>
      </c>
      <c r="AI73" s="18" t="s">
        <v>64</v>
      </c>
      <c r="AJ73" s="18" t="s">
        <v>77</v>
      </c>
      <c r="AK73" s="18" t="s">
        <v>92</v>
      </c>
      <c r="AL73" s="18" t="s">
        <v>107</v>
      </c>
      <c r="AM73" s="18" t="s">
        <v>120</v>
      </c>
      <c r="AN73" s="18" t="s">
        <v>198</v>
      </c>
      <c r="AO73" s="18"/>
      <c r="AP73" s="18"/>
      <c r="AQ73" s="18">
        <f>+VLOOKUP(AI73,Leyenda!$B$30:$E$34,3,FALSE)</f>
        <v>2</v>
      </c>
      <c r="AR73" s="18">
        <f>+VLOOKUP('3. Blasting'!AJ73,Meteorizacion,3,FALSE)</f>
        <v>3</v>
      </c>
      <c r="AS73" s="18">
        <f>+VLOOKUP('3. Blasting'!AK73,Apertura,3,FALSE)</f>
        <v>3</v>
      </c>
      <c r="AT73" s="18">
        <f>+VLOOKUP('3. Blasting'!AL73,Leyenda!$B$55:$D$59,3,FALSE)</f>
        <v>3</v>
      </c>
      <c r="AU73" s="18">
        <f>+VLOOKUP('3. Blasting'!AM73,Relleno,3,FALSE)</f>
        <v>2</v>
      </c>
      <c r="AV73" s="18">
        <f t="shared" si="26"/>
        <v>13</v>
      </c>
      <c r="AW73" s="49">
        <f t="shared" si="37"/>
        <v>0</v>
      </c>
      <c r="AX73" s="49">
        <f>VLOOKUP(AF73,Leyenda!$B$4:$D$10,3,FALSE)</f>
        <v>2</v>
      </c>
      <c r="AY73" s="49">
        <f t="shared" si="31"/>
        <v>5</v>
      </c>
      <c r="AZ73" s="49">
        <f t="shared" si="38"/>
        <v>13</v>
      </c>
      <c r="BA73" s="49">
        <f>VLOOKUP(AN73,Leyenda!$B$70:$D$75,3,FALSE)</f>
        <v>15</v>
      </c>
      <c r="BB73" s="67">
        <f t="shared" si="39"/>
        <v>30.5</v>
      </c>
      <c r="BC73" s="67">
        <f>VLOOKUP(AF73,Leyenda!$B$4:$E$10,4,FALSE)</f>
        <v>2</v>
      </c>
      <c r="BD73" s="67">
        <f t="shared" si="40"/>
        <v>9</v>
      </c>
      <c r="BE73" s="67">
        <f t="shared" si="41"/>
        <v>5</v>
      </c>
      <c r="BF73" s="67">
        <f>+VLOOKUP('3. Blasting'!AK73,Leyenda!$B$47:$E$51,4,FALSE)</f>
        <v>3</v>
      </c>
      <c r="BG73" s="67">
        <f>+VLOOKUP('3. Blasting'!AL73,Leyenda!$B$55:$E$59,4,FALSE)</f>
        <v>3</v>
      </c>
      <c r="BH73" s="67">
        <f>+VLOOKUP('3. Blasting'!AM73,Leyenda!$B$63:$E$67,3,FALSE)</f>
        <v>2</v>
      </c>
      <c r="BI73" s="67">
        <f>+VLOOKUP('3. Blasting'!AJ73,Leyenda!$B$39:$E$43,4,FALSE)</f>
        <v>3</v>
      </c>
      <c r="BJ73" s="67">
        <f>+VLOOKUP('3. Blasting'!AI73,Leyenda!$B$30:$E$34,4,FALSE)</f>
        <v>3</v>
      </c>
      <c r="BK73" s="67">
        <f>VLOOKUP(AN73,Leyenda!$B$71:$E$75,4,FALSE)</f>
        <v>10</v>
      </c>
      <c r="BL73" s="67">
        <f t="shared" si="42"/>
        <v>40</v>
      </c>
      <c r="BM73" s="18">
        <f t="shared" si="43"/>
        <v>35</v>
      </c>
      <c r="BN73" s="18">
        <f t="shared" si="28"/>
        <v>0.96710545072696497</v>
      </c>
      <c r="BO73" s="18"/>
      <c r="BP73" s="6">
        <f t="shared" si="44"/>
        <v>20</v>
      </c>
      <c r="BQ73" s="6">
        <f t="shared" si="45"/>
        <v>20</v>
      </c>
      <c r="BR73" s="6">
        <v>20</v>
      </c>
      <c r="BS73" s="6">
        <f t="shared" si="46"/>
        <v>15</v>
      </c>
      <c r="BT73" s="6">
        <f t="shared" si="47"/>
        <v>1.2550000000000001</v>
      </c>
      <c r="BU73" s="6">
        <f t="shared" si="48"/>
        <v>38.127499999999998</v>
      </c>
      <c r="BV73" s="18">
        <f t="shared" si="32"/>
        <v>0.15251000000000001</v>
      </c>
      <c r="BW73" s="18">
        <f t="shared" si="33"/>
        <v>0.39652600000000005</v>
      </c>
    </row>
    <row r="74" spans="1:75" hidden="1" x14ac:dyDescent="0.25">
      <c r="A74" s="18" t="s">
        <v>6</v>
      </c>
      <c r="B74" s="18">
        <v>2024</v>
      </c>
      <c r="C74" s="18" t="s">
        <v>138</v>
      </c>
      <c r="D74" s="18" t="s">
        <v>10</v>
      </c>
      <c r="E74" s="18">
        <v>10</v>
      </c>
      <c r="F74" s="18" t="s">
        <v>135</v>
      </c>
      <c r="G74" s="18" t="s">
        <v>163</v>
      </c>
      <c r="H74" s="31">
        <f t="shared" si="49"/>
        <v>38.65</v>
      </c>
      <c r="I74" s="31">
        <v>39.15</v>
      </c>
      <c r="J74" s="4">
        <f t="shared" si="34"/>
        <v>0.5</v>
      </c>
      <c r="K74" s="5">
        <v>1</v>
      </c>
      <c r="L74" s="31">
        <f t="shared" si="35"/>
        <v>0.5</v>
      </c>
      <c r="M74" s="31">
        <v>2.6</v>
      </c>
      <c r="N74" s="31">
        <v>25.1</v>
      </c>
      <c r="O74" s="31">
        <f t="shared" si="30"/>
        <v>0.5</v>
      </c>
      <c r="P74" s="31">
        <v>500</v>
      </c>
      <c r="Q74" s="31">
        <v>1</v>
      </c>
      <c r="R74" s="31">
        <v>0.49</v>
      </c>
      <c r="S74" s="31">
        <v>0</v>
      </c>
      <c r="T74" s="86">
        <f t="shared" si="24"/>
        <v>0</v>
      </c>
      <c r="U74" s="31">
        <v>15</v>
      </c>
      <c r="V74" s="31"/>
      <c r="W74" s="31">
        <f t="shared" si="25"/>
        <v>15</v>
      </c>
      <c r="X74" s="31">
        <f t="shared" si="29"/>
        <v>32.666666666666664</v>
      </c>
      <c r="Y74" s="31">
        <f t="shared" si="36"/>
        <v>3.2666666666666663E-2</v>
      </c>
      <c r="Z74" s="18">
        <v>54</v>
      </c>
      <c r="AA74" s="18" t="s">
        <v>96</v>
      </c>
      <c r="AB74" s="18" t="s">
        <v>116</v>
      </c>
      <c r="AC74" s="18" t="s">
        <v>337</v>
      </c>
      <c r="AD74" s="18">
        <v>1</v>
      </c>
      <c r="AE74" s="18">
        <v>500</v>
      </c>
      <c r="AF74" s="18" t="s">
        <v>29</v>
      </c>
      <c r="AG74" s="18" t="s">
        <v>34</v>
      </c>
      <c r="AH74" s="18" t="s">
        <v>34</v>
      </c>
      <c r="AI74" s="18" t="s">
        <v>69</v>
      </c>
      <c r="AJ74" s="18" t="s">
        <v>79</v>
      </c>
      <c r="AK74" s="18" t="s">
        <v>100</v>
      </c>
      <c r="AL74" s="18" t="s">
        <v>109</v>
      </c>
      <c r="AM74" s="18" t="s">
        <v>122</v>
      </c>
      <c r="AN74" s="18" t="s">
        <v>198</v>
      </c>
      <c r="AO74" s="18"/>
      <c r="AP74" s="18"/>
      <c r="AQ74" s="18">
        <f>+VLOOKUP(AI74,Leyenda!$B$30:$E$34,3,FALSE)</f>
        <v>0</v>
      </c>
      <c r="AR74" s="18">
        <f>+VLOOKUP('3. Blasting'!AJ74,Meteorizacion,3,FALSE)</f>
        <v>1</v>
      </c>
      <c r="AS74" s="18">
        <f>+VLOOKUP('3. Blasting'!AK74,Apertura,3,FALSE)</f>
        <v>0</v>
      </c>
      <c r="AT74" s="18">
        <f>+VLOOKUP('3. Blasting'!AL74,Leyenda!$B$55:$D$59,3,FALSE)</f>
        <v>1</v>
      </c>
      <c r="AU74" s="18">
        <f>+VLOOKUP('3. Blasting'!AM74,Relleno,3,FALSE)</f>
        <v>0</v>
      </c>
      <c r="AV74" s="18">
        <f t="shared" si="26"/>
        <v>2</v>
      </c>
      <c r="AW74" s="49">
        <f t="shared" si="37"/>
        <v>11</v>
      </c>
      <c r="AX74" s="49">
        <f>VLOOKUP(AF74,Leyenda!$B$4:$D$10,3,FALSE)</f>
        <v>2</v>
      </c>
      <c r="AY74" s="49">
        <f t="shared" si="31"/>
        <v>12</v>
      </c>
      <c r="AZ74" s="49">
        <f t="shared" si="38"/>
        <v>2</v>
      </c>
      <c r="BA74" s="49">
        <f>VLOOKUP(AN74,Leyenda!$B$70:$D$75,3,FALSE)</f>
        <v>15</v>
      </c>
      <c r="BB74" s="67">
        <f t="shared" si="39"/>
        <v>3</v>
      </c>
      <c r="BC74" s="67">
        <f>VLOOKUP(AF74,Leyenda!$B$4:$E$10,4,FALSE)</f>
        <v>2</v>
      </c>
      <c r="BD74" s="67">
        <f t="shared" si="40"/>
        <v>5</v>
      </c>
      <c r="BE74" s="67">
        <f t="shared" si="41"/>
        <v>0</v>
      </c>
      <c r="BF74" s="67">
        <f>+VLOOKUP('3. Blasting'!AK74,Leyenda!$B$47:$E$51,4,FALSE)</f>
        <v>0</v>
      </c>
      <c r="BG74" s="67">
        <f>+VLOOKUP('3. Blasting'!AL74,Leyenda!$B$55:$E$59,4,FALSE)</f>
        <v>1</v>
      </c>
      <c r="BH74" s="67">
        <f>+VLOOKUP('3. Blasting'!AM74,Leyenda!$B$63:$E$67,3,FALSE)</f>
        <v>0</v>
      </c>
      <c r="BI74" s="67">
        <f>+VLOOKUP('3. Blasting'!AJ74,Leyenda!$B$39:$E$43,4,FALSE)</f>
        <v>1</v>
      </c>
      <c r="BJ74" s="67">
        <f>+VLOOKUP('3. Blasting'!AI74,Leyenda!$B$30:$E$34,4,FALSE)</f>
        <v>0</v>
      </c>
      <c r="BK74" s="67">
        <f>VLOOKUP(AN74,Leyenda!$B$71:$E$75,4,FALSE)</f>
        <v>10</v>
      </c>
      <c r="BL74" s="67">
        <f t="shared" si="42"/>
        <v>19</v>
      </c>
      <c r="BM74" s="18">
        <f t="shared" si="43"/>
        <v>42</v>
      </c>
      <c r="BN74" s="18">
        <f t="shared" si="28"/>
        <v>0.967151670161017</v>
      </c>
      <c r="BO74" s="18"/>
      <c r="BP74" s="6">
        <f t="shared" si="44"/>
        <v>10</v>
      </c>
      <c r="BQ74" s="6">
        <f t="shared" si="45"/>
        <v>10</v>
      </c>
      <c r="BR74" s="6">
        <v>20</v>
      </c>
      <c r="BS74" s="6">
        <f t="shared" si="46"/>
        <v>15</v>
      </c>
      <c r="BT74" s="6">
        <f t="shared" si="47"/>
        <v>1.2550000000000001</v>
      </c>
      <c r="BU74" s="6">
        <f t="shared" si="48"/>
        <v>28.127500000000001</v>
      </c>
      <c r="BV74" s="18">
        <f t="shared" si="32"/>
        <v>0.11251000000000001</v>
      </c>
      <c r="BW74" s="18">
        <f t="shared" si="33"/>
        <v>0.29252600000000006</v>
      </c>
    </row>
    <row r="75" spans="1:75" hidden="1" x14ac:dyDescent="0.25">
      <c r="A75" s="18" t="s">
        <v>6</v>
      </c>
      <c r="B75" s="18">
        <v>2024</v>
      </c>
      <c r="C75" s="18" t="s">
        <v>138</v>
      </c>
      <c r="D75" s="18" t="s">
        <v>10</v>
      </c>
      <c r="E75" s="18">
        <v>10</v>
      </c>
      <c r="F75" s="18" t="s">
        <v>135</v>
      </c>
      <c r="G75" s="18" t="s">
        <v>163</v>
      </c>
      <c r="H75" s="31">
        <f t="shared" si="49"/>
        <v>39.15</v>
      </c>
      <c r="I75" s="31">
        <v>39.75</v>
      </c>
      <c r="J75" s="4">
        <f t="shared" si="34"/>
        <v>0.60000000000000142</v>
      </c>
      <c r="K75" s="5">
        <v>0.81</v>
      </c>
      <c r="L75" s="31">
        <f t="shared" si="35"/>
        <v>0.48600000000000121</v>
      </c>
      <c r="M75" s="31">
        <v>2.6</v>
      </c>
      <c r="N75" s="31">
        <v>25.1</v>
      </c>
      <c r="O75" s="31">
        <f t="shared" si="30"/>
        <v>0.48600000000000121</v>
      </c>
      <c r="P75" s="31">
        <v>48.600000000000122</v>
      </c>
      <c r="Q75" s="31">
        <v>10</v>
      </c>
      <c r="R75" s="31">
        <v>0.45</v>
      </c>
      <c r="S75" s="31">
        <v>0.24</v>
      </c>
      <c r="T75" s="86">
        <f t="shared" ref="T75:T138" si="50">+S75/J75*100</f>
        <v>39.999999999999901</v>
      </c>
      <c r="U75" s="31">
        <v>3</v>
      </c>
      <c r="V75" s="31"/>
      <c r="W75" s="31">
        <f t="shared" ref="W75:W140" si="51">+U75+V75</f>
        <v>3</v>
      </c>
      <c r="X75" s="31">
        <f t="shared" si="29"/>
        <v>150</v>
      </c>
      <c r="Y75" s="31">
        <f t="shared" si="36"/>
        <v>0.15</v>
      </c>
      <c r="Z75" s="18">
        <v>33</v>
      </c>
      <c r="AA75" s="18" t="s">
        <v>96</v>
      </c>
      <c r="AB75" s="18" t="s">
        <v>120</v>
      </c>
      <c r="AC75" s="18" t="s">
        <v>337</v>
      </c>
      <c r="AD75" s="18">
        <v>10</v>
      </c>
      <c r="AE75" s="18">
        <v>48.600000000000122</v>
      </c>
      <c r="AF75" s="18" t="s">
        <v>29</v>
      </c>
      <c r="AG75" s="18" t="s">
        <v>27</v>
      </c>
      <c r="AH75" s="18" t="s">
        <v>27</v>
      </c>
      <c r="AI75" s="18" t="s">
        <v>64</v>
      </c>
      <c r="AJ75" s="18" t="s">
        <v>79</v>
      </c>
      <c r="AK75" s="18" t="s">
        <v>96</v>
      </c>
      <c r="AL75" s="18" t="s">
        <v>107</v>
      </c>
      <c r="AM75" s="18" t="s">
        <v>118</v>
      </c>
      <c r="AN75" s="18" t="s">
        <v>198</v>
      </c>
      <c r="AO75" s="18" t="s">
        <v>219</v>
      </c>
      <c r="AP75" s="18"/>
      <c r="AQ75" s="18">
        <f>+VLOOKUP(AI75,Leyenda!$B$30:$E$34,3,FALSE)</f>
        <v>2</v>
      </c>
      <c r="AR75" s="18">
        <f>+VLOOKUP('3. Blasting'!AJ75,Meteorizacion,3,FALSE)</f>
        <v>1</v>
      </c>
      <c r="AS75" s="18">
        <f>+VLOOKUP('3. Blasting'!AK75,Apertura,3,FALSE)</f>
        <v>1</v>
      </c>
      <c r="AT75" s="18">
        <f>+VLOOKUP('3. Blasting'!AL75,Leyenda!$B$55:$D$59,3,FALSE)</f>
        <v>3</v>
      </c>
      <c r="AU75" s="18">
        <f>+VLOOKUP('3. Blasting'!AM75,Relleno,3,FALSE)</f>
        <v>2</v>
      </c>
      <c r="AV75" s="18">
        <f t="shared" ref="AV75:AV138" si="52">+SUM(AQ75:AU75)</f>
        <v>9</v>
      </c>
      <c r="AW75" s="49">
        <f t="shared" si="37"/>
        <v>7</v>
      </c>
      <c r="AX75" s="49">
        <f>VLOOKUP(AF75,Leyenda!$B$4:$D$10,3,FALSE)</f>
        <v>2</v>
      </c>
      <c r="AY75" s="49">
        <f t="shared" si="31"/>
        <v>6</v>
      </c>
      <c r="AZ75" s="49">
        <f t="shared" si="38"/>
        <v>9</v>
      </c>
      <c r="BA75" s="49">
        <f>VLOOKUP(AN75,Leyenda!$B$70:$D$75,3,FALSE)</f>
        <v>15</v>
      </c>
      <c r="BB75" s="67">
        <f t="shared" si="39"/>
        <v>33.49999999999995</v>
      </c>
      <c r="BC75" s="67">
        <f>VLOOKUP(AF75,Leyenda!$B$4:$E$10,4,FALSE)</f>
        <v>2</v>
      </c>
      <c r="BD75" s="67">
        <f t="shared" si="40"/>
        <v>11</v>
      </c>
      <c r="BE75" s="67">
        <f t="shared" si="41"/>
        <v>8</v>
      </c>
      <c r="BF75" s="67">
        <f>+VLOOKUP('3. Blasting'!AK75,Leyenda!$B$47:$E$51,4,FALSE)</f>
        <v>1</v>
      </c>
      <c r="BG75" s="67">
        <f>+VLOOKUP('3. Blasting'!AL75,Leyenda!$B$55:$E$59,4,FALSE)</f>
        <v>3</v>
      </c>
      <c r="BH75" s="67">
        <f>+VLOOKUP('3. Blasting'!AM75,Leyenda!$B$63:$E$67,3,FALSE)</f>
        <v>2</v>
      </c>
      <c r="BI75" s="67">
        <f>+VLOOKUP('3. Blasting'!AJ75,Leyenda!$B$39:$E$43,4,FALSE)</f>
        <v>1</v>
      </c>
      <c r="BJ75" s="67">
        <f>+VLOOKUP('3. Blasting'!AI75,Leyenda!$B$30:$E$34,4,FALSE)</f>
        <v>3</v>
      </c>
      <c r="BK75" s="67">
        <f>VLOOKUP(AN75,Leyenda!$B$71:$E$75,4,FALSE)</f>
        <v>10</v>
      </c>
      <c r="BL75" s="67">
        <f t="shared" si="42"/>
        <v>41</v>
      </c>
      <c r="BM75" s="18">
        <f t="shared" si="43"/>
        <v>39</v>
      </c>
      <c r="BN75" s="18">
        <f t="shared" si="28"/>
        <v>0.96672180353851944</v>
      </c>
      <c r="BO75" s="18"/>
      <c r="BP75" s="6">
        <f t="shared" si="44"/>
        <v>20</v>
      </c>
      <c r="BQ75" s="6">
        <f t="shared" si="45"/>
        <v>20</v>
      </c>
      <c r="BR75" s="6">
        <v>20</v>
      </c>
      <c r="BS75" s="6">
        <f t="shared" si="46"/>
        <v>15</v>
      </c>
      <c r="BT75" s="6">
        <f t="shared" si="47"/>
        <v>1.2550000000000001</v>
      </c>
      <c r="BU75" s="6">
        <f t="shared" si="48"/>
        <v>38.127499999999998</v>
      </c>
      <c r="BV75" s="18">
        <f t="shared" si="32"/>
        <v>0.15251000000000001</v>
      </c>
      <c r="BW75" s="18">
        <f t="shared" si="33"/>
        <v>0.39652600000000005</v>
      </c>
    </row>
    <row r="76" spans="1:75" hidden="1" x14ac:dyDescent="0.25">
      <c r="A76" s="18" t="s">
        <v>6</v>
      </c>
      <c r="B76" s="18">
        <v>2024</v>
      </c>
      <c r="C76" s="18" t="s">
        <v>138</v>
      </c>
      <c r="D76" s="18" t="s">
        <v>10</v>
      </c>
      <c r="E76" s="18">
        <v>10</v>
      </c>
      <c r="F76" s="18" t="s">
        <v>135</v>
      </c>
      <c r="G76" s="18" t="s">
        <v>163</v>
      </c>
      <c r="H76" s="31">
        <f t="shared" si="49"/>
        <v>39.75</v>
      </c>
      <c r="I76" s="31">
        <v>40</v>
      </c>
      <c r="J76" s="4">
        <f t="shared" si="34"/>
        <v>0.25</v>
      </c>
      <c r="K76" s="5">
        <v>0.91</v>
      </c>
      <c r="L76" s="31">
        <f t="shared" si="35"/>
        <v>0.22750000000000001</v>
      </c>
      <c r="M76" s="31">
        <v>2.6</v>
      </c>
      <c r="N76" s="31">
        <v>25.1</v>
      </c>
      <c r="O76" s="31">
        <f t="shared" si="30"/>
        <v>0.22750000000000001</v>
      </c>
      <c r="P76" s="31">
        <v>22.75</v>
      </c>
      <c r="Q76" s="31">
        <v>10</v>
      </c>
      <c r="R76" s="31">
        <v>0.38</v>
      </c>
      <c r="S76" s="31">
        <v>0.14000000000000001</v>
      </c>
      <c r="T76" s="86">
        <f t="shared" si="50"/>
        <v>56.000000000000007</v>
      </c>
      <c r="U76" s="31">
        <v>3</v>
      </c>
      <c r="V76" s="31"/>
      <c r="W76" s="31">
        <f t="shared" si="51"/>
        <v>3</v>
      </c>
      <c r="X76" s="31">
        <f t="shared" si="29"/>
        <v>126.66666666666667</v>
      </c>
      <c r="Y76" s="31">
        <f t="shared" si="36"/>
        <v>0.12666666666666668</v>
      </c>
      <c r="Z76" s="18">
        <v>52</v>
      </c>
      <c r="AA76" s="18" t="s">
        <v>96</v>
      </c>
      <c r="AB76" s="18" t="s">
        <v>120</v>
      </c>
      <c r="AC76" s="18" t="s">
        <v>337</v>
      </c>
      <c r="AD76" s="18">
        <v>10</v>
      </c>
      <c r="AE76" s="18">
        <v>22.75</v>
      </c>
      <c r="AF76" s="18" t="s">
        <v>29</v>
      </c>
      <c r="AG76" s="18" t="s">
        <v>27</v>
      </c>
      <c r="AH76" s="18" t="s">
        <v>27</v>
      </c>
      <c r="AI76" s="18" t="s">
        <v>64</v>
      </c>
      <c r="AJ76" s="18" t="s">
        <v>77</v>
      </c>
      <c r="AK76" s="18" t="s">
        <v>92</v>
      </c>
      <c r="AL76" s="18" t="s">
        <v>107</v>
      </c>
      <c r="AM76" s="18" t="s">
        <v>118</v>
      </c>
      <c r="AN76" s="18" t="s">
        <v>198</v>
      </c>
      <c r="AO76" s="18" t="s">
        <v>218</v>
      </c>
      <c r="AP76" s="18"/>
      <c r="AQ76" s="18">
        <f>+VLOOKUP(AI76,Leyenda!$B$30:$E$34,3,FALSE)</f>
        <v>2</v>
      </c>
      <c r="AR76" s="18">
        <f>+VLOOKUP('3. Blasting'!AJ76,Meteorizacion,3,FALSE)</f>
        <v>3</v>
      </c>
      <c r="AS76" s="18">
        <f>+VLOOKUP('3. Blasting'!AK76,Apertura,3,FALSE)</f>
        <v>3</v>
      </c>
      <c r="AT76" s="18">
        <f>+VLOOKUP('3. Blasting'!AL76,Leyenda!$B$55:$D$59,3,FALSE)</f>
        <v>3</v>
      </c>
      <c r="AU76" s="18">
        <f>+VLOOKUP('3. Blasting'!AM76,Relleno,3,FALSE)</f>
        <v>2</v>
      </c>
      <c r="AV76" s="18">
        <f t="shared" si="52"/>
        <v>13</v>
      </c>
      <c r="AW76" s="49">
        <f t="shared" si="37"/>
        <v>11</v>
      </c>
      <c r="AX76" s="49">
        <f>VLOOKUP(AF76,Leyenda!$B$4:$D$10,3,FALSE)</f>
        <v>2</v>
      </c>
      <c r="AY76" s="49">
        <f t="shared" si="31"/>
        <v>4</v>
      </c>
      <c r="AZ76" s="49">
        <f t="shared" si="38"/>
        <v>13</v>
      </c>
      <c r="BA76" s="49">
        <f>VLOOKUP(AN76,Leyenda!$B$70:$D$75,3,FALSE)</f>
        <v>15</v>
      </c>
      <c r="BB76" s="67">
        <f t="shared" si="39"/>
        <v>47.5</v>
      </c>
      <c r="BC76" s="67">
        <f>VLOOKUP(AF76,Leyenda!$B$4:$E$10,4,FALSE)</f>
        <v>2</v>
      </c>
      <c r="BD76" s="67">
        <f t="shared" si="40"/>
        <v>10</v>
      </c>
      <c r="BE76" s="67">
        <f t="shared" si="41"/>
        <v>12</v>
      </c>
      <c r="BF76" s="67">
        <f>+VLOOKUP('3. Blasting'!AK76,Leyenda!$B$47:$E$51,4,FALSE)</f>
        <v>3</v>
      </c>
      <c r="BG76" s="67">
        <f>+VLOOKUP('3. Blasting'!AL76,Leyenda!$B$55:$E$59,4,FALSE)</f>
        <v>3</v>
      </c>
      <c r="BH76" s="67">
        <f>+VLOOKUP('3. Blasting'!AM76,Leyenda!$B$63:$E$67,3,FALSE)</f>
        <v>2</v>
      </c>
      <c r="BI76" s="67">
        <f>+VLOOKUP('3. Blasting'!AJ76,Leyenda!$B$39:$E$43,4,FALSE)</f>
        <v>3</v>
      </c>
      <c r="BJ76" s="67">
        <f>+VLOOKUP('3. Blasting'!AI76,Leyenda!$B$30:$E$34,4,FALSE)</f>
        <v>3</v>
      </c>
      <c r="BK76" s="67">
        <f>VLOOKUP(AN76,Leyenda!$B$71:$E$75,4,FALSE)</f>
        <v>10</v>
      </c>
      <c r="BL76" s="67">
        <f t="shared" si="42"/>
        <v>48</v>
      </c>
      <c r="BM76" s="18">
        <f t="shared" si="43"/>
        <v>45</v>
      </c>
      <c r="BN76" s="18">
        <f t="shared" si="28"/>
        <v>0.96661320991254529</v>
      </c>
      <c r="BO76" s="18"/>
      <c r="BP76" s="6">
        <f t="shared" si="44"/>
        <v>30</v>
      </c>
      <c r="BQ76" s="6">
        <f t="shared" si="45"/>
        <v>20</v>
      </c>
      <c r="BR76" s="6">
        <v>20</v>
      </c>
      <c r="BS76" s="6">
        <f t="shared" si="46"/>
        <v>15</v>
      </c>
      <c r="BT76" s="6">
        <f t="shared" si="47"/>
        <v>1.2550000000000001</v>
      </c>
      <c r="BU76" s="6">
        <f t="shared" si="48"/>
        <v>43.127499999999998</v>
      </c>
      <c r="BV76" s="18">
        <f t="shared" si="32"/>
        <v>0.17251</v>
      </c>
      <c r="BW76" s="18">
        <f t="shared" si="33"/>
        <v>0.44852599999999998</v>
      </c>
    </row>
    <row r="77" spans="1:75" hidden="1" x14ac:dyDescent="0.25">
      <c r="A77" s="18" t="s">
        <v>6</v>
      </c>
      <c r="B77" s="18">
        <v>2024</v>
      </c>
      <c r="C77" s="18" t="s">
        <v>138</v>
      </c>
      <c r="D77" s="18" t="s">
        <v>10</v>
      </c>
      <c r="E77" s="18">
        <v>10</v>
      </c>
      <c r="F77" s="18" t="s">
        <v>135</v>
      </c>
      <c r="G77" s="18" t="s">
        <v>163</v>
      </c>
      <c r="H77" s="31">
        <f t="shared" si="49"/>
        <v>40</v>
      </c>
      <c r="I77" s="31">
        <v>40.450000000000003</v>
      </c>
      <c r="J77" s="4">
        <f t="shared" si="34"/>
        <v>0.45000000000000284</v>
      </c>
      <c r="K77" s="5">
        <v>0.91</v>
      </c>
      <c r="L77" s="31">
        <f t="shared" si="35"/>
        <v>0.40950000000000258</v>
      </c>
      <c r="M77" s="31">
        <v>2.6</v>
      </c>
      <c r="N77" s="31">
        <v>25.1</v>
      </c>
      <c r="O77" s="31">
        <f t="shared" si="30"/>
        <v>0.40950000000000258</v>
      </c>
      <c r="P77" s="31">
        <v>40.950000000000259</v>
      </c>
      <c r="Q77" s="31">
        <v>10</v>
      </c>
      <c r="R77" s="31">
        <v>0.23</v>
      </c>
      <c r="S77" s="31">
        <v>0</v>
      </c>
      <c r="T77" s="86">
        <f t="shared" si="50"/>
        <v>0</v>
      </c>
      <c r="U77" s="31">
        <v>5</v>
      </c>
      <c r="V77" s="31"/>
      <c r="W77" s="31">
        <f t="shared" si="51"/>
        <v>5</v>
      </c>
      <c r="X77" s="31">
        <f t="shared" si="29"/>
        <v>46</v>
      </c>
      <c r="Y77" s="31">
        <f t="shared" si="36"/>
        <v>4.5999999999999999E-2</v>
      </c>
      <c r="Z77" s="18">
        <v>52</v>
      </c>
      <c r="AA77" s="18" t="s">
        <v>96</v>
      </c>
      <c r="AB77" s="18" t="s">
        <v>120</v>
      </c>
      <c r="AC77" s="18" t="s">
        <v>337</v>
      </c>
      <c r="AD77" s="18">
        <v>10</v>
      </c>
      <c r="AE77" s="18">
        <v>40.950000000000259</v>
      </c>
      <c r="AF77" s="18" t="s">
        <v>29</v>
      </c>
      <c r="AG77" s="18" t="s">
        <v>27</v>
      </c>
      <c r="AH77" s="18" t="s">
        <v>27</v>
      </c>
      <c r="AI77" s="18" t="s">
        <v>64</v>
      </c>
      <c r="AJ77" s="18" t="s">
        <v>77</v>
      </c>
      <c r="AK77" s="18" t="s">
        <v>92</v>
      </c>
      <c r="AL77" s="18" t="s">
        <v>107</v>
      </c>
      <c r="AM77" s="18" t="s">
        <v>116</v>
      </c>
      <c r="AN77" s="18" t="s">
        <v>198</v>
      </c>
      <c r="AO77" s="18"/>
      <c r="AP77" s="18"/>
      <c r="AQ77" s="18">
        <f>+VLOOKUP(AI77,Leyenda!$B$30:$E$34,3,FALSE)</f>
        <v>2</v>
      </c>
      <c r="AR77" s="18">
        <f>+VLOOKUP('3. Blasting'!AJ77,Meteorizacion,3,FALSE)</f>
        <v>3</v>
      </c>
      <c r="AS77" s="18">
        <f>+VLOOKUP('3. Blasting'!AK77,Apertura,3,FALSE)</f>
        <v>3</v>
      </c>
      <c r="AT77" s="18">
        <f>+VLOOKUP('3. Blasting'!AL77,Leyenda!$B$55:$D$59,3,FALSE)</f>
        <v>3</v>
      </c>
      <c r="AU77" s="18">
        <f>+VLOOKUP('3. Blasting'!AM77,Relleno,3,FALSE)</f>
        <v>4</v>
      </c>
      <c r="AV77" s="18">
        <f t="shared" si="52"/>
        <v>15</v>
      </c>
      <c r="AW77" s="49">
        <f t="shared" si="37"/>
        <v>11</v>
      </c>
      <c r="AX77" s="49">
        <f>VLOOKUP(AF77,Leyenda!$B$4:$D$10,3,FALSE)</f>
        <v>2</v>
      </c>
      <c r="AY77" s="49">
        <f t="shared" si="31"/>
        <v>5</v>
      </c>
      <c r="AZ77" s="49">
        <f t="shared" si="38"/>
        <v>15</v>
      </c>
      <c r="BA77" s="49">
        <f>VLOOKUP(AN77,Leyenda!$B$70:$D$75,3,FALSE)</f>
        <v>15</v>
      </c>
      <c r="BB77" s="67">
        <f t="shared" si="39"/>
        <v>22.5</v>
      </c>
      <c r="BC77" s="67">
        <f>VLOOKUP(AF77,Leyenda!$B$4:$E$10,4,FALSE)</f>
        <v>2</v>
      </c>
      <c r="BD77" s="67">
        <f t="shared" si="40"/>
        <v>5</v>
      </c>
      <c r="BE77" s="67">
        <f t="shared" si="41"/>
        <v>0</v>
      </c>
      <c r="BF77" s="67">
        <f>+VLOOKUP('3. Blasting'!AK77,Leyenda!$B$47:$E$51,4,FALSE)</f>
        <v>3</v>
      </c>
      <c r="BG77" s="67">
        <f>+VLOOKUP('3. Blasting'!AL77,Leyenda!$B$55:$E$59,4,FALSE)</f>
        <v>3</v>
      </c>
      <c r="BH77" s="67">
        <f>+VLOOKUP('3. Blasting'!AM77,Leyenda!$B$63:$E$67,3,FALSE)</f>
        <v>4</v>
      </c>
      <c r="BI77" s="67">
        <f>+VLOOKUP('3. Blasting'!AJ77,Leyenda!$B$39:$E$43,4,FALSE)</f>
        <v>3</v>
      </c>
      <c r="BJ77" s="67">
        <f>+VLOOKUP('3. Blasting'!AI77,Leyenda!$B$30:$E$34,4,FALSE)</f>
        <v>3</v>
      </c>
      <c r="BK77" s="67">
        <f>VLOOKUP(AN77,Leyenda!$B$71:$E$75,4,FALSE)</f>
        <v>10</v>
      </c>
      <c r="BL77" s="67">
        <f t="shared" si="42"/>
        <v>33</v>
      </c>
      <c r="BM77" s="18">
        <f t="shared" si="43"/>
        <v>48</v>
      </c>
      <c r="BN77" s="18">
        <f t="shared" si="28"/>
        <v>0.96617589010543992</v>
      </c>
      <c r="BO77" s="18"/>
      <c r="BP77" s="6">
        <f t="shared" si="44"/>
        <v>20</v>
      </c>
      <c r="BQ77" s="6">
        <f t="shared" si="45"/>
        <v>10</v>
      </c>
      <c r="BR77" s="6">
        <v>20</v>
      </c>
      <c r="BS77" s="6">
        <f t="shared" si="46"/>
        <v>15</v>
      </c>
      <c r="BT77" s="6">
        <f t="shared" si="47"/>
        <v>1.2550000000000001</v>
      </c>
      <c r="BU77" s="6">
        <f t="shared" si="48"/>
        <v>33.127499999999998</v>
      </c>
      <c r="BV77" s="18">
        <f t="shared" si="32"/>
        <v>0.13250999999999999</v>
      </c>
      <c r="BW77" s="18">
        <f t="shared" si="33"/>
        <v>0.344526</v>
      </c>
    </row>
    <row r="78" spans="1:75" hidden="1" x14ac:dyDescent="0.25">
      <c r="A78" s="18" t="s">
        <v>6</v>
      </c>
      <c r="B78" s="18">
        <v>2024</v>
      </c>
      <c r="C78" s="18" t="s">
        <v>138</v>
      </c>
      <c r="D78" s="18" t="s">
        <v>10</v>
      </c>
      <c r="E78" s="18">
        <v>10</v>
      </c>
      <c r="F78" s="18" t="s">
        <v>135</v>
      </c>
      <c r="G78" s="18" t="s">
        <v>163</v>
      </c>
      <c r="H78" s="31">
        <f t="shared" si="49"/>
        <v>40.450000000000003</v>
      </c>
      <c r="I78" s="31">
        <v>41.25</v>
      </c>
      <c r="J78" s="4">
        <f t="shared" si="34"/>
        <v>0.79999999999999716</v>
      </c>
      <c r="K78" s="5">
        <v>1</v>
      </c>
      <c r="L78" s="31">
        <f t="shared" si="35"/>
        <v>0.79999999999999716</v>
      </c>
      <c r="M78" s="31">
        <v>2.6</v>
      </c>
      <c r="N78" s="31">
        <v>25.1</v>
      </c>
      <c r="O78" s="31">
        <f t="shared" si="30"/>
        <v>0.79999999999999716</v>
      </c>
      <c r="P78" s="31">
        <v>159.99999999999943</v>
      </c>
      <c r="Q78" s="31">
        <v>5</v>
      </c>
      <c r="R78" s="31">
        <v>0.76</v>
      </c>
      <c r="S78" s="31">
        <v>0.38</v>
      </c>
      <c r="T78" s="86">
        <f t="shared" si="50"/>
        <v>47.500000000000171</v>
      </c>
      <c r="U78" s="31">
        <v>6</v>
      </c>
      <c r="V78" s="31"/>
      <c r="W78" s="31">
        <f t="shared" si="51"/>
        <v>6</v>
      </c>
      <c r="X78" s="31">
        <f t="shared" si="29"/>
        <v>126.66666666666667</v>
      </c>
      <c r="Y78" s="31">
        <f t="shared" si="36"/>
        <v>0.12666666666666668</v>
      </c>
      <c r="Z78" s="18">
        <v>20</v>
      </c>
      <c r="AA78" s="18" t="s">
        <v>96</v>
      </c>
      <c r="AB78" s="18" t="s">
        <v>118</v>
      </c>
      <c r="AC78" s="18" t="s">
        <v>337</v>
      </c>
      <c r="AD78" s="18">
        <v>5</v>
      </c>
      <c r="AE78" s="18">
        <v>159.99999999999943</v>
      </c>
      <c r="AF78" s="18" t="s">
        <v>29</v>
      </c>
      <c r="AG78" s="18" t="s">
        <v>27</v>
      </c>
      <c r="AH78" s="18" t="s">
        <v>27</v>
      </c>
      <c r="AI78" s="18" t="s">
        <v>64</v>
      </c>
      <c r="AJ78" s="18" t="s">
        <v>79</v>
      </c>
      <c r="AK78" s="18" t="s">
        <v>92</v>
      </c>
      <c r="AL78" s="18" t="s">
        <v>109</v>
      </c>
      <c r="AM78" s="18" t="s">
        <v>120</v>
      </c>
      <c r="AN78" s="18" t="s">
        <v>198</v>
      </c>
      <c r="AO78" s="18" t="s">
        <v>219</v>
      </c>
      <c r="AP78" s="18"/>
      <c r="AQ78" s="18">
        <f>+VLOOKUP(AI78,Leyenda!$B$30:$E$34,3,FALSE)</f>
        <v>2</v>
      </c>
      <c r="AR78" s="18">
        <f>+VLOOKUP('3. Blasting'!AJ78,Meteorizacion,3,FALSE)</f>
        <v>1</v>
      </c>
      <c r="AS78" s="18">
        <f>+VLOOKUP('3. Blasting'!AK78,Apertura,3,FALSE)</f>
        <v>3</v>
      </c>
      <c r="AT78" s="18">
        <f>+VLOOKUP('3. Blasting'!AL78,Leyenda!$B$55:$D$59,3,FALSE)</f>
        <v>1</v>
      </c>
      <c r="AU78" s="18">
        <f>+VLOOKUP('3. Blasting'!AM78,Relleno,3,FALSE)</f>
        <v>2</v>
      </c>
      <c r="AV78" s="18">
        <f t="shared" si="52"/>
        <v>9</v>
      </c>
      <c r="AW78" s="49">
        <f t="shared" si="37"/>
        <v>4</v>
      </c>
      <c r="AX78" s="49">
        <f>VLOOKUP(AF78,Leyenda!$B$4:$D$10,3,FALSE)</f>
        <v>2</v>
      </c>
      <c r="AY78" s="49">
        <f t="shared" si="31"/>
        <v>8</v>
      </c>
      <c r="AZ78" s="49">
        <f t="shared" si="38"/>
        <v>9</v>
      </c>
      <c r="BA78" s="49">
        <f>VLOOKUP(AN78,Leyenda!$B$70:$D$75,3,FALSE)</f>
        <v>15</v>
      </c>
      <c r="BB78" s="67">
        <f t="shared" si="39"/>
        <v>37.250000000000085</v>
      </c>
      <c r="BC78" s="67">
        <f>VLOOKUP(AF78,Leyenda!$B$4:$E$10,4,FALSE)</f>
        <v>2</v>
      </c>
      <c r="BD78" s="67">
        <f t="shared" si="40"/>
        <v>10</v>
      </c>
      <c r="BE78" s="67">
        <f t="shared" si="41"/>
        <v>10</v>
      </c>
      <c r="BF78" s="67">
        <f>+VLOOKUP('3. Blasting'!AK78,Leyenda!$B$47:$E$51,4,FALSE)</f>
        <v>3</v>
      </c>
      <c r="BG78" s="67">
        <f>+VLOOKUP('3. Blasting'!AL78,Leyenda!$B$55:$E$59,4,FALSE)</f>
        <v>1</v>
      </c>
      <c r="BH78" s="67">
        <f>+VLOOKUP('3. Blasting'!AM78,Leyenda!$B$63:$E$67,3,FALSE)</f>
        <v>2</v>
      </c>
      <c r="BI78" s="67">
        <f>+VLOOKUP('3. Blasting'!AJ78,Leyenda!$B$39:$E$43,4,FALSE)</f>
        <v>1</v>
      </c>
      <c r="BJ78" s="67">
        <f>+VLOOKUP('3. Blasting'!AI78,Leyenda!$B$30:$E$34,4,FALSE)</f>
        <v>3</v>
      </c>
      <c r="BK78" s="67">
        <f>VLOOKUP(AN78,Leyenda!$B$71:$E$75,4,FALSE)</f>
        <v>10</v>
      </c>
      <c r="BL78" s="67">
        <f t="shared" si="42"/>
        <v>42</v>
      </c>
      <c r="BM78" s="18">
        <f t="shared" si="43"/>
        <v>38</v>
      </c>
      <c r="BN78" s="18">
        <f t="shared" si="28"/>
        <v>0.96608048192903273</v>
      </c>
      <c r="BO78" s="18"/>
      <c r="BP78" s="6">
        <f t="shared" si="44"/>
        <v>30</v>
      </c>
      <c r="BQ78" s="6">
        <f t="shared" si="45"/>
        <v>20</v>
      </c>
      <c r="BR78" s="6">
        <v>20</v>
      </c>
      <c r="BS78" s="6">
        <f t="shared" si="46"/>
        <v>15</v>
      </c>
      <c r="BT78" s="6">
        <f t="shared" si="47"/>
        <v>1.2550000000000001</v>
      </c>
      <c r="BU78" s="6">
        <f t="shared" si="48"/>
        <v>43.127499999999998</v>
      </c>
      <c r="BV78" s="18">
        <f t="shared" si="32"/>
        <v>0.17251</v>
      </c>
      <c r="BW78" s="18">
        <f t="shared" si="33"/>
        <v>0.44852599999999998</v>
      </c>
    </row>
    <row r="79" spans="1:75" hidden="1" x14ac:dyDescent="0.25">
      <c r="A79" s="18" t="s">
        <v>6</v>
      </c>
      <c r="B79" s="18">
        <v>2024</v>
      </c>
      <c r="C79" s="18" t="s">
        <v>138</v>
      </c>
      <c r="D79" s="18" t="s">
        <v>10</v>
      </c>
      <c r="E79" s="18">
        <v>10</v>
      </c>
      <c r="F79" s="18" t="s">
        <v>135</v>
      </c>
      <c r="G79" s="18" t="s">
        <v>163</v>
      </c>
      <c r="H79" s="31">
        <f t="shared" si="49"/>
        <v>41.25</v>
      </c>
      <c r="I79" s="31">
        <v>41.85</v>
      </c>
      <c r="J79" s="4">
        <f t="shared" si="34"/>
        <v>0.60000000000000142</v>
      </c>
      <c r="K79" s="5">
        <v>1</v>
      </c>
      <c r="L79" s="31">
        <f t="shared" si="35"/>
        <v>0.60000000000000142</v>
      </c>
      <c r="M79" s="31">
        <v>2.6</v>
      </c>
      <c r="N79" s="31">
        <v>25.1</v>
      </c>
      <c r="O79" s="31">
        <f t="shared" si="30"/>
        <v>0.60000000000000142</v>
      </c>
      <c r="P79" s="31">
        <v>600.00000000000136</v>
      </c>
      <c r="Q79" s="31">
        <v>1</v>
      </c>
      <c r="R79" s="31">
        <v>0.47</v>
      </c>
      <c r="S79" s="31">
        <v>0.19</v>
      </c>
      <c r="T79" s="86">
        <f t="shared" si="50"/>
        <v>31.666666666666593</v>
      </c>
      <c r="U79" s="31">
        <v>3</v>
      </c>
      <c r="V79" s="31"/>
      <c r="W79" s="31">
        <f t="shared" si="51"/>
        <v>3</v>
      </c>
      <c r="X79" s="31">
        <f t="shared" si="29"/>
        <v>156.66666666666666</v>
      </c>
      <c r="Y79" s="31">
        <f t="shared" si="36"/>
        <v>0.15666666666666665</v>
      </c>
      <c r="Z79" s="18">
        <v>32</v>
      </c>
      <c r="AA79" s="18" t="s">
        <v>96</v>
      </c>
      <c r="AB79" s="18" t="s">
        <v>116</v>
      </c>
      <c r="AC79" s="18" t="s">
        <v>337</v>
      </c>
      <c r="AD79" s="18">
        <v>1</v>
      </c>
      <c r="AE79" s="18">
        <v>600.00000000000136</v>
      </c>
      <c r="AF79" s="18" t="s">
        <v>29</v>
      </c>
      <c r="AG79" s="18" t="s">
        <v>29</v>
      </c>
      <c r="AH79" s="18" t="s">
        <v>29</v>
      </c>
      <c r="AI79" s="18" t="s">
        <v>64</v>
      </c>
      <c r="AJ79" s="18" t="s">
        <v>77</v>
      </c>
      <c r="AK79" s="18" t="s">
        <v>92</v>
      </c>
      <c r="AL79" s="18" t="s">
        <v>107</v>
      </c>
      <c r="AM79" s="18" t="s">
        <v>118</v>
      </c>
      <c r="AN79" s="18" t="s">
        <v>198</v>
      </c>
      <c r="AO79" s="18"/>
      <c r="AP79" s="18"/>
      <c r="AQ79" s="18">
        <f>+VLOOKUP(AI79,Leyenda!$B$30:$E$34,3,FALSE)</f>
        <v>2</v>
      </c>
      <c r="AR79" s="18">
        <f>+VLOOKUP('3. Blasting'!AJ79,Meteorizacion,3,FALSE)</f>
        <v>3</v>
      </c>
      <c r="AS79" s="18">
        <f>+VLOOKUP('3. Blasting'!AK79,Apertura,3,FALSE)</f>
        <v>3</v>
      </c>
      <c r="AT79" s="18">
        <f>+VLOOKUP('3. Blasting'!AL79,Leyenda!$B$55:$D$59,3,FALSE)</f>
        <v>3</v>
      </c>
      <c r="AU79" s="18">
        <f>+VLOOKUP('3. Blasting'!AM79,Relleno,3,FALSE)</f>
        <v>2</v>
      </c>
      <c r="AV79" s="18">
        <f t="shared" si="52"/>
        <v>13</v>
      </c>
      <c r="AW79" s="49">
        <f t="shared" si="37"/>
        <v>7</v>
      </c>
      <c r="AX79" s="49">
        <f>VLOOKUP(AF79,Leyenda!$B$4:$D$10,3,FALSE)</f>
        <v>2</v>
      </c>
      <c r="AY79" s="49">
        <f t="shared" si="31"/>
        <v>13</v>
      </c>
      <c r="AZ79" s="49">
        <f t="shared" si="38"/>
        <v>13</v>
      </c>
      <c r="BA79" s="49">
        <f>VLOOKUP(AN79,Leyenda!$B$70:$D$75,3,FALSE)</f>
        <v>15</v>
      </c>
      <c r="BB79" s="67">
        <f t="shared" si="39"/>
        <v>35.3333333333333</v>
      </c>
      <c r="BC79" s="67">
        <f>VLOOKUP(AF79,Leyenda!$B$4:$E$10,4,FALSE)</f>
        <v>2</v>
      </c>
      <c r="BD79" s="67">
        <f t="shared" si="40"/>
        <v>11</v>
      </c>
      <c r="BE79" s="67">
        <f t="shared" si="41"/>
        <v>7</v>
      </c>
      <c r="BF79" s="67">
        <f>+VLOOKUP('3. Blasting'!AK79,Leyenda!$B$47:$E$51,4,FALSE)</f>
        <v>3</v>
      </c>
      <c r="BG79" s="67">
        <f>+VLOOKUP('3. Blasting'!AL79,Leyenda!$B$55:$E$59,4,FALSE)</f>
        <v>3</v>
      </c>
      <c r="BH79" s="67">
        <f>+VLOOKUP('3. Blasting'!AM79,Leyenda!$B$63:$E$67,3,FALSE)</f>
        <v>2</v>
      </c>
      <c r="BI79" s="67">
        <f>+VLOOKUP('3. Blasting'!AJ79,Leyenda!$B$39:$E$43,4,FALSE)</f>
        <v>3</v>
      </c>
      <c r="BJ79" s="67">
        <f>+VLOOKUP('3. Blasting'!AI79,Leyenda!$B$30:$E$34,4,FALSE)</f>
        <v>3</v>
      </c>
      <c r="BK79" s="67">
        <f>VLOOKUP(AN79,Leyenda!$B$71:$E$75,4,FALSE)</f>
        <v>10</v>
      </c>
      <c r="BL79" s="67">
        <f t="shared" si="42"/>
        <v>44</v>
      </c>
      <c r="BM79" s="18">
        <f t="shared" si="43"/>
        <v>50</v>
      </c>
      <c r="BN79" s="18">
        <f t="shared" si="28"/>
        <v>0.96576882668081121</v>
      </c>
      <c r="BO79" s="18"/>
      <c r="BP79" s="6">
        <f t="shared" si="44"/>
        <v>30</v>
      </c>
      <c r="BQ79" s="6">
        <f t="shared" si="45"/>
        <v>20</v>
      </c>
      <c r="BR79" s="6">
        <v>20</v>
      </c>
      <c r="BS79" s="6">
        <f t="shared" si="46"/>
        <v>15</v>
      </c>
      <c r="BT79" s="6">
        <f t="shared" si="47"/>
        <v>1.2550000000000001</v>
      </c>
      <c r="BU79" s="6">
        <f t="shared" si="48"/>
        <v>43.127499999999998</v>
      </c>
      <c r="BV79" s="18">
        <f t="shared" si="32"/>
        <v>0.17251</v>
      </c>
      <c r="BW79" s="18">
        <f t="shared" si="33"/>
        <v>0.44852599999999998</v>
      </c>
    </row>
    <row r="80" spans="1:75" hidden="1" x14ac:dyDescent="0.25">
      <c r="A80" s="18" t="s">
        <v>6</v>
      </c>
      <c r="B80" s="18">
        <v>2024</v>
      </c>
      <c r="C80" s="18" t="s">
        <v>138</v>
      </c>
      <c r="D80" s="18" t="s">
        <v>10</v>
      </c>
      <c r="E80" s="18">
        <v>10</v>
      </c>
      <c r="F80" s="18" t="s">
        <v>135</v>
      </c>
      <c r="G80" s="18" t="s">
        <v>163</v>
      </c>
      <c r="H80" s="31">
        <f t="shared" si="49"/>
        <v>41.85</v>
      </c>
      <c r="I80" s="31">
        <v>42.35</v>
      </c>
      <c r="J80" s="4">
        <f t="shared" si="34"/>
        <v>0.5</v>
      </c>
      <c r="K80" s="5">
        <v>1</v>
      </c>
      <c r="L80" s="31">
        <f t="shared" si="35"/>
        <v>0.5</v>
      </c>
      <c r="M80" s="31">
        <v>2.6</v>
      </c>
      <c r="N80" s="31">
        <v>25.1</v>
      </c>
      <c r="O80" s="31">
        <f t="shared" si="30"/>
        <v>0.5</v>
      </c>
      <c r="P80" s="31">
        <v>500</v>
      </c>
      <c r="Q80" s="31">
        <v>1</v>
      </c>
      <c r="R80" s="31">
        <v>0.43</v>
      </c>
      <c r="S80" s="31">
        <v>0.15</v>
      </c>
      <c r="T80" s="86">
        <f t="shared" si="50"/>
        <v>30</v>
      </c>
      <c r="U80" s="31">
        <v>5</v>
      </c>
      <c r="V80" s="31"/>
      <c r="W80" s="31">
        <f t="shared" si="51"/>
        <v>5</v>
      </c>
      <c r="X80" s="31">
        <f t="shared" si="29"/>
        <v>86</v>
      </c>
      <c r="Y80" s="31">
        <f t="shared" si="36"/>
        <v>8.5999999999999993E-2</v>
      </c>
      <c r="Z80" s="18">
        <v>28</v>
      </c>
      <c r="AA80" s="18" t="s">
        <v>96</v>
      </c>
      <c r="AB80" s="18" t="s">
        <v>116</v>
      </c>
      <c r="AC80" s="18" t="s">
        <v>337</v>
      </c>
      <c r="AD80" s="18">
        <v>1</v>
      </c>
      <c r="AE80" s="18">
        <v>500</v>
      </c>
      <c r="AF80" s="18" t="s">
        <v>29</v>
      </c>
      <c r="AG80" s="18" t="s">
        <v>29</v>
      </c>
      <c r="AH80" s="18" t="s">
        <v>29</v>
      </c>
      <c r="AI80" s="18" t="s">
        <v>64</v>
      </c>
      <c r="AJ80" s="18" t="s">
        <v>79</v>
      </c>
      <c r="AK80" s="18" t="s">
        <v>92</v>
      </c>
      <c r="AL80" s="18" t="s">
        <v>109</v>
      </c>
      <c r="AM80" s="18" t="s">
        <v>118</v>
      </c>
      <c r="AN80" s="18" t="s">
        <v>198</v>
      </c>
      <c r="AO80" s="18"/>
      <c r="AP80" s="18"/>
      <c r="AQ80" s="18">
        <f>+VLOOKUP(AI80,Leyenda!$B$30:$E$34,3,FALSE)</f>
        <v>2</v>
      </c>
      <c r="AR80" s="18">
        <f>+VLOOKUP('3. Blasting'!AJ80,Meteorizacion,3,FALSE)</f>
        <v>1</v>
      </c>
      <c r="AS80" s="18">
        <f>+VLOOKUP('3. Blasting'!AK80,Apertura,3,FALSE)</f>
        <v>3</v>
      </c>
      <c r="AT80" s="18">
        <f>+VLOOKUP('3. Blasting'!AL80,Leyenda!$B$55:$D$59,3,FALSE)</f>
        <v>1</v>
      </c>
      <c r="AU80" s="18">
        <f>+VLOOKUP('3. Blasting'!AM80,Relleno,3,FALSE)</f>
        <v>2</v>
      </c>
      <c r="AV80" s="18">
        <f t="shared" si="52"/>
        <v>9</v>
      </c>
      <c r="AW80" s="49">
        <f t="shared" si="37"/>
        <v>6</v>
      </c>
      <c r="AX80" s="49">
        <f>VLOOKUP(AF80,Leyenda!$B$4:$D$10,3,FALSE)</f>
        <v>2</v>
      </c>
      <c r="AY80" s="49">
        <f t="shared" si="31"/>
        <v>12</v>
      </c>
      <c r="AZ80" s="49">
        <f t="shared" si="38"/>
        <v>9</v>
      </c>
      <c r="BA80" s="49">
        <f>VLOOKUP(AN80,Leyenda!$B$70:$D$75,3,FALSE)</f>
        <v>15</v>
      </c>
      <c r="BB80" s="67">
        <f t="shared" si="39"/>
        <v>28.5</v>
      </c>
      <c r="BC80" s="67">
        <f>VLOOKUP(AF80,Leyenda!$B$4:$E$10,4,FALSE)</f>
        <v>2</v>
      </c>
      <c r="BD80" s="67">
        <f t="shared" si="40"/>
        <v>7</v>
      </c>
      <c r="BE80" s="67">
        <f t="shared" si="41"/>
        <v>6</v>
      </c>
      <c r="BF80" s="67">
        <f>+VLOOKUP('3. Blasting'!AK80,Leyenda!$B$47:$E$51,4,FALSE)</f>
        <v>3</v>
      </c>
      <c r="BG80" s="67">
        <f>+VLOOKUP('3. Blasting'!AL80,Leyenda!$B$55:$E$59,4,FALSE)</f>
        <v>1</v>
      </c>
      <c r="BH80" s="67">
        <f>+VLOOKUP('3. Blasting'!AM80,Leyenda!$B$63:$E$67,3,FALSE)</f>
        <v>2</v>
      </c>
      <c r="BI80" s="67">
        <f>+VLOOKUP('3. Blasting'!AJ80,Leyenda!$B$39:$E$43,4,FALSE)</f>
        <v>1</v>
      </c>
      <c r="BJ80" s="67">
        <f>+VLOOKUP('3. Blasting'!AI80,Leyenda!$B$30:$E$34,4,FALSE)</f>
        <v>3</v>
      </c>
      <c r="BK80" s="67">
        <f>VLOOKUP(AN80,Leyenda!$B$71:$E$75,4,FALSE)</f>
        <v>10</v>
      </c>
      <c r="BL80" s="67">
        <f t="shared" si="42"/>
        <v>35</v>
      </c>
      <c r="BM80" s="18">
        <f t="shared" si="43"/>
        <v>44</v>
      </c>
      <c r="BN80" s="18">
        <f t="shared" si="28"/>
        <v>0.96569955529527252</v>
      </c>
      <c r="BO80" s="18"/>
      <c r="BP80" s="6">
        <f t="shared" si="44"/>
        <v>20</v>
      </c>
      <c r="BQ80" s="6">
        <f t="shared" si="45"/>
        <v>10</v>
      </c>
      <c r="BR80" s="6">
        <v>20</v>
      </c>
      <c r="BS80" s="6">
        <f t="shared" si="46"/>
        <v>15</v>
      </c>
      <c r="BT80" s="6">
        <f t="shared" si="47"/>
        <v>1.2550000000000001</v>
      </c>
      <c r="BU80" s="6">
        <f t="shared" si="48"/>
        <v>33.127499999999998</v>
      </c>
      <c r="BV80" s="18">
        <f t="shared" si="32"/>
        <v>0.13250999999999999</v>
      </c>
      <c r="BW80" s="18">
        <f t="shared" si="33"/>
        <v>0.344526</v>
      </c>
    </row>
    <row r="81" spans="1:75" hidden="1" x14ac:dyDescent="0.25">
      <c r="A81" s="18" t="s">
        <v>6</v>
      </c>
      <c r="B81" s="18">
        <v>2024</v>
      </c>
      <c r="C81" s="18" t="s">
        <v>138</v>
      </c>
      <c r="D81" s="18" t="s">
        <v>10</v>
      </c>
      <c r="E81" s="18">
        <v>10</v>
      </c>
      <c r="F81" s="18" t="s">
        <v>135</v>
      </c>
      <c r="G81" s="18" t="s">
        <v>163</v>
      </c>
      <c r="H81" s="31">
        <f t="shared" si="49"/>
        <v>42.35</v>
      </c>
      <c r="I81" s="31">
        <v>43.05</v>
      </c>
      <c r="J81" s="4">
        <f t="shared" si="34"/>
        <v>0.69999999999999574</v>
      </c>
      <c r="K81" s="5">
        <v>1</v>
      </c>
      <c r="L81" s="31">
        <f t="shared" si="35"/>
        <v>0.69999999999999574</v>
      </c>
      <c r="M81" s="31">
        <v>2.6</v>
      </c>
      <c r="N81" s="31">
        <v>25.1</v>
      </c>
      <c r="O81" s="31">
        <f t="shared" si="30"/>
        <v>0.69999999999999574</v>
      </c>
      <c r="P81" s="31">
        <v>139.99999999999915</v>
      </c>
      <c r="Q81" s="31">
        <v>5</v>
      </c>
      <c r="R81" s="31">
        <v>0.5</v>
      </c>
      <c r="S81" s="31">
        <v>0.15</v>
      </c>
      <c r="T81" s="86">
        <f t="shared" si="50"/>
        <v>21.428571428571558</v>
      </c>
      <c r="U81" s="31">
        <v>4</v>
      </c>
      <c r="V81" s="31"/>
      <c r="W81" s="31">
        <f t="shared" si="51"/>
        <v>4</v>
      </c>
      <c r="X81" s="31">
        <f t="shared" si="29"/>
        <v>125</v>
      </c>
      <c r="Y81" s="31">
        <f t="shared" si="36"/>
        <v>0.125</v>
      </c>
      <c r="Z81" s="18">
        <v>0</v>
      </c>
      <c r="AA81" s="18" t="s">
        <v>96</v>
      </c>
      <c r="AB81" s="18" t="s">
        <v>118</v>
      </c>
      <c r="AC81" s="18" t="s">
        <v>337</v>
      </c>
      <c r="AD81" s="18">
        <v>5</v>
      </c>
      <c r="AE81" s="18">
        <v>139.99999999999915</v>
      </c>
      <c r="AF81" s="18" t="s">
        <v>29</v>
      </c>
      <c r="AG81" s="18" t="s">
        <v>29</v>
      </c>
      <c r="AH81" s="18" t="s">
        <v>29</v>
      </c>
      <c r="AI81" s="18" t="s">
        <v>64</v>
      </c>
      <c r="AJ81" s="18" t="s">
        <v>77</v>
      </c>
      <c r="AK81" s="18" t="s">
        <v>92</v>
      </c>
      <c r="AL81" s="18" t="s">
        <v>107</v>
      </c>
      <c r="AM81" s="18" t="s">
        <v>118</v>
      </c>
      <c r="AN81" s="18" t="s">
        <v>198</v>
      </c>
      <c r="AO81" s="18" t="s">
        <v>220</v>
      </c>
      <c r="AP81" s="18"/>
      <c r="AQ81" s="18">
        <f>+VLOOKUP(AI81,Leyenda!$B$30:$E$34,3,FALSE)</f>
        <v>2</v>
      </c>
      <c r="AR81" s="18">
        <f>+VLOOKUP('3. Blasting'!AJ81,Meteorizacion,3,FALSE)</f>
        <v>3</v>
      </c>
      <c r="AS81" s="18">
        <f>+VLOOKUP('3. Blasting'!AK81,Apertura,3,FALSE)</f>
        <v>3</v>
      </c>
      <c r="AT81" s="18">
        <f>+VLOOKUP('3. Blasting'!AL81,Leyenda!$B$55:$D$59,3,FALSE)</f>
        <v>3</v>
      </c>
      <c r="AU81" s="18">
        <f>+VLOOKUP('3. Blasting'!AM81,Relleno,3,FALSE)</f>
        <v>2</v>
      </c>
      <c r="AV81" s="18">
        <f t="shared" si="52"/>
        <v>13</v>
      </c>
      <c r="AW81" s="49">
        <f t="shared" si="37"/>
        <v>0</v>
      </c>
      <c r="AX81" s="49">
        <f>VLOOKUP(AF81,Leyenda!$B$4:$D$10,3,FALSE)</f>
        <v>2</v>
      </c>
      <c r="AY81" s="49">
        <f t="shared" si="31"/>
        <v>8</v>
      </c>
      <c r="AZ81" s="49">
        <f t="shared" si="38"/>
        <v>13</v>
      </c>
      <c r="BA81" s="49">
        <f>VLOOKUP(AN81,Leyenda!$B$70:$D$75,3,FALSE)</f>
        <v>15</v>
      </c>
      <c r="BB81" s="67">
        <f t="shared" si="39"/>
        <v>30.214285714285779</v>
      </c>
      <c r="BC81" s="67">
        <f>VLOOKUP(AF81,Leyenda!$B$4:$E$10,4,FALSE)</f>
        <v>2</v>
      </c>
      <c r="BD81" s="67">
        <f t="shared" si="40"/>
        <v>10</v>
      </c>
      <c r="BE81" s="67">
        <f t="shared" si="41"/>
        <v>5</v>
      </c>
      <c r="BF81" s="67">
        <f>+VLOOKUP('3. Blasting'!AK81,Leyenda!$B$47:$E$51,4,FALSE)</f>
        <v>3</v>
      </c>
      <c r="BG81" s="67">
        <f>+VLOOKUP('3. Blasting'!AL81,Leyenda!$B$55:$E$59,4,FALSE)</f>
        <v>3</v>
      </c>
      <c r="BH81" s="67">
        <f>+VLOOKUP('3. Blasting'!AM81,Leyenda!$B$63:$E$67,3,FALSE)</f>
        <v>2</v>
      </c>
      <c r="BI81" s="67">
        <f>+VLOOKUP('3. Blasting'!AJ81,Leyenda!$B$39:$E$43,4,FALSE)</f>
        <v>3</v>
      </c>
      <c r="BJ81" s="67">
        <f>+VLOOKUP('3. Blasting'!AI81,Leyenda!$B$30:$E$34,4,FALSE)</f>
        <v>3</v>
      </c>
      <c r="BK81" s="67">
        <f>VLOOKUP(AN81,Leyenda!$B$71:$E$75,4,FALSE)</f>
        <v>10</v>
      </c>
      <c r="BL81" s="67">
        <f t="shared" si="42"/>
        <v>41</v>
      </c>
      <c r="BM81" s="18">
        <f t="shared" si="43"/>
        <v>38</v>
      </c>
      <c r="BN81" s="18">
        <f t="shared" si="28"/>
        <v>0.96549884026461386</v>
      </c>
      <c r="BO81" s="18"/>
      <c r="BP81" s="6">
        <f t="shared" si="44"/>
        <v>20</v>
      </c>
      <c r="BQ81" s="6">
        <f t="shared" si="45"/>
        <v>20</v>
      </c>
      <c r="BR81" s="6">
        <v>20</v>
      </c>
      <c r="BS81" s="6">
        <f t="shared" si="46"/>
        <v>15</v>
      </c>
      <c r="BT81" s="6">
        <f t="shared" si="47"/>
        <v>1.2550000000000001</v>
      </c>
      <c r="BU81" s="6">
        <f t="shared" si="48"/>
        <v>38.127499999999998</v>
      </c>
      <c r="BV81" s="18">
        <f t="shared" si="32"/>
        <v>0.15251000000000001</v>
      </c>
      <c r="BW81" s="18">
        <f t="shared" si="33"/>
        <v>0.39652600000000005</v>
      </c>
    </row>
    <row r="82" spans="1:75" hidden="1" x14ac:dyDescent="0.25">
      <c r="A82" s="18" t="s">
        <v>6</v>
      </c>
      <c r="B82" s="18">
        <v>2024</v>
      </c>
      <c r="C82" s="18" t="s">
        <v>138</v>
      </c>
      <c r="D82" s="18" t="s">
        <v>10</v>
      </c>
      <c r="E82" s="18">
        <v>10</v>
      </c>
      <c r="F82" s="18" t="s">
        <v>135</v>
      </c>
      <c r="G82" s="18" t="s">
        <v>163</v>
      </c>
      <c r="H82" s="31">
        <f t="shared" si="49"/>
        <v>43.05</v>
      </c>
      <c r="I82" s="31">
        <v>43.55</v>
      </c>
      <c r="J82" s="4">
        <f t="shared" si="34"/>
        <v>0.5</v>
      </c>
      <c r="K82" s="5">
        <v>0.56000000000000005</v>
      </c>
      <c r="L82" s="31">
        <f t="shared" si="35"/>
        <v>0.28000000000000003</v>
      </c>
      <c r="M82" s="31">
        <v>2.6</v>
      </c>
      <c r="N82" s="31">
        <v>25.1</v>
      </c>
      <c r="O82" s="31">
        <f t="shared" si="30"/>
        <v>0.28000000000000003</v>
      </c>
      <c r="P82" s="31">
        <v>14</v>
      </c>
      <c r="Q82" s="31">
        <v>20</v>
      </c>
      <c r="R82" s="31">
        <v>0.25</v>
      </c>
      <c r="S82" s="31">
        <v>0</v>
      </c>
      <c r="T82" s="86">
        <f t="shared" si="50"/>
        <v>0</v>
      </c>
      <c r="U82" s="31">
        <v>6</v>
      </c>
      <c r="V82" s="31"/>
      <c r="W82" s="31">
        <f t="shared" si="51"/>
        <v>6</v>
      </c>
      <c r="X82" s="31">
        <f t="shared" si="29"/>
        <v>41.666666666666664</v>
      </c>
      <c r="Y82" s="31">
        <f t="shared" si="36"/>
        <v>4.1666666666666664E-2</v>
      </c>
      <c r="Z82" s="18">
        <v>0</v>
      </c>
      <c r="AA82" s="18" t="s">
        <v>96</v>
      </c>
      <c r="AB82" s="18" t="s">
        <v>333</v>
      </c>
      <c r="AC82" s="18" t="s">
        <v>337</v>
      </c>
      <c r="AD82" s="18">
        <v>20</v>
      </c>
      <c r="AE82" s="18">
        <v>14</v>
      </c>
      <c r="AF82" s="18" t="s">
        <v>29</v>
      </c>
      <c r="AG82" s="18" t="s">
        <v>29</v>
      </c>
      <c r="AH82" s="18" t="s">
        <v>29</v>
      </c>
      <c r="AI82" s="18" t="s">
        <v>64</v>
      </c>
      <c r="AJ82" s="18" t="s">
        <v>77</v>
      </c>
      <c r="AK82" s="18" t="s">
        <v>92</v>
      </c>
      <c r="AL82" s="18" t="s">
        <v>109</v>
      </c>
      <c r="AM82" s="18" t="s">
        <v>118</v>
      </c>
      <c r="AN82" s="18" t="s">
        <v>198</v>
      </c>
      <c r="AO82" s="18"/>
      <c r="AP82" s="18"/>
      <c r="AQ82" s="18">
        <f>+VLOOKUP(AI82,Leyenda!$B$30:$E$34,3,FALSE)</f>
        <v>2</v>
      </c>
      <c r="AR82" s="18">
        <f>+VLOOKUP('3. Blasting'!AJ82,Meteorizacion,3,FALSE)</f>
        <v>3</v>
      </c>
      <c r="AS82" s="18">
        <f>+VLOOKUP('3. Blasting'!AK82,Apertura,3,FALSE)</f>
        <v>3</v>
      </c>
      <c r="AT82" s="18">
        <f>+VLOOKUP('3. Blasting'!AL82,Leyenda!$B$55:$D$59,3,FALSE)</f>
        <v>1</v>
      </c>
      <c r="AU82" s="18">
        <f>+VLOOKUP('3. Blasting'!AM82,Relleno,3,FALSE)</f>
        <v>2</v>
      </c>
      <c r="AV82" s="18">
        <f t="shared" si="52"/>
        <v>11</v>
      </c>
      <c r="AW82" s="49">
        <f t="shared" si="37"/>
        <v>0</v>
      </c>
      <c r="AX82" s="49">
        <f>VLOOKUP(AF82,Leyenda!$B$4:$D$10,3,FALSE)</f>
        <v>2</v>
      </c>
      <c r="AY82" s="49">
        <f t="shared" si="31"/>
        <v>4</v>
      </c>
      <c r="AZ82" s="49">
        <f t="shared" si="38"/>
        <v>11</v>
      </c>
      <c r="BA82" s="49">
        <f>VLOOKUP(AN82,Leyenda!$B$70:$D$75,3,FALSE)</f>
        <v>15</v>
      </c>
      <c r="BB82" s="67">
        <f t="shared" si="39"/>
        <v>16.5</v>
      </c>
      <c r="BC82" s="67">
        <f>VLOOKUP(AF82,Leyenda!$B$4:$E$10,4,FALSE)</f>
        <v>2</v>
      </c>
      <c r="BD82" s="67">
        <f t="shared" si="40"/>
        <v>5</v>
      </c>
      <c r="BE82" s="67">
        <f t="shared" si="41"/>
        <v>0</v>
      </c>
      <c r="BF82" s="67">
        <f>+VLOOKUP('3. Blasting'!AK82,Leyenda!$B$47:$E$51,4,FALSE)</f>
        <v>3</v>
      </c>
      <c r="BG82" s="67">
        <f>+VLOOKUP('3. Blasting'!AL82,Leyenda!$B$55:$E$59,4,FALSE)</f>
        <v>1</v>
      </c>
      <c r="BH82" s="67">
        <f>+VLOOKUP('3. Blasting'!AM82,Leyenda!$B$63:$E$67,3,FALSE)</f>
        <v>2</v>
      </c>
      <c r="BI82" s="67">
        <f>+VLOOKUP('3. Blasting'!AJ82,Leyenda!$B$39:$E$43,4,FALSE)</f>
        <v>3</v>
      </c>
      <c r="BJ82" s="67">
        <f>+VLOOKUP('3. Blasting'!AI82,Leyenda!$B$30:$E$34,4,FALSE)</f>
        <v>3</v>
      </c>
      <c r="BK82" s="67">
        <f>VLOOKUP(AN82,Leyenda!$B$71:$E$75,4,FALSE)</f>
        <v>10</v>
      </c>
      <c r="BL82" s="67">
        <f t="shared" si="42"/>
        <v>29</v>
      </c>
      <c r="BM82" s="18">
        <f t="shared" si="43"/>
        <v>32</v>
      </c>
      <c r="BN82" s="18">
        <f t="shared" si="28"/>
        <v>0.96566811132640251</v>
      </c>
      <c r="BO82" s="18"/>
      <c r="BP82" s="6">
        <f t="shared" si="44"/>
        <v>10</v>
      </c>
      <c r="BQ82" s="6">
        <f t="shared" si="45"/>
        <v>10</v>
      </c>
      <c r="BR82" s="6">
        <v>20</v>
      </c>
      <c r="BS82" s="6">
        <f t="shared" si="46"/>
        <v>15</v>
      </c>
      <c r="BT82" s="6">
        <f t="shared" si="47"/>
        <v>1.2550000000000001</v>
      </c>
      <c r="BU82" s="6">
        <f t="shared" si="48"/>
        <v>28.127500000000001</v>
      </c>
      <c r="BV82" s="18">
        <f t="shared" si="32"/>
        <v>0.11251000000000001</v>
      </c>
      <c r="BW82" s="18">
        <f t="shared" si="33"/>
        <v>0.29252600000000006</v>
      </c>
    </row>
    <row r="83" spans="1:75" hidden="1" x14ac:dyDescent="0.25">
      <c r="A83" s="18" t="s">
        <v>6</v>
      </c>
      <c r="B83" s="18">
        <v>2024</v>
      </c>
      <c r="C83" s="18" t="s">
        <v>138</v>
      </c>
      <c r="D83" s="18" t="s">
        <v>10</v>
      </c>
      <c r="E83" s="18">
        <v>10</v>
      </c>
      <c r="F83" s="18" t="s">
        <v>135</v>
      </c>
      <c r="G83" s="18" t="s">
        <v>163</v>
      </c>
      <c r="H83" s="31">
        <f t="shared" si="49"/>
        <v>43.55</v>
      </c>
      <c r="I83" s="31">
        <v>44.05</v>
      </c>
      <c r="J83" s="4">
        <f t="shared" si="34"/>
        <v>0.5</v>
      </c>
      <c r="K83" s="5">
        <v>0.82</v>
      </c>
      <c r="L83" s="31">
        <f t="shared" si="35"/>
        <v>0.41</v>
      </c>
      <c r="M83" s="31">
        <v>2.6</v>
      </c>
      <c r="N83" s="31">
        <v>25.1</v>
      </c>
      <c r="O83" s="31">
        <f t="shared" si="30"/>
        <v>0.41</v>
      </c>
      <c r="P83" s="31">
        <v>20.5</v>
      </c>
      <c r="Q83" s="31">
        <v>20</v>
      </c>
      <c r="R83" s="31">
        <v>0.22</v>
      </c>
      <c r="S83" s="31">
        <v>0</v>
      </c>
      <c r="T83" s="86">
        <f t="shared" si="50"/>
        <v>0</v>
      </c>
      <c r="U83" s="31">
        <v>4</v>
      </c>
      <c r="V83" s="31"/>
      <c r="W83" s="31">
        <f t="shared" si="51"/>
        <v>4</v>
      </c>
      <c r="X83" s="31">
        <f t="shared" si="29"/>
        <v>55</v>
      </c>
      <c r="Y83" s="31">
        <f t="shared" si="36"/>
        <v>5.5E-2</v>
      </c>
      <c r="Z83" s="18">
        <v>0</v>
      </c>
      <c r="AA83" s="18" t="s">
        <v>100</v>
      </c>
      <c r="AB83" s="18" t="s">
        <v>333</v>
      </c>
      <c r="AC83" s="18" t="s">
        <v>337</v>
      </c>
      <c r="AD83" s="18">
        <v>20</v>
      </c>
      <c r="AE83" s="18">
        <v>20.5</v>
      </c>
      <c r="AF83" s="18" t="s">
        <v>29</v>
      </c>
      <c r="AG83" s="18" t="s">
        <v>29</v>
      </c>
      <c r="AH83" s="18" t="s">
        <v>29</v>
      </c>
      <c r="AI83" s="18" t="s">
        <v>64</v>
      </c>
      <c r="AJ83" s="18" t="s">
        <v>77</v>
      </c>
      <c r="AK83" s="18" t="s">
        <v>92</v>
      </c>
      <c r="AL83" s="18" t="s">
        <v>109</v>
      </c>
      <c r="AM83" s="18" t="s">
        <v>118</v>
      </c>
      <c r="AN83" s="18" t="s">
        <v>198</v>
      </c>
      <c r="AO83" s="18"/>
      <c r="AP83" s="18"/>
      <c r="AQ83" s="18">
        <f>+VLOOKUP(AI83,Leyenda!$B$30:$E$34,3,FALSE)</f>
        <v>2</v>
      </c>
      <c r="AR83" s="18">
        <f>+VLOOKUP('3. Blasting'!AJ83,Meteorizacion,3,FALSE)</f>
        <v>3</v>
      </c>
      <c r="AS83" s="18">
        <f>+VLOOKUP('3. Blasting'!AK83,Apertura,3,FALSE)</f>
        <v>3</v>
      </c>
      <c r="AT83" s="18">
        <f>+VLOOKUP('3. Blasting'!AL83,Leyenda!$B$55:$D$59,3,FALSE)</f>
        <v>1</v>
      </c>
      <c r="AU83" s="18">
        <f>+VLOOKUP('3. Blasting'!AM83,Relleno,3,FALSE)</f>
        <v>2</v>
      </c>
      <c r="AV83" s="18">
        <f t="shared" si="52"/>
        <v>11</v>
      </c>
      <c r="AW83" s="49">
        <f t="shared" si="37"/>
        <v>0</v>
      </c>
      <c r="AX83" s="49">
        <f>VLOOKUP(AF83,Leyenda!$B$4:$D$10,3,FALSE)</f>
        <v>2</v>
      </c>
      <c r="AY83" s="49">
        <f t="shared" si="31"/>
        <v>4</v>
      </c>
      <c r="AZ83" s="49">
        <f t="shared" si="38"/>
        <v>11</v>
      </c>
      <c r="BA83" s="49">
        <f>VLOOKUP(AN83,Leyenda!$B$70:$D$75,3,FALSE)</f>
        <v>15</v>
      </c>
      <c r="BB83" s="67">
        <f t="shared" si="39"/>
        <v>16.5</v>
      </c>
      <c r="BC83" s="67">
        <f>VLOOKUP(AF83,Leyenda!$B$4:$E$10,4,FALSE)</f>
        <v>2</v>
      </c>
      <c r="BD83" s="67">
        <f t="shared" si="40"/>
        <v>5</v>
      </c>
      <c r="BE83" s="67">
        <f t="shared" si="41"/>
        <v>0</v>
      </c>
      <c r="BF83" s="67">
        <f>+VLOOKUP('3. Blasting'!AK83,Leyenda!$B$47:$E$51,4,FALSE)</f>
        <v>3</v>
      </c>
      <c r="BG83" s="67">
        <f>+VLOOKUP('3. Blasting'!AL83,Leyenda!$B$55:$E$59,4,FALSE)</f>
        <v>1</v>
      </c>
      <c r="BH83" s="67">
        <f>+VLOOKUP('3. Blasting'!AM83,Leyenda!$B$63:$E$67,3,FALSE)</f>
        <v>2</v>
      </c>
      <c r="BI83" s="67">
        <f>+VLOOKUP('3. Blasting'!AJ83,Leyenda!$B$39:$E$43,4,FALSE)</f>
        <v>3</v>
      </c>
      <c r="BJ83" s="67">
        <f>+VLOOKUP('3. Blasting'!AI83,Leyenda!$B$30:$E$34,4,FALSE)</f>
        <v>3</v>
      </c>
      <c r="BK83" s="67">
        <f>VLOOKUP(AN83,Leyenda!$B$71:$E$75,4,FALSE)</f>
        <v>10</v>
      </c>
      <c r="BL83" s="67">
        <f t="shared" si="42"/>
        <v>29</v>
      </c>
      <c r="BM83" s="18">
        <f t="shared" si="43"/>
        <v>32</v>
      </c>
      <c r="BN83" s="18">
        <f t="shared" si="28"/>
        <v>0.96570792375181225</v>
      </c>
      <c r="BO83" s="18"/>
      <c r="BP83" s="6">
        <f t="shared" si="44"/>
        <v>10</v>
      </c>
      <c r="BQ83" s="6">
        <f t="shared" si="45"/>
        <v>10</v>
      </c>
      <c r="BR83" s="6">
        <v>20</v>
      </c>
      <c r="BS83" s="6">
        <f t="shared" si="46"/>
        <v>15</v>
      </c>
      <c r="BT83" s="6">
        <f t="shared" si="47"/>
        <v>1.2550000000000001</v>
      </c>
      <c r="BU83" s="6">
        <f t="shared" si="48"/>
        <v>28.127500000000001</v>
      </c>
      <c r="BV83" s="18">
        <f t="shared" si="32"/>
        <v>0.11251000000000001</v>
      </c>
      <c r="BW83" s="18">
        <f t="shared" si="33"/>
        <v>0.29252600000000006</v>
      </c>
    </row>
    <row r="84" spans="1:75" hidden="1" x14ac:dyDescent="0.25">
      <c r="A84" s="18" t="s">
        <v>6</v>
      </c>
      <c r="B84" s="18">
        <v>2024</v>
      </c>
      <c r="C84" s="18" t="s">
        <v>138</v>
      </c>
      <c r="D84" s="18" t="s">
        <v>10</v>
      </c>
      <c r="E84" s="18">
        <v>10</v>
      </c>
      <c r="F84" s="18" t="s">
        <v>135</v>
      </c>
      <c r="G84" s="18" t="s">
        <v>163</v>
      </c>
      <c r="H84" s="31">
        <f t="shared" si="49"/>
        <v>44.05</v>
      </c>
      <c r="I84" s="31">
        <v>44.55</v>
      </c>
      <c r="J84" s="4">
        <f t="shared" si="34"/>
        <v>0.5</v>
      </c>
      <c r="K84" s="5">
        <v>0.54</v>
      </c>
      <c r="L84" s="31">
        <f t="shared" si="35"/>
        <v>0.27</v>
      </c>
      <c r="M84" s="31">
        <v>2.6</v>
      </c>
      <c r="N84" s="31">
        <v>25.1</v>
      </c>
      <c r="O84" s="31">
        <f t="shared" si="30"/>
        <v>0.27</v>
      </c>
      <c r="P84" s="31">
        <v>13.5</v>
      </c>
      <c r="Q84" s="31">
        <v>20</v>
      </c>
      <c r="R84" s="31">
        <v>0.26</v>
      </c>
      <c r="S84" s="31">
        <v>0</v>
      </c>
      <c r="T84" s="86">
        <f t="shared" si="50"/>
        <v>0</v>
      </c>
      <c r="U84" s="31">
        <v>6</v>
      </c>
      <c r="V84" s="31"/>
      <c r="W84" s="31">
        <f t="shared" si="51"/>
        <v>6</v>
      </c>
      <c r="X84" s="31">
        <f t="shared" si="29"/>
        <v>43.333333333333336</v>
      </c>
      <c r="Y84" s="31">
        <f t="shared" si="36"/>
        <v>4.3333333333333335E-2</v>
      </c>
      <c r="Z84" s="18">
        <v>0</v>
      </c>
      <c r="AA84" s="18" t="s">
        <v>100</v>
      </c>
      <c r="AB84" s="18" t="s">
        <v>333</v>
      </c>
      <c r="AC84" s="18" t="s">
        <v>337</v>
      </c>
      <c r="AD84" s="18">
        <v>20</v>
      </c>
      <c r="AE84" s="18">
        <v>13.5</v>
      </c>
      <c r="AF84" s="18" t="s">
        <v>29</v>
      </c>
      <c r="AG84" s="18" t="s">
        <v>29</v>
      </c>
      <c r="AH84" s="18" t="s">
        <v>29</v>
      </c>
      <c r="AI84" s="18" t="s">
        <v>66</v>
      </c>
      <c r="AJ84" s="18" t="s">
        <v>79</v>
      </c>
      <c r="AK84" s="18" t="s">
        <v>92</v>
      </c>
      <c r="AL84" s="18" t="s">
        <v>109</v>
      </c>
      <c r="AM84" s="18" t="s">
        <v>120</v>
      </c>
      <c r="AN84" s="18" t="s">
        <v>198</v>
      </c>
      <c r="AO84" s="18"/>
      <c r="AP84" s="18"/>
      <c r="AQ84" s="18">
        <f>+VLOOKUP(AI84,Leyenda!$B$30:$E$34,3,FALSE)</f>
        <v>1</v>
      </c>
      <c r="AR84" s="18">
        <f>+VLOOKUP('3. Blasting'!AJ84,Meteorizacion,3,FALSE)</f>
        <v>1</v>
      </c>
      <c r="AS84" s="18">
        <f>+VLOOKUP('3. Blasting'!AK84,Apertura,3,FALSE)</f>
        <v>3</v>
      </c>
      <c r="AT84" s="18">
        <f>+VLOOKUP('3. Blasting'!AL84,Leyenda!$B$55:$D$59,3,FALSE)</f>
        <v>1</v>
      </c>
      <c r="AU84" s="18">
        <f>+VLOOKUP('3. Blasting'!AM84,Relleno,3,FALSE)</f>
        <v>2</v>
      </c>
      <c r="AV84" s="18">
        <f t="shared" si="52"/>
        <v>8</v>
      </c>
      <c r="AW84" s="49">
        <f t="shared" si="37"/>
        <v>0</v>
      </c>
      <c r="AX84" s="49">
        <f>VLOOKUP(AF84,Leyenda!$B$4:$D$10,3,FALSE)</f>
        <v>2</v>
      </c>
      <c r="AY84" s="49">
        <f t="shared" si="31"/>
        <v>4</v>
      </c>
      <c r="AZ84" s="49">
        <f t="shared" si="38"/>
        <v>8</v>
      </c>
      <c r="BA84" s="49">
        <f>VLOOKUP(AN84,Leyenda!$B$70:$D$75,3,FALSE)</f>
        <v>15</v>
      </c>
      <c r="BB84" s="67">
        <f t="shared" si="39"/>
        <v>12</v>
      </c>
      <c r="BC84" s="67">
        <f>VLOOKUP(AF84,Leyenda!$B$4:$E$10,4,FALSE)</f>
        <v>2</v>
      </c>
      <c r="BD84" s="67">
        <f t="shared" si="40"/>
        <v>5</v>
      </c>
      <c r="BE84" s="67">
        <f t="shared" si="41"/>
        <v>0</v>
      </c>
      <c r="BF84" s="67">
        <f>+VLOOKUP('3. Blasting'!AK84,Leyenda!$B$47:$E$51,4,FALSE)</f>
        <v>3</v>
      </c>
      <c r="BG84" s="67">
        <f>+VLOOKUP('3. Blasting'!AL84,Leyenda!$B$55:$E$59,4,FALSE)</f>
        <v>1</v>
      </c>
      <c r="BH84" s="67">
        <f>+VLOOKUP('3. Blasting'!AM84,Leyenda!$B$63:$E$67,3,FALSE)</f>
        <v>2</v>
      </c>
      <c r="BI84" s="67">
        <f>+VLOOKUP('3. Blasting'!AJ84,Leyenda!$B$39:$E$43,4,FALSE)</f>
        <v>1</v>
      </c>
      <c r="BJ84" s="67">
        <f>+VLOOKUP('3. Blasting'!AI84,Leyenda!$B$30:$E$34,4,FALSE)</f>
        <v>1</v>
      </c>
      <c r="BK84" s="67">
        <f>VLOOKUP(AN84,Leyenda!$B$71:$E$75,4,FALSE)</f>
        <v>10</v>
      </c>
      <c r="BL84" s="67">
        <f t="shared" si="42"/>
        <v>25</v>
      </c>
      <c r="BM84" s="18">
        <f t="shared" si="43"/>
        <v>29</v>
      </c>
      <c r="BN84" s="18">
        <f t="shared" si="28"/>
        <v>0.96565449338933829</v>
      </c>
      <c r="BO84" s="18"/>
      <c r="BP84" s="6">
        <f t="shared" si="44"/>
        <v>10</v>
      </c>
      <c r="BQ84" s="6">
        <f t="shared" si="45"/>
        <v>10</v>
      </c>
      <c r="BR84" s="6">
        <v>20</v>
      </c>
      <c r="BS84" s="6">
        <f t="shared" si="46"/>
        <v>15</v>
      </c>
      <c r="BT84" s="6">
        <f t="shared" si="47"/>
        <v>1.2550000000000001</v>
      </c>
      <c r="BU84" s="6">
        <f t="shared" si="48"/>
        <v>28.127500000000001</v>
      </c>
      <c r="BV84" s="18">
        <f t="shared" si="32"/>
        <v>0.11251000000000001</v>
      </c>
      <c r="BW84" s="18">
        <f t="shared" si="33"/>
        <v>0.29252600000000006</v>
      </c>
    </row>
    <row r="85" spans="1:75" hidden="1" x14ac:dyDescent="0.25">
      <c r="A85" s="18" t="s">
        <v>6</v>
      </c>
      <c r="B85" s="18">
        <v>2024</v>
      </c>
      <c r="C85" s="18" t="s">
        <v>138</v>
      </c>
      <c r="D85" s="18" t="s">
        <v>10</v>
      </c>
      <c r="E85" s="18">
        <v>10</v>
      </c>
      <c r="F85" s="18" t="s">
        <v>135</v>
      </c>
      <c r="G85" s="18" t="s">
        <v>163</v>
      </c>
      <c r="H85" s="31">
        <f t="shared" si="49"/>
        <v>44.55</v>
      </c>
      <c r="I85" s="31">
        <v>45.05</v>
      </c>
      <c r="J85" s="4">
        <f t="shared" si="34"/>
        <v>0.5</v>
      </c>
      <c r="K85" s="5">
        <v>0.57999999999999996</v>
      </c>
      <c r="L85" s="31">
        <f t="shared" si="35"/>
        <v>0.28999999999999998</v>
      </c>
      <c r="M85" s="31">
        <v>2.6</v>
      </c>
      <c r="N85" s="31">
        <v>25.1</v>
      </c>
      <c r="O85" s="31">
        <f t="shared" si="30"/>
        <v>0.28999999999999998</v>
      </c>
      <c r="P85" s="31">
        <v>19.333333333333332</v>
      </c>
      <c r="Q85" s="31">
        <v>15</v>
      </c>
      <c r="R85" s="31">
        <v>0.24</v>
      </c>
      <c r="S85" s="31">
        <v>0</v>
      </c>
      <c r="T85" s="86">
        <f t="shared" si="50"/>
        <v>0</v>
      </c>
      <c r="U85" s="31">
        <v>10</v>
      </c>
      <c r="V85" s="31"/>
      <c r="W85" s="31">
        <f t="shared" si="51"/>
        <v>10</v>
      </c>
      <c r="X85" s="31">
        <f t="shared" si="29"/>
        <v>24</v>
      </c>
      <c r="Y85" s="31">
        <f t="shared" si="36"/>
        <v>2.4E-2</v>
      </c>
      <c r="Z85" s="18">
        <v>0</v>
      </c>
      <c r="AA85" s="18" t="s">
        <v>100</v>
      </c>
      <c r="AB85" s="18" t="s">
        <v>122</v>
      </c>
      <c r="AC85" s="18" t="s">
        <v>336</v>
      </c>
      <c r="AD85" s="18">
        <v>15</v>
      </c>
      <c r="AE85" s="18">
        <v>19.333333333333332</v>
      </c>
      <c r="AF85" s="18" t="s">
        <v>32</v>
      </c>
      <c r="AG85" s="18" t="s">
        <v>32</v>
      </c>
      <c r="AH85" s="18" t="s">
        <v>32</v>
      </c>
      <c r="AI85" s="18" t="s">
        <v>64</v>
      </c>
      <c r="AJ85" s="18" t="s">
        <v>79</v>
      </c>
      <c r="AK85" s="18" t="s">
        <v>100</v>
      </c>
      <c r="AL85" s="18" t="s">
        <v>107</v>
      </c>
      <c r="AM85" s="18" t="s">
        <v>120</v>
      </c>
      <c r="AN85" s="18" t="s">
        <v>198</v>
      </c>
      <c r="AO85" s="18"/>
      <c r="AP85" s="18"/>
      <c r="AQ85" s="18">
        <f>+VLOOKUP(AI85,Leyenda!$B$30:$E$34,3,FALSE)</f>
        <v>2</v>
      </c>
      <c r="AR85" s="18">
        <f>+VLOOKUP('3. Blasting'!AJ85,Meteorizacion,3,FALSE)</f>
        <v>1</v>
      </c>
      <c r="AS85" s="18">
        <f>+VLOOKUP('3. Blasting'!AK85,Apertura,3,FALSE)</f>
        <v>0</v>
      </c>
      <c r="AT85" s="18">
        <f>+VLOOKUP('3. Blasting'!AL85,Leyenda!$B$55:$D$59,3,FALSE)</f>
        <v>3</v>
      </c>
      <c r="AU85" s="18">
        <f>+VLOOKUP('3. Blasting'!AM85,Relleno,3,FALSE)</f>
        <v>2</v>
      </c>
      <c r="AV85" s="18">
        <f t="shared" si="52"/>
        <v>8</v>
      </c>
      <c r="AW85" s="49">
        <f t="shared" si="37"/>
        <v>0</v>
      </c>
      <c r="AX85" s="49">
        <f>VLOOKUP(AF85,Leyenda!$B$4:$D$10,3,FALSE)</f>
        <v>1</v>
      </c>
      <c r="AY85" s="49">
        <f t="shared" si="31"/>
        <v>4</v>
      </c>
      <c r="AZ85" s="49">
        <f t="shared" si="38"/>
        <v>8</v>
      </c>
      <c r="BA85" s="49">
        <f>VLOOKUP(AN85,Leyenda!$B$70:$D$75,3,FALSE)</f>
        <v>15</v>
      </c>
      <c r="BB85" s="67">
        <f t="shared" si="39"/>
        <v>12</v>
      </c>
      <c r="BC85" s="67">
        <f>VLOOKUP(AF85,Leyenda!$B$4:$E$10,4,FALSE)</f>
        <v>1</v>
      </c>
      <c r="BD85" s="67">
        <f t="shared" si="40"/>
        <v>5</v>
      </c>
      <c r="BE85" s="67">
        <f t="shared" si="41"/>
        <v>0</v>
      </c>
      <c r="BF85" s="67">
        <f>+VLOOKUP('3. Blasting'!AK85,Leyenda!$B$47:$E$51,4,FALSE)</f>
        <v>0</v>
      </c>
      <c r="BG85" s="67">
        <f>+VLOOKUP('3. Blasting'!AL85,Leyenda!$B$55:$E$59,4,FALSE)</f>
        <v>3</v>
      </c>
      <c r="BH85" s="67">
        <f>+VLOOKUP('3. Blasting'!AM85,Leyenda!$B$63:$E$67,3,FALSE)</f>
        <v>2</v>
      </c>
      <c r="BI85" s="67">
        <f>+VLOOKUP('3. Blasting'!AJ85,Leyenda!$B$39:$E$43,4,FALSE)</f>
        <v>1</v>
      </c>
      <c r="BJ85" s="67">
        <f>+VLOOKUP('3. Blasting'!AI85,Leyenda!$B$30:$E$34,4,FALSE)</f>
        <v>3</v>
      </c>
      <c r="BK85" s="67">
        <f>VLOOKUP(AN85,Leyenda!$B$71:$E$75,4,FALSE)</f>
        <v>10</v>
      </c>
      <c r="BL85" s="67">
        <f t="shared" si="42"/>
        <v>25</v>
      </c>
      <c r="BM85" s="18">
        <f t="shared" si="43"/>
        <v>28</v>
      </c>
      <c r="BN85" s="18">
        <f t="shared" si="28"/>
        <v>0.96555046277039602</v>
      </c>
      <c r="BO85" s="18"/>
      <c r="BP85" s="6">
        <f t="shared" si="44"/>
        <v>10</v>
      </c>
      <c r="BQ85" s="6">
        <f t="shared" si="45"/>
        <v>10</v>
      </c>
      <c r="BR85" s="6">
        <v>20</v>
      </c>
      <c r="BS85" s="6">
        <f t="shared" si="46"/>
        <v>15</v>
      </c>
      <c r="BT85" s="6">
        <f t="shared" si="47"/>
        <v>1.2550000000000001</v>
      </c>
      <c r="BU85" s="6">
        <f t="shared" si="48"/>
        <v>28.127500000000001</v>
      </c>
      <c r="BV85" s="18">
        <f t="shared" si="32"/>
        <v>0.11251000000000001</v>
      </c>
      <c r="BW85" s="18">
        <f t="shared" si="33"/>
        <v>0.29252600000000006</v>
      </c>
    </row>
    <row r="86" spans="1:75" hidden="1" x14ac:dyDescent="0.25">
      <c r="A86" s="18" t="s">
        <v>6</v>
      </c>
      <c r="B86" s="18">
        <v>2024</v>
      </c>
      <c r="C86" s="18" t="s">
        <v>138</v>
      </c>
      <c r="D86" s="18" t="s">
        <v>10</v>
      </c>
      <c r="E86" s="18">
        <v>10</v>
      </c>
      <c r="F86" s="18" t="s">
        <v>135</v>
      </c>
      <c r="G86" s="18" t="s">
        <v>163</v>
      </c>
      <c r="H86" s="31">
        <f t="shared" si="49"/>
        <v>45.05</v>
      </c>
      <c r="I86" s="31">
        <v>45.55</v>
      </c>
      <c r="J86" s="4">
        <f t="shared" si="34"/>
        <v>0.5</v>
      </c>
      <c r="K86" s="5">
        <v>0.62</v>
      </c>
      <c r="L86" s="31">
        <f t="shared" si="35"/>
        <v>0.31</v>
      </c>
      <c r="M86" s="31">
        <v>2.6</v>
      </c>
      <c r="N86" s="31">
        <v>25.1</v>
      </c>
      <c r="O86" s="31">
        <f t="shared" si="30"/>
        <v>0.31</v>
      </c>
      <c r="P86" s="31">
        <v>20.666666666666668</v>
      </c>
      <c r="Q86" s="31">
        <v>15</v>
      </c>
      <c r="R86" s="31">
        <v>0.28000000000000003</v>
      </c>
      <c r="S86" s="31">
        <v>0</v>
      </c>
      <c r="T86" s="86">
        <f t="shared" si="50"/>
        <v>0</v>
      </c>
      <c r="U86" s="31">
        <v>10</v>
      </c>
      <c r="V86" s="31"/>
      <c r="W86" s="31">
        <f t="shared" si="51"/>
        <v>10</v>
      </c>
      <c r="X86" s="31">
        <f t="shared" si="29"/>
        <v>28</v>
      </c>
      <c r="Y86" s="31">
        <f t="shared" si="36"/>
        <v>2.8000000000000001E-2</v>
      </c>
      <c r="Z86" s="18">
        <v>0</v>
      </c>
      <c r="AA86" s="18" t="s">
        <v>100</v>
      </c>
      <c r="AB86" s="18" t="s">
        <v>122</v>
      </c>
      <c r="AC86" s="18" t="s">
        <v>336</v>
      </c>
      <c r="AD86" s="18">
        <v>15</v>
      </c>
      <c r="AE86" s="18">
        <v>20.666666666666668</v>
      </c>
      <c r="AF86" s="18" t="s">
        <v>32</v>
      </c>
      <c r="AG86" s="18" t="s">
        <v>32</v>
      </c>
      <c r="AH86" s="18" t="s">
        <v>32</v>
      </c>
      <c r="AI86" s="18" t="s">
        <v>64</v>
      </c>
      <c r="AJ86" s="18" t="s">
        <v>79</v>
      </c>
      <c r="AK86" s="18" t="s">
        <v>100</v>
      </c>
      <c r="AL86" s="18" t="s">
        <v>107</v>
      </c>
      <c r="AM86" s="18" t="s">
        <v>120</v>
      </c>
      <c r="AN86" s="18" t="s">
        <v>198</v>
      </c>
      <c r="AO86" s="18"/>
      <c r="AP86" s="18"/>
      <c r="AQ86" s="18">
        <f>+VLOOKUP(AI86,Leyenda!$B$30:$E$34,3,FALSE)</f>
        <v>2</v>
      </c>
      <c r="AR86" s="18">
        <f>+VLOOKUP('3. Blasting'!AJ86,Meteorizacion,3,FALSE)</f>
        <v>1</v>
      </c>
      <c r="AS86" s="18">
        <f>+VLOOKUP('3. Blasting'!AK86,Apertura,3,FALSE)</f>
        <v>0</v>
      </c>
      <c r="AT86" s="18">
        <f>+VLOOKUP('3. Blasting'!AL86,Leyenda!$B$55:$D$59,3,FALSE)</f>
        <v>3</v>
      </c>
      <c r="AU86" s="18">
        <f>+VLOOKUP('3. Blasting'!AM86,Relleno,3,FALSE)</f>
        <v>2</v>
      </c>
      <c r="AV86" s="18">
        <f t="shared" si="52"/>
        <v>8</v>
      </c>
      <c r="AW86" s="49">
        <f t="shared" si="37"/>
        <v>0</v>
      </c>
      <c r="AX86" s="49">
        <f>VLOOKUP(AF86,Leyenda!$B$4:$D$10,3,FALSE)</f>
        <v>1</v>
      </c>
      <c r="AY86" s="49">
        <f t="shared" si="31"/>
        <v>4</v>
      </c>
      <c r="AZ86" s="49">
        <f t="shared" si="38"/>
        <v>8</v>
      </c>
      <c r="BA86" s="49">
        <f>VLOOKUP(AN86,Leyenda!$B$70:$D$75,3,FALSE)</f>
        <v>15</v>
      </c>
      <c r="BB86" s="67">
        <f t="shared" si="39"/>
        <v>12</v>
      </c>
      <c r="BC86" s="67">
        <f>VLOOKUP(AF86,Leyenda!$B$4:$E$10,4,FALSE)</f>
        <v>1</v>
      </c>
      <c r="BD86" s="67">
        <f t="shared" si="40"/>
        <v>5</v>
      </c>
      <c r="BE86" s="67">
        <f t="shared" si="41"/>
        <v>0</v>
      </c>
      <c r="BF86" s="67">
        <f>+VLOOKUP('3. Blasting'!AK86,Leyenda!$B$47:$E$51,4,FALSE)</f>
        <v>0</v>
      </c>
      <c r="BG86" s="67">
        <f>+VLOOKUP('3. Blasting'!AL86,Leyenda!$B$55:$E$59,4,FALSE)</f>
        <v>3</v>
      </c>
      <c r="BH86" s="67">
        <f>+VLOOKUP('3. Blasting'!AM86,Leyenda!$B$63:$E$67,3,FALSE)</f>
        <v>2</v>
      </c>
      <c r="BI86" s="67">
        <f>+VLOOKUP('3. Blasting'!AJ86,Leyenda!$B$39:$E$43,4,FALSE)</f>
        <v>1</v>
      </c>
      <c r="BJ86" s="67">
        <f>+VLOOKUP('3. Blasting'!AI86,Leyenda!$B$30:$E$34,4,FALSE)</f>
        <v>3</v>
      </c>
      <c r="BK86" s="67">
        <f>VLOOKUP(AN86,Leyenda!$B$71:$E$75,4,FALSE)</f>
        <v>10</v>
      </c>
      <c r="BL86" s="67">
        <f t="shared" si="42"/>
        <v>25</v>
      </c>
      <c r="BM86" s="18">
        <f t="shared" si="43"/>
        <v>28</v>
      </c>
      <c r="BN86" s="18">
        <f t="shared" si="28"/>
        <v>0.96557403881570236</v>
      </c>
      <c r="BO86" s="18"/>
      <c r="BP86" s="6">
        <f t="shared" si="44"/>
        <v>10</v>
      </c>
      <c r="BQ86" s="6">
        <f t="shared" si="45"/>
        <v>10</v>
      </c>
      <c r="BR86" s="6">
        <v>20</v>
      </c>
      <c r="BS86" s="6">
        <f t="shared" si="46"/>
        <v>15</v>
      </c>
      <c r="BT86" s="6">
        <f t="shared" si="47"/>
        <v>1.2550000000000001</v>
      </c>
      <c r="BU86" s="6">
        <f t="shared" si="48"/>
        <v>28.127500000000001</v>
      </c>
      <c r="BV86" s="18">
        <f t="shared" si="32"/>
        <v>0.11251000000000001</v>
      </c>
      <c r="BW86" s="18">
        <f t="shared" si="33"/>
        <v>0.29252600000000006</v>
      </c>
    </row>
    <row r="87" spans="1:75" hidden="1" x14ac:dyDescent="0.25">
      <c r="A87" s="18" t="s">
        <v>6</v>
      </c>
      <c r="B87" s="18">
        <v>2024</v>
      </c>
      <c r="C87" s="18" t="s">
        <v>138</v>
      </c>
      <c r="D87" s="18" t="s">
        <v>10</v>
      </c>
      <c r="E87" s="18">
        <v>10</v>
      </c>
      <c r="F87" s="18" t="s">
        <v>135</v>
      </c>
      <c r="G87" s="18" t="s">
        <v>163</v>
      </c>
      <c r="H87" s="31">
        <f t="shared" si="49"/>
        <v>45.55</v>
      </c>
      <c r="I87" s="31">
        <v>46.05</v>
      </c>
      <c r="J87" s="4">
        <f t="shared" si="34"/>
        <v>0.5</v>
      </c>
      <c r="K87" s="5">
        <v>0.74</v>
      </c>
      <c r="L87" s="31">
        <f t="shared" si="35"/>
        <v>0.37</v>
      </c>
      <c r="M87" s="31">
        <v>2.6</v>
      </c>
      <c r="N87" s="31">
        <v>25.1</v>
      </c>
      <c r="O87" s="31">
        <f t="shared" si="30"/>
        <v>0.37</v>
      </c>
      <c r="P87" s="31">
        <v>24.666666666666668</v>
      </c>
      <c r="Q87" s="31">
        <v>15</v>
      </c>
      <c r="R87" s="31">
        <v>0.27</v>
      </c>
      <c r="S87" s="31">
        <v>0</v>
      </c>
      <c r="T87" s="86">
        <f t="shared" si="50"/>
        <v>0</v>
      </c>
      <c r="U87" s="31">
        <v>8</v>
      </c>
      <c r="V87" s="31"/>
      <c r="W87" s="31">
        <f t="shared" si="51"/>
        <v>8</v>
      </c>
      <c r="X87" s="31">
        <f t="shared" si="29"/>
        <v>33.75</v>
      </c>
      <c r="Y87" s="31">
        <f t="shared" si="36"/>
        <v>3.3750000000000002E-2</v>
      </c>
      <c r="Z87" s="18">
        <v>0</v>
      </c>
      <c r="AA87" s="18" t="s">
        <v>100</v>
      </c>
      <c r="AB87" s="18" t="s">
        <v>122</v>
      </c>
      <c r="AC87" s="18" t="s">
        <v>336</v>
      </c>
      <c r="AD87" s="18">
        <v>15</v>
      </c>
      <c r="AE87" s="18">
        <v>24.666666666666668</v>
      </c>
      <c r="AF87" s="18" t="s">
        <v>32</v>
      </c>
      <c r="AG87" s="18" t="s">
        <v>32</v>
      </c>
      <c r="AH87" s="18" t="s">
        <v>32</v>
      </c>
      <c r="AI87" s="18" t="s">
        <v>64</v>
      </c>
      <c r="AJ87" s="18" t="s">
        <v>79</v>
      </c>
      <c r="AK87" s="18" t="s">
        <v>96</v>
      </c>
      <c r="AL87" s="18" t="s">
        <v>107</v>
      </c>
      <c r="AM87" s="18" t="s">
        <v>120</v>
      </c>
      <c r="AN87" s="18" t="s">
        <v>198</v>
      </c>
      <c r="AO87" s="18"/>
      <c r="AP87" s="18"/>
      <c r="AQ87" s="18">
        <f>+VLOOKUP(AI87,Leyenda!$B$30:$E$34,3,FALSE)</f>
        <v>2</v>
      </c>
      <c r="AR87" s="18">
        <f>+VLOOKUP('3. Blasting'!AJ87,Meteorizacion,3,FALSE)</f>
        <v>1</v>
      </c>
      <c r="AS87" s="18">
        <f>+VLOOKUP('3. Blasting'!AK87,Apertura,3,FALSE)</f>
        <v>1</v>
      </c>
      <c r="AT87" s="18">
        <f>+VLOOKUP('3. Blasting'!AL87,Leyenda!$B$55:$D$59,3,FALSE)</f>
        <v>3</v>
      </c>
      <c r="AU87" s="18">
        <f>+VLOOKUP('3. Blasting'!AM87,Relleno,3,FALSE)</f>
        <v>2</v>
      </c>
      <c r="AV87" s="18">
        <f t="shared" si="52"/>
        <v>9</v>
      </c>
      <c r="AW87" s="49">
        <f t="shared" si="37"/>
        <v>0</v>
      </c>
      <c r="AX87" s="49">
        <f>VLOOKUP(AF87,Leyenda!$B$4:$D$10,3,FALSE)</f>
        <v>1</v>
      </c>
      <c r="AY87" s="49">
        <f t="shared" si="31"/>
        <v>5</v>
      </c>
      <c r="AZ87" s="49">
        <f t="shared" si="38"/>
        <v>9</v>
      </c>
      <c r="BA87" s="49">
        <f>VLOOKUP(AN87,Leyenda!$B$70:$D$75,3,FALSE)</f>
        <v>15</v>
      </c>
      <c r="BB87" s="67">
        <f t="shared" si="39"/>
        <v>13.5</v>
      </c>
      <c r="BC87" s="67">
        <f>VLOOKUP(AF87,Leyenda!$B$4:$E$10,4,FALSE)</f>
        <v>1</v>
      </c>
      <c r="BD87" s="67">
        <f t="shared" si="40"/>
        <v>5</v>
      </c>
      <c r="BE87" s="67">
        <f t="shared" si="41"/>
        <v>0</v>
      </c>
      <c r="BF87" s="67">
        <f>+VLOOKUP('3. Blasting'!AK87,Leyenda!$B$47:$E$51,4,FALSE)</f>
        <v>1</v>
      </c>
      <c r="BG87" s="67">
        <f>+VLOOKUP('3. Blasting'!AL87,Leyenda!$B$55:$E$59,4,FALSE)</f>
        <v>3</v>
      </c>
      <c r="BH87" s="67">
        <f>+VLOOKUP('3. Blasting'!AM87,Leyenda!$B$63:$E$67,3,FALSE)</f>
        <v>2</v>
      </c>
      <c r="BI87" s="67">
        <f>+VLOOKUP('3. Blasting'!AJ87,Leyenda!$B$39:$E$43,4,FALSE)</f>
        <v>1</v>
      </c>
      <c r="BJ87" s="67">
        <f>+VLOOKUP('3. Blasting'!AI87,Leyenda!$B$30:$E$34,4,FALSE)</f>
        <v>3</v>
      </c>
      <c r="BK87" s="67">
        <f>VLOOKUP(AN87,Leyenda!$B$71:$E$75,4,FALSE)</f>
        <v>10</v>
      </c>
      <c r="BL87" s="67">
        <f t="shared" si="42"/>
        <v>26</v>
      </c>
      <c r="BM87" s="18">
        <f t="shared" si="43"/>
        <v>30</v>
      </c>
      <c r="BN87" s="18">
        <f t="shared" si="28"/>
        <v>0.96561971600297314</v>
      </c>
      <c r="BO87" s="18"/>
      <c r="BP87" s="6">
        <f t="shared" si="44"/>
        <v>10</v>
      </c>
      <c r="BQ87" s="6">
        <f t="shared" si="45"/>
        <v>10</v>
      </c>
      <c r="BR87" s="6">
        <v>20</v>
      </c>
      <c r="BS87" s="6">
        <f t="shared" si="46"/>
        <v>15</v>
      </c>
      <c r="BT87" s="6">
        <f t="shared" si="47"/>
        <v>1.2550000000000001</v>
      </c>
      <c r="BU87" s="6">
        <f t="shared" si="48"/>
        <v>28.127500000000001</v>
      </c>
      <c r="BV87" s="18">
        <f t="shared" si="32"/>
        <v>0.11251000000000001</v>
      </c>
      <c r="BW87" s="18">
        <f t="shared" si="33"/>
        <v>0.29252600000000006</v>
      </c>
    </row>
    <row r="88" spans="1:75" hidden="1" x14ac:dyDescent="0.25">
      <c r="A88" s="18" t="s">
        <v>6</v>
      </c>
      <c r="B88" s="18">
        <v>2024</v>
      </c>
      <c r="C88" s="18" t="s">
        <v>138</v>
      </c>
      <c r="D88" s="18" t="s">
        <v>10</v>
      </c>
      <c r="E88" s="18">
        <v>10</v>
      </c>
      <c r="F88" s="18" t="s">
        <v>135</v>
      </c>
      <c r="G88" s="18" t="s">
        <v>163</v>
      </c>
      <c r="H88" s="31">
        <f t="shared" si="49"/>
        <v>46.05</v>
      </c>
      <c r="I88" s="31">
        <v>46.55</v>
      </c>
      <c r="J88" s="4">
        <f t="shared" si="34"/>
        <v>0.5</v>
      </c>
      <c r="K88" s="5">
        <v>0.8</v>
      </c>
      <c r="L88" s="31">
        <f t="shared" si="35"/>
        <v>0.4</v>
      </c>
      <c r="M88" s="31">
        <v>2.6</v>
      </c>
      <c r="N88" s="31">
        <v>25.1</v>
      </c>
      <c r="O88" s="31">
        <f t="shared" si="30"/>
        <v>0.4</v>
      </c>
      <c r="P88" s="31">
        <v>80</v>
      </c>
      <c r="Q88" s="31">
        <v>5</v>
      </c>
      <c r="R88" s="31">
        <v>0.37</v>
      </c>
      <c r="S88" s="31">
        <v>0</v>
      </c>
      <c r="T88" s="86">
        <f t="shared" si="50"/>
        <v>0</v>
      </c>
      <c r="U88" s="31">
        <v>5</v>
      </c>
      <c r="V88" s="31"/>
      <c r="W88" s="31">
        <f t="shared" si="51"/>
        <v>5</v>
      </c>
      <c r="X88" s="31">
        <f t="shared" si="29"/>
        <v>74</v>
      </c>
      <c r="Y88" s="31">
        <f t="shared" si="36"/>
        <v>7.3999999999999996E-2</v>
      </c>
      <c r="Z88" s="18">
        <v>0</v>
      </c>
      <c r="AA88" s="18" t="s">
        <v>96</v>
      </c>
      <c r="AB88" s="18" t="s">
        <v>118</v>
      </c>
      <c r="AC88" s="18" t="s">
        <v>337</v>
      </c>
      <c r="AD88" s="18">
        <v>5</v>
      </c>
      <c r="AE88" s="18">
        <v>80</v>
      </c>
      <c r="AF88" s="18" t="s">
        <v>29</v>
      </c>
      <c r="AG88" s="18" t="s">
        <v>29</v>
      </c>
      <c r="AH88" s="18" t="s">
        <v>29</v>
      </c>
      <c r="AI88" s="18" t="s">
        <v>64</v>
      </c>
      <c r="AJ88" s="18" t="s">
        <v>77</v>
      </c>
      <c r="AK88" s="18" t="s">
        <v>92</v>
      </c>
      <c r="AL88" s="18" t="s">
        <v>107</v>
      </c>
      <c r="AM88" s="18" t="s">
        <v>118</v>
      </c>
      <c r="AN88" s="18" t="s">
        <v>198</v>
      </c>
      <c r="AO88" s="18"/>
      <c r="AP88" s="18"/>
      <c r="AQ88" s="18">
        <f>+VLOOKUP(AI88,Leyenda!$B$30:$E$34,3,FALSE)</f>
        <v>2</v>
      </c>
      <c r="AR88" s="18">
        <f>+VLOOKUP('3. Blasting'!AJ88,Meteorizacion,3,FALSE)</f>
        <v>3</v>
      </c>
      <c r="AS88" s="18">
        <f>+VLOOKUP('3. Blasting'!AK88,Apertura,3,FALSE)</f>
        <v>3</v>
      </c>
      <c r="AT88" s="18">
        <f>+VLOOKUP('3. Blasting'!AL88,Leyenda!$B$55:$D$59,3,FALSE)</f>
        <v>3</v>
      </c>
      <c r="AU88" s="18">
        <f>+VLOOKUP('3. Blasting'!AM88,Relleno,3,FALSE)</f>
        <v>2</v>
      </c>
      <c r="AV88" s="18">
        <f t="shared" si="52"/>
        <v>13</v>
      </c>
      <c r="AW88" s="49">
        <f t="shared" si="37"/>
        <v>0</v>
      </c>
      <c r="AX88" s="49">
        <f>VLOOKUP(AF88,Leyenda!$B$4:$D$10,3,FALSE)</f>
        <v>2</v>
      </c>
      <c r="AY88" s="49">
        <f t="shared" si="31"/>
        <v>7</v>
      </c>
      <c r="AZ88" s="49">
        <f t="shared" si="38"/>
        <v>13</v>
      </c>
      <c r="BA88" s="49">
        <f>VLOOKUP(AN88,Leyenda!$B$70:$D$75,3,FALSE)</f>
        <v>15</v>
      </c>
      <c r="BB88" s="67">
        <f t="shared" si="39"/>
        <v>19.5</v>
      </c>
      <c r="BC88" s="67">
        <f>VLOOKUP(AF88,Leyenda!$B$4:$E$10,4,FALSE)</f>
        <v>2</v>
      </c>
      <c r="BD88" s="67">
        <f t="shared" si="40"/>
        <v>6</v>
      </c>
      <c r="BE88" s="67">
        <f t="shared" si="41"/>
        <v>0</v>
      </c>
      <c r="BF88" s="67">
        <f>+VLOOKUP('3. Blasting'!AK88,Leyenda!$B$47:$E$51,4,FALSE)</f>
        <v>3</v>
      </c>
      <c r="BG88" s="67">
        <f>+VLOOKUP('3. Blasting'!AL88,Leyenda!$B$55:$E$59,4,FALSE)</f>
        <v>3</v>
      </c>
      <c r="BH88" s="67">
        <f>+VLOOKUP('3. Blasting'!AM88,Leyenda!$B$63:$E$67,3,FALSE)</f>
        <v>2</v>
      </c>
      <c r="BI88" s="67">
        <f>+VLOOKUP('3. Blasting'!AJ88,Leyenda!$B$39:$E$43,4,FALSE)</f>
        <v>3</v>
      </c>
      <c r="BJ88" s="67">
        <f>+VLOOKUP('3. Blasting'!AI88,Leyenda!$B$30:$E$34,4,FALSE)</f>
        <v>3</v>
      </c>
      <c r="BK88" s="67">
        <f>VLOOKUP(AN88,Leyenda!$B$71:$E$75,4,FALSE)</f>
        <v>10</v>
      </c>
      <c r="BL88" s="67">
        <f t="shared" si="42"/>
        <v>32</v>
      </c>
      <c r="BM88" s="18">
        <f t="shared" si="43"/>
        <v>37</v>
      </c>
      <c r="BN88" s="18">
        <f t="shared" si="28"/>
        <v>0.96566662633921796</v>
      </c>
      <c r="BO88" s="18"/>
      <c r="BP88" s="6">
        <f t="shared" si="44"/>
        <v>20</v>
      </c>
      <c r="BQ88" s="6">
        <f t="shared" si="45"/>
        <v>10</v>
      </c>
      <c r="BR88" s="6">
        <v>20</v>
      </c>
      <c r="BS88" s="6">
        <f t="shared" si="46"/>
        <v>15</v>
      </c>
      <c r="BT88" s="6">
        <f t="shared" si="47"/>
        <v>1.2550000000000001</v>
      </c>
      <c r="BU88" s="6">
        <f t="shared" si="48"/>
        <v>33.127499999999998</v>
      </c>
      <c r="BV88" s="18">
        <f t="shared" si="32"/>
        <v>0.13250999999999999</v>
      </c>
      <c r="BW88" s="18">
        <f t="shared" si="33"/>
        <v>0.344526</v>
      </c>
    </row>
    <row r="89" spans="1:75" hidden="1" x14ac:dyDescent="0.25">
      <c r="A89" s="18" t="s">
        <v>6</v>
      </c>
      <c r="B89" s="18">
        <v>2024</v>
      </c>
      <c r="C89" s="18" t="s">
        <v>138</v>
      </c>
      <c r="D89" s="18" t="s">
        <v>10</v>
      </c>
      <c r="E89" s="18">
        <v>10</v>
      </c>
      <c r="F89" s="18" t="s">
        <v>135</v>
      </c>
      <c r="G89" s="18" t="s">
        <v>163</v>
      </c>
      <c r="H89" s="31">
        <f t="shared" si="49"/>
        <v>46.55</v>
      </c>
      <c r="I89" s="31">
        <v>47.05</v>
      </c>
      <c r="J89" s="4">
        <f t="shared" si="34"/>
        <v>0.5</v>
      </c>
      <c r="K89" s="5">
        <v>0.78</v>
      </c>
      <c r="L89" s="31">
        <f t="shared" si="35"/>
        <v>0.39</v>
      </c>
      <c r="M89" s="31">
        <v>2.6</v>
      </c>
      <c r="N89" s="31">
        <v>25.1</v>
      </c>
      <c r="O89" s="31">
        <f t="shared" si="30"/>
        <v>0.39</v>
      </c>
      <c r="P89" s="31">
        <v>78</v>
      </c>
      <c r="Q89" s="31">
        <v>5</v>
      </c>
      <c r="R89" s="31">
        <v>0.33</v>
      </c>
      <c r="S89" s="31">
        <v>0</v>
      </c>
      <c r="T89" s="86">
        <f t="shared" si="50"/>
        <v>0</v>
      </c>
      <c r="U89" s="31">
        <v>7</v>
      </c>
      <c r="V89" s="31"/>
      <c r="W89" s="31">
        <f t="shared" si="51"/>
        <v>7</v>
      </c>
      <c r="X89" s="31">
        <f t="shared" si="29"/>
        <v>47.142857142857146</v>
      </c>
      <c r="Y89" s="31">
        <f t="shared" si="36"/>
        <v>4.7142857142857146E-2</v>
      </c>
      <c r="Z89" s="18">
        <v>40</v>
      </c>
      <c r="AA89" s="18" t="s">
        <v>96</v>
      </c>
      <c r="AB89" s="18" t="s">
        <v>118</v>
      </c>
      <c r="AC89" s="18" t="s">
        <v>337</v>
      </c>
      <c r="AD89" s="18">
        <v>5</v>
      </c>
      <c r="AE89" s="18">
        <v>78</v>
      </c>
      <c r="AF89" s="18" t="s">
        <v>29</v>
      </c>
      <c r="AG89" s="18" t="s">
        <v>32</v>
      </c>
      <c r="AH89" s="18" t="s">
        <v>32</v>
      </c>
      <c r="AI89" s="18" t="s">
        <v>64</v>
      </c>
      <c r="AJ89" s="18" t="s">
        <v>79</v>
      </c>
      <c r="AK89" s="18" t="s">
        <v>92</v>
      </c>
      <c r="AL89" s="18" t="s">
        <v>109</v>
      </c>
      <c r="AM89" s="18" t="s">
        <v>118</v>
      </c>
      <c r="AN89" s="18" t="s">
        <v>198</v>
      </c>
      <c r="AO89" s="18"/>
      <c r="AP89" s="18"/>
      <c r="AQ89" s="18">
        <f>+VLOOKUP(AI89,Leyenda!$B$30:$E$34,3,FALSE)</f>
        <v>2</v>
      </c>
      <c r="AR89" s="18">
        <f>+VLOOKUP('3. Blasting'!AJ89,Meteorizacion,3,FALSE)</f>
        <v>1</v>
      </c>
      <c r="AS89" s="18">
        <f>+VLOOKUP('3. Blasting'!AK89,Apertura,3,FALSE)</f>
        <v>3</v>
      </c>
      <c r="AT89" s="18">
        <f>+VLOOKUP('3. Blasting'!AL89,Leyenda!$B$55:$D$59,3,FALSE)</f>
        <v>1</v>
      </c>
      <c r="AU89" s="18">
        <f>+VLOOKUP('3. Blasting'!AM89,Relleno,3,FALSE)</f>
        <v>2</v>
      </c>
      <c r="AV89" s="18">
        <f t="shared" si="52"/>
        <v>9</v>
      </c>
      <c r="AW89" s="49">
        <f t="shared" si="37"/>
        <v>8</v>
      </c>
      <c r="AX89" s="49">
        <f>VLOOKUP(AF89,Leyenda!$B$4:$D$10,3,FALSE)</f>
        <v>2</v>
      </c>
      <c r="AY89" s="49">
        <f t="shared" si="31"/>
        <v>7</v>
      </c>
      <c r="AZ89" s="49">
        <f t="shared" si="38"/>
        <v>9</v>
      </c>
      <c r="BA89" s="49">
        <f>VLOOKUP(AN89,Leyenda!$B$70:$D$75,3,FALSE)</f>
        <v>15</v>
      </c>
      <c r="BB89" s="67">
        <f t="shared" si="39"/>
        <v>13.5</v>
      </c>
      <c r="BC89" s="67">
        <f>VLOOKUP(AF89,Leyenda!$B$4:$E$10,4,FALSE)</f>
        <v>2</v>
      </c>
      <c r="BD89" s="67">
        <f t="shared" si="40"/>
        <v>5</v>
      </c>
      <c r="BE89" s="67">
        <f t="shared" si="41"/>
        <v>0</v>
      </c>
      <c r="BF89" s="67">
        <f>+VLOOKUP('3. Blasting'!AK89,Leyenda!$B$47:$E$51,4,FALSE)</f>
        <v>3</v>
      </c>
      <c r="BG89" s="67">
        <f>+VLOOKUP('3. Blasting'!AL89,Leyenda!$B$55:$E$59,4,FALSE)</f>
        <v>1</v>
      </c>
      <c r="BH89" s="67">
        <f>+VLOOKUP('3. Blasting'!AM89,Leyenda!$B$63:$E$67,3,FALSE)</f>
        <v>2</v>
      </c>
      <c r="BI89" s="67">
        <f>+VLOOKUP('3. Blasting'!AJ89,Leyenda!$B$39:$E$43,4,FALSE)</f>
        <v>1</v>
      </c>
      <c r="BJ89" s="67">
        <f>+VLOOKUP('3. Blasting'!AI89,Leyenda!$B$30:$E$34,4,FALSE)</f>
        <v>3</v>
      </c>
      <c r="BK89" s="67">
        <f>VLOOKUP(AN89,Leyenda!$B$71:$E$75,4,FALSE)</f>
        <v>10</v>
      </c>
      <c r="BL89" s="67">
        <f t="shared" si="42"/>
        <v>27</v>
      </c>
      <c r="BM89" s="18">
        <f t="shared" si="43"/>
        <v>41</v>
      </c>
      <c r="BN89" s="18">
        <f t="shared" si="28"/>
        <v>0.96570669721949243</v>
      </c>
      <c r="BO89" s="18"/>
      <c r="BP89" s="6">
        <f t="shared" si="44"/>
        <v>10</v>
      </c>
      <c r="BQ89" s="6">
        <f t="shared" si="45"/>
        <v>10</v>
      </c>
      <c r="BR89" s="6">
        <v>20</v>
      </c>
      <c r="BS89" s="6">
        <f t="shared" si="46"/>
        <v>15</v>
      </c>
      <c r="BT89" s="6">
        <f t="shared" si="47"/>
        <v>1.2550000000000001</v>
      </c>
      <c r="BU89" s="6">
        <f t="shared" si="48"/>
        <v>28.127500000000001</v>
      </c>
      <c r="BV89" s="18">
        <f t="shared" si="32"/>
        <v>0.11251000000000001</v>
      </c>
      <c r="BW89" s="18">
        <f t="shared" si="33"/>
        <v>0.29252600000000006</v>
      </c>
    </row>
    <row r="90" spans="1:75" hidden="1" x14ac:dyDescent="0.25">
      <c r="A90" s="18" t="s">
        <v>6</v>
      </c>
      <c r="B90" s="18">
        <v>2024</v>
      </c>
      <c r="C90" s="18" t="s">
        <v>138</v>
      </c>
      <c r="D90" s="18" t="s">
        <v>10</v>
      </c>
      <c r="E90" s="18">
        <v>10</v>
      </c>
      <c r="F90" s="18" t="s">
        <v>135</v>
      </c>
      <c r="G90" s="18" t="s">
        <v>163</v>
      </c>
      <c r="H90" s="31">
        <f t="shared" si="49"/>
        <v>47.05</v>
      </c>
      <c r="I90" s="31">
        <v>47.55</v>
      </c>
      <c r="J90" s="4">
        <f t="shared" si="34"/>
        <v>0.5</v>
      </c>
      <c r="K90" s="5">
        <v>0.9</v>
      </c>
      <c r="L90" s="31">
        <f t="shared" si="35"/>
        <v>0.45</v>
      </c>
      <c r="M90" s="31">
        <v>2.6</v>
      </c>
      <c r="N90" s="31">
        <v>25.1</v>
      </c>
      <c r="O90" s="31">
        <f t="shared" si="30"/>
        <v>0.45</v>
      </c>
      <c r="P90" s="31">
        <v>30</v>
      </c>
      <c r="Q90" s="31">
        <v>15</v>
      </c>
      <c r="R90" s="31">
        <v>0.45</v>
      </c>
      <c r="S90" s="31">
        <v>0.18</v>
      </c>
      <c r="T90" s="86">
        <f t="shared" si="50"/>
        <v>36</v>
      </c>
      <c r="U90" s="31">
        <v>3</v>
      </c>
      <c r="V90" s="31"/>
      <c r="W90" s="31">
        <f t="shared" si="51"/>
        <v>3</v>
      </c>
      <c r="X90" s="31">
        <f t="shared" si="29"/>
        <v>150</v>
      </c>
      <c r="Y90" s="31">
        <f t="shared" si="36"/>
        <v>0.15</v>
      </c>
      <c r="Z90" s="18">
        <v>0</v>
      </c>
      <c r="AA90" s="18" t="s">
        <v>100</v>
      </c>
      <c r="AB90" s="18" t="s">
        <v>122</v>
      </c>
      <c r="AC90" s="18" t="s">
        <v>337</v>
      </c>
      <c r="AD90" s="18">
        <v>15</v>
      </c>
      <c r="AE90" s="18">
        <v>30</v>
      </c>
      <c r="AF90" s="18" t="s">
        <v>29</v>
      </c>
      <c r="AG90" s="18" t="s">
        <v>29</v>
      </c>
      <c r="AH90" s="18" t="s">
        <v>29</v>
      </c>
      <c r="AI90" s="18" t="s">
        <v>64</v>
      </c>
      <c r="AJ90" s="18" t="s">
        <v>77</v>
      </c>
      <c r="AK90" s="18" t="s">
        <v>92</v>
      </c>
      <c r="AL90" s="18" t="s">
        <v>107</v>
      </c>
      <c r="AM90" s="18" t="s">
        <v>116</v>
      </c>
      <c r="AN90" s="18" t="s">
        <v>198</v>
      </c>
      <c r="AO90" s="18"/>
      <c r="AP90" s="18"/>
      <c r="AQ90" s="18">
        <f>+VLOOKUP(AI90,Leyenda!$B$30:$E$34,3,FALSE)</f>
        <v>2</v>
      </c>
      <c r="AR90" s="18">
        <f>+VLOOKUP('3. Blasting'!AJ90,Meteorizacion,3,FALSE)</f>
        <v>3</v>
      </c>
      <c r="AS90" s="18">
        <f>+VLOOKUP('3. Blasting'!AK90,Apertura,3,FALSE)</f>
        <v>3</v>
      </c>
      <c r="AT90" s="18">
        <f>+VLOOKUP('3. Blasting'!AL90,Leyenda!$B$55:$D$59,3,FALSE)</f>
        <v>3</v>
      </c>
      <c r="AU90" s="18">
        <f>+VLOOKUP('3. Blasting'!AM90,Relleno,3,FALSE)</f>
        <v>4</v>
      </c>
      <c r="AV90" s="18">
        <f t="shared" si="52"/>
        <v>15</v>
      </c>
      <c r="AW90" s="49">
        <f t="shared" si="37"/>
        <v>0</v>
      </c>
      <c r="AX90" s="49">
        <f>VLOOKUP(AF90,Leyenda!$B$4:$D$10,3,FALSE)</f>
        <v>2</v>
      </c>
      <c r="AY90" s="49">
        <f t="shared" si="31"/>
        <v>5</v>
      </c>
      <c r="AZ90" s="49">
        <f t="shared" si="38"/>
        <v>15</v>
      </c>
      <c r="BA90" s="49">
        <f>VLOOKUP(AN90,Leyenda!$B$70:$D$75,3,FALSE)</f>
        <v>15</v>
      </c>
      <c r="BB90" s="67">
        <f t="shared" si="39"/>
        <v>40.5</v>
      </c>
      <c r="BC90" s="67">
        <f>VLOOKUP(AF90,Leyenda!$B$4:$E$10,4,FALSE)</f>
        <v>2</v>
      </c>
      <c r="BD90" s="67">
        <f t="shared" si="40"/>
        <v>11</v>
      </c>
      <c r="BE90" s="67">
        <f t="shared" si="41"/>
        <v>8</v>
      </c>
      <c r="BF90" s="67">
        <f>+VLOOKUP('3. Blasting'!AK90,Leyenda!$B$47:$E$51,4,FALSE)</f>
        <v>3</v>
      </c>
      <c r="BG90" s="67">
        <f>+VLOOKUP('3. Blasting'!AL90,Leyenda!$B$55:$E$59,4,FALSE)</f>
        <v>3</v>
      </c>
      <c r="BH90" s="67">
        <f>+VLOOKUP('3. Blasting'!AM90,Leyenda!$B$63:$E$67,3,FALSE)</f>
        <v>4</v>
      </c>
      <c r="BI90" s="67">
        <f>+VLOOKUP('3. Blasting'!AJ90,Leyenda!$B$39:$E$43,4,FALSE)</f>
        <v>3</v>
      </c>
      <c r="BJ90" s="67">
        <f>+VLOOKUP('3. Blasting'!AI90,Leyenda!$B$30:$E$34,4,FALSE)</f>
        <v>3</v>
      </c>
      <c r="BK90" s="67">
        <f>VLOOKUP(AN90,Leyenda!$B$71:$E$75,4,FALSE)</f>
        <v>10</v>
      </c>
      <c r="BL90" s="67">
        <f t="shared" si="42"/>
        <v>47</v>
      </c>
      <c r="BM90" s="18">
        <f t="shared" si="43"/>
        <v>37</v>
      </c>
      <c r="BN90" s="18">
        <f t="shared" si="28"/>
        <v>0.96530449112827676</v>
      </c>
      <c r="BO90" s="18"/>
      <c r="BP90" s="6">
        <f t="shared" si="44"/>
        <v>30</v>
      </c>
      <c r="BQ90" s="6">
        <f t="shared" si="45"/>
        <v>20</v>
      </c>
      <c r="BR90" s="6">
        <v>20</v>
      </c>
      <c r="BS90" s="6">
        <f t="shared" si="46"/>
        <v>15</v>
      </c>
      <c r="BT90" s="6">
        <f t="shared" si="47"/>
        <v>1.2550000000000001</v>
      </c>
      <c r="BU90" s="6">
        <f t="shared" si="48"/>
        <v>43.127499999999998</v>
      </c>
      <c r="BV90" s="18">
        <f t="shared" si="32"/>
        <v>0.17251</v>
      </c>
      <c r="BW90" s="18">
        <f t="shared" si="33"/>
        <v>0.44852599999999998</v>
      </c>
    </row>
    <row r="91" spans="1:75" hidden="1" x14ac:dyDescent="0.25">
      <c r="A91" s="18" t="s">
        <v>6</v>
      </c>
      <c r="B91" s="18">
        <v>2024</v>
      </c>
      <c r="C91" s="18" t="s">
        <v>138</v>
      </c>
      <c r="D91" s="18" t="s">
        <v>10</v>
      </c>
      <c r="E91" s="18">
        <v>10</v>
      </c>
      <c r="F91" s="18" t="s">
        <v>135</v>
      </c>
      <c r="G91" s="18" t="s">
        <v>163</v>
      </c>
      <c r="H91" s="31">
        <f t="shared" si="49"/>
        <v>47.55</v>
      </c>
      <c r="I91" s="31">
        <v>48.05</v>
      </c>
      <c r="J91" s="4">
        <f t="shared" si="34"/>
        <v>0.5</v>
      </c>
      <c r="K91" s="5">
        <v>0.86</v>
      </c>
      <c r="L91" s="31">
        <f t="shared" si="35"/>
        <v>0.43</v>
      </c>
      <c r="M91" s="31">
        <v>2.6</v>
      </c>
      <c r="N91" s="31">
        <v>25.1</v>
      </c>
      <c r="O91" s="31">
        <f t="shared" si="30"/>
        <v>0.43</v>
      </c>
      <c r="P91" s="31">
        <v>21.5</v>
      </c>
      <c r="Q91" s="31">
        <v>20</v>
      </c>
      <c r="R91" s="31">
        <v>0.39</v>
      </c>
      <c r="S91" s="31">
        <v>0.14000000000000001</v>
      </c>
      <c r="T91" s="86">
        <f t="shared" si="50"/>
        <v>28.000000000000004</v>
      </c>
      <c r="U91" s="31">
        <v>6</v>
      </c>
      <c r="V91" s="31"/>
      <c r="W91" s="31">
        <f t="shared" si="51"/>
        <v>6</v>
      </c>
      <c r="X91" s="31">
        <f t="shared" si="29"/>
        <v>65</v>
      </c>
      <c r="Y91" s="31">
        <f t="shared" si="36"/>
        <v>6.5000000000000002E-2</v>
      </c>
      <c r="Z91" s="18">
        <v>0</v>
      </c>
      <c r="AA91" s="18" t="s">
        <v>100</v>
      </c>
      <c r="AB91" s="18" t="s">
        <v>333</v>
      </c>
      <c r="AC91" s="18" t="s">
        <v>336</v>
      </c>
      <c r="AD91" s="18">
        <v>20</v>
      </c>
      <c r="AE91" s="18">
        <v>21.5</v>
      </c>
      <c r="AF91" s="18" t="s">
        <v>32</v>
      </c>
      <c r="AG91" s="18" t="s">
        <v>32</v>
      </c>
      <c r="AH91" s="18" t="s">
        <v>32</v>
      </c>
      <c r="AI91" s="18" t="s">
        <v>66</v>
      </c>
      <c r="AJ91" s="18" t="s">
        <v>79</v>
      </c>
      <c r="AK91" s="18" t="s">
        <v>92</v>
      </c>
      <c r="AL91" s="18" t="s">
        <v>107</v>
      </c>
      <c r="AM91" s="18" t="s">
        <v>120</v>
      </c>
      <c r="AN91" s="18" t="s">
        <v>198</v>
      </c>
      <c r="AO91" s="18" t="s">
        <v>221</v>
      </c>
      <c r="AP91" s="18"/>
      <c r="AQ91" s="18">
        <f>+VLOOKUP(AI91,Leyenda!$B$30:$E$34,3,FALSE)</f>
        <v>1</v>
      </c>
      <c r="AR91" s="18">
        <f>+VLOOKUP('3. Blasting'!AJ91,Meteorizacion,3,FALSE)</f>
        <v>1</v>
      </c>
      <c r="AS91" s="18">
        <f>+VLOOKUP('3. Blasting'!AK91,Apertura,3,FALSE)</f>
        <v>3</v>
      </c>
      <c r="AT91" s="18">
        <f>+VLOOKUP('3. Blasting'!AL91,Leyenda!$B$55:$D$59,3,FALSE)</f>
        <v>3</v>
      </c>
      <c r="AU91" s="18">
        <f>+VLOOKUP('3. Blasting'!AM91,Relleno,3,FALSE)</f>
        <v>2</v>
      </c>
      <c r="AV91" s="18">
        <f t="shared" si="52"/>
        <v>10</v>
      </c>
      <c r="AW91" s="49">
        <f t="shared" si="37"/>
        <v>0</v>
      </c>
      <c r="AX91" s="49">
        <f>VLOOKUP(AF91,Leyenda!$B$4:$D$10,3,FALSE)</f>
        <v>1</v>
      </c>
      <c r="AY91" s="49">
        <f t="shared" si="31"/>
        <v>4</v>
      </c>
      <c r="AZ91" s="49">
        <f t="shared" si="38"/>
        <v>10</v>
      </c>
      <c r="BA91" s="49">
        <f>VLOOKUP(AN91,Leyenda!$B$70:$D$75,3,FALSE)</f>
        <v>15</v>
      </c>
      <c r="BB91" s="67">
        <f t="shared" si="39"/>
        <v>29</v>
      </c>
      <c r="BC91" s="67">
        <f>VLOOKUP(AF91,Leyenda!$B$4:$E$10,4,FALSE)</f>
        <v>1</v>
      </c>
      <c r="BD91" s="67">
        <f t="shared" si="40"/>
        <v>6</v>
      </c>
      <c r="BE91" s="67">
        <f t="shared" si="41"/>
        <v>6</v>
      </c>
      <c r="BF91" s="67">
        <f>+VLOOKUP('3. Blasting'!AK91,Leyenda!$B$47:$E$51,4,FALSE)</f>
        <v>3</v>
      </c>
      <c r="BG91" s="67">
        <f>+VLOOKUP('3. Blasting'!AL91,Leyenda!$B$55:$E$59,4,FALSE)</f>
        <v>3</v>
      </c>
      <c r="BH91" s="67">
        <f>+VLOOKUP('3. Blasting'!AM91,Leyenda!$B$63:$E$67,3,FALSE)</f>
        <v>2</v>
      </c>
      <c r="BI91" s="67">
        <f>+VLOOKUP('3. Blasting'!AJ91,Leyenda!$B$39:$E$43,4,FALSE)</f>
        <v>1</v>
      </c>
      <c r="BJ91" s="67">
        <f>+VLOOKUP('3. Blasting'!AI91,Leyenda!$B$30:$E$34,4,FALSE)</f>
        <v>1</v>
      </c>
      <c r="BK91" s="67">
        <f>VLOOKUP(AN91,Leyenda!$B$71:$E$75,4,FALSE)</f>
        <v>10</v>
      </c>
      <c r="BL91" s="67">
        <f t="shared" si="42"/>
        <v>33</v>
      </c>
      <c r="BM91" s="18">
        <f t="shared" si="43"/>
        <v>30</v>
      </c>
      <c r="BN91" s="18">
        <f t="shared" si="28"/>
        <v>0.96504909421982532</v>
      </c>
      <c r="BO91" s="18"/>
      <c r="BP91" s="6">
        <f t="shared" si="44"/>
        <v>20</v>
      </c>
      <c r="BQ91" s="6">
        <f t="shared" si="45"/>
        <v>10</v>
      </c>
      <c r="BR91" s="6">
        <v>20</v>
      </c>
      <c r="BS91" s="6">
        <f t="shared" si="46"/>
        <v>15</v>
      </c>
      <c r="BT91" s="6">
        <f t="shared" si="47"/>
        <v>1.2550000000000001</v>
      </c>
      <c r="BU91" s="6">
        <f t="shared" si="48"/>
        <v>33.127499999999998</v>
      </c>
      <c r="BV91" s="18">
        <f t="shared" si="32"/>
        <v>0.13250999999999999</v>
      </c>
      <c r="BW91" s="18">
        <f t="shared" si="33"/>
        <v>0.344526</v>
      </c>
    </row>
    <row r="92" spans="1:75" hidden="1" x14ac:dyDescent="0.25">
      <c r="A92" s="18" t="s">
        <v>6</v>
      </c>
      <c r="B92" s="18">
        <v>2024</v>
      </c>
      <c r="C92" s="18" t="s">
        <v>138</v>
      </c>
      <c r="D92" s="18" t="s">
        <v>10</v>
      </c>
      <c r="E92" s="18">
        <v>10</v>
      </c>
      <c r="F92" s="18" t="s">
        <v>135</v>
      </c>
      <c r="G92" s="18" t="s">
        <v>163</v>
      </c>
      <c r="H92" s="31">
        <f t="shared" si="49"/>
        <v>48.05</v>
      </c>
      <c r="I92" s="31">
        <v>48.55</v>
      </c>
      <c r="J92" s="4">
        <f t="shared" si="34"/>
        <v>0.5</v>
      </c>
      <c r="K92" s="5">
        <v>0.96</v>
      </c>
      <c r="L92" s="31">
        <f t="shared" si="35"/>
        <v>0.48</v>
      </c>
      <c r="M92" s="31">
        <v>2.6</v>
      </c>
      <c r="N92" s="31">
        <v>25.1</v>
      </c>
      <c r="O92" s="31">
        <f t="shared" si="30"/>
        <v>0.48</v>
      </c>
      <c r="P92" s="31">
        <v>24</v>
      </c>
      <c r="Q92" s="31">
        <v>20</v>
      </c>
      <c r="R92" s="31">
        <v>0.42</v>
      </c>
      <c r="S92" s="31">
        <v>0.12</v>
      </c>
      <c r="T92" s="86">
        <f t="shared" si="50"/>
        <v>24</v>
      </c>
      <c r="U92" s="31">
        <v>6</v>
      </c>
      <c r="V92" s="31"/>
      <c r="W92" s="31">
        <f t="shared" si="51"/>
        <v>6</v>
      </c>
      <c r="X92" s="31">
        <f t="shared" si="29"/>
        <v>70</v>
      </c>
      <c r="Y92" s="31">
        <f t="shared" si="36"/>
        <v>7.0000000000000007E-2</v>
      </c>
      <c r="Z92" s="18">
        <v>0</v>
      </c>
      <c r="AA92" s="18" t="s">
        <v>100</v>
      </c>
      <c r="AB92" s="18" t="s">
        <v>333</v>
      </c>
      <c r="AC92" s="18" t="s">
        <v>336</v>
      </c>
      <c r="AD92" s="18">
        <v>20</v>
      </c>
      <c r="AE92" s="18">
        <v>24</v>
      </c>
      <c r="AF92" s="18" t="s">
        <v>32</v>
      </c>
      <c r="AG92" s="18" t="s">
        <v>32</v>
      </c>
      <c r="AH92" s="18" t="s">
        <v>32</v>
      </c>
      <c r="AI92" s="18" t="s">
        <v>66</v>
      </c>
      <c r="AJ92" s="18" t="s">
        <v>79</v>
      </c>
      <c r="AK92" s="18" t="s">
        <v>92</v>
      </c>
      <c r="AL92" s="18" t="s">
        <v>107</v>
      </c>
      <c r="AM92" s="18" t="s">
        <v>118</v>
      </c>
      <c r="AN92" s="18" t="s">
        <v>198</v>
      </c>
      <c r="AO92" s="18" t="s">
        <v>221</v>
      </c>
      <c r="AP92" s="18"/>
      <c r="AQ92" s="18">
        <f>+VLOOKUP(AI92,Leyenda!$B$30:$E$34,3,FALSE)</f>
        <v>1</v>
      </c>
      <c r="AR92" s="18">
        <f>+VLOOKUP('3. Blasting'!AJ92,Meteorizacion,3,FALSE)</f>
        <v>1</v>
      </c>
      <c r="AS92" s="18">
        <f>+VLOOKUP('3. Blasting'!AK92,Apertura,3,FALSE)</f>
        <v>3</v>
      </c>
      <c r="AT92" s="18">
        <f>+VLOOKUP('3. Blasting'!AL92,Leyenda!$B$55:$D$59,3,FALSE)</f>
        <v>3</v>
      </c>
      <c r="AU92" s="18">
        <f>+VLOOKUP('3. Blasting'!AM92,Relleno,3,FALSE)</f>
        <v>2</v>
      </c>
      <c r="AV92" s="18">
        <f t="shared" si="52"/>
        <v>10</v>
      </c>
      <c r="AW92" s="49">
        <f t="shared" si="37"/>
        <v>0</v>
      </c>
      <c r="AX92" s="49">
        <f>VLOOKUP(AF92,Leyenda!$B$4:$D$10,3,FALSE)</f>
        <v>1</v>
      </c>
      <c r="AY92" s="49">
        <f t="shared" si="31"/>
        <v>4</v>
      </c>
      <c r="AZ92" s="49">
        <f t="shared" si="38"/>
        <v>10</v>
      </c>
      <c r="BA92" s="49">
        <f>VLOOKUP(AN92,Leyenda!$B$70:$D$75,3,FALSE)</f>
        <v>15</v>
      </c>
      <c r="BB92" s="67">
        <f t="shared" si="39"/>
        <v>27</v>
      </c>
      <c r="BC92" s="67">
        <f>VLOOKUP(AF92,Leyenda!$B$4:$E$10,4,FALSE)</f>
        <v>1</v>
      </c>
      <c r="BD92" s="67">
        <f t="shared" si="40"/>
        <v>6</v>
      </c>
      <c r="BE92" s="67">
        <f t="shared" si="41"/>
        <v>5</v>
      </c>
      <c r="BF92" s="67">
        <f>+VLOOKUP('3. Blasting'!AK92,Leyenda!$B$47:$E$51,4,FALSE)</f>
        <v>3</v>
      </c>
      <c r="BG92" s="67">
        <f>+VLOOKUP('3. Blasting'!AL92,Leyenda!$B$55:$E$59,4,FALSE)</f>
        <v>3</v>
      </c>
      <c r="BH92" s="67">
        <f>+VLOOKUP('3. Blasting'!AM92,Leyenda!$B$63:$E$67,3,FALSE)</f>
        <v>2</v>
      </c>
      <c r="BI92" s="67">
        <f>+VLOOKUP('3. Blasting'!AJ92,Leyenda!$B$39:$E$43,4,FALSE)</f>
        <v>1</v>
      </c>
      <c r="BJ92" s="67">
        <f>+VLOOKUP('3. Blasting'!AI92,Leyenda!$B$30:$E$34,4,FALSE)</f>
        <v>1</v>
      </c>
      <c r="BK92" s="67">
        <f>VLOOKUP(AN92,Leyenda!$B$71:$E$75,4,FALSE)</f>
        <v>10</v>
      </c>
      <c r="BL92" s="67">
        <f t="shared" si="42"/>
        <v>32</v>
      </c>
      <c r="BM92" s="18">
        <f t="shared" si="43"/>
        <v>30</v>
      </c>
      <c r="BN92" s="18">
        <f t="shared" ref="BN92:BN122" si="53">+CORREL(BB92:BB441,BL92:BL441)</f>
        <v>0.96515387424236609</v>
      </c>
      <c r="BO92" s="18"/>
      <c r="BP92" s="6">
        <f t="shared" si="44"/>
        <v>20</v>
      </c>
      <c r="BQ92" s="6">
        <f t="shared" si="45"/>
        <v>10</v>
      </c>
      <c r="BR92" s="6">
        <v>20</v>
      </c>
      <c r="BS92" s="6">
        <f t="shared" si="46"/>
        <v>15</v>
      </c>
      <c r="BT92" s="6">
        <f t="shared" si="47"/>
        <v>1.2550000000000001</v>
      </c>
      <c r="BU92" s="6">
        <f t="shared" si="48"/>
        <v>33.127499999999998</v>
      </c>
      <c r="BV92" s="18">
        <f t="shared" si="32"/>
        <v>0.13250999999999999</v>
      </c>
      <c r="BW92" s="18">
        <f t="shared" si="33"/>
        <v>0.344526</v>
      </c>
    </row>
    <row r="93" spans="1:75" hidden="1" x14ac:dyDescent="0.25">
      <c r="A93" s="18" t="s">
        <v>6</v>
      </c>
      <c r="B93" s="18">
        <v>2024</v>
      </c>
      <c r="C93" s="18" t="s">
        <v>138</v>
      </c>
      <c r="D93" s="18" t="s">
        <v>10</v>
      </c>
      <c r="E93" s="18">
        <v>10</v>
      </c>
      <c r="F93" s="18" t="s">
        <v>135</v>
      </c>
      <c r="G93" s="18" t="s">
        <v>163</v>
      </c>
      <c r="H93" s="31">
        <f t="shared" si="49"/>
        <v>48.55</v>
      </c>
      <c r="I93" s="31">
        <v>49.05</v>
      </c>
      <c r="J93" s="4">
        <f t="shared" si="34"/>
        <v>0.5</v>
      </c>
      <c r="K93" s="5">
        <v>0.9</v>
      </c>
      <c r="L93" s="31">
        <f t="shared" si="35"/>
        <v>0.45</v>
      </c>
      <c r="M93" s="31">
        <v>2.6</v>
      </c>
      <c r="N93" s="31">
        <v>25.1</v>
      </c>
      <c r="O93" s="31">
        <f t="shared" si="30"/>
        <v>0.45</v>
      </c>
      <c r="P93" s="31">
        <v>22.5</v>
      </c>
      <c r="Q93" s="31">
        <v>20</v>
      </c>
      <c r="R93" s="31">
        <v>0.4</v>
      </c>
      <c r="S93" s="31">
        <v>0</v>
      </c>
      <c r="T93" s="86">
        <f t="shared" si="50"/>
        <v>0</v>
      </c>
      <c r="U93" s="31">
        <v>14</v>
      </c>
      <c r="V93" s="31"/>
      <c r="W93" s="31">
        <f t="shared" si="51"/>
        <v>14</v>
      </c>
      <c r="X93" s="31">
        <f t="shared" si="29"/>
        <v>28.571428571428573</v>
      </c>
      <c r="Y93" s="31">
        <f t="shared" si="36"/>
        <v>2.8571428571428574E-2</v>
      </c>
      <c r="Z93" s="18">
        <v>0</v>
      </c>
      <c r="AA93" s="18" t="s">
        <v>100</v>
      </c>
      <c r="AB93" s="18" t="s">
        <v>333</v>
      </c>
      <c r="AC93" s="18" t="s">
        <v>336</v>
      </c>
      <c r="AD93" s="18">
        <v>20</v>
      </c>
      <c r="AE93" s="18">
        <v>22.5</v>
      </c>
      <c r="AF93" s="18" t="s">
        <v>32</v>
      </c>
      <c r="AG93" s="18" t="s">
        <v>32</v>
      </c>
      <c r="AH93" s="18" t="s">
        <v>32</v>
      </c>
      <c r="AI93" s="18" t="s">
        <v>66</v>
      </c>
      <c r="AJ93" s="18" t="s">
        <v>81</v>
      </c>
      <c r="AK93" s="18" t="s">
        <v>92</v>
      </c>
      <c r="AL93" s="18" t="s">
        <v>107</v>
      </c>
      <c r="AM93" s="18" t="s">
        <v>118</v>
      </c>
      <c r="AN93" s="18" t="s">
        <v>198</v>
      </c>
      <c r="AO93" s="18" t="s">
        <v>222</v>
      </c>
      <c r="AP93" s="18"/>
      <c r="AQ93" s="18">
        <f>+VLOOKUP(AI93,Leyenda!$B$30:$E$34,3,FALSE)</f>
        <v>1</v>
      </c>
      <c r="AR93" s="18">
        <f>+VLOOKUP('3. Blasting'!AJ93,Meteorizacion,3,FALSE)</f>
        <v>0</v>
      </c>
      <c r="AS93" s="18">
        <f>+VLOOKUP('3. Blasting'!AK93,Apertura,3,FALSE)</f>
        <v>3</v>
      </c>
      <c r="AT93" s="18">
        <f>+VLOOKUP('3. Blasting'!AL93,Leyenda!$B$55:$D$59,3,FALSE)</f>
        <v>3</v>
      </c>
      <c r="AU93" s="18">
        <f>+VLOOKUP('3. Blasting'!AM93,Relleno,3,FALSE)</f>
        <v>2</v>
      </c>
      <c r="AV93" s="18">
        <f t="shared" si="52"/>
        <v>9</v>
      </c>
      <c r="AW93" s="49">
        <f t="shared" si="37"/>
        <v>0</v>
      </c>
      <c r="AX93" s="49">
        <f>VLOOKUP(AF93,Leyenda!$B$4:$D$10,3,FALSE)</f>
        <v>1</v>
      </c>
      <c r="AY93" s="49">
        <f t="shared" si="31"/>
        <v>4</v>
      </c>
      <c r="AZ93" s="49">
        <f t="shared" si="38"/>
        <v>9</v>
      </c>
      <c r="BA93" s="49">
        <f>VLOOKUP(AN93,Leyenda!$B$70:$D$75,3,FALSE)</f>
        <v>15</v>
      </c>
      <c r="BB93" s="67">
        <f t="shared" si="39"/>
        <v>13.5</v>
      </c>
      <c r="BC93" s="67">
        <f>VLOOKUP(AF93,Leyenda!$B$4:$E$10,4,FALSE)</f>
        <v>1</v>
      </c>
      <c r="BD93" s="67">
        <f t="shared" si="40"/>
        <v>5</v>
      </c>
      <c r="BE93" s="67">
        <f t="shared" si="41"/>
        <v>0</v>
      </c>
      <c r="BF93" s="67">
        <f>+VLOOKUP('3. Blasting'!AK93,Leyenda!$B$47:$E$51,4,FALSE)</f>
        <v>3</v>
      </c>
      <c r="BG93" s="67">
        <f>+VLOOKUP('3. Blasting'!AL93,Leyenda!$B$55:$E$59,4,FALSE)</f>
        <v>3</v>
      </c>
      <c r="BH93" s="67">
        <f>+VLOOKUP('3. Blasting'!AM93,Leyenda!$B$63:$E$67,3,FALSE)</f>
        <v>2</v>
      </c>
      <c r="BI93" s="67">
        <f>+VLOOKUP('3. Blasting'!AJ93,Leyenda!$B$39:$E$43,4,FALSE)</f>
        <v>0</v>
      </c>
      <c r="BJ93" s="67">
        <f>+VLOOKUP('3. Blasting'!AI93,Leyenda!$B$30:$E$34,4,FALSE)</f>
        <v>1</v>
      </c>
      <c r="BK93" s="67">
        <f>VLOOKUP(AN93,Leyenda!$B$71:$E$75,4,FALSE)</f>
        <v>10</v>
      </c>
      <c r="BL93" s="67">
        <f t="shared" si="42"/>
        <v>25</v>
      </c>
      <c r="BM93" s="18">
        <f t="shared" si="43"/>
        <v>29</v>
      </c>
      <c r="BN93" s="18">
        <f t="shared" si="53"/>
        <v>0.96514339192968968</v>
      </c>
      <c r="BO93" s="18"/>
      <c r="BP93" s="6">
        <f t="shared" si="44"/>
        <v>10</v>
      </c>
      <c r="BQ93" s="6">
        <f t="shared" si="45"/>
        <v>10</v>
      </c>
      <c r="BR93" s="6">
        <v>20</v>
      </c>
      <c r="BS93" s="6">
        <f t="shared" si="46"/>
        <v>15</v>
      </c>
      <c r="BT93" s="6">
        <f t="shared" si="47"/>
        <v>1.2550000000000001</v>
      </c>
      <c r="BU93" s="6">
        <f t="shared" si="48"/>
        <v>28.127500000000001</v>
      </c>
      <c r="BV93" s="18">
        <f t="shared" si="32"/>
        <v>0.11251000000000001</v>
      </c>
      <c r="BW93" s="18">
        <f t="shared" si="33"/>
        <v>0.29252600000000006</v>
      </c>
    </row>
    <row r="94" spans="1:75" hidden="1" x14ac:dyDescent="0.25">
      <c r="A94" s="18" t="s">
        <v>6</v>
      </c>
      <c r="B94" s="18">
        <v>2024</v>
      </c>
      <c r="C94" s="18" t="s">
        <v>138</v>
      </c>
      <c r="D94" s="18" t="s">
        <v>10</v>
      </c>
      <c r="E94" s="18">
        <v>10</v>
      </c>
      <c r="F94" s="18" t="s">
        <v>135</v>
      </c>
      <c r="G94" s="18" t="s">
        <v>163</v>
      </c>
      <c r="H94" s="31">
        <f t="shared" si="49"/>
        <v>49.05</v>
      </c>
      <c r="I94" s="31">
        <v>49.6</v>
      </c>
      <c r="J94" s="4">
        <f t="shared" si="34"/>
        <v>0.55000000000000426</v>
      </c>
      <c r="K94" s="5">
        <v>1</v>
      </c>
      <c r="L94" s="31">
        <f t="shared" si="35"/>
        <v>0.55000000000000426</v>
      </c>
      <c r="M94" s="31">
        <v>2.6</v>
      </c>
      <c r="N94" s="31">
        <v>25.1</v>
      </c>
      <c r="O94" s="31">
        <f t="shared" si="30"/>
        <v>0.55000000000000426</v>
      </c>
      <c r="P94" s="31">
        <v>27.500000000000217</v>
      </c>
      <c r="Q94" s="31">
        <v>20</v>
      </c>
      <c r="R94" s="31">
        <v>0.43</v>
      </c>
      <c r="S94" s="31">
        <v>0.19</v>
      </c>
      <c r="T94" s="86">
        <f t="shared" si="50"/>
        <v>34.545454545454277</v>
      </c>
      <c r="U94" s="31">
        <v>6</v>
      </c>
      <c r="V94" s="31"/>
      <c r="W94" s="31">
        <f t="shared" si="51"/>
        <v>6</v>
      </c>
      <c r="X94" s="31">
        <f t="shared" si="29"/>
        <v>71.666666666666671</v>
      </c>
      <c r="Y94" s="31">
        <f t="shared" si="36"/>
        <v>7.166666666666667E-2</v>
      </c>
      <c r="Z94" s="18">
        <v>0</v>
      </c>
      <c r="AA94" s="18" t="s">
        <v>100</v>
      </c>
      <c r="AB94" s="18" t="s">
        <v>333</v>
      </c>
      <c r="AC94" s="18" t="s">
        <v>336</v>
      </c>
      <c r="AD94" s="18">
        <v>20</v>
      </c>
      <c r="AE94" s="18">
        <v>27.500000000000217</v>
      </c>
      <c r="AF94" s="18" t="s">
        <v>32</v>
      </c>
      <c r="AG94" s="18" t="s">
        <v>34</v>
      </c>
      <c r="AH94" s="18" t="s">
        <v>34</v>
      </c>
      <c r="AI94" s="18" t="s">
        <v>66</v>
      </c>
      <c r="AJ94" s="18" t="s">
        <v>81</v>
      </c>
      <c r="AK94" s="18" t="s">
        <v>96</v>
      </c>
      <c r="AL94" s="18" t="s">
        <v>107</v>
      </c>
      <c r="AM94" s="18" t="s">
        <v>118</v>
      </c>
      <c r="AN94" s="18" t="s">
        <v>198</v>
      </c>
      <c r="AO94" s="18"/>
      <c r="AP94" s="18"/>
      <c r="AQ94" s="18">
        <f>+VLOOKUP(AI94,Leyenda!$B$30:$E$34,3,FALSE)</f>
        <v>1</v>
      </c>
      <c r="AR94" s="18">
        <f>+VLOOKUP('3. Blasting'!AJ94,Meteorizacion,3,FALSE)</f>
        <v>0</v>
      </c>
      <c r="AS94" s="18">
        <f>+VLOOKUP('3. Blasting'!AK94,Apertura,3,FALSE)</f>
        <v>1</v>
      </c>
      <c r="AT94" s="18">
        <f>+VLOOKUP('3. Blasting'!AL94,Leyenda!$B$55:$D$59,3,FALSE)</f>
        <v>3</v>
      </c>
      <c r="AU94" s="18">
        <f>+VLOOKUP('3. Blasting'!AM94,Relleno,3,FALSE)</f>
        <v>2</v>
      </c>
      <c r="AV94" s="18">
        <f t="shared" si="52"/>
        <v>7</v>
      </c>
      <c r="AW94" s="49">
        <f t="shared" si="37"/>
        <v>0</v>
      </c>
      <c r="AX94" s="49">
        <f>VLOOKUP(AF94,Leyenda!$B$4:$D$10,3,FALSE)</f>
        <v>1</v>
      </c>
      <c r="AY94" s="49">
        <f t="shared" si="31"/>
        <v>5</v>
      </c>
      <c r="AZ94" s="49">
        <f t="shared" si="38"/>
        <v>7</v>
      </c>
      <c r="BA94" s="49">
        <f>VLOOKUP(AN94,Leyenda!$B$70:$D$75,3,FALSE)</f>
        <v>15</v>
      </c>
      <c r="BB94" s="67">
        <f t="shared" si="39"/>
        <v>27.772727272727138</v>
      </c>
      <c r="BC94" s="67">
        <f>VLOOKUP(AF94,Leyenda!$B$4:$E$10,4,FALSE)</f>
        <v>1</v>
      </c>
      <c r="BD94" s="67">
        <f t="shared" si="40"/>
        <v>6</v>
      </c>
      <c r="BE94" s="67">
        <f t="shared" si="41"/>
        <v>7</v>
      </c>
      <c r="BF94" s="67">
        <f>+VLOOKUP('3. Blasting'!AK94,Leyenda!$B$47:$E$51,4,FALSE)</f>
        <v>1</v>
      </c>
      <c r="BG94" s="67">
        <f>+VLOOKUP('3. Blasting'!AL94,Leyenda!$B$55:$E$59,4,FALSE)</f>
        <v>3</v>
      </c>
      <c r="BH94" s="67">
        <f>+VLOOKUP('3. Blasting'!AM94,Leyenda!$B$63:$E$67,3,FALSE)</f>
        <v>2</v>
      </c>
      <c r="BI94" s="67">
        <f>+VLOOKUP('3. Blasting'!AJ94,Leyenda!$B$39:$E$43,4,FALSE)</f>
        <v>0</v>
      </c>
      <c r="BJ94" s="67">
        <f>+VLOOKUP('3. Blasting'!AI94,Leyenda!$B$30:$E$34,4,FALSE)</f>
        <v>1</v>
      </c>
      <c r="BK94" s="67">
        <f>VLOOKUP(AN94,Leyenda!$B$71:$E$75,4,FALSE)</f>
        <v>10</v>
      </c>
      <c r="BL94" s="67">
        <f t="shared" si="42"/>
        <v>31</v>
      </c>
      <c r="BM94" s="18">
        <f t="shared" si="43"/>
        <v>28</v>
      </c>
      <c r="BN94" s="18">
        <f t="shared" si="53"/>
        <v>0.96514258099953509</v>
      </c>
      <c r="BO94" s="18"/>
      <c r="BP94" s="6">
        <f t="shared" si="44"/>
        <v>20</v>
      </c>
      <c r="BQ94" s="6">
        <f t="shared" si="45"/>
        <v>10</v>
      </c>
      <c r="BR94" s="6">
        <v>20</v>
      </c>
      <c r="BS94" s="6">
        <f t="shared" si="46"/>
        <v>15</v>
      </c>
      <c r="BT94" s="6">
        <f t="shared" si="47"/>
        <v>1.2550000000000001</v>
      </c>
      <c r="BU94" s="6">
        <f t="shared" si="48"/>
        <v>33.127499999999998</v>
      </c>
      <c r="BV94" s="18">
        <f t="shared" si="32"/>
        <v>0.13250999999999999</v>
      </c>
      <c r="BW94" s="18">
        <f t="shared" si="33"/>
        <v>0.344526</v>
      </c>
    </row>
    <row r="95" spans="1:75" hidden="1" x14ac:dyDescent="0.25">
      <c r="A95" s="18" t="s">
        <v>6</v>
      </c>
      <c r="B95" s="18">
        <v>2024</v>
      </c>
      <c r="C95" s="18" t="s">
        <v>138</v>
      </c>
      <c r="D95" s="18" t="s">
        <v>10</v>
      </c>
      <c r="E95" s="18">
        <v>10</v>
      </c>
      <c r="F95" s="18" t="s">
        <v>135</v>
      </c>
      <c r="G95" s="18" t="s">
        <v>163</v>
      </c>
      <c r="H95" s="31">
        <f t="shared" si="49"/>
        <v>49.6</v>
      </c>
      <c r="I95" s="31">
        <v>50.15</v>
      </c>
      <c r="J95" s="4">
        <f t="shared" si="34"/>
        <v>0.54999999999999716</v>
      </c>
      <c r="K95" s="5">
        <v>1</v>
      </c>
      <c r="L95" s="31">
        <f t="shared" si="35"/>
        <v>0.54999999999999716</v>
      </c>
      <c r="M95" s="31">
        <v>2.6</v>
      </c>
      <c r="N95" s="31">
        <v>25.1</v>
      </c>
      <c r="O95" s="31">
        <f t="shared" si="30"/>
        <v>0.54999999999999716</v>
      </c>
      <c r="P95" s="31">
        <v>27.499999999999858</v>
      </c>
      <c r="Q95" s="31">
        <v>20</v>
      </c>
      <c r="R95" s="31">
        <v>0.53</v>
      </c>
      <c r="S95" s="31">
        <v>0</v>
      </c>
      <c r="T95" s="86">
        <f t="shared" si="50"/>
        <v>0</v>
      </c>
      <c r="U95" s="31">
        <v>10</v>
      </c>
      <c r="V95" s="31"/>
      <c r="W95" s="31">
        <f t="shared" si="51"/>
        <v>10</v>
      </c>
      <c r="X95" s="31">
        <f t="shared" ref="X95:X160" si="54">+IF(R95=0,"",(R95*1000)/W95)</f>
        <v>53</v>
      </c>
      <c r="Y95" s="31">
        <f t="shared" si="36"/>
        <v>5.2999999999999999E-2</v>
      </c>
      <c r="Z95" s="18">
        <v>0</v>
      </c>
      <c r="AA95" s="18" t="s">
        <v>100</v>
      </c>
      <c r="AB95" s="18" t="s">
        <v>333</v>
      </c>
      <c r="AC95" s="18" t="s">
        <v>336</v>
      </c>
      <c r="AD95" s="18">
        <v>20</v>
      </c>
      <c r="AE95" s="18">
        <v>27.499999999999858</v>
      </c>
      <c r="AF95" s="18" t="s">
        <v>32</v>
      </c>
      <c r="AG95" s="18" t="s">
        <v>32</v>
      </c>
      <c r="AH95" s="18" t="s">
        <v>32</v>
      </c>
      <c r="AI95" s="18" t="s">
        <v>64</v>
      </c>
      <c r="AJ95" s="18" t="s">
        <v>79</v>
      </c>
      <c r="AK95" s="18" t="s">
        <v>96</v>
      </c>
      <c r="AL95" s="18" t="s">
        <v>107</v>
      </c>
      <c r="AM95" s="18" t="s">
        <v>118</v>
      </c>
      <c r="AN95" s="18" t="s">
        <v>198</v>
      </c>
      <c r="AO95" s="18" t="s">
        <v>223</v>
      </c>
      <c r="AP95" s="18"/>
      <c r="AQ95" s="18">
        <f>+VLOOKUP(AI95,Leyenda!$B$30:$E$34,3,FALSE)</f>
        <v>2</v>
      </c>
      <c r="AR95" s="18">
        <f>+VLOOKUP('3. Blasting'!AJ95,Meteorizacion,3,FALSE)</f>
        <v>1</v>
      </c>
      <c r="AS95" s="18">
        <f>+VLOOKUP('3. Blasting'!AK95,Apertura,3,FALSE)</f>
        <v>1</v>
      </c>
      <c r="AT95" s="18">
        <f>+VLOOKUP('3. Blasting'!AL95,Leyenda!$B$55:$D$59,3,FALSE)</f>
        <v>3</v>
      </c>
      <c r="AU95" s="18">
        <f>+VLOOKUP('3. Blasting'!AM95,Relleno,3,FALSE)</f>
        <v>2</v>
      </c>
      <c r="AV95" s="18">
        <f t="shared" si="52"/>
        <v>9</v>
      </c>
      <c r="AW95" s="49">
        <f t="shared" si="37"/>
        <v>0</v>
      </c>
      <c r="AX95" s="49">
        <f>VLOOKUP(AF95,Leyenda!$B$4:$D$10,3,FALSE)</f>
        <v>1</v>
      </c>
      <c r="AY95" s="49">
        <f t="shared" si="31"/>
        <v>5</v>
      </c>
      <c r="AZ95" s="49">
        <f t="shared" si="38"/>
        <v>9</v>
      </c>
      <c r="BA95" s="49">
        <f>VLOOKUP(AN95,Leyenda!$B$70:$D$75,3,FALSE)</f>
        <v>15</v>
      </c>
      <c r="BB95" s="67">
        <f t="shared" si="39"/>
        <v>13.5</v>
      </c>
      <c r="BC95" s="67">
        <f>VLOOKUP(AF95,Leyenda!$B$4:$E$10,4,FALSE)</f>
        <v>1</v>
      </c>
      <c r="BD95" s="67">
        <f t="shared" si="40"/>
        <v>4</v>
      </c>
      <c r="BE95" s="67">
        <f t="shared" si="41"/>
        <v>0</v>
      </c>
      <c r="BF95" s="67">
        <f>+VLOOKUP('3. Blasting'!AK95,Leyenda!$B$47:$E$51,4,FALSE)</f>
        <v>1</v>
      </c>
      <c r="BG95" s="67">
        <f>+VLOOKUP('3. Blasting'!AL95,Leyenda!$B$55:$E$59,4,FALSE)</f>
        <v>3</v>
      </c>
      <c r="BH95" s="67">
        <f>+VLOOKUP('3. Blasting'!AM95,Leyenda!$B$63:$E$67,3,FALSE)</f>
        <v>2</v>
      </c>
      <c r="BI95" s="67">
        <f>+VLOOKUP('3. Blasting'!AJ95,Leyenda!$B$39:$E$43,4,FALSE)</f>
        <v>1</v>
      </c>
      <c r="BJ95" s="67">
        <f>+VLOOKUP('3. Blasting'!AI95,Leyenda!$B$30:$E$34,4,FALSE)</f>
        <v>3</v>
      </c>
      <c r="BK95" s="67">
        <f>VLOOKUP(AN95,Leyenda!$B$71:$E$75,4,FALSE)</f>
        <v>10</v>
      </c>
      <c r="BL95" s="67">
        <f t="shared" si="42"/>
        <v>25</v>
      </c>
      <c r="BM95" s="18">
        <f t="shared" si="43"/>
        <v>30</v>
      </c>
      <c r="BN95" s="18">
        <f t="shared" si="53"/>
        <v>0.96529389133031063</v>
      </c>
      <c r="BO95" s="18"/>
      <c r="BP95" s="6">
        <f t="shared" si="44"/>
        <v>10</v>
      </c>
      <c r="BQ95" s="6">
        <f t="shared" si="45"/>
        <v>10</v>
      </c>
      <c r="BR95" s="6">
        <v>20</v>
      </c>
      <c r="BS95" s="6">
        <f t="shared" si="46"/>
        <v>15</v>
      </c>
      <c r="BT95" s="6">
        <f t="shared" si="47"/>
        <v>1.2550000000000001</v>
      </c>
      <c r="BU95" s="6">
        <f t="shared" si="48"/>
        <v>28.127500000000001</v>
      </c>
      <c r="BV95" s="18">
        <f t="shared" si="32"/>
        <v>0.11251000000000001</v>
      </c>
      <c r="BW95" s="18">
        <f t="shared" si="33"/>
        <v>0.29252600000000006</v>
      </c>
    </row>
    <row r="96" spans="1:75" hidden="1" x14ac:dyDescent="0.25">
      <c r="A96" s="18" t="s">
        <v>6</v>
      </c>
      <c r="B96" s="18">
        <v>2024</v>
      </c>
      <c r="C96" s="18" t="s">
        <v>138</v>
      </c>
      <c r="D96" s="18" t="s">
        <v>10</v>
      </c>
      <c r="E96" s="18">
        <v>10</v>
      </c>
      <c r="F96" s="18" t="s">
        <v>135</v>
      </c>
      <c r="G96" s="18" t="s">
        <v>163</v>
      </c>
      <c r="H96" s="31">
        <f t="shared" si="49"/>
        <v>50.15</v>
      </c>
      <c r="I96" s="31">
        <v>50.85</v>
      </c>
      <c r="J96" s="4">
        <f t="shared" si="34"/>
        <v>0.70000000000000284</v>
      </c>
      <c r="K96" s="5">
        <v>1</v>
      </c>
      <c r="L96" s="31">
        <f t="shared" si="35"/>
        <v>0.70000000000000284</v>
      </c>
      <c r="M96" s="31">
        <v>2.6</v>
      </c>
      <c r="N96" s="31">
        <v>25.1</v>
      </c>
      <c r="O96" s="31">
        <f t="shared" si="30"/>
        <v>0.70000000000000284</v>
      </c>
      <c r="P96" s="31">
        <v>46.666666666666856</v>
      </c>
      <c r="Q96" s="31">
        <v>15</v>
      </c>
      <c r="R96" s="31">
        <v>0.7</v>
      </c>
      <c r="S96" s="31">
        <v>0.25</v>
      </c>
      <c r="T96" s="86">
        <f t="shared" si="50"/>
        <v>35.714285714285573</v>
      </c>
      <c r="U96" s="31">
        <v>7</v>
      </c>
      <c r="V96" s="31"/>
      <c r="W96" s="31">
        <f t="shared" si="51"/>
        <v>7</v>
      </c>
      <c r="X96" s="31">
        <f t="shared" si="54"/>
        <v>100</v>
      </c>
      <c r="Y96" s="31">
        <f t="shared" si="36"/>
        <v>0.1</v>
      </c>
      <c r="Z96" s="18">
        <v>36</v>
      </c>
      <c r="AA96" s="18" t="s">
        <v>96</v>
      </c>
      <c r="AB96" s="18" t="s">
        <v>122</v>
      </c>
      <c r="AC96" s="18" t="s">
        <v>337</v>
      </c>
      <c r="AD96" s="18">
        <v>15</v>
      </c>
      <c r="AE96" s="18">
        <v>46.666666666666856</v>
      </c>
      <c r="AF96" s="18" t="s">
        <v>29</v>
      </c>
      <c r="AG96" s="18" t="s">
        <v>32</v>
      </c>
      <c r="AH96" s="18" t="s">
        <v>32</v>
      </c>
      <c r="AI96" s="18" t="s">
        <v>64</v>
      </c>
      <c r="AJ96" s="18" t="s">
        <v>79</v>
      </c>
      <c r="AK96" s="18" t="s">
        <v>96</v>
      </c>
      <c r="AL96" s="18" t="s">
        <v>107</v>
      </c>
      <c r="AM96" s="18" t="s">
        <v>118</v>
      </c>
      <c r="AN96" s="18" t="s">
        <v>198</v>
      </c>
      <c r="AO96" s="18" t="s">
        <v>224</v>
      </c>
      <c r="AP96" s="18"/>
      <c r="AQ96" s="18">
        <f>+VLOOKUP(AI96,Leyenda!$B$30:$E$34,3,FALSE)</f>
        <v>2</v>
      </c>
      <c r="AR96" s="18">
        <f>+VLOOKUP('3. Blasting'!AJ96,Meteorizacion,3,FALSE)</f>
        <v>1</v>
      </c>
      <c r="AS96" s="18">
        <f>+VLOOKUP('3. Blasting'!AK96,Apertura,3,FALSE)</f>
        <v>1</v>
      </c>
      <c r="AT96" s="18">
        <f>+VLOOKUP('3. Blasting'!AL96,Leyenda!$B$55:$D$59,3,FALSE)</f>
        <v>3</v>
      </c>
      <c r="AU96" s="18">
        <f>+VLOOKUP('3. Blasting'!AM96,Relleno,3,FALSE)</f>
        <v>2</v>
      </c>
      <c r="AV96" s="18">
        <f t="shared" si="52"/>
        <v>9</v>
      </c>
      <c r="AW96" s="49">
        <f t="shared" si="37"/>
        <v>8</v>
      </c>
      <c r="AX96" s="49">
        <f>VLOOKUP(AF96,Leyenda!$B$4:$D$10,3,FALSE)</f>
        <v>2</v>
      </c>
      <c r="AY96" s="49">
        <f t="shared" si="31"/>
        <v>6</v>
      </c>
      <c r="AZ96" s="49">
        <f t="shared" si="38"/>
        <v>9</v>
      </c>
      <c r="BA96" s="49">
        <f>VLOOKUP(AN96,Leyenda!$B$70:$D$75,3,FALSE)</f>
        <v>15</v>
      </c>
      <c r="BB96" s="67">
        <f t="shared" si="39"/>
        <v>31.357142857142787</v>
      </c>
      <c r="BC96" s="67">
        <f>VLOOKUP(AF96,Leyenda!$B$4:$E$10,4,FALSE)</f>
        <v>2</v>
      </c>
      <c r="BD96" s="67">
        <f t="shared" si="40"/>
        <v>8</v>
      </c>
      <c r="BE96" s="67">
        <f t="shared" si="41"/>
        <v>8</v>
      </c>
      <c r="BF96" s="67">
        <f>+VLOOKUP('3. Blasting'!AK96,Leyenda!$B$47:$E$51,4,FALSE)</f>
        <v>1</v>
      </c>
      <c r="BG96" s="67">
        <f>+VLOOKUP('3. Blasting'!AL96,Leyenda!$B$55:$E$59,4,FALSE)</f>
        <v>3</v>
      </c>
      <c r="BH96" s="67">
        <f>+VLOOKUP('3. Blasting'!AM96,Leyenda!$B$63:$E$67,3,FALSE)</f>
        <v>2</v>
      </c>
      <c r="BI96" s="67">
        <f>+VLOOKUP('3. Blasting'!AJ96,Leyenda!$B$39:$E$43,4,FALSE)</f>
        <v>1</v>
      </c>
      <c r="BJ96" s="67">
        <f>+VLOOKUP('3. Blasting'!AI96,Leyenda!$B$30:$E$34,4,FALSE)</f>
        <v>3</v>
      </c>
      <c r="BK96" s="67">
        <f>VLOOKUP(AN96,Leyenda!$B$71:$E$75,4,FALSE)</f>
        <v>10</v>
      </c>
      <c r="BL96" s="67">
        <f t="shared" si="42"/>
        <v>38</v>
      </c>
      <c r="BM96" s="18">
        <f t="shared" si="43"/>
        <v>40</v>
      </c>
      <c r="BN96" s="18">
        <f t="shared" si="53"/>
        <v>0.9653879418614526</v>
      </c>
      <c r="BO96" s="18"/>
      <c r="BP96" s="6">
        <f t="shared" si="44"/>
        <v>20</v>
      </c>
      <c r="BQ96" s="6">
        <f t="shared" si="45"/>
        <v>50</v>
      </c>
      <c r="BR96" s="6">
        <v>20</v>
      </c>
      <c r="BS96" s="6">
        <f t="shared" si="46"/>
        <v>15</v>
      </c>
      <c r="BT96" s="6">
        <f t="shared" si="47"/>
        <v>1.2550000000000001</v>
      </c>
      <c r="BU96" s="6">
        <f t="shared" si="48"/>
        <v>53.127499999999998</v>
      </c>
      <c r="BV96" s="18">
        <f t="shared" si="32"/>
        <v>0.21251</v>
      </c>
      <c r="BW96" s="18">
        <f t="shared" si="33"/>
        <v>0.55252600000000007</v>
      </c>
    </row>
    <row r="97" spans="1:75" hidden="1" x14ac:dyDescent="0.25">
      <c r="A97" s="18" t="s">
        <v>6</v>
      </c>
      <c r="B97" s="18">
        <v>2024</v>
      </c>
      <c r="C97" s="18" t="s">
        <v>138</v>
      </c>
      <c r="D97" s="18" t="s">
        <v>10</v>
      </c>
      <c r="E97" s="18">
        <v>10</v>
      </c>
      <c r="F97" s="18" t="s">
        <v>135</v>
      </c>
      <c r="G97" s="18" t="s">
        <v>163</v>
      </c>
      <c r="H97" s="31">
        <f t="shared" si="49"/>
        <v>50.85</v>
      </c>
      <c r="I97" s="31">
        <v>51.85</v>
      </c>
      <c r="J97" s="4">
        <f t="shared" si="34"/>
        <v>1</v>
      </c>
      <c r="K97" s="5">
        <v>1</v>
      </c>
      <c r="L97" s="31">
        <f t="shared" si="35"/>
        <v>1</v>
      </c>
      <c r="M97" s="31">
        <v>2.6</v>
      </c>
      <c r="N97" s="31">
        <v>25.1</v>
      </c>
      <c r="O97" s="31">
        <f t="shared" si="30"/>
        <v>1</v>
      </c>
      <c r="P97" s="31">
        <v>200</v>
      </c>
      <c r="Q97" s="31">
        <v>5</v>
      </c>
      <c r="R97" s="31">
        <v>0.97</v>
      </c>
      <c r="S97" s="31">
        <v>0.81</v>
      </c>
      <c r="T97" s="86">
        <f t="shared" si="50"/>
        <v>81</v>
      </c>
      <c r="U97" s="31">
        <v>2</v>
      </c>
      <c r="V97" s="31"/>
      <c r="W97" s="31">
        <f t="shared" si="51"/>
        <v>2</v>
      </c>
      <c r="X97" s="31">
        <f t="shared" si="54"/>
        <v>485</v>
      </c>
      <c r="Y97" s="31">
        <f t="shared" si="36"/>
        <v>0.48499999999999999</v>
      </c>
      <c r="Z97" s="18">
        <v>100</v>
      </c>
      <c r="AA97" s="18" t="s">
        <v>92</v>
      </c>
      <c r="AB97" s="18" t="s">
        <v>118</v>
      </c>
      <c r="AC97" s="18" t="s">
        <v>329</v>
      </c>
      <c r="AD97" s="18">
        <v>5</v>
      </c>
      <c r="AE97" s="18">
        <v>200</v>
      </c>
      <c r="AF97" s="18" t="s">
        <v>24</v>
      </c>
      <c r="AG97" s="18" t="s">
        <v>29</v>
      </c>
      <c r="AH97" s="18" t="s">
        <v>29</v>
      </c>
      <c r="AI97" s="18" t="s">
        <v>64</v>
      </c>
      <c r="AJ97" s="18" t="s">
        <v>77</v>
      </c>
      <c r="AK97" s="18" t="s">
        <v>96</v>
      </c>
      <c r="AL97" s="18" t="s">
        <v>107</v>
      </c>
      <c r="AM97" s="18" t="s">
        <v>118</v>
      </c>
      <c r="AN97" s="18" t="s">
        <v>198</v>
      </c>
      <c r="AO97" s="18" t="s">
        <v>207</v>
      </c>
      <c r="AP97" s="18"/>
      <c r="AQ97" s="18">
        <f>+VLOOKUP(AI97,Leyenda!$B$30:$E$34,3,FALSE)</f>
        <v>2</v>
      </c>
      <c r="AR97" s="18">
        <f>+VLOOKUP('3. Blasting'!AJ97,Meteorizacion,3,FALSE)</f>
        <v>3</v>
      </c>
      <c r="AS97" s="18">
        <f>+VLOOKUP('3. Blasting'!AK97,Apertura,3,FALSE)</f>
        <v>1</v>
      </c>
      <c r="AT97" s="18">
        <f>+VLOOKUP('3. Blasting'!AL97,Leyenda!$B$55:$D$59,3,FALSE)</f>
        <v>3</v>
      </c>
      <c r="AU97" s="18">
        <f>+VLOOKUP('3. Blasting'!AM97,Relleno,3,FALSE)</f>
        <v>2</v>
      </c>
      <c r="AV97" s="18">
        <f t="shared" si="52"/>
        <v>11</v>
      </c>
      <c r="AW97" s="49">
        <f t="shared" si="37"/>
        <v>20</v>
      </c>
      <c r="AX97" s="49">
        <f>VLOOKUP(AF97,Leyenda!$B$4:$D$10,3,FALSE)</f>
        <v>7</v>
      </c>
      <c r="AY97" s="49">
        <f t="shared" si="31"/>
        <v>9</v>
      </c>
      <c r="AZ97" s="49">
        <f t="shared" si="38"/>
        <v>11</v>
      </c>
      <c r="BA97" s="49">
        <f>VLOOKUP(AN97,Leyenda!$B$70:$D$75,3,FALSE)</f>
        <v>15</v>
      </c>
      <c r="BB97" s="67">
        <f t="shared" si="39"/>
        <v>57</v>
      </c>
      <c r="BC97" s="67">
        <f>VLOOKUP(AF97,Leyenda!$B$4:$E$10,4,FALSE)</f>
        <v>7</v>
      </c>
      <c r="BD97" s="67">
        <f t="shared" si="40"/>
        <v>18</v>
      </c>
      <c r="BE97" s="67">
        <f t="shared" si="41"/>
        <v>16</v>
      </c>
      <c r="BF97" s="67">
        <f>+VLOOKUP('3. Blasting'!AK97,Leyenda!$B$47:$E$51,4,FALSE)</f>
        <v>1</v>
      </c>
      <c r="BG97" s="67">
        <f>+VLOOKUP('3. Blasting'!AL97,Leyenda!$B$55:$E$59,4,FALSE)</f>
        <v>3</v>
      </c>
      <c r="BH97" s="67">
        <f>+VLOOKUP('3. Blasting'!AM97,Leyenda!$B$63:$E$67,3,FALSE)</f>
        <v>2</v>
      </c>
      <c r="BI97" s="67">
        <f>+VLOOKUP('3. Blasting'!AJ97,Leyenda!$B$39:$E$43,4,FALSE)</f>
        <v>3</v>
      </c>
      <c r="BJ97" s="67">
        <f>+VLOOKUP('3. Blasting'!AI97,Leyenda!$B$30:$E$34,4,FALSE)</f>
        <v>3</v>
      </c>
      <c r="BK97" s="67">
        <f>VLOOKUP(AN97,Leyenda!$B$71:$E$75,4,FALSE)</f>
        <v>10</v>
      </c>
      <c r="BL97" s="67">
        <f t="shared" si="42"/>
        <v>63</v>
      </c>
      <c r="BM97" s="18">
        <f t="shared" si="43"/>
        <v>62</v>
      </c>
      <c r="BN97" s="18">
        <f t="shared" si="53"/>
        <v>0.96522561658524531</v>
      </c>
      <c r="BO97" s="18"/>
      <c r="BP97" s="6">
        <f t="shared" si="44"/>
        <v>30</v>
      </c>
      <c r="BQ97" s="6">
        <f t="shared" si="45"/>
        <v>20</v>
      </c>
      <c r="BR97" s="6">
        <v>20</v>
      </c>
      <c r="BS97" s="6">
        <f t="shared" si="46"/>
        <v>15</v>
      </c>
      <c r="BT97" s="6">
        <f t="shared" si="47"/>
        <v>1.2550000000000001</v>
      </c>
      <c r="BU97" s="6">
        <f t="shared" si="48"/>
        <v>43.127499999999998</v>
      </c>
      <c r="BV97" s="18">
        <f t="shared" si="32"/>
        <v>0.17251</v>
      </c>
      <c r="BW97" s="18">
        <f t="shared" si="33"/>
        <v>0.44852599999999998</v>
      </c>
    </row>
    <row r="98" spans="1:75" hidden="1" x14ac:dyDescent="0.25">
      <c r="A98" s="18" t="s">
        <v>6</v>
      </c>
      <c r="B98" s="18">
        <v>2024</v>
      </c>
      <c r="C98" s="18" t="s">
        <v>138</v>
      </c>
      <c r="D98" s="18" t="s">
        <v>10</v>
      </c>
      <c r="E98" s="18">
        <v>10</v>
      </c>
      <c r="F98" s="18" t="s">
        <v>135</v>
      </c>
      <c r="G98" s="18" t="s">
        <v>163</v>
      </c>
      <c r="H98" s="31">
        <f t="shared" si="49"/>
        <v>51.85</v>
      </c>
      <c r="I98" s="31">
        <v>52.35</v>
      </c>
      <c r="J98" s="4">
        <f t="shared" si="34"/>
        <v>0.5</v>
      </c>
      <c r="K98" s="5">
        <v>1</v>
      </c>
      <c r="L98" s="31">
        <f t="shared" si="35"/>
        <v>0.5</v>
      </c>
      <c r="M98" s="31">
        <v>2.6</v>
      </c>
      <c r="N98" s="31">
        <v>25.1</v>
      </c>
      <c r="O98" s="31">
        <f t="shared" si="30"/>
        <v>0.5</v>
      </c>
      <c r="P98" s="31">
        <v>25</v>
      </c>
      <c r="Q98" s="31">
        <v>20</v>
      </c>
      <c r="R98" s="31">
        <v>0.5</v>
      </c>
      <c r="S98" s="31">
        <v>0.14000000000000001</v>
      </c>
      <c r="T98" s="86">
        <f t="shared" si="50"/>
        <v>28.000000000000004</v>
      </c>
      <c r="U98" s="31">
        <v>7</v>
      </c>
      <c r="V98" s="31"/>
      <c r="W98" s="31">
        <f t="shared" si="51"/>
        <v>7</v>
      </c>
      <c r="X98" s="31">
        <f t="shared" si="54"/>
        <v>71.428571428571431</v>
      </c>
      <c r="Y98" s="31">
        <f t="shared" si="36"/>
        <v>7.1428571428571425E-2</v>
      </c>
      <c r="Z98" s="18">
        <v>30</v>
      </c>
      <c r="AA98" s="18" t="s">
        <v>100</v>
      </c>
      <c r="AB98" s="18" t="s">
        <v>333</v>
      </c>
      <c r="AC98" s="18" t="s">
        <v>337</v>
      </c>
      <c r="AD98" s="18">
        <v>20</v>
      </c>
      <c r="AE98" s="18">
        <v>25</v>
      </c>
      <c r="AF98" s="18" t="s">
        <v>29</v>
      </c>
      <c r="AG98" s="18" t="s">
        <v>29</v>
      </c>
      <c r="AH98" s="18" t="s">
        <v>29</v>
      </c>
      <c r="AI98" s="18" t="s">
        <v>64</v>
      </c>
      <c r="AJ98" s="18" t="s">
        <v>79</v>
      </c>
      <c r="AK98" s="18" t="s">
        <v>96</v>
      </c>
      <c r="AL98" s="18" t="s">
        <v>107</v>
      </c>
      <c r="AM98" s="18" t="s">
        <v>118</v>
      </c>
      <c r="AN98" s="18" t="s">
        <v>198</v>
      </c>
      <c r="AO98" s="18"/>
      <c r="AP98" s="18"/>
      <c r="AQ98" s="18">
        <f>+VLOOKUP(AI98,Leyenda!$B$30:$E$34,3,FALSE)</f>
        <v>2</v>
      </c>
      <c r="AR98" s="18">
        <f>+VLOOKUP('3. Blasting'!AJ98,Meteorizacion,3,FALSE)</f>
        <v>1</v>
      </c>
      <c r="AS98" s="18">
        <f>+VLOOKUP('3. Blasting'!AK98,Apertura,3,FALSE)</f>
        <v>1</v>
      </c>
      <c r="AT98" s="18">
        <f>+VLOOKUP('3. Blasting'!AL98,Leyenda!$B$55:$D$59,3,FALSE)</f>
        <v>3</v>
      </c>
      <c r="AU98" s="18">
        <f>+VLOOKUP('3. Blasting'!AM98,Relleno,3,FALSE)</f>
        <v>2</v>
      </c>
      <c r="AV98" s="18">
        <f t="shared" si="52"/>
        <v>9</v>
      </c>
      <c r="AW98" s="49">
        <f t="shared" si="37"/>
        <v>6</v>
      </c>
      <c r="AX98" s="49">
        <f>VLOOKUP(AF98,Leyenda!$B$4:$D$10,3,FALSE)</f>
        <v>2</v>
      </c>
      <c r="AY98" s="49">
        <f t="shared" si="31"/>
        <v>5</v>
      </c>
      <c r="AZ98" s="49">
        <f t="shared" si="38"/>
        <v>9</v>
      </c>
      <c r="BA98" s="49">
        <f>VLOOKUP(AN98,Leyenda!$B$70:$D$75,3,FALSE)</f>
        <v>15</v>
      </c>
      <c r="BB98" s="67">
        <f t="shared" si="39"/>
        <v>27.5</v>
      </c>
      <c r="BC98" s="67">
        <f>VLOOKUP(AF98,Leyenda!$B$4:$E$10,4,FALSE)</f>
        <v>2</v>
      </c>
      <c r="BD98" s="67">
        <f t="shared" si="40"/>
        <v>6</v>
      </c>
      <c r="BE98" s="67">
        <f t="shared" si="41"/>
        <v>6</v>
      </c>
      <c r="BF98" s="67">
        <f>+VLOOKUP('3. Blasting'!AK98,Leyenda!$B$47:$E$51,4,FALSE)</f>
        <v>1</v>
      </c>
      <c r="BG98" s="67">
        <f>+VLOOKUP('3. Blasting'!AL98,Leyenda!$B$55:$E$59,4,FALSE)</f>
        <v>3</v>
      </c>
      <c r="BH98" s="67">
        <f>+VLOOKUP('3. Blasting'!AM98,Leyenda!$B$63:$E$67,3,FALSE)</f>
        <v>2</v>
      </c>
      <c r="BI98" s="67">
        <f>+VLOOKUP('3. Blasting'!AJ98,Leyenda!$B$39:$E$43,4,FALSE)</f>
        <v>1</v>
      </c>
      <c r="BJ98" s="67">
        <f>+VLOOKUP('3. Blasting'!AI98,Leyenda!$B$30:$E$34,4,FALSE)</f>
        <v>3</v>
      </c>
      <c r="BK98" s="67">
        <f>VLOOKUP(AN98,Leyenda!$B$71:$E$75,4,FALSE)</f>
        <v>10</v>
      </c>
      <c r="BL98" s="67">
        <f t="shared" si="42"/>
        <v>34</v>
      </c>
      <c r="BM98" s="18">
        <f t="shared" si="43"/>
        <v>37</v>
      </c>
      <c r="BN98" s="18">
        <f t="shared" si="53"/>
        <v>0.96519957205014251</v>
      </c>
      <c r="BO98" s="18"/>
      <c r="BP98" s="6">
        <f t="shared" si="44"/>
        <v>20</v>
      </c>
      <c r="BQ98" s="6">
        <f t="shared" si="45"/>
        <v>10</v>
      </c>
      <c r="BR98" s="6">
        <v>20</v>
      </c>
      <c r="BS98" s="6">
        <f t="shared" si="46"/>
        <v>15</v>
      </c>
      <c r="BT98" s="6">
        <f t="shared" si="47"/>
        <v>1.2550000000000001</v>
      </c>
      <c r="BU98" s="6">
        <f t="shared" si="48"/>
        <v>33.127499999999998</v>
      </c>
      <c r="BV98" s="18">
        <f t="shared" si="32"/>
        <v>0.13250999999999999</v>
      </c>
      <c r="BW98" s="18">
        <f t="shared" si="33"/>
        <v>0.344526</v>
      </c>
    </row>
    <row r="99" spans="1:75" hidden="1" x14ac:dyDescent="0.25">
      <c r="A99" s="18" t="s">
        <v>6</v>
      </c>
      <c r="B99" s="18">
        <v>2024</v>
      </c>
      <c r="C99" s="18" t="s">
        <v>138</v>
      </c>
      <c r="D99" s="18" t="s">
        <v>10</v>
      </c>
      <c r="E99" s="18">
        <v>10</v>
      </c>
      <c r="F99" s="18" t="s">
        <v>135</v>
      </c>
      <c r="G99" s="18" t="s">
        <v>163</v>
      </c>
      <c r="H99" s="31">
        <f t="shared" si="49"/>
        <v>52.35</v>
      </c>
      <c r="I99" s="31">
        <v>52.85</v>
      </c>
      <c r="J99" s="4">
        <f t="shared" si="34"/>
        <v>0.5</v>
      </c>
      <c r="K99" s="5">
        <v>0.54</v>
      </c>
      <c r="L99" s="31">
        <f t="shared" si="35"/>
        <v>0.27</v>
      </c>
      <c r="M99" s="31">
        <v>2.6</v>
      </c>
      <c r="N99" s="31">
        <v>25.1</v>
      </c>
      <c r="O99" s="31">
        <f t="shared" si="30"/>
        <v>0.27</v>
      </c>
      <c r="P99" s="31">
        <v>13.5</v>
      </c>
      <c r="Q99" s="31">
        <v>20</v>
      </c>
      <c r="R99" s="31">
        <v>0.27</v>
      </c>
      <c r="S99" s="31">
        <v>0</v>
      </c>
      <c r="T99" s="86">
        <f t="shared" si="50"/>
        <v>0</v>
      </c>
      <c r="U99" s="31">
        <v>10</v>
      </c>
      <c r="V99" s="31"/>
      <c r="W99" s="31">
        <f t="shared" si="51"/>
        <v>10</v>
      </c>
      <c r="X99" s="31">
        <f t="shared" si="54"/>
        <v>27</v>
      </c>
      <c r="Y99" s="31">
        <f t="shared" si="36"/>
        <v>2.7E-2</v>
      </c>
      <c r="Z99" s="18">
        <v>0</v>
      </c>
      <c r="AA99" s="18" t="s">
        <v>330</v>
      </c>
      <c r="AB99" s="18" t="s">
        <v>333</v>
      </c>
      <c r="AC99" s="18" t="s">
        <v>336</v>
      </c>
      <c r="AD99" s="18">
        <v>20</v>
      </c>
      <c r="AE99" s="18">
        <v>13.5</v>
      </c>
      <c r="AF99" s="18" t="s">
        <v>32</v>
      </c>
      <c r="AG99" s="18" t="s">
        <v>32</v>
      </c>
      <c r="AH99" s="18" t="s">
        <v>32</v>
      </c>
      <c r="AI99" s="18" t="s">
        <v>64</v>
      </c>
      <c r="AJ99" s="18" t="s">
        <v>79</v>
      </c>
      <c r="AK99" s="18" t="s">
        <v>96</v>
      </c>
      <c r="AL99" s="18" t="s">
        <v>107</v>
      </c>
      <c r="AM99" s="18" t="s">
        <v>118</v>
      </c>
      <c r="AN99" s="18" t="s">
        <v>198</v>
      </c>
      <c r="AO99" s="18" t="s">
        <v>225</v>
      </c>
      <c r="AP99" s="18"/>
      <c r="AQ99" s="18">
        <f>+VLOOKUP(AI99,Leyenda!$B$30:$E$34,3,FALSE)</f>
        <v>2</v>
      </c>
      <c r="AR99" s="18">
        <f>+VLOOKUP('3. Blasting'!AJ99,Meteorizacion,3,FALSE)</f>
        <v>1</v>
      </c>
      <c r="AS99" s="18">
        <f>+VLOOKUP('3. Blasting'!AK99,Apertura,3,FALSE)</f>
        <v>1</v>
      </c>
      <c r="AT99" s="18">
        <f>+VLOOKUP('3. Blasting'!AL99,Leyenda!$B$55:$D$59,3,FALSE)</f>
        <v>3</v>
      </c>
      <c r="AU99" s="18">
        <f>+VLOOKUP('3. Blasting'!AM99,Relleno,3,FALSE)</f>
        <v>2</v>
      </c>
      <c r="AV99" s="18">
        <f t="shared" si="52"/>
        <v>9</v>
      </c>
      <c r="AW99" s="49">
        <f t="shared" si="37"/>
        <v>0</v>
      </c>
      <c r="AX99" s="49">
        <f>VLOOKUP(AF99,Leyenda!$B$4:$D$10,3,FALSE)</f>
        <v>1</v>
      </c>
      <c r="AY99" s="49">
        <f t="shared" si="31"/>
        <v>4</v>
      </c>
      <c r="AZ99" s="49">
        <f t="shared" si="38"/>
        <v>9</v>
      </c>
      <c r="BA99" s="49">
        <f>VLOOKUP(AN99,Leyenda!$B$70:$D$75,3,FALSE)</f>
        <v>15</v>
      </c>
      <c r="BB99" s="67">
        <f t="shared" si="39"/>
        <v>13.5</v>
      </c>
      <c r="BC99" s="67">
        <f>VLOOKUP(AF99,Leyenda!$B$4:$E$10,4,FALSE)</f>
        <v>1</v>
      </c>
      <c r="BD99" s="67">
        <f t="shared" si="40"/>
        <v>5</v>
      </c>
      <c r="BE99" s="67">
        <f t="shared" si="41"/>
        <v>0</v>
      </c>
      <c r="BF99" s="67">
        <f>+VLOOKUP('3. Blasting'!AK99,Leyenda!$B$47:$E$51,4,FALSE)</f>
        <v>1</v>
      </c>
      <c r="BG99" s="67">
        <f>+VLOOKUP('3. Blasting'!AL99,Leyenda!$B$55:$E$59,4,FALSE)</f>
        <v>3</v>
      </c>
      <c r="BH99" s="67">
        <f>+VLOOKUP('3. Blasting'!AM99,Leyenda!$B$63:$E$67,3,FALSE)</f>
        <v>2</v>
      </c>
      <c r="BI99" s="67">
        <f>+VLOOKUP('3. Blasting'!AJ99,Leyenda!$B$39:$E$43,4,FALSE)</f>
        <v>1</v>
      </c>
      <c r="BJ99" s="67">
        <f>+VLOOKUP('3. Blasting'!AI99,Leyenda!$B$30:$E$34,4,FALSE)</f>
        <v>3</v>
      </c>
      <c r="BK99" s="67">
        <f>VLOOKUP(AN99,Leyenda!$B$71:$E$75,4,FALSE)</f>
        <v>10</v>
      </c>
      <c r="BL99" s="67">
        <f t="shared" si="42"/>
        <v>26</v>
      </c>
      <c r="BM99" s="18">
        <f t="shared" si="43"/>
        <v>29</v>
      </c>
      <c r="BN99" s="18">
        <f t="shared" si="53"/>
        <v>0.96509459951505949</v>
      </c>
      <c r="BO99" s="18"/>
      <c r="BP99" s="6">
        <f t="shared" si="44"/>
        <v>10</v>
      </c>
      <c r="BQ99" s="6">
        <f t="shared" si="45"/>
        <v>10</v>
      </c>
      <c r="BR99" s="6">
        <v>20</v>
      </c>
      <c r="BS99" s="6">
        <f t="shared" si="46"/>
        <v>15</v>
      </c>
      <c r="BT99" s="6">
        <f t="shared" si="47"/>
        <v>1.2550000000000001</v>
      </c>
      <c r="BU99" s="6">
        <f t="shared" si="48"/>
        <v>28.127500000000001</v>
      </c>
      <c r="BV99" s="18">
        <f t="shared" si="32"/>
        <v>0.11251000000000001</v>
      </c>
      <c r="BW99" s="18">
        <f t="shared" si="33"/>
        <v>0.29252600000000006</v>
      </c>
    </row>
    <row r="100" spans="1:75" hidden="1" x14ac:dyDescent="0.25">
      <c r="A100" s="18" t="s">
        <v>6</v>
      </c>
      <c r="B100" s="18">
        <v>2024</v>
      </c>
      <c r="C100" s="18" t="s">
        <v>138</v>
      </c>
      <c r="D100" s="18" t="s">
        <v>10</v>
      </c>
      <c r="E100" s="18">
        <v>10</v>
      </c>
      <c r="F100" s="18" t="s">
        <v>135</v>
      </c>
      <c r="G100" s="18" t="s">
        <v>163</v>
      </c>
      <c r="H100" s="31">
        <f t="shared" si="49"/>
        <v>52.85</v>
      </c>
      <c r="I100" s="31">
        <v>53.35</v>
      </c>
      <c r="J100" s="4">
        <f t="shared" si="34"/>
        <v>0.5</v>
      </c>
      <c r="K100" s="5">
        <v>0.6</v>
      </c>
      <c r="L100" s="31">
        <f t="shared" si="35"/>
        <v>0.3</v>
      </c>
      <c r="M100" s="31">
        <v>2.6</v>
      </c>
      <c r="N100" s="31">
        <v>25.1</v>
      </c>
      <c r="O100" s="31">
        <f t="shared" si="30"/>
        <v>0.3</v>
      </c>
      <c r="P100" s="31">
        <v>15</v>
      </c>
      <c r="Q100" s="31">
        <v>20</v>
      </c>
      <c r="R100" s="31">
        <v>0.25</v>
      </c>
      <c r="S100" s="31">
        <v>0</v>
      </c>
      <c r="T100" s="86">
        <f t="shared" si="50"/>
        <v>0</v>
      </c>
      <c r="U100" s="31">
        <v>10</v>
      </c>
      <c r="V100" s="31"/>
      <c r="W100" s="31">
        <f t="shared" si="51"/>
        <v>10</v>
      </c>
      <c r="X100" s="31">
        <f t="shared" si="54"/>
        <v>25</v>
      </c>
      <c r="Y100" s="31">
        <f t="shared" si="36"/>
        <v>2.5000000000000001E-2</v>
      </c>
      <c r="Z100" s="18">
        <v>0</v>
      </c>
      <c r="AA100" s="18" t="s">
        <v>330</v>
      </c>
      <c r="AB100" s="18" t="s">
        <v>333</v>
      </c>
      <c r="AC100" s="18" t="s">
        <v>336</v>
      </c>
      <c r="AD100" s="18">
        <v>20</v>
      </c>
      <c r="AE100" s="18">
        <v>15</v>
      </c>
      <c r="AF100" s="18" t="s">
        <v>32</v>
      </c>
      <c r="AG100" s="18" t="s">
        <v>32</v>
      </c>
      <c r="AH100" s="18" t="s">
        <v>32</v>
      </c>
      <c r="AI100" s="18" t="s">
        <v>64</v>
      </c>
      <c r="AJ100" s="18" t="s">
        <v>79</v>
      </c>
      <c r="AK100" s="18" t="s">
        <v>96</v>
      </c>
      <c r="AL100" s="18" t="s">
        <v>107</v>
      </c>
      <c r="AM100" s="18" t="s">
        <v>118</v>
      </c>
      <c r="AN100" s="18" t="s">
        <v>198</v>
      </c>
      <c r="AO100" s="18"/>
      <c r="AP100" s="18"/>
      <c r="AQ100" s="18">
        <f>+VLOOKUP(AI100,Leyenda!$B$30:$E$34,3,FALSE)</f>
        <v>2</v>
      </c>
      <c r="AR100" s="18">
        <f>+VLOOKUP('3. Blasting'!AJ100,Meteorizacion,3,FALSE)</f>
        <v>1</v>
      </c>
      <c r="AS100" s="18">
        <f>+VLOOKUP('3. Blasting'!AK100,Apertura,3,FALSE)</f>
        <v>1</v>
      </c>
      <c r="AT100" s="18">
        <f>+VLOOKUP('3. Blasting'!AL100,Leyenda!$B$55:$D$59,3,FALSE)</f>
        <v>3</v>
      </c>
      <c r="AU100" s="18">
        <f>+VLOOKUP('3. Blasting'!AM100,Relleno,3,FALSE)</f>
        <v>2</v>
      </c>
      <c r="AV100" s="18">
        <f t="shared" si="52"/>
        <v>9</v>
      </c>
      <c r="AW100" s="49">
        <f t="shared" si="37"/>
        <v>0</v>
      </c>
      <c r="AX100" s="49">
        <f>VLOOKUP(AF100,Leyenda!$B$4:$D$10,3,FALSE)</f>
        <v>1</v>
      </c>
      <c r="AY100" s="49">
        <f t="shared" si="31"/>
        <v>4</v>
      </c>
      <c r="AZ100" s="49">
        <f t="shared" si="38"/>
        <v>9</v>
      </c>
      <c r="BA100" s="49">
        <f>VLOOKUP(AN100,Leyenda!$B$70:$D$75,3,FALSE)</f>
        <v>15</v>
      </c>
      <c r="BB100" s="67">
        <f t="shared" si="39"/>
        <v>13.5</v>
      </c>
      <c r="BC100" s="67">
        <f>VLOOKUP(AF100,Leyenda!$B$4:$E$10,4,FALSE)</f>
        <v>1</v>
      </c>
      <c r="BD100" s="67">
        <f t="shared" si="40"/>
        <v>5</v>
      </c>
      <c r="BE100" s="67">
        <f t="shared" si="41"/>
        <v>0</v>
      </c>
      <c r="BF100" s="67">
        <f>+VLOOKUP('3. Blasting'!AK100,Leyenda!$B$47:$E$51,4,FALSE)</f>
        <v>1</v>
      </c>
      <c r="BG100" s="67">
        <f>+VLOOKUP('3. Blasting'!AL100,Leyenda!$B$55:$E$59,4,FALSE)</f>
        <v>3</v>
      </c>
      <c r="BH100" s="67">
        <f>+VLOOKUP('3. Blasting'!AM100,Leyenda!$B$63:$E$67,3,FALSE)</f>
        <v>2</v>
      </c>
      <c r="BI100" s="67">
        <f>+VLOOKUP('3. Blasting'!AJ100,Leyenda!$B$39:$E$43,4,FALSE)</f>
        <v>1</v>
      </c>
      <c r="BJ100" s="67">
        <f>+VLOOKUP('3. Blasting'!AI100,Leyenda!$B$30:$E$34,4,FALSE)</f>
        <v>3</v>
      </c>
      <c r="BK100" s="67">
        <f>VLOOKUP(AN100,Leyenda!$B$71:$E$75,4,FALSE)</f>
        <v>10</v>
      </c>
      <c r="BL100" s="67">
        <f t="shared" si="42"/>
        <v>26</v>
      </c>
      <c r="BM100" s="18">
        <f t="shared" si="43"/>
        <v>29</v>
      </c>
      <c r="BN100" s="18">
        <f t="shared" si="53"/>
        <v>0.96504174563407163</v>
      </c>
      <c r="BO100" s="18"/>
      <c r="BP100" s="6">
        <f t="shared" si="44"/>
        <v>10</v>
      </c>
      <c r="BQ100" s="6">
        <f t="shared" si="45"/>
        <v>10</v>
      </c>
      <c r="BR100" s="6">
        <v>20</v>
      </c>
      <c r="BS100" s="6">
        <f t="shared" si="46"/>
        <v>15</v>
      </c>
      <c r="BT100" s="6">
        <f t="shared" si="47"/>
        <v>1.2550000000000001</v>
      </c>
      <c r="BU100" s="6">
        <f t="shared" si="48"/>
        <v>28.127500000000001</v>
      </c>
      <c r="BV100" s="18">
        <f t="shared" si="32"/>
        <v>0.11251000000000001</v>
      </c>
      <c r="BW100" s="18">
        <f t="shared" si="33"/>
        <v>0.29252600000000006</v>
      </c>
    </row>
    <row r="101" spans="1:75" hidden="1" x14ac:dyDescent="0.25">
      <c r="A101" s="18" t="s">
        <v>6</v>
      </c>
      <c r="B101" s="18">
        <v>2024</v>
      </c>
      <c r="C101" s="18" t="s">
        <v>138</v>
      </c>
      <c r="D101" s="18" t="s">
        <v>10</v>
      </c>
      <c r="E101" s="18">
        <v>10</v>
      </c>
      <c r="F101" s="18" t="s">
        <v>135</v>
      </c>
      <c r="G101" s="18" t="s">
        <v>163</v>
      </c>
      <c r="H101" s="31">
        <f t="shared" si="49"/>
        <v>53.35</v>
      </c>
      <c r="I101" s="31">
        <v>53.85</v>
      </c>
      <c r="J101" s="4">
        <f t="shared" si="34"/>
        <v>0.5</v>
      </c>
      <c r="K101" s="5">
        <v>0.8</v>
      </c>
      <c r="L101" s="31">
        <f t="shared" si="35"/>
        <v>0.4</v>
      </c>
      <c r="M101" s="31">
        <v>2.6</v>
      </c>
      <c r="N101" s="31">
        <v>25.1</v>
      </c>
      <c r="O101" s="31">
        <f t="shared" si="30"/>
        <v>0.4</v>
      </c>
      <c r="P101" s="31">
        <v>40</v>
      </c>
      <c r="Q101" s="31">
        <v>10</v>
      </c>
      <c r="R101" s="31">
        <v>0.4</v>
      </c>
      <c r="S101" s="31">
        <v>0.27</v>
      </c>
      <c r="T101" s="86">
        <f>+S101/J101*100</f>
        <v>54</v>
      </c>
      <c r="U101" s="31">
        <v>4</v>
      </c>
      <c r="V101" s="31"/>
      <c r="W101" s="31">
        <f t="shared" si="51"/>
        <v>4</v>
      </c>
      <c r="X101" s="31">
        <f t="shared" si="54"/>
        <v>100</v>
      </c>
      <c r="Y101" s="31">
        <f t="shared" si="36"/>
        <v>0.1</v>
      </c>
      <c r="Z101" s="18">
        <v>60</v>
      </c>
      <c r="AA101" s="18" t="s">
        <v>92</v>
      </c>
      <c r="AB101" s="18" t="s">
        <v>120</v>
      </c>
      <c r="AC101" s="18" t="s">
        <v>334</v>
      </c>
      <c r="AD101" s="18">
        <v>10</v>
      </c>
      <c r="AE101" s="18">
        <v>40</v>
      </c>
      <c r="AF101" s="18" t="s">
        <v>27</v>
      </c>
      <c r="AG101" s="18" t="s">
        <v>29</v>
      </c>
      <c r="AH101" s="18" t="s">
        <v>29</v>
      </c>
      <c r="AI101" s="18" t="s">
        <v>64</v>
      </c>
      <c r="AJ101" s="18" t="s">
        <v>77</v>
      </c>
      <c r="AK101" s="18" t="s">
        <v>92</v>
      </c>
      <c r="AL101" s="18" t="s">
        <v>109</v>
      </c>
      <c r="AM101" s="18" t="s">
        <v>118</v>
      </c>
      <c r="AN101" s="18" t="s">
        <v>198</v>
      </c>
      <c r="AO101" s="18" t="s">
        <v>207</v>
      </c>
      <c r="AP101" s="18"/>
      <c r="AQ101" s="18">
        <f>+VLOOKUP(AI101,Leyenda!$B$30:$E$34,3,FALSE)</f>
        <v>2</v>
      </c>
      <c r="AR101" s="18">
        <f>+VLOOKUP('3. Blasting'!AJ101,Meteorizacion,3,FALSE)</f>
        <v>3</v>
      </c>
      <c r="AS101" s="18">
        <f>+VLOOKUP('3. Blasting'!AK101,Apertura,3,FALSE)</f>
        <v>3</v>
      </c>
      <c r="AT101" s="18">
        <f>+VLOOKUP('3. Blasting'!AL101,Leyenda!$B$55:$D$59,3,FALSE)</f>
        <v>1</v>
      </c>
      <c r="AU101" s="18">
        <f>+VLOOKUP('3. Blasting'!AM101,Relleno,3,FALSE)</f>
        <v>2</v>
      </c>
      <c r="AV101" s="18">
        <f t="shared" si="52"/>
        <v>11</v>
      </c>
      <c r="AW101" s="49">
        <f t="shared" si="37"/>
        <v>12</v>
      </c>
      <c r="AX101" s="49">
        <f>VLOOKUP(AF101,Leyenda!$B$4:$D$10,3,FALSE)</f>
        <v>4</v>
      </c>
      <c r="AY101" s="49">
        <f t="shared" si="31"/>
        <v>5</v>
      </c>
      <c r="AZ101" s="49">
        <f t="shared" si="38"/>
        <v>11</v>
      </c>
      <c r="BA101" s="49">
        <f>VLOOKUP(AN101,Leyenda!$B$70:$D$75,3,FALSE)</f>
        <v>15</v>
      </c>
      <c r="BB101" s="67">
        <f t="shared" si="39"/>
        <v>43.5</v>
      </c>
      <c r="BC101" s="67">
        <f>VLOOKUP(AF101,Leyenda!$B$4:$E$10,4,FALSE)</f>
        <v>4</v>
      </c>
      <c r="BD101" s="67">
        <f t="shared" si="40"/>
        <v>8</v>
      </c>
      <c r="BE101" s="67">
        <f t="shared" si="41"/>
        <v>11</v>
      </c>
      <c r="BF101" s="67">
        <f>+VLOOKUP('3. Blasting'!AK101,Leyenda!$B$47:$E$51,4,FALSE)</f>
        <v>3</v>
      </c>
      <c r="BG101" s="67">
        <f>+VLOOKUP('3. Blasting'!AL101,Leyenda!$B$55:$E$59,4,FALSE)</f>
        <v>1</v>
      </c>
      <c r="BH101" s="67">
        <f>+VLOOKUP('3. Blasting'!AM101,Leyenda!$B$63:$E$67,3,FALSE)</f>
        <v>2</v>
      </c>
      <c r="BI101" s="67">
        <f>+VLOOKUP('3. Blasting'!AJ101,Leyenda!$B$39:$E$43,4,FALSE)</f>
        <v>3</v>
      </c>
      <c r="BJ101" s="67">
        <f>+VLOOKUP('3. Blasting'!AI101,Leyenda!$B$30:$E$34,4,FALSE)</f>
        <v>3</v>
      </c>
      <c r="BK101" s="67">
        <f>VLOOKUP(AN101,Leyenda!$B$71:$E$75,4,FALSE)</f>
        <v>10</v>
      </c>
      <c r="BL101" s="67">
        <f t="shared" si="42"/>
        <v>45</v>
      </c>
      <c r="BM101" s="18">
        <f t="shared" si="43"/>
        <v>47</v>
      </c>
      <c r="BN101" s="18">
        <f t="shared" si="53"/>
        <v>0.96515811463584833</v>
      </c>
      <c r="BO101" s="18"/>
      <c r="BP101" s="6">
        <f t="shared" si="44"/>
        <v>30</v>
      </c>
      <c r="BQ101" s="6">
        <f t="shared" si="45"/>
        <v>50</v>
      </c>
      <c r="BR101" s="6">
        <v>20</v>
      </c>
      <c r="BS101" s="6">
        <f t="shared" si="46"/>
        <v>15</v>
      </c>
      <c r="BT101" s="6">
        <f t="shared" si="47"/>
        <v>1.2550000000000001</v>
      </c>
      <c r="BU101" s="6">
        <f t="shared" si="48"/>
        <v>58.127499999999998</v>
      </c>
      <c r="BV101" s="18">
        <f t="shared" si="32"/>
        <v>0.23250999999999999</v>
      </c>
      <c r="BW101" s="18">
        <f t="shared" si="33"/>
        <v>0.60452600000000001</v>
      </c>
    </row>
    <row r="102" spans="1:75" hidden="1" x14ac:dyDescent="0.25">
      <c r="A102" s="18" t="s">
        <v>6</v>
      </c>
      <c r="B102" s="18">
        <v>2024</v>
      </c>
      <c r="C102" s="18" t="s">
        <v>138</v>
      </c>
      <c r="D102" s="18" t="s">
        <v>10</v>
      </c>
      <c r="E102" s="18">
        <v>10</v>
      </c>
      <c r="F102" s="18" t="s">
        <v>135</v>
      </c>
      <c r="G102" s="18" t="s">
        <v>163</v>
      </c>
      <c r="H102" s="31">
        <f t="shared" si="49"/>
        <v>53.85</v>
      </c>
      <c r="I102" s="31">
        <v>54.35</v>
      </c>
      <c r="J102" s="4">
        <f t="shared" si="34"/>
        <v>0.5</v>
      </c>
      <c r="K102" s="5">
        <v>0.96</v>
      </c>
      <c r="L102" s="31">
        <f t="shared" si="35"/>
        <v>0.48</v>
      </c>
      <c r="M102" s="31">
        <v>2.6</v>
      </c>
      <c r="N102" s="31">
        <v>25.1</v>
      </c>
      <c r="O102" s="31">
        <f t="shared" si="30"/>
        <v>0.48</v>
      </c>
      <c r="P102" s="31">
        <v>96</v>
      </c>
      <c r="Q102" s="31">
        <v>5</v>
      </c>
      <c r="R102" s="31">
        <v>0.44</v>
      </c>
      <c r="S102" s="31">
        <v>0.1</v>
      </c>
      <c r="T102" s="86">
        <f>+S102/J102*100</f>
        <v>20</v>
      </c>
      <c r="U102" s="31">
        <v>3</v>
      </c>
      <c r="V102" s="31"/>
      <c r="W102" s="31">
        <f t="shared" si="51"/>
        <v>3</v>
      </c>
      <c r="X102" s="31">
        <f t="shared" si="54"/>
        <v>146.66666666666666</v>
      </c>
      <c r="Y102" s="31">
        <f t="shared" si="36"/>
        <v>0.14666666666666667</v>
      </c>
      <c r="Z102" s="18">
        <v>20</v>
      </c>
      <c r="AA102" s="18" t="s">
        <v>96</v>
      </c>
      <c r="AB102" s="18" t="s">
        <v>118</v>
      </c>
      <c r="AC102" s="18" t="s">
        <v>337</v>
      </c>
      <c r="AD102" s="18">
        <v>5</v>
      </c>
      <c r="AE102" s="18">
        <v>96</v>
      </c>
      <c r="AF102" s="18" t="s">
        <v>29</v>
      </c>
      <c r="AG102" s="18" t="s">
        <v>29</v>
      </c>
      <c r="AH102" s="18" t="s">
        <v>29</v>
      </c>
      <c r="AI102" s="18" t="s">
        <v>64</v>
      </c>
      <c r="AJ102" s="18" t="s">
        <v>79</v>
      </c>
      <c r="AK102" s="18" t="s">
        <v>92</v>
      </c>
      <c r="AL102" s="18" t="s">
        <v>109</v>
      </c>
      <c r="AM102" s="18" t="s">
        <v>120</v>
      </c>
      <c r="AN102" s="18" t="s">
        <v>198</v>
      </c>
      <c r="AO102" s="18"/>
      <c r="AP102" s="18"/>
      <c r="AQ102" s="18">
        <f>+VLOOKUP(AI102,Leyenda!$B$30:$E$34,3,FALSE)</f>
        <v>2</v>
      </c>
      <c r="AR102" s="18">
        <f>+VLOOKUP('3. Blasting'!AJ102,Meteorizacion,3,FALSE)</f>
        <v>1</v>
      </c>
      <c r="AS102" s="18">
        <f>+VLOOKUP('3. Blasting'!AK102,Apertura,3,FALSE)</f>
        <v>3</v>
      </c>
      <c r="AT102" s="18">
        <f>+VLOOKUP('3. Blasting'!AL102,Leyenda!$B$55:$D$59,3,FALSE)</f>
        <v>1</v>
      </c>
      <c r="AU102" s="18">
        <f>+VLOOKUP('3. Blasting'!AM102,Relleno,3,FALSE)</f>
        <v>2</v>
      </c>
      <c r="AV102" s="18">
        <f t="shared" si="52"/>
        <v>9</v>
      </c>
      <c r="AW102" s="49">
        <f t="shared" si="37"/>
        <v>4</v>
      </c>
      <c r="AX102" s="49">
        <f>VLOOKUP(AF102,Leyenda!$B$4:$D$10,3,FALSE)</f>
        <v>2</v>
      </c>
      <c r="AY102" s="49">
        <f t="shared" si="31"/>
        <v>7</v>
      </c>
      <c r="AZ102" s="49">
        <f t="shared" si="38"/>
        <v>9</v>
      </c>
      <c r="BA102" s="49">
        <f>VLOOKUP(AN102,Leyenda!$B$70:$D$75,3,FALSE)</f>
        <v>15</v>
      </c>
      <c r="BB102" s="67">
        <f t="shared" si="39"/>
        <v>23.5</v>
      </c>
      <c r="BC102" s="67">
        <f>VLOOKUP(AF102,Leyenda!$B$4:$E$10,4,FALSE)</f>
        <v>2</v>
      </c>
      <c r="BD102" s="67">
        <f t="shared" si="40"/>
        <v>10</v>
      </c>
      <c r="BE102" s="67">
        <f t="shared" si="41"/>
        <v>4</v>
      </c>
      <c r="BF102" s="67">
        <f>+VLOOKUP('3. Blasting'!AK102,Leyenda!$B$47:$E$51,4,FALSE)</f>
        <v>3</v>
      </c>
      <c r="BG102" s="67">
        <f>+VLOOKUP('3. Blasting'!AL102,Leyenda!$B$55:$E$59,4,FALSE)</f>
        <v>1</v>
      </c>
      <c r="BH102" s="67">
        <f>+VLOOKUP('3. Blasting'!AM102,Leyenda!$B$63:$E$67,3,FALSE)</f>
        <v>2</v>
      </c>
      <c r="BI102" s="67">
        <f>+VLOOKUP('3. Blasting'!AJ102,Leyenda!$B$39:$E$43,4,FALSE)</f>
        <v>1</v>
      </c>
      <c r="BJ102" s="67">
        <f>+VLOOKUP('3. Blasting'!AI102,Leyenda!$B$30:$E$34,4,FALSE)</f>
        <v>3</v>
      </c>
      <c r="BK102" s="67">
        <f>VLOOKUP(AN102,Leyenda!$B$71:$E$75,4,FALSE)</f>
        <v>10</v>
      </c>
      <c r="BL102" s="67">
        <f t="shared" si="42"/>
        <v>36</v>
      </c>
      <c r="BM102" s="18">
        <f t="shared" si="43"/>
        <v>37</v>
      </c>
      <c r="BN102" s="18">
        <f t="shared" si="53"/>
        <v>0.96479810111340492</v>
      </c>
      <c r="BO102" s="18"/>
      <c r="BP102" s="6">
        <f t="shared" si="44"/>
        <v>20</v>
      </c>
      <c r="BQ102" s="6">
        <f t="shared" si="45"/>
        <v>20</v>
      </c>
      <c r="BR102" s="6">
        <v>20</v>
      </c>
      <c r="BS102" s="6">
        <f t="shared" si="46"/>
        <v>15</v>
      </c>
      <c r="BT102" s="6">
        <f t="shared" si="47"/>
        <v>1.2550000000000001</v>
      </c>
      <c r="BU102" s="6">
        <f t="shared" si="48"/>
        <v>38.127499999999998</v>
      </c>
      <c r="BV102" s="18">
        <f t="shared" si="32"/>
        <v>0.15251000000000001</v>
      </c>
      <c r="BW102" s="18">
        <f t="shared" si="33"/>
        <v>0.39652600000000005</v>
      </c>
    </row>
    <row r="103" spans="1:75" hidden="1" x14ac:dyDescent="0.25">
      <c r="A103" s="18" t="s">
        <v>6</v>
      </c>
      <c r="B103" s="18">
        <v>2024</v>
      </c>
      <c r="C103" s="18" t="s">
        <v>138</v>
      </c>
      <c r="D103" s="18" t="s">
        <v>10</v>
      </c>
      <c r="E103" s="18">
        <v>10</v>
      </c>
      <c r="F103" s="18" t="s">
        <v>135</v>
      </c>
      <c r="G103" s="18" t="s">
        <v>163</v>
      </c>
      <c r="H103" s="31">
        <f t="shared" si="49"/>
        <v>54.35</v>
      </c>
      <c r="I103" s="31">
        <v>54.85</v>
      </c>
      <c r="J103" s="4">
        <f t="shared" si="34"/>
        <v>0.5</v>
      </c>
      <c r="K103" s="5">
        <v>0.8</v>
      </c>
      <c r="L103" s="31">
        <f t="shared" si="35"/>
        <v>0.4</v>
      </c>
      <c r="M103" s="31">
        <v>2.6</v>
      </c>
      <c r="N103" s="31">
        <v>25.1</v>
      </c>
      <c r="O103" s="31">
        <f t="shared" si="30"/>
        <v>0.4</v>
      </c>
      <c r="P103" s="31">
        <v>80</v>
      </c>
      <c r="Q103" s="31">
        <v>5</v>
      </c>
      <c r="R103" s="31">
        <v>0.4</v>
      </c>
      <c r="S103" s="31">
        <v>0.16</v>
      </c>
      <c r="T103" s="86">
        <f t="shared" si="50"/>
        <v>32</v>
      </c>
      <c r="U103" s="31">
        <v>4</v>
      </c>
      <c r="V103" s="31"/>
      <c r="W103" s="31">
        <f t="shared" si="51"/>
        <v>4</v>
      </c>
      <c r="X103" s="31">
        <f t="shared" si="54"/>
        <v>100</v>
      </c>
      <c r="Y103" s="31">
        <f t="shared" si="36"/>
        <v>0.1</v>
      </c>
      <c r="Z103" s="18">
        <v>50</v>
      </c>
      <c r="AA103" s="18" t="s">
        <v>96</v>
      </c>
      <c r="AB103" s="18" t="s">
        <v>118</v>
      </c>
      <c r="AC103" s="18" t="s">
        <v>337</v>
      </c>
      <c r="AD103" s="18">
        <v>5</v>
      </c>
      <c r="AE103" s="18">
        <v>80</v>
      </c>
      <c r="AF103" s="18" t="s">
        <v>29</v>
      </c>
      <c r="AG103" s="18" t="s">
        <v>32</v>
      </c>
      <c r="AH103" s="18" t="s">
        <v>32</v>
      </c>
      <c r="AI103" s="18" t="s">
        <v>66</v>
      </c>
      <c r="AJ103" s="18" t="s">
        <v>81</v>
      </c>
      <c r="AK103" s="18" t="s">
        <v>92</v>
      </c>
      <c r="AL103" s="18" t="s">
        <v>107</v>
      </c>
      <c r="AM103" s="18" t="s">
        <v>118</v>
      </c>
      <c r="AN103" s="18" t="s">
        <v>198</v>
      </c>
      <c r="AO103" s="18" t="s">
        <v>207</v>
      </c>
      <c r="AP103" s="18"/>
      <c r="AQ103" s="18">
        <f>+VLOOKUP(AI103,Leyenda!$B$30:$E$34,3,FALSE)</f>
        <v>1</v>
      </c>
      <c r="AR103" s="18">
        <f>+VLOOKUP('3. Blasting'!AJ103,Meteorizacion,3,FALSE)</f>
        <v>0</v>
      </c>
      <c r="AS103" s="18">
        <f>+VLOOKUP('3. Blasting'!AK103,Apertura,3,FALSE)</f>
        <v>3</v>
      </c>
      <c r="AT103" s="18">
        <f>+VLOOKUP('3. Blasting'!AL103,Leyenda!$B$55:$D$59,3,FALSE)</f>
        <v>3</v>
      </c>
      <c r="AU103" s="18">
        <f>+VLOOKUP('3. Blasting'!AM103,Relleno,3,FALSE)</f>
        <v>2</v>
      </c>
      <c r="AV103" s="18">
        <f t="shared" si="52"/>
        <v>9</v>
      </c>
      <c r="AW103" s="49">
        <f t="shared" si="37"/>
        <v>10</v>
      </c>
      <c r="AX103" s="49">
        <f>VLOOKUP(AF103,Leyenda!$B$4:$D$10,3,FALSE)</f>
        <v>2</v>
      </c>
      <c r="AY103" s="49">
        <f t="shared" si="31"/>
        <v>7</v>
      </c>
      <c r="AZ103" s="49">
        <f t="shared" si="38"/>
        <v>9</v>
      </c>
      <c r="BA103" s="49">
        <f>VLOOKUP(AN103,Leyenda!$B$70:$D$75,3,FALSE)</f>
        <v>15</v>
      </c>
      <c r="BB103" s="67">
        <f t="shared" si="39"/>
        <v>29.5</v>
      </c>
      <c r="BC103" s="67">
        <f>VLOOKUP(AF103,Leyenda!$B$4:$E$10,4,FALSE)</f>
        <v>2</v>
      </c>
      <c r="BD103" s="67">
        <f t="shared" si="40"/>
        <v>8</v>
      </c>
      <c r="BE103" s="67">
        <f t="shared" si="41"/>
        <v>7</v>
      </c>
      <c r="BF103" s="67">
        <f>+VLOOKUP('3. Blasting'!AK103,Leyenda!$B$47:$E$51,4,FALSE)</f>
        <v>3</v>
      </c>
      <c r="BG103" s="67">
        <f>+VLOOKUP('3. Blasting'!AL103,Leyenda!$B$55:$E$59,4,FALSE)</f>
        <v>3</v>
      </c>
      <c r="BH103" s="67">
        <f>+VLOOKUP('3. Blasting'!AM103,Leyenda!$B$63:$E$67,3,FALSE)</f>
        <v>2</v>
      </c>
      <c r="BI103" s="67">
        <f>+VLOOKUP('3. Blasting'!AJ103,Leyenda!$B$39:$E$43,4,FALSE)</f>
        <v>0</v>
      </c>
      <c r="BJ103" s="67">
        <f>+VLOOKUP('3. Blasting'!AI103,Leyenda!$B$30:$E$34,4,FALSE)</f>
        <v>1</v>
      </c>
      <c r="BK103" s="67">
        <f>VLOOKUP(AN103,Leyenda!$B$71:$E$75,4,FALSE)</f>
        <v>10</v>
      </c>
      <c r="BL103" s="67">
        <f t="shared" si="42"/>
        <v>36</v>
      </c>
      <c r="BM103" s="18">
        <f t="shared" si="43"/>
        <v>43</v>
      </c>
      <c r="BN103" s="18">
        <f t="shared" si="53"/>
        <v>0.96510029663494168</v>
      </c>
      <c r="BO103" s="18"/>
      <c r="BP103" s="6">
        <f t="shared" si="44"/>
        <v>20</v>
      </c>
      <c r="BQ103" s="6">
        <f t="shared" si="45"/>
        <v>50</v>
      </c>
      <c r="BR103" s="6">
        <v>20</v>
      </c>
      <c r="BS103" s="6">
        <f t="shared" si="46"/>
        <v>15</v>
      </c>
      <c r="BT103" s="6">
        <f t="shared" si="47"/>
        <v>1.2550000000000001</v>
      </c>
      <c r="BU103" s="6">
        <f t="shared" si="48"/>
        <v>53.127499999999998</v>
      </c>
      <c r="BV103" s="18">
        <f t="shared" si="32"/>
        <v>0.21251</v>
      </c>
      <c r="BW103" s="18">
        <f t="shared" si="33"/>
        <v>0.55252600000000007</v>
      </c>
    </row>
    <row r="104" spans="1:75" hidden="1" x14ac:dyDescent="0.25">
      <c r="A104" s="18" t="s">
        <v>6</v>
      </c>
      <c r="B104" s="18">
        <v>2024</v>
      </c>
      <c r="C104" s="18" t="s">
        <v>138</v>
      </c>
      <c r="D104" s="18" t="s">
        <v>10</v>
      </c>
      <c r="E104" s="18">
        <v>10</v>
      </c>
      <c r="F104" s="18" t="s">
        <v>135</v>
      </c>
      <c r="G104" s="18" t="s">
        <v>163</v>
      </c>
      <c r="H104" s="31">
        <f t="shared" si="49"/>
        <v>54.85</v>
      </c>
      <c r="I104" s="31">
        <v>55.35</v>
      </c>
      <c r="J104" s="4">
        <f t="shared" si="34"/>
        <v>0.5</v>
      </c>
      <c r="K104" s="5">
        <v>0.66</v>
      </c>
      <c r="L104" s="31">
        <f t="shared" si="35"/>
        <v>0.33</v>
      </c>
      <c r="M104" s="31">
        <v>2.6</v>
      </c>
      <c r="N104" s="31">
        <v>25.1</v>
      </c>
      <c r="O104" s="31">
        <f t="shared" si="30"/>
        <v>0.33</v>
      </c>
      <c r="P104" s="31">
        <v>330</v>
      </c>
      <c r="Q104" s="31">
        <v>1</v>
      </c>
      <c r="R104" s="31">
        <v>0.25</v>
      </c>
      <c r="S104" s="31">
        <v>0.16</v>
      </c>
      <c r="T104" s="86">
        <f t="shared" si="50"/>
        <v>32</v>
      </c>
      <c r="U104" s="31">
        <v>3</v>
      </c>
      <c r="V104" s="31"/>
      <c r="W104" s="31">
        <f t="shared" si="51"/>
        <v>3</v>
      </c>
      <c r="X104" s="31">
        <f t="shared" si="54"/>
        <v>83.333333333333329</v>
      </c>
      <c r="Y104" s="31">
        <f t="shared" si="36"/>
        <v>8.3333333333333329E-2</v>
      </c>
      <c r="Z104" s="18">
        <v>38</v>
      </c>
      <c r="AA104" s="18" t="s">
        <v>96</v>
      </c>
      <c r="AB104" s="18" t="s">
        <v>116</v>
      </c>
      <c r="AC104" s="18" t="s">
        <v>337</v>
      </c>
      <c r="AD104" s="18">
        <v>1</v>
      </c>
      <c r="AE104" s="18">
        <v>330</v>
      </c>
      <c r="AF104" s="18" t="s">
        <v>29</v>
      </c>
      <c r="AG104" s="18" t="s">
        <v>32</v>
      </c>
      <c r="AH104" s="18" t="s">
        <v>32</v>
      </c>
      <c r="AI104" s="18" t="s">
        <v>64</v>
      </c>
      <c r="AJ104" s="18" t="s">
        <v>81</v>
      </c>
      <c r="AK104" s="18" t="s">
        <v>92</v>
      </c>
      <c r="AL104" s="18" t="s">
        <v>109</v>
      </c>
      <c r="AM104" s="18" t="s">
        <v>120</v>
      </c>
      <c r="AN104" s="18" t="s">
        <v>198</v>
      </c>
      <c r="AO104" s="18" t="s">
        <v>207</v>
      </c>
      <c r="AP104" s="18"/>
      <c r="AQ104" s="18">
        <f>+VLOOKUP(AI104,Leyenda!$B$30:$E$34,3,FALSE)</f>
        <v>2</v>
      </c>
      <c r="AR104" s="18">
        <f>+VLOOKUP('3. Blasting'!AJ104,Meteorizacion,3,FALSE)</f>
        <v>0</v>
      </c>
      <c r="AS104" s="18">
        <f>+VLOOKUP('3. Blasting'!AK104,Apertura,3,FALSE)</f>
        <v>3</v>
      </c>
      <c r="AT104" s="18">
        <f>+VLOOKUP('3. Blasting'!AL104,Leyenda!$B$55:$D$59,3,FALSE)</f>
        <v>1</v>
      </c>
      <c r="AU104" s="18">
        <f>+VLOOKUP('3. Blasting'!AM104,Relleno,3,FALSE)</f>
        <v>2</v>
      </c>
      <c r="AV104" s="18">
        <f t="shared" si="52"/>
        <v>8</v>
      </c>
      <c r="AW104" s="49">
        <f t="shared" si="37"/>
        <v>8</v>
      </c>
      <c r="AX104" s="49">
        <f>VLOOKUP(AF104,Leyenda!$B$4:$D$10,3,FALSE)</f>
        <v>2</v>
      </c>
      <c r="AY104" s="49">
        <f t="shared" si="31"/>
        <v>11</v>
      </c>
      <c r="AZ104" s="49">
        <f t="shared" si="38"/>
        <v>8</v>
      </c>
      <c r="BA104" s="49">
        <f>VLOOKUP(AN104,Leyenda!$B$70:$D$75,3,FALSE)</f>
        <v>15</v>
      </c>
      <c r="BB104" s="67">
        <f t="shared" si="39"/>
        <v>28</v>
      </c>
      <c r="BC104" s="67">
        <f>VLOOKUP(AF104,Leyenda!$B$4:$E$10,4,FALSE)</f>
        <v>2</v>
      </c>
      <c r="BD104" s="67">
        <f t="shared" si="40"/>
        <v>7</v>
      </c>
      <c r="BE104" s="67">
        <f t="shared" si="41"/>
        <v>7</v>
      </c>
      <c r="BF104" s="67">
        <f>+VLOOKUP('3. Blasting'!AK104,Leyenda!$B$47:$E$51,4,FALSE)</f>
        <v>3</v>
      </c>
      <c r="BG104" s="67">
        <f>+VLOOKUP('3. Blasting'!AL104,Leyenda!$B$55:$E$59,4,FALSE)</f>
        <v>1</v>
      </c>
      <c r="BH104" s="67">
        <f>+VLOOKUP('3. Blasting'!AM104,Leyenda!$B$63:$E$67,3,FALSE)</f>
        <v>2</v>
      </c>
      <c r="BI104" s="67">
        <f>+VLOOKUP('3. Blasting'!AJ104,Leyenda!$B$39:$E$43,4,FALSE)</f>
        <v>0</v>
      </c>
      <c r="BJ104" s="67">
        <f>+VLOOKUP('3. Blasting'!AI104,Leyenda!$B$30:$E$34,4,FALSE)</f>
        <v>3</v>
      </c>
      <c r="BK104" s="67">
        <f>VLOOKUP(AN104,Leyenda!$B$71:$E$75,4,FALSE)</f>
        <v>10</v>
      </c>
      <c r="BL104" s="67">
        <f t="shared" si="42"/>
        <v>35</v>
      </c>
      <c r="BM104" s="18">
        <f t="shared" si="43"/>
        <v>44</v>
      </c>
      <c r="BN104" s="18">
        <f t="shared" si="53"/>
        <v>0.96506494714256663</v>
      </c>
      <c r="BO104" s="18"/>
      <c r="BP104" s="6">
        <f t="shared" si="44"/>
        <v>20</v>
      </c>
      <c r="BQ104" s="6">
        <f t="shared" si="45"/>
        <v>10</v>
      </c>
      <c r="BR104" s="6">
        <v>20</v>
      </c>
      <c r="BS104" s="6">
        <f t="shared" si="46"/>
        <v>15</v>
      </c>
      <c r="BT104" s="6">
        <f t="shared" si="47"/>
        <v>1.2550000000000001</v>
      </c>
      <c r="BU104" s="6">
        <f t="shared" si="48"/>
        <v>33.127499999999998</v>
      </c>
      <c r="BV104" s="18">
        <f t="shared" si="32"/>
        <v>0.13250999999999999</v>
      </c>
      <c r="BW104" s="18">
        <f t="shared" si="33"/>
        <v>0.344526</v>
      </c>
    </row>
    <row r="105" spans="1:75" hidden="1" x14ac:dyDescent="0.25">
      <c r="A105" s="18" t="s">
        <v>6</v>
      </c>
      <c r="B105" s="18">
        <v>2024</v>
      </c>
      <c r="C105" s="18" t="s">
        <v>138</v>
      </c>
      <c r="D105" s="18" t="s">
        <v>10</v>
      </c>
      <c r="E105" s="18">
        <v>10</v>
      </c>
      <c r="F105" s="18" t="s">
        <v>135</v>
      </c>
      <c r="G105" s="18" t="s">
        <v>163</v>
      </c>
      <c r="H105" s="31">
        <f t="shared" si="49"/>
        <v>55.35</v>
      </c>
      <c r="I105" s="31">
        <v>55.85</v>
      </c>
      <c r="J105" s="4">
        <f t="shared" si="34"/>
        <v>0.5</v>
      </c>
      <c r="K105" s="5">
        <v>0.92</v>
      </c>
      <c r="L105" s="31">
        <f t="shared" si="35"/>
        <v>0.46</v>
      </c>
      <c r="M105" s="31">
        <v>2.6</v>
      </c>
      <c r="N105" s="31">
        <v>25.1</v>
      </c>
      <c r="O105" s="31">
        <f t="shared" si="30"/>
        <v>0.46</v>
      </c>
      <c r="P105" s="31">
        <v>23</v>
      </c>
      <c r="Q105" s="31">
        <v>20</v>
      </c>
      <c r="R105" s="31">
        <v>0.45</v>
      </c>
      <c r="S105" s="31">
        <v>0.15</v>
      </c>
      <c r="T105" s="86">
        <f t="shared" si="50"/>
        <v>30</v>
      </c>
      <c r="U105" s="31">
        <v>5</v>
      </c>
      <c r="V105" s="31"/>
      <c r="W105" s="31">
        <f t="shared" si="51"/>
        <v>5</v>
      </c>
      <c r="X105" s="31">
        <f t="shared" si="54"/>
        <v>90</v>
      </c>
      <c r="Y105" s="31">
        <f t="shared" si="36"/>
        <v>0.09</v>
      </c>
      <c r="Z105" s="18">
        <v>20</v>
      </c>
      <c r="AA105" s="18" t="s">
        <v>100</v>
      </c>
      <c r="AB105" s="18" t="s">
        <v>333</v>
      </c>
      <c r="AC105" s="18" t="s">
        <v>336</v>
      </c>
      <c r="AD105" s="18">
        <v>20</v>
      </c>
      <c r="AE105" s="18">
        <v>23</v>
      </c>
      <c r="AF105" s="18" t="s">
        <v>32</v>
      </c>
      <c r="AG105" s="18" t="s">
        <v>34</v>
      </c>
      <c r="AH105" s="18" t="s">
        <v>34</v>
      </c>
      <c r="AI105" s="18" t="s">
        <v>66</v>
      </c>
      <c r="AJ105" s="18" t="s">
        <v>81</v>
      </c>
      <c r="AK105" s="18" t="s">
        <v>100</v>
      </c>
      <c r="AL105" s="18" t="s">
        <v>107</v>
      </c>
      <c r="AM105" s="18" t="s">
        <v>118</v>
      </c>
      <c r="AN105" s="18" t="s">
        <v>198</v>
      </c>
      <c r="AO105" s="18"/>
      <c r="AP105" s="18"/>
      <c r="AQ105" s="18">
        <f>+VLOOKUP(AI105,Leyenda!$B$30:$E$34,3,FALSE)</f>
        <v>1</v>
      </c>
      <c r="AR105" s="18">
        <f>+VLOOKUP('3. Blasting'!AJ105,Meteorizacion,3,FALSE)</f>
        <v>0</v>
      </c>
      <c r="AS105" s="18">
        <f>+VLOOKUP('3. Blasting'!AK105,Apertura,3,FALSE)</f>
        <v>0</v>
      </c>
      <c r="AT105" s="18">
        <f>+VLOOKUP('3. Blasting'!AL105,Leyenda!$B$55:$D$59,3,FALSE)</f>
        <v>3</v>
      </c>
      <c r="AU105" s="18">
        <f>+VLOOKUP('3. Blasting'!AM105,Relleno,3,FALSE)</f>
        <v>2</v>
      </c>
      <c r="AV105" s="18">
        <f t="shared" si="52"/>
        <v>6</v>
      </c>
      <c r="AW105" s="49">
        <f t="shared" si="37"/>
        <v>4</v>
      </c>
      <c r="AX105" s="49">
        <f>VLOOKUP(AF105,Leyenda!$B$4:$D$10,3,FALSE)</f>
        <v>1</v>
      </c>
      <c r="AY105" s="49">
        <f t="shared" si="31"/>
        <v>4</v>
      </c>
      <c r="AZ105" s="49">
        <f t="shared" si="38"/>
        <v>6</v>
      </c>
      <c r="BA105" s="49">
        <f>VLOOKUP(AN105,Leyenda!$B$70:$D$75,3,FALSE)</f>
        <v>15</v>
      </c>
      <c r="BB105" s="67">
        <f t="shared" si="39"/>
        <v>24</v>
      </c>
      <c r="BC105" s="67">
        <f>VLOOKUP(AF105,Leyenda!$B$4:$E$10,4,FALSE)</f>
        <v>1</v>
      </c>
      <c r="BD105" s="67">
        <f t="shared" si="40"/>
        <v>8</v>
      </c>
      <c r="BE105" s="67">
        <f t="shared" si="41"/>
        <v>6</v>
      </c>
      <c r="BF105" s="67">
        <f>+VLOOKUP('3. Blasting'!AK105,Leyenda!$B$47:$E$51,4,FALSE)</f>
        <v>0</v>
      </c>
      <c r="BG105" s="67">
        <f>+VLOOKUP('3. Blasting'!AL105,Leyenda!$B$55:$E$59,4,FALSE)</f>
        <v>3</v>
      </c>
      <c r="BH105" s="67">
        <f>+VLOOKUP('3. Blasting'!AM105,Leyenda!$B$63:$E$67,3,FALSE)</f>
        <v>2</v>
      </c>
      <c r="BI105" s="67">
        <f>+VLOOKUP('3. Blasting'!AJ105,Leyenda!$B$39:$E$43,4,FALSE)</f>
        <v>0</v>
      </c>
      <c r="BJ105" s="67">
        <f>+VLOOKUP('3. Blasting'!AI105,Leyenda!$B$30:$E$34,4,FALSE)</f>
        <v>1</v>
      </c>
      <c r="BK105" s="67">
        <f>VLOOKUP(AN105,Leyenda!$B$71:$E$75,4,FALSE)</f>
        <v>10</v>
      </c>
      <c r="BL105" s="67">
        <f t="shared" si="42"/>
        <v>31</v>
      </c>
      <c r="BM105" s="18">
        <f t="shared" si="43"/>
        <v>30</v>
      </c>
      <c r="BN105" s="18">
        <f t="shared" si="53"/>
        <v>0.96495066874483504</v>
      </c>
      <c r="BO105" s="18"/>
      <c r="BP105" s="6">
        <f t="shared" si="44"/>
        <v>20</v>
      </c>
      <c r="BQ105" s="6">
        <f t="shared" si="45"/>
        <v>10</v>
      </c>
      <c r="BR105" s="6">
        <v>20</v>
      </c>
      <c r="BS105" s="6">
        <f t="shared" si="46"/>
        <v>15</v>
      </c>
      <c r="BT105" s="6">
        <f t="shared" si="47"/>
        <v>1.2550000000000001</v>
      </c>
      <c r="BU105" s="6">
        <f t="shared" si="48"/>
        <v>33.127499999999998</v>
      </c>
      <c r="BV105" s="18">
        <f t="shared" si="32"/>
        <v>0.13250999999999999</v>
      </c>
      <c r="BW105" s="18">
        <f t="shared" si="33"/>
        <v>0.344526</v>
      </c>
    </row>
    <row r="106" spans="1:75" hidden="1" x14ac:dyDescent="0.25">
      <c r="A106" s="18" t="s">
        <v>6</v>
      </c>
      <c r="B106" s="18">
        <v>2024</v>
      </c>
      <c r="C106" s="18" t="s">
        <v>138</v>
      </c>
      <c r="D106" s="18" t="s">
        <v>10</v>
      </c>
      <c r="E106" s="18">
        <v>10</v>
      </c>
      <c r="F106" s="18" t="s">
        <v>135</v>
      </c>
      <c r="G106" s="18" t="s">
        <v>163</v>
      </c>
      <c r="H106" s="31">
        <f t="shared" si="49"/>
        <v>55.85</v>
      </c>
      <c r="I106" s="31">
        <v>56.35</v>
      </c>
      <c r="J106" s="4">
        <f t="shared" si="34"/>
        <v>0.5</v>
      </c>
      <c r="K106" s="5">
        <v>0.8</v>
      </c>
      <c r="L106" s="31">
        <f t="shared" si="35"/>
        <v>0.4</v>
      </c>
      <c r="M106" s="31">
        <v>2.6</v>
      </c>
      <c r="N106" s="31">
        <v>25.1</v>
      </c>
      <c r="O106" s="31">
        <f t="shared" si="30"/>
        <v>0.4</v>
      </c>
      <c r="P106" s="31">
        <v>20</v>
      </c>
      <c r="Q106" s="31">
        <v>20</v>
      </c>
      <c r="R106" s="31">
        <v>0.36</v>
      </c>
      <c r="S106" s="31">
        <v>0</v>
      </c>
      <c r="T106" s="86">
        <f t="shared" si="50"/>
        <v>0</v>
      </c>
      <c r="U106" s="31">
        <v>6</v>
      </c>
      <c r="V106" s="31"/>
      <c r="W106" s="31">
        <f t="shared" si="51"/>
        <v>6</v>
      </c>
      <c r="X106" s="31">
        <f t="shared" si="54"/>
        <v>60</v>
      </c>
      <c r="Y106" s="31">
        <f t="shared" si="36"/>
        <v>0.06</v>
      </c>
      <c r="Z106" s="18">
        <v>0</v>
      </c>
      <c r="AA106" s="18" t="s">
        <v>96</v>
      </c>
      <c r="AB106" s="18" t="s">
        <v>333</v>
      </c>
      <c r="AC106" s="18" t="s">
        <v>335</v>
      </c>
      <c r="AD106" s="18">
        <v>20</v>
      </c>
      <c r="AE106" s="18">
        <v>20</v>
      </c>
      <c r="AF106" s="18" t="s">
        <v>34</v>
      </c>
      <c r="AG106" s="18" t="s">
        <v>32</v>
      </c>
      <c r="AH106" s="18" t="s">
        <v>32</v>
      </c>
      <c r="AI106" s="18" t="s">
        <v>64</v>
      </c>
      <c r="AJ106" s="18" t="s">
        <v>79</v>
      </c>
      <c r="AK106" s="18" t="s">
        <v>92</v>
      </c>
      <c r="AL106" s="18" t="s">
        <v>109</v>
      </c>
      <c r="AM106" s="18" t="s">
        <v>122</v>
      </c>
      <c r="AN106" s="18" t="s">
        <v>198</v>
      </c>
      <c r="AO106" s="18"/>
      <c r="AP106" s="18"/>
      <c r="AQ106" s="18">
        <f>+VLOOKUP(AI106,Leyenda!$B$30:$E$34,3,FALSE)</f>
        <v>2</v>
      </c>
      <c r="AR106" s="18">
        <f>+VLOOKUP('3. Blasting'!AJ106,Meteorizacion,3,FALSE)</f>
        <v>1</v>
      </c>
      <c r="AS106" s="18">
        <f>+VLOOKUP('3. Blasting'!AK106,Apertura,3,FALSE)</f>
        <v>3</v>
      </c>
      <c r="AT106" s="18">
        <f>+VLOOKUP('3. Blasting'!AL106,Leyenda!$B$55:$D$59,3,FALSE)</f>
        <v>1</v>
      </c>
      <c r="AU106" s="18">
        <f>+VLOOKUP('3. Blasting'!AM106,Relleno,3,FALSE)</f>
        <v>0</v>
      </c>
      <c r="AV106" s="18">
        <f t="shared" si="52"/>
        <v>7</v>
      </c>
      <c r="AW106" s="49">
        <f t="shared" si="37"/>
        <v>0</v>
      </c>
      <c r="AX106" s="49">
        <f>VLOOKUP(AF106,Leyenda!$B$4:$D$10,3,FALSE)</f>
        <v>0</v>
      </c>
      <c r="AY106" s="49">
        <f t="shared" si="31"/>
        <v>4</v>
      </c>
      <c r="AZ106" s="49">
        <f t="shared" si="38"/>
        <v>7</v>
      </c>
      <c r="BA106" s="49">
        <f>VLOOKUP(AN106,Leyenda!$B$70:$D$75,3,FALSE)</f>
        <v>15</v>
      </c>
      <c r="BB106" s="67">
        <f t="shared" si="39"/>
        <v>10.5</v>
      </c>
      <c r="BC106" s="67">
        <f>VLOOKUP(AF106,Leyenda!$B$4:$E$10,4,FALSE)</f>
        <v>0</v>
      </c>
      <c r="BD106" s="67">
        <f t="shared" si="40"/>
        <v>5</v>
      </c>
      <c r="BE106" s="67">
        <f t="shared" si="41"/>
        <v>0</v>
      </c>
      <c r="BF106" s="67">
        <f>+VLOOKUP('3. Blasting'!AK106,Leyenda!$B$47:$E$51,4,FALSE)</f>
        <v>3</v>
      </c>
      <c r="BG106" s="67">
        <f>+VLOOKUP('3. Blasting'!AL106,Leyenda!$B$55:$E$59,4,FALSE)</f>
        <v>1</v>
      </c>
      <c r="BH106" s="67">
        <f>+VLOOKUP('3. Blasting'!AM106,Leyenda!$B$63:$E$67,3,FALSE)</f>
        <v>0</v>
      </c>
      <c r="BI106" s="67">
        <f>+VLOOKUP('3. Blasting'!AJ106,Leyenda!$B$39:$E$43,4,FALSE)</f>
        <v>1</v>
      </c>
      <c r="BJ106" s="67">
        <f>+VLOOKUP('3. Blasting'!AI106,Leyenda!$B$30:$E$34,4,FALSE)</f>
        <v>3</v>
      </c>
      <c r="BK106" s="67">
        <f>VLOOKUP(AN106,Leyenda!$B$71:$E$75,4,FALSE)</f>
        <v>10</v>
      </c>
      <c r="BL106" s="67">
        <f t="shared" si="42"/>
        <v>23</v>
      </c>
      <c r="BM106" s="18">
        <f t="shared" si="43"/>
        <v>26</v>
      </c>
      <c r="BN106" s="18">
        <f t="shared" si="53"/>
        <v>0.96422826736698597</v>
      </c>
      <c r="BO106" s="18"/>
      <c r="BP106" s="6">
        <f t="shared" si="44"/>
        <v>10</v>
      </c>
      <c r="BQ106" s="6">
        <f t="shared" si="45"/>
        <v>10</v>
      </c>
      <c r="BR106" s="6">
        <v>20</v>
      </c>
      <c r="BS106" s="6">
        <f t="shared" si="46"/>
        <v>15</v>
      </c>
      <c r="BT106" s="6">
        <f t="shared" si="47"/>
        <v>1.2550000000000001</v>
      </c>
      <c r="BU106" s="6">
        <f t="shared" si="48"/>
        <v>28.127500000000001</v>
      </c>
      <c r="BV106" s="18">
        <f t="shared" si="32"/>
        <v>0.11251000000000001</v>
      </c>
      <c r="BW106" s="18">
        <f t="shared" si="33"/>
        <v>0.29252600000000006</v>
      </c>
    </row>
    <row r="107" spans="1:75" hidden="1" x14ac:dyDescent="0.25">
      <c r="A107" s="18" t="s">
        <v>6</v>
      </c>
      <c r="B107" s="18">
        <v>2024</v>
      </c>
      <c r="C107" s="18" t="s">
        <v>138</v>
      </c>
      <c r="D107" s="18" t="s">
        <v>10</v>
      </c>
      <c r="E107" s="18">
        <v>10</v>
      </c>
      <c r="F107" s="18" t="s">
        <v>135</v>
      </c>
      <c r="G107" s="18" t="s">
        <v>163</v>
      </c>
      <c r="H107" s="31">
        <f t="shared" si="49"/>
        <v>56.35</v>
      </c>
      <c r="I107" s="31">
        <v>56.85</v>
      </c>
      <c r="J107" s="4">
        <f t="shared" si="34"/>
        <v>0.5</v>
      </c>
      <c r="K107" s="5">
        <v>0.86</v>
      </c>
      <c r="L107" s="31">
        <f t="shared" si="35"/>
        <v>0.43</v>
      </c>
      <c r="M107" s="31">
        <v>2.6</v>
      </c>
      <c r="N107" s="31">
        <v>25.1</v>
      </c>
      <c r="O107" s="31">
        <f t="shared" si="30"/>
        <v>0.43</v>
      </c>
      <c r="P107" s="31">
        <v>430</v>
      </c>
      <c r="Q107" s="31">
        <v>1</v>
      </c>
      <c r="R107" s="31">
        <v>0.43</v>
      </c>
      <c r="S107" s="31">
        <v>0</v>
      </c>
      <c r="T107" s="86">
        <f t="shared" si="50"/>
        <v>0</v>
      </c>
      <c r="U107" s="31">
        <v>5</v>
      </c>
      <c r="V107" s="31"/>
      <c r="W107" s="31">
        <f t="shared" si="51"/>
        <v>5</v>
      </c>
      <c r="X107" s="31">
        <f t="shared" si="54"/>
        <v>86</v>
      </c>
      <c r="Y107" s="31">
        <f t="shared" si="36"/>
        <v>8.5999999999999993E-2</v>
      </c>
      <c r="Z107" s="18">
        <v>20</v>
      </c>
      <c r="AA107" s="18" t="s">
        <v>96</v>
      </c>
      <c r="AB107" s="18" t="s">
        <v>116</v>
      </c>
      <c r="AC107" s="18" t="s">
        <v>337</v>
      </c>
      <c r="AD107" s="18">
        <v>1</v>
      </c>
      <c r="AE107" s="18">
        <v>430</v>
      </c>
      <c r="AF107" s="18" t="s">
        <v>29</v>
      </c>
      <c r="AG107" s="18" t="s">
        <v>32</v>
      </c>
      <c r="AH107" s="18" t="s">
        <v>32</v>
      </c>
      <c r="AI107" s="18" t="s">
        <v>64</v>
      </c>
      <c r="AJ107" s="18" t="s">
        <v>77</v>
      </c>
      <c r="AK107" s="18" t="s">
        <v>96</v>
      </c>
      <c r="AL107" s="18" t="s">
        <v>109</v>
      </c>
      <c r="AM107" s="18" t="s">
        <v>118</v>
      </c>
      <c r="AN107" s="18" t="s">
        <v>198</v>
      </c>
      <c r="AO107" s="18"/>
      <c r="AP107" s="18"/>
      <c r="AQ107" s="18">
        <f>+VLOOKUP(AI107,Leyenda!$B$30:$E$34,3,FALSE)</f>
        <v>2</v>
      </c>
      <c r="AR107" s="18">
        <f>+VLOOKUP('3. Blasting'!AJ107,Meteorizacion,3,FALSE)</f>
        <v>3</v>
      </c>
      <c r="AS107" s="18">
        <f>+VLOOKUP('3. Blasting'!AK107,Apertura,3,FALSE)</f>
        <v>1</v>
      </c>
      <c r="AT107" s="18">
        <f>+VLOOKUP('3. Blasting'!AL107,Leyenda!$B$55:$D$59,3,FALSE)</f>
        <v>1</v>
      </c>
      <c r="AU107" s="18">
        <f>+VLOOKUP('3. Blasting'!AM107,Relleno,3,FALSE)</f>
        <v>2</v>
      </c>
      <c r="AV107" s="18">
        <f t="shared" si="52"/>
        <v>9</v>
      </c>
      <c r="AW107" s="49">
        <f t="shared" si="37"/>
        <v>4</v>
      </c>
      <c r="AX107" s="49">
        <f>VLOOKUP(AF107,Leyenda!$B$4:$D$10,3,FALSE)</f>
        <v>2</v>
      </c>
      <c r="AY107" s="49">
        <f t="shared" si="31"/>
        <v>12</v>
      </c>
      <c r="AZ107" s="49">
        <f t="shared" si="38"/>
        <v>9</v>
      </c>
      <c r="BA107" s="49">
        <f>VLOOKUP(AN107,Leyenda!$B$70:$D$75,3,FALSE)</f>
        <v>15</v>
      </c>
      <c r="BB107" s="67">
        <f t="shared" si="39"/>
        <v>13.5</v>
      </c>
      <c r="BC107" s="67">
        <f>VLOOKUP(AF107,Leyenda!$B$4:$E$10,4,FALSE)</f>
        <v>2</v>
      </c>
      <c r="BD107" s="67">
        <f t="shared" si="40"/>
        <v>7</v>
      </c>
      <c r="BE107" s="67">
        <f t="shared" si="41"/>
        <v>0</v>
      </c>
      <c r="BF107" s="67">
        <f>+VLOOKUP('3. Blasting'!AK107,Leyenda!$B$47:$E$51,4,FALSE)</f>
        <v>1</v>
      </c>
      <c r="BG107" s="67">
        <f>+VLOOKUP('3. Blasting'!AL107,Leyenda!$B$55:$E$59,4,FALSE)</f>
        <v>1</v>
      </c>
      <c r="BH107" s="67">
        <f>+VLOOKUP('3. Blasting'!AM107,Leyenda!$B$63:$E$67,3,FALSE)</f>
        <v>2</v>
      </c>
      <c r="BI107" s="67">
        <f>+VLOOKUP('3. Blasting'!AJ107,Leyenda!$B$39:$E$43,4,FALSE)</f>
        <v>3</v>
      </c>
      <c r="BJ107" s="67">
        <f>+VLOOKUP('3. Blasting'!AI107,Leyenda!$B$30:$E$34,4,FALSE)</f>
        <v>3</v>
      </c>
      <c r="BK107" s="67">
        <f>VLOOKUP(AN107,Leyenda!$B$71:$E$75,4,FALSE)</f>
        <v>10</v>
      </c>
      <c r="BL107" s="67">
        <f t="shared" si="42"/>
        <v>29</v>
      </c>
      <c r="BM107" s="18">
        <f t="shared" si="43"/>
        <v>42</v>
      </c>
      <c r="BN107" s="18">
        <f t="shared" si="53"/>
        <v>0.96345031503825707</v>
      </c>
      <c r="BO107" s="18"/>
      <c r="BP107" s="6">
        <f t="shared" si="44"/>
        <v>10</v>
      </c>
      <c r="BQ107" s="6">
        <f t="shared" si="45"/>
        <v>10</v>
      </c>
      <c r="BR107" s="6">
        <v>20</v>
      </c>
      <c r="BS107" s="6">
        <f t="shared" si="46"/>
        <v>15</v>
      </c>
      <c r="BT107" s="6">
        <f t="shared" si="47"/>
        <v>1.2550000000000001</v>
      </c>
      <c r="BU107" s="6">
        <f t="shared" si="48"/>
        <v>28.127500000000001</v>
      </c>
      <c r="BV107" s="18">
        <f t="shared" si="32"/>
        <v>0.11251000000000001</v>
      </c>
      <c r="BW107" s="18">
        <f t="shared" si="33"/>
        <v>0.29252600000000006</v>
      </c>
    </row>
    <row r="108" spans="1:75" hidden="1" x14ac:dyDescent="0.25">
      <c r="A108" s="18" t="s">
        <v>6</v>
      </c>
      <c r="B108" s="18">
        <v>2024</v>
      </c>
      <c r="C108" s="18" t="s">
        <v>138</v>
      </c>
      <c r="D108" s="18" t="s">
        <v>10</v>
      </c>
      <c r="E108" s="18">
        <v>10</v>
      </c>
      <c r="F108" s="18" t="s">
        <v>135</v>
      </c>
      <c r="G108" s="18" t="s">
        <v>163</v>
      </c>
      <c r="H108" s="31">
        <f t="shared" si="49"/>
        <v>56.85</v>
      </c>
      <c r="I108" s="31">
        <v>57.35</v>
      </c>
      <c r="J108" s="4">
        <f t="shared" si="34"/>
        <v>0.5</v>
      </c>
      <c r="K108" s="5">
        <v>0.6</v>
      </c>
      <c r="L108" s="31">
        <f t="shared" si="35"/>
        <v>0.3</v>
      </c>
      <c r="M108" s="31">
        <v>2.6</v>
      </c>
      <c r="N108" s="31">
        <v>25.1</v>
      </c>
      <c r="O108" s="31">
        <f t="shared" si="30"/>
        <v>0.3</v>
      </c>
      <c r="P108" s="31">
        <v>15</v>
      </c>
      <c r="Q108" s="31">
        <v>20</v>
      </c>
      <c r="R108" s="31">
        <v>0.28999999999999998</v>
      </c>
      <c r="S108" s="31">
        <v>0</v>
      </c>
      <c r="T108" s="86">
        <f t="shared" si="50"/>
        <v>0</v>
      </c>
      <c r="U108" s="31">
        <v>10</v>
      </c>
      <c r="V108" s="31"/>
      <c r="W108" s="31">
        <f t="shared" si="51"/>
        <v>10</v>
      </c>
      <c r="X108" s="31">
        <f t="shared" si="54"/>
        <v>29</v>
      </c>
      <c r="Y108" s="31">
        <f t="shared" si="36"/>
        <v>2.9000000000000001E-2</v>
      </c>
      <c r="Z108" s="18">
        <v>0</v>
      </c>
      <c r="AA108" s="18" t="s">
        <v>100</v>
      </c>
      <c r="AB108" s="18" t="s">
        <v>333</v>
      </c>
      <c r="AC108" s="18" t="s">
        <v>336</v>
      </c>
      <c r="AD108" s="18">
        <v>20</v>
      </c>
      <c r="AE108" s="18">
        <v>15</v>
      </c>
      <c r="AF108" s="18" t="s">
        <v>32</v>
      </c>
      <c r="AG108" s="18" t="s">
        <v>34</v>
      </c>
      <c r="AH108" s="18" t="s">
        <v>34</v>
      </c>
      <c r="AI108" s="18" t="s">
        <v>66</v>
      </c>
      <c r="AJ108" s="18" t="s">
        <v>81</v>
      </c>
      <c r="AK108" s="18" t="s">
        <v>100</v>
      </c>
      <c r="AL108" s="18" t="s">
        <v>109</v>
      </c>
      <c r="AM108" s="18" t="s">
        <v>122</v>
      </c>
      <c r="AN108" s="18" t="s">
        <v>198</v>
      </c>
      <c r="AO108" s="18"/>
      <c r="AP108" s="18"/>
      <c r="AQ108" s="18">
        <f>+VLOOKUP(AI108,Leyenda!$B$30:$E$34,3,FALSE)</f>
        <v>1</v>
      </c>
      <c r="AR108" s="18">
        <f>+VLOOKUP('3. Blasting'!AJ108,Meteorizacion,3,FALSE)</f>
        <v>0</v>
      </c>
      <c r="AS108" s="18">
        <f>+VLOOKUP('3. Blasting'!AK108,Apertura,3,FALSE)</f>
        <v>0</v>
      </c>
      <c r="AT108" s="18">
        <f>+VLOOKUP('3. Blasting'!AL108,Leyenda!$B$55:$D$59,3,FALSE)</f>
        <v>1</v>
      </c>
      <c r="AU108" s="18">
        <f>+VLOOKUP('3. Blasting'!AM108,Relleno,3,FALSE)</f>
        <v>0</v>
      </c>
      <c r="AV108" s="18">
        <f t="shared" si="52"/>
        <v>2</v>
      </c>
      <c r="AW108" s="49">
        <f t="shared" si="37"/>
        <v>0</v>
      </c>
      <c r="AX108" s="49">
        <f>VLOOKUP(AF108,Leyenda!$B$4:$D$10,3,FALSE)</f>
        <v>1</v>
      </c>
      <c r="AY108" s="49">
        <f t="shared" si="31"/>
        <v>4</v>
      </c>
      <c r="AZ108" s="49">
        <f t="shared" si="38"/>
        <v>2</v>
      </c>
      <c r="BA108" s="49">
        <f>VLOOKUP(AN108,Leyenda!$B$70:$D$75,3,FALSE)</f>
        <v>15</v>
      </c>
      <c r="BB108" s="67">
        <f t="shared" si="39"/>
        <v>3</v>
      </c>
      <c r="BC108" s="67">
        <f>VLOOKUP(AF108,Leyenda!$B$4:$E$10,4,FALSE)</f>
        <v>1</v>
      </c>
      <c r="BD108" s="67">
        <f t="shared" si="40"/>
        <v>5</v>
      </c>
      <c r="BE108" s="67">
        <f t="shared" si="41"/>
        <v>0</v>
      </c>
      <c r="BF108" s="67">
        <f>+VLOOKUP('3. Blasting'!AK108,Leyenda!$B$47:$E$51,4,FALSE)</f>
        <v>0</v>
      </c>
      <c r="BG108" s="67">
        <f>+VLOOKUP('3. Blasting'!AL108,Leyenda!$B$55:$E$59,4,FALSE)</f>
        <v>1</v>
      </c>
      <c r="BH108" s="67">
        <f>+VLOOKUP('3. Blasting'!AM108,Leyenda!$B$63:$E$67,3,FALSE)</f>
        <v>0</v>
      </c>
      <c r="BI108" s="67">
        <f>+VLOOKUP('3. Blasting'!AJ108,Leyenda!$B$39:$E$43,4,FALSE)</f>
        <v>0</v>
      </c>
      <c r="BJ108" s="67">
        <f>+VLOOKUP('3. Blasting'!AI108,Leyenda!$B$30:$E$34,4,FALSE)</f>
        <v>1</v>
      </c>
      <c r="BK108" s="67">
        <f>VLOOKUP(AN108,Leyenda!$B$71:$E$75,4,FALSE)</f>
        <v>10</v>
      </c>
      <c r="BL108" s="67">
        <f t="shared" si="42"/>
        <v>18</v>
      </c>
      <c r="BM108" s="18">
        <f t="shared" si="43"/>
        <v>22</v>
      </c>
      <c r="BN108" s="18">
        <f t="shared" si="53"/>
        <v>0.9633325808360087</v>
      </c>
      <c r="BO108" s="18"/>
      <c r="BP108" s="6">
        <f t="shared" si="44"/>
        <v>10</v>
      </c>
      <c r="BQ108" s="6">
        <f t="shared" si="45"/>
        <v>10</v>
      </c>
      <c r="BR108" s="6">
        <v>20</v>
      </c>
      <c r="BS108" s="6">
        <f t="shared" si="46"/>
        <v>15</v>
      </c>
      <c r="BT108" s="6">
        <f t="shared" si="47"/>
        <v>1.2550000000000001</v>
      </c>
      <c r="BU108" s="6">
        <f t="shared" si="48"/>
        <v>28.127500000000001</v>
      </c>
      <c r="BV108" s="18">
        <f t="shared" si="32"/>
        <v>0.11251000000000001</v>
      </c>
      <c r="BW108" s="18">
        <f t="shared" si="33"/>
        <v>0.29252600000000006</v>
      </c>
    </row>
    <row r="109" spans="1:75" hidden="1" x14ac:dyDescent="0.25">
      <c r="A109" s="18" t="s">
        <v>6</v>
      </c>
      <c r="B109" s="18">
        <v>2024</v>
      </c>
      <c r="C109" s="18" t="s">
        <v>138</v>
      </c>
      <c r="D109" s="18" t="s">
        <v>10</v>
      </c>
      <c r="E109" s="18">
        <v>10</v>
      </c>
      <c r="F109" s="18" t="s">
        <v>135</v>
      </c>
      <c r="G109" s="18" t="s">
        <v>163</v>
      </c>
      <c r="H109" s="31">
        <f t="shared" si="49"/>
        <v>57.35</v>
      </c>
      <c r="I109" s="31">
        <v>57.85</v>
      </c>
      <c r="J109" s="4">
        <f t="shared" si="34"/>
        <v>0.5</v>
      </c>
      <c r="K109" s="5">
        <v>1</v>
      </c>
      <c r="L109" s="31">
        <f t="shared" si="35"/>
        <v>0.5</v>
      </c>
      <c r="M109" s="31">
        <v>2.6</v>
      </c>
      <c r="N109" s="31">
        <v>25.1</v>
      </c>
      <c r="O109" s="31">
        <f t="shared" si="30"/>
        <v>0.5</v>
      </c>
      <c r="P109" s="31">
        <v>25</v>
      </c>
      <c r="Q109" s="31">
        <v>20</v>
      </c>
      <c r="R109" s="31">
        <v>0.25</v>
      </c>
      <c r="S109" s="31">
        <v>0</v>
      </c>
      <c r="T109" s="86">
        <f t="shared" si="50"/>
        <v>0</v>
      </c>
      <c r="U109" s="31">
        <v>15</v>
      </c>
      <c r="V109" s="31"/>
      <c r="W109" s="31">
        <f t="shared" si="51"/>
        <v>15</v>
      </c>
      <c r="X109" s="31">
        <f t="shared" si="54"/>
        <v>16.666666666666668</v>
      </c>
      <c r="Y109" s="31">
        <f t="shared" si="36"/>
        <v>1.6666666666666666E-2</v>
      </c>
      <c r="Z109" s="18">
        <v>0</v>
      </c>
      <c r="AA109" s="18" t="s">
        <v>100</v>
      </c>
      <c r="AB109" s="18" t="s">
        <v>333</v>
      </c>
      <c r="AC109" s="18" t="s">
        <v>336</v>
      </c>
      <c r="AD109" s="18">
        <v>20</v>
      </c>
      <c r="AE109" s="18">
        <v>25</v>
      </c>
      <c r="AF109" s="18" t="s">
        <v>32</v>
      </c>
      <c r="AG109" s="18" t="s">
        <v>34</v>
      </c>
      <c r="AH109" s="18" t="s">
        <v>34</v>
      </c>
      <c r="AI109" s="18" t="s">
        <v>66</v>
      </c>
      <c r="AJ109" s="18" t="s">
        <v>81</v>
      </c>
      <c r="AK109" s="18" t="s">
        <v>100</v>
      </c>
      <c r="AL109" s="18" t="s">
        <v>109</v>
      </c>
      <c r="AM109" s="18" t="s">
        <v>122</v>
      </c>
      <c r="AN109" s="18" t="s">
        <v>198</v>
      </c>
      <c r="AO109" s="18"/>
      <c r="AP109" s="18"/>
      <c r="AQ109" s="18">
        <f>+VLOOKUP(AI109,Leyenda!$B$30:$E$34,3,FALSE)</f>
        <v>1</v>
      </c>
      <c r="AR109" s="18">
        <f>+VLOOKUP('3. Blasting'!AJ109,Meteorizacion,3,FALSE)</f>
        <v>0</v>
      </c>
      <c r="AS109" s="18">
        <f>+VLOOKUP('3. Blasting'!AK109,Apertura,3,FALSE)</f>
        <v>0</v>
      </c>
      <c r="AT109" s="18">
        <f>+VLOOKUP('3. Blasting'!AL109,Leyenda!$B$55:$D$59,3,FALSE)</f>
        <v>1</v>
      </c>
      <c r="AU109" s="18">
        <f>+VLOOKUP('3. Blasting'!AM109,Relleno,3,FALSE)</f>
        <v>0</v>
      </c>
      <c r="AV109" s="18">
        <f t="shared" si="52"/>
        <v>2</v>
      </c>
      <c r="AW109" s="49">
        <f t="shared" si="37"/>
        <v>0</v>
      </c>
      <c r="AX109" s="49">
        <f>VLOOKUP(AF109,Leyenda!$B$4:$D$10,3,FALSE)</f>
        <v>1</v>
      </c>
      <c r="AY109" s="49">
        <f t="shared" si="31"/>
        <v>5</v>
      </c>
      <c r="AZ109" s="49">
        <f t="shared" si="38"/>
        <v>2</v>
      </c>
      <c r="BA109" s="49">
        <f>VLOOKUP(AN109,Leyenda!$B$70:$D$75,3,FALSE)</f>
        <v>15</v>
      </c>
      <c r="BB109" s="67">
        <f t="shared" si="39"/>
        <v>3</v>
      </c>
      <c r="BC109" s="67">
        <f>VLOOKUP(AF109,Leyenda!$B$4:$E$10,4,FALSE)</f>
        <v>1</v>
      </c>
      <c r="BD109" s="67">
        <f t="shared" si="40"/>
        <v>5</v>
      </c>
      <c r="BE109" s="67">
        <f t="shared" si="41"/>
        <v>0</v>
      </c>
      <c r="BF109" s="67">
        <f>+VLOOKUP('3. Blasting'!AK109,Leyenda!$B$47:$E$51,4,FALSE)</f>
        <v>0</v>
      </c>
      <c r="BG109" s="67">
        <f>+VLOOKUP('3. Blasting'!AL109,Leyenda!$B$55:$E$59,4,FALSE)</f>
        <v>1</v>
      </c>
      <c r="BH109" s="67">
        <f>+VLOOKUP('3. Blasting'!AM109,Leyenda!$B$63:$E$67,3,FALSE)</f>
        <v>0</v>
      </c>
      <c r="BI109" s="67">
        <f>+VLOOKUP('3. Blasting'!AJ109,Leyenda!$B$39:$E$43,4,FALSE)</f>
        <v>0</v>
      </c>
      <c r="BJ109" s="67">
        <f>+VLOOKUP('3. Blasting'!AI109,Leyenda!$B$30:$E$34,4,FALSE)</f>
        <v>1</v>
      </c>
      <c r="BK109" s="67">
        <f>VLOOKUP(AN109,Leyenda!$B$71:$E$75,4,FALSE)</f>
        <v>10</v>
      </c>
      <c r="BL109" s="67">
        <f t="shared" si="42"/>
        <v>18</v>
      </c>
      <c r="BM109" s="18">
        <f t="shared" si="43"/>
        <v>23</v>
      </c>
      <c r="BN109" s="18">
        <f t="shared" si="53"/>
        <v>0.96243848520621755</v>
      </c>
      <c r="BO109" s="18"/>
      <c r="BP109" s="6">
        <f t="shared" si="44"/>
        <v>10</v>
      </c>
      <c r="BQ109" s="6">
        <f t="shared" si="45"/>
        <v>10</v>
      </c>
      <c r="BR109" s="6">
        <v>20</v>
      </c>
      <c r="BS109" s="6">
        <f t="shared" si="46"/>
        <v>15</v>
      </c>
      <c r="BT109" s="6">
        <f t="shared" si="47"/>
        <v>1.2550000000000001</v>
      </c>
      <c r="BU109" s="6">
        <f t="shared" si="48"/>
        <v>28.127500000000001</v>
      </c>
      <c r="BV109" s="18">
        <f t="shared" si="32"/>
        <v>0.11251000000000001</v>
      </c>
      <c r="BW109" s="18">
        <f t="shared" si="33"/>
        <v>0.29252600000000006</v>
      </c>
    </row>
    <row r="110" spans="1:75" hidden="1" x14ac:dyDescent="0.25">
      <c r="A110" s="18" t="s">
        <v>6</v>
      </c>
      <c r="B110" s="18">
        <v>2024</v>
      </c>
      <c r="C110" s="18" t="s">
        <v>138</v>
      </c>
      <c r="D110" s="18" t="s">
        <v>10</v>
      </c>
      <c r="E110" s="18">
        <v>10</v>
      </c>
      <c r="F110" s="18" t="s">
        <v>135</v>
      </c>
      <c r="G110" s="18" t="s">
        <v>163</v>
      </c>
      <c r="H110" s="31">
        <f t="shared" si="49"/>
        <v>57.85</v>
      </c>
      <c r="I110" s="31">
        <v>58.35</v>
      </c>
      <c r="J110" s="4">
        <f t="shared" si="34"/>
        <v>0.5</v>
      </c>
      <c r="K110" s="5">
        <v>1</v>
      </c>
      <c r="L110" s="31">
        <f t="shared" si="35"/>
        <v>0.5</v>
      </c>
      <c r="M110" s="31">
        <v>2.6</v>
      </c>
      <c r="N110" s="31">
        <v>25.1</v>
      </c>
      <c r="O110" s="31">
        <f t="shared" si="30"/>
        <v>0.5</v>
      </c>
      <c r="P110" s="31">
        <v>500</v>
      </c>
      <c r="Q110" s="31">
        <v>1</v>
      </c>
      <c r="R110" s="31">
        <v>0.47</v>
      </c>
      <c r="S110" s="31">
        <v>0.4</v>
      </c>
      <c r="T110" s="86">
        <f t="shared" si="50"/>
        <v>80</v>
      </c>
      <c r="U110" s="31">
        <v>2</v>
      </c>
      <c r="V110" s="31"/>
      <c r="W110" s="31">
        <f t="shared" si="51"/>
        <v>2</v>
      </c>
      <c r="X110" s="31">
        <f t="shared" si="54"/>
        <v>235</v>
      </c>
      <c r="Y110" s="31">
        <f t="shared" si="36"/>
        <v>0.23499999999999999</v>
      </c>
      <c r="Z110" s="18">
        <v>100</v>
      </c>
      <c r="AA110" s="18" t="s">
        <v>96</v>
      </c>
      <c r="AB110" s="18" t="s">
        <v>116</v>
      </c>
      <c r="AC110" s="18" t="s">
        <v>334</v>
      </c>
      <c r="AD110" s="18">
        <v>1</v>
      </c>
      <c r="AE110" s="18">
        <v>500</v>
      </c>
      <c r="AF110" s="18" t="s">
        <v>27</v>
      </c>
      <c r="AG110" s="18" t="s">
        <v>29</v>
      </c>
      <c r="AH110" s="18" t="s">
        <v>29</v>
      </c>
      <c r="AI110" s="18" t="s">
        <v>64</v>
      </c>
      <c r="AJ110" s="18" t="s">
        <v>77</v>
      </c>
      <c r="AK110" s="18" t="s">
        <v>92</v>
      </c>
      <c r="AL110" s="18" t="s">
        <v>107</v>
      </c>
      <c r="AM110" s="18" t="s">
        <v>118</v>
      </c>
      <c r="AN110" s="18" t="s">
        <v>198</v>
      </c>
      <c r="AO110" s="18" t="s">
        <v>207</v>
      </c>
      <c r="AP110" s="18"/>
      <c r="AQ110" s="18">
        <f>+VLOOKUP(AI110,Leyenda!$B$30:$E$34,3,FALSE)</f>
        <v>2</v>
      </c>
      <c r="AR110" s="18">
        <f>+VLOOKUP('3. Blasting'!AJ110,Meteorizacion,3,FALSE)</f>
        <v>3</v>
      </c>
      <c r="AS110" s="18">
        <f>+VLOOKUP('3. Blasting'!AK110,Apertura,3,FALSE)</f>
        <v>3</v>
      </c>
      <c r="AT110" s="18">
        <f>+VLOOKUP('3. Blasting'!AL110,Leyenda!$B$55:$D$59,3,FALSE)</f>
        <v>3</v>
      </c>
      <c r="AU110" s="18">
        <f>+VLOOKUP('3. Blasting'!AM110,Relleno,3,FALSE)</f>
        <v>2</v>
      </c>
      <c r="AV110" s="18">
        <f t="shared" si="52"/>
        <v>13</v>
      </c>
      <c r="AW110" s="49">
        <f t="shared" si="37"/>
        <v>20</v>
      </c>
      <c r="AX110" s="49">
        <f>VLOOKUP(AF110,Leyenda!$B$4:$D$10,3,FALSE)</f>
        <v>4</v>
      </c>
      <c r="AY110" s="49">
        <f t="shared" si="31"/>
        <v>12</v>
      </c>
      <c r="AZ110" s="49">
        <f t="shared" si="38"/>
        <v>13</v>
      </c>
      <c r="BA110" s="49">
        <f>VLOOKUP(AN110,Leyenda!$B$70:$D$75,3,FALSE)</f>
        <v>15</v>
      </c>
      <c r="BB110" s="67">
        <f t="shared" si="39"/>
        <v>59.5</v>
      </c>
      <c r="BC110" s="67">
        <f>VLOOKUP(AF110,Leyenda!$B$4:$E$10,4,FALSE)</f>
        <v>4</v>
      </c>
      <c r="BD110" s="67">
        <f t="shared" si="40"/>
        <v>13</v>
      </c>
      <c r="BE110" s="67">
        <f t="shared" si="41"/>
        <v>16</v>
      </c>
      <c r="BF110" s="67">
        <f>+VLOOKUP('3. Blasting'!AK110,Leyenda!$B$47:$E$51,4,FALSE)</f>
        <v>3</v>
      </c>
      <c r="BG110" s="67">
        <f>+VLOOKUP('3. Blasting'!AL110,Leyenda!$B$55:$E$59,4,FALSE)</f>
        <v>3</v>
      </c>
      <c r="BH110" s="67">
        <f>+VLOOKUP('3. Blasting'!AM110,Leyenda!$B$63:$E$67,3,FALSE)</f>
        <v>2</v>
      </c>
      <c r="BI110" s="67">
        <f>+VLOOKUP('3. Blasting'!AJ110,Leyenda!$B$39:$E$43,4,FALSE)</f>
        <v>3</v>
      </c>
      <c r="BJ110" s="67">
        <f>+VLOOKUP('3. Blasting'!AI110,Leyenda!$B$30:$E$34,4,FALSE)</f>
        <v>3</v>
      </c>
      <c r="BK110" s="67">
        <f>VLOOKUP(AN110,Leyenda!$B$71:$E$75,4,FALSE)</f>
        <v>10</v>
      </c>
      <c r="BL110" s="67">
        <f t="shared" si="42"/>
        <v>57</v>
      </c>
      <c r="BM110" s="18">
        <f t="shared" si="43"/>
        <v>64</v>
      </c>
      <c r="BN110" s="18">
        <f t="shared" si="53"/>
        <v>0.96221043766309433</v>
      </c>
      <c r="BO110" s="18"/>
      <c r="BP110" s="6">
        <f t="shared" si="44"/>
        <v>30</v>
      </c>
      <c r="BQ110" s="6">
        <f t="shared" si="45"/>
        <v>20</v>
      </c>
      <c r="BR110" s="6">
        <v>20</v>
      </c>
      <c r="BS110" s="6">
        <f t="shared" si="46"/>
        <v>15</v>
      </c>
      <c r="BT110" s="6">
        <f t="shared" si="47"/>
        <v>1.2550000000000001</v>
      </c>
      <c r="BU110" s="6">
        <f t="shared" si="48"/>
        <v>43.127499999999998</v>
      </c>
      <c r="BV110" s="18">
        <f t="shared" si="32"/>
        <v>0.17251</v>
      </c>
      <c r="BW110" s="18">
        <f t="shared" si="33"/>
        <v>0.44852599999999998</v>
      </c>
    </row>
    <row r="111" spans="1:75" hidden="1" x14ac:dyDescent="0.25">
      <c r="A111" s="18" t="s">
        <v>6</v>
      </c>
      <c r="B111" s="18">
        <v>2024</v>
      </c>
      <c r="C111" s="18" t="s">
        <v>138</v>
      </c>
      <c r="D111" s="18" t="s">
        <v>10</v>
      </c>
      <c r="E111" s="18">
        <v>10</v>
      </c>
      <c r="F111" s="18" t="s">
        <v>135</v>
      </c>
      <c r="G111" s="18" t="s">
        <v>163</v>
      </c>
      <c r="H111" s="31">
        <f t="shared" si="49"/>
        <v>58.35</v>
      </c>
      <c r="I111" s="31">
        <v>58.9</v>
      </c>
      <c r="J111" s="4">
        <f t="shared" si="34"/>
        <v>0.54999999999999716</v>
      </c>
      <c r="K111" s="5">
        <v>1</v>
      </c>
      <c r="L111" s="31">
        <f t="shared" si="35"/>
        <v>0.54999999999999716</v>
      </c>
      <c r="M111" s="31">
        <v>2.6</v>
      </c>
      <c r="N111" s="31">
        <v>25.1</v>
      </c>
      <c r="O111" s="31">
        <f t="shared" si="30"/>
        <v>0.54999999999999716</v>
      </c>
      <c r="P111" s="31">
        <v>109.99999999999943</v>
      </c>
      <c r="Q111" s="31">
        <v>5</v>
      </c>
      <c r="R111" s="31">
        <v>0.51</v>
      </c>
      <c r="S111" s="31">
        <v>0.3</v>
      </c>
      <c r="T111" s="86">
        <f t="shared" si="50"/>
        <v>54.545454545454831</v>
      </c>
      <c r="U111" s="31">
        <v>3</v>
      </c>
      <c r="V111" s="31"/>
      <c r="W111" s="31">
        <f t="shared" si="51"/>
        <v>3</v>
      </c>
      <c r="X111" s="31">
        <f t="shared" si="54"/>
        <v>170</v>
      </c>
      <c r="Y111" s="31">
        <f t="shared" si="36"/>
        <v>0.17</v>
      </c>
      <c r="Z111" s="18">
        <v>45</v>
      </c>
      <c r="AA111" s="18" t="s">
        <v>92</v>
      </c>
      <c r="AB111" s="18" t="s">
        <v>118</v>
      </c>
      <c r="AC111" s="18" t="s">
        <v>334</v>
      </c>
      <c r="AD111" s="18">
        <v>5</v>
      </c>
      <c r="AE111" s="18">
        <v>109.99999999999943</v>
      </c>
      <c r="AF111" s="18" t="s">
        <v>27</v>
      </c>
      <c r="AG111" s="18" t="s">
        <v>29</v>
      </c>
      <c r="AH111" s="18" t="s">
        <v>29</v>
      </c>
      <c r="AI111" s="18" t="s">
        <v>64</v>
      </c>
      <c r="AJ111" s="18" t="s">
        <v>79</v>
      </c>
      <c r="AK111" s="18" t="s">
        <v>92</v>
      </c>
      <c r="AL111" s="18" t="s">
        <v>107</v>
      </c>
      <c r="AM111" s="18" t="s">
        <v>118</v>
      </c>
      <c r="AN111" s="18" t="s">
        <v>198</v>
      </c>
      <c r="AO111" s="18"/>
      <c r="AP111" s="18"/>
      <c r="AQ111" s="18">
        <f>+VLOOKUP(AI111,Leyenda!$B$30:$E$34,3,FALSE)</f>
        <v>2</v>
      </c>
      <c r="AR111" s="18">
        <f>+VLOOKUP('3. Blasting'!AJ111,Meteorizacion,3,FALSE)</f>
        <v>1</v>
      </c>
      <c r="AS111" s="18">
        <f>+VLOOKUP('3. Blasting'!AK111,Apertura,3,FALSE)</f>
        <v>3</v>
      </c>
      <c r="AT111" s="18">
        <f>+VLOOKUP('3. Blasting'!AL111,Leyenda!$B$55:$D$59,3,FALSE)</f>
        <v>3</v>
      </c>
      <c r="AU111" s="18">
        <f>+VLOOKUP('3. Blasting'!AM111,Relleno,3,FALSE)</f>
        <v>2</v>
      </c>
      <c r="AV111" s="18">
        <f t="shared" si="52"/>
        <v>11</v>
      </c>
      <c r="AW111" s="49">
        <f t="shared" si="37"/>
        <v>9</v>
      </c>
      <c r="AX111" s="49">
        <f>VLOOKUP(AF111,Leyenda!$B$4:$D$10,3,FALSE)</f>
        <v>4</v>
      </c>
      <c r="AY111" s="49">
        <f t="shared" si="31"/>
        <v>7</v>
      </c>
      <c r="AZ111" s="49">
        <f t="shared" si="38"/>
        <v>11</v>
      </c>
      <c r="BA111" s="49">
        <f>VLOOKUP(AN111,Leyenda!$B$70:$D$75,3,FALSE)</f>
        <v>15</v>
      </c>
      <c r="BB111" s="67">
        <f t="shared" si="39"/>
        <v>43.772727272727415</v>
      </c>
      <c r="BC111" s="67">
        <f>VLOOKUP(AF111,Leyenda!$B$4:$E$10,4,FALSE)</f>
        <v>4</v>
      </c>
      <c r="BD111" s="67">
        <f t="shared" si="40"/>
        <v>11</v>
      </c>
      <c r="BE111" s="67">
        <f t="shared" si="41"/>
        <v>11</v>
      </c>
      <c r="BF111" s="67">
        <f>+VLOOKUP('3. Blasting'!AK111,Leyenda!$B$47:$E$51,4,FALSE)</f>
        <v>3</v>
      </c>
      <c r="BG111" s="67">
        <f>+VLOOKUP('3. Blasting'!AL111,Leyenda!$B$55:$E$59,4,FALSE)</f>
        <v>3</v>
      </c>
      <c r="BH111" s="67">
        <f>+VLOOKUP('3. Blasting'!AM111,Leyenda!$B$63:$E$67,3,FALSE)</f>
        <v>2</v>
      </c>
      <c r="BI111" s="67">
        <f>+VLOOKUP('3. Blasting'!AJ111,Leyenda!$B$39:$E$43,4,FALSE)</f>
        <v>1</v>
      </c>
      <c r="BJ111" s="67">
        <f>+VLOOKUP('3. Blasting'!AI111,Leyenda!$B$30:$E$34,4,FALSE)</f>
        <v>3</v>
      </c>
      <c r="BK111" s="67">
        <f>VLOOKUP(AN111,Leyenda!$B$71:$E$75,4,FALSE)</f>
        <v>10</v>
      </c>
      <c r="BL111" s="67">
        <f t="shared" si="42"/>
        <v>48</v>
      </c>
      <c r="BM111" s="18">
        <f t="shared" si="43"/>
        <v>46</v>
      </c>
      <c r="BN111" s="18">
        <f t="shared" si="53"/>
        <v>0.96011223568801485</v>
      </c>
      <c r="BO111" s="18"/>
      <c r="BP111" s="6">
        <f t="shared" si="44"/>
        <v>30</v>
      </c>
      <c r="BQ111" s="6">
        <f t="shared" si="45"/>
        <v>20</v>
      </c>
      <c r="BR111" s="6">
        <v>20</v>
      </c>
      <c r="BS111" s="6">
        <f t="shared" si="46"/>
        <v>15</v>
      </c>
      <c r="BT111" s="6">
        <f t="shared" si="47"/>
        <v>1.2550000000000001</v>
      </c>
      <c r="BU111" s="6">
        <f t="shared" si="48"/>
        <v>43.127499999999998</v>
      </c>
      <c r="BV111" s="18">
        <f t="shared" si="32"/>
        <v>0.17251</v>
      </c>
      <c r="BW111" s="18">
        <f t="shared" si="33"/>
        <v>0.44852599999999998</v>
      </c>
    </row>
    <row r="112" spans="1:75" hidden="1" x14ac:dyDescent="0.25">
      <c r="A112" s="18" t="s">
        <v>6</v>
      </c>
      <c r="B112" s="18">
        <v>2024</v>
      </c>
      <c r="C112" s="18" t="s">
        <v>138</v>
      </c>
      <c r="D112" s="18" t="s">
        <v>10</v>
      </c>
      <c r="E112" s="18">
        <v>10</v>
      </c>
      <c r="F112" s="18" t="s">
        <v>135</v>
      </c>
      <c r="G112" s="18" t="s">
        <v>163</v>
      </c>
      <c r="H112" s="31">
        <f t="shared" si="49"/>
        <v>58.9</v>
      </c>
      <c r="I112" s="31">
        <v>59.5</v>
      </c>
      <c r="J112" s="4">
        <f t="shared" si="34"/>
        <v>0.60000000000000142</v>
      </c>
      <c r="K112" s="5">
        <v>1</v>
      </c>
      <c r="L112" s="31">
        <f t="shared" si="35"/>
        <v>0.60000000000000142</v>
      </c>
      <c r="M112" s="31">
        <v>2.6</v>
      </c>
      <c r="N112" s="31">
        <v>25.1</v>
      </c>
      <c r="O112" s="31">
        <f t="shared" si="30"/>
        <v>0.60000000000000142</v>
      </c>
      <c r="P112" s="31">
        <v>120.00000000000027</v>
      </c>
      <c r="Q112" s="31">
        <v>5</v>
      </c>
      <c r="R112" s="31">
        <v>0.51</v>
      </c>
      <c r="S112" s="31">
        <v>0.42</v>
      </c>
      <c r="T112" s="86">
        <f t="shared" si="50"/>
        <v>69.999999999999829</v>
      </c>
      <c r="U112" s="31">
        <v>3</v>
      </c>
      <c r="V112" s="31"/>
      <c r="W112" s="31">
        <f t="shared" si="51"/>
        <v>3</v>
      </c>
      <c r="X112" s="31">
        <f t="shared" si="54"/>
        <v>170</v>
      </c>
      <c r="Y112" s="31">
        <f t="shared" si="36"/>
        <v>0.17</v>
      </c>
      <c r="Z112" s="18">
        <v>83</v>
      </c>
      <c r="AA112" s="18" t="s">
        <v>96</v>
      </c>
      <c r="AB112" s="18" t="s">
        <v>118</v>
      </c>
      <c r="AC112" s="18" t="s">
        <v>334</v>
      </c>
      <c r="AD112" s="18">
        <v>5</v>
      </c>
      <c r="AE112" s="18">
        <v>120.00000000000027</v>
      </c>
      <c r="AF112" s="18" t="s">
        <v>27</v>
      </c>
      <c r="AG112" s="18" t="s">
        <v>29</v>
      </c>
      <c r="AH112" s="18" t="s">
        <v>29</v>
      </c>
      <c r="AI112" s="18" t="s">
        <v>64</v>
      </c>
      <c r="AJ112" s="18" t="s">
        <v>77</v>
      </c>
      <c r="AK112" s="18" t="s">
        <v>92</v>
      </c>
      <c r="AL112" s="18" t="s">
        <v>107</v>
      </c>
      <c r="AM112" s="18" t="s">
        <v>118</v>
      </c>
      <c r="AN112" s="18" t="s">
        <v>198</v>
      </c>
      <c r="AO112" s="18"/>
      <c r="AP112" s="18"/>
      <c r="AQ112" s="18">
        <f>+VLOOKUP(AI112,Leyenda!$B$30:$E$34,3,FALSE)</f>
        <v>2</v>
      </c>
      <c r="AR112" s="18">
        <f>+VLOOKUP('3. Blasting'!AJ112,Meteorizacion,3,FALSE)</f>
        <v>3</v>
      </c>
      <c r="AS112" s="18">
        <f>+VLOOKUP('3. Blasting'!AK112,Apertura,3,FALSE)</f>
        <v>3</v>
      </c>
      <c r="AT112" s="18">
        <f>+VLOOKUP('3. Blasting'!AL112,Leyenda!$B$55:$D$59,3,FALSE)</f>
        <v>3</v>
      </c>
      <c r="AU112" s="18">
        <f>+VLOOKUP('3. Blasting'!AM112,Relleno,3,FALSE)</f>
        <v>2</v>
      </c>
      <c r="AV112" s="18">
        <f t="shared" si="52"/>
        <v>13</v>
      </c>
      <c r="AW112" s="49">
        <f t="shared" si="37"/>
        <v>17</v>
      </c>
      <c r="AX112" s="49">
        <f>VLOOKUP(AF112,Leyenda!$B$4:$D$10,3,FALSE)</f>
        <v>4</v>
      </c>
      <c r="AY112" s="49">
        <f t="shared" si="31"/>
        <v>8</v>
      </c>
      <c r="AZ112" s="49">
        <f t="shared" si="38"/>
        <v>13</v>
      </c>
      <c r="BA112" s="49">
        <f>VLOOKUP(AN112,Leyenda!$B$70:$D$75,3,FALSE)</f>
        <v>15</v>
      </c>
      <c r="BB112" s="67">
        <f t="shared" si="39"/>
        <v>54.499999999999915</v>
      </c>
      <c r="BC112" s="67">
        <f>VLOOKUP(AF112,Leyenda!$B$4:$E$10,4,FALSE)</f>
        <v>4</v>
      </c>
      <c r="BD112" s="67">
        <f t="shared" si="40"/>
        <v>11</v>
      </c>
      <c r="BE112" s="67">
        <f t="shared" si="41"/>
        <v>14</v>
      </c>
      <c r="BF112" s="67">
        <f>+VLOOKUP('3. Blasting'!AK112,Leyenda!$B$47:$E$51,4,FALSE)</f>
        <v>3</v>
      </c>
      <c r="BG112" s="67">
        <f>+VLOOKUP('3. Blasting'!AL112,Leyenda!$B$55:$E$59,4,FALSE)</f>
        <v>3</v>
      </c>
      <c r="BH112" s="67">
        <f>+VLOOKUP('3. Blasting'!AM112,Leyenda!$B$63:$E$67,3,FALSE)</f>
        <v>2</v>
      </c>
      <c r="BI112" s="67">
        <f>+VLOOKUP('3. Blasting'!AJ112,Leyenda!$B$39:$E$43,4,FALSE)</f>
        <v>3</v>
      </c>
      <c r="BJ112" s="67">
        <f>+VLOOKUP('3. Blasting'!AI112,Leyenda!$B$30:$E$34,4,FALSE)</f>
        <v>3</v>
      </c>
      <c r="BK112" s="67">
        <f>VLOOKUP(AN112,Leyenda!$B$71:$E$75,4,FALSE)</f>
        <v>10</v>
      </c>
      <c r="BL112" s="67">
        <f t="shared" si="42"/>
        <v>53</v>
      </c>
      <c r="BM112" s="18">
        <f t="shared" si="43"/>
        <v>57</v>
      </c>
      <c r="BN112" s="18">
        <f t="shared" si="53"/>
        <v>0.95962287624748532</v>
      </c>
      <c r="BO112" s="18"/>
      <c r="BP112" s="6">
        <f t="shared" si="44"/>
        <v>30</v>
      </c>
      <c r="BQ112" s="6">
        <f t="shared" si="45"/>
        <v>20</v>
      </c>
      <c r="BR112" s="6">
        <v>20</v>
      </c>
      <c r="BS112" s="6">
        <f t="shared" si="46"/>
        <v>15</v>
      </c>
      <c r="BT112" s="6">
        <f t="shared" si="47"/>
        <v>1.2550000000000001</v>
      </c>
      <c r="BU112" s="6">
        <f t="shared" si="48"/>
        <v>43.127499999999998</v>
      </c>
      <c r="BV112" s="18">
        <f t="shared" si="32"/>
        <v>0.17251</v>
      </c>
      <c r="BW112" s="18">
        <f t="shared" si="33"/>
        <v>0.44852599999999998</v>
      </c>
    </row>
    <row r="113" spans="1:75" hidden="1" x14ac:dyDescent="0.25">
      <c r="A113" s="18" t="s">
        <v>6</v>
      </c>
      <c r="B113" s="18">
        <v>2024</v>
      </c>
      <c r="C113" s="18" t="s">
        <v>138</v>
      </c>
      <c r="D113" s="18" t="s">
        <v>10</v>
      </c>
      <c r="E113" s="18">
        <v>10</v>
      </c>
      <c r="F113" s="18" t="s">
        <v>135</v>
      </c>
      <c r="G113" s="18" t="s">
        <v>163</v>
      </c>
      <c r="H113" s="31">
        <f t="shared" si="49"/>
        <v>59.5</v>
      </c>
      <c r="I113" s="31">
        <v>60</v>
      </c>
      <c r="J113" s="4">
        <f t="shared" si="34"/>
        <v>0.5</v>
      </c>
      <c r="K113" s="5">
        <v>1</v>
      </c>
      <c r="L113" s="31">
        <f t="shared" si="35"/>
        <v>0.5</v>
      </c>
      <c r="M113" s="31">
        <v>2.6</v>
      </c>
      <c r="N113" s="31">
        <v>25.1</v>
      </c>
      <c r="O113" s="31">
        <f t="shared" si="30"/>
        <v>0.5</v>
      </c>
      <c r="P113" s="31">
        <v>100</v>
      </c>
      <c r="Q113" s="31">
        <v>5</v>
      </c>
      <c r="R113" s="31">
        <v>0.5</v>
      </c>
      <c r="S113" s="31">
        <v>0.16</v>
      </c>
      <c r="T113" s="86">
        <f t="shared" si="50"/>
        <v>32</v>
      </c>
      <c r="U113" s="31">
        <v>5</v>
      </c>
      <c r="V113" s="31"/>
      <c r="W113" s="31">
        <f t="shared" si="51"/>
        <v>5</v>
      </c>
      <c r="X113" s="31">
        <f t="shared" si="54"/>
        <v>100</v>
      </c>
      <c r="Y113" s="31">
        <f t="shared" si="36"/>
        <v>0.1</v>
      </c>
      <c r="Z113" s="18">
        <v>30</v>
      </c>
      <c r="AA113" s="18" t="s">
        <v>96</v>
      </c>
      <c r="AB113" s="18" t="s">
        <v>118</v>
      </c>
      <c r="AC113" s="18" t="s">
        <v>337</v>
      </c>
      <c r="AD113" s="18">
        <v>5</v>
      </c>
      <c r="AE113" s="18">
        <v>100</v>
      </c>
      <c r="AF113" s="18" t="s">
        <v>29</v>
      </c>
      <c r="AG113" s="18" t="s">
        <v>29</v>
      </c>
      <c r="AH113" s="18" t="s">
        <v>29</v>
      </c>
      <c r="AI113" s="18" t="s">
        <v>64</v>
      </c>
      <c r="AJ113" s="18" t="s">
        <v>77</v>
      </c>
      <c r="AK113" s="18" t="s">
        <v>92</v>
      </c>
      <c r="AL113" s="18" t="s">
        <v>107</v>
      </c>
      <c r="AM113" s="18" t="s">
        <v>118</v>
      </c>
      <c r="AN113" s="18" t="s">
        <v>198</v>
      </c>
      <c r="AO113" s="18"/>
      <c r="AP113" s="18"/>
      <c r="AQ113" s="18">
        <f>+VLOOKUP(AI113,Leyenda!$B$30:$E$34,3,FALSE)</f>
        <v>2</v>
      </c>
      <c r="AR113" s="18">
        <f>+VLOOKUP('3. Blasting'!AJ113,Meteorizacion,3,FALSE)</f>
        <v>3</v>
      </c>
      <c r="AS113" s="18">
        <f>+VLOOKUP('3. Blasting'!AK113,Apertura,3,FALSE)</f>
        <v>3</v>
      </c>
      <c r="AT113" s="18">
        <f>+VLOOKUP('3. Blasting'!AL113,Leyenda!$B$55:$D$59,3,FALSE)</f>
        <v>3</v>
      </c>
      <c r="AU113" s="18">
        <f>+VLOOKUP('3. Blasting'!AM113,Relleno,3,FALSE)</f>
        <v>2</v>
      </c>
      <c r="AV113" s="18">
        <f t="shared" si="52"/>
        <v>13</v>
      </c>
      <c r="AW113" s="49">
        <f t="shared" si="37"/>
        <v>6</v>
      </c>
      <c r="AX113" s="49">
        <f>VLOOKUP(AF113,Leyenda!$B$4:$D$10,3,FALSE)</f>
        <v>2</v>
      </c>
      <c r="AY113" s="49">
        <f t="shared" si="31"/>
        <v>7</v>
      </c>
      <c r="AZ113" s="49">
        <f t="shared" si="38"/>
        <v>13</v>
      </c>
      <c r="BA113" s="49">
        <f>VLOOKUP(AN113,Leyenda!$B$70:$D$75,3,FALSE)</f>
        <v>15</v>
      </c>
      <c r="BB113" s="67">
        <f t="shared" si="39"/>
        <v>35.5</v>
      </c>
      <c r="BC113" s="67">
        <f>VLOOKUP(AF113,Leyenda!$B$4:$E$10,4,FALSE)</f>
        <v>2</v>
      </c>
      <c r="BD113" s="67">
        <f t="shared" si="40"/>
        <v>8</v>
      </c>
      <c r="BE113" s="67">
        <f t="shared" si="41"/>
        <v>7</v>
      </c>
      <c r="BF113" s="67">
        <f>+VLOOKUP('3. Blasting'!AK113,Leyenda!$B$47:$E$51,4,FALSE)</f>
        <v>3</v>
      </c>
      <c r="BG113" s="67">
        <f>+VLOOKUP('3. Blasting'!AL113,Leyenda!$B$55:$E$59,4,FALSE)</f>
        <v>3</v>
      </c>
      <c r="BH113" s="67">
        <f>+VLOOKUP('3. Blasting'!AM113,Leyenda!$B$63:$E$67,3,FALSE)</f>
        <v>2</v>
      </c>
      <c r="BI113" s="67">
        <f>+VLOOKUP('3. Blasting'!AJ113,Leyenda!$B$39:$E$43,4,FALSE)</f>
        <v>3</v>
      </c>
      <c r="BJ113" s="67">
        <f>+VLOOKUP('3. Blasting'!AI113,Leyenda!$B$30:$E$34,4,FALSE)</f>
        <v>3</v>
      </c>
      <c r="BK113" s="67">
        <f>VLOOKUP(AN113,Leyenda!$B$71:$E$75,4,FALSE)</f>
        <v>10</v>
      </c>
      <c r="BL113" s="67">
        <f t="shared" si="42"/>
        <v>41</v>
      </c>
      <c r="BM113" s="18">
        <f t="shared" si="43"/>
        <v>43</v>
      </c>
      <c r="BN113" s="18">
        <f t="shared" si="53"/>
        <v>0.95852756541146167</v>
      </c>
      <c r="BO113" s="18"/>
      <c r="BP113" s="6">
        <f t="shared" si="44"/>
        <v>20</v>
      </c>
      <c r="BQ113" s="6">
        <f t="shared" si="45"/>
        <v>50</v>
      </c>
      <c r="BR113" s="6">
        <v>20</v>
      </c>
      <c r="BS113" s="6">
        <f t="shared" si="46"/>
        <v>15</v>
      </c>
      <c r="BT113" s="6">
        <f t="shared" si="47"/>
        <v>1.2550000000000001</v>
      </c>
      <c r="BU113" s="6">
        <f t="shared" si="48"/>
        <v>53.127499999999998</v>
      </c>
      <c r="BV113" s="18">
        <f t="shared" si="32"/>
        <v>0.21251</v>
      </c>
      <c r="BW113" s="18">
        <f t="shared" si="33"/>
        <v>0.55252600000000007</v>
      </c>
    </row>
    <row r="114" spans="1:75" hidden="1" x14ac:dyDescent="0.25">
      <c r="A114" s="18" t="s">
        <v>6</v>
      </c>
      <c r="B114" s="18">
        <v>2024</v>
      </c>
      <c r="C114" s="18" t="s">
        <v>138</v>
      </c>
      <c r="D114" s="18" t="s">
        <v>245</v>
      </c>
      <c r="E114" s="18">
        <v>60</v>
      </c>
      <c r="F114" s="18" t="s">
        <v>136</v>
      </c>
      <c r="G114" s="18" t="s">
        <v>291</v>
      </c>
      <c r="H114" s="4">
        <v>0</v>
      </c>
      <c r="I114" s="4">
        <v>0.5</v>
      </c>
      <c r="J114" s="4">
        <f t="shared" si="34"/>
        <v>0.5</v>
      </c>
      <c r="K114" s="5">
        <v>0.66</v>
      </c>
      <c r="L114" s="31">
        <f t="shared" si="35"/>
        <v>0.33</v>
      </c>
      <c r="M114" s="31">
        <v>2.11</v>
      </c>
      <c r="N114" s="31">
        <v>16.600000000000001</v>
      </c>
      <c r="O114" s="31">
        <f t="shared" si="30"/>
        <v>0.33</v>
      </c>
      <c r="P114" s="31">
        <v>16.5</v>
      </c>
      <c r="Q114" s="31">
        <v>20</v>
      </c>
      <c r="R114" s="31">
        <v>0.25</v>
      </c>
      <c r="S114" s="31">
        <v>0</v>
      </c>
      <c r="T114" s="65">
        <f t="shared" si="50"/>
        <v>0</v>
      </c>
      <c r="U114" s="31">
        <v>10</v>
      </c>
      <c r="V114" s="31"/>
      <c r="W114" s="31">
        <f t="shared" si="51"/>
        <v>10</v>
      </c>
      <c r="X114" s="31">
        <f t="shared" si="54"/>
        <v>25</v>
      </c>
      <c r="Y114" s="31">
        <f t="shared" si="36"/>
        <v>2.5000000000000001E-2</v>
      </c>
      <c r="Z114" s="18">
        <v>0</v>
      </c>
      <c r="AA114" s="18" t="s">
        <v>330</v>
      </c>
      <c r="AB114" s="18" t="s">
        <v>333</v>
      </c>
      <c r="AC114" s="18" t="s">
        <v>335</v>
      </c>
      <c r="AD114" s="18">
        <v>20</v>
      </c>
      <c r="AE114" s="18">
        <v>16.5</v>
      </c>
      <c r="AF114" s="18" t="s">
        <v>34</v>
      </c>
      <c r="AG114" s="18" t="s">
        <v>228</v>
      </c>
      <c r="AH114" s="18" t="s">
        <v>228</v>
      </c>
      <c r="AI114" s="18" t="s">
        <v>69</v>
      </c>
      <c r="AJ114" s="18" t="s">
        <v>81</v>
      </c>
      <c r="AK114" s="18" t="s">
        <v>100</v>
      </c>
      <c r="AL114" s="18" t="s">
        <v>111</v>
      </c>
      <c r="AM114" s="18" t="s">
        <v>122</v>
      </c>
      <c r="AN114" s="18" t="s">
        <v>198</v>
      </c>
      <c r="AO114" s="18"/>
      <c r="AP114" s="18"/>
      <c r="AQ114" s="18">
        <f>+VLOOKUP(AI114,Leyenda!$B$30:$E$34,3,FALSE)</f>
        <v>0</v>
      </c>
      <c r="AR114" s="18">
        <f>+VLOOKUP('3. Blasting'!AJ114,Meteorizacion,3,FALSE)</f>
        <v>0</v>
      </c>
      <c r="AS114" s="18">
        <f>+VLOOKUP('3. Blasting'!AK114,Apertura,3,FALSE)</f>
        <v>0</v>
      </c>
      <c r="AT114" s="18">
        <f>+VLOOKUP('3. Blasting'!AL114,Leyenda!$B$55:$D$59,3,FALSE)</f>
        <v>0</v>
      </c>
      <c r="AU114" s="18">
        <f>+VLOOKUP('3. Blasting'!AM114,Relleno,3,FALSE)</f>
        <v>0</v>
      </c>
      <c r="AV114" s="18">
        <v>0</v>
      </c>
      <c r="AW114" s="49">
        <f t="shared" si="37"/>
        <v>0</v>
      </c>
      <c r="AX114" s="49">
        <f>VLOOKUP(AF114,Leyenda!$B$4:$D$10,3,FALSE)</f>
        <v>0</v>
      </c>
      <c r="AY114" s="49">
        <f t="shared" si="31"/>
        <v>4</v>
      </c>
      <c r="AZ114" s="49">
        <f t="shared" si="38"/>
        <v>0</v>
      </c>
      <c r="BA114" s="49">
        <f>VLOOKUP(AN114,Leyenda!$B$70:$D$75,3,FALSE)</f>
        <v>15</v>
      </c>
      <c r="BB114" s="67">
        <f t="shared" si="39"/>
        <v>0</v>
      </c>
      <c r="BC114" s="67">
        <f>VLOOKUP(AF114,Leyenda!$B$4:$E$10,4,FALSE)</f>
        <v>0</v>
      </c>
      <c r="BD114" s="67">
        <f t="shared" si="40"/>
        <v>5</v>
      </c>
      <c r="BE114" s="67">
        <f t="shared" si="41"/>
        <v>0</v>
      </c>
      <c r="BF114" s="67">
        <f>+VLOOKUP('3. Blasting'!AK114,Leyenda!$B$47:$E$51,4,FALSE)</f>
        <v>0</v>
      </c>
      <c r="BG114" s="67">
        <f>+VLOOKUP('3. Blasting'!AL114,Leyenda!$B$55:$E$59,4,FALSE)</f>
        <v>0</v>
      </c>
      <c r="BH114" s="67">
        <f>+VLOOKUP('3. Blasting'!AM114,Leyenda!$B$63:$E$67,3,FALSE)</f>
        <v>0</v>
      </c>
      <c r="BI114" s="67">
        <f>+VLOOKUP('3. Blasting'!AJ114,Leyenda!$B$39:$E$43,4,FALSE)</f>
        <v>0</v>
      </c>
      <c r="BJ114" s="67">
        <f>+VLOOKUP('3. Blasting'!AI114,Leyenda!$B$30:$E$34,4,FALSE)</f>
        <v>0</v>
      </c>
      <c r="BK114" s="67">
        <f>VLOOKUP(AN114,Leyenda!$B$71:$E$75,4,FALSE)</f>
        <v>10</v>
      </c>
      <c r="BL114" s="67">
        <f t="shared" si="42"/>
        <v>15</v>
      </c>
      <c r="BM114" s="18">
        <f t="shared" si="43"/>
        <v>19</v>
      </c>
      <c r="BN114" s="18">
        <f t="shared" si="53"/>
        <v>0.95757489243117699</v>
      </c>
      <c r="BO114" s="18"/>
      <c r="BP114" s="6">
        <f t="shared" si="44"/>
        <v>10</v>
      </c>
      <c r="BQ114" s="6">
        <f t="shared" si="45"/>
        <v>10</v>
      </c>
      <c r="BR114" s="6">
        <v>20</v>
      </c>
      <c r="BS114" s="6">
        <f t="shared" si="46"/>
        <v>2.75</v>
      </c>
      <c r="BT114" s="6">
        <f t="shared" si="47"/>
        <v>0.83000000000000007</v>
      </c>
      <c r="BU114" s="6">
        <f t="shared" si="48"/>
        <v>21.79</v>
      </c>
      <c r="BV114" s="18">
        <f t="shared" si="32"/>
        <v>8.7160000000000001E-2</v>
      </c>
      <c r="BW114" s="18">
        <f t="shared" si="33"/>
        <v>0.1839076</v>
      </c>
    </row>
    <row r="115" spans="1:75" hidden="1" x14ac:dyDescent="0.25">
      <c r="A115" s="18" t="s">
        <v>6</v>
      </c>
      <c r="B115" s="18">
        <v>2024</v>
      </c>
      <c r="C115" s="18" t="s">
        <v>138</v>
      </c>
      <c r="D115" s="18" t="s">
        <v>245</v>
      </c>
      <c r="E115" s="18">
        <v>60</v>
      </c>
      <c r="F115" s="18" t="s">
        <v>136</v>
      </c>
      <c r="G115" s="18" t="s">
        <v>291</v>
      </c>
      <c r="H115" s="4">
        <f>+I114</f>
        <v>0.5</v>
      </c>
      <c r="I115" s="4">
        <v>1</v>
      </c>
      <c r="J115" s="4">
        <f t="shared" si="34"/>
        <v>0.5</v>
      </c>
      <c r="K115" s="5">
        <v>0.74</v>
      </c>
      <c r="L115" s="31">
        <f t="shared" si="35"/>
        <v>0.37</v>
      </c>
      <c r="M115" s="31">
        <v>2.11</v>
      </c>
      <c r="N115" s="31">
        <v>16.600000000000001</v>
      </c>
      <c r="O115" s="31">
        <f t="shared" si="30"/>
        <v>0.37</v>
      </c>
      <c r="P115" s="31">
        <v>18.5</v>
      </c>
      <c r="Q115" s="31">
        <v>20</v>
      </c>
      <c r="R115" s="31">
        <v>0.37</v>
      </c>
      <c r="S115" s="31">
        <v>0</v>
      </c>
      <c r="T115" s="65">
        <f t="shared" si="50"/>
        <v>0</v>
      </c>
      <c r="U115" s="31">
        <v>10</v>
      </c>
      <c r="V115" s="31"/>
      <c r="W115" s="31">
        <f t="shared" si="51"/>
        <v>10</v>
      </c>
      <c r="X115" s="31">
        <f t="shared" si="54"/>
        <v>37</v>
      </c>
      <c r="Y115" s="31">
        <f t="shared" si="36"/>
        <v>3.6999999999999998E-2</v>
      </c>
      <c r="Z115" s="18">
        <v>0</v>
      </c>
      <c r="AA115" s="18" t="s">
        <v>330</v>
      </c>
      <c r="AB115" s="18" t="s">
        <v>333</v>
      </c>
      <c r="AC115" s="18" t="s">
        <v>335</v>
      </c>
      <c r="AD115" s="18">
        <v>20</v>
      </c>
      <c r="AE115" s="18">
        <v>18.5</v>
      </c>
      <c r="AF115" s="18" t="s">
        <v>34</v>
      </c>
      <c r="AG115" s="18" t="s">
        <v>228</v>
      </c>
      <c r="AH115" s="18" t="s">
        <v>228</v>
      </c>
      <c r="AI115" s="18" t="s">
        <v>69</v>
      </c>
      <c r="AJ115" s="18" t="s">
        <v>81</v>
      </c>
      <c r="AK115" s="18" t="s">
        <v>100</v>
      </c>
      <c r="AL115" s="18" t="s">
        <v>111</v>
      </c>
      <c r="AM115" s="18" t="s">
        <v>122</v>
      </c>
      <c r="AN115" s="18" t="s">
        <v>198</v>
      </c>
      <c r="AO115" s="18"/>
      <c r="AP115" s="18"/>
      <c r="AQ115" s="18">
        <f>+VLOOKUP(AI115,Leyenda!$B$30:$E$34,3,FALSE)</f>
        <v>0</v>
      </c>
      <c r="AR115" s="18">
        <f>+VLOOKUP('3. Blasting'!AJ115,Meteorizacion,3,FALSE)</f>
        <v>0</v>
      </c>
      <c r="AS115" s="18">
        <f>+VLOOKUP('3. Blasting'!AK115,Apertura,3,FALSE)</f>
        <v>0</v>
      </c>
      <c r="AT115" s="18">
        <f>+VLOOKUP('3. Blasting'!AL115,Leyenda!$B$55:$D$59,3,FALSE)</f>
        <v>0</v>
      </c>
      <c r="AU115" s="18">
        <f>+VLOOKUP('3. Blasting'!AM115,Relleno,3,FALSE)</f>
        <v>0</v>
      </c>
      <c r="AV115" s="18">
        <v>0</v>
      </c>
      <c r="AW115" s="49">
        <f t="shared" si="37"/>
        <v>0</v>
      </c>
      <c r="AX115" s="49">
        <f>VLOOKUP(AF115,Leyenda!$B$4:$D$10,3,FALSE)</f>
        <v>0</v>
      </c>
      <c r="AY115" s="49">
        <f t="shared" si="31"/>
        <v>4</v>
      </c>
      <c r="AZ115" s="49">
        <f t="shared" si="38"/>
        <v>0</v>
      </c>
      <c r="BA115" s="49">
        <f>VLOOKUP(AN115,Leyenda!$B$70:$D$75,3,FALSE)</f>
        <v>15</v>
      </c>
      <c r="BB115" s="67">
        <f t="shared" si="39"/>
        <v>0</v>
      </c>
      <c r="BC115" s="67">
        <f>VLOOKUP(AF115,Leyenda!$B$4:$E$10,4,FALSE)</f>
        <v>0</v>
      </c>
      <c r="BD115" s="67">
        <f t="shared" si="40"/>
        <v>5</v>
      </c>
      <c r="BE115" s="67">
        <f t="shared" si="41"/>
        <v>0</v>
      </c>
      <c r="BF115" s="67">
        <f>+VLOOKUP('3. Blasting'!AK115,Leyenda!$B$47:$E$51,4,FALSE)</f>
        <v>0</v>
      </c>
      <c r="BG115" s="67">
        <f>+VLOOKUP('3. Blasting'!AL115,Leyenda!$B$55:$E$59,4,FALSE)</f>
        <v>0</v>
      </c>
      <c r="BH115" s="67">
        <f>+VLOOKUP('3. Blasting'!AM115,Leyenda!$B$63:$E$67,3,FALSE)</f>
        <v>0</v>
      </c>
      <c r="BI115" s="67">
        <f>+VLOOKUP('3. Blasting'!AJ115,Leyenda!$B$39:$E$43,4,FALSE)</f>
        <v>0</v>
      </c>
      <c r="BJ115" s="67">
        <f>+VLOOKUP('3. Blasting'!AI115,Leyenda!$B$30:$E$34,4,FALSE)</f>
        <v>0</v>
      </c>
      <c r="BK115" s="67">
        <f>VLOOKUP(AN115,Leyenda!$B$71:$E$75,4,FALSE)</f>
        <v>10</v>
      </c>
      <c r="BL115" s="67">
        <f t="shared" si="42"/>
        <v>15</v>
      </c>
      <c r="BM115" s="18">
        <f t="shared" si="43"/>
        <v>19</v>
      </c>
      <c r="BN115" s="18">
        <f t="shared" si="53"/>
        <v>0.956990383499285</v>
      </c>
      <c r="BO115" s="18"/>
      <c r="BP115" s="6">
        <f t="shared" si="44"/>
        <v>10</v>
      </c>
      <c r="BQ115" s="6">
        <f t="shared" si="45"/>
        <v>10</v>
      </c>
      <c r="BR115" s="6">
        <v>20</v>
      </c>
      <c r="BS115" s="6">
        <f t="shared" si="46"/>
        <v>2.75</v>
      </c>
      <c r="BT115" s="6">
        <f t="shared" si="47"/>
        <v>0.83000000000000007</v>
      </c>
      <c r="BU115" s="6">
        <f t="shared" si="48"/>
        <v>21.79</v>
      </c>
      <c r="BV115" s="18">
        <f t="shared" si="32"/>
        <v>8.7160000000000001E-2</v>
      </c>
      <c r="BW115" s="18">
        <f t="shared" si="33"/>
        <v>0.1839076</v>
      </c>
    </row>
    <row r="116" spans="1:75" hidden="1" x14ac:dyDescent="0.25">
      <c r="A116" s="18" t="s">
        <v>6</v>
      </c>
      <c r="B116" s="18">
        <v>2024</v>
      </c>
      <c r="C116" s="18" t="s">
        <v>138</v>
      </c>
      <c r="D116" s="18" t="s">
        <v>245</v>
      </c>
      <c r="E116" s="18">
        <v>60</v>
      </c>
      <c r="F116" s="18" t="s">
        <v>136</v>
      </c>
      <c r="G116" s="18" t="s">
        <v>291</v>
      </c>
      <c r="H116" s="4">
        <f t="shared" ref="H116:H179" si="55">+I115</f>
        <v>1</v>
      </c>
      <c r="I116" s="4">
        <v>1.5</v>
      </c>
      <c r="J116" s="4">
        <f t="shared" si="34"/>
        <v>0.5</v>
      </c>
      <c r="K116" s="5">
        <v>0.78</v>
      </c>
      <c r="L116" s="31">
        <f t="shared" si="35"/>
        <v>0.39</v>
      </c>
      <c r="M116" s="31">
        <v>2.11</v>
      </c>
      <c r="N116" s="31">
        <v>16.600000000000001</v>
      </c>
      <c r="O116" s="31">
        <f t="shared" si="30"/>
        <v>0.39</v>
      </c>
      <c r="P116" s="31">
        <v>19.5</v>
      </c>
      <c r="Q116" s="31">
        <v>20</v>
      </c>
      <c r="R116" s="31">
        <v>0.37</v>
      </c>
      <c r="S116" s="31">
        <v>0</v>
      </c>
      <c r="T116" s="65">
        <f t="shared" si="50"/>
        <v>0</v>
      </c>
      <c r="U116" s="31">
        <v>10</v>
      </c>
      <c r="V116" s="31"/>
      <c r="W116" s="31">
        <f t="shared" si="51"/>
        <v>10</v>
      </c>
      <c r="X116" s="31">
        <f t="shared" si="54"/>
        <v>37</v>
      </c>
      <c r="Y116" s="31">
        <f t="shared" si="36"/>
        <v>3.6999999999999998E-2</v>
      </c>
      <c r="Z116" s="18">
        <v>0</v>
      </c>
      <c r="AA116" s="18" t="s">
        <v>330</v>
      </c>
      <c r="AB116" s="18" t="s">
        <v>333</v>
      </c>
      <c r="AC116" s="18" t="s">
        <v>335</v>
      </c>
      <c r="AD116" s="18">
        <v>20</v>
      </c>
      <c r="AE116" s="18">
        <v>19.5</v>
      </c>
      <c r="AF116" s="18" t="s">
        <v>34</v>
      </c>
      <c r="AG116" s="18" t="s">
        <v>228</v>
      </c>
      <c r="AH116" s="18" t="s">
        <v>228</v>
      </c>
      <c r="AI116" s="18" t="s">
        <v>69</v>
      </c>
      <c r="AJ116" s="18" t="s">
        <v>81</v>
      </c>
      <c r="AK116" s="18" t="s">
        <v>100</v>
      </c>
      <c r="AL116" s="18" t="s">
        <v>111</v>
      </c>
      <c r="AM116" s="18" t="s">
        <v>122</v>
      </c>
      <c r="AN116" s="18" t="s">
        <v>198</v>
      </c>
      <c r="AO116" s="18"/>
      <c r="AP116" s="18"/>
      <c r="AQ116" s="18">
        <f>+VLOOKUP(AI116,Leyenda!$B$30:$E$34,3,FALSE)</f>
        <v>0</v>
      </c>
      <c r="AR116" s="18">
        <f>+VLOOKUP('3. Blasting'!AJ116,Meteorizacion,3,FALSE)</f>
        <v>0</v>
      </c>
      <c r="AS116" s="18">
        <f>+VLOOKUP('3. Blasting'!AK116,Apertura,3,FALSE)</f>
        <v>0</v>
      </c>
      <c r="AT116" s="18">
        <f>+VLOOKUP('3. Blasting'!AL116,Leyenda!$B$55:$D$59,3,FALSE)</f>
        <v>0</v>
      </c>
      <c r="AU116" s="18">
        <f>+VLOOKUP('3. Blasting'!AM116,Relleno,3,FALSE)</f>
        <v>0</v>
      </c>
      <c r="AV116" s="18">
        <v>0</v>
      </c>
      <c r="AW116" s="49">
        <f t="shared" si="37"/>
        <v>0</v>
      </c>
      <c r="AX116" s="49">
        <f>VLOOKUP(AF116,Leyenda!$B$4:$D$10,3,FALSE)</f>
        <v>0</v>
      </c>
      <c r="AY116" s="49">
        <f t="shared" si="31"/>
        <v>4</v>
      </c>
      <c r="AZ116" s="49">
        <f t="shared" si="38"/>
        <v>0</v>
      </c>
      <c r="BA116" s="49">
        <f>VLOOKUP(AN116,Leyenda!$B$70:$D$75,3,FALSE)</f>
        <v>15</v>
      </c>
      <c r="BB116" s="67">
        <f t="shared" si="39"/>
        <v>0</v>
      </c>
      <c r="BC116" s="67">
        <f>VLOOKUP(AF116,Leyenda!$B$4:$E$10,4,FALSE)</f>
        <v>0</v>
      </c>
      <c r="BD116" s="67">
        <f t="shared" si="40"/>
        <v>5</v>
      </c>
      <c r="BE116" s="67">
        <f t="shared" si="41"/>
        <v>0</v>
      </c>
      <c r="BF116" s="67">
        <f>+VLOOKUP('3. Blasting'!AK116,Leyenda!$B$47:$E$51,4,FALSE)</f>
        <v>0</v>
      </c>
      <c r="BG116" s="67">
        <f>+VLOOKUP('3. Blasting'!AL116,Leyenda!$B$55:$E$59,4,FALSE)</f>
        <v>0</v>
      </c>
      <c r="BH116" s="67">
        <f>+VLOOKUP('3. Blasting'!AM116,Leyenda!$B$63:$E$67,3,FALSE)</f>
        <v>0</v>
      </c>
      <c r="BI116" s="67">
        <f>+VLOOKUP('3. Blasting'!AJ116,Leyenda!$B$39:$E$43,4,FALSE)</f>
        <v>0</v>
      </c>
      <c r="BJ116" s="67">
        <f>+VLOOKUP('3. Blasting'!AI116,Leyenda!$B$30:$E$34,4,FALSE)</f>
        <v>0</v>
      </c>
      <c r="BK116" s="67">
        <f>VLOOKUP(AN116,Leyenda!$B$71:$E$75,4,FALSE)</f>
        <v>10</v>
      </c>
      <c r="BL116" s="67">
        <f t="shared" si="42"/>
        <v>15</v>
      </c>
      <c r="BM116" s="18">
        <f t="shared" si="43"/>
        <v>19</v>
      </c>
      <c r="BN116" s="18">
        <f t="shared" si="53"/>
        <v>0.95674550358554267</v>
      </c>
      <c r="BO116" s="18"/>
      <c r="BP116" s="6">
        <f t="shared" si="44"/>
        <v>10</v>
      </c>
      <c r="BQ116" s="6">
        <f t="shared" si="45"/>
        <v>10</v>
      </c>
      <c r="BR116" s="6">
        <v>20</v>
      </c>
      <c r="BS116" s="6">
        <f t="shared" si="46"/>
        <v>2.75</v>
      </c>
      <c r="BT116" s="6">
        <f t="shared" si="47"/>
        <v>0.83000000000000007</v>
      </c>
      <c r="BU116" s="6">
        <f t="shared" si="48"/>
        <v>21.79</v>
      </c>
      <c r="BV116" s="18">
        <f t="shared" si="32"/>
        <v>8.7160000000000001E-2</v>
      </c>
      <c r="BW116" s="18">
        <f t="shared" si="33"/>
        <v>0.1839076</v>
      </c>
    </row>
    <row r="117" spans="1:75" x14ac:dyDescent="0.25">
      <c r="A117" s="18" t="s">
        <v>6</v>
      </c>
      <c r="B117" s="18">
        <v>2024</v>
      </c>
      <c r="C117" s="18" t="s">
        <v>138</v>
      </c>
      <c r="D117" s="18" t="s">
        <v>245</v>
      </c>
      <c r="E117" s="18">
        <v>40</v>
      </c>
      <c r="F117" s="18" t="s">
        <v>153</v>
      </c>
      <c r="G117" s="18" t="s">
        <v>291</v>
      </c>
      <c r="H117" s="4">
        <f t="shared" si="55"/>
        <v>1.5</v>
      </c>
      <c r="I117" s="4">
        <v>2</v>
      </c>
      <c r="J117" s="4">
        <f t="shared" si="34"/>
        <v>0.5</v>
      </c>
      <c r="K117" s="5">
        <v>0.54</v>
      </c>
      <c r="L117" s="31">
        <f t="shared" si="35"/>
        <v>0.27</v>
      </c>
      <c r="M117" s="31">
        <v>2.14</v>
      </c>
      <c r="N117" s="31">
        <v>31.3</v>
      </c>
      <c r="O117" s="31">
        <f t="shared" si="30"/>
        <v>0.27</v>
      </c>
      <c r="P117" s="31">
        <v>13.5</v>
      </c>
      <c r="Q117" s="31">
        <v>20</v>
      </c>
      <c r="R117" s="31">
        <v>0.26</v>
      </c>
      <c r="S117" s="31">
        <v>0</v>
      </c>
      <c r="T117" s="65">
        <f t="shared" si="50"/>
        <v>0</v>
      </c>
      <c r="U117" s="31">
        <v>10</v>
      </c>
      <c r="V117" s="31"/>
      <c r="W117" s="31">
        <f t="shared" si="51"/>
        <v>10</v>
      </c>
      <c r="X117" s="31">
        <f t="shared" si="54"/>
        <v>26</v>
      </c>
      <c r="Y117" s="31">
        <f t="shared" si="36"/>
        <v>2.5999999999999999E-2</v>
      </c>
      <c r="Z117" s="18">
        <v>0</v>
      </c>
      <c r="AA117" s="18" t="s">
        <v>330</v>
      </c>
      <c r="AB117" s="18" t="s">
        <v>333</v>
      </c>
      <c r="AC117" s="18" t="s">
        <v>335</v>
      </c>
      <c r="AD117" s="18">
        <v>20</v>
      </c>
      <c r="AE117" s="18">
        <v>13.5</v>
      </c>
      <c r="AF117" s="18" t="s">
        <v>34</v>
      </c>
      <c r="AG117" s="18" t="s">
        <v>228</v>
      </c>
      <c r="AH117" s="18" t="s">
        <v>228</v>
      </c>
      <c r="AI117" s="18" t="s">
        <v>69</v>
      </c>
      <c r="AJ117" s="18" t="s">
        <v>81</v>
      </c>
      <c r="AK117" s="18" t="s">
        <v>100</v>
      </c>
      <c r="AL117" s="18" t="s">
        <v>111</v>
      </c>
      <c r="AM117" s="18" t="s">
        <v>122</v>
      </c>
      <c r="AN117" s="18" t="s">
        <v>198</v>
      </c>
      <c r="AO117" s="18"/>
      <c r="AP117" s="18"/>
      <c r="AQ117" s="18">
        <f>+VLOOKUP(AI117,Leyenda!$B$30:$E$34,3,FALSE)</f>
        <v>0</v>
      </c>
      <c r="AR117" s="18">
        <f>+VLOOKUP('3. Blasting'!AJ117,Meteorizacion,3,FALSE)</f>
        <v>0</v>
      </c>
      <c r="AS117" s="18">
        <f>+VLOOKUP('3. Blasting'!AK117,Apertura,3,FALSE)</f>
        <v>0</v>
      </c>
      <c r="AT117" s="18">
        <f>+VLOOKUP('3. Blasting'!AL117,Leyenda!$B$55:$D$59,3,FALSE)</f>
        <v>0</v>
      </c>
      <c r="AU117" s="18">
        <f>+VLOOKUP('3. Blasting'!AM117,Relleno,3,FALSE)</f>
        <v>0</v>
      </c>
      <c r="AV117" s="18">
        <v>0</v>
      </c>
      <c r="AW117" s="49">
        <f t="shared" si="37"/>
        <v>0</v>
      </c>
      <c r="AX117" s="49">
        <f>VLOOKUP(AF117,Leyenda!$B$4:$D$10,3,FALSE)</f>
        <v>0</v>
      </c>
      <c r="AY117" s="49">
        <f t="shared" si="31"/>
        <v>4</v>
      </c>
      <c r="AZ117" s="49">
        <f t="shared" si="38"/>
        <v>0</v>
      </c>
      <c r="BA117" s="49">
        <f>VLOOKUP(AN117,Leyenda!$B$70:$D$75,3,FALSE)</f>
        <v>15</v>
      </c>
      <c r="BB117" s="67">
        <f t="shared" si="39"/>
        <v>0</v>
      </c>
      <c r="BC117" s="67">
        <f>VLOOKUP(AF117,Leyenda!$B$4:$E$10,4,FALSE)</f>
        <v>0</v>
      </c>
      <c r="BD117" s="67">
        <f t="shared" si="40"/>
        <v>5</v>
      </c>
      <c r="BE117" s="67">
        <f t="shared" si="41"/>
        <v>0</v>
      </c>
      <c r="BF117" s="67">
        <f>+VLOOKUP('3. Blasting'!AK117,Leyenda!$B$47:$E$51,4,FALSE)</f>
        <v>0</v>
      </c>
      <c r="BG117" s="67">
        <f>+VLOOKUP('3. Blasting'!AL117,Leyenda!$B$55:$E$59,4,FALSE)</f>
        <v>0</v>
      </c>
      <c r="BH117" s="67">
        <f>+VLOOKUP('3. Blasting'!AM117,Leyenda!$B$63:$E$67,3,FALSE)</f>
        <v>0</v>
      </c>
      <c r="BI117" s="67">
        <f>+VLOOKUP('3. Blasting'!AJ117,Leyenda!$B$39:$E$43,4,FALSE)</f>
        <v>0</v>
      </c>
      <c r="BJ117" s="67">
        <f>+VLOOKUP('3. Blasting'!AI117,Leyenda!$B$30:$E$34,4,FALSE)</f>
        <v>0</v>
      </c>
      <c r="BK117" s="67">
        <f>VLOOKUP(AN117,Leyenda!$B$71:$E$75,4,FALSE)</f>
        <v>10</v>
      </c>
      <c r="BL117" s="125">
        <f t="shared" si="42"/>
        <v>15</v>
      </c>
      <c r="BM117" s="85">
        <f t="shared" si="43"/>
        <v>19</v>
      </c>
      <c r="BN117" s="18">
        <f t="shared" si="53"/>
        <v>0.95609593465955589</v>
      </c>
      <c r="BO117" s="18"/>
      <c r="BP117" s="6">
        <f t="shared" si="44"/>
        <v>10</v>
      </c>
      <c r="BQ117" s="6">
        <f t="shared" si="45"/>
        <v>10</v>
      </c>
      <c r="BR117" s="6">
        <v>20</v>
      </c>
      <c r="BS117" s="6">
        <f t="shared" si="46"/>
        <v>3.5</v>
      </c>
      <c r="BT117" s="6">
        <f t="shared" si="47"/>
        <v>1.5650000000000002</v>
      </c>
      <c r="BU117" s="6">
        <f t="shared" si="48"/>
        <v>22.532499999999999</v>
      </c>
      <c r="BV117" s="18">
        <f t="shared" si="32"/>
        <v>9.0130000000000002E-2</v>
      </c>
      <c r="BW117" s="18">
        <f t="shared" si="33"/>
        <v>0.19287820000000003</v>
      </c>
    </row>
    <row r="118" spans="1:75" x14ac:dyDescent="0.25">
      <c r="A118" s="18" t="s">
        <v>6</v>
      </c>
      <c r="B118" s="18">
        <v>2024</v>
      </c>
      <c r="C118" s="18" t="s">
        <v>138</v>
      </c>
      <c r="D118" s="18" t="s">
        <v>245</v>
      </c>
      <c r="E118" s="18">
        <v>40</v>
      </c>
      <c r="F118" s="18" t="s">
        <v>153</v>
      </c>
      <c r="G118" s="18" t="s">
        <v>291</v>
      </c>
      <c r="H118" s="4">
        <f t="shared" si="55"/>
        <v>2</v>
      </c>
      <c r="I118" s="4">
        <v>2.5</v>
      </c>
      <c r="J118" s="4">
        <f t="shared" si="34"/>
        <v>0.5</v>
      </c>
      <c r="K118" s="5">
        <v>0.56000000000000005</v>
      </c>
      <c r="L118" s="31">
        <f t="shared" si="35"/>
        <v>0.28000000000000003</v>
      </c>
      <c r="M118" s="31">
        <v>2.14</v>
      </c>
      <c r="N118" s="31">
        <v>31.3</v>
      </c>
      <c r="O118" s="31">
        <f t="shared" si="30"/>
        <v>0.28000000000000003</v>
      </c>
      <c r="P118" s="31">
        <v>14</v>
      </c>
      <c r="Q118" s="31">
        <v>20</v>
      </c>
      <c r="R118" s="31">
        <v>0.26</v>
      </c>
      <c r="S118" s="31">
        <v>0</v>
      </c>
      <c r="T118" s="65">
        <f t="shared" si="50"/>
        <v>0</v>
      </c>
      <c r="U118" s="31">
        <v>10</v>
      </c>
      <c r="V118" s="31"/>
      <c r="W118" s="31">
        <f t="shared" si="51"/>
        <v>10</v>
      </c>
      <c r="X118" s="31">
        <f t="shared" si="54"/>
        <v>26</v>
      </c>
      <c r="Y118" s="31">
        <f t="shared" si="36"/>
        <v>2.5999999999999999E-2</v>
      </c>
      <c r="Z118" s="18">
        <v>0</v>
      </c>
      <c r="AA118" s="18" t="s">
        <v>330</v>
      </c>
      <c r="AB118" s="18" t="s">
        <v>333</v>
      </c>
      <c r="AC118" s="18" t="s">
        <v>335</v>
      </c>
      <c r="AD118" s="18">
        <v>20</v>
      </c>
      <c r="AE118" s="18">
        <v>14</v>
      </c>
      <c r="AF118" s="18" t="s">
        <v>34</v>
      </c>
      <c r="AG118" s="18" t="s">
        <v>228</v>
      </c>
      <c r="AH118" s="18" t="s">
        <v>228</v>
      </c>
      <c r="AI118" s="18" t="s">
        <v>69</v>
      </c>
      <c r="AJ118" s="18" t="s">
        <v>81</v>
      </c>
      <c r="AK118" s="18" t="s">
        <v>100</v>
      </c>
      <c r="AL118" s="18" t="s">
        <v>111</v>
      </c>
      <c r="AM118" s="18" t="s">
        <v>122</v>
      </c>
      <c r="AN118" s="18" t="s">
        <v>198</v>
      </c>
      <c r="AO118" s="18"/>
      <c r="AP118" s="18"/>
      <c r="AQ118" s="18">
        <f>+VLOOKUP(AI118,Leyenda!$B$30:$E$34,3,FALSE)</f>
        <v>0</v>
      </c>
      <c r="AR118" s="18">
        <f>+VLOOKUP('3. Blasting'!AJ118,Meteorizacion,3,FALSE)</f>
        <v>0</v>
      </c>
      <c r="AS118" s="18">
        <f>+VLOOKUP('3. Blasting'!AK118,Apertura,3,FALSE)</f>
        <v>0</v>
      </c>
      <c r="AT118" s="18">
        <f>+VLOOKUP('3. Blasting'!AL118,Leyenda!$B$55:$D$59,3,FALSE)</f>
        <v>0</v>
      </c>
      <c r="AU118" s="18">
        <f>+VLOOKUP('3. Blasting'!AM118,Relleno,3,FALSE)</f>
        <v>0</v>
      </c>
      <c r="AV118" s="18">
        <v>0</v>
      </c>
      <c r="AW118" s="49">
        <f t="shared" si="37"/>
        <v>0</v>
      </c>
      <c r="AX118" s="49">
        <f>VLOOKUP(AF118,Leyenda!$B$4:$D$10,3,FALSE)</f>
        <v>0</v>
      </c>
      <c r="AY118" s="49">
        <f t="shared" si="31"/>
        <v>4</v>
      </c>
      <c r="AZ118" s="49">
        <f t="shared" si="38"/>
        <v>0</v>
      </c>
      <c r="BA118" s="49">
        <f>VLOOKUP(AN118,Leyenda!$B$70:$D$75,3,FALSE)</f>
        <v>15</v>
      </c>
      <c r="BB118" s="67">
        <f t="shared" si="39"/>
        <v>0</v>
      </c>
      <c r="BC118" s="67">
        <f>VLOOKUP(AF118,Leyenda!$B$4:$E$10,4,FALSE)</f>
        <v>0</v>
      </c>
      <c r="BD118" s="67">
        <f t="shared" si="40"/>
        <v>5</v>
      </c>
      <c r="BE118" s="67">
        <f t="shared" si="41"/>
        <v>0</v>
      </c>
      <c r="BF118" s="67">
        <f>+VLOOKUP('3. Blasting'!AK118,Leyenda!$B$47:$E$51,4,FALSE)</f>
        <v>0</v>
      </c>
      <c r="BG118" s="67">
        <f>+VLOOKUP('3. Blasting'!AL118,Leyenda!$B$55:$E$59,4,FALSE)</f>
        <v>0</v>
      </c>
      <c r="BH118" s="67">
        <f>+VLOOKUP('3. Blasting'!AM118,Leyenda!$B$63:$E$67,3,FALSE)</f>
        <v>0</v>
      </c>
      <c r="BI118" s="67">
        <f>+VLOOKUP('3. Blasting'!AJ118,Leyenda!$B$39:$E$43,4,FALSE)</f>
        <v>0</v>
      </c>
      <c r="BJ118" s="67">
        <f>+VLOOKUP('3. Blasting'!AI118,Leyenda!$B$30:$E$34,4,FALSE)</f>
        <v>0</v>
      </c>
      <c r="BK118" s="67">
        <f>VLOOKUP(AN118,Leyenda!$B$71:$E$75,4,FALSE)</f>
        <v>10</v>
      </c>
      <c r="BL118" s="125">
        <f t="shared" si="42"/>
        <v>15</v>
      </c>
      <c r="BM118" s="85">
        <f t="shared" si="43"/>
        <v>19</v>
      </c>
      <c r="BN118" s="18">
        <f t="shared" si="53"/>
        <v>0.9558811710841062</v>
      </c>
      <c r="BO118" s="18"/>
      <c r="BP118" s="6">
        <f t="shared" si="44"/>
        <v>10</v>
      </c>
      <c r="BQ118" s="6">
        <f t="shared" si="45"/>
        <v>10</v>
      </c>
      <c r="BR118" s="6">
        <v>20</v>
      </c>
      <c r="BS118" s="6">
        <f t="shared" si="46"/>
        <v>3.5</v>
      </c>
      <c r="BT118" s="6">
        <f t="shared" si="47"/>
        <v>1.5650000000000002</v>
      </c>
      <c r="BU118" s="6">
        <f t="shared" si="48"/>
        <v>22.532499999999999</v>
      </c>
      <c r="BV118" s="18">
        <f t="shared" si="32"/>
        <v>9.0130000000000002E-2</v>
      </c>
      <c r="BW118" s="18">
        <f t="shared" si="33"/>
        <v>0.19287820000000003</v>
      </c>
    </row>
    <row r="119" spans="1:75" x14ac:dyDescent="0.25">
      <c r="A119" s="18" t="s">
        <v>6</v>
      </c>
      <c r="B119" s="18">
        <v>2024</v>
      </c>
      <c r="C119" s="18" t="s">
        <v>138</v>
      </c>
      <c r="D119" s="18" t="s">
        <v>245</v>
      </c>
      <c r="E119" s="18">
        <v>40</v>
      </c>
      <c r="F119" s="18" t="s">
        <v>153</v>
      </c>
      <c r="G119" s="18" t="s">
        <v>291</v>
      </c>
      <c r="H119" s="4">
        <f t="shared" si="55"/>
        <v>2.5</v>
      </c>
      <c r="I119" s="4">
        <v>3</v>
      </c>
      <c r="J119" s="4">
        <f t="shared" si="34"/>
        <v>0.5</v>
      </c>
      <c r="K119" s="5">
        <v>0.5</v>
      </c>
      <c r="L119" s="31">
        <f t="shared" si="35"/>
        <v>0.25</v>
      </c>
      <c r="M119" s="31">
        <v>2.14</v>
      </c>
      <c r="N119" s="31">
        <v>31.3</v>
      </c>
      <c r="O119" s="31">
        <f t="shared" si="30"/>
        <v>0.25</v>
      </c>
      <c r="P119" s="31">
        <v>12.5</v>
      </c>
      <c r="Q119" s="31">
        <v>20</v>
      </c>
      <c r="R119" s="31">
        <v>0.24</v>
      </c>
      <c r="S119" s="31">
        <v>0</v>
      </c>
      <c r="T119" s="65">
        <f t="shared" si="50"/>
        <v>0</v>
      </c>
      <c r="U119" s="31">
        <v>10</v>
      </c>
      <c r="V119" s="31"/>
      <c r="W119" s="31">
        <f t="shared" si="51"/>
        <v>10</v>
      </c>
      <c r="X119" s="31">
        <f t="shared" si="54"/>
        <v>24</v>
      </c>
      <c r="Y119" s="31">
        <f t="shared" si="36"/>
        <v>2.4E-2</v>
      </c>
      <c r="Z119" s="18">
        <v>0</v>
      </c>
      <c r="AA119" s="18" t="s">
        <v>330</v>
      </c>
      <c r="AB119" s="18" t="s">
        <v>333</v>
      </c>
      <c r="AC119" s="18" t="s">
        <v>335</v>
      </c>
      <c r="AD119" s="18">
        <v>20</v>
      </c>
      <c r="AE119" s="18">
        <v>12.5</v>
      </c>
      <c r="AF119" s="18" t="s">
        <v>34</v>
      </c>
      <c r="AG119" s="18" t="s">
        <v>228</v>
      </c>
      <c r="AH119" s="18" t="s">
        <v>228</v>
      </c>
      <c r="AI119" s="18" t="s">
        <v>69</v>
      </c>
      <c r="AJ119" s="18" t="s">
        <v>81</v>
      </c>
      <c r="AK119" s="18" t="s">
        <v>100</v>
      </c>
      <c r="AL119" s="18" t="s">
        <v>111</v>
      </c>
      <c r="AM119" s="18" t="s">
        <v>122</v>
      </c>
      <c r="AN119" s="18" t="s">
        <v>198</v>
      </c>
      <c r="AO119" s="18"/>
      <c r="AP119" s="18"/>
      <c r="AQ119" s="18">
        <f>+VLOOKUP(AI119,Leyenda!$B$30:$E$34,3,FALSE)</f>
        <v>0</v>
      </c>
      <c r="AR119" s="18">
        <f>+VLOOKUP('3. Blasting'!AJ119,Meteorizacion,3,FALSE)</f>
        <v>0</v>
      </c>
      <c r="AS119" s="18">
        <f>+VLOOKUP('3. Blasting'!AK119,Apertura,3,FALSE)</f>
        <v>0</v>
      </c>
      <c r="AT119" s="18">
        <f>+VLOOKUP('3. Blasting'!AL119,Leyenda!$B$55:$D$59,3,FALSE)</f>
        <v>0</v>
      </c>
      <c r="AU119" s="18">
        <f>+VLOOKUP('3. Blasting'!AM119,Relleno,3,FALSE)</f>
        <v>0</v>
      </c>
      <c r="AV119" s="18">
        <v>0</v>
      </c>
      <c r="AW119" s="49">
        <f t="shared" si="37"/>
        <v>0</v>
      </c>
      <c r="AX119" s="49">
        <f>VLOOKUP(AF119,Leyenda!$B$4:$D$10,3,FALSE)</f>
        <v>0</v>
      </c>
      <c r="AY119" s="49">
        <f t="shared" si="31"/>
        <v>4</v>
      </c>
      <c r="AZ119" s="49">
        <f t="shared" si="38"/>
        <v>0</v>
      </c>
      <c r="BA119" s="49">
        <f>VLOOKUP(AN119,Leyenda!$B$70:$D$75,3,FALSE)</f>
        <v>15</v>
      </c>
      <c r="BB119" s="67">
        <f t="shared" si="39"/>
        <v>0</v>
      </c>
      <c r="BC119" s="67">
        <f>VLOOKUP(AF119,Leyenda!$B$4:$E$10,4,FALSE)</f>
        <v>0</v>
      </c>
      <c r="BD119" s="67">
        <f t="shared" si="40"/>
        <v>5</v>
      </c>
      <c r="BE119" s="67">
        <f t="shared" si="41"/>
        <v>0</v>
      </c>
      <c r="BF119" s="67">
        <f>+VLOOKUP('3. Blasting'!AK119,Leyenda!$B$47:$E$51,4,FALSE)</f>
        <v>0</v>
      </c>
      <c r="BG119" s="67">
        <f>+VLOOKUP('3. Blasting'!AL119,Leyenda!$B$55:$E$59,4,FALSE)</f>
        <v>0</v>
      </c>
      <c r="BH119" s="67">
        <f>+VLOOKUP('3. Blasting'!AM119,Leyenda!$B$63:$E$67,3,FALSE)</f>
        <v>0</v>
      </c>
      <c r="BI119" s="67">
        <f>+VLOOKUP('3. Blasting'!AJ119,Leyenda!$B$39:$E$43,4,FALSE)</f>
        <v>0</v>
      </c>
      <c r="BJ119" s="67">
        <f>+VLOOKUP('3. Blasting'!AI119,Leyenda!$B$30:$E$34,4,FALSE)</f>
        <v>0</v>
      </c>
      <c r="BK119" s="67">
        <f>VLOOKUP(AN119,Leyenda!$B$71:$E$75,4,FALSE)</f>
        <v>10</v>
      </c>
      <c r="BL119" s="125">
        <f t="shared" si="42"/>
        <v>15</v>
      </c>
      <c r="BM119" s="85">
        <f t="shared" si="43"/>
        <v>19</v>
      </c>
      <c r="BN119" s="18">
        <f t="shared" si="53"/>
        <v>0.95525128840536755</v>
      </c>
      <c r="BO119" s="18"/>
      <c r="BP119" s="6">
        <f t="shared" si="44"/>
        <v>10</v>
      </c>
      <c r="BQ119" s="6">
        <f t="shared" si="45"/>
        <v>10</v>
      </c>
      <c r="BR119" s="6">
        <v>20</v>
      </c>
      <c r="BS119" s="6">
        <f t="shared" si="46"/>
        <v>3.5</v>
      </c>
      <c r="BT119" s="6">
        <f t="shared" si="47"/>
        <v>1.5650000000000002</v>
      </c>
      <c r="BU119" s="6">
        <f t="shared" si="48"/>
        <v>22.532499999999999</v>
      </c>
      <c r="BV119" s="18">
        <f t="shared" si="32"/>
        <v>9.0130000000000002E-2</v>
      </c>
      <c r="BW119" s="18">
        <f t="shared" si="33"/>
        <v>0.19287820000000003</v>
      </c>
    </row>
    <row r="120" spans="1:75" x14ac:dyDescent="0.25">
      <c r="A120" s="18" t="s">
        <v>6</v>
      </c>
      <c r="B120" s="18">
        <v>2024</v>
      </c>
      <c r="C120" s="18" t="s">
        <v>138</v>
      </c>
      <c r="D120" s="18" t="s">
        <v>245</v>
      </c>
      <c r="E120" s="18">
        <v>40</v>
      </c>
      <c r="F120" s="18" t="s">
        <v>153</v>
      </c>
      <c r="G120" s="18" t="s">
        <v>291</v>
      </c>
      <c r="H120" s="4">
        <f t="shared" si="55"/>
        <v>3</v>
      </c>
      <c r="I120" s="4">
        <v>3.5</v>
      </c>
      <c r="J120" s="4">
        <f t="shared" si="34"/>
        <v>0.5</v>
      </c>
      <c r="K120" s="5">
        <v>0.46</v>
      </c>
      <c r="L120" s="31">
        <f t="shared" si="35"/>
        <v>0.23</v>
      </c>
      <c r="M120" s="31">
        <v>2.14</v>
      </c>
      <c r="N120" s="31">
        <v>31.3</v>
      </c>
      <c r="O120" s="31">
        <f t="shared" si="30"/>
        <v>0.23</v>
      </c>
      <c r="P120" s="31">
        <v>11.5</v>
      </c>
      <c r="Q120" s="31">
        <v>20</v>
      </c>
      <c r="R120" s="31">
        <v>0.23</v>
      </c>
      <c r="S120" s="31">
        <v>0</v>
      </c>
      <c r="T120" s="65">
        <f t="shared" si="50"/>
        <v>0</v>
      </c>
      <c r="U120" s="31">
        <v>10</v>
      </c>
      <c r="V120" s="31"/>
      <c r="W120" s="31">
        <f t="shared" si="51"/>
        <v>10</v>
      </c>
      <c r="X120" s="31">
        <f t="shared" si="54"/>
        <v>23</v>
      </c>
      <c r="Y120" s="31">
        <f t="shared" si="36"/>
        <v>2.3E-2</v>
      </c>
      <c r="Z120" s="18">
        <v>0</v>
      </c>
      <c r="AA120" s="18" t="s">
        <v>330</v>
      </c>
      <c r="AB120" s="18" t="s">
        <v>333</v>
      </c>
      <c r="AC120" s="18" t="s">
        <v>335</v>
      </c>
      <c r="AD120" s="18">
        <v>20</v>
      </c>
      <c r="AE120" s="18">
        <v>11.5</v>
      </c>
      <c r="AF120" s="18" t="s">
        <v>34</v>
      </c>
      <c r="AG120" s="18" t="s">
        <v>228</v>
      </c>
      <c r="AH120" s="18" t="s">
        <v>228</v>
      </c>
      <c r="AI120" s="18" t="s">
        <v>69</v>
      </c>
      <c r="AJ120" s="18" t="s">
        <v>81</v>
      </c>
      <c r="AK120" s="18" t="s">
        <v>100</v>
      </c>
      <c r="AL120" s="18" t="s">
        <v>111</v>
      </c>
      <c r="AM120" s="18" t="s">
        <v>122</v>
      </c>
      <c r="AN120" s="18" t="s">
        <v>198</v>
      </c>
      <c r="AO120" s="18"/>
      <c r="AP120" s="18"/>
      <c r="AQ120" s="18">
        <f>+VLOOKUP(AI120,Leyenda!$B$30:$E$34,3,FALSE)</f>
        <v>0</v>
      </c>
      <c r="AR120" s="18">
        <f>+VLOOKUP('3. Blasting'!AJ120,Meteorizacion,3,FALSE)</f>
        <v>0</v>
      </c>
      <c r="AS120" s="18">
        <f>+VLOOKUP('3. Blasting'!AK120,Apertura,3,FALSE)</f>
        <v>0</v>
      </c>
      <c r="AT120" s="18">
        <f>+VLOOKUP('3. Blasting'!AL120,Leyenda!$B$55:$D$59,3,FALSE)</f>
        <v>0</v>
      </c>
      <c r="AU120" s="18">
        <f>+VLOOKUP('3. Blasting'!AM120,Relleno,3,FALSE)</f>
        <v>0</v>
      </c>
      <c r="AV120" s="18">
        <v>0</v>
      </c>
      <c r="AW120" s="49">
        <f t="shared" si="37"/>
        <v>0</v>
      </c>
      <c r="AX120" s="49">
        <f>VLOOKUP(AF120,Leyenda!$B$4:$D$10,3,FALSE)</f>
        <v>0</v>
      </c>
      <c r="AY120" s="49">
        <f t="shared" si="31"/>
        <v>4</v>
      </c>
      <c r="AZ120" s="49">
        <f t="shared" si="38"/>
        <v>0</v>
      </c>
      <c r="BA120" s="49">
        <f>VLOOKUP(AN120,Leyenda!$B$70:$D$75,3,FALSE)</f>
        <v>15</v>
      </c>
      <c r="BB120" s="67">
        <f t="shared" si="39"/>
        <v>0</v>
      </c>
      <c r="BC120" s="67">
        <f>VLOOKUP(AF120,Leyenda!$B$4:$E$10,4,FALSE)</f>
        <v>0</v>
      </c>
      <c r="BD120" s="67">
        <f t="shared" si="40"/>
        <v>5</v>
      </c>
      <c r="BE120" s="67">
        <f t="shared" si="41"/>
        <v>0</v>
      </c>
      <c r="BF120" s="67">
        <f>+VLOOKUP('3. Blasting'!AK120,Leyenda!$B$47:$E$51,4,FALSE)</f>
        <v>0</v>
      </c>
      <c r="BG120" s="67">
        <f>+VLOOKUP('3. Blasting'!AL120,Leyenda!$B$55:$E$59,4,FALSE)</f>
        <v>0</v>
      </c>
      <c r="BH120" s="67">
        <f>+VLOOKUP('3. Blasting'!AM120,Leyenda!$B$63:$E$67,3,FALSE)</f>
        <v>0</v>
      </c>
      <c r="BI120" s="67">
        <f>+VLOOKUP('3. Blasting'!AJ120,Leyenda!$B$39:$E$43,4,FALSE)</f>
        <v>0</v>
      </c>
      <c r="BJ120" s="67">
        <f>+VLOOKUP('3. Blasting'!AI120,Leyenda!$B$30:$E$34,4,FALSE)</f>
        <v>0</v>
      </c>
      <c r="BK120" s="67">
        <f>VLOOKUP(AN120,Leyenda!$B$71:$E$75,4,FALSE)</f>
        <v>10</v>
      </c>
      <c r="BL120" s="125">
        <f t="shared" si="42"/>
        <v>15</v>
      </c>
      <c r="BM120" s="85">
        <f t="shared" si="43"/>
        <v>19</v>
      </c>
      <c r="BN120" s="18">
        <f t="shared" si="53"/>
        <v>0.95503187704386416</v>
      </c>
      <c r="BO120" s="18"/>
      <c r="BP120" s="6">
        <f t="shared" si="44"/>
        <v>10</v>
      </c>
      <c r="BQ120" s="6">
        <f t="shared" si="45"/>
        <v>10</v>
      </c>
      <c r="BR120" s="6">
        <v>20</v>
      </c>
      <c r="BS120" s="6">
        <f t="shared" si="46"/>
        <v>3.5</v>
      </c>
      <c r="BT120" s="6">
        <f t="shared" si="47"/>
        <v>1.5650000000000002</v>
      </c>
      <c r="BU120" s="6">
        <f t="shared" si="48"/>
        <v>22.532499999999999</v>
      </c>
      <c r="BV120" s="18">
        <f t="shared" si="32"/>
        <v>9.0130000000000002E-2</v>
      </c>
      <c r="BW120" s="18">
        <f t="shared" si="33"/>
        <v>0.19287820000000003</v>
      </c>
    </row>
    <row r="121" spans="1:75" x14ac:dyDescent="0.25">
      <c r="A121" s="18" t="s">
        <v>6</v>
      </c>
      <c r="B121" s="18">
        <v>2024</v>
      </c>
      <c r="C121" s="18" t="s">
        <v>138</v>
      </c>
      <c r="D121" s="18" t="s">
        <v>245</v>
      </c>
      <c r="E121" s="18">
        <v>40</v>
      </c>
      <c r="F121" s="18" t="s">
        <v>153</v>
      </c>
      <c r="G121" s="18" t="s">
        <v>291</v>
      </c>
      <c r="H121" s="4">
        <f t="shared" si="55"/>
        <v>3.5</v>
      </c>
      <c r="I121" s="4">
        <v>4</v>
      </c>
      <c r="J121" s="4">
        <f t="shared" si="34"/>
        <v>0.5</v>
      </c>
      <c r="K121" s="5">
        <v>0.44</v>
      </c>
      <c r="L121" s="31">
        <f t="shared" si="35"/>
        <v>0.22</v>
      </c>
      <c r="M121" s="31">
        <v>2.14</v>
      </c>
      <c r="N121" s="31">
        <v>31.3</v>
      </c>
      <c r="O121" s="31">
        <f t="shared" si="30"/>
        <v>0.22</v>
      </c>
      <c r="P121" s="31">
        <v>11</v>
      </c>
      <c r="Q121" s="31">
        <v>20</v>
      </c>
      <c r="R121" s="31">
        <v>0.22</v>
      </c>
      <c r="S121" s="31">
        <v>0</v>
      </c>
      <c r="T121" s="65">
        <f t="shared" si="50"/>
        <v>0</v>
      </c>
      <c r="U121" s="31">
        <v>10</v>
      </c>
      <c r="V121" s="31"/>
      <c r="W121" s="31">
        <f t="shared" si="51"/>
        <v>10</v>
      </c>
      <c r="X121" s="31">
        <f t="shared" si="54"/>
        <v>22</v>
      </c>
      <c r="Y121" s="31">
        <f t="shared" si="36"/>
        <v>2.1999999999999999E-2</v>
      </c>
      <c r="Z121" s="18">
        <v>0</v>
      </c>
      <c r="AA121" s="18" t="s">
        <v>330</v>
      </c>
      <c r="AB121" s="18" t="s">
        <v>333</v>
      </c>
      <c r="AC121" s="18" t="s">
        <v>335</v>
      </c>
      <c r="AD121" s="18">
        <v>20</v>
      </c>
      <c r="AE121" s="18">
        <v>11</v>
      </c>
      <c r="AF121" s="18" t="s">
        <v>34</v>
      </c>
      <c r="AG121" s="18" t="s">
        <v>228</v>
      </c>
      <c r="AH121" s="18" t="s">
        <v>228</v>
      </c>
      <c r="AI121" s="18" t="s">
        <v>69</v>
      </c>
      <c r="AJ121" s="18" t="s">
        <v>81</v>
      </c>
      <c r="AK121" s="18" t="s">
        <v>100</v>
      </c>
      <c r="AL121" s="18" t="s">
        <v>111</v>
      </c>
      <c r="AM121" s="18" t="s">
        <v>122</v>
      </c>
      <c r="AN121" s="18" t="s">
        <v>198</v>
      </c>
      <c r="AO121" s="18"/>
      <c r="AP121" s="18"/>
      <c r="AQ121" s="18">
        <f>+VLOOKUP(AI121,Leyenda!$B$30:$E$34,3,FALSE)</f>
        <v>0</v>
      </c>
      <c r="AR121" s="18">
        <f>+VLOOKUP('3. Blasting'!AJ121,Meteorizacion,3,FALSE)</f>
        <v>0</v>
      </c>
      <c r="AS121" s="18">
        <f>+VLOOKUP('3. Blasting'!AK121,Apertura,3,FALSE)</f>
        <v>0</v>
      </c>
      <c r="AT121" s="18">
        <f>+VLOOKUP('3. Blasting'!AL121,Leyenda!$B$55:$D$59,3,FALSE)</f>
        <v>0</v>
      </c>
      <c r="AU121" s="18">
        <f>+VLOOKUP('3. Blasting'!AM121,Relleno,3,FALSE)</f>
        <v>0</v>
      </c>
      <c r="AV121" s="18">
        <v>0</v>
      </c>
      <c r="AW121" s="49">
        <f t="shared" si="37"/>
        <v>0</v>
      </c>
      <c r="AX121" s="49">
        <f>VLOOKUP(AF121,Leyenda!$B$4:$D$10,3,FALSE)</f>
        <v>0</v>
      </c>
      <c r="AY121" s="49">
        <f t="shared" si="31"/>
        <v>3</v>
      </c>
      <c r="AZ121" s="49">
        <f t="shared" si="38"/>
        <v>0</v>
      </c>
      <c r="BA121" s="49">
        <f>VLOOKUP(AN121,Leyenda!$B$70:$D$75,3,FALSE)</f>
        <v>15</v>
      </c>
      <c r="BB121" s="67">
        <f t="shared" si="39"/>
        <v>0</v>
      </c>
      <c r="BC121" s="67">
        <f>VLOOKUP(AF121,Leyenda!$B$4:$E$10,4,FALSE)</f>
        <v>0</v>
      </c>
      <c r="BD121" s="67">
        <f t="shared" si="40"/>
        <v>5</v>
      </c>
      <c r="BE121" s="67">
        <f t="shared" si="41"/>
        <v>0</v>
      </c>
      <c r="BF121" s="67">
        <f>+VLOOKUP('3. Blasting'!AK121,Leyenda!$B$47:$E$51,4,FALSE)</f>
        <v>0</v>
      </c>
      <c r="BG121" s="67">
        <f>+VLOOKUP('3. Blasting'!AL121,Leyenda!$B$55:$E$59,4,FALSE)</f>
        <v>0</v>
      </c>
      <c r="BH121" s="67">
        <f>+VLOOKUP('3. Blasting'!AM121,Leyenda!$B$63:$E$67,3,FALSE)</f>
        <v>0</v>
      </c>
      <c r="BI121" s="67">
        <f>+VLOOKUP('3. Blasting'!AJ121,Leyenda!$B$39:$E$43,4,FALSE)</f>
        <v>0</v>
      </c>
      <c r="BJ121" s="67">
        <f>+VLOOKUP('3. Blasting'!AI121,Leyenda!$B$30:$E$34,4,FALSE)</f>
        <v>0</v>
      </c>
      <c r="BK121" s="67">
        <f>VLOOKUP(AN121,Leyenda!$B$71:$E$75,4,FALSE)</f>
        <v>10</v>
      </c>
      <c r="BL121" s="125">
        <f t="shared" si="42"/>
        <v>15</v>
      </c>
      <c r="BM121" s="85">
        <f t="shared" si="43"/>
        <v>18</v>
      </c>
      <c r="BN121" s="18">
        <f t="shared" si="53"/>
        <v>0.95451851749341388</v>
      </c>
      <c r="BO121" s="18"/>
      <c r="BP121" s="6">
        <f t="shared" si="44"/>
        <v>10</v>
      </c>
      <c r="BQ121" s="6">
        <f t="shared" si="45"/>
        <v>10</v>
      </c>
      <c r="BR121" s="6">
        <v>20</v>
      </c>
      <c r="BS121" s="6">
        <f t="shared" si="46"/>
        <v>3.5</v>
      </c>
      <c r="BT121" s="6">
        <f t="shared" si="47"/>
        <v>1.5650000000000002</v>
      </c>
      <c r="BU121" s="6">
        <f t="shared" si="48"/>
        <v>22.532499999999999</v>
      </c>
      <c r="BV121" s="18">
        <f t="shared" si="32"/>
        <v>9.0130000000000002E-2</v>
      </c>
      <c r="BW121" s="18">
        <f t="shared" si="33"/>
        <v>0.19287820000000003</v>
      </c>
    </row>
    <row r="122" spans="1:75" x14ac:dyDescent="0.25">
      <c r="A122" s="18" t="s">
        <v>6</v>
      </c>
      <c r="B122" s="18">
        <v>2024</v>
      </c>
      <c r="C122" s="18" t="s">
        <v>138</v>
      </c>
      <c r="D122" s="18" t="s">
        <v>245</v>
      </c>
      <c r="E122" s="18">
        <v>40</v>
      </c>
      <c r="F122" s="18" t="s">
        <v>153</v>
      </c>
      <c r="G122" s="18" t="s">
        <v>292</v>
      </c>
      <c r="H122" s="4">
        <f t="shared" si="55"/>
        <v>4</v>
      </c>
      <c r="I122" s="4">
        <v>4.5</v>
      </c>
      <c r="J122" s="4">
        <f t="shared" si="34"/>
        <v>0.5</v>
      </c>
      <c r="K122" s="5">
        <v>0.4</v>
      </c>
      <c r="L122" s="31">
        <f t="shared" si="35"/>
        <v>0.2</v>
      </c>
      <c r="M122" s="31">
        <v>2.14</v>
      </c>
      <c r="N122" s="31">
        <v>31.3</v>
      </c>
      <c r="O122" s="31">
        <f t="shared" si="30"/>
        <v>0.2</v>
      </c>
      <c r="P122" s="31">
        <v>10</v>
      </c>
      <c r="Q122" s="31">
        <v>20</v>
      </c>
      <c r="R122" s="31">
        <v>0.2</v>
      </c>
      <c r="S122" s="31">
        <v>0</v>
      </c>
      <c r="T122" s="65">
        <f t="shared" si="50"/>
        <v>0</v>
      </c>
      <c r="U122" s="31">
        <v>10</v>
      </c>
      <c r="V122" s="31"/>
      <c r="W122" s="31">
        <f t="shared" si="51"/>
        <v>10</v>
      </c>
      <c r="X122" s="31">
        <f t="shared" si="54"/>
        <v>20</v>
      </c>
      <c r="Y122" s="31">
        <f t="shared" si="36"/>
        <v>0.02</v>
      </c>
      <c r="Z122" s="18">
        <v>0</v>
      </c>
      <c r="AA122" s="18" t="s">
        <v>330</v>
      </c>
      <c r="AB122" s="18" t="s">
        <v>333</v>
      </c>
      <c r="AC122" s="18" t="s">
        <v>336</v>
      </c>
      <c r="AD122" s="18">
        <v>20</v>
      </c>
      <c r="AE122" s="18">
        <v>10</v>
      </c>
      <c r="AF122" s="18" t="s">
        <v>32</v>
      </c>
      <c r="AG122" s="18" t="s">
        <v>228</v>
      </c>
      <c r="AH122" s="18" t="s">
        <v>228</v>
      </c>
      <c r="AI122" s="18" t="s">
        <v>69</v>
      </c>
      <c r="AJ122" s="18" t="s">
        <v>81</v>
      </c>
      <c r="AK122" s="18" t="s">
        <v>100</v>
      </c>
      <c r="AL122" s="18" t="s">
        <v>111</v>
      </c>
      <c r="AM122" s="18" t="s">
        <v>122</v>
      </c>
      <c r="AN122" s="18" t="s">
        <v>198</v>
      </c>
      <c r="AO122" s="18"/>
      <c r="AP122" s="18"/>
      <c r="AQ122" s="18">
        <f>+VLOOKUP(AI122,Leyenda!$B$30:$E$34,3,FALSE)</f>
        <v>0</v>
      </c>
      <c r="AR122" s="18">
        <f>+VLOOKUP('3. Blasting'!AJ122,Meteorizacion,3,FALSE)</f>
        <v>0</v>
      </c>
      <c r="AS122" s="18">
        <f>+VLOOKUP('3. Blasting'!AK122,Apertura,3,FALSE)</f>
        <v>0</v>
      </c>
      <c r="AT122" s="18">
        <f>+VLOOKUP('3. Blasting'!AL122,Leyenda!$B$55:$D$59,3,FALSE)</f>
        <v>0</v>
      </c>
      <c r="AU122" s="18">
        <f>+VLOOKUP('3. Blasting'!AM122,Relleno,3,FALSE)</f>
        <v>0</v>
      </c>
      <c r="AV122" s="18">
        <v>0</v>
      </c>
      <c r="AW122" s="49">
        <f t="shared" si="37"/>
        <v>0</v>
      </c>
      <c r="AX122" s="49">
        <f>VLOOKUP(AF122,Leyenda!$B$4:$D$10,3,FALSE)</f>
        <v>1</v>
      </c>
      <c r="AY122" s="49">
        <f t="shared" si="31"/>
        <v>3</v>
      </c>
      <c r="AZ122" s="49">
        <f t="shared" si="38"/>
        <v>0</v>
      </c>
      <c r="BA122" s="49">
        <f>VLOOKUP(AN122,Leyenda!$B$70:$D$75,3,FALSE)</f>
        <v>15</v>
      </c>
      <c r="BB122" s="67">
        <f t="shared" si="39"/>
        <v>0</v>
      </c>
      <c r="BC122" s="67">
        <f>VLOOKUP(AF122,Leyenda!$B$4:$E$10,4,FALSE)</f>
        <v>1</v>
      </c>
      <c r="BD122" s="67">
        <f t="shared" si="40"/>
        <v>5</v>
      </c>
      <c r="BE122" s="67">
        <f t="shared" si="41"/>
        <v>0</v>
      </c>
      <c r="BF122" s="67">
        <f>+VLOOKUP('3. Blasting'!AK122,Leyenda!$B$47:$E$51,4,FALSE)</f>
        <v>0</v>
      </c>
      <c r="BG122" s="67">
        <f>+VLOOKUP('3. Blasting'!AL122,Leyenda!$B$55:$E$59,4,FALSE)</f>
        <v>0</v>
      </c>
      <c r="BH122" s="67">
        <f>+VLOOKUP('3. Blasting'!AM122,Leyenda!$B$63:$E$67,3,FALSE)</f>
        <v>0</v>
      </c>
      <c r="BI122" s="67">
        <f>+VLOOKUP('3. Blasting'!AJ122,Leyenda!$B$39:$E$43,4,FALSE)</f>
        <v>0</v>
      </c>
      <c r="BJ122" s="67">
        <f>+VLOOKUP('3. Blasting'!AI122,Leyenda!$B$30:$E$34,4,FALSE)</f>
        <v>0</v>
      </c>
      <c r="BK122" s="67">
        <f>VLOOKUP(AN122,Leyenda!$B$71:$E$75,4,FALSE)</f>
        <v>10</v>
      </c>
      <c r="BL122" s="125">
        <f t="shared" si="42"/>
        <v>16</v>
      </c>
      <c r="BM122" s="85">
        <f t="shared" si="43"/>
        <v>19</v>
      </c>
      <c r="BN122" s="18">
        <f t="shared" si="53"/>
        <v>0.95419959332238369</v>
      </c>
      <c r="BO122" s="18"/>
      <c r="BP122" s="6">
        <f t="shared" si="44"/>
        <v>10</v>
      </c>
      <c r="BQ122" s="6">
        <f t="shared" si="45"/>
        <v>10</v>
      </c>
      <c r="BR122" s="6">
        <v>20</v>
      </c>
      <c r="BS122" s="6">
        <f t="shared" si="46"/>
        <v>3.5</v>
      </c>
      <c r="BT122" s="6">
        <f t="shared" si="47"/>
        <v>1.5650000000000002</v>
      </c>
      <c r="BU122" s="6">
        <f t="shared" si="48"/>
        <v>22.532499999999999</v>
      </c>
      <c r="BV122" s="18">
        <f t="shared" si="32"/>
        <v>9.0130000000000002E-2</v>
      </c>
      <c r="BW122" s="18">
        <f t="shared" si="33"/>
        <v>0.19287820000000003</v>
      </c>
    </row>
    <row r="123" spans="1:75" hidden="1" x14ac:dyDescent="0.25">
      <c r="A123" s="35" t="s">
        <v>6</v>
      </c>
      <c r="B123" s="35">
        <v>2024</v>
      </c>
      <c r="C123" s="35" t="s">
        <v>138</v>
      </c>
      <c r="D123" s="35" t="s">
        <v>245</v>
      </c>
      <c r="E123" s="35">
        <v>50</v>
      </c>
      <c r="F123" s="35" t="s">
        <v>154</v>
      </c>
      <c r="G123" s="35" t="s">
        <v>292</v>
      </c>
      <c r="H123" s="115">
        <f t="shared" si="55"/>
        <v>4.5</v>
      </c>
      <c r="I123" s="115">
        <v>5</v>
      </c>
      <c r="J123" s="115">
        <f t="shared" si="34"/>
        <v>0.5</v>
      </c>
      <c r="K123" s="116">
        <v>0.54</v>
      </c>
      <c r="L123" s="114">
        <f t="shared" si="35"/>
        <v>0.27</v>
      </c>
      <c r="M123" s="114"/>
      <c r="N123" s="114"/>
      <c r="O123" s="114">
        <f t="shared" si="30"/>
        <v>0.27</v>
      </c>
      <c r="P123" s="114">
        <v>13.5</v>
      </c>
      <c r="Q123" s="114">
        <v>20</v>
      </c>
      <c r="R123" s="114">
        <v>0.24</v>
      </c>
      <c r="S123" s="114">
        <v>0</v>
      </c>
      <c r="T123" s="122">
        <f t="shared" si="50"/>
        <v>0</v>
      </c>
      <c r="U123" s="114">
        <v>10</v>
      </c>
      <c r="V123" s="114"/>
      <c r="W123" s="114">
        <f t="shared" si="51"/>
        <v>10</v>
      </c>
      <c r="X123" s="114">
        <f t="shared" si="54"/>
        <v>24</v>
      </c>
      <c r="Y123" s="114">
        <f t="shared" si="36"/>
        <v>2.4E-2</v>
      </c>
      <c r="Z123" s="35">
        <v>0</v>
      </c>
      <c r="AA123" s="35" t="s">
        <v>330</v>
      </c>
      <c r="AB123" s="35" t="s">
        <v>333</v>
      </c>
      <c r="AC123" s="35" t="s">
        <v>336</v>
      </c>
      <c r="AD123" s="35">
        <v>20</v>
      </c>
      <c r="AE123" s="35">
        <v>13.5</v>
      </c>
      <c r="AF123" s="35" t="s">
        <v>32</v>
      </c>
      <c r="AG123" s="35" t="s">
        <v>228</v>
      </c>
      <c r="AH123" s="35" t="s">
        <v>228</v>
      </c>
      <c r="AI123" s="35" t="s">
        <v>69</v>
      </c>
      <c r="AJ123" s="35" t="s">
        <v>81</v>
      </c>
      <c r="AK123" s="35" t="s">
        <v>100</v>
      </c>
      <c r="AL123" s="35" t="s">
        <v>111</v>
      </c>
      <c r="AM123" s="35" t="s">
        <v>122</v>
      </c>
      <c r="AN123" s="35" t="s">
        <v>198</v>
      </c>
      <c r="AO123" s="35"/>
      <c r="AP123" s="35"/>
      <c r="AQ123" s="35">
        <f>+VLOOKUP(AI123,Leyenda!$B$30:$E$34,3,FALSE)</f>
        <v>0</v>
      </c>
      <c r="AR123" s="35">
        <f>+VLOOKUP('3. Blasting'!AJ123,Meteorizacion,3,FALSE)</f>
        <v>0</v>
      </c>
      <c r="AS123" s="35">
        <f>+VLOOKUP('3. Blasting'!AK123,Apertura,3,FALSE)</f>
        <v>0</v>
      </c>
      <c r="AT123" s="35">
        <f>+VLOOKUP('3. Blasting'!AL123,Leyenda!$B$55:$D$59,3,FALSE)</f>
        <v>0</v>
      </c>
      <c r="AU123" s="35">
        <f>+VLOOKUP('3. Blasting'!AM123,Relleno,3,FALSE)</f>
        <v>0</v>
      </c>
      <c r="AV123" s="35">
        <f t="shared" si="52"/>
        <v>0</v>
      </c>
      <c r="AW123" s="118">
        <f t="shared" si="37"/>
        <v>0</v>
      </c>
      <c r="AX123" s="118">
        <f>VLOOKUP(AF123,Leyenda!$B$4:$D$10,3,FALSE)</f>
        <v>1</v>
      </c>
      <c r="AY123" s="119">
        <f t="shared" si="31"/>
        <v>4</v>
      </c>
      <c r="AZ123" s="118">
        <f t="shared" si="38"/>
        <v>0</v>
      </c>
      <c r="BA123" s="118">
        <f>VLOOKUP(AN123,Leyenda!$B$70:$D$75,3,FALSE)</f>
        <v>15</v>
      </c>
      <c r="BB123" s="120">
        <f t="shared" si="39"/>
        <v>0</v>
      </c>
      <c r="BC123" s="120">
        <f>VLOOKUP(AF123,Leyenda!$B$4:$E$10,4,FALSE)</f>
        <v>1</v>
      </c>
      <c r="BD123" s="120">
        <f t="shared" si="40"/>
        <v>5</v>
      </c>
      <c r="BE123" s="120">
        <f t="shared" si="41"/>
        <v>0</v>
      </c>
      <c r="BF123" s="120">
        <f>+VLOOKUP('3. Blasting'!AK123,Leyenda!$B$47:$E$51,4,FALSE)</f>
        <v>0</v>
      </c>
      <c r="BG123" s="120">
        <f>+VLOOKUP('3. Blasting'!AL123,Leyenda!$B$55:$E$59,4,FALSE)</f>
        <v>0</v>
      </c>
      <c r="BH123" s="120">
        <f>+VLOOKUP('3. Blasting'!AM123,Leyenda!$B$63:$E$67,3,FALSE)</f>
        <v>0</v>
      </c>
      <c r="BI123" s="120">
        <f>+VLOOKUP('3. Blasting'!AJ123,Leyenda!$B$39:$E$43,4,FALSE)</f>
        <v>0</v>
      </c>
      <c r="BJ123" s="120">
        <f>+VLOOKUP('3. Blasting'!AI123,Leyenda!$B$30:$E$34,4,FALSE)</f>
        <v>0</v>
      </c>
      <c r="BK123" s="120">
        <f>VLOOKUP(AN123,Leyenda!$B$71:$E$75,4,FALSE)</f>
        <v>10</v>
      </c>
      <c r="BL123" s="120">
        <f t="shared" si="42"/>
        <v>16</v>
      </c>
      <c r="BM123" s="35">
        <f t="shared" si="43"/>
        <v>20</v>
      </c>
      <c r="BN123" s="35"/>
      <c r="BO123" s="35"/>
      <c r="BP123">
        <f t="shared" si="44"/>
        <v>10</v>
      </c>
      <c r="BQ123">
        <f t="shared" si="45"/>
        <v>10</v>
      </c>
      <c r="BR123">
        <v>20</v>
      </c>
      <c r="BS123">
        <f t="shared" si="46"/>
        <v>-50</v>
      </c>
      <c r="BT123">
        <f t="shared" si="47"/>
        <v>0</v>
      </c>
      <c r="BU123">
        <f t="shared" si="48"/>
        <v>-5</v>
      </c>
      <c r="BV123" s="1">
        <f t="shared" si="32"/>
        <v>-0.02</v>
      </c>
      <c r="BW123" s="1">
        <f t="shared" si="33"/>
        <v>0</v>
      </c>
    </row>
    <row r="124" spans="1:75" hidden="1" x14ac:dyDescent="0.25">
      <c r="A124" s="18" t="s">
        <v>6</v>
      </c>
      <c r="B124" s="18">
        <v>2024</v>
      </c>
      <c r="C124" s="18" t="s">
        <v>138</v>
      </c>
      <c r="D124" s="18" t="s">
        <v>245</v>
      </c>
      <c r="E124" s="18">
        <v>50</v>
      </c>
      <c r="F124" s="18" t="s">
        <v>154</v>
      </c>
      <c r="G124" s="18" t="s">
        <v>292</v>
      </c>
      <c r="H124" s="4">
        <f t="shared" si="55"/>
        <v>5</v>
      </c>
      <c r="I124" s="4">
        <v>5.5</v>
      </c>
      <c r="J124" s="4">
        <f t="shared" si="34"/>
        <v>0.5</v>
      </c>
      <c r="K124" s="5">
        <v>0.32</v>
      </c>
      <c r="L124" s="31">
        <f t="shared" si="35"/>
        <v>0.16</v>
      </c>
      <c r="M124" s="31"/>
      <c r="N124" s="31"/>
      <c r="O124" s="31">
        <f t="shared" si="30"/>
        <v>0.16</v>
      </c>
      <c r="P124" s="31">
        <v>8</v>
      </c>
      <c r="Q124" s="31">
        <v>20</v>
      </c>
      <c r="R124" s="31">
        <v>0.15</v>
      </c>
      <c r="S124" s="31">
        <v>0</v>
      </c>
      <c r="T124" s="65">
        <f t="shared" si="50"/>
        <v>0</v>
      </c>
      <c r="U124" s="31">
        <v>10</v>
      </c>
      <c r="V124" s="31"/>
      <c r="W124" s="31">
        <f t="shared" si="51"/>
        <v>10</v>
      </c>
      <c r="X124" s="31">
        <f t="shared" si="54"/>
        <v>15</v>
      </c>
      <c r="Y124" s="31">
        <f t="shared" si="36"/>
        <v>1.4999999999999999E-2</v>
      </c>
      <c r="Z124" s="18">
        <v>0</v>
      </c>
      <c r="AA124" s="18" t="s">
        <v>330</v>
      </c>
      <c r="AB124" s="18" t="s">
        <v>333</v>
      </c>
      <c r="AC124" s="18" t="s">
        <v>336</v>
      </c>
      <c r="AD124" s="18">
        <v>20</v>
      </c>
      <c r="AE124" s="18">
        <v>8</v>
      </c>
      <c r="AF124" s="18" t="s">
        <v>32</v>
      </c>
      <c r="AG124" s="18" t="s">
        <v>228</v>
      </c>
      <c r="AH124" s="18" t="s">
        <v>228</v>
      </c>
      <c r="AI124" s="18" t="s">
        <v>69</v>
      </c>
      <c r="AJ124" s="18" t="s">
        <v>81</v>
      </c>
      <c r="AK124" s="18" t="s">
        <v>100</v>
      </c>
      <c r="AL124" s="18" t="s">
        <v>111</v>
      </c>
      <c r="AM124" s="18" t="s">
        <v>122</v>
      </c>
      <c r="AN124" s="18" t="s">
        <v>198</v>
      </c>
      <c r="AO124" s="18" t="s">
        <v>229</v>
      </c>
      <c r="AP124" s="18"/>
      <c r="AQ124" s="18">
        <f>+VLOOKUP(AI124,Leyenda!$B$30:$E$34,3,FALSE)</f>
        <v>0</v>
      </c>
      <c r="AR124" s="18">
        <f>+VLOOKUP('3. Blasting'!AJ124,Meteorizacion,3,FALSE)</f>
        <v>0</v>
      </c>
      <c r="AS124" s="18">
        <f>+VLOOKUP('3. Blasting'!AK124,Apertura,3,FALSE)</f>
        <v>0</v>
      </c>
      <c r="AT124" s="18">
        <f>+VLOOKUP('3. Blasting'!AL124,Leyenda!$B$55:$D$59,3,FALSE)</f>
        <v>0</v>
      </c>
      <c r="AU124" s="18">
        <f>+VLOOKUP('3. Blasting'!AM124,Relleno,3,FALSE)</f>
        <v>0</v>
      </c>
      <c r="AV124" s="18">
        <f t="shared" si="52"/>
        <v>0</v>
      </c>
      <c r="AW124" s="49">
        <f t="shared" si="37"/>
        <v>0</v>
      </c>
      <c r="AX124" s="49">
        <f>VLOOKUP(AF124,Leyenda!$B$4:$D$10,3,FALSE)</f>
        <v>1</v>
      </c>
      <c r="AY124" s="50">
        <f t="shared" si="31"/>
        <v>3</v>
      </c>
      <c r="AZ124" s="49">
        <f t="shared" si="38"/>
        <v>0</v>
      </c>
      <c r="BA124" s="49">
        <f>VLOOKUP(AN124,Leyenda!$B$70:$D$75,3,FALSE)</f>
        <v>15</v>
      </c>
      <c r="BB124" s="67">
        <f t="shared" si="39"/>
        <v>0</v>
      </c>
      <c r="BC124" s="67">
        <f>VLOOKUP(AF124,Leyenda!$B$4:$E$10,4,FALSE)</f>
        <v>1</v>
      </c>
      <c r="BD124" s="67">
        <f t="shared" si="40"/>
        <v>5</v>
      </c>
      <c r="BE124" s="67">
        <f t="shared" si="41"/>
        <v>0</v>
      </c>
      <c r="BF124" s="67">
        <f>+VLOOKUP('3. Blasting'!AK124,Leyenda!$B$47:$E$51,4,FALSE)</f>
        <v>0</v>
      </c>
      <c r="BG124" s="67">
        <f>+VLOOKUP('3. Blasting'!AL124,Leyenda!$B$55:$E$59,4,FALSE)</f>
        <v>0</v>
      </c>
      <c r="BH124" s="67">
        <f>+VLOOKUP('3. Blasting'!AM124,Leyenda!$B$63:$E$67,3,FALSE)</f>
        <v>0</v>
      </c>
      <c r="BI124" s="67">
        <f>+VLOOKUP('3. Blasting'!AJ124,Leyenda!$B$39:$E$43,4,FALSE)</f>
        <v>0</v>
      </c>
      <c r="BJ124" s="67">
        <f>+VLOOKUP('3. Blasting'!AI124,Leyenda!$B$30:$E$34,4,FALSE)</f>
        <v>0</v>
      </c>
      <c r="BK124" s="67">
        <f>VLOOKUP(AN124,Leyenda!$B$71:$E$75,4,FALSE)</f>
        <v>10</v>
      </c>
      <c r="BL124" s="67">
        <f t="shared" si="42"/>
        <v>16</v>
      </c>
      <c r="BM124" s="18">
        <f t="shared" si="43"/>
        <v>19</v>
      </c>
      <c r="BN124" s="18"/>
      <c r="BO124" s="18"/>
      <c r="BP124">
        <f t="shared" si="44"/>
        <v>10</v>
      </c>
      <c r="BQ124">
        <f t="shared" si="45"/>
        <v>10</v>
      </c>
      <c r="BR124">
        <v>20</v>
      </c>
      <c r="BS124">
        <f t="shared" si="46"/>
        <v>-50</v>
      </c>
      <c r="BT124">
        <f t="shared" si="47"/>
        <v>0</v>
      </c>
      <c r="BU124">
        <f t="shared" si="48"/>
        <v>-5</v>
      </c>
      <c r="BV124" s="1">
        <f t="shared" si="32"/>
        <v>-0.02</v>
      </c>
      <c r="BW124" s="1">
        <f t="shared" si="33"/>
        <v>0</v>
      </c>
    </row>
    <row r="125" spans="1:75" hidden="1" x14ac:dyDescent="0.25">
      <c r="A125" s="18" t="s">
        <v>6</v>
      </c>
      <c r="B125" s="18">
        <v>2024</v>
      </c>
      <c r="C125" s="18" t="s">
        <v>138</v>
      </c>
      <c r="D125" s="18" t="s">
        <v>245</v>
      </c>
      <c r="E125" s="18">
        <v>50</v>
      </c>
      <c r="F125" s="18" t="s">
        <v>154</v>
      </c>
      <c r="G125" s="18" t="s">
        <v>292</v>
      </c>
      <c r="H125" s="4">
        <f t="shared" si="55"/>
        <v>5.5</v>
      </c>
      <c r="I125" s="4">
        <v>6</v>
      </c>
      <c r="J125" s="4">
        <f t="shared" si="34"/>
        <v>0.5</v>
      </c>
      <c r="K125" s="5">
        <v>0.54</v>
      </c>
      <c r="L125" s="31">
        <f t="shared" si="35"/>
        <v>0.27</v>
      </c>
      <c r="M125" s="31"/>
      <c r="N125" s="31"/>
      <c r="O125" s="31">
        <f t="shared" si="30"/>
        <v>0.27</v>
      </c>
      <c r="P125" s="31">
        <v>13.5</v>
      </c>
      <c r="Q125" s="31">
        <v>20</v>
      </c>
      <c r="R125" s="31">
        <v>0.19</v>
      </c>
      <c r="S125" s="31">
        <v>0.19</v>
      </c>
      <c r="T125" s="65">
        <f t="shared" si="50"/>
        <v>38</v>
      </c>
      <c r="U125" s="31">
        <v>5</v>
      </c>
      <c r="V125" s="31"/>
      <c r="W125" s="31">
        <f t="shared" si="51"/>
        <v>5</v>
      </c>
      <c r="X125" s="31">
        <f t="shared" si="54"/>
        <v>38</v>
      </c>
      <c r="Y125" s="31">
        <f t="shared" si="36"/>
        <v>3.7999999999999999E-2</v>
      </c>
      <c r="Z125" s="18">
        <v>44</v>
      </c>
      <c r="AA125" s="18" t="s">
        <v>330</v>
      </c>
      <c r="AB125" s="18" t="s">
        <v>333</v>
      </c>
      <c r="AC125" s="18" t="s">
        <v>336</v>
      </c>
      <c r="AD125" s="18">
        <v>20</v>
      </c>
      <c r="AE125" s="18">
        <v>13.5</v>
      </c>
      <c r="AF125" s="18" t="s">
        <v>32</v>
      </c>
      <c r="AG125" s="18" t="s">
        <v>24</v>
      </c>
      <c r="AH125" s="18" t="s">
        <v>24</v>
      </c>
      <c r="AI125" s="18" t="s">
        <v>66</v>
      </c>
      <c r="AJ125" s="18" t="s">
        <v>79</v>
      </c>
      <c r="AK125" s="18" t="s">
        <v>92</v>
      </c>
      <c r="AL125" s="18" t="s">
        <v>111</v>
      </c>
      <c r="AM125" s="18" t="s">
        <v>122</v>
      </c>
      <c r="AN125" s="18" t="s">
        <v>198</v>
      </c>
      <c r="AO125" s="18" t="s">
        <v>229</v>
      </c>
      <c r="AP125" s="18"/>
      <c r="AQ125" s="18">
        <f>+VLOOKUP(AI125,Leyenda!$B$30:$E$34,3,FALSE)</f>
        <v>1</v>
      </c>
      <c r="AR125" s="18">
        <f>+VLOOKUP('3. Blasting'!AJ125,Meteorizacion,3,FALSE)</f>
        <v>1</v>
      </c>
      <c r="AS125" s="18">
        <f>+VLOOKUP('3. Blasting'!AK125,Apertura,3,FALSE)</f>
        <v>3</v>
      </c>
      <c r="AT125" s="18">
        <f>+VLOOKUP('3. Blasting'!AL125,Leyenda!$B$55:$D$59,3,FALSE)</f>
        <v>0</v>
      </c>
      <c r="AU125" s="18">
        <f>+VLOOKUP('3. Blasting'!AM125,Relleno,3,FALSE)</f>
        <v>0</v>
      </c>
      <c r="AV125" s="18">
        <f t="shared" si="52"/>
        <v>5</v>
      </c>
      <c r="AW125" s="49">
        <f t="shared" si="37"/>
        <v>9</v>
      </c>
      <c r="AX125" s="49">
        <f>VLOOKUP(AF125,Leyenda!$B$4:$D$10,3,FALSE)</f>
        <v>1</v>
      </c>
      <c r="AY125" s="50">
        <f t="shared" si="31"/>
        <v>4</v>
      </c>
      <c r="AZ125" s="49">
        <f t="shared" si="38"/>
        <v>5</v>
      </c>
      <c r="BA125" s="49">
        <f>VLOOKUP(AN125,Leyenda!$B$70:$D$75,3,FALSE)</f>
        <v>15</v>
      </c>
      <c r="BB125" s="67">
        <f t="shared" si="39"/>
        <v>26.5</v>
      </c>
      <c r="BC125" s="67">
        <f>VLOOKUP(AF125,Leyenda!$B$4:$E$10,4,FALSE)</f>
        <v>1</v>
      </c>
      <c r="BD125" s="67">
        <f t="shared" si="40"/>
        <v>5</v>
      </c>
      <c r="BE125" s="67">
        <f t="shared" si="41"/>
        <v>8</v>
      </c>
      <c r="BF125" s="67">
        <f>+VLOOKUP('3. Blasting'!AK125,Leyenda!$B$47:$E$51,4,FALSE)</f>
        <v>3</v>
      </c>
      <c r="BG125" s="67">
        <f>+VLOOKUP('3. Blasting'!AL125,Leyenda!$B$55:$E$59,4,FALSE)</f>
        <v>0</v>
      </c>
      <c r="BH125" s="67">
        <f>+VLOOKUP('3. Blasting'!AM125,Leyenda!$B$63:$E$67,3,FALSE)</f>
        <v>0</v>
      </c>
      <c r="BI125" s="67">
        <f>+VLOOKUP('3. Blasting'!AJ125,Leyenda!$B$39:$E$43,4,FALSE)</f>
        <v>1</v>
      </c>
      <c r="BJ125" s="67">
        <f>+VLOOKUP('3. Blasting'!AI125,Leyenda!$B$30:$E$34,4,FALSE)</f>
        <v>1</v>
      </c>
      <c r="BK125" s="67">
        <f>VLOOKUP(AN125,Leyenda!$B$71:$E$75,4,FALSE)</f>
        <v>10</v>
      </c>
      <c r="BL125" s="67">
        <f t="shared" si="42"/>
        <v>29</v>
      </c>
      <c r="BM125" s="18">
        <f t="shared" si="43"/>
        <v>34</v>
      </c>
      <c r="BN125" s="18"/>
      <c r="BO125" s="18"/>
      <c r="BP125">
        <f t="shared" si="44"/>
        <v>10</v>
      </c>
      <c r="BQ125">
        <f t="shared" si="45"/>
        <v>10</v>
      </c>
      <c r="BR125">
        <v>20</v>
      </c>
      <c r="BS125">
        <f t="shared" si="46"/>
        <v>-50</v>
      </c>
      <c r="BT125">
        <f t="shared" si="47"/>
        <v>0</v>
      </c>
      <c r="BU125">
        <f t="shared" si="48"/>
        <v>-5</v>
      </c>
      <c r="BV125" s="1">
        <f t="shared" si="32"/>
        <v>-0.02</v>
      </c>
      <c r="BW125" s="1">
        <f t="shared" si="33"/>
        <v>0</v>
      </c>
    </row>
    <row r="126" spans="1:75" hidden="1" x14ac:dyDescent="0.25">
      <c r="A126" s="18" t="s">
        <v>6</v>
      </c>
      <c r="B126" s="18">
        <v>2024</v>
      </c>
      <c r="C126" s="18" t="s">
        <v>138</v>
      </c>
      <c r="D126" s="18" t="s">
        <v>245</v>
      </c>
      <c r="E126" s="18">
        <v>50</v>
      </c>
      <c r="F126" s="18" t="s">
        <v>154</v>
      </c>
      <c r="G126" s="18" t="s">
        <v>292</v>
      </c>
      <c r="H126" s="4">
        <f t="shared" si="55"/>
        <v>6</v>
      </c>
      <c r="I126" s="4">
        <v>6.5</v>
      </c>
      <c r="J126" s="4">
        <f t="shared" si="34"/>
        <v>0.5</v>
      </c>
      <c r="K126" s="5">
        <v>0.52</v>
      </c>
      <c r="L126" s="31">
        <f t="shared" si="35"/>
        <v>0.26</v>
      </c>
      <c r="M126" s="31"/>
      <c r="N126" s="31"/>
      <c r="O126" s="31">
        <f t="shared" si="30"/>
        <v>0.26</v>
      </c>
      <c r="P126" s="31">
        <v>13</v>
      </c>
      <c r="Q126" s="31">
        <v>20</v>
      </c>
      <c r="R126" s="31">
        <v>0.2</v>
      </c>
      <c r="S126" s="31">
        <v>0</v>
      </c>
      <c r="T126" s="65">
        <f t="shared" si="50"/>
        <v>0</v>
      </c>
      <c r="U126" s="31">
        <v>10</v>
      </c>
      <c r="V126" s="31"/>
      <c r="W126" s="31">
        <f t="shared" si="51"/>
        <v>10</v>
      </c>
      <c r="X126" s="31">
        <f t="shared" si="54"/>
        <v>20</v>
      </c>
      <c r="Y126" s="31">
        <f t="shared" si="36"/>
        <v>0.02</v>
      </c>
      <c r="Z126" s="18">
        <v>0</v>
      </c>
      <c r="AA126" s="18" t="s">
        <v>330</v>
      </c>
      <c r="AB126" s="18" t="s">
        <v>333</v>
      </c>
      <c r="AC126" s="18" t="s">
        <v>336</v>
      </c>
      <c r="AD126" s="18">
        <v>20</v>
      </c>
      <c r="AE126" s="18">
        <v>13</v>
      </c>
      <c r="AF126" s="18" t="s">
        <v>32</v>
      </c>
      <c r="AG126" s="18" t="s">
        <v>24</v>
      </c>
      <c r="AH126" s="18" t="s">
        <v>24</v>
      </c>
      <c r="AI126" s="18" t="s">
        <v>69</v>
      </c>
      <c r="AJ126" s="18" t="s">
        <v>79</v>
      </c>
      <c r="AK126" s="18" t="s">
        <v>96</v>
      </c>
      <c r="AL126" s="18" t="s">
        <v>109</v>
      </c>
      <c r="AM126" s="18" t="s">
        <v>122</v>
      </c>
      <c r="AN126" s="18" t="s">
        <v>198</v>
      </c>
      <c r="AO126" s="18" t="s">
        <v>230</v>
      </c>
      <c r="AP126" s="18"/>
      <c r="AQ126" s="18">
        <f>+VLOOKUP(AI126,Leyenda!$B$30:$E$34,3,FALSE)</f>
        <v>0</v>
      </c>
      <c r="AR126" s="18">
        <f>+VLOOKUP('3. Blasting'!AJ126,Meteorizacion,3,FALSE)</f>
        <v>1</v>
      </c>
      <c r="AS126" s="18">
        <f>+VLOOKUP('3. Blasting'!AK126,Apertura,3,FALSE)</f>
        <v>1</v>
      </c>
      <c r="AT126" s="18">
        <f>+VLOOKUP('3. Blasting'!AL126,Leyenda!$B$55:$D$59,3,FALSE)</f>
        <v>1</v>
      </c>
      <c r="AU126" s="18">
        <f>+VLOOKUP('3. Blasting'!AM126,Relleno,3,FALSE)</f>
        <v>0</v>
      </c>
      <c r="AV126" s="18">
        <f t="shared" si="52"/>
        <v>3</v>
      </c>
      <c r="AW126" s="49">
        <f t="shared" si="37"/>
        <v>0</v>
      </c>
      <c r="AX126" s="49">
        <f>VLOOKUP(AF126,Leyenda!$B$4:$D$10,3,FALSE)</f>
        <v>1</v>
      </c>
      <c r="AY126" s="50">
        <f t="shared" si="31"/>
        <v>4</v>
      </c>
      <c r="AZ126" s="49">
        <f t="shared" si="38"/>
        <v>3</v>
      </c>
      <c r="BA126" s="49">
        <f>VLOOKUP(AN126,Leyenda!$B$70:$D$75,3,FALSE)</f>
        <v>15</v>
      </c>
      <c r="BB126" s="67">
        <f t="shared" si="39"/>
        <v>4.5</v>
      </c>
      <c r="BC126" s="67">
        <f>VLOOKUP(AF126,Leyenda!$B$4:$E$10,4,FALSE)</f>
        <v>1</v>
      </c>
      <c r="BD126" s="67">
        <f t="shared" si="40"/>
        <v>5</v>
      </c>
      <c r="BE126" s="67">
        <f t="shared" si="41"/>
        <v>0</v>
      </c>
      <c r="BF126" s="67">
        <f>+VLOOKUP('3. Blasting'!AK126,Leyenda!$B$47:$E$51,4,FALSE)</f>
        <v>1</v>
      </c>
      <c r="BG126" s="67">
        <f>+VLOOKUP('3. Blasting'!AL126,Leyenda!$B$55:$E$59,4,FALSE)</f>
        <v>1</v>
      </c>
      <c r="BH126" s="67">
        <f>+VLOOKUP('3. Blasting'!AM126,Leyenda!$B$63:$E$67,3,FALSE)</f>
        <v>0</v>
      </c>
      <c r="BI126" s="67">
        <f>+VLOOKUP('3. Blasting'!AJ126,Leyenda!$B$39:$E$43,4,FALSE)</f>
        <v>1</v>
      </c>
      <c r="BJ126" s="67">
        <f>+VLOOKUP('3. Blasting'!AI126,Leyenda!$B$30:$E$34,4,FALSE)</f>
        <v>0</v>
      </c>
      <c r="BK126" s="67">
        <f>VLOOKUP(AN126,Leyenda!$B$71:$E$75,4,FALSE)</f>
        <v>10</v>
      </c>
      <c r="BL126" s="67">
        <f t="shared" si="42"/>
        <v>19</v>
      </c>
      <c r="BM126" s="18">
        <f t="shared" si="43"/>
        <v>23</v>
      </c>
      <c r="BN126" s="18"/>
      <c r="BO126" s="18"/>
      <c r="BP126">
        <f t="shared" si="44"/>
        <v>10</v>
      </c>
      <c r="BQ126">
        <f t="shared" si="45"/>
        <v>10</v>
      </c>
      <c r="BR126">
        <v>20</v>
      </c>
      <c r="BS126">
        <f t="shared" si="46"/>
        <v>-50</v>
      </c>
      <c r="BT126">
        <f t="shared" si="47"/>
        <v>0</v>
      </c>
      <c r="BU126">
        <f t="shared" si="48"/>
        <v>-5</v>
      </c>
      <c r="BV126" s="1">
        <f t="shared" si="32"/>
        <v>-0.02</v>
      </c>
      <c r="BW126" s="1">
        <f t="shared" si="33"/>
        <v>0</v>
      </c>
    </row>
    <row r="127" spans="1:75" hidden="1" x14ac:dyDescent="0.25">
      <c r="A127" s="18" t="s">
        <v>6</v>
      </c>
      <c r="B127" s="18">
        <v>2024</v>
      </c>
      <c r="C127" s="18" t="s">
        <v>138</v>
      </c>
      <c r="D127" s="18" t="s">
        <v>245</v>
      </c>
      <c r="E127" s="18">
        <v>50</v>
      </c>
      <c r="F127" s="18" t="s">
        <v>154</v>
      </c>
      <c r="G127" s="18" t="s">
        <v>292</v>
      </c>
      <c r="H127" s="4">
        <f t="shared" si="55"/>
        <v>6.5</v>
      </c>
      <c r="I127" s="4">
        <v>7</v>
      </c>
      <c r="J127" s="4">
        <f t="shared" si="34"/>
        <v>0.5</v>
      </c>
      <c r="K127" s="5">
        <v>0.54</v>
      </c>
      <c r="L127" s="31">
        <f t="shared" si="35"/>
        <v>0.27</v>
      </c>
      <c r="M127" s="31"/>
      <c r="N127" s="31"/>
      <c r="O127" s="31">
        <f t="shared" si="30"/>
        <v>0.27</v>
      </c>
      <c r="P127" s="31">
        <v>13.5</v>
      </c>
      <c r="Q127" s="31">
        <v>20</v>
      </c>
      <c r="R127" s="31">
        <v>0.24</v>
      </c>
      <c r="S127" s="31">
        <v>0</v>
      </c>
      <c r="T127" s="65">
        <f t="shared" si="50"/>
        <v>0</v>
      </c>
      <c r="U127" s="31">
        <v>10</v>
      </c>
      <c r="V127" s="31"/>
      <c r="W127" s="31">
        <f t="shared" si="51"/>
        <v>10</v>
      </c>
      <c r="X127" s="31">
        <f t="shared" si="54"/>
        <v>24</v>
      </c>
      <c r="Y127" s="31">
        <f t="shared" si="36"/>
        <v>2.4E-2</v>
      </c>
      <c r="Z127" s="18">
        <v>0</v>
      </c>
      <c r="AA127" s="18" t="s">
        <v>330</v>
      </c>
      <c r="AB127" s="18" t="s">
        <v>333</v>
      </c>
      <c r="AC127" s="18" t="s">
        <v>336</v>
      </c>
      <c r="AD127" s="18">
        <v>20</v>
      </c>
      <c r="AE127" s="18">
        <v>13.5</v>
      </c>
      <c r="AF127" s="18" t="s">
        <v>32</v>
      </c>
      <c r="AG127" s="18" t="s">
        <v>24</v>
      </c>
      <c r="AH127" s="18" t="s">
        <v>24</v>
      </c>
      <c r="AI127" s="18" t="s">
        <v>69</v>
      </c>
      <c r="AJ127" s="18" t="s">
        <v>79</v>
      </c>
      <c r="AK127" s="18" t="s">
        <v>96</v>
      </c>
      <c r="AL127" s="18" t="s">
        <v>109</v>
      </c>
      <c r="AM127" s="18" t="s">
        <v>122</v>
      </c>
      <c r="AN127" s="18" t="s">
        <v>198</v>
      </c>
      <c r="AO127" s="18" t="s">
        <v>230</v>
      </c>
      <c r="AP127" s="18"/>
      <c r="AQ127" s="18">
        <f>+VLOOKUP(AI127,Leyenda!$B$30:$E$34,3,FALSE)</f>
        <v>0</v>
      </c>
      <c r="AR127" s="18">
        <f>+VLOOKUP('3. Blasting'!AJ127,Meteorizacion,3,FALSE)</f>
        <v>1</v>
      </c>
      <c r="AS127" s="18">
        <f>+VLOOKUP('3. Blasting'!AK127,Apertura,3,FALSE)</f>
        <v>1</v>
      </c>
      <c r="AT127" s="18">
        <f>+VLOOKUP('3. Blasting'!AL127,Leyenda!$B$55:$D$59,3,FALSE)</f>
        <v>1</v>
      </c>
      <c r="AU127" s="18">
        <f>+VLOOKUP('3. Blasting'!AM127,Relleno,3,FALSE)</f>
        <v>0</v>
      </c>
      <c r="AV127" s="18">
        <f t="shared" si="52"/>
        <v>3</v>
      </c>
      <c r="AW127" s="49">
        <f t="shared" si="37"/>
        <v>0</v>
      </c>
      <c r="AX127" s="49">
        <f>VLOOKUP(AF127,Leyenda!$B$4:$D$10,3,FALSE)</f>
        <v>1</v>
      </c>
      <c r="AY127" s="50">
        <f t="shared" si="31"/>
        <v>4</v>
      </c>
      <c r="AZ127" s="49">
        <f t="shared" si="38"/>
        <v>3</v>
      </c>
      <c r="BA127" s="49">
        <f>VLOOKUP(AN127,Leyenda!$B$70:$D$75,3,FALSE)</f>
        <v>15</v>
      </c>
      <c r="BB127" s="67">
        <f t="shared" si="39"/>
        <v>4.5</v>
      </c>
      <c r="BC127" s="67">
        <f>VLOOKUP(AF127,Leyenda!$B$4:$E$10,4,FALSE)</f>
        <v>1</v>
      </c>
      <c r="BD127" s="67">
        <f t="shared" si="40"/>
        <v>5</v>
      </c>
      <c r="BE127" s="67">
        <f t="shared" si="41"/>
        <v>0</v>
      </c>
      <c r="BF127" s="67">
        <f>+VLOOKUP('3. Blasting'!AK127,Leyenda!$B$47:$E$51,4,FALSE)</f>
        <v>1</v>
      </c>
      <c r="BG127" s="67">
        <f>+VLOOKUP('3. Blasting'!AL127,Leyenda!$B$55:$E$59,4,FALSE)</f>
        <v>1</v>
      </c>
      <c r="BH127" s="67">
        <f>+VLOOKUP('3. Blasting'!AM127,Leyenda!$B$63:$E$67,3,FALSE)</f>
        <v>0</v>
      </c>
      <c r="BI127" s="67">
        <f>+VLOOKUP('3. Blasting'!AJ127,Leyenda!$B$39:$E$43,4,FALSE)</f>
        <v>1</v>
      </c>
      <c r="BJ127" s="67">
        <f>+VLOOKUP('3. Blasting'!AI127,Leyenda!$B$30:$E$34,4,FALSE)</f>
        <v>0</v>
      </c>
      <c r="BK127" s="67">
        <f>VLOOKUP(AN127,Leyenda!$B$71:$E$75,4,FALSE)</f>
        <v>10</v>
      </c>
      <c r="BL127" s="67">
        <f t="shared" si="42"/>
        <v>19</v>
      </c>
      <c r="BM127" s="18">
        <f t="shared" si="43"/>
        <v>23</v>
      </c>
      <c r="BN127" s="18"/>
      <c r="BO127" s="18"/>
      <c r="BP127">
        <f t="shared" si="44"/>
        <v>10</v>
      </c>
      <c r="BQ127">
        <f t="shared" si="45"/>
        <v>10</v>
      </c>
      <c r="BR127">
        <v>20</v>
      </c>
      <c r="BS127">
        <f t="shared" si="46"/>
        <v>-50</v>
      </c>
      <c r="BT127">
        <f t="shared" si="47"/>
        <v>0</v>
      </c>
      <c r="BU127">
        <f t="shared" si="48"/>
        <v>-5</v>
      </c>
      <c r="BV127" s="1">
        <f t="shared" si="32"/>
        <v>-0.02</v>
      </c>
      <c r="BW127" s="1">
        <f t="shared" si="33"/>
        <v>0</v>
      </c>
    </row>
    <row r="128" spans="1:75" hidden="1" x14ac:dyDescent="0.25">
      <c r="A128" s="18" t="s">
        <v>6</v>
      </c>
      <c r="B128" s="18">
        <v>2024</v>
      </c>
      <c r="C128" s="18" t="s">
        <v>138</v>
      </c>
      <c r="D128" s="18" t="s">
        <v>245</v>
      </c>
      <c r="E128" s="18">
        <v>50</v>
      </c>
      <c r="F128" s="18" t="s">
        <v>154</v>
      </c>
      <c r="G128" s="18" t="s">
        <v>292</v>
      </c>
      <c r="H128" s="4">
        <f t="shared" si="55"/>
        <v>7</v>
      </c>
      <c r="I128" s="4">
        <v>7.5</v>
      </c>
      <c r="J128" s="4">
        <f t="shared" si="34"/>
        <v>0.5</v>
      </c>
      <c r="K128" s="5">
        <v>0.44</v>
      </c>
      <c r="L128" s="31">
        <f t="shared" si="35"/>
        <v>0.22</v>
      </c>
      <c r="M128" s="31"/>
      <c r="N128" s="31"/>
      <c r="O128" s="31">
        <f t="shared" si="30"/>
        <v>0.22</v>
      </c>
      <c r="P128" s="31">
        <v>11</v>
      </c>
      <c r="Q128" s="31">
        <v>20</v>
      </c>
      <c r="R128" s="31">
        <v>0.17</v>
      </c>
      <c r="S128" s="31">
        <v>0.12</v>
      </c>
      <c r="T128" s="65">
        <f t="shared" si="50"/>
        <v>24</v>
      </c>
      <c r="U128" s="31">
        <v>3</v>
      </c>
      <c r="V128" s="31"/>
      <c r="W128" s="31">
        <f t="shared" si="51"/>
        <v>3</v>
      </c>
      <c r="X128" s="31">
        <f t="shared" si="54"/>
        <v>56.666666666666664</v>
      </c>
      <c r="Y128" s="31">
        <f t="shared" si="36"/>
        <v>5.6666666666666664E-2</v>
      </c>
      <c r="Z128" s="18">
        <v>0</v>
      </c>
      <c r="AA128" s="18" t="s">
        <v>330</v>
      </c>
      <c r="AB128" s="18" t="s">
        <v>333</v>
      </c>
      <c r="AC128" s="18" t="s">
        <v>336</v>
      </c>
      <c r="AD128" s="18">
        <v>20</v>
      </c>
      <c r="AE128" s="18">
        <v>11</v>
      </c>
      <c r="AF128" s="18" t="s">
        <v>32</v>
      </c>
      <c r="AG128" s="18" t="s">
        <v>24</v>
      </c>
      <c r="AH128" s="18" t="s">
        <v>24</v>
      </c>
      <c r="AI128" s="18" t="s">
        <v>69</v>
      </c>
      <c r="AJ128" s="18" t="s">
        <v>81</v>
      </c>
      <c r="AK128" s="18" t="s">
        <v>100</v>
      </c>
      <c r="AL128" s="18" t="s">
        <v>111</v>
      </c>
      <c r="AM128" s="18" t="s">
        <v>122</v>
      </c>
      <c r="AN128" s="18" t="s">
        <v>198</v>
      </c>
      <c r="AO128" s="18" t="s">
        <v>231</v>
      </c>
      <c r="AP128" s="18"/>
      <c r="AQ128" s="18">
        <f>+VLOOKUP(AI128,Leyenda!$B$30:$E$34,3,FALSE)</f>
        <v>0</v>
      </c>
      <c r="AR128" s="18">
        <f>+VLOOKUP('3. Blasting'!AJ128,Meteorizacion,3,FALSE)</f>
        <v>0</v>
      </c>
      <c r="AS128" s="18">
        <f>+VLOOKUP('3. Blasting'!AK128,Apertura,3,FALSE)</f>
        <v>0</v>
      </c>
      <c r="AT128" s="18">
        <f>+VLOOKUP('3. Blasting'!AL128,Leyenda!$B$55:$D$59,3,FALSE)</f>
        <v>0</v>
      </c>
      <c r="AU128" s="18">
        <f>+VLOOKUP('3. Blasting'!AM128,Relleno,3,FALSE)</f>
        <v>0</v>
      </c>
      <c r="AV128" s="18">
        <f t="shared" si="52"/>
        <v>0</v>
      </c>
      <c r="AW128" s="49">
        <f t="shared" si="37"/>
        <v>0</v>
      </c>
      <c r="AX128" s="49">
        <f>VLOOKUP(AF128,Leyenda!$B$4:$D$10,3,FALSE)</f>
        <v>1</v>
      </c>
      <c r="AY128" s="50">
        <f t="shared" si="31"/>
        <v>3</v>
      </c>
      <c r="AZ128" s="49">
        <f t="shared" si="38"/>
        <v>0</v>
      </c>
      <c r="BA128" s="49">
        <f>VLOOKUP(AN128,Leyenda!$B$70:$D$75,3,FALSE)</f>
        <v>15</v>
      </c>
      <c r="BB128" s="67">
        <f t="shared" si="39"/>
        <v>12</v>
      </c>
      <c r="BC128" s="67">
        <f>VLOOKUP(AF128,Leyenda!$B$4:$E$10,4,FALSE)</f>
        <v>1</v>
      </c>
      <c r="BD128" s="67">
        <f t="shared" si="40"/>
        <v>5</v>
      </c>
      <c r="BE128" s="67">
        <f t="shared" si="41"/>
        <v>5</v>
      </c>
      <c r="BF128" s="67">
        <f>+VLOOKUP('3. Blasting'!AK128,Leyenda!$B$47:$E$51,4,FALSE)</f>
        <v>0</v>
      </c>
      <c r="BG128" s="67">
        <f>+VLOOKUP('3. Blasting'!AL128,Leyenda!$B$55:$E$59,4,FALSE)</f>
        <v>0</v>
      </c>
      <c r="BH128" s="67">
        <f>+VLOOKUP('3. Blasting'!AM128,Leyenda!$B$63:$E$67,3,FALSE)</f>
        <v>0</v>
      </c>
      <c r="BI128" s="67">
        <f>+VLOOKUP('3. Blasting'!AJ128,Leyenda!$B$39:$E$43,4,FALSE)</f>
        <v>0</v>
      </c>
      <c r="BJ128" s="67">
        <f>+VLOOKUP('3. Blasting'!AI128,Leyenda!$B$30:$E$34,4,FALSE)</f>
        <v>0</v>
      </c>
      <c r="BK128" s="67">
        <f>VLOOKUP(AN128,Leyenda!$B$71:$E$75,4,FALSE)</f>
        <v>10</v>
      </c>
      <c r="BL128" s="67">
        <f t="shared" si="42"/>
        <v>21</v>
      </c>
      <c r="BM128" s="18">
        <f t="shared" si="43"/>
        <v>19</v>
      </c>
      <c r="BN128" s="18"/>
      <c r="BO128" s="18"/>
      <c r="BP128">
        <f t="shared" si="44"/>
        <v>10</v>
      </c>
      <c r="BQ128">
        <f t="shared" si="45"/>
        <v>10</v>
      </c>
      <c r="BR128">
        <v>20</v>
      </c>
      <c r="BS128">
        <f t="shared" si="46"/>
        <v>-50</v>
      </c>
      <c r="BT128">
        <f t="shared" si="47"/>
        <v>0</v>
      </c>
      <c r="BU128">
        <f t="shared" si="48"/>
        <v>-5</v>
      </c>
      <c r="BV128" s="1">
        <f t="shared" si="32"/>
        <v>-0.02</v>
      </c>
      <c r="BW128" s="1">
        <f t="shared" si="33"/>
        <v>0</v>
      </c>
    </row>
    <row r="129" spans="1:75" hidden="1" x14ac:dyDescent="0.25">
      <c r="A129" s="18" t="s">
        <v>6</v>
      </c>
      <c r="B129" s="18">
        <v>2024</v>
      </c>
      <c r="C129" s="18" t="s">
        <v>138</v>
      </c>
      <c r="D129" s="18" t="s">
        <v>245</v>
      </c>
      <c r="E129" s="18">
        <v>50</v>
      </c>
      <c r="F129" s="18" t="s">
        <v>154</v>
      </c>
      <c r="G129" s="18" t="s">
        <v>292</v>
      </c>
      <c r="H129" s="4">
        <f t="shared" si="55"/>
        <v>7.5</v>
      </c>
      <c r="I129" s="4">
        <v>8</v>
      </c>
      <c r="J129" s="4">
        <f t="shared" si="34"/>
        <v>0.5</v>
      </c>
      <c r="K129" s="5">
        <v>0.6</v>
      </c>
      <c r="L129" s="31">
        <f t="shared" si="35"/>
        <v>0.3</v>
      </c>
      <c r="M129" s="31"/>
      <c r="N129" s="31"/>
      <c r="O129" s="31">
        <f t="shared" si="30"/>
        <v>0.3</v>
      </c>
      <c r="P129" s="31">
        <v>15</v>
      </c>
      <c r="Q129" s="31">
        <v>20</v>
      </c>
      <c r="R129" s="31">
        <v>0.21</v>
      </c>
      <c r="S129" s="31">
        <v>0.21</v>
      </c>
      <c r="T129" s="65">
        <f t="shared" si="50"/>
        <v>42</v>
      </c>
      <c r="U129" s="31">
        <v>3</v>
      </c>
      <c r="V129" s="31"/>
      <c r="W129" s="31">
        <f t="shared" si="51"/>
        <v>3</v>
      </c>
      <c r="X129" s="31">
        <f t="shared" si="54"/>
        <v>70</v>
      </c>
      <c r="Y129" s="31">
        <f t="shared" si="36"/>
        <v>7.0000000000000007E-2</v>
      </c>
      <c r="Z129" s="18">
        <v>46</v>
      </c>
      <c r="AA129" s="18" t="s">
        <v>330</v>
      </c>
      <c r="AB129" s="18" t="s">
        <v>333</v>
      </c>
      <c r="AC129" s="18" t="s">
        <v>336</v>
      </c>
      <c r="AD129" s="18">
        <v>20</v>
      </c>
      <c r="AE129" s="18">
        <v>15</v>
      </c>
      <c r="AF129" s="18" t="s">
        <v>32</v>
      </c>
      <c r="AG129" s="18" t="s">
        <v>24</v>
      </c>
      <c r="AH129" s="18" t="s">
        <v>24</v>
      </c>
      <c r="AI129" s="18" t="s">
        <v>69</v>
      </c>
      <c r="AJ129" s="18" t="s">
        <v>81</v>
      </c>
      <c r="AK129" s="18" t="s">
        <v>100</v>
      </c>
      <c r="AL129" s="18" t="s">
        <v>111</v>
      </c>
      <c r="AM129" s="18" t="s">
        <v>122</v>
      </c>
      <c r="AN129" s="18" t="s">
        <v>198</v>
      </c>
      <c r="AO129" s="18" t="s">
        <v>232</v>
      </c>
      <c r="AP129" s="18"/>
      <c r="AQ129" s="18">
        <f>+VLOOKUP(AI129,Leyenda!$B$30:$E$34,3,FALSE)</f>
        <v>0</v>
      </c>
      <c r="AR129" s="18">
        <f>+VLOOKUP('3. Blasting'!AJ129,Meteorizacion,3,FALSE)</f>
        <v>0</v>
      </c>
      <c r="AS129" s="18">
        <f>+VLOOKUP('3. Blasting'!AK129,Apertura,3,FALSE)</f>
        <v>0</v>
      </c>
      <c r="AT129" s="18">
        <f>+VLOOKUP('3. Blasting'!AL129,Leyenda!$B$55:$D$59,3,FALSE)</f>
        <v>0</v>
      </c>
      <c r="AU129" s="18">
        <f>+VLOOKUP('3. Blasting'!AM129,Relleno,3,FALSE)</f>
        <v>0</v>
      </c>
      <c r="AV129" s="18">
        <f t="shared" si="52"/>
        <v>0</v>
      </c>
      <c r="AW129" s="49">
        <f t="shared" si="37"/>
        <v>10</v>
      </c>
      <c r="AX129" s="49">
        <f>VLOOKUP(AF129,Leyenda!$B$4:$D$10,3,FALSE)</f>
        <v>1</v>
      </c>
      <c r="AY129" s="50">
        <f t="shared" si="31"/>
        <v>4</v>
      </c>
      <c r="AZ129" s="49">
        <f t="shared" si="38"/>
        <v>0</v>
      </c>
      <c r="BA129" s="49">
        <f>VLOOKUP(AN129,Leyenda!$B$70:$D$75,3,FALSE)</f>
        <v>15</v>
      </c>
      <c r="BB129" s="67">
        <f t="shared" si="39"/>
        <v>21</v>
      </c>
      <c r="BC129" s="67">
        <f>VLOOKUP(AF129,Leyenda!$B$4:$E$10,4,FALSE)</f>
        <v>1</v>
      </c>
      <c r="BD129" s="67">
        <f t="shared" si="40"/>
        <v>6</v>
      </c>
      <c r="BE129" s="67">
        <f t="shared" si="41"/>
        <v>9</v>
      </c>
      <c r="BF129" s="67">
        <f>+VLOOKUP('3. Blasting'!AK129,Leyenda!$B$47:$E$51,4,FALSE)</f>
        <v>0</v>
      </c>
      <c r="BG129" s="67">
        <f>+VLOOKUP('3. Blasting'!AL129,Leyenda!$B$55:$E$59,4,FALSE)</f>
        <v>0</v>
      </c>
      <c r="BH129" s="67">
        <f>+VLOOKUP('3. Blasting'!AM129,Leyenda!$B$63:$E$67,3,FALSE)</f>
        <v>0</v>
      </c>
      <c r="BI129" s="67">
        <f>+VLOOKUP('3. Blasting'!AJ129,Leyenda!$B$39:$E$43,4,FALSE)</f>
        <v>0</v>
      </c>
      <c r="BJ129" s="67">
        <f>+VLOOKUP('3. Blasting'!AI129,Leyenda!$B$30:$E$34,4,FALSE)</f>
        <v>0</v>
      </c>
      <c r="BK129" s="67">
        <f>VLOOKUP(AN129,Leyenda!$B$71:$E$75,4,FALSE)</f>
        <v>10</v>
      </c>
      <c r="BL129" s="67">
        <f t="shared" si="42"/>
        <v>26</v>
      </c>
      <c r="BM129" s="18">
        <f t="shared" si="43"/>
        <v>30</v>
      </c>
      <c r="BN129" s="18"/>
      <c r="BO129" s="18"/>
      <c r="BP129">
        <f t="shared" si="44"/>
        <v>10</v>
      </c>
      <c r="BQ129">
        <f t="shared" si="45"/>
        <v>10</v>
      </c>
      <c r="BR129">
        <v>20</v>
      </c>
      <c r="BS129">
        <f t="shared" si="46"/>
        <v>-50</v>
      </c>
      <c r="BT129">
        <f t="shared" si="47"/>
        <v>0</v>
      </c>
      <c r="BU129">
        <f t="shared" si="48"/>
        <v>-5</v>
      </c>
      <c r="BV129" s="1">
        <f t="shared" si="32"/>
        <v>-0.02</v>
      </c>
      <c r="BW129" s="1">
        <f t="shared" si="33"/>
        <v>0</v>
      </c>
    </row>
    <row r="130" spans="1:75" hidden="1" x14ac:dyDescent="0.25">
      <c r="A130" s="18" t="s">
        <v>6</v>
      </c>
      <c r="B130" s="18">
        <v>2024</v>
      </c>
      <c r="C130" s="18" t="s">
        <v>138</v>
      </c>
      <c r="D130" s="18" t="s">
        <v>245</v>
      </c>
      <c r="E130" s="18">
        <v>50</v>
      </c>
      <c r="F130" s="18" t="s">
        <v>154</v>
      </c>
      <c r="G130" s="18" t="s">
        <v>292</v>
      </c>
      <c r="H130" s="4">
        <f t="shared" si="55"/>
        <v>8</v>
      </c>
      <c r="I130" s="4">
        <v>8.5</v>
      </c>
      <c r="J130" s="4">
        <f t="shared" si="34"/>
        <v>0.5</v>
      </c>
      <c r="K130" s="5">
        <v>0.48</v>
      </c>
      <c r="L130" s="31">
        <f t="shared" si="35"/>
        <v>0.24</v>
      </c>
      <c r="M130" s="31"/>
      <c r="N130" s="31"/>
      <c r="O130" s="31">
        <f t="shared" si="30"/>
        <v>0.24</v>
      </c>
      <c r="P130" s="31">
        <v>12</v>
      </c>
      <c r="Q130" s="31">
        <v>20</v>
      </c>
      <c r="R130" s="31">
        <v>0.23</v>
      </c>
      <c r="S130" s="31">
        <v>0</v>
      </c>
      <c r="T130" s="65">
        <f t="shared" si="50"/>
        <v>0</v>
      </c>
      <c r="U130" s="31">
        <v>3</v>
      </c>
      <c r="V130" s="31"/>
      <c r="W130" s="31">
        <f t="shared" si="51"/>
        <v>3</v>
      </c>
      <c r="X130" s="31">
        <f t="shared" si="54"/>
        <v>76.666666666666671</v>
      </c>
      <c r="Y130" s="31">
        <f t="shared" si="36"/>
        <v>7.6666666666666675E-2</v>
      </c>
      <c r="Z130" s="18">
        <v>0</v>
      </c>
      <c r="AA130" s="18" t="s">
        <v>330</v>
      </c>
      <c r="AB130" s="18" t="s">
        <v>333</v>
      </c>
      <c r="AC130" s="18" t="s">
        <v>336</v>
      </c>
      <c r="AD130" s="18">
        <v>20</v>
      </c>
      <c r="AE130" s="18">
        <v>12</v>
      </c>
      <c r="AF130" s="18" t="s">
        <v>32</v>
      </c>
      <c r="AG130" s="18" t="s">
        <v>24</v>
      </c>
      <c r="AH130" s="18" t="s">
        <v>24</v>
      </c>
      <c r="AI130" s="18" t="s">
        <v>69</v>
      </c>
      <c r="AJ130" s="18" t="s">
        <v>81</v>
      </c>
      <c r="AK130" s="18" t="s">
        <v>96</v>
      </c>
      <c r="AL130" s="18" t="s">
        <v>109</v>
      </c>
      <c r="AM130" s="18" t="s">
        <v>122</v>
      </c>
      <c r="AN130" s="18" t="s">
        <v>198</v>
      </c>
      <c r="AO130" s="18" t="s">
        <v>230</v>
      </c>
      <c r="AP130" s="18"/>
      <c r="AQ130" s="18">
        <f>+VLOOKUP(AI130,Leyenda!$B$30:$E$34,3,FALSE)</f>
        <v>0</v>
      </c>
      <c r="AR130" s="18">
        <f>+VLOOKUP('3. Blasting'!AJ130,Meteorizacion,3,FALSE)</f>
        <v>0</v>
      </c>
      <c r="AS130" s="18">
        <f>+VLOOKUP('3. Blasting'!AK130,Apertura,3,FALSE)</f>
        <v>1</v>
      </c>
      <c r="AT130" s="18">
        <f>+VLOOKUP('3. Blasting'!AL130,Leyenda!$B$55:$D$59,3,FALSE)</f>
        <v>1</v>
      </c>
      <c r="AU130" s="18">
        <f>+VLOOKUP('3. Blasting'!AM130,Relleno,3,FALSE)</f>
        <v>0</v>
      </c>
      <c r="AV130" s="18">
        <f t="shared" si="52"/>
        <v>2</v>
      </c>
      <c r="AW130" s="49">
        <f t="shared" si="37"/>
        <v>0</v>
      </c>
      <c r="AX130" s="49">
        <f>VLOOKUP(AF130,Leyenda!$B$4:$D$10,3,FALSE)</f>
        <v>1</v>
      </c>
      <c r="AY130" s="50">
        <f t="shared" si="31"/>
        <v>4</v>
      </c>
      <c r="AZ130" s="49">
        <f t="shared" si="38"/>
        <v>2</v>
      </c>
      <c r="BA130" s="49">
        <f>VLOOKUP(AN130,Leyenda!$B$70:$D$75,3,FALSE)</f>
        <v>15</v>
      </c>
      <c r="BB130" s="67">
        <f t="shared" si="39"/>
        <v>3</v>
      </c>
      <c r="BC130" s="67">
        <f>VLOOKUP(AF130,Leyenda!$B$4:$E$10,4,FALSE)</f>
        <v>1</v>
      </c>
      <c r="BD130" s="67">
        <f t="shared" si="40"/>
        <v>7</v>
      </c>
      <c r="BE130" s="67">
        <f t="shared" si="41"/>
        <v>0</v>
      </c>
      <c r="BF130" s="67">
        <f>+VLOOKUP('3. Blasting'!AK130,Leyenda!$B$47:$E$51,4,FALSE)</f>
        <v>1</v>
      </c>
      <c r="BG130" s="67">
        <f>+VLOOKUP('3. Blasting'!AL130,Leyenda!$B$55:$E$59,4,FALSE)</f>
        <v>1</v>
      </c>
      <c r="BH130" s="67">
        <f>+VLOOKUP('3. Blasting'!AM130,Leyenda!$B$63:$E$67,3,FALSE)</f>
        <v>0</v>
      </c>
      <c r="BI130" s="67">
        <f>+VLOOKUP('3. Blasting'!AJ130,Leyenda!$B$39:$E$43,4,FALSE)</f>
        <v>0</v>
      </c>
      <c r="BJ130" s="67">
        <f>+VLOOKUP('3. Blasting'!AI130,Leyenda!$B$30:$E$34,4,FALSE)</f>
        <v>0</v>
      </c>
      <c r="BK130" s="67">
        <f>VLOOKUP(AN130,Leyenda!$B$71:$E$75,4,FALSE)</f>
        <v>10</v>
      </c>
      <c r="BL130" s="67">
        <f t="shared" si="42"/>
        <v>20</v>
      </c>
      <c r="BM130" s="18">
        <f t="shared" si="43"/>
        <v>22</v>
      </c>
      <c r="BN130" s="18"/>
      <c r="BO130" s="18"/>
      <c r="BP130">
        <f t="shared" si="44"/>
        <v>10</v>
      </c>
      <c r="BQ130">
        <f t="shared" si="45"/>
        <v>10</v>
      </c>
      <c r="BR130">
        <v>20</v>
      </c>
      <c r="BS130">
        <f t="shared" si="46"/>
        <v>-50</v>
      </c>
      <c r="BT130">
        <f t="shared" si="47"/>
        <v>0</v>
      </c>
      <c r="BU130">
        <f t="shared" si="48"/>
        <v>-5</v>
      </c>
      <c r="BV130" s="1">
        <f t="shared" si="32"/>
        <v>-0.02</v>
      </c>
      <c r="BW130" s="1">
        <f t="shared" si="33"/>
        <v>0</v>
      </c>
    </row>
    <row r="131" spans="1:75" hidden="1" x14ac:dyDescent="0.25">
      <c r="A131" s="18" t="s">
        <v>6</v>
      </c>
      <c r="B131" s="18">
        <v>2024</v>
      </c>
      <c r="C131" s="18" t="s">
        <v>138</v>
      </c>
      <c r="D131" s="18" t="s">
        <v>245</v>
      </c>
      <c r="E131" s="18">
        <v>50</v>
      </c>
      <c r="F131" s="18" t="s">
        <v>154</v>
      </c>
      <c r="G131" s="18" t="s">
        <v>292</v>
      </c>
      <c r="H131" s="4">
        <f t="shared" si="55"/>
        <v>8.5</v>
      </c>
      <c r="I131" s="4">
        <v>9</v>
      </c>
      <c r="J131" s="4">
        <f t="shared" si="34"/>
        <v>0.5</v>
      </c>
      <c r="K131" s="5">
        <v>0.3</v>
      </c>
      <c r="L131" s="31">
        <f t="shared" si="35"/>
        <v>0.15</v>
      </c>
      <c r="M131" s="31"/>
      <c r="N131" s="31"/>
      <c r="O131" s="31">
        <f t="shared" si="30"/>
        <v>0.15</v>
      </c>
      <c r="P131" s="31">
        <v>7.5</v>
      </c>
      <c r="Q131" s="31">
        <v>20</v>
      </c>
      <c r="R131" s="31">
        <v>0.13</v>
      </c>
      <c r="S131" s="31">
        <v>0</v>
      </c>
      <c r="T131" s="65">
        <f t="shared" si="50"/>
        <v>0</v>
      </c>
      <c r="U131" s="31">
        <v>5</v>
      </c>
      <c r="V131" s="31"/>
      <c r="W131" s="31">
        <f t="shared" si="51"/>
        <v>5</v>
      </c>
      <c r="X131" s="31">
        <f t="shared" si="54"/>
        <v>26</v>
      </c>
      <c r="Y131" s="31">
        <f t="shared" si="36"/>
        <v>2.5999999999999999E-2</v>
      </c>
      <c r="Z131" s="18">
        <v>0</v>
      </c>
      <c r="AA131" s="18" t="s">
        <v>330</v>
      </c>
      <c r="AB131" s="18" t="s">
        <v>333</v>
      </c>
      <c r="AC131" s="18" t="s">
        <v>336</v>
      </c>
      <c r="AD131" s="18">
        <v>20</v>
      </c>
      <c r="AE131" s="18">
        <v>7.5</v>
      </c>
      <c r="AF131" s="18" t="s">
        <v>32</v>
      </c>
      <c r="AG131" s="18" t="s">
        <v>24</v>
      </c>
      <c r="AH131" s="18" t="s">
        <v>24</v>
      </c>
      <c r="AI131" s="18" t="s">
        <v>69</v>
      </c>
      <c r="AJ131" s="18" t="s">
        <v>81</v>
      </c>
      <c r="AK131" s="18" t="s">
        <v>100</v>
      </c>
      <c r="AL131" s="18" t="s">
        <v>111</v>
      </c>
      <c r="AM131" s="18" t="s">
        <v>122</v>
      </c>
      <c r="AN131" s="18" t="s">
        <v>198</v>
      </c>
      <c r="AO131" s="18" t="s">
        <v>230</v>
      </c>
      <c r="AP131" s="18"/>
      <c r="AQ131" s="18">
        <f>+VLOOKUP(AI131,Leyenda!$B$30:$E$34,3,FALSE)</f>
        <v>0</v>
      </c>
      <c r="AR131" s="18">
        <f>+VLOOKUP('3. Blasting'!AJ131,Meteorizacion,3,FALSE)</f>
        <v>0</v>
      </c>
      <c r="AS131" s="18">
        <f>+VLOOKUP('3. Blasting'!AK131,Apertura,3,FALSE)</f>
        <v>0</v>
      </c>
      <c r="AT131" s="18">
        <f>+VLOOKUP('3. Blasting'!AL131,Leyenda!$B$55:$D$59,3,FALSE)</f>
        <v>0</v>
      </c>
      <c r="AU131" s="18">
        <f>+VLOOKUP('3. Blasting'!AM131,Relleno,3,FALSE)</f>
        <v>0</v>
      </c>
      <c r="AV131" s="18">
        <f t="shared" si="52"/>
        <v>0</v>
      </c>
      <c r="AW131" s="49">
        <f t="shared" si="37"/>
        <v>0</v>
      </c>
      <c r="AX131" s="49">
        <f>VLOOKUP(AF131,Leyenda!$B$4:$D$10,3,FALSE)</f>
        <v>1</v>
      </c>
      <c r="AY131" s="50">
        <f t="shared" si="31"/>
        <v>3</v>
      </c>
      <c r="AZ131" s="49">
        <f t="shared" si="38"/>
        <v>0</v>
      </c>
      <c r="BA131" s="49">
        <f>VLOOKUP(AN131,Leyenda!$B$70:$D$75,3,FALSE)</f>
        <v>15</v>
      </c>
      <c r="BB131" s="67">
        <f t="shared" si="39"/>
        <v>0</v>
      </c>
      <c r="BC131" s="67">
        <f>VLOOKUP(AF131,Leyenda!$B$4:$E$10,4,FALSE)</f>
        <v>1</v>
      </c>
      <c r="BD131" s="67">
        <f t="shared" si="40"/>
        <v>5</v>
      </c>
      <c r="BE131" s="67">
        <f t="shared" si="41"/>
        <v>0</v>
      </c>
      <c r="BF131" s="67">
        <f>+VLOOKUP('3. Blasting'!AK131,Leyenda!$B$47:$E$51,4,FALSE)</f>
        <v>0</v>
      </c>
      <c r="BG131" s="67">
        <f>+VLOOKUP('3. Blasting'!AL131,Leyenda!$B$55:$E$59,4,FALSE)</f>
        <v>0</v>
      </c>
      <c r="BH131" s="67">
        <f>+VLOOKUP('3. Blasting'!AM131,Leyenda!$B$63:$E$67,3,FALSE)</f>
        <v>0</v>
      </c>
      <c r="BI131" s="67">
        <f>+VLOOKUP('3. Blasting'!AJ131,Leyenda!$B$39:$E$43,4,FALSE)</f>
        <v>0</v>
      </c>
      <c r="BJ131" s="67">
        <f>+VLOOKUP('3. Blasting'!AI131,Leyenda!$B$30:$E$34,4,FALSE)</f>
        <v>0</v>
      </c>
      <c r="BK131" s="67">
        <f>VLOOKUP(AN131,Leyenda!$B$71:$E$75,4,FALSE)</f>
        <v>10</v>
      </c>
      <c r="BL131" s="67">
        <f t="shared" si="42"/>
        <v>16</v>
      </c>
      <c r="BM131" s="18">
        <f t="shared" si="43"/>
        <v>19</v>
      </c>
      <c r="BN131" s="18"/>
      <c r="BO131" s="18"/>
      <c r="BP131">
        <f t="shared" si="44"/>
        <v>10</v>
      </c>
      <c r="BQ131">
        <f t="shared" si="45"/>
        <v>10</v>
      </c>
      <c r="BR131">
        <v>20</v>
      </c>
      <c r="BS131">
        <f t="shared" si="46"/>
        <v>-50</v>
      </c>
      <c r="BT131">
        <f t="shared" si="47"/>
        <v>0</v>
      </c>
      <c r="BU131">
        <f t="shared" si="48"/>
        <v>-5</v>
      </c>
      <c r="BV131" s="1">
        <f t="shared" si="32"/>
        <v>-0.02</v>
      </c>
      <c r="BW131" s="1">
        <f t="shared" si="33"/>
        <v>0</v>
      </c>
    </row>
    <row r="132" spans="1:75" hidden="1" x14ac:dyDescent="0.25">
      <c r="A132" s="18" t="s">
        <v>6</v>
      </c>
      <c r="B132" s="18">
        <v>2024</v>
      </c>
      <c r="C132" s="18" t="s">
        <v>138</v>
      </c>
      <c r="D132" s="18" t="s">
        <v>245</v>
      </c>
      <c r="E132" s="18">
        <v>50</v>
      </c>
      <c r="F132" s="18" t="s">
        <v>154</v>
      </c>
      <c r="G132" s="18" t="s">
        <v>292</v>
      </c>
      <c r="H132" s="4">
        <f t="shared" si="55"/>
        <v>9</v>
      </c>
      <c r="I132" s="4">
        <v>9.5</v>
      </c>
      <c r="J132" s="4">
        <f t="shared" si="34"/>
        <v>0.5</v>
      </c>
      <c r="K132" s="5">
        <v>0.42</v>
      </c>
      <c r="L132" s="31">
        <f t="shared" si="35"/>
        <v>0.21</v>
      </c>
      <c r="M132" s="31"/>
      <c r="N132" s="31"/>
      <c r="O132" s="31">
        <f t="shared" ref="O132:O195" si="56">+K132*J132</f>
        <v>0.21</v>
      </c>
      <c r="P132" s="31">
        <v>10.5</v>
      </c>
      <c r="Q132" s="31">
        <v>20</v>
      </c>
      <c r="R132" s="31">
        <v>0.2</v>
      </c>
      <c r="S132" s="31">
        <v>0</v>
      </c>
      <c r="T132" s="65">
        <f t="shared" si="50"/>
        <v>0</v>
      </c>
      <c r="U132" s="31">
        <v>5</v>
      </c>
      <c r="V132" s="31"/>
      <c r="W132" s="31">
        <f t="shared" si="51"/>
        <v>5</v>
      </c>
      <c r="X132" s="31">
        <f t="shared" si="54"/>
        <v>40</v>
      </c>
      <c r="Y132" s="31">
        <f t="shared" si="36"/>
        <v>0.04</v>
      </c>
      <c r="Z132" s="18">
        <v>0</v>
      </c>
      <c r="AA132" s="18" t="s">
        <v>330</v>
      </c>
      <c r="AB132" s="18" t="s">
        <v>333</v>
      </c>
      <c r="AC132" s="18" t="s">
        <v>336</v>
      </c>
      <c r="AD132" s="18">
        <v>20</v>
      </c>
      <c r="AE132" s="18">
        <v>10.5</v>
      </c>
      <c r="AF132" s="18" t="s">
        <v>32</v>
      </c>
      <c r="AG132" s="18" t="s">
        <v>24</v>
      </c>
      <c r="AH132" s="18" t="s">
        <v>24</v>
      </c>
      <c r="AI132" s="18" t="s">
        <v>64</v>
      </c>
      <c r="AJ132" s="18" t="s">
        <v>79</v>
      </c>
      <c r="AK132" s="18" t="s">
        <v>92</v>
      </c>
      <c r="AL132" s="18" t="s">
        <v>107</v>
      </c>
      <c r="AM132" s="18" t="s">
        <v>120</v>
      </c>
      <c r="AN132" s="18" t="s">
        <v>198</v>
      </c>
      <c r="AO132" s="18" t="s">
        <v>233</v>
      </c>
      <c r="AP132" s="18"/>
      <c r="AQ132" s="18">
        <f>+VLOOKUP(AI132,Leyenda!$B$30:$E$34,3,FALSE)</f>
        <v>2</v>
      </c>
      <c r="AR132" s="18">
        <f>+VLOOKUP('3. Blasting'!AJ132,Meteorizacion,3,FALSE)</f>
        <v>1</v>
      </c>
      <c r="AS132" s="18">
        <f>+VLOOKUP('3. Blasting'!AK132,Apertura,3,FALSE)</f>
        <v>3</v>
      </c>
      <c r="AT132" s="18">
        <f>+VLOOKUP('3. Blasting'!AL132,Leyenda!$B$55:$D$59,3,FALSE)</f>
        <v>3</v>
      </c>
      <c r="AU132" s="18">
        <f>+VLOOKUP('3. Blasting'!AM132,Relleno,3,FALSE)</f>
        <v>2</v>
      </c>
      <c r="AV132" s="18">
        <f t="shared" si="52"/>
        <v>11</v>
      </c>
      <c r="AW132" s="49">
        <f t="shared" si="37"/>
        <v>0</v>
      </c>
      <c r="AX132" s="49">
        <f>VLOOKUP(AF132,Leyenda!$B$4:$D$10,3,FALSE)</f>
        <v>1</v>
      </c>
      <c r="AY132" s="50">
        <f t="shared" ref="AY132:AY195" si="57">IF(P132="",ROUND((IF(P132&lt;=400,1.5478*POWER(P132,0.3351),-2*POWER(10,-6)*POWER(P132,2)+0.0091*P132+8.1704)),0),ROUND((IF(P132&lt;=400,1.5478*POWER(P132,0.3351),-2*POWER(10,-6)*POWER(P132,2)+0.0091*P132+8.1704)),0))</f>
        <v>3</v>
      </c>
      <c r="AZ132" s="49">
        <f t="shared" si="38"/>
        <v>11</v>
      </c>
      <c r="BA132" s="49">
        <f>VLOOKUP(AN132,Leyenda!$B$70:$D$75,3,FALSE)</f>
        <v>15</v>
      </c>
      <c r="BB132" s="67">
        <f t="shared" si="39"/>
        <v>16.5</v>
      </c>
      <c r="BC132" s="67">
        <f>VLOOKUP(AF132,Leyenda!$B$4:$E$10,4,FALSE)</f>
        <v>1</v>
      </c>
      <c r="BD132" s="67">
        <f t="shared" si="40"/>
        <v>5</v>
      </c>
      <c r="BE132" s="67">
        <f t="shared" si="41"/>
        <v>0</v>
      </c>
      <c r="BF132" s="67">
        <f>+VLOOKUP('3. Blasting'!AK132,Leyenda!$B$47:$E$51,4,FALSE)</f>
        <v>3</v>
      </c>
      <c r="BG132" s="67">
        <f>+VLOOKUP('3. Blasting'!AL132,Leyenda!$B$55:$E$59,4,FALSE)</f>
        <v>3</v>
      </c>
      <c r="BH132" s="67">
        <f>+VLOOKUP('3. Blasting'!AM132,Leyenda!$B$63:$E$67,3,FALSE)</f>
        <v>2</v>
      </c>
      <c r="BI132" s="67">
        <f>+VLOOKUP('3. Blasting'!AJ132,Leyenda!$B$39:$E$43,4,FALSE)</f>
        <v>1</v>
      </c>
      <c r="BJ132" s="67">
        <f>+VLOOKUP('3. Blasting'!AI132,Leyenda!$B$30:$E$34,4,FALSE)</f>
        <v>3</v>
      </c>
      <c r="BK132" s="67">
        <f>VLOOKUP(AN132,Leyenda!$B$71:$E$75,4,FALSE)</f>
        <v>10</v>
      </c>
      <c r="BL132" s="67">
        <f t="shared" si="42"/>
        <v>28</v>
      </c>
      <c r="BM132" s="18">
        <f t="shared" si="43"/>
        <v>30</v>
      </c>
      <c r="BN132" s="18"/>
      <c r="BO132" s="18"/>
      <c r="BP132">
        <f t="shared" si="44"/>
        <v>10</v>
      </c>
      <c r="BQ132">
        <f t="shared" si="45"/>
        <v>10</v>
      </c>
      <c r="BR132">
        <v>20</v>
      </c>
      <c r="BS132">
        <f t="shared" si="46"/>
        <v>-50</v>
      </c>
      <c r="BT132">
        <f t="shared" si="47"/>
        <v>0</v>
      </c>
      <c r="BU132">
        <f t="shared" si="48"/>
        <v>-5</v>
      </c>
      <c r="BV132" s="1">
        <f t="shared" ref="BV132:BV195" si="58">0.004*BU132</f>
        <v>-0.02</v>
      </c>
      <c r="BW132" s="1">
        <f t="shared" ref="BW132:BW195" si="59">+BV132*M132</f>
        <v>0</v>
      </c>
    </row>
    <row r="133" spans="1:75" hidden="1" x14ac:dyDescent="0.25">
      <c r="A133" s="18" t="s">
        <v>6</v>
      </c>
      <c r="B133" s="18">
        <v>2024</v>
      </c>
      <c r="C133" s="18" t="s">
        <v>138</v>
      </c>
      <c r="D133" s="18" t="s">
        <v>245</v>
      </c>
      <c r="E133" s="18">
        <v>50</v>
      </c>
      <c r="F133" s="18" t="s">
        <v>154</v>
      </c>
      <c r="G133" s="18" t="s">
        <v>292</v>
      </c>
      <c r="H133" s="4">
        <f t="shared" si="55"/>
        <v>9.5</v>
      </c>
      <c r="I133" s="4">
        <v>10</v>
      </c>
      <c r="J133" s="4">
        <f t="shared" ref="J133:J196" si="60">+I133-H133</f>
        <v>0.5</v>
      </c>
      <c r="K133" s="5">
        <v>0.34</v>
      </c>
      <c r="L133" s="31">
        <f t="shared" ref="L133:L196" si="61">+J133*K133</f>
        <v>0.17</v>
      </c>
      <c r="M133" s="31"/>
      <c r="N133" s="31"/>
      <c r="O133" s="31">
        <f t="shared" si="56"/>
        <v>0.17</v>
      </c>
      <c r="P133" s="31">
        <v>8.5</v>
      </c>
      <c r="Q133" s="31">
        <v>20</v>
      </c>
      <c r="R133" s="31">
        <v>0.15</v>
      </c>
      <c r="S133" s="31">
        <v>0</v>
      </c>
      <c r="T133" s="65">
        <f t="shared" si="50"/>
        <v>0</v>
      </c>
      <c r="U133" s="31">
        <v>3</v>
      </c>
      <c r="V133" s="31"/>
      <c r="W133" s="31">
        <f t="shared" si="51"/>
        <v>3</v>
      </c>
      <c r="X133" s="31">
        <f t="shared" si="54"/>
        <v>50</v>
      </c>
      <c r="Y133" s="31">
        <f t="shared" ref="Y133:Y196" si="62">+X133/1000</f>
        <v>0.05</v>
      </c>
      <c r="Z133" s="18">
        <v>0</v>
      </c>
      <c r="AA133" s="18" t="s">
        <v>330</v>
      </c>
      <c r="AB133" s="18" t="s">
        <v>333</v>
      </c>
      <c r="AC133" s="18" t="s">
        <v>336</v>
      </c>
      <c r="AD133" s="18">
        <v>20</v>
      </c>
      <c r="AE133" s="18">
        <v>8.5</v>
      </c>
      <c r="AF133" s="18" t="s">
        <v>32</v>
      </c>
      <c r="AG133" s="18" t="s">
        <v>24</v>
      </c>
      <c r="AH133" s="18" t="s">
        <v>24</v>
      </c>
      <c r="AI133" s="18" t="s">
        <v>66</v>
      </c>
      <c r="AJ133" s="18" t="s">
        <v>79</v>
      </c>
      <c r="AK133" s="18" t="s">
        <v>96</v>
      </c>
      <c r="AL133" s="18" t="s">
        <v>109</v>
      </c>
      <c r="AM133" s="18" t="s">
        <v>120</v>
      </c>
      <c r="AN133" s="18" t="s">
        <v>198</v>
      </c>
      <c r="AO133" s="18" t="s">
        <v>230</v>
      </c>
      <c r="AP133" s="18"/>
      <c r="AQ133" s="18">
        <f>+VLOOKUP(AI133,Leyenda!$B$30:$E$34,3,FALSE)</f>
        <v>1</v>
      </c>
      <c r="AR133" s="18">
        <f>+VLOOKUP('3. Blasting'!AJ133,Meteorizacion,3,FALSE)</f>
        <v>1</v>
      </c>
      <c r="AS133" s="18">
        <f>+VLOOKUP('3. Blasting'!AK133,Apertura,3,FALSE)</f>
        <v>1</v>
      </c>
      <c r="AT133" s="18">
        <f>+VLOOKUP('3. Blasting'!AL133,Leyenda!$B$55:$D$59,3,FALSE)</f>
        <v>1</v>
      </c>
      <c r="AU133" s="18">
        <f>+VLOOKUP('3. Blasting'!AM133,Relleno,3,FALSE)</f>
        <v>2</v>
      </c>
      <c r="AV133" s="18">
        <f t="shared" si="52"/>
        <v>6</v>
      </c>
      <c r="AW133" s="49">
        <f t="shared" ref="AW133:AW196" si="63">ROUND(-0.0002*POWER(Z133,2)+0.2197*Z133,0)</f>
        <v>0</v>
      </c>
      <c r="AX133" s="49">
        <f>VLOOKUP(AF133,Leyenda!$B$4:$D$10,3,FALSE)</f>
        <v>1</v>
      </c>
      <c r="AY133" s="50">
        <f t="shared" si="57"/>
        <v>3</v>
      </c>
      <c r="AZ133" s="49">
        <f t="shared" ref="AZ133:AZ196" si="64">+AV133</f>
        <v>6</v>
      </c>
      <c r="BA133" s="49">
        <f>VLOOKUP(AN133,Leyenda!$B$70:$D$75,3,FALSE)</f>
        <v>15</v>
      </c>
      <c r="BB133" s="67">
        <f t="shared" ref="BB133:BB196" si="65">1.5*AV133+(T133*0.5)</f>
        <v>9</v>
      </c>
      <c r="BC133" s="67">
        <f>VLOOKUP(AF133,Leyenda!$B$4:$E$10,4,FALSE)</f>
        <v>1</v>
      </c>
      <c r="BD133" s="67">
        <f t="shared" ref="BD133:BD196" si="66">IF(X133="",ROUND(IF(X133&lt;=50,5,IF(X133&gt;=3000,30,6.038*LN(X133)-19.63)),0),ROUND(IF(X133&lt;=50,5,IF(X133&gt;=3000,30,6.038*LN(X133)-19.63)),0))</f>
        <v>5</v>
      </c>
      <c r="BE133" s="67">
        <f t="shared" ref="BE133:BE196" si="67">ROUND(-0.0002*POWER(T133,2)+0.2197*T133,0)</f>
        <v>0</v>
      </c>
      <c r="BF133" s="67">
        <f>+VLOOKUP('3. Blasting'!AK133,Leyenda!$B$47:$E$51,4,FALSE)</f>
        <v>1</v>
      </c>
      <c r="BG133" s="67">
        <f>+VLOOKUP('3. Blasting'!AL133,Leyenda!$B$55:$E$59,4,FALSE)</f>
        <v>1</v>
      </c>
      <c r="BH133" s="67">
        <f>+VLOOKUP('3. Blasting'!AM133,Leyenda!$B$63:$E$67,3,FALSE)</f>
        <v>2</v>
      </c>
      <c r="BI133" s="67">
        <f>+VLOOKUP('3. Blasting'!AJ133,Leyenda!$B$39:$E$43,4,FALSE)</f>
        <v>1</v>
      </c>
      <c r="BJ133" s="67">
        <f>+VLOOKUP('3. Blasting'!AI133,Leyenda!$B$30:$E$34,4,FALSE)</f>
        <v>1</v>
      </c>
      <c r="BK133" s="67">
        <f>VLOOKUP(AN133,Leyenda!$B$71:$E$75,4,FALSE)</f>
        <v>10</v>
      </c>
      <c r="BL133" s="67">
        <f t="shared" ref="BL133:BL196" si="68">+BC133+BD133+BE133+BF133+BG133+BH133+BI133+BJ133+BK133</f>
        <v>22</v>
      </c>
      <c r="BM133" s="18">
        <f t="shared" ref="BM133:BM196" si="69">+AX133+AY133+AW133+AZ133+BA133</f>
        <v>25</v>
      </c>
      <c r="BN133" s="18"/>
      <c r="BO133" s="18"/>
      <c r="BP133">
        <f t="shared" ref="BP133:BP196" si="70">+IF(BL133&lt;30,10,IF(BL133&lt;=41,20,30))</f>
        <v>10</v>
      </c>
      <c r="BQ133">
        <f t="shared" ref="BQ133:BQ196" si="71">+IF(Y133&lt;0.1,10,IF(AND(Y133&gt;0.1,Y133&lt;1),20,50))</f>
        <v>10</v>
      </c>
      <c r="BR133">
        <v>20</v>
      </c>
      <c r="BS133">
        <f t="shared" ref="BS133:BS196" si="72">25*M133-50</f>
        <v>-50</v>
      </c>
      <c r="BT133">
        <f t="shared" ref="BT133:BT196" si="73">0.05*N133</f>
        <v>0</v>
      </c>
      <c r="BU133">
        <f t="shared" ref="BU133:BU196" si="74">0.5*((BP133+BQ133)+BR133+BS133+BT133)</f>
        <v>-5</v>
      </c>
      <c r="BV133" s="1">
        <f t="shared" si="58"/>
        <v>-0.02</v>
      </c>
      <c r="BW133" s="1">
        <f t="shared" si="59"/>
        <v>0</v>
      </c>
    </row>
    <row r="134" spans="1:75" hidden="1" x14ac:dyDescent="0.25">
      <c r="A134" s="18" t="s">
        <v>6</v>
      </c>
      <c r="B134" s="18">
        <v>2024</v>
      </c>
      <c r="C134" s="18" t="s">
        <v>138</v>
      </c>
      <c r="D134" s="18" t="s">
        <v>245</v>
      </c>
      <c r="E134" s="18">
        <v>50</v>
      </c>
      <c r="F134" s="18" t="s">
        <v>154</v>
      </c>
      <c r="G134" s="18" t="s">
        <v>292</v>
      </c>
      <c r="H134" s="4">
        <f t="shared" si="55"/>
        <v>10</v>
      </c>
      <c r="I134" s="4">
        <v>10.5</v>
      </c>
      <c r="J134" s="4">
        <f t="shared" si="60"/>
        <v>0.5</v>
      </c>
      <c r="K134" s="5">
        <v>0.62</v>
      </c>
      <c r="L134" s="31">
        <f t="shared" si="61"/>
        <v>0.31</v>
      </c>
      <c r="M134" s="31"/>
      <c r="N134" s="31"/>
      <c r="O134" s="31">
        <f t="shared" si="56"/>
        <v>0.31</v>
      </c>
      <c r="P134" s="31">
        <v>15.5</v>
      </c>
      <c r="Q134" s="31">
        <v>20</v>
      </c>
      <c r="R134" s="31">
        <v>0.3</v>
      </c>
      <c r="S134" s="31">
        <v>0.12</v>
      </c>
      <c r="T134" s="65">
        <f t="shared" si="50"/>
        <v>24</v>
      </c>
      <c r="U134" s="31">
        <v>5</v>
      </c>
      <c r="V134" s="31"/>
      <c r="W134" s="31">
        <f t="shared" si="51"/>
        <v>5</v>
      </c>
      <c r="X134" s="31">
        <f t="shared" si="54"/>
        <v>60</v>
      </c>
      <c r="Y134" s="31">
        <f t="shared" si="62"/>
        <v>0.06</v>
      </c>
      <c r="Z134" s="18">
        <v>38</v>
      </c>
      <c r="AA134" s="18" t="s">
        <v>330</v>
      </c>
      <c r="AB134" s="18" t="s">
        <v>333</v>
      </c>
      <c r="AC134" s="18" t="s">
        <v>336</v>
      </c>
      <c r="AD134" s="18">
        <v>20</v>
      </c>
      <c r="AE134" s="18">
        <v>15.5</v>
      </c>
      <c r="AF134" s="18" t="s">
        <v>32</v>
      </c>
      <c r="AG134" s="18" t="s">
        <v>24</v>
      </c>
      <c r="AH134" s="18" t="s">
        <v>24</v>
      </c>
      <c r="AI134" s="18" t="s">
        <v>64</v>
      </c>
      <c r="AJ134" s="18" t="s">
        <v>79</v>
      </c>
      <c r="AK134" s="18" t="s">
        <v>96</v>
      </c>
      <c r="AL134" s="18" t="s">
        <v>107</v>
      </c>
      <c r="AM134" s="18" t="s">
        <v>116</v>
      </c>
      <c r="AN134" s="18" t="s">
        <v>198</v>
      </c>
      <c r="AO134" s="18" t="s">
        <v>234</v>
      </c>
      <c r="AP134" s="18"/>
      <c r="AQ134" s="18">
        <f>+VLOOKUP(AI134,Leyenda!$B$30:$E$34,3,FALSE)</f>
        <v>2</v>
      </c>
      <c r="AR134" s="18">
        <f>+VLOOKUP('3. Blasting'!AJ134,Meteorizacion,3,FALSE)</f>
        <v>1</v>
      </c>
      <c r="AS134" s="18">
        <f>+VLOOKUP('3. Blasting'!AK134,Apertura,3,FALSE)</f>
        <v>1</v>
      </c>
      <c r="AT134" s="18">
        <f>+VLOOKUP('3. Blasting'!AL134,Leyenda!$B$55:$D$59,3,FALSE)</f>
        <v>3</v>
      </c>
      <c r="AU134" s="18">
        <f>+VLOOKUP('3. Blasting'!AM134,Relleno,3,FALSE)</f>
        <v>4</v>
      </c>
      <c r="AV134" s="18">
        <f t="shared" si="52"/>
        <v>11</v>
      </c>
      <c r="AW134" s="49">
        <f t="shared" si="63"/>
        <v>8</v>
      </c>
      <c r="AX134" s="49">
        <f>VLOOKUP(AF134,Leyenda!$B$4:$D$10,3,FALSE)</f>
        <v>1</v>
      </c>
      <c r="AY134" s="50">
        <f t="shared" si="57"/>
        <v>4</v>
      </c>
      <c r="AZ134" s="49">
        <f t="shared" si="64"/>
        <v>11</v>
      </c>
      <c r="BA134" s="49">
        <f>VLOOKUP(AN134,Leyenda!$B$70:$D$75,3,FALSE)</f>
        <v>15</v>
      </c>
      <c r="BB134" s="67">
        <f t="shared" si="65"/>
        <v>28.5</v>
      </c>
      <c r="BC134" s="67">
        <f>VLOOKUP(AF134,Leyenda!$B$4:$E$10,4,FALSE)</f>
        <v>1</v>
      </c>
      <c r="BD134" s="67">
        <f t="shared" si="66"/>
        <v>5</v>
      </c>
      <c r="BE134" s="67">
        <f t="shared" si="67"/>
        <v>5</v>
      </c>
      <c r="BF134" s="67">
        <f>+VLOOKUP('3. Blasting'!AK134,Leyenda!$B$47:$E$51,4,FALSE)</f>
        <v>1</v>
      </c>
      <c r="BG134" s="67">
        <f>+VLOOKUP('3. Blasting'!AL134,Leyenda!$B$55:$E$59,4,FALSE)</f>
        <v>3</v>
      </c>
      <c r="BH134" s="67">
        <f>+VLOOKUP('3. Blasting'!AM134,Leyenda!$B$63:$E$67,3,FALSE)</f>
        <v>4</v>
      </c>
      <c r="BI134" s="67">
        <f>+VLOOKUP('3. Blasting'!AJ134,Leyenda!$B$39:$E$43,4,FALSE)</f>
        <v>1</v>
      </c>
      <c r="BJ134" s="67">
        <f>+VLOOKUP('3. Blasting'!AI134,Leyenda!$B$30:$E$34,4,FALSE)</f>
        <v>3</v>
      </c>
      <c r="BK134" s="67">
        <f>VLOOKUP(AN134,Leyenda!$B$71:$E$75,4,FALSE)</f>
        <v>10</v>
      </c>
      <c r="BL134" s="67">
        <f t="shared" si="68"/>
        <v>33</v>
      </c>
      <c r="BM134" s="18">
        <f t="shared" si="69"/>
        <v>39</v>
      </c>
      <c r="BN134" s="18"/>
      <c r="BO134" s="18"/>
      <c r="BP134">
        <f t="shared" si="70"/>
        <v>20</v>
      </c>
      <c r="BQ134">
        <f t="shared" si="71"/>
        <v>10</v>
      </c>
      <c r="BR134">
        <v>20</v>
      </c>
      <c r="BS134">
        <f t="shared" si="72"/>
        <v>-50</v>
      </c>
      <c r="BT134">
        <f t="shared" si="73"/>
        <v>0</v>
      </c>
      <c r="BU134">
        <f t="shared" si="74"/>
        <v>0</v>
      </c>
      <c r="BV134" s="1">
        <f t="shared" si="58"/>
        <v>0</v>
      </c>
      <c r="BW134" s="1">
        <f t="shared" si="59"/>
        <v>0</v>
      </c>
    </row>
    <row r="135" spans="1:75" hidden="1" x14ac:dyDescent="0.25">
      <c r="A135" s="18" t="s">
        <v>6</v>
      </c>
      <c r="B135" s="18">
        <v>2024</v>
      </c>
      <c r="C135" s="18" t="s">
        <v>138</v>
      </c>
      <c r="D135" s="18" t="s">
        <v>245</v>
      </c>
      <c r="E135" s="18">
        <v>50</v>
      </c>
      <c r="F135" s="18" t="s">
        <v>154</v>
      </c>
      <c r="G135" s="18" t="s">
        <v>292</v>
      </c>
      <c r="H135" s="4">
        <f t="shared" si="55"/>
        <v>10.5</v>
      </c>
      <c r="I135" s="4">
        <v>11</v>
      </c>
      <c r="J135" s="4">
        <f t="shared" si="60"/>
        <v>0.5</v>
      </c>
      <c r="K135" s="5">
        <v>0.57999999999999996</v>
      </c>
      <c r="L135" s="31">
        <f t="shared" si="61"/>
        <v>0.28999999999999998</v>
      </c>
      <c r="M135" s="31"/>
      <c r="N135" s="31"/>
      <c r="O135" s="31">
        <f t="shared" si="56"/>
        <v>0.28999999999999998</v>
      </c>
      <c r="P135" s="31">
        <v>14.5</v>
      </c>
      <c r="Q135" s="31">
        <v>20</v>
      </c>
      <c r="R135" s="31">
        <v>0.27</v>
      </c>
      <c r="S135" s="31">
        <v>0.27</v>
      </c>
      <c r="T135" s="65">
        <f t="shared" si="50"/>
        <v>54</v>
      </c>
      <c r="U135" s="31">
        <v>2</v>
      </c>
      <c r="V135" s="31"/>
      <c r="W135" s="31">
        <f t="shared" si="51"/>
        <v>2</v>
      </c>
      <c r="X135" s="31">
        <f t="shared" si="54"/>
        <v>135</v>
      </c>
      <c r="Y135" s="31">
        <f t="shared" si="62"/>
        <v>0.13500000000000001</v>
      </c>
      <c r="Z135" s="18">
        <v>56</v>
      </c>
      <c r="AA135" s="18" t="s">
        <v>330</v>
      </c>
      <c r="AB135" s="18" t="s">
        <v>333</v>
      </c>
      <c r="AC135" s="18" t="s">
        <v>336</v>
      </c>
      <c r="AD135" s="18">
        <v>20</v>
      </c>
      <c r="AE135" s="18">
        <v>14.5</v>
      </c>
      <c r="AF135" s="18" t="s">
        <v>32</v>
      </c>
      <c r="AG135" s="18" t="s">
        <v>24</v>
      </c>
      <c r="AH135" s="18" t="s">
        <v>24</v>
      </c>
      <c r="AI135" s="18" t="s">
        <v>64</v>
      </c>
      <c r="AJ135" s="18" t="s">
        <v>79</v>
      </c>
      <c r="AK135" s="18" t="s">
        <v>96</v>
      </c>
      <c r="AL135" s="18" t="s">
        <v>107</v>
      </c>
      <c r="AM135" s="18" t="s">
        <v>116</v>
      </c>
      <c r="AN135" s="18" t="s">
        <v>198</v>
      </c>
      <c r="AO135" s="18" t="s">
        <v>234</v>
      </c>
      <c r="AP135" s="18"/>
      <c r="AQ135" s="18">
        <f>+VLOOKUP(AI135,Leyenda!$B$30:$E$34,3,FALSE)</f>
        <v>2</v>
      </c>
      <c r="AR135" s="18">
        <f>+VLOOKUP('3. Blasting'!AJ135,Meteorizacion,3,FALSE)</f>
        <v>1</v>
      </c>
      <c r="AS135" s="18">
        <f>+VLOOKUP('3. Blasting'!AK135,Apertura,3,FALSE)</f>
        <v>1</v>
      </c>
      <c r="AT135" s="18">
        <f>+VLOOKUP('3. Blasting'!AL135,Leyenda!$B$55:$D$59,3,FALSE)</f>
        <v>3</v>
      </c>
      <c r="AU135" s="18">
        <f>+VLOOKUP('3. Blasting'!AM135,Relleno,3,FALSE)</f>
        <v>4</v>
      </c>
      <c r="AV135" s="18">
        <f t="shared" si="52"/>
        <v>11</v>
      </c>
      <c r="AW135" s="49">
        <f t="shared" si="63"/>
        <v>12</v>
      </c>
      <c r="AX135" s="49">
        <f>VLOOKUP(AF135,Leyenda!$B$4:$D$10,3,FALSE)</f>
        <v>1</v>
      </c>
      <c r="AY135" s="50">
        <f t="shared" si="57"/>
        <v>4</v>
      </c>
      <c r="AZ135" s="49">
        <f t="shared" si="64"/>
        <v>11</v>
      </c>
      <c r="BA135" s="49">
        <f>VLOOKUP(AN135,Leyenda!$B$70:$D$75,3,FALSE)</f>
        <v>15</v>
      </c>
      <c r="BB135" s="67">
        <f t="shared" si="65"/>
        <v>43.5</v>
      </c>
      <c r="BC135" s="67">
        <f>VLOOKUP(AF135,Leyenda!$B$4:$E$10,4,FALSE)</f>
        <v>1</v>
      </c>
      <c r="BD135" s="67">
        <f t="shared" si="66"/>
        <v>10</v>
      </c>
      <c r="BE135" s="67">
        <f t="shared" si="67"/>
        <v>11</v>
      </c>
      <c r="BF135" s="67">
        <f>+VLOOKUP('3. Blasting'!AK135,Leyenda!$B$47:$E$51,4,FALSE)</f>
        <v>1</v>
      </c>
      <c r="BG135" s="67">
        <f>+VLOOKUP('3. Blasting'!AL135,Leyenda!$B$55:$E$59,4,FALSE)</f>
        <v>3</v>
      </c>
      <c r="BH135" s="67">
        <f>+VLOOKUP('3. Blasting'!AM135,Leyenda!$B$63:$E$67,3,FALSE)</f>
        <v>4</v>
      </c>
      <c r="BI135" s="67">
        <f>+VLOOKUP('3. Blasting'!AJ135,Leyenda!$B$39:$E$43,4,FALSE)</f>
        <v>1</v>
      </c>
      <c r="BJ135" s="67">
        <f>+VLOOKUP('3. Blasting'!AI135,Leyenda!$B$30:$E$34,4,FALSE)</f>
        <v>3</v>
      </c>
      <c r="BK135" s="67">
        <f>VLOOKUP(AN135,Leyenda!$B$71:$E$75,4,FALSE)</f>
        <v>10</v>
      </c>
      <c r="BL135" s="67">
        <f t="shared" si="68"/>
        <v>44</v>
      </c>
      <c r="BM135" s="18">
        <f t="shared" si="69"/>
        <v>43</v>
      </c>
      <c r="BN135" s="18"/>
      <c r="BO135" s="18"/>
      <c r="BP135">
        <f t="shared" si="70"/>
        <v>30</v>
      </c>
      <c r="BQ135">
        <f t="shared" si="71"/>
        <v>20</v>
      </c>
      <c r="BR135">
        <v>20</v>
      </c>
      <c r="BS135">
        <f t="shared" si="72"/>
        <v>-50</v>
      </c>
      <c r="BT135">
        <f t="shared" si="73"/>
        <v>0</v>
      </c>
      <c r="BU135">
        <f t="shared" si="74"/>
        <v>10</v>
      </c>
      <c r="BV135" s="1">
        <f t="shared" si="58"/>
        <v>0.04</v>
      </c>
      <c r="BW135" s="1">
        <f t="shared" si="59"/>
        <v>0</v>
      </c>
    </row>
    <row r="136" spans="1:75" hidden="1" x14ac:dyDescent="0.25">
      <c r="A136" s="18" t="s">
        <v>6</v>
      </c>
      <c r="B136" s="18">
        <v>2024</v>
      </c>
      <c r="C136" s="18" t="s">
        <v>138</v>
      </c>
      <c r="D136" s="18" t="s">
        <v>245</v>
      </c>
      <c r="E136" s="18">
        <v>50</v>
      </c>
      <c r="F136" s="18" t="s">
        <v>154</v>
      </c>
      <c r="G136" s="18" t="s">
        <v>292</v>
      </c>
      <c r="H136" s="4">
        <f t="shared" si="55"/>
        <v>11</v>
      </c>
      <c r="I136" s="4">
        <v>11.5</v>
      </c>
      <c r="J136" s="4">
        <f t="shared" si="60"/>
        <v>0.5</v>
      </c>
      <c r="K136" s="5">
        <v>0.5</v>
      </c>
      <c r="L136" s="31">
        <f t="shared" si="61"/>
        <v>0.25</v>
      </c>
      <c r="M136" s="31"/>
      <c r="N136" s="31"/>
      <c r="O136" s="31">
        <f t="shared" si="56"/>
        <v>0.25</v>
      </c>
      <c r="P136" s="31">
        <v>12.5</v>
      </c>
      <c r="Q136" s="31">
        <v>20</v>
      </c>
      <c r="R136" s="31">
        <v>0.24</v>
      </c>
      <c r="S136" s="31">
        <v>0</v>
      </c>
      <c r="T136" s="65">
        <f t="shared" si="50"/>
        <v>0</v>
      </c>
      <c r="U136" s="31">
        <v>4</v>
      </c>
      <c r="V136" s="31"/>
      <c r="W136" s="31">
        <f t="shared" si="51"/>
        <v>4</v>
      </c>
      <c r="X136" s="31">
        <f t="shared" si="54"/>
        <v>60</v>
      </c>
      <c r="Y136" s="31">
        <f t="shared" si="62"/>
        <v>0.06</v>
      </c>
      <c r="Z136" s="18">
        <v>0</v>
      </c>
      <c r="AA136" s="18" t="s">
        <v>330</v>
      </c>
      <c r="AB136" s="18" t="s">
        <v>333</v>
      </c>
      <c r="AC136" s="18" t="s">
        <v>336</v>
      </c>
      <c r="AD136" s="18">
        <v>20</v>
      </c>
      <c r="AE136" s="18">
        <v>12.5</v>
      </c>
      <c r="AF136" s="18" t="s">
        <v>32</v>
      </c>
      <c r="AG136" s="18" t="s">
        <v>24</v>
      </c>
      <c r="AH136" s="18" t="s">
        <v>24</v>
      </c>
      <c r="AI136" s="18" t="s">
        <v>64</v>
      </c>
      <c r="AJ136" s="18" t="s">
        <v>81</v>
      </c>
      <c r="AK136" s="18" t="s">
        <v>96</v>
      </c>
      <c r="AL136" s="18" t="s">
        <v>107</v>
      </c>
      <c r="AM136" s="18" t="s">
        <v>120</v>
      </c>
      <c r="AN136" s="18" t="s">
        <v>198</v>
      </c>
      <c r="AO136" s="18" t="s">
        <v>234</v>
      </c>
      <c r="AP136" s="18"/>
      <c r="AQ136" s="18">
        <f>+VLOOKUP(AI136,Leyenda!$B$30:$E$34,3,FALSE)</f>
        <v>2</v>
      </c>
      <c r="AR136" s="18">
        <f>+VLOOKUP('3. Blasting'!AJ136,Meteorizacion,3,FALSE)</f>
        <v>0</v>
      </c>
      <c r="AS136" s="18">
        <f>+VLOOKUP('3. Blasting'!AK136,Apertura,3,FALSE)</f>
        <v>1</v>
      </c>
      <c r="AT136" s="18">
        <f>+VLOOKUP('3. Blasting'!AL136,Leyenda!$B$55:$D$59,3,FALSE)</f>
        <v>3</v>
      </c>
      <c r="AU136" s="18">
        <f>+VLOOKUP('3. Blasting'!AM136,Relleno,3,FALSE)</f>
        <v>2</v>
      </c>
      <c r="AV136" s="18">
        <f t="shared" si="52"/>
        <v>8</v>
      </c>
      <c r="AW136" s="49">
        <f t="shared" si="63"/>
        <v>0</v>
      </c>
      <c r="AX136" s="49">
        <f>VLOOKUP(AF136,Leyenda!$B$4:$D$10,3,FALSE)</f>
        <v>1</v>
      </c>
      <c r="AY136" s="50">
        <f t="shared" si="57"/>
        <v>4</v>
      </c>
      <c r="AZ136" s="49">
        <f t="shared" si="64"/>
        <v>8</v>
      </c>
      <c r="BA136" s="49">
        <f>VLOOKUP(AN136,Leyenda!$B$70:$D$75,3,FALSE)</f>
        <v>15</v>
      </c>
      <c r="BB136" s="67">
        <f t="shared" si="65"/>
        <v>12</v>
      </c>
      <c r="BC136" s="67">
        <f>VLOOKUP(AF136,Leyenda!$B$4:$E$10,4,FALSE)</f>
        <v>1</v>
      </c>
      <c r="BD136" s="67">
        <f t="shared" si="66"/>
        <v>5</v>
      </c>
      <c r="BE136" s="67">
        <f t="shared" si="67"/>
        <v>0</v>
      </c>
      <c r="BF136" s="67">
        <f>+VLOOKUP('3. Blasting'!AK136,Leyenda!$B$47:$E$51,4,FALSE)</f>
        <v>1</v>
      </c>
      <c r="BG136" s="67">
        <f>+VLOOKUP('3. Blasting'!AL136,Leyenda!$B$55:$E$59,4,FALSE)</f>
        <v>3</v>
      </c>
      <c r="BH136" s="67">
        <f>+VLOOKUP('3. Blasting'!AM136,Leyenda!$B$63:$E$67,3,FALSE)</f>
        <v>2</v>
      </c>
      <c r="BI136" s="67">
        <f>+VLOOKUP('3. Blasting'!AJ136,Leyenda!$B$39:$E$43,4,FALSE)</f>
        <v>0</v>
      </c>
      <c r="BJ136" s="67">
        <f>+VLOOKUP('3. Blasting'!AI136,Leyenda!$B$30:$E$34,4,FALSE)</f>
        <v>3</v>
      </c>
      <c r="BK136" s="67">
        <f>VLOOKUP(AN136,Leyenda!$B$71:$E$75,4,FALSE)</f>
        <v>10</v>
      </c>
      <c r="BL136" s="67">
        <f t="shared" si="68"/>
        <v>25</v>
      </c>
      <c r="BM136" s="18">
        <f t="shared" si="69"/>
        <v>28</v>
      </c>
      <c r="BN136" s="18"/>
      <c r="BO136" s="18"/>
      <c r="BP136">
        <f t="shared" si="70"/>
        <v>10</v>
      </c>
      <c r="BQ136">
        <f t="shared" si="71"/>
        <v>10</v>
      </c>
      <c r="BR136">
        <v>20</v>
      </c>
      <c r="BS136">
        <f t="shared" si="72"/>
        <v>-50</v>
      </c>
      <c r="BT136">
        <f t="shared" si="73"/>
        <v>0</v>
      </c>
      <c r="BU136">
        <f t="shared" si="74"/>
        <v>-5</v>
      </c>
      <c r="BV136" s="1">
        <f t="shared" si="58"/>
        <v>-0.02</v>
      </c>
      <c r="BW136" s="1">
        <f t="shared" si="59"/>
        <v>0</v>
      </c>
    </row>
    <row r="137" spans="1:75" hidden="1" x14ac:dyDescent="0.25">
      <c r="A137" s="18" t="s">
        <v>6</v>
      </c>
      <c r="B137" s="18">
        <v>2024</v>
      </c>
      <c r="C137" s="18" t="s">
        <v>138</v>
      </c>
      <c r="D137" s="18" t="s">
        <v>245</v>
      </c>
      <c r="E137" s="18">
        <v>50</v>
      </c>
      <c r="F137" s="18" t="s">
        <v>154</v>
      </c>
      <c r="G137" s="18" t="s">
        <v>292</v>
      </c>
      <c r="H137" s="4">
        <f t="shared" si="55"/>
        <v>11.5</v>
      </c>
      <c r="I137" s="4">
        <v>12</v>
      </c>
      <c r="J137" s="4">
        <f t="shared" si="60"/>
        <v>0.5</v>
      </c>
      <c r="K137" s="5">
        <v>0.54</v>
      </c>
      <c r="L137" s="31">
        <f t="shared" si="61"/>
        <v>0.27</v>
      </c>
      <c r="M137" s="31"/>
      <c r="N137" s="31"/>
      <c r="O137" s="31">
        <f t="shared" si="56"/>
        <v>0.27</v>
      </c>
      <c r="P137" s="31">
        <v>13.5</v>
      </c>
      <c r="Q137" s="31">
        <v>20</v>
      </c>
      <c r="R137" s="31">
        <v>0.26</v>
      </c>
      <c r="S137" s="31">
        <v>0</v>
      </c>
      <c r="T137" s="65">
        <f t="shared" si="50"/>
        <v>0</v>
      </c>
      <c r="U137" s="31">
        <v>6</v>
      </c>
      <c r="V137" s="31"/>
      <c r="W137" s="31">
        <f t="shared" si="51"/>
        <v>6</v>
      </c>
      <c r="X137" s="31">
        <f t="shared" si="54"/>
        <v>43.333333333333336</v>
      </c>
      <c r="Y137" s="31">
        <f t="shared" si="62"/>
        <v>4.3333333333333335E-2</v>
      </c>
      <c r="Z137" s="18">
        <v>0</v>
      </c>
      <c r="AA137" s="18" t="s">
        <v>330</v>
      </c>
      <c r="AB137" s="18" t="s">
        <v>333</v>
      </c>
      <c r="AC137" s="18" t="s">
        <v>336</v>
      </c>
      <c r="AD137" s="18">
        <v>20</v>
      </c>
      <c r="AE137" s="18">
        <v>13.5</v>
      </c>
      <c r="AF137" s="18" t="s">
        <v>32</v>
      </c>
      <c r="AG137" s="18" t="s">
        <v>24</v>
      </c>
      <c r="AH137" s="18" t="s">
        <v>24</v>
      </c>
      <c r="AI137" s="18" t="s">
        <v>66</v>
      </c>
      <c r="AJ137" s="18" t="s">
        <v>79</v>
      </c>
      <c r="AK137" s="18" t="s">
        <v>96</v>
      </c>
      <c r="AL137" s="18" t="s">
        <v>109</v>
      </c>
      <c r="AM137" s="18" t="s">
        <v>120</v>
      </c>
      <c r="AN137" s="18" t="s">
        <v>198</v>
      </c>
      <c r="AO137" s="18"/>
      <c r="AP137" s="18"/>
      <c r="AQ137" s="18">
        <f>+VLOOKUP(AI137,Leyenda!$B$30:$E$34,3,FALSE)</f>
        <v>1</v>
      </c>
      <c r="AR137" s="18">
        <f>+VLOOKUP('3. Blasting'!AJ137,Meteorizacion,3,FALSE)</f>
        <v>1</v>
      </c>
      <c r="AS137" s="18">
        <f>+VLOOKUP('3. Blasting'!AK137,Apertura,3,FALSE)</f>
        <v>1</v>
      </c>
      <c r="AT137" s="18">
        <f>+VLOOKUP('3. Blasting'!AL137,Leyenda!$B$55:$D$59,3,FALSE)</f>
        <v>1</v>
      </c>
      <c r="AU137" s="18">
        <f>+VLOOKUP('3. Blasting'!AM137,Relleno,3,FALSE)</f>
        <v>2</v>
      </c>
      <c r="AV137" s="18">
        <f t="shared" si="52"/>
        <v>6</v>
      </c>
      <c r="AW137" s="49">
        <f t="shared" si="63"/>
        <v>0</v>
      </c>
      <c r="AX137" s="49">
        <f>VLOOKUP(AF137,Leyenda!$B$4:$D$10,3,FALSE)</f>
        <v>1</v>
      </c>
      <c r="AY137" s="50">
        <f t="shared" si="57"/>
        <v>4</v>
      </c>
      <c r="AZ137" s="49">
        <f t="shared" si="64"/>
        <v>6</v>
      </c>
      <c r="BA137" s="49">
        <f>VLOOKUP(AN137,Leyenda!$B$70:$D$75,3,FALSE)</f>
        <v>15</v>
      </c>
      <c r="BB137" s="67">
        <f t="shared" si="65"/>
        <v>9</v>
      </c>
      <c r="BC137" s="67">
        <f>VLOOKUP(AF137,Leyenda!$B$4:$E$10,4,FALSE)</f>
        <v>1</v>
      </c>
      <c r="BD137" s="67">
        <f t="shared" si="66"/>
        <v>5</v>
      </c>
      <c r="BE137" s="67">
        <f t="shared" si="67"/>
        <v>0</v>
      </c>
      <c r="BF137" s="67">
        <f>+VLOOKUP('3. Blasting'!AK137,Leyenda!$B$47:$E$51,4,FALSE)</f>
        <v>1</v>
      </c>
      <c r="BG137" s="67">
        <f>+VLOOKUP('3. Blasting'!AL137,Leyenda!$B$55:$E$59,4,FALSE)</f>
        <v>1</v>
      </c>
      <c r="BH137" s="67">
        <f>+VLOOKUP('3. Blasting'!AM137,Leyenda!$B$63:$E$67,3,FALSE)</f>
        <v>2</v>
      </c>
      <c r="BI137" s="67">
        <f>+VLOOKUP('3. Blasting'!AJ137,Leyenda!$B$39:$E$43,4,FALSE)</f>
        <v>1</v>
      </c>
      <c r="BJ137" s="67">
        <f>+VLOOKUP('3. Blasting'!AI137,Leyenda!$B$30:$E$34,4,FALSE)</f>
        <v>1</v>
      </c>
      <c r="BK137" s="67">
        <f>VLOOKUP(AN137,Leyenda!$B$71:$E$75,4,FALSE)</f>
        <v>10</v>
      </c>
      <c r="BL137" s="67">
        <f t="shared" si="68"/>
        <v>22</v>
      </c>
      <c r="BM137" s="18">
        <f t="shared" si="69"/>
        <v>26</v>
      </c>
      <c r="BN137" s="18"/>
      <c r="BO137" s="18"/>
      <c r="BP137">
        <f t="shared" si="70"/>
        <v>10</v>
      </c>
      <c r="BQ137">
        <f t="shared" si="71"/>
        <v>10</v>
      </c>
      <c r="BR137">
        <v>20</v>
      </c>
      <c r="BS137">
        <f t="shared" si="72"/>
        <v>-50</v>
      </c>
      <c r="BT137">
        <f t="shared" si="73"/>
        <v>0</v>
      </c>
      <c r="BU137">
        <f t="shared" si="74"/>
        <v>-5</v>
      </c>
      <c r="BV137" s="1">
        <f t="shared" si="58"/>
        <v>-0.02</v>
      </c>
      <c r="BW137" s="1">
        <f t="shared" si="59"/>
        <v>0</v>
      </c>
    </row>
    <row r="138" spans="1:75" hidden="1" x14ac:dyDescent="0.25">
      <c r="A138" s="18" t="s">
        <v>6</v>
      </c>
      <c r="B138" s="18">
        <v>2024</v>
      </c>
      <c r="C138" s="18" t="s">
        <v>138</v>
      </c>
      <c r="D138" s="18" t="s">
        <v>245</v>
      </c>
      <c r="E138" s="18">
        <v>50</v>
      </c>
      <c r="F138" s="18" t="s">
        <v>154</v>
      </c>
      <c r="G138" s="18" t="s">
        <v>292</v>
      </c>
      <c r="H138" s="4">
        <f t="shared" si="55"/>
        <v>12</v>
      </c>
      <c r="I138" s="4">
        <v>12.5</v>
      </c>
      <c r="J138" s="4">
        <f t="shared" si="60"/>
        <v>0.5</v>
      </c>
      <c r="K138" s="5">
        <v>0.88</v>
      </c>
      <c r="L138" s="31">
        <f t="shared" si="61"/>
        <v>0.44</v>
      </c>
      <c r="M138" s="31"/>
      <c r="N138" s="31"/>
      <c r="O138" s="31">
        <f t="shared" si="56"/>
        <v>0.44</v>
      </c>
      <c r="P138" s="31">
        <v>22</v>
      </c>
      <c r="Q138" s="31">
        <v>20</v>
      </c>
      <c r="R138" s="31">
        <v>0.41</v>
      </c>
      <c r="S138" s="31">
        <v>0.23</v>
      </c>
      <c r="T138" s="65">
        <f t="shared" si="50"/>
        <v>46</v>
      </c>
      <c r="U138" s="31">
        <v>4</v>
      </c>
      <c r="V138" s="31"/>
      <c r="W138" s="31">
        <f t="shared" si="51"/>
        <v>4</v>
      </c>
      <c r="X138" s="31">
        <f t="shared" si="54"/>
        <v>102.5</v>
      </c>
      <c r="Y138" s="31">
        <f t="shared" si="62"/>
        <v>0.10249999999999999</v>
      </c>
      <c r="Z138" s="18">
        <v>54</v>
      </c>
      <c r="AA138" s="18" t="s">
        <v>330</v>
      </c>
      <c r="AB138" s="18" t="s">
        <v>333</v>
      </c>
      <c r="AC138" s="18" t="s">
        <v>336</v>
      </c>
      <c r="AD138" s="18">
        <v>20</v>
      </c>
      <c r="AE138" s="18">
        <v>22</v>
      </c>
      <c r="AF138" s="18" t="s">
        <v>32</v>
      </c>
      <c r="AG138" s="18" t="s">
        <v>29</v>
      </c>
      <c r="AH138" s="18" t="s">
        <v>29</v>
      </c>
      <c r="AI138" s="18" t="s">
        <v>69</v>
      </c>
      <c r="AJ138" s="18" t="s">
        <v>81</v>
      </c>
      <c r="AK138" s="18" t="s">
        <v>96</v>
      </c>
      <c r="AL138" s="18" t="s">
        <v>109</v>
      </c>
      <c r="AM138" s="18" t="s">
        <v>120</v>
      </c>
      <c r="AN138" s="18" t="s">
        <v>198</v>
      </c>
      <c r="AO138" s="18" t="s">
        <v>236</v>
      </c>
      <c r="AP138" s="18"/>
      <c r="AQ138" s="18">
        <f>+VLOOKUP(AI138,Leyenda!$B$30:$E$34,3,FALSE)</f>
        <v>0</v>
      </c>
      <c r="AR138" s="18">
        <f>+VLOOKUP('3. Blasting'!AJ138,Meteorizacion,3,FALSE)</f>
        <v>0</v>
      </c>
      <c r="AS138" s="18">
        <f>+VLOOKUP('3. Blasting'!AK138,Apertura,3,FALSE)</f>
        <v>1</v>
      </c>
      <c r="AT138" s="18">
        <f>+VLOOKUP('3. Blasting'!AL138,Leyenda!$B$55:$D$59,3,FALSE)</f>
        <v>1</v>
      </c>
      <c r="AU138" s="18">
        <f>+VLOOKUP('3. Blasting'!AM138,Relleno,3,FALSE)</f>
        <v>2</v>
      </c>
      <c r="AV138" s="18">
        <f t="shared" si="52"/>
        <v>4</v>
      </c>
      <c r="AW138" s="49">
        <f t="shared" si="63"/>
        <v>11</v>
      </c>
      <c r="AX138" s="49">
        <f>VLOOKUP(AF138,Leyenda!$B$4:$D$10,3,FALSE)</f>
        <v>1</v>
      </c>
      <c r="AY138" s="50">
        <f t="shared" si="57"/>
        <v>4</v>
      </c>
      <c r="AZ138" s="49">
        <f t="shared" si="64"/>
        <v>4</v>
      </c>
      <c r="BA138" s="49">
        <f>VLOOKUP(AN138,Leyenda!$B$70:$D$75,3,FALSE)</f>
        <v>15</v>
      </c>
      <c r="BB138" s="67">
        <f t="shared" si="65"/>
        <v>29</v>
      </c>
      <c r="BC138" s="67">
        <f>VLOOKUP(AF138,Leyenda!$B$4:$E$10,4,FALSE)</f>
        <v>1</v>
      </c>
      <c r="BD138" s="67">
        <f t="shared" si="66"/>
        <v>8</v>
      </c>
      <c r="BE138" s="67">
        <f t="shared" si="67"/>
        <v>10</v>
      </c>
      <c r="BF138" s="67">
        <f>+VLOOKUP('3. Blasting'!AK138,Leyenda!$B$47:$E$51,4,FALSE)</f>
        <v>1</v>
      </c>
      <c r="BG138" s="67">
        <f>+VLOOKUP('3. Blasting'!AL138,Leyenda!$B$55:$E$59,4,FALSE)</f>
        <v>1</v>
      </c>
      <c r="BH138" s="67">
        <f>+VLOOKUP('3. Blasting'!AM138,Leyenda!$B$63:$E$67,3,FALSE)</f>
        <v>2</v>
      </c>
      <c r="BI138" s="67">
        <f>+VLOOKUP('3. Blasting'!AJ138,Leyenda!$B$39:$E$43,4,FALSE)</f>
        <v>0</v>
      </c>
      <c r="BJ138" s="67">
        <f>+VLOOKUP('3. Blasting'!AI138,Leyenda!$B$30:$E$34,4,FALSE)</f>
        <v>0</v>
      </c>
      <c r="BK138" s="67">
        <f>VLOOKUP(AN138,Leyenda!$B$71:$E$75,4,FALSE)</f>
        <v>10</v>
      </c>
      <c r="BL138" s="67">
        <f t="shared" si="68"/>
        <v>33</v>
      </c>
      <c r="BM138" s="18">
        <f t="shared" si="69"/>
        <v>35</v>
      </c>
      <c r="BN138" s="18"/>
      <c r="BO138" s="18"/>
      <c r="BP138">
        <f t="shared" si="70"/>
        <v>20</v>
      </c>
      <c r="BQ138">
        <f t="shared" si="71"/>
        <v>20</v>
      </c>
      <c r="BR138">
        <v>20</v>
      </c>
      <c r="BS138">
        <f t="shared" si="72"/>
        <v>-50</v>
      </c>
      <c r="BT138">
        <f t="shared" si="73"/>
        <v>0</v>
      </c>
      <c r="BU138">
        <f t="shared" si="74"/>
        <v>5</v>
      </c>
      <c r="BV138" s="1">
        <f t="shared" si="58"/>
        <v>0.02</v>
      </c>
      <c r="BW138" s="1">
        <f t="shared" si="59"/>
        <v>0</v>
      </c>
    </row>
    <row r="139" spans="1:75" hidden="1" x14ac:dyDescent="0.25">
      <c r="A139" s="18" t="s">
        <v>6</v>
      </c>
      <c r="B139" s="18">
        <v>2024</v>
      </c>
      <c r="C139" s="18" t="s">
        <v>138</v>
      </c>
      <c r="D139" s="18" t="s">
        <v>245</v>
      </c>
      <c r="E139" s="18">
        <v>50</v>
      </c>
      <c r="F139" s="18" t="s">
        <v>154</v>
      </c>
      <c r="G139" s="18" t="s">
        <v>292</v>
      </c>
      <c r="H139" s="4">
        <f t="shared" si="55"/>
        <v>12.5</v>
      </c>
      <c r="I139" s="4">
        <v>13</v>
      </c>
      <c r="J139" s="4">
        <f t="shared" si="60"/>
        <v>0.5</v>
      </c>
      <c r="K139" s="5">
        <v>0.9</v>
      </c>
      <c r="L139" s="31">
        <f t="shared" si="61"/>
        <v>0.45</v>
      </c>
      <c r="M139" s="31"/>
      <c r="N139" s="31"/>
      <c r="O139" s="31">
        <f t="shared" si="56"/>
        <v>0.45</v>
      </c>
      <c r="P139" s="31">
        <v>22.5</v>
      </c>
      <c r="Q139" s="31">
        <v>20</v>
      </c>
      <c r="R139" s="31">
        <v>0.43</v>
      </c>
      <c r="S139" s="31">
        <v>0.34</v>
      </c>
      <c r="T139" s="65">
        <f t="shared" ref="T139:T202" si="75">+S139/J139*100</f>
        <v>68</v>
      </c>
      <c r="U139" s="31">
        <v>2</v>
      </c>
      <c r="V139" s="31"/>
      <c r="W139" s="31">
        <f t="shared" si="51"/>
        <v>2</v>
      </c>
      <c r="X139" s="31">
        <f t="shared" si="54"/>
        <v>215</v>
      </c>
      <c r="Y139" s="31">
        <f t="shared" si="62"/>
        <v>0.215</v>
      </c>
      <c r="Z139" s="18">
        <v>46</v>
      </c>
      <c r="AA139" s="18" t="s">
        <v>330</v>
      </c>
      <c r="AB139" s="18" t="s">
        <v>333</v>
      </c>
      <c r="AC139" s="18" t="s">
        <v>336</v>
      </c>
      <c r="AD139" s="18">
        <v>20</v>
      </c>
      <c r="AE139" s="18">
        <v>22.5</v>
      </c>
      <c r="AF139" s="18" t="s">
        <v>32</v>
      </c>
      <c r="AG139" s="18" t="s">
        <v>24</v>
      </c>
      <c r="AH139" s="18" t="s">
        <v>24</v>
      </c>
      <c r="AI139" s="18" t="s">
        <v>64</v>
      </c>
      <c r="AJ139" s="18" t="s">
        <v>79</v>
      </c>
      <c r="AK139" s="18" t="s">
        <v>96</v>
      </c>
      <c r="AL139" s="18" t="s">
        <v>107</v>
      </c>
      <c r="AM139" s="18" t="s">
        <v>118</v>
      </c>
      <c r="AN139" s="18" t="s">
        <v>198</v>
      </c>
      <c r="AO139" s="18" t="s">
        <v>236</v>
      </c>
      <c r="AP139" s="18"/>
      <c r="AQ139" s="18">
        <f>+VLOOKUP(AI139,Leyenda!$B$30:$E$34,3,FALSE)</f>
        <v>2</v>
      </c>
      <c r="AR139" s="18">
        <f>+VLOOKUP('3. Blasting'!AJ139,Meteorizacion,3,FALSE)</f>
        <v>1</v>
      </c>
      <c r="AS139" s="18">
        <f>+VLOOKUP('3. Blasting'!AK139,Apertura,3,FALSE)</f>
        <v>1</v>
      </c>
      <c r="AT139" s="18">
        <f>+VLOOKUP('3. Blasting'!AL139,Leyenda!$B$55:$D$59,3,FALSE)</f>
        <v>3</v>
      </c>
      <c r="AU139" s="18">
        <f>+VLOOKUP('3. Blasting'!AM139,Relleno,3,FALSE)</f>
        <v>2</v>
      </c>
      <c r="AV139" s="18">
        <f t="shared" ref="AV139:AV202" si="76">+SUM(AQ139:AU139)</f>
        <v>9</v>
      </c>
      <c r="AW139" s="49">
        <f t="shared" si="63"/>
        <v>10</v>
      </c>
      <c r="AX139" s="49">
        <f>VLOOKUP(AF139,Leyenda!$B$4:$D$10,3,FALSE)</f>
        <v>1</v>
      </c>
      <c r="AY139" s="50">
        <f t="shared" si="57"/>
        <v>4</v>
      </c>
      <c r="AZ139" s="49">
        <f t="shared" si="64"/>
        <v>9</v>
      </c>
      <c r="BA139" s="49">
        <f>VLOOKUP(AN139,Leyenda!$B$70:$D$75,3,FALSE)</f>
        <v>15</v>
      </c>
      <c r="BB139" s="67">
        <f t="shared" si="65"/>
        <v>47.5</v>
      </c>
      <c r="BC139" s="67">
        <f>VLOOKUP(AF139,Leyenda!$B$4:$E$10,4,FALSE)</f>
        <v>1</v>
      </c>
      <c r="BD139" s="67">
        <f t="shared" si="66"/>
        <v>13</v>
      </c>
      <c r="BE139" s="67">
        <f t="shared" si="67"/>
        <v>14</v>
      </c>
      <c r="BF139" s="67">
        <f>+VLOOKUP('3. Blasting'!AK139,Leyenda!$B$47:$E$51,4,FALSE)</f>
        <v>1</v>
      </c>
      <c r="BG139" s="67">
        <f>+VLOOKUP('3. Blasting'!AL139,Leyenda!$B$55:$E$59,4,FALSE)</f>
        <v>3</v>
      </c>
      <c r="BH139" s="67">
        <f>+VLOOKUP('3. Blasting'!AM139,Leyenda!$B$63:$E$67,3,FALSE)</f>
        <v>2</v>
      </c>
      <c r="BI139" s="67">
        <f>+VLOOKUP('3. Blasting'!AJ139,Leyenda!$B$39:$E$43,4,FALSE)</f>
        <v>1</v>
      </c>
      <c r="BJ139" s="67">
        <f>+VLOOKUP('3. Blasting'!AI139,Leyenda!$B$30:$E$34,4,FALSE)</f>
        <v>3</v>
      </c>
      <c r="BK139" s="67">
        <f>VLOOKUP(AN139,Leyenda!$B$71:$E$75,4,FALSE)</f>
        <v>10</v>
      </c>
      <c r="BL139" s="67">
        <f t="shared" si="68"/>
        <v>48</v>
      </c>
      <c r="BM139" s="18">
        <f t="shared" si="69"/>
        <v>39</v>
      </c>
      <c r="BN139" s="18"/>
      <c r="BO139" s="18"/>
      <c r="BP139">
        <f t="shared" si="70"/>
        <v>30</v>
      </c>
      <c r="BQ139">
        <f t="shared" si="71"/>
        <v>20</v>
      </c>
      <c r="BR139">
        <v>20</v>
      </c>
      <c r="BS139">
        <f t="shared" si="72"/>
        <v>-50</v>
      </c>
      <c r="BT139">
        <f t="shared" si="73"/>
        <v>0</v>
      </c>
      <c r="BU139">
        <f t="shared" si="74"/>
        <v>10</v>
      </c>
      <c r="BV139" s="1">
        <f t="shared" si="58"/>
        <v>0.04</v>
      </c>
      <c r="BW139" s="1">
        <f t="shared" si="59"/>
        <v>0</v>
      </c>
    </row>
    <row r="140" spans="1:75" hidden="1" x14ac:dyDescent="0.25">
      <c r="A140" s="18" t="s">
        <v>6</v>
      </c>
      <c r="B140" s="18">
        <v>2024</v>
      </c>
      <c r="C140" s="18" t="s">
        <v>138</v>
      </c>
      <c r="D140" s="18" t="s">
        <v>245</v>
      </c>
      <c r="E140" s="18">
        <v>50</v>
      </c>
      <c r="F140" s="18" t="s">
        <v>154</v>
      </c>
      <c r="G140" s="18" t="s">
        <v>292</v>
      </c>
      <c r="H140" s="4">
        <f t="shared" si="55"/>
        <v>13</v>
      </c>
      <c r="I140" s="4">
        <v>13.5</v>
      </c>
      <c r="J140" s="4">
        <f t="shared" si="60"/>
        <v>0.5</v>
      </c>
      <c r="K140" s="5">
        <v>0.64</v>
      </c>
      <c r="L140" s="31">
        <f t="shared" si="61"/>
        <v>0.32</v>
      </c>
      <c r="M140" s="31"/>
      <c r="N140" s="31"/>
      <c r="O140" s="31">
        <f t="shared" si="56"/>
        <v>0.32</v>
      </c>
      <c r="P140" s="31">
        <v>16</v>
      </c>
      <c r="Q140" s="31">
        <v>20</v>
      </c>
      <c r="R140" s="31">
        <v>0.21</v>
      </c>
      <c r="S140" s="31">
        <v>0.12</v>
      </c>
      <c r="T140" s="65">
        <f t="shared" si="75"/>
        <v>24</v>
      </c>
      <c r="U140" s="31">
        <v>3</v>
      </c>
      <c r="V140" s="31"/>
      <c r="W140" s="31">
        <f t="shared" si="51"/>
        <v>3</v>
      </c>
      <c r="X140" s="31">
        <f t="shared" si="54"/>
        <v>70</v>
      </c>
      <c r="Y140" s="31">
        <f t="shared" si="62"/>
        <v>7.0000000000000007E-2</v>
      </c>
      <c r="Z140" s="18">
        <v>0</v>
      </c>
      <c r="AA140" s="18" t="s">
        <v>330</v>
      </c>
      <c r="AB140" s="18" t="s">
        <v>333</v>
      </c>
      <c r="AC140" s="18" t="s">
        <v>336</v>
      </c>
      <c r="AD140" s="18">
        <v>20</v>
      </c>
      <c r="AE140" s="18">
        <v>16</v>
      </c>
      <c r="AF140" s="18" t="s">
        <v>32</v>
      </c>
      <c r="AG140" s="18" t="s">
        <v>24</v>
      </c>
      <c r="AH140" s="18" t="s">
        <v>24</v>
      </c>
      <c r="AI140" s="18" t="s">
        <v>64</v>
      </c>
      <c r="AJ140" s="18" t="s">
        <v>79</v>
      </c>
      <c r="AK140" s="18" t="s">
        <v>96</v>
      </c>
      <c r="AL140" s="18" t="s">
        <v>107</v>
      </c>
      <c r="AM140" s="18" t="s">
        <v>120</v>
      </c>
      <c r="AN140" s="18" t="s">
        <v>198</v>
      </c>
      <c r="AO140" s="18" t="s">
        <v>236</v>
      </c>
      <c r="AP140" s="18"/>
      <c r="AQ140" s="18">
        <f>+VLOOKUP(AI140,Leyenda!$B$30:$E$34,3,FALSE)</f>
        <v>2</v>
      </c>
      <c r="AR140" s="18">
        <f>+VLOOKUP('3. Blasting'!AJ140,Meteorizacion,3,FALSE)</f>
        <v>1</v>
      </c>
      <c r="AS140" s="18">
        <f>+VLOOKUP('3. Blasting'!AK140,Apertura,3,FALSE)</f>
        <v>1</v>
      </c>
      <c r="AT140" s="18">
        <f>+VLOOKUP('3. Blasting'!AL140,Leyenda!$B$55:$D$59,3,FALSE)</f>
        <v>3</v>
      </c>
      <c r="AU140" s="18">
        <f>+VLOOKUP('3. Blasting'!AM140,Relleno,3,FALSE)</f>
        <v>2</v>
      </c>
      <c r="AV140" s="18">
        <f t="shared" si="76"/>
        <v>9</v>
      </c>
      <c r="AW140" s="49">
        <f t="shared" si="63"/>
        <v>0</v>
      </c>
      <c r="AX140" s="49">
        <f>VLOOKUP(AF140,Leyenda!$B$4:$D$10,3,FALSE)</f>
        <v>1</v>
      </c>
      <c r="AY140" s="50">
        <f t="shared" si="57"/>
        <v>4</v>
      </c>
      <c r="AZ140" s="49">
        <f t="shared" si="64"/>
        <v>9</v>
      </c>
      <c r="BA140" s="49">
        <f>VLOOKUP(AN140,Leyenda!$B$70:$D$75,3,FALSE)</f>
        <v>15</v>
      </c>
      <c r="BB140" s="67">
        <f t="shared" si="65"/>
        <v>25.5</v>
      </c>
      <c r="BC140" s="67">
        <f>VLOOKUP(AF140,Leyenda!$B$4:$E$10,4,FALSE)</f>
        <v>1</v>
      </c>
      <c r="BD140" s="67">
        <f t="shared" si="66"/>
        <v>6</v>
      </c>
      <c r="BE140" s="67">
        <f t="shared" si="67"/>
        <v>5</v>
      </c>
      <c r="BF140" s="67">
        <f>+VLOOKUP('3. Blasting'!AK140,Leyenda!$B$47:$E$51,4,FALSE)</f>
        <v>1</v>
      </c>
      <c r="BG140" s="67">
        <f>+VLOOKUP('3. Blasting'!AL140,Leyenda!$B$55:$E$59,4,FALSE)</f>
        <v>3</v>
      </c>
      <c r="BH140" s="67">
        <f>+VLOOKUP('3. Blasting'!AM140,Leyenda!$B$63:$E$67,3,FALSE)</f>
        <v>2</v>
      </c>
      <c r="BI140" s="67">
        <f>+VLOOKUP('3. Blasting'!AJ140,Leyenda!$B$39:$E$43,4,FALSE)</f>
        <v>1</v>
      </c>
      <c r="BJ140" s="67">
        <f>+VLOOKUP('3. Blasting'!AI140,Leyenda!$B$30:$E$34,4,FALSE)</f>
        <v>3</v>
      </c>
      <c r="BK140" s="67">
        <f>VLOOKUP(AN140,Leyenda!$B$71:$E$75,4,FALSE)</f>
        <v>10</v>
      </c>
      <c r="BL140" s="67">
        <f t="shared" si="68"/>
        <v>32</v>
      </c>
      <c r="BM140" s="18">
        <f t="shared" si="69"/>
        <v>29</v>
      </c>
      <c r="BN140" s="18"/>
      <c r="BO140" s="18"/>
      <c r="BP140">
        <f t="shared" si="70"/>
        <v>20</v>
      </c>
      <c r="BQ140">
        <f t="shared" si="71"/>
        <v>10</v>
      </c>
      <c r="BR140">
        <v>20</v>
      </c>
      <c r="BS140">
        <f t="shared" si="72"/>
        <v>-50</v>
      </c>
      <c r="BT140">
        <f t="shared" si="73"/>
        <v>0</v>
      </c>
      <c r="BU140">
        <f t="shared" si="74"/>
        <v>0</v>
      </c>
      <c r="BV140" s="1">
        <f t="shared" si="58"/>
        <v>0</v>
      </c>
      <c r="BW140" s="1">
        <f t="shared" si="59"/>
        <v>0</v>
      </c>
    </row>
    <row r="141" spans="1:75" hidden="1" x14ac:dyDescent="0.25">
      <c r="A141" s="18" t="s">
        <v>6</v>
      </c>
      <c r="B141" s="18">
        <v>2024</v>
      </c>
      <c r="C141" s="18" t="s">
        <v>138</v>
      </c>
      <c r="D141" s="18" t="s">
        <v>245</v>
      </c>
      <c r="E141" s="18">
        <v>50</v>
      </c>
      <c r="F141" s="18" t="s">
        <v>154</v>
      </c>
      <c r="G141" s="18" t="s">
        <v>292</v>
      </c>
      <c r="H141" s="4">
        <f t="shared" si="55"/>
        <v>13.5</v>
      </c>
      <c r="I141" s="4">
        <v>14</v>
      </c>
      <c r="J141" s="4">
        <f t="shared" si="60"/>
        <v>0.5</v>
      </c>
      <c r="K141" s="5">
        <v>0.54</v>
      </c>
      <c r="L141" s="31">
        <f t="shared" si="61"/>
        <v>0.27</v>
      </c>
      <c r="M141" s="31"/>
      <c r="N141" s="31"/>
      <c r="O141" s="31">
        <f t="shared" si="56"/>
        <v>0.27</v>
      </c>
      <c r="P141" s="31">
        <v>13.5</v>
      </c>
      <c r="Q141" s="31">
        <v>20</v>
      </c>
      <c r="R141" s="31">
        <v>0.22</v>
      </c>
      <c r="S141" s="31">
        <v>0</v>
      </c>
      <c r="T141" s="65">
        <f t="shared" si="75"/>
        <v>0</v>
      </c>
      <c r="U141" s="31">
        <v>3</v>
      </c>
      <c r="V141" s="31"/>
      <c r="W141" s="31">
        <f t="shared" ref="W141:W182" si="77">+U141+V141</f>
        <v>3</v>
      </c>
      <c r="X141" s="31">
        <f t="shared" si="54"/>
        <v>73.333333333333329</v>
      </c>
      <c r="Y141" s="31">
        <f t="shared" si="62"/>
        <v>7.3333333333333334E-2</v>
      </c>
      <c r="Z141" s="18">
        <v>26</v>
      </c>
      <c r="AA141" s="18" t="s">
        <v>330</v>
      </c>
      <c r="AB141" s="18" t="s">
        <v>333</v>
      </c>
      <c r="AC141" s="18" t="s">
        <v>337</v>
      </c>
      <c r="AD141" s="18">
        <v>20</v>
      </c>
      <c r="AE141" s="18">
        <v>13.5</v>
      </c>
      <c r="AF141" s="18" t="s">
        <v>29</v>
      </c>
      <c r="AG141" s="18" t="s">
        <v>24</v>
      </c>
      <c r="AH141" s="18" t="s">
        <v>24</v>
      </c>
      <c r="AI141" s="18" t="s">
        <v>66</v>
      </c>
      <c r="AJ141" s="18" t="s">
        <v>79</v>
      </c>
      <c r="AK141" s="18" t="s">
        <v>96</v>
      </c>
      <c r="AL141" s="18" t="s">
        <v>109</v>
      </c>
      <c r="AM141" s="18" t="s">
        <v>122</v>
      </c>
      <c r="AN141" s="18" t="s">
        <v>198</v>
      </c>
      <c r="AO141" s="18" t="s">
        <v>236</v>
      </c>
      <c r="AP141" s="18"/>
      <c r="AQ141" s="18">
        <f>+VLOOKUP(AI141,Leyenda!$B$30:$E$34,3,FALSE)</f>
        <v>1</v>
      </c>
      <c r="AR141" s="18">
        <f>+VLOOKUP('3. Blasting'!AJ141,Meteorizacion,3,FALSE)</f>
        <v>1</v>
      </c>
      <c r="AS141" s="18">
        <f>+VLOOKUP('3. Blasting'!AK141,Apertura,3,FALSE)</f>
        <v>1</v>
      </c>
      <c r="AT141" s="18">
        <f>+VLOOKUP('3. Blasting'!AL141,Leyenda!$B$55:$D$59,3,FALSE)</f>
        <v>1</v>
      </c>
      <c r="AU141" s="18">
        <f>+VLOOKUP('3. Blasting'!AM141,Relleno,3,FALSE)</f>
        <v>0</v>
      </c>
      <c r="AV141" s="18">
        <f t="shared" si="76"/>
        <v>4</v>
      </c>
      <c r="AW141" s="49">
        <f t="shared" si="63"/>
        <v>6</v>
      </c>
      <c r="AX141" s="49">
        <f>VLOOKUP(AF141,Leyenda!$B$4:$D$10,3,FALSE)</f>
        <v>2</v>
      </c>
      <c r="AY141" s="50">
        <f t="shared" si="57"/>
        <v>4</v>
      </c>
      <c r="AZ141" s="49">
        <f t="shared" si="64"/>
        <v>4</v>
      </c>
      <c r="BA141" s="49">
        <f>VLOOKUP(AN141,Leyenda!$B$70:$D$75,3,FALSE)</f>
        <v>15</v>
      </c>
      <c r="BB141" s="67">
        <f t="shared" si="65"/>
        <v>6</v>
      </c>
      <c r="BC141" s="67">
        <f>VLOOKUP(AF141,Leyenda!$B$4:$E$10,4,FALSE)</f>
        <v>2</v>
      </c>
      <c r="BD141" s="67">
        <f t="shared" si="66"/>
        <v>6</v>
      </c>
      <c r="BE141" s="67">
        <f t="shared" si="67"/>
        <v>0</v>
      </c>
      <c r="BF141" s="67">
        <f>+VLOOKUP('3. Blasting'!AK141,Leyenda!$B$47:$E$51,4,FALSE)</f>
        <v>1</v>
      </c>
      <c r="BG141" s="67">
        <f>+VLOOKUP('3. Blasting'!AL141,Leyenda!$B$55:$E$59,4,FALSE)</f>
        <v>1</v>
      </c>
      <c r="BH141" s="67">
        <f>+VLOOKUP('3. Blasting'!AM141,Leyenda!$B$63:$E$67,3,FALSE)</f>
        <v>0</v>
      </c>
      <c r="BI141" s="67">
        <f>+VLOOKUP('3. Blasting'!AJ141,Leyenda!$B$39:$E$43,4,FALSE)</f>
        <v>1</v>
      </c>
      <c r="BJ141" s="67">
        <f>+VLOOKUP('3. Blasting'!AI141,Leyenda!$B$30:$E$34,4,FALSE)</f>
        <v>1</v>
      </c>
      <c r="BK141" s="67">
        <f>VLOOKUP(AN141,Leyenda!$B$71:$E$75,4,FALSE)</f>
        <v>10</v>
      </c>
      <c r="BL141" s="67">
        <f t="shared" si="68"/>
        <v>22</v>
      </c>
      <c r="BM141" s="18">
        <f t="shared" si="69"/>
        <v>31</v>
      </c>
      <c r="BN141" s="18"/>
      <c r="BO141" s="18"/>
      <c r="BP141">
        <f t="shared" si="70"/>
        <v>10</v>
      </c>
      <c r="BQ141">
        <f t="shared" si="71"/>
        <v>10</v>
      </c>
      <c r="BR141">
        <v>20</v>
      </c>
      <c r="BS141">
        <f t="shared" si="72"/>
        <v>-50</v>
      </c>
      <c r="BT141">
        <f t="shared" si="73"/>
        <v>0</v>
      </c>
      <c r="BU141">
        <f t="shared" si="74"/>
        <v>-5</v>
      </c>
      <c r="BV141" s="1">
        <f t="shared" si="58"/>
        <v>-0.02</v>
      </c>
      <c r="BW141" s="1">
        <f t="shared" si="59"/>
        <v>0</v>
      </c>
    </row>
    <row r="142" spans="1:75" hidden="1" x14ac:dyDescent="0.25">
      <c r="A142" s="18" t="s">
        <v>6</v>
      </c>
      <c r="B142" s="18">
        <v>2024</v>
      </c>
      <c r="C142" s="18" t="s">
        <v>138</v>
      </c>
      <c r="D142" s="18" t="s">
        <v>245</v>
      </c>
      <c r="E142" s="18">
        <v>50</v>
      </c>
      <c r="F142" s="18" t="s">
        <v>154</v>
      </c>
      <c r="G142" s="18" t="s">
        <v>292</v>
      </c>
      <c r="H142" s="4">
        <f t="shared" si="55"/>
        <v>14</v>
      </c>
      <c r="I142" s="4">
        <v>14.5</v>
      </c>
      <c r="J142" s="4">
        <f t="shared" si="60"/>
        <v>0.5</v>
      </c>
      <c r="K142" s="5">
        <v>0.22</v>
      </c>
      <c r="L142" s="31">
        <f t="shared" si="61"/>
        <v>0.11</v>
      </c>
      <c r="M142" s="31"/>
      <c r="N142" s="31"/>
      <c r="O142" s="31">
        <f t="shared" si="56"/>
        <v>0.11</v>
      </c>
      <c r="P142" s="31">
        <v>5.5</v>
      </c>
      <c r="Q142" s="31">
        <v>20</v>
      </c>
      <c r="R142" s="31">
        <v>0.1</v>
      </c>
      <c r="S142" s="31">
        <v>0.1</v>
      </c>
      <c r="T142" s="65">
        <f t="shared" si="75"/>
        <v>20</v>
      </c>
      <c r="U142" s="31">
        <v>1</v>
      </c>
      <c r="V142" s="31"/>
      <c r="W142" s="31">
        <f t="shared" si="77"/>
        <v>1</v>
      </c>
      <c r="X142" s="31">
        <f t="shared" si="54"/>
        <v>100</v>
      </c>
      <c r="Y142" s="31">
        <f t="shared" si="62"/>
        <v>0.1</v>
      </c>
      <c r="Z142" s="18">
        <v>24</v>
      </c>
      <c r="AA142" s="18" t="s">
        <v>330</v>
      </c>
      <c r="AB142" s="18" t="s">
        <v>333</v>
      </c>
      <c r="AC142" s="18" t="s">
        <v>337</v>
      </c>
      <c r="AD142" s="18">
        <v>20</v>
      </c>
      <c r="AE142" s="18">
        <v>5.5</v>
      </c>
      <c r="AF142" s="18" t="s">
        <v>29</v>
      </c>
      <c r="AG142" s="18" t="s">
        <v>24</v>
      </c>
      <c r="AH142" s="18" t="s">
        <v>24</v>
      </c>
      <c r="AI142" s="18" t="s">
        <v>66</v>
      </c>
      <c r="AJ142" s="18" t="s">
        <v>79</v>
      </c>
      <c r="AK142" s="18" t="s">
        <v>96</v>
      </c>
      <c r="AL142" s="18" t="s">
        <v>109</v>
      </c>
      <c r="AM142" s="18" t="s">
        <v>122</v>
      </c>
      <c r="AN142" s="18" t="s">
        <v>198</v>
      </c>
      <c r="AO142" s="18" t="s">
        <v>236</v>
      </c>
      <c r="AP142" s="18"/>
      <c r="AQ142" s="18">
        <f>+VLOOKUP(AI142,Leyenda!$B$30:$E$34,3,FALSE)</f>
        <v>1</v>
      </c>
      <c r="AR142" s="18">
        <f>+VLOOKUP('3. Blasting'!AJ142,Meteorizacion,3,FALSE)</f>
        <v>1</v>
      </c>
      <c r="AS142" s="18">
        <f>+VLOOKUP('3. Blasting'!AK142,Apertura,3,FALSE)</f>
        <v>1</v>
      </c>
      <c r="AT142" s="18">
        <f>+VLOOKUP('3. Blasting'!AL142,Leyenda!$B$55:$D$59,3,FALSE)</f>
        <v>1</v>
      </c>
      <c r="AU142" s="18">
        <f>+VLOOKUP('3. Blasting'!AM142,Relleno,3,FALSE)</f>
        <v>0</v>
      </c>
      <c r="AV142" s="18">
        <f t="shared" si="76"/>
        <v>4</v>
      </c>
      <c r="AW142" s="49">
        <f t="shared" si="63"/>
        <v>5</v>
      </c>
      <c r="AX142" s="49">
        <f>VLOOKUP(AF142,Leyenda!$B$4:$D$10,3,FALSE)</f>
        <v>2</v>
      </c>
      <c r="AY142" s="50">
        <f t="shared" si="57"/>
        <v>3</v>
      </c>
      <c r="AZ142" s="49">
        <f t="shared" si="64"/>
        <v>4</v>
      </c>
      <c r="BA142" s="49">
        <f>VLOOKUP(AN142,Leyenda!$B$70:$D$75,3,FALSE)</f>
        <v>15</v>
      </c>
      <c r="BB142" s="67">
        <f t="shared" si="65"/>
        <v>16</v>
      </c>
      <c r="BC142" s="67">
        <f>VLOOKUP(AF142,Leyenda!$B$4:$E$10,4,FALSE)</f>
        <v>2</v>
      </c>
      <c r="BD142" s="67">
        <f t="shared" si="66"/>
        <v>8</v>
      </c>
      <c r="BE142" s="67">
        <f t="shared" si="67"/>
        <v>4</v>
      </c>
      <c r="BF142" s="67">
        <f>+VLOOKUP('3. Blasting'!AK142,Leyenda!$B$47:$E$51,4,FALSE)</f>
        <v>1</v>
      </c>
      <c r="BG142" s="67">
        <f>+VLOOKUP('3. Blasting'!AL142,Leyenda!$B$55:$E$59,4,FALSE)</f>
        <v>1</v>
      </c>
      <c r="BH142" s="67">
        <f>+VLOOKUP('3. Blasting'!AM142,Leyenda!$B$63:$E$67,3,FALSE)</f>
        <v>0</v>
      </c>
      <c r="BI142" s="67">
        <f>+VLOOKUP('3. Blasting'!AJ142,Leyenda!$B$39:$E$43,4,FALSE)</f>
        <v>1</v>
      </c>
      <c r="BJ142" s="67">
        <f>+VLOOKUP('3. Blasting'!AI142,Leyenda!$B$30:$E$34,4,FALSE)</f>
        <v>1</v>
      </c>
      <c r="BK142" s="67">
        <f>VLOOKUP(AN142,Leyenda!$B$71:$E$75,4,FALSE)</f>
        <v>10</v>
      </c>
      <c r="BL142" s="67">
        <f t="shared" si="68"/>
        <v>28</v>
      </c>
      <c r="BM142" s="18">
        <f t="shared" si="69"/>
        <v>29</v>
      </c>
      <c r="BN142" s="18"/>
      <c r="BO142" s="18"/>
      <c r="BP142">
        <f t="shared" si="70"/>
        <v>10</v>
      </c>
      <c r="BQ142">
        <f t="shared" si="71"/>
        <v>50</v>
      </c>
      <c r="BR142">
        <v>20</v>
      </c>
      <c r="BS142">
        <f t="shared" si="72"/>
        <v>-50</v>
      </c>
      <c r="BT142">
        <f t="shared" si="73"/>
        <v>0</v>
      </c>
      <c r="BU142">
        <f t="shared" si="74"/>
        <v>15</v>
      </c>
      <c r="BV142" s="1">
        <f t="shared" si="58"/>
        <v>0.06</v>
      </c>
      <c r="BW142" s="1">
        <f t="shared" si="59"/>
        <v>0</v>
      </c>
    </row>
    <row r="143" spans="1:75" hidden="1" x14ac:dyDescent="0.25">
      <c r="A143" s="18" t="s">
        <v>6</v>
      </c>
      <c r="B143" s="18">
        <v>2024</v>
      </c>
      <c r="C143" s="18" t="s">
        <v>138</v>
      </c>
      <c r="D143" s="18" t="s">
        <v>245</v>
      </c>
      <c r="E143" s="18">
        <v>50</v>
      </c>
      <c r="F143" s="18" t="s">
        <v>154</v>
      </c>
      <c r="G143" s="18" t="s">
        <v>292</v>
      </c>
      <c r="H143" s="4">
        <f t="shared" si="55"/>
        <v>14.5</v>
      </c>
      <c r="I143" s="4">
        <v>15</v>
      </c>
      <c r="J143" s="4">
        <f t="shared" si="60"/>
        <v>0.5</v>
      </c>
      <c r="K143" s="5">
        <v>0.28000000000000003</v>
      </c>
      <c r="L143" s="31">
        <f t="shared" si="61"/>
        <v>0.14000000000000001</v>
      </c>
      <c r="M143" s="31"/>
      <c r="N143" s="31"/>
      <c r="O143" s="31">
        <f t="shared" si="56"/>
        <v>0.14000000000000001</v>
      </c>
      <c r="P143" s="31">
        <v>28</v>
      </c>
      <c r="Q143" s="31">
        <v>5</v>
      </c>
      <c r="R143" s="31">
        <v>0.14000000000000001</v>
      </c>
      <c r="S143" s="31">
        <v>0</v>
      </c>
      <c r="T143" s="65">
        <f t="shared" si="75"/>
        <v>0</v>
      </c>
      <c r="U143" s="31">
        <v>2</v>
      </c>
      <c r="V143" s="31"/>
      <c r="W143" s="31">
        <f t="shared" si="77"/>
        <v>2</v>
      </c>
      <c r="X143" s="31">
        <f t="shared" si="54"/>
        <v>70</v>
      </c>
      <c r="Y143" s="31">
        <f t="shared" si="62"/>
        <v>7.0000000000000007E-2</v>
      </c>
      <c r="Z143" s="18">
        <v>0</v>
      </c>
      <c r="AA143" s="18" t="s">
        <v>330</v>
      </c>
      <c r="AB143" s="18" t="s">
        <v>118</v>
      </c>
      <c r="AC143" s="18" t="s">
        <v>337</v>
      </c>
      <c r="AD143" s="18">
        <v>5</v>
      </c>
      <c r="AE143" s="18">
        <v>28</v>
      </c>
      <c r="AF143" s="18" t="s">
        <v>29</v>
      </c>
      <c r="AG143" s="18" t="s">
        <v>24</v>
      </c>
      <c r="AH143" s="18" t="s">
        <v>24</v>
      </c>
      <c r="AI143" s="18" t="s">
        <v>66</v>
      </c>
      <c r="AJ143" s="18" t="s">
        <v>79</v>
      </c>
      <c r="AK143" s="18" t="s">
        <v>96</v>
      </c>
      <c r="AL143" s="18" t="s">
        <v>109</v>
      </c>
      <c r="AM143" s="18" t="s">
        <v>122</v>
      </c>
      <c r="AN143" s="18" t="s">
        <v>198</v>
      </c>
      <c r="AO143" s="18" t="s">
        <v>236</v>
      </c>
      <c r="AP143" s="18"/>
      <c r="AQ143" s="18">
        <f>+VLOOKUP(AI143,Leyenda!$B$30:$E$34,3,FALSE)</f>
        <v>1</v>
      </c>
      <c r="AR143" s="18">
        <f>+VLOOKUP('3. Blasting'!AJ143,Meteorizacion,3,FALSE)</f>
        <v>1</v>
      </c>
      <c r="AS143" s="18">
        <f>+VLOOKUP('3. Blasting'!AK143,Apertura,3,FALSE)</f>
        <v>1</v>
      </c>
      <c r="AT143" s="18">
        <f>+VLOOKUP('3. Blasting'!AL143,Leyenda!$B$55:$D$59,3,FALSE)</f>
        <v>1</v>
      </c>
      <c r="AU143" s="18">
        <f>+VLOOKUP('3. Blasting'!AM143,Relleno,3,FALSE)</f>
        <v>0</v>
      </c>
      <c r="AV143" s="18">
        <f t="shared" si="76"/>
        <v>4</v>
      </c>
      <c r="AW143" s="49">
        <f t="shared" si="63"/>
        <v>0</v>
      </c>
      <c r="AX143" s="49">
        <f>VLOOKUP(AF143,Leyenda!$B$4:$D$10,3,FALSE)</f>
        <v>2</v>
      </c>
      <c r="AY143" s="50">
        <f t="shared" si="57"/>
        <v>5</v>
      </c>
      <c r="AZ143" s="49">
        <f t="shared" si="64"/>
        <v>4</v>
      </c>
      <c r="BA143" s="49">
        <f>VLOOKUP(AN143,Leyenda!$B$70:$D$75,3,FALSE)</f>
        <v>15</v>
      </c>
      <c r="BB143" s="67">
        <f t="shared" si="65"/>
        <v>6</v>
      </c>
      <c r="BC143" s="67">
        <f>VLOOKUP(AF143,Leyenda!$B$4:$E$10,4,FALSE)</f>
        <v>2</v>
      </c>
      <c r="BD143" s="67">
        <f t="shared" si="66"/>
        <v>6</v>
      </c>
      <c r="BE143" s="67">
        <f t="shared" si="67"/>
        <v>0</v>
      </c>
      <c r="BF143" s="67">
        <f>+VLOOKUP('3. Blasting'!AK143,Leyenda!$B$47:$E$51,4,FALSE)</f>
        <v>1</v>
      </c>
      <c r="BG143" s="67">
        <f>+VLOOKUP('3. Blasting'!AL143,Leyenda!$B$55:$E$59,4,FALSE)</f>
        <v>1</v>
      </c>
      <c r="BH143" s="67">
        <f>+VLOOKUP('3. Blasting'!AM143,Leyenda!$B$63:$E$67,3,FALSE)</f>
        <v>0</v>
      </c>
      <c r="BI143" s="67">
        <f>+VLOOKUP('3. Blasting'!AJ143,Leyenda!$B$39:$E$43,4,FALSE)</f>
        <v>1</v>
      </c>
      <c r="BJ143" s="67">
        <f>+VLOOKUP('3. Blasting'!AI143,Leyenda!$B$30:$E$34,4,FALSE)</f>
        <v>1</v>
      </c>
      <c r="BK143" s="67">
        <f>VLOOKUP(AN143,Leyenda!$B$71:$E$75,4,FALSE)</f>
        <v>10</v>
      </c>
      <c r="BL143" s="67">
        <f t="shared" si="68"/>
        <v>22</v>
      </c>
      <c r="BM143" s="18">
        <f t="shared" si="69"/>
        <v>26</v>
      </c>
      <c r="BN143" s="18"/>
      <c r="BO143" s="18"/>
      <c r="BP143">
        <f t="shared" si="70"/>
        <v>10</v>
      </c>
      <c r="BQ143">
        <f t="shared" si="71"/>
        <v>10</v>
      </c>
      <c r="BR143">
        <v>20</v>
      </c>
      <c r="BS143">
        <f t="shared" si="72"/>
        <v>-50</v>
      </c>
      <c r="BT143">
        <f t="shared" si="73"/>
        <v>0</v>
      </c>
      <c r="BU143">
        <f t="shared" si="74"/>
        <v>-5</v>
      </c>
      <c r="BV143" s="1">
        <f t="shared" si="58"/>
        <v>-0.02</v>
      </c>
      <c r="BW143" s="1">
        <f t="shared" si="59"/>
        <v>0</v>
      </c>
    </row>
    <row r="144" spans="1:75" hidden="1" x14ac:dyDescent="0.25">
      <c r="A144" s="18" t="s">
        <v>6</v>
      </c>
      <c r="B144" s="18">
        <v>2024</v>
      </c>
      <c r="C144" s="18" t="s">
        <v>138</v>
      </c>
      <c r="D144" s="18" t="s">
        <v>245</v>
      </c>
      <c r="E144" s="18">
        <v>50</v>
      </c>
      <c r="F144" s="18" t="s">
        <v>154</v>
      </c>
      <c r="G144" s="18" t="s">
        <v>292</v>
      </c>
      <c r="H144" s="4">
        <f t="shared" si="55"/>
        <v>15</v>
      </c>
      <c r="I144" s="4">
        <v>15.5</v>
      </c>
      <c r="J144" s="4">
        <f t="shared" si="60"/>
        <v>0.5</v>
      </c>
      <c r="K144" s="5">
        <v>0.42</v>
      </c>
      <c r="L144" s="31">
        <f t="shared" si="61"/>
        <v>0.21</v>
      </c>
      <c r="M144" s="31"/>
      <c r="N144" s="31"/>
      <c r="O144" s="31">
        <f t="shared" si="56"/>
        <v>0.21</v>
      </c>
      <c r="P144" s="31">
        <v>10.5</v>
      </c>
      <c r="Q144" s="31">
        <v>20</v>
      </c>
      <c r="R144" s="31">
        <v>0.16</v>
      </c>
      <c r="S144" s="31">
        <v>0.1</v>
      </c>
      <c r="T144" s="65">
        <f t="shared" si="75"/>
        <v>20</v>
      </c>
      <c r="U144" s="31">
        <v>3</v>
      </c>
      <c r="V144" s="31"/>
      <c r="W144" s="31">
        <f t="shared" si="77"/>
        <v>3</v>
      </c>
      <c r="X144" s="31">
        <f t="shared" si="54"/>
        <v>53.333333333333336</v>
      </c>
      <c r="Y144" s="31">
        <f t="shared" si="62"/>
        <v>5.3333333333333337E-2</v>
      </c>
      <c r="Z144" s="18">
        <v>0</v>
      </c>
      <c r="AA144" s="18" t="s">
        <v>330</v>
      </c>
      <c r="AB144" s="18" t="s">
        <v>333</v>
      </c>
      <c r="AC144" s="18" t="s">
        <v>337</v>
      </c>
      <c r="AD144" s="18">
        <v>20</v>
      </c>
      <c r="AE144" s="18">
        <v>10.5</v>
      </c>
      <c r="AF144" s="18" t="s">
        <v>29</v>
      </c>
      <c r="AG144" s="18" t="s">
        <v>24</v>
      </c>
      <c r="AH144" s="18" t="s">
        <v>24</v>
      </c>
      <c r="AI144" s="18" t="s">
        <v>66</v>
      </c>
      <c r="AJ144" s="18" t="s">
        <v>79</v>
      </c>
      <c r="AK144" s="18" t="s">
        <v>96</v>
      </c>
      <c r="AL144" s="18" t="s">
        <v>109</v>
      </c>
      <c r="AM144" s="18" t="s">
        <v>122</v>
      </c>
      <c r="AN144" s="18" t="s">
        <v>198</v>
      </c>
      <c r="AO144" s="18" t="s">
        <v>236</v>
      </c>
      <c r="AP144" s="18"/>
      <c r="AQ144" s="18">
        <f>+VLOOKUP(AI144,Leyenda!$B$30:$E$34,3,FALSE)</f>
        <v>1</v>
      </c>
      <c r="AR144" s="18">
        <f>+VLOOKUP('3. Blasting'!AJ144,Meteorizacion,3,FALSE)</f>
        <v>1</v>
      </c>
      <c r="AS144" s="18">
        <f>+VLOOKUP('3. Blasting'!AK144,Apertura,3,FALSE)</f>
        <v>1</v>
      </c>
      <c r="AT144" s="18">
        <f>+VLOOKUP('3. Blasting'!AL144,Leyenda!$B$55:$D$59,3,FALSE)</f>
        <v>1</v>
      </c>
      <c r="AU144" s="18">
        <f>+VLOOKUP('3. Blasting'!AM144,Relleno,3,FALSE)</f>
        <v>0</v>
      </c>
      <c r="AV144" s="18">
        <f t="shared" si="76"/>
        <v>4</v>
      </c>
      <c r="AW144" s="49">
        <f t="shared" si="63"/>
        <v>0</v>
      </c>
      <c r="AX144" s="49">
        <f>VLOOKUP(AF144,Leyenda!$B$4:$D$10,3,FALSE)</f>
        <v>2</v>
      </c>
      <c r="AY144" s="50">
        <f t="shared" si="57"/>
        <v>3</v>
      </c>
      <c r="AZ144" s="49">
        <f t="shared" si="64"/>
        <v>4</v>
      </c>
      <c r="BA144" s="49">
        <f>VLOOKUP(AN144,Leyenda!$B$70:$D$75,3,FALSE)</f>
        <v>15</v>
      </c>
      <c r="BB144" s="67">
        <f t="shared" si="65"/>
        <v>16</v>
      </c>
      <c r="BC144" s="67">
        <f>VLOOKUP(AF144,Leyenda!$B$4:$E$10,4,FALSE)</f>
        <v>2</v>
      </c>
      <c r="BD144" s="67">
        <f t="shared" si="66"/>
        <v>4</v>
      </c>
      <c r="BE144" s="67">
        <f t="shared" si="67"/>
        <v>4</v>
      </c>
      <c r="BF144" s="67">
        <f>+VLOOKUP('3. Blasting'!AK144,Leyenda!$B$47:$E$51,4,FALSE)</f>
        <v>1</v>
      </c>
      <c r="BG144" s="67">
        <f>+VLOOKUP('3. Blasting'!AL144,Leyenda!$B$55:$E$59,4,FALSE)</f>
        <v>1</v>
      </c>
      <c r="BH144" s="67">
        <f>+VLOOKUP('3. Blasting'!AM144,Leyenda!$B$63:$E$67,3,FALSE)</f>
        <v>0</v>
      </c>
      <c r="BI144" s="67">
        <f>+VLOOKUP('3. Blasting'!AJ144,Leyenda!$B$39:$E$43,4,FALSE)</f>
        <v>1</v>
      </c>
      <c r="BJ144" s="67">
        <f>+VLOOKUP('3. Blasting'!AI144,Leyenda!$B$30:$E$34,4,FALSE)</f>
        <v>1</v>
      </c>
      <c r="BK144" s="67">
        <f>VLOOKUP(AN144,Leyenda!$B$71:$E$75,4,FALSE)</f>
        <v>10</v>
      </c>
      <c r="BL144" s="67">
        <f t="shared" si="68"/>
        <v>24</v>
      </c>
      <c r="BM144" s="18">
        <f t="shared" si="69"/>
        <v>24</v>
      </c>
      <c r="BN144" s="18"/>
      <c r="BO144" s="18"/>
      <c r="BP144">
        <f t="shared" si="70"/>
        <v>10</v>
      </c>
      <c r="BQ144">
        <f t="shared" si="71"/>
        <v>10</v>
      </c>
      <c r="BR144">
        <v>20</v>
      </c>
      <c r="BS144">
        <f t="shared" si="72"/>
        <v>-50</v>
      </c>
      <c r="BT144">
        <f t="shared" si="73"/>
        <v>0</v>
      </c>
      <c r="BU144">
        <f t="shared" si="74"/>
        <v>-5</v>
      </c>
      <c r="BV144" s="1">
        <f t="shared" si="58"/>
        <v>-0.02</v>
      </c>
      <c r="BW144" s="1">
        <f t="shared" si="59"/>
        <v>0</v>
      </c>
    </row>
    <row r="145" spans="1:75" hidden="1" x14ac:dyDescent="0.25">
      <c r="A145" s="18" t="s">
        <v>6</v>
      </c>
      <c r="B145" s="18">
        <v>2024</v>
      </c>
      <c r="C145" s="18" t="s">
        <v>138</v>
      </c>
      <c r="D145" s="18" t="s">
        <v>245</v>
      </c>
      <c r="E145" s="18">
        <v>50</v>
      </c>
      <c r="F145" s="18" t="s">
        <v>154</v>
      </c>
      <c r="G145" s="18" t="s">
        <v>292</v>
      </c>
      <c r="H145" s="4">
        <f t="shared" si="55"/>
        <v>15.5</v>
      </c>
      <c r="I145" s="4">
        <v>16</v>
      </c>
      <c r="J145" s="4">
        <f t="shared" si="60"/>
        <v>0.5</v>
      </c>
      <c r="K145" s="5">
        <v>0.34</v>
      </c>
      <c r="L145" s="31">
        <f t="shared" si="61"/>
        <v>0.17</v>
      </c>
      <c r="M145" s="31"/>
      <c r="N145" s="31"/>
      <c r="O145" s="31">
        <f t="shared" si="56"/>
        <v>0.17</v>
      </c>
      <c r="P145" s="31">
        <v>8.5</v>
      </c>
      <c r="Q145" s="31">
        <v>20</v>
      </c>
      <c r="R145" s="31">
        <v>0.16</v>
      </c>
      <c r="S145" s="31">
        <v>0</v>
      </c>
      <c r="T145" s="65">
        <f t="shared" si="75"/>
        <v>0</v>
      </c>
      <c r="U145" s="31">
        <v>5</v>
      </c>
      <c r="V145" s="31"/>
      <c r="W145" s="31">
        <f t="shared" si="77"/>
        <v>5</v>
      </c>
      <c r="X145" s="31">
        <f t="shared" si="54"/>
        <v>32</v>
      </c>
      <c r="Y145" s="31">
        <f t="shared" si="62"/>
        <v>3.2000000000000001E-2</v>
      </c>
      <c r="Z145" s="18">
        <v>0</v>
      </c>
      <c r="AA145" s="18" t="s">
        <v>330</v>
      </c>
      <c r="AB145" s="18" t="s">
        <v>333</v>
      </c>
      <c r="AC145" s="18" t="s">
        <v>337</v>
      </c>
      <c r="AD145" s="18">
        <v>20</v>
      </c>
      <c r="AE145" s="18">
        <v>8.5</v>
      </c>
      <c r="AF145" s="18" t="s">
        <v>29</v>
      </c>
      <c r="AG145" s="18" t="s">
        <v>24</v>
      </c>
      <c r="AH145" s="18" t="s">
        <v>24</v>
      </c>
      <c r="AI145" s="18" t="s">
        <v>66</v>
      </c>
      <c r="AJ145" s="18" t="s">
        <v>79</v>
      </c>
      <c r="AK145" s="18" t="s">
        <v>96</v>
      </c>
      <c r="AL145" s="18" t="s">
        <v>109</v>
      </c>
      <c r="AM145" s="18" t="s">
        <v>122</v>
      </c>
      <c r="AN145" s="18" t="s">
        <v>198</v>
      </c>
      <c r="AO145" s="18" t="s">
        <v>236</v>
      </c>
      <c r="AP145" s="18"/>
      <c r="AQ145" s="18">
        <f>+VLOOKUP(AI145,Leyenda!$B$30:$E$34,3,FALSE)</f>
        <v>1</v>
      </c>
      <c r="AR145" s="18">
        <f>+VLOOKUP('3. Blasting'!AJ145,Meteorizacion,3,FALSE)</f>
        <v>1</v>
      </c>
      <c r="AS145" s="18">
        <f>+VLOOKUP('3. Blasting'!AK145,Apertura,3,FALSE)</f>
        <v>1</v>
      </c>
      <c r="AT145" s="18">
        <f>+VLOOKUP('3. Blasting'!AL145,Leyenda!$B$55:$D$59,3,FALSE)</f>
        <v>1</v>
      </c>
      <c r="AU145" s="18">
        <f>+VLOOKUP('3. Blasting'!AM145,Relleno,3,FALSE)</f>
        <v>0</v>
      </c>
      <c r="AV145" s="18">
        <f t="shared" si="76"/>
        <v>4</v>
      </c>
      <c r="AW145" s="49">
        <f t="shared" si="63"/>
        <v>0</v>
      </c>
      <c r="AX145" s="49">
        <f>VLOOKUP(AF145,Leyenda!$B$4:$D$10,3,FALSE)</f>
        <v>2</v>
      </c>
      <c r="AY145" s="50">
        <f t="shared" si="57"/>
        <v>3</v>
      </c>
      <c r="AZ145" s="49">
        <f t="shared" si="64"/>
        <v>4</v>
      </c>
      <c r="BA145" s="49">
        <f>VLOOKUP(AN145,Leyenda!$B$70:$D$75,3,FALSE)</f>
        <v>15</v>
      </c>
      <c r="BB145" s="67">
        <f t="shared" si="65"/>
        <v>6</v>
      </c>
      <c r="BC145" s="67">
        <f>VLOOKUP(AF145,Leyenda!$B$4:$E$10,4,FALSE)</f>
        <v>2</v>
      </c>
      <c r="BD145" s="67">
        <f t="shared" si="66"/>
        <v>5</v>
      </c>
      <c r="BE145" s="67">
        <f t="shared" si="67"/>
        <v>0</v>
      </c>
      <c r="BF145" s="67">
        <f>+VLOOKUP('3. Blasting'!AK145,Leyenda!$B$47:$E$51,4,FALSE)</f>
        <v>1</v>
      </c>
      <c r="BG145" s="67">
        <f>+VLOOKUP('3. Blasting'!AL145,Leyenda!$B$55:$E$59,4,FALSE)</f>
        <v>1</v>
      </c>
      <c r="BH145" s="67">
        <f>+VLOOKUP('3. Blasting'!AM145,Leyenda!$B$63:$E$67,3,FALSE)</f>
        <v>0</v>
      </c>
      <c r="BI145" s="67">
        <f>+VLOOKUP('3. Blasting'!AJ145,Leyenda!$B$39:$E$43,4,FALSE)</f>
        <v>1</v>
      </c>
      <c r="BJ145" s="67">
        <f>+VLOOKUP('3. Blasting'!AI145,Leyenda!$B$30:$E$34,4,FALSE)</f>
        <v>1</v>
      </c>
      <c r="BK145" s="67">
        <f>VLOOKUP(AN145,Leyenda!$B$71:$E$75,4,FALSE)</f>
        <v>10</v>
      </c>
      <c r="BL145" s="67">
        <f t="shared" si="68"/>
        <v>21</v>
      </c>
      <c r="BM145" s="18">
        <f t="shared" si="69"/>
        <v>24</v>
      </c>
      <c r="BN145" s="18"/>
      <c r="BO145" s="18"/>
      <c r="BP145">
        <f t="shared" si="70"/>
        <v>10</v>
      </c>
      <c r="BQ145">
        <f t="shared" si="71"/>
        <v>10</v>
      </c>
      <c r="BR145">
        <v>20</v>
      </c>
      <c r="BS145">
        <f t="shared" si="72"/>
        <v>-50</v>
      </c>
      <c r="BT145">
        <f t="shared" si="73"/>
        <v>0</v>
      </c>
      <c r="BU145">
        <f t="shared" si="74"/>
        <v>-5</v>
      </c>
      <c r="BV145" s="1">
        <f t="shared" si="58"/>
        <v>-0.02</v>
      </c>
      <c r="BW145" s="1">
        <f t="shared" si="59"/>
        <v>0</v>
      </c>
    </row>
    <row r="146" spans="1:75" hidden="1" x14ac:dyDescent="0.25">
      <c r="A146" s="18" t="s">
        <v>6</v>
      </c>
      <c r="B146" s="18">
        <v>2024</v>
      </c>
      <c r="C146" s="18" t="s">
        <v>138</v>
      </c>
      <c r="D146" s="18" t="s">
        <v>245</v>
      </c>
      <c r="E146" s="18">
        <v>50</v>
      </c>
      <c r="F146" s="18" t="s">
        <v>154</v>
      </c>
      <c r="G146" s="18" t="s">
        <v>292</v>
      </c>
      <c r="H146" s="4">
        <f t="shared" si="55"/>
        <v>16</v>
      </c>
      <c r="I146" s="4">
        <v>16.5</v>
      </c>
      <c r="J146" s="4">
        <f t="shared" si="60"/>
        <v>0.5</v>
      </c>
      <c r="K146" s="5">
        <v>0.3</v>
      </c>
      <c r="L146" s="31">
        <f t="shared" si="61"/>
        <v>0.15</v>
      </c>
      <c r="M146" s="31"/>
      <c r="N146" s="31"/>
      <c r="O146" s="31">
        <f t="shared" si="56"/>
        <v>0.15</v>
      </c>
      <c r="P146" s="31">
        <v>7.5</v>
      </c>
      <c r="Q146" s="31">
        <v>20</v>
      </c>
      <c r="R146" s="31">
        <v>0.14000000000000001</v>
      </c>
      <c r="S146" s="31">
        <v>0</v>
      </c>
      <c r="T146" s="65">
        <f t="shared" si="75"/>
        <v>0</v>
      </c>
      <c r="U146" s="31">
        <v>4</v>
      </c>
      <c r="V146" s="31"/>
      <c r="W146" s="31">
        <f t="shared" si="77"/>
        <v>4</v>
      </c>
      <c r="X146" s="31">
        <f t="shared" si="54"/>
        <v>35</v>
      </c>
      <c r="Y146" s="31">
        <f t="shared" si="62"/>
        <v>3.5000000000000003E-2</v>
      </c>
      <c r="Z146" s="18">
        <v>0</v>
      </c>
      <c r="AA146" s="18" t="s">
        <v>330</v>
      </c>
      <c r="AB146" s="18" t="s">
        <v>333</v>
      </c>
      <c r="AC146" s="18" t="s">
        <v>337</v>
      </c>
      <c r="AD146" s="18">
        <v>20</v>
      </c>
      <c r="AE146" s="18">
        <v>7.5</v>
      </c>
      <c r="AF146" s="18" t="s">
        <v>29</v>
      </c>
      <c r="AG146" s="18" t="s">
        <v>27</v>
      </c>
      <c r="AH146" s="18" t="s">
        <v>27</v>
      </c>
      <c r="AI146" s="18" t="s">
        <v>66</v>
      </c>
      <c r="AJ146" s="18" t="s">
        <v>79</v>
      </c>
      <c r="AK146" s="18" t="s">
        <v>96</v>
      </c>
      <c r="AL146" s="18" t="s">
        <v>109</v>
      </c>
      <c r="AM146" s="18" t="s">
        <v>122</v>
      </c>
      <c r="AN146" s="18" t="s">
        <v>198</v>
      </c>
      <c r="AO146" s="18" t="s">
        <v>237</v>
      </c>
      <c r="AP146" s="18"/>
      <c r="AQ146" s="18">
        <f>+VLOOKUP(AI146,Leyenda!$B$30:$E$34,3,FALSE)</f>
        <v>1</v>
      </c>
      <c r="AR146" s="18">
        <f>+VLOOKUP('3. Blasting'!AJ146,Meteorizacion,3,FALSE)</f>
        <v>1</v>
      </c>
      <c r="AS146" s="18">
        <f>+VLOOKUP('3. Blasting'!AK146,Apertura,3,FALSE)</f>
        <v>1</v>
      </c>
      <c r="AT146" s="18">
        <f>+VLOOKUP('3. Blasting'!AL146,Leyenda!$B$55:$D$59,3,FALSE)</f>
        <v>1</v>
      </c>
      <c r="AU146" s="18">
        <f>+VLOOKUP('3. Blasting'!AM146,Relleno,3,FALSE)</f>
        <v>0</v>
      </c>
      <c r="AV146" s="18">
        <f t="shared" si="76"/>
        <v>4</v>
      </c>
      <c r="AW146" s="49">
        <f t="shared" si="63"/>
        <v>0</v>
      </c>
      <c r="AX146" s="49">
        <f>VLOOKUP(AF146,Leyenda!$B$4:$D$10,3,FALSE)</f>
        <v>2</v>
      </c>
      <c r="AY146" s="50">
        <f t="shared" si="57"/>
        <v>3</v>
      </c>
      <c r="AZ146" s="49">
        <f t="shared" si="64"/>
        <v>4</v>
      </c>
      <c r="BA146" s="49">
        <f>VLOOKUP(AN146,Leyenda!$B$70:$D$75,3,FALSE)</f>
        <v>15</v>
      </c>
      <c r="BB146" s="67">
        <f t="shared" si="65"/>
        <v>6</v>
      </c>
      <c r="BC146" s="67">
        <f>VLOOKUP(AF146,Leyenda!$B$4:$E$10,4,FALSE)</f>
        <v>2</v>
      </c>
      <c r="BD146" s="67">
        <f t="shared" si="66"/>
        <v>5</v>
      </c>
      <c r="BE146" s="67">
        <f t="shared" si="67"/>
        <v>0</v>
      </c>
      <c r="BF146" s="67">
        <f>+VLOOKUP('3. Blasting'!AK146,Leyenda!$B$47:$E$51,4,FALSE)</f>
        <v>1</v>
      </c>
      <c r="BG146" s="67">
        <f>+VLOOKUP('3. Blasting'!AL146,Leyenda!$B$55:$E$59,4,FALSE)</f>
        <v>1</v>
      </c>
      <c r="BH146" s="67">
        <f>+VLOOKUP('3. Blasting'!AM146,Leyenda!$B$63:$E$67,3,FALSE)</f>
        <v>0</v>
      </c>
      <c r="BI146" s="67">
        <f>+VLOOKUP('3. Blasting'!AJ146,Leyenda!$B$39:$E$43,4,FALSE)</f>
        <v>1</v>
      </c>
      <c r="BJ146" s="67">
        <f>+VLOOKUP('3. Blasting'!AI146,Leyenda!$B$30:$E$34,4,FALSE)</f>
        <v>1</v>
      </c>
      <c r="BK146" s="67">
        <f>VLOOKUP(AN146,Leyenda!$B$71:$E$75,4,FALSE)</f>
        <v>10</v>
      </c>
      <c r="BL146" s="67">
        <f t="shared" si="68"/>
        <v>21</v>
      </c>
      <c r="BM146" s="18">
        <f t="shared" si="69"/>
        <v>24</v>
      </c>
      <c r="BN146" s="18"/>
      <c r="BO146" s="18"/>
      <c r="BP146">
        <f t="shared" si="70"/>
        <v>10</v>
      </c>
      <c r="BQ146">
        <f t="shared" si="71"/>
        <v>10</v>
      </c>
      <c r="BR146">
        <v>20</v>
      </c>
      <c r="BS146">
        <f t="shared" si="72"/>
        <v>-50</v>
      </c>
      <c r="BT146">
        <f t="shared" si="73"/>
        <v>0</v>
      </c>
      <c r="BU146">
        <f t="shared" si="74"/>
        <v>-5</v>
      </c>
      <c r="BV146" s="1">
        <f t="shared" si="58"/>
        <v>-0.02</v>
      </c>
      <c r="BW146" s="1">
        <f t="shared" si="59"/>
        <v>0</v>
      </c>
    </row>
    <row r="147" spans="1:75" hidden="1" x14ac:dyDescent="0.25">
      <c r="A147" s="18" t="s">
        <v>6</v>
      </c>
      <c r="B147" s="18">
        <v>2024</v>
      </c>
      <c r="C147" s="18" t="s">
        <v>138</v>
      </c>
      <c r="D147" s="18" t="s">
        <v>245</v>
      </c>
      <c r="E147" s="18">
        <v>50</v>
      </c>
      <c r="F147" s="18" t="s">
        <v>154</v>
      </c>
      <c r="G147" s="18" t="s">
        <v>292</v>
      </c>
      <c r="H147" s="4">
        <f t="shared" si="55"/>
        <v>16.5</v>
      </c>
      <c r="I147" s="4">
        <v>17</v>
      </c>
      <c r="J147" s="4">
        <f t="shared" si="60"/>
        <v>0.5</v>
      </c>
      <c r="K147" s="5">
        <v>0.28000000000000003</v>
      </c>
      <c r="L147" s="31">
        <f t="shared" si="61"/>
        <v>0.14000000000000001</v>
      </c>
      <c r="M147" s="31"/>
      <c r="N147" s="31"/>
      <c r="O147" s="31">
        <f t="shared" si="56"/>
        <v>0.14000000000000001</v>
      </c>
      <c r="P147" s="31">
        <v>28</v>
      </c>
      <c r="Q147" s="31">
        <v>5</v>
      </c>
      <c r="R147" s="31">
        <v>0.14000000000000001</v>
      </c>
      <c r="S147" s="31">
        <v>0</v>
      </c>
      <c r="T147" s="65">
        <f t="shared" si="75"/>
        <v>0</v>
      </c>
      <c r="U147" s="31">
        <v>5</v>
      </c>
      <c r="V147" s="31"/>
      <c r="W147" s="31">
        <f t="shared" si="77"/>
        <v>5</v>
      </c>
      <c r="X147" s="31">
        <f t="shared" si="54"/>
        <v>28</v>
      </c>
      <c r="Y147" s="31">
        <f t="shared" si="62"/>
        <v>2.8000000000000001E-2</v>
      </c>
      <c r="Z147" s="18">
        <v>0</v>
      </c>
      <c r="AA147" s="18" t="s">
        <v>330</v>
      </c>
      <c r="AB147" s="18" t="s">
        <v>118</v>
      </c>
      <c r="AC147" s="18" t="s">
        <v>337</v>
      </c>
      <c r="AD147" s="18">
        <v>5</v>
      </c>
      <c r="AE147" s="18">
        <v>28</v>
      </c>
      <c r="AF147" s="18" t="s">
        <v>29</v>
      </c>
      <c r="AG147" s="18" t="s">
        <v>27</v>
      </c>
      <c r="AH147" s="18" t="s">
        <v>27</v>
      </c>
      <c r="AI147" s="18" t="s">
        <v>66</v>
      </c>
      <c r="AJ147" s="18" t="s">
        <v>79</v>
      </c>
      <c r="AK147" s="18" t="s">
        <v>96</v>
      </c>
      <c r="AL147" s="18" t="s">
        <v>109</v>
      </c>
      <c r="AM147" s="18" t="s">
        <v>122</v>
      </c>
      <c r="AN147" s="18" t="s">
        <v>198</v>
      </c>
      <c r="AO147" s="18" t="s">
        <v>237</v>
      </c>
      <c r="AP147" s="18"/>
      <c r="AQ147" s="18">
        <f>+VLOOKUP(AI147,Leyenda!$B$30:$E$34,3,FALSE)</f>
        <v>1</v>
      </c>
      <c r="AR147" s="18">
        <f>+VLOOKUP('3. Blasting'!AJ147,Meteorizacion,3,FALSE)</f>
        <v>1</v>
      </c>
      <c r="AS147" s="18">
        <f>+VLOOKUP('3. Blasting'!AK147,Apertura,3,FALSE)</f>
        <v>1</v>
      </c>
      <c r="AT147" s="18">
        <f>+VLOOKUP('3. Blasting'!AL147,Leyenda!$B$55:$D$59,3,FALSE)</f>
        <v>1</v>
      </c>
      <c r="AU147" s="18">
        <f>+VLOOKUP('3. Blasting'!AM147,Relleno,3,FALSE)</f>
        <v>0</v>
      </c>
      <c r="AV147" s="18">
        <f t="shared" si="76"/>
        <v>4</v>
      </c>
      <c r="AW147" s="49">
        <f t="shared" si="63"/>
        <v>0</v>
      </c>
      <c r="AX147" s="49">
        <f>VLOOKUP(AF147,Leyenda!$B$4:$D$10,3,FALSE)</f>
        <v>2</v>
      </c>
      <c r="AY147" s="50">
        <f t="shared" si="57"/>
        <v>5</v>
      </c>
      <c r="AZ147" s="49">
        <f t="shared" si="64"/>
        <v>4</v>
      </c>
      <c r="BA147" s="49">
        <f>VLOOKUP(AN147,Leyenda!$B$70:$D$75,3,FALSE)</f>
        <v>15</v>
      </c>
      <c r="BB147" s="67">
        <f t="shared" si="65"/>
        <v>6</v>
      </c>
      <c r="BC147" s="67">
        <f>VLOOKUP(AF147,Leyenda!$B$4:$E$10,4,FALSE)</f>
        <v>2</v>
      </c>
      <c r="BD147" s="67">
        <f t="shared" si="66"/>
        <v>5</v>
      </c>
      <c r="BE147" s="67">
        <f t="shared" si="67"/>
        <v>0</v>
      </c>
      <c r="BF147" s="67">
        <f>+VLOOKUP('3. Blasting'!AK147,Leyenda!$B$47:$E$51,4,FALSE)</f>
        <v>1</v>
      </c>
      <c r="BG147" s="67">
        <f>+VLOOKUP('3. Blasting'!AL147,Leyenda!$B$55:$E$59,4,FALSE)</f>
        <v>1</v>
      </c>
      <c r="BH147" s="67">
        <f>+VLOOKUP('3. Blasting'!AM147,Leyenda!$B$63:$E$67,3,FALSE)</f>
        <v>0</v>
      </c>
      <c r="BI147" s="67">
        <f>+VLOOKUP('3. Blasting'!AJ147,Leyenda!$B$39:$E$43,4,FALSE)</f>
        <v>1</v>
      </c>
      <c r="BJ147" s="67">
        <f>+VLOOKUP('3. Blasting'!AI147,Leyenda!$B$30:$E$34,4,FALSE)</f>
        <v>1</v>
      </c>
      <c r="BK147" s="67">
        <f>VLOOKUP(AN147,Leyenda!$B$71:$E$75,4,FALSE)</f>
        <v>10</v>
      </c>
      <c r="BL147" s="67">
        <f t="shared" si="68"/>
        <v>21</v>
      </c>
      <c r="BM147" s="18">
        <f t="shared" si="69"/>
        <v>26</v>
      </c>
      <c r="BN147" s="18"/>
      <c r="BO147" s="18"/>
      <c r="BP147">
        <f t="shared" si="70"/>
        <v>10</v>
      </c>
      <c r="BQ147">
        <f t="shared" si="71"/>
        <v>10</v>
      </c>
      <c r="BR147">
        <v>20</v>
      </c>
      <c r="BS147">
        <f t="shared" si="72"/>
        <v>-50</v>
      </c>
      <c r="BT147">
        <f t="shared" si="73"/>
        <v>0</v>
      </c>
      <c r="BU147">
        <f t="shared" si="74"/>
        <v>-5</v>
      </c>
      <c r="BV147" s="1">
        <f t="shared" si="58"/>
        <v>-0.02</v>
      </c>
      <c r="BW147" s="1">
        <f t="shared" si="59"/>
        <v>0</v>
      </c>
    </row>
    <row r="148" spans="1:75" hidden="1" x14ac:dyDescent="0.25">
      <c r="A148" s="18" t="s">
        <v>6</v>
      </c>
      <c r="B148" s="18">
        <v>2024</v>
      </c>
      <c r="C148" s="18" t="s">
        <v>138</v>
      </c>
      <c r="D148" s="18" t="s">
        <v>245</v>
      </c>
      <c r="E148" s="18">
        <v>50</v>
      </c>
      <c r="F148" s="18" t="s">
        <v>154</v>
      </c>
      <c r="G148" s="18" t="s">
        <v>292</v>
      </c>
      <c r="H148" s="4">
        <f t="shared" si="55"/>
        <v>17</v>
      </c>
      <c r="I148" s="4">
        <v>17.5</v>
      </c>
      <c r="J148" s="4">
        <f t="shared" si="60"/>
        <v>0.5</v>
      </c>
      <c r="K148" s="5">
        <v>0.22</v>
      </c>
      <c r="L148" s="31">
        <f t="shared" si="61"/>
        <v>0.11</v>
      </c>
      <c r="M148" s="31"/>
      <c r="N148" s="31"/>
      <c r="O148" s="31">
        <f t="shared" si="56"/>
        <v>0.11</v>
      </c>
      <c r="P148" s="31">
        <v>5.5</v>
      </c>
      <c r="Q148" s="31">
        <v>20</v>
      </c>
      <c r="R148" s="31">
        <v>0.11</v>
      </c>
      <c r="S148" s="31">
        <v>0</v>
      </c>
      <c r="T148" s="65">
        <f t="shared" si="75"/>
        <v>0</v>
      </c>
      <c r="U148" s="31">
        <v>3</v>
      </c>
      <c r="V148" s="31"/>
      <c r="W148" s="31">
        <f t="shared" si="77"/>
        <v>3</v>
      </c>
      <c r="X148" s="31">
        <f t="shared" si="54"/>
        <v>36.666666666666664</v>
      </c>
      <c r="Y148" s="31">
        <f t="shared" si="62"/>
        <v>3.6666666666666667E-2</v>
      </c>
      <c r="Z148" s="18">
        <v>0</v>
      </c>
      <c r="AA148" s="18" t="s">
        <v>330</v>
      </c>
      <c r="AB148" s="18" t="s">
        <v>333</v>
      </c>
      <c r="AC148" s="18" t="s">
        <v>337</v>
      </c>
      <c r="AD148" s="18">
        <v>20</v>
      </c>
      <c r="AE148" s="18">
        <v>5.5</v>
      </c>
      <c r="AF148" s="18" t="s">
        <v>29</v>
      </c>
      <c r="AG148" s="18" t="s">
        <v>27</v>
      </c>
      <c r="AH148" s="18" t="s">
        <v>27</v>
      </c>
      <c r="AI148" s="18" t="s">
        <v>66</v>
      </c>
      <c r="AJ148" s="18" t="s">
        <v>79</v>
      </c>
      <c r="AK148" s="18" t="s">
        <v>96</v>
      </c>
      <c r="AL148" s="18" t="s">
        <v>109</v>
      </c>
      <c r="AM148" s="18" t="s">
        <v>122</v>
      </c>
      <c r="AN148" s="18" t="s">
        <v>198</v>
      </c>
      <c r="AO148" s="18" t="s">
        <v>237</v>
      </c>
      <c r="AP148" s="18"/>
      <c r="AQ148" s="18">
        <f>+VLOOKUP(AI148,Leyenda!$B$30:$E$34,3,FALSE)</f>
        <v>1</v>
      </c>
      <c r="AR148" s="18">
        <f>+VLOOKUP('3. Blasting'!AJ148,Meteorizacion,3,FALSE)</f>
        <v>1</v>
      </c>
      <c r="AS148" s="18">
        <f>+VLOOKUP('3. Blasting'!AK148,Apertura,3,FALSE)</f>
        <v>1</v>
      </c>
      <c r="AT148" s="18">
        <f>+VLOOKUP('3. Blasting'!AL148,Leyenda!$B$55:$D$59,3,FALSE)</f>
        <v>1</v>
      </c>
      <c r="AU148" s="18">
        <f>+VLOOKUP('3. Blasting'!AM148,Relleno,3,FALSE)</f>
        <v>0</v>
      </c>
      <c r="AV148" s="18">
        <f t="shared" si="76"/>
        <v>4</v>
      </c>
      <c r="AW148" s="49">
        <f t="shared" si="63"/>
        <v>0</v>
      </c>
      <c r="AX148" s="49">
        <f>VLOOKUP(AF148,Leyenda!$B$4:$D$10,3,FALSE)</f>
        <v>2</v>
      </c>
      <c r="AY148" s="50">
        <f t="shared" si="57"/>
        <v>3</v>
      </c>
      <c r="AZ148" s="49">
        <f t="shared" si="64"/>
        <v>4</v>
      </c>
      <c r="BA148" s="49">
        <f>VLOOKUP(AN148,Leyenda!$B$70:$D$75,3,FALSE)</f>
        <v>15</v>
      </c>
      <c r="BB148" s="67">
        <f t="shared" si="65"/>
        <v>6</v>
      </c>
      <c r="BC148" s="67">
        <f>VLOOKUP(AF148,Leyenda!$B$4:$E$10,4,FALSE)</f>
        <v>2</v>
      </c>
      <c r="BD148" s="67">
        <f t="shared" si="66"/>
        <v>5</v>
      </c>
      <c r="BE148" s="67">
        <f t="shared" si="67"/>
        <v>0</v>
      </c>
      <c r="BF148" s="67">
        <f>+VLOOKUP('3. Blasting'!AK148,Leyenda!$B$47:$E$51,4,FALSE)</f>
        <v>1</v>
      </c>
      <c r="BG148" s="67">
        <f>+VLOOKUP('3. Blasting'!AL148,Leyenda!$B$55:$E$59,4,FALSE)</f>
        <v>1</v>
      </c>
      <c r="BH148" s="67">
        <f>+VLOOKUP('3. Blasting'!AM148,Leyenda!$B$63:$E$67,3,FALSE)</f>
        <v>0</v>
      </c>
      <c r="BI148" s="67">
        <f>+VLOOKUP('3. Blasting'!AJ148,Leyenda!$B$39:$E$43,4,FALSE)</f>
        <v>1</v>
      </c>
      <c r="BJ148" s="67">
        <f>+VLOOKUP('3. Blasting'!AI148,Leyenda!$B$30:$E$34,4,FALSE)</f>
        <v>1</v>
      </c>
      <c r="BK148" s="67">
        <f>VLOOKUP(AN148,Leyenda!$B$71:$E$75,4,FALSE)</f>
        <v>10</v>
      </c>
      <c r="BL148" s="67">
        <f t="shared" si="68"/>
        <v>21</v>
      </c>
      <c r="BM148" s="18">
        <f t="shared" si="69"/>
        <v>24</v>
      </c>
      <c r="BN148" s="18"/>
      <c r="BO148" s="18"/>
      <c r="BP148">
        <f t="shared" si="70"/>
        <v>10</v>
      </c>
      <c r="BQ148">
        <f t="shared" si="71"/>
        <v>10</v>
      </c>
      <c r="BR148">
        <v>20</v>
      </c>
      <c r="BS148">
        <f t="shared" si="72"/>
        <v>-50</v>
      </c>
      <c r="BT148">
        <f t="shared" si="73"/>
        <v>0</v>
      </c>
      <c r="BU148">
        <f t="shared" si="74"/>
        <v>-5</v>
      </c>
      <c r="BV148" s="1">
        <f t="shared" si="58"/>
        <v>-0.02</v>
      </c>
      <c r="BW148" s="1">
        <f t="shared" si="59"/>
        <v>0</v>
      </c>
    </row>
    <row r="149" spans="1:75" hidden="1" x14ac:dyDescent="0.25">
      <c r="A149" s="18" t="s">
        <v>6</v>
      </c>
      <c r="B149" s="18">
        <v>2024</v>
      </c>
      <c r="C149" s="18" t="s">
        <v>138</v>
      </c>
      <c r="D149" s="18" t="s">
        <v>245</v>
      </c>
      <c r="E149" s="18">
        <v>50</v>
      </c>
      <c r="F149" s="18" t="s">
        <v>154</v>
      </c>
      <c r="G149" s="18" t="s">
        <v>292</v>
      </c>
      <c r="H149" s="4">
        <f t="shared" si="55"/>
        <v>17.5</v>
      </c>
      <c r="I149" s="4">
        <v>18</v>
      </c>
      <c r="J149" s="4">
        <f t="shared" si="60"/>
        <v>0.5</v>
      </c>
      <c r="K149" s="5">
        <v>0.22</v>
      </c>
      <c r="L149" s="31">
        <f t="shared" si="61"/>
        <v>0.11</v>
      </c>
      <c r="M149" s="31"/>
      <c r="N149" s="31"/>
      <c r="O149" s="31">
        <f t="shared" si="56"/>
        <v>0.11</v>
      </c>
      <c r="P149" s="31">
        <v>22</v>
      </c>
      <c r="Q149" s="31">
        <v>5</v>
      </c>
      <c r="R149" s="31">
        <v>0.11</v>
      </c>
      <c r="S149" s="31">
        <v>0</v>
      </c>
      <c r="T149" s="65">
        <f t="shared" si="75"/>
        <v>0</v>
      </c>
      <c r="U149" s="31">
        <v>5</v>
      </c>
      <c r="V149" s="31"/>
      <c r="W149" s="31">
        <f t="shared" si="77"/>
        <v>5</v>
      </c>
      <c r="X149" s="31">
        <f t="shared" si="54"/>
        <v>22</v>
      </c>
      <c r="Y149" s="31">
        <f t="shared" si="62"/>
        <v>2.1999999999999999E-2</v>
      </c>
      <c r="Z149" s="18">
        <v>0</v>
      </c>
      <c r="AA149" s="18" t="s">
        <v>330</v>
      </c>
      <c r="AB149" s="18" t="s">
        <v>118</v>
      </c>
      <c r="AC149" s="18" t="s">
        <v>337</v>
      </c>
      <c r="AD149" s="18">
        <v>5</v>
      </c>
      <c r="AE149" s="18">
        <v>22</v>
      </c>
      <c r="AF149" s="18" t="s">
        <v>29</v>
      </c>
      <c r="AG149" s="18" t="s">
        <v>27</v>
      </c>
      <c r="AH149" s="18" t="s">
        <v>27</v>
      </c>
      <c r="AI149" s="18" t="s">
        <v>66</v>
      </c>
      <c r="AJ149" s="18" t="s">
        <v>79</v>
      </c>
      <c r="AK149" s="18" t="s">
        <v>96</v>
      </c>
      <c r="AL149" s="18" t="s">
        <v>109</v>
      </c>
      <c r="AM149" s="18" t="s">
        <v>122</v>
      </c>
      <c r="AN149" s="18" t="s">
        <v>198</v>
      </c>
      <c r="AO149" s="18" t="s">
        <v>237</v>
      </c>
      <c r="AP149" s="18"/>
      <c r="AQ149" s="18">
        <f>+VLOOKUP(AI149,Leyenda!$B$30:$E$34,3,FALSE)</f>
        <v>1</v>
      </c>
      <c r="AR149" s="18">
        <f>+VLOOKUP('3. Blasting'!AJ149,Meteorizacion,3,FALSE)</f>
        <v>1</v>
      </c>
      <c r="AS149" s="18">
        <f>+VLOOKUP('3. Blasting'!AK149,Apertura,3,FALSE)</f>
        <v>1</v>
      </c>
      <c r="AT149" s="18">
        <f>+VLOOKUP('3. Blasting'!AL149,Leyenda!$B$55:$D$59,3,FALSE)</f>
        <v>1</v>
      </c>
      <c r="AU149" s="18">
        <f>+VLOOKUP('3. Blasting'!AM149,Relleno,3,FALSE)</f>
        <v>0</v>
      </c>
      <c r="AV149" s="18">
        <f t="shared" si="76"/>
        <v>4</v>
      </c>
      <c r="AW149" s="49">
        <f t="shared" si="63"/>
        <v>0</v>
      </c>
      <c r="AX149" s="49">
        <f>VLOOKUP(AF149,Leyenda!$B$4:$D$10,3,FALSE)</f>
        <v>2</v>
      </c>
      <c r="AY149" s="50">
        <f t="shared" si="57"/>
        <v>4</v>
      </c>
      <c r="AZ149" s="49">
        <f t="shared" si="64"/>
        <v>4</v>
      </c>
      <c r="BA149" s="49">
        <f>VLOOKUP(AN149,Leyenda!$B$70:$D$75,3,FALSE)</f>
        <v>15</v>
      </c>
      <c r="BB149" s="67">
        <f t="shared" si="65"/>
        <v>6</v>
      </c>
      <c r="BC149" s="67">
        <f>VLOOKUP(AF149,Leyenda!$B$4:$E$10,4,FALSE)</f>
        <v>2</v>
      </c>
      <c r="BD149" s="67">
        <f t="shared" si="66"/>
        <v>5</v>
      </c>
      <c r="BE149" s="67">
        <f t="shared" si="67"/>
        <v>0</v>
      </c>
      <c r="BF149" s="67">
        <f>+VLOOKUP('3. Blasting'!AK149,Leyenda!$B$47:$E$51,4,FALSE)</f>
        <v>1</v>
      </c>
      <c r="BG149" s="67">
        <f>+VLOOKUP('3. Blasting'!AL149,Leyenda!$B$55:$E$59,4,FALSE)</f>
        <v>1</v>
      </c>
      <c r="BH149" s="67">
        <f>+VLOOKUP('3. Blasting'!AM149,Leyenda!$B$63:$E$67,3,FALSE)</f>
        <v>0</v>
      </c>
      <c r="BI149" s="67">
        <f>+VLOOKUP('3. Blasting'!AJ149,Leyenda!$B$39:$E$43,4,FALSE)</f>
        <v>1</v>
      </c>
      <c r="BJ149" s="67">
        <f>+VLOOKUP('3. Blasting'!AI149,Leyenda!$B$30:$E$34,4,FALSE)</f>
        <v>1</v>
      </c>
      <c r="BK149" s="67">
        <f>VLOOKUP(AN149,Leyenda!$B$71:$E$75,4,FALSE)</f>
        <v>10</v>
      </c>
      <c r="BL149" s="67">
        <f t="shared" si="68"/>
        <v>21</v>
      </c>
      <c r="BM149" s="18">
        <f t="shared" si="69"/>
        <v>25</v>
      </c>
      <c r="BN149" s="18"/>
      <c r="BO149" s="18"/>
      <c r="BP149">
        <f t="shared" si="70"/>
        <v>10</v>
      </c>
      <c r="BQ149">
        <f t="shared" si="71"/>
        <v>10</v>
      </c>
      <c r="BR149">
        <v>20</v>
      </c>
      <c r="BS149">
        <f t="shared" si="72"/>
        <v>-50</v>
      </c>
      <c r="BT149">
        <f t="shared" si="73"/>
        <v>0</v>
      </c>
      <c r="BU149">
        <f t="shared" si="74"/>
        <v>-5</v>
      </c>
      <c r="BV149" s="1">
        <f t="shared" si="58"/>
        <v>-0.02</v>
      </c>
      <c r="BW149" s="1">
        <f t="shared" si="59"/>
        <v>0</v>
      </c>
    </row>
    <row r="150" spans="1:75" hidden="1" x14ac:dyDescent="0.25">
      <c r="A150" s="18" t="s">
        <v>6</v>
      </c>
      <c r="B150" s="18">
        <v>2024</v>
      </c>
      <c r="C150" s="18" t="s">
        <v>138</v>
      </c>
      <c r="D150" s="18" t="s">
        <v>245</v>
      </c>
      <c r="E150" s="18">
        <v>50</v>
      </c>
      <c r="F150" s="18" t="s">
        <v>154</v>
      </c>
      <c r="G150" s="18"/>
      <c r="H150" s="4">
        <f t="shared" si="55"/>
        <v>18</v>
      </c>
      <c r="I150" s="4">
        <v>18.5</v>
      </c>
      <c r="J150" s="4">
        <f t="shared" si="60"/>
        <v>0.5</v>
      </c>
      <c r="K150" s="5">
        <v>0</v>
      </c>
      <c r="L150" s="31">
        <f t="shared" si="61"/>
        <v>0</v>
      </c>
      <c r="M150" s="31"/>
      <c r="N150" s="31"/>
      <c r="O150" s="31">
        <f t="shared" si="56"/>
        <v>0</v>
      </c>
      <c r="P150" s="31" t="s">
        <v>348</v>
      </c>
      <c r="Q150" s="31">
        <v>20</v>
      </c>
      <c r="R150" s="31">
        <v>0</v>
      </c>
      <c r="S150" s="31">
        <v>0</v>
      </c>
      <c r="T150" s="65">
        <f t="shared" si="75"/>
        <v>0</v>
      </c>
      <c r="U150" s="31">
        <v>10</v>
      </c>
      <c r="V150" s="31"/>
      <c r="W150" s="31">
        <f t="shared" si="77"/>
        <v>10</v>
      </c>
      <c r="X150" s="31">
        <v>10</v>
      </c>
      <c r="Y150" s="31">
        <f t="shared" si="62"/>
        <v>0.01</v>
      </c>
      <c r="Z150" s="18">
        <v>0</v>
      </c>
      <c r="AA150" s="18" t="s">
        <v>330</v>
      </c>
      <c r="AB150" s="18" t="s">
        <v>333</v>
      </c>
      <c r="AC150" s="18" t="s">
        <v>337</v>
      </c>
      <c r="AD150" s="18">
        <v>20</v>
      </c>
      <c r="AE150" s="18" t="s">
        <v>348</v>
      </c>
      <c r="AF150" s="18" t="s">
        <v>29</v>
      </c>
      <c r="AG150" s="18" t="s">
        <v>27</v>
      </c>
      <c r="AH150" s="18" t="s">
        <v>27</v>
      </c>
      <c r="AI150" s="18" t="s">
        <v>66</v>
      </c>
      <c r="AJ150" s="18" t="s">
        <v>79</v>
      </c>
      <c r="AK150" s="18" t="s">
        <v>96</v>
      </c>
      <c r="AL150" s="18" t="s">
        <v>109</v>
      </c>
      <c r="AM150" s="18" t="s">
        <v>122</v>
      </c>
      <c r="AN150" s="18" t="s">
        <v>198</v>
      </c>
      <c r="AO150" s="18"/>
      <c r="AP150" s="18"/>
      <c r="AQ150" s="18">
        <f>+VLOOKUP(AI150,Leyenda!$B$30:$E$34,3,FALSE)</f>
        <v>1</v>
      </c>
      <c r="AR150" s="18">
        <f>+VLOOKUP('3. Blasting'!AJ150,Meteorizacion,3,FALSE)</f>
        <v>1</v>
      </c>
      <c r="AS150" s="18">
        <f>+VLOOKUP('3. Blasting'!AK150,Apertura,3,FALSE)</f>
        <v>1</v>
      </c>
      <c r="AT150" s="18">
        <f>+VLOOKUP('3. Blasting'!AL150,Leyenda!$B$55:$D$59,3,FALSE)</f>
        <v>1</v>
      </c>
      <c r="AU150" s="18">
        <f>+VLOOKUP('3. Blasting'!AM150,Relleno,3,FALSE)</f>
        <v>0</v>
      </c>
      <c r="AV150" s="18">
        <f t="shared" si="76"/>
        <v>4</v>
      </c>
      <c r="AW150" s="49">
        <f t="shared" si="63"/>
        <v>0</v>
      </c>
      <c r="AX150" s="49">
        <f>VLOOKUP(AF150,Leyenda!$B$4:$D$10,3,FALSE)</f>
        <v>2</v>
      </c>
      <c r="AY150" s="50" t="e">
        <f t="shared" si="57"/>
        <v>#VALUE!</v>
      </c>
      <c r="AZ150" s="49">
        <f t="shared" si="64"/>
        <v>4</v>
      </c>
      <c r="BA150" s="49">
        <f>VLOOKUP(AN150,Leyenda!$B$70:$D$75,3,FALSE)</f>
        <v>15</v>
      </c>
      <c r="BB150" s="67">
        <f t="shared" si="65"/>
        <v>6</v>
      </c>
      <c r="BC150" s="67">
        <f>VLOOKUP(AF150,Leyenda!$B$4:$E$10,4,FALSE)</f>
        <v>2</v>
      </c>
      <c r="BD150" s="67">
        <f t="shared" si="66"/>
        <v>5</v>
      </c>
      <c r="BE150" s="67">
        <f t="shared" si="67"/>
        <v>0</v>
      </c>
      <c r="BF150" s="67">
        <f>+VLOOKUP('3. Blasting'!AK150,Leyenda!$B$47:$E$51,4,FALSE)</f>
        <v>1</v>
      </c>
      <c r="BG150" s="67">
        <f>+VLOOKUP('3. Blasting'!AL150,Leyenda!$B$55:$E$59,4,FALSE)</f>
        <v>1</v>
      </c>
      <c r="BH150" s="67">
        <f>+VLOOKUP('3. Blasting'!AM150,Leyenda!$B$63:$E$67,3,FALSE)</f>
        <v>0</v>
      </c>
      <c r="BI150" s="67">
        <f>+VLOOKUP('3. Blasting'!AJ150,Leyenda!$B$39:$E$43,4,FALSE)</f>
        <v>1</v>
      </c>
      <c r="BJ150" s="67">
        <f>+VLOOKUP('3. Blasting'!AI150,Leyenda!$B$30:$E$34,4,FALSE)</f>
        <v>1</v>
      </c>
      <c r="BK150" s="67">
        <f>VLOOKUP(AN150,Leyenda!$B$71:$E$75,4,FALSE)</f>
        <v>10</v>
      </c>
      <c r="BL150" s="67">
        <f t="shared" si="68"/>
        <v>21</v>
      </c>
      <c r="BM150" s="18" t="e">
        <f t="shared" si="69"/>
        <v>#VALUE!</v>
      </c>
      <c r="BN150" s="18"/>
      <c r="BO150" s="18"/>
      <c r="BP150">
        <f t="shared" si="70"/>
        <v>10</v>
      </c>
      <c r="BQ150">
        <f t="shared" si="71"/>
        <v>10</v>
      </c>
      <c r="BR150">
        <v>20</v>
      </c>
      <c r="BS150">
        <f t="shared" si="72"/>
        <v>-50</v>
      </c>
      <c r="BT150">
        <f t="shared" si="73"/>
        <v>0</v>
      </c>
      <c r="BU150">
        <f t="shared" si="74"/>
        <v>-5</v>
      </c>
      <c r="BV150" s="1">
        <f t="shared" si="58"/>
        <v>-0.02</v>
      </c>
      <c r="BW150" s="1">
        <f t="shared" si="59"/>
        <v>0</v>
      </c>
    </row>
    <row r="151" spans="1:75" hidden="1" x14ac:dyDescent="0.25">
      <c r="A151" s="18" t="s">
        <v>6</v>
      </c>
      <c r="B151" s="18">
        <v>2024</v>
      </c>
      <c r="C151" s="18" t="s">
        <v>138</v>
      </c>
      <c r="D151" s="18" t="s">
        <v>245</v>
      </c>
      <c r="E151" s="18">
        <v>50</v>
      </c>
      <c r="F151" s="18" t="s">
        <v>154</v>
      </c>
      <c r="G151" s="18" t="s">
        <v>293</v>
      </c>
      <c r="H151" s="4">
        <f t="shared" si="55"/>
        <v>18.5</v>
      </c>
      <c r="I151" s="4">
        <v>19</v>
      </c>
      <c r="J151" s="4">
        <f t="shared" si="60"/>
        <v>0.5</v>
      </c>
      <c r="K151" s="5">
        <v>0.14000000000000001</v>
      </c>
      <c r="L151" s="31">
        <f t="shared" si="61"/>
        <v>7.0000000000000007E-2</v>
      </c>
      <c r="M151" s="31"/>
      <c r="N151" s="31"/>
      <c r="O151" s="31">
        <f t="shared" si="56"/>
        <v>7.0000000000000007E-2</v>
      </c>
      <c r="P151" s="31">
        <v>3.5</v>
      </c>
      <c r="Q151" s="31">
        <v>20</v>
      </c>
      <c r="R151" s="31">
        <v>0.1</v>
      </c>
      <c r="S151" s="31">
        <v>0</v>
      </c>
      <c r="T151" s="65">
        <f t="shared" si="75"/>
        <v>0</v>
      </c>
      <c r="U151" s="31">
        <v>10</v>
      </c>
      <c r="V151" s="31"/>
      <c r="W151" s="31">
        <f t="shared" si="77"/>
        <v>10</v>
      </c>
      <c r="X151" s="31">
        <f t="shared" si="54"/>
        <v>10</v>
      </c>
      <c r="Y151" s="31">
        <f t="shared" si="62"/>
        <v>0.01</v>
      </c>
      <c r="Z151" s="18">
        <v>0</v>
      </c>
      <c r="AA151" s="18" t="s">
        <v>330</v>
      </c>
      <c r="AB151" s="18" t="s">
        <v>333</v>
      </c>
      <c r="AC151" s="18" t="s">
        <v>337</v>
      </c>
      <c r="AD151" s="18">
        <v>20</v>
      </c>
      <c r="AE151" s="18">
        <v>3.5</v>
      </c>
      <c r="AF151" s="18" t="s">
        <v>29</v>
      </c>
      <c r="AG151" s="18" t="s">
        <v>239</v>
      </c>
      <c r="AH151" s="18" t="s">
        <v>239</v>
      </c>
      <c r="AI151" s="18" t="s">
        <v>69</v>
      </c>
      <c r="AJ151" s="18" t="s">
        <v>81</v>
      </c>
      <c r="AK151" s="18" t="s">
        <v>100</v>
      </c>
      <c r="AL151" s="18" t="s">
        <v>109</v>
      </c>
      <c r="AM151" s="18" t="s">
        <v>122</v>
      </c>
      <c r="AN151" s="18" t="s">
        <v>198</v>
      </c>
      <c r="AO151" s="18" t="s">
        <v>238</v>
      </c>
      <c r="AP151" s="18"/>
      <c r="AQ151" s="18">
        <f>+VLOOKUP(AI151,Leyenda!$B$30:$E$34,3,FALSE)</f>
        <v>0</v>
      </c>
      <c r="AR151" s="18">
        <f>+VLOOKUP('3. Blasting'!AJ151,Meteorizacion,3,FALSE)</f>
        <v>0</v>
      </c>
      <c r="AS151" s="18">
        <f>+VLOOKUP('3. Blasting'!AK151,Apertura,3,FALSE)</f>
        <v>0</v>
      </c>
      <c r="AT151" s="18">
        <f>+VLOOKUP('3. Blasting'!AL151,Leyenda!$B$55:$D$59,3,FALSE)</f>
        <v>1</v>
      </c>
      <c r="AU151" s="18">
        <f>+VLOOKUP('3. Blasting'!AM151,Relleno,3,FALSE)</f>
        <v>0</v>
      </c>
      <c r="AV151" s="18">
        <f t="shared" si="76"/>
        <v>1</v>
      </c>
      <c r="AW151" s="49">
        <f t="shared" si="63"/>
        <v>0</v>
      </c>
      <c r="AX151" s="49">
        <f>VLOOKUP(AF151,Leyenda!$B$4:$D$10,3,FALSE)</f>
        <v>2</v>
      </c>
      <c r="AY151" s="50">
        <f t="shared" si="57"/>
        <v>2</v>
      </c>
      <c r="AZ151" s="49">
        <f t="shared" si="64"/>
        <v>1</v>
      </c>
      <c r="BA151" s="49">
        <f>VLOOKUP(AN151,Leyenda!$B$70:$D$75,3,FALSE)</f>
        <v>15</v>
      </c>
      <c r="BB151" s="67">
        <f t="shared" si="65"/>
        <v>1.5</v>
      </c>
      <c r="BC151" s="67">
        <f>VLOOKUP(AF151,Leyenda!$B$4:$E$10,4,FALSE)</f>
        <v>2</v>
      </c>
      <c r="BD151" s="67">
        <f t="shared" si="66"/>
        <v>5</v>
      </c>
      <c r="BE151" s="67">
        <f t="shared" si="67"/>
        <v>0</v>
      </c>
      <c r="BF151" s="67">
        <f>+VLOOKUP('3. Blasting'!AK151,Leyenda!$B$47:$E$51,4,FALSE)</f>
        <v>0</v>
      </c>
      <c r="BG151" s="67">
        <f>+VLOOKUP('3. Blasting'!AL151,Leyenda!$B$55:$E$59,4,FALSE)</f>
        <v>1</v>
      </c>
      <c r="BH151" s="67">
        <f>+VLOOKUP('3. Blasting'!AM151,Leyenda!$B$63:$E$67,3,FALSE)</f>
        <v>0</v>
      </c>
      <c r="BI151" s="67">
        <f>+VLOOKUP('3. Blasting'!AJ151,Leyenda!$B$39:$E$43,4,FALSE)</f>
        <v>0</v>
      </c>
      <c r="BJ151" s="67">
        <f>+VLOOKUP('3. Blasting'!AI151,Leyenda!$B$30:$E$34,4,FALSE)</f>
        <v>0</v>
      </c>
      <c r="BK151" s="67">
        <f>VLOOKUP(AN151,Leyenda!$B$71:$E$75,4,FALSE)</f>
        <v>10</v>
      </c>
      <c r="BL151" s="67">
        <f t="shared" si="68"/>
        <v>18</v>
      </c>
      <c r="BM151" s="18">
        <f t="shared" si="69"/>
        <v>20</v>
      </c>
      <c r="BN151" s="18"/>
      <c r="BO151" s="18"/>
      <c r="BP151">
        <f t="shared" si="70"/>
        <v>10</v>
      </c>
      <c r="BQ151">
        <f t="shared" si="71"/>
        <v>10</v>
      </c>
      <c r="BR151">
        <v>20</v>
      </c>
      <c r="BS151">
        <f t="shared" si="72"/>
        <v>-50</v>
      </c>
      <c r="BT151">
        <f t="shared" si="73"/>
        <v>0</v>
      </c>
      <c r="BU151">
        <f t="shared" si="74"/>
        <v>-5</v>
      </c>
      <c r="BV151" s="1">
        <f t="shared" si="58"/>
        <v>-0.02</v>
      </c>
      <c r="BW151" s="1">
        <f t="shared" si="59"/>
        <v>0</v>
      </c>
    </row>
    <row r="152" spans="1:75" hidden="1" x14ac:dyDescent="0.25">
      <c r="A152" s="18" t="s">
        <v>6</v>
      </c>
      <c r="B152" s="18">
        <v>2024</v>
      </c>
      <c r="C152" s="18" t="s">
        <v>138</v>
      </c>
      <c r="D152" s="18" t="s">
        <v>245</v>
      </c>
      <c r="E152" s="18">
        <v>50</v>
      </c>
      <c r="F152" s="18" t="s">
        <v>154</v>
      </c>
      <c r="G152" s="18" t="s">
        <v>293</v>
      </c>
      <c r="H152" s="4">
        <f t="shared" si="55"/>
        <v>19</v>
      </c>
      <c r="I152" s="4">
        <v>19.5</v>
      </c>
      <c r="J152" s="4">
        <f t="shared" si="60"/>
        <v>0.5</v>
      </c>
      <c r="K152" s="5">
        <v>0.38</v>
      </c>
      <c r="L152" s="31">
        <f t="shared" si="61"/>
        <v>0.19</v>
      </c>
      <c r="M152" s="31"/>
      <c r="N152" s="31"/>
      <c r="O152" s="31">
        <f t="shared" si="56"/>
        <v>0.19</v>
      </c>
      <c r="P152" s="31">
        <v>9.5</v>
      </c>
      <c r="Q152" s="31">
        <v>20</v>
      </c>
      <c r="R152" s="31">
        <v>0.18</v>
      </c>
      <c r="S152" s="31">
        <v>0</v>
      </c>
      <c r="T152" s="65">
        <f t="shared" si="75"/>
        <v>0</v>
      </c>
      <c r="U152" s="31">
        <v>5</v>
      </c>
      <c r="V152" s="31"/>
      <c r="W152" s="31">
        <f t="shared" si="77"/>
        <v>5</v>
      </c>
      <c r="X152" s="31">
        <f t="shared" si="54"/>
        <v>36</v>
      </c>
      <c r="Y152" s="31">
        <f t="shared" si="62"/>
        <v>3.5999999999999997E-2</v>
      </c>
      <c r="Z152" s="18">
        <v>0</v>
      </c>
      <c r="AA152" s="18" t="s">
        <v>330</v>
      </c>
      <c r="AB152" s="18" t="s">
        <v>333</v>
      </c>
      <c r="AC152" s="18" t="s">
        <v>337</v>
      </c>
      <c r="AD152" s="18">
        <v>20</v>
      </c>
      <c r="AE152" s="18">
        <v>9.5</v>
      </c>
      <c r="AF152" s="18" t="s">
        <v>29</v>
      </c>
      <c r="AG152" s="18" t="s">
        <v>239</v>
      </c>
      <c r="AH152" s="18" t="s">
        <v>239</v>
      </c>
      <c r="AI152" s="18" t="s">
        <v>69</v>
      </c>
      <c r="AJ152" s="18" t="s">
        <v>81</v>
      </c>
      <c r="AK152" s="18" t="s">
        <v>100</v>
      </c>
      <c r="AL152" s="18" t="s">
        <v>109</v>
      </c>
      <c r="AM152" s="18" t="s">
        <v>122</v>
      </c>
      <c r="AN152" s="18" t="s">
        <v>198</v>
      </c>
      <c r="AO152" s="18" t="s">
        <v>238</v>
      </c>
      <c r="AP152" s="18"/>
      <c r="AQ152" s="18">
        <f>+VLOOKUP(AI152,Leyenda!$B$30:$E$34,3,FALSE)</f>
        <v>0</v>
      </c>
      <c r="AR152" s="18">
        <f>+VLOOKUP('3. Blasting'!AJ152,Meteorizacion,3,FALSE)</f>
        <v>0</v>
      </c>
      <c r="AS152" s="18">
        <f>+VLOOKUP('3. Blasting'!AK152,Apertura,3,FALSE)</f>
        <v>0</v>
      </c>
      <c r="AT152" s="18">
        <f>+VLOOKUP('3. Blasting'!AL152,Leyenda!$B$55:$D$59,3,FALSE)</f>
        <v>1</v>
      </c>
      <c r="AU152" s="18">
        <f>+VLOOKUP('3. Blasting'!AM152,Relleno,3,FALSE)</f>
        <v>0</v>
      </c>
      <c r="AV152" s="18">
        <f t="shared" si="76"/>
        <v>1</v>
      </c>
      <c r="AW152" s="49">
        <f t="shared" si="63"/>
        <v>0</v>
      </c>
      <c r="AX152" s="49">
        <f>VLOOKUP(AF152,Leyenda!$B$4:$D$10,3,FALSE)</f>
        <v>2</v>
      </c>
      <c r="AY152" s="50">
        <f t="shared" si="57"/>
        <v>3</v>
      </c>
      <c r="AZ152" s="49">
        <f t="shared" si="64"/>
        <v>1</v>
      </c>
      <c r="BA152" s="49">
        <f>VLOOKUP(AN152,Leyenda!$B$70:$D$75,3,FALSE)</f>
        <v>15</v>
      </c>
      <c r="BB152" s="67">
        <f t="shared" si="65"/>
        <v>1.5</v>
      </c>
      <c r="BC152" s="67">
        <f>VLOOKUP(AF152,Leyenda!$B$4:$E$10,4,FALSE)</f>
        <v>2</v>
      </c>
      <c r="BD152" s="67">
        <f t="shared" si="66"/>
        <v>5</v>
      </c>
      <c r="BE152" s="67">
        <f t="shared" si="67"/>
        <v>0</v>
      </c>
      <c r="BF152" s="67">
        <f>+VLOOKUP('3. Blasting'!AK152,Leyenda!$B$47:$E$51,4,FALSE)</f>
        <v>0</v>
      </c>
      <c r="BG152" s="67">
        <f>+VLOOKUP('3. Blasting'!AL152,Leyenda!$B$55:$E$59,4,FALSE)</f>
        <v>1</v>
      </c>
      <c r="BH152" s="67">
        <f>+VLOOKUP('3. Blasting'!AM152,Leyenda!$B$63:$E$67,3,FALSE)</f>
        <v>0</v>
      </c>
      <c r="BI152" s="67">
        <f>+VLOOKUP('3. Blasting'!AJ152,Leyenda!$B$39:$E$43,4,FALSE)</f>
        <v>0</v>
      </c>
      <c r="BJ152" s="67">
        <f>+VLOOKUP('3. Blasting'!AI152,Leyenda!$B$30:$E$34,4,FALSE)</f>
        <v>0</v>
      </c>
      <c r="BK152" s="67">
        <f>VLOOKUP(AN152,Leyenda!$B$71:$E$75,4,FALSE)</f>
        <v>10</v>
      </c>
      <c r="BL152" s="67">
        <f t="shared" si="68"/>
        <v>18</v>
      </c>
      <c r="BM152" s="18">
        <f t="shared" si="69"/>
        <v>21</v>
      </c>
      <c r="BN152" s="18"/>
      <c r="BO152" s="18"/>
      <c r="BP152">
        <f t="shared" si="70"/>
        <v>10</v>
      </c>
      <c r="BQ152">
        <f t="shared" si="71"/>
        <v>10</v>
      </c>
      <c r="BR152">
        <v>20</v>
      </c>
      <c r="BS152">
        <f t="shared" si="72"/>
        <v>-50</v>
      </c>
      <c r="BT152">
        <f t="shared" si="73"/>
        <v>0</v>
      </c>
      <c r="BU152">
        <f t="shared" si="74"/>
        <v>-5</v>
      </c>
      <c r="BV152" s="1">
        <f t="shared" si="58"/>
        <v>-0.02</v>
      </c>
      <c r="BW152" s="1">
        <f t="shared" si="59"/>
        <v>0</v>
      </c>
    </row>
    <row r="153" spans="1:75" hidden="1" x14ac:dyDescent="0.25">
      <c r="A153" s="18" t="s">
        <v>6</v>
      </c>
      <c r="B153" s="18">
        <v>2024</v>
      </c>
      <c r="C153" s="18" t="s">
        <v>138</v>
      </c>
      <c r="D153" s="18" t="s">
        <v>245</v>
      </c>
      <c r="E153" s="18">
        <v>50</v>
      </c>
      <c r="F153" s="18" t="s">
        <v>154</v>
      </c>
      <c r="G153" s="18" t="s">
        <v>293</v>
      </c>
      <c r="H153" s="4">
        <f t="shared" si="55"/>
        <v>19.5</v>
      </c>
      <c r="I153" s="4">
        <v>20</v>
      </c>
      <c r="J153" s="4">
        <f t="shared" si="60"/>
        <v>0.5</v>
      </c>
      <c r="K153" s="5">
        <v>0.62</v>
      </c>
      <c r="L153" s="31">
        <f t="shared" si="61"/>
        <v>0.31</v>
      </c>
      <c r="M153" s="31"/>
      <c r="N153" s="31"/>
      <c r="O153" s="31">
        <f t="shared" si="56"/>
        <v>0.31</v>
      </c>
      <c r="P153" s="31">
        <v>15.5</v>
      </c>
      <c r="Q153" s="31">
        <v>20</v>
      </c>
      <c r="R153" s="31">
        <v>0.31</v>
      </c>
      <c r="S153" s="31">
        <v>0</v>
      </c>
      <c r="T153" s="65">
        <f t="shared" si="75"/>
        <v>0</v>
      </c>
      <c r="U153" s="31">
        <v>6</v>
      </c>
      <c r="V153" s="31"/>
      <c r="W153" s="31">
        <f t="shared" si="77"/>
        <v>6</v>
      </c>
      <c r="X153" s="31">
        <f t="shared" si="54"/>
        <v>51.666666666666664</v>
      </c>
      <c r="Y153" s="31">
        <f t="shared" si="62"/>
        <v>5.1666666666666666E-2</v>
      </c>
      <c r="Z153" s="18">
        <v>0</v>
      </c>
      <c r="AA153" s="18" t="s">
        <v>330</v>
      </c>
      <c r="AB153" s="18" t="s">
        <v>333</v>
      </c>
      <c r="AC153" s="18" t="s">
        <v>337</v>
      </c>
      <c r="AD153" s="18">
        <v>20</v>
      </c>
      <c r="AE153" s="18">
        <v>15.5</v>
      </c>
      <c r="AF153" s="18" t="s">
        <v>29</v>
      </c>
      <c r="AG153" s="18" t="s">
        <v>239</v>
      </c>
      <c r="AH153" s="18" t="s">
        <v>239</v>
      </c>
      <c r="AI153" s="18" t="s">
        <v>69</v>
      </c>
      <c r="AJ153" s="18" t="s">
        <v>81</v>
      </c>
      <c r="AK153" s="18" t="s">
        <v>100</v>
      </c>
      <c r="AL153" s="18" t="s">
        <v>109</v>
      </c>
      <c r="AM153" s="18" t="s">
        <v>122</v>
      </c>
      <c r="AN153" s="18" t="s">
        <v>198</v>
      </c>
      <c r="AO153" s="18" t="s">
        <v>238</v>
      </c>
      <c r="AP153" s="18"/>
      <c r="AQ153" s="18">
        <f>+VLOOKUP(AI153,Leyenda!$B$30:$E$34,3,FALSE)</f>
        <v>0</v>
      </c>
      <c r="AR153" s="18">
        <f>+VLOOKUP('3. Blasting'!AJ153,Meteorizacion,3,FALSE)</f>
        <v>0</v>
      </c>
      <c r="AS153" s="18">
        <f>+VLOOKUP('3. Blasting'!AK153,Apertura,3,FALSE)</f>
        <v>0</v>
      </c>
      <c r="AT153" s="18">
        <f>+VLOOKUP('3. Blasting'!AL153,Leyenda!$B$55:$D$59,3,FALSE)</f>
        <v>1</v>
      </c>
      <c r="AU153" s="18">
        <f>+VLOOKUP('3. Blasting'!AM153,Relleno,3,FALSE)</f>
        <v>0</v>
      </c>
      <c r="AV153" s="18">
        <f t="shared" si="76"/>
        <v>1</v>
      </c>
      <c r="AW153" s="49">
        <f t="shared" si="63"/>
        <v>0</v>
      </c>
      <c r="AX153" s="49">
        <f>VLOOKUP(AF153,Leyenda!$B$4:$D$10,3,FALSE)</f>
        <v>2</v>
      </c>
      <c r="AY153" s="50">
        <f t="shared" si="57"/>
        <v>4</v>
      </c>
      <c r="AZ153" s="49">
        <f t="shared" si="64"/>
        <v>1</v>
      </c>
      <c r="BA153" s="49">
        <f>VLOOKUP(AN153,Leyenda!$B$70:$D$75,3,FALSE)</f>
        <v>15</v>
      </c>
      <c r="BB153" s="67">
        <f t="shared" si="65"/>
        <v>1.5</v>
      </c>
      <c r="BC153" s="67">
        <f>VLOOKUP(AF153,Leyenda!$B$4:$E$10,4,FALSE)</f>
        <v>2</v>
      </c>
      <c r="BD153" s="67">
        <f t="shared" si="66"/>
        <v>4</v>
      </c>
      <c r="BE153" s="67">
        <f t="shared" si="67"/>
        <v>0</v>
      </c>
      <c r="BF153" s="67">
        <f>+VLOOKUP('3. Blasting'!AK153,Leyenda!$B$47:$E$51,4,FALSE)</f>
        <v>0</v>
      </c>
      <c r="BG153" s="67">
        <f>+VLOOKUP('3. Blasting'!AL153,Leyenda!$B$55:$E$59,4,FALSE)</f>
        <v>1</v>
      </c>
      <c r="BH153" s="67">
        <f>+VLOOKUP('3. Blasting'!AM153,Leyenda!$B$63:$E$67,3,FALSE)</f>
        <v>0</v>
      </c>
      <c r="BI153" s="67">
        <f>+VLOOKUP('3. Blasting'!AJ153,Leyenda!$B$39:$E$43,4,FALSE)</f>
        <v>0</v>
      </c>
      <c r="BJ153" s="67">
        <f>+VLOOKUP('3. Blasting'!AI153,Leyenda!$B$30:$E$34,4,FALSE)</f>
        <v>0</v>
      </c>
      <c r="BK153" s="67">
        <f>VLOOKUP(AN153,Leyenda!$B$71:$E$75,4,FALSE)</f>
        <v>10</v>
      </c>
      <c r="BL153" s="67">
        <f t="shared" si="68"/>
        <v>17</v>
      </c>
      <c r="BM153" s="18">
        <f t="shared" si="69"/>
        <v>22</v>
      </c>
      <c r="BN153" s="18"/>
      <c r="BO153" s="18"/>
      <c r="BP153">
        <f t="shared" si="70"/>
        <v>10</v>
      </c>
      <c r="BQ153">
        <f t="shared" si="71"/>
        <v>10</v>
      </c>
      <c r="BR153">
        <v>20</v>
      </c>
      <c r="BS153">
        <f t="shared" si="72"/>
        <v>-50</v>
      </c>
      <c r="BT153">
        <f t="shared" si="73"/>
        <v>0</v>
      </c>
      <c r="BU153">
        <f t="shared" si="74"/>
        <v>-5</v>
      </c>
      <c r="BV153" s="1">
        <f t="shared" si="58"/>
        <v>-0.02</v>
      </c>
      <c r="BW153" s="1">
        <f t="shared" si="59"/>
        <v>0</v>
      </c>
    </row>
    <row r="154" spans="1:75" hidden="1" x14ac:dyDescent="0.25">
      <c r="A154" s="18" t="s">
        <v>6</v>
      </c>
      <c r="B154" s="18">
        <v>2024</v>
      </c>
      <c r="C154" s="18" t="s">
        <v>138</v>
      </c>
      <c r="D154" s="18" t="s">
        <v>245</v>
      </c>
      <c r="E154" s="18">
        <v>50</v>
      </c>
      <c r="F154" s="18" t="s">
        <v>154</v>
      </c>
      <c r="G154" s="18" t="s">
        <v>293</v>
      </c>
      <c r="H154" s="4">
        <f t="shared" si="55"/>
        <v>20</v>
      </c>
      <c r="I154" s="4">
        <v>20.5</v>
      </c>
      <c r="J154" s="4">
        <f t="shared" si="60"/>
        <v>0.5</v>
      </c>
      <c r="K154" s="5">
        <v>0.5</v>
      </c>
      <c r="L154" s="31">
        <f t="shared" si="61"/>
        <v>0.25</v>
      </c>
      <c r="M154" s="31"/>
      <c r="N154" s="31"/>
      <c r="O154" s="31">
        <f t="shared" si="56"/>
        <v>0.25</v>
      </c>
      <c r="P154" s="31">
        <v>12.5</v>
      </c>
      <c r="Q154" s="31">
        <v>20</v>
      </c>
      <c r="R154" s="31">
        <v>0.24</v>
      </c>
      <c r="S154" s="31">
        <v>0</v>
      </c>
      <c r="T154" s="65">
        <f t="shared" si="75"/>
        <v>0</v>
      </c>
      <c r="U154" s="31">
        <v>4</v>
      </c>
      <c r="V154" s="31"/>
      <c r="W154" s="31">
        <f t="shared" si="77"/>
        <v>4</v>
      </c>
      <c r="X154" s="31">
        <f t="shared" si="54"/>
        <v>60</v>
      </c>
      <c r="Y154" s="31">
        <f t="shared" si="62"/>
        <v>0.06</v>
      </c>
      <c r="Z154" s="18">
        <v>0</v>
      </c>
      <c r="AA154" s="18" t="s">
        <v>330</v>
      </c>
      <c r="AB154" s="18" t="s">
        <v>333</v>
      </c>
      <c r="AC154" s="18" t="s">
        <v>337</v>
      </c>
      <c r="AD154" s="18">
        <v>20</v>
      </c>
      <c r="AE154" s="18">
        <v>12.5</v>
      </c>
      <c r="AF154" s="18" t="s">
        <v>29</v>
      </c>
      <c r="AG154" s="18" t="s">
        <v>239</v>
      </c>
      <c r="AH154" s="18" t="s">
        <v>239</v>
      </c>
      <c r="AI154" s="18" t="s">
        <v>69</v>
      </c>
      <c r="AJ154" s="18" t="s">
        <v>81</v>
      </c>
      <c r="AK154" s="18" t="s">
        <v>100</v>
      </c>
      <c r="AL154" s="18" t="s">
        <v>109</v>
      </c>
      <c r="AM154" s="18" t="s">
        <v>122</v>
      </c>
      <c r="AN154" s="18" t="s">
        <v>198</v>
      </c>
      <c r="AO154" s="18" t="s">
        <v>238</v>
      </c>
      <c r="AP154" s="18"/>
      <c r="AQ154" s="18">
        <f>+VLOOKUP(AI154,Leyenda!$B$30:$E$34,3,FALSE)</f>
        <v>0</v>
      </c>
      <c r="AR154" s="18">
        <f>+VLOOKUP('3. Blasting'!AJ154,Meteorizacion,3,FALSE)</f>
        <v>0</v>
      </c>
      <c r="AS154" s="18">
        <f>+VLOOKUP('3. Blasting'!AK154,Apertura,3,FALSE)</f>
        <v>0</v>
      </c>
      <c r="AT154" s="18">
        <f>+VLOOKUP('3. Blasting'!AL154,Leyenda!$B$55:$D$59,3,FALSE)</f>
        <v>1</v>
      </c>
      <c r="AU154" s="18">
        <f>+VLOOKUP('3. Blasting'!AM154,Relleno,3,FALSE)</f>
        <v>0</v>
      </c>
      <c r="AV154" s="18">
        <f t="shared" si="76"/>
        <v>1</v>
      </c>
      <c r="AW154" s="49">
        <f t="shared" si="63"/>
        <v>0</v>
      </c>
      <c r="AX154" s="49">
        <f>VLOOKUP(AF154,Leyenda!$B$4:$D$10,3,FALSE)</f>
        <v>2</v>
      </c>
      <c r="AY154" s="50">
        <f t="shared" si="57"/>
        <v>4</v>
      </c>
      <c r="AZ154" s="49">
        <f t="shared" si="64"/>
        <v>1</v>
      </c>
      <c r="BA154" s="49">
        <f>VLOOKUP(AN154,Leyenda!$B$70:$D$75,3,FALSE)</f>
        <v>15</v>
      </c>
      <c r="BB154" s="67">
        <f t="shared" si="65"/>
        <v>1.5</v>
      </c>
      <c r="BC154" s="67">
        <f>VLOOKUP(AF154,Leyenda!$B$4:$E$10,4,FALSE)</f>
        <v>2</v>
      </c>
      <c r="BD154" s="67">
        <f t="shared" si="66"/>
        <v>5</v>
      </c>
      <c r="BE154" s="67">
        <f t="shared" si="67"/>
        <v>0</v>
      </c>
      <c r="BF154" s="67">
        <f>+VLOOKUP('3. Blasting'!AK154,Leyenda!$B$47:$E$51,4,FALSE)</f>
        <v>0</v>
      </c>
      <c r="BG154" s="67">
        <f>+VLOOKUP('3. Blasting'!AL154,Leyenda!$B$55:$E$59,4,FALSE)</f>
        <v>1</v>
      </c>
      <c r="BH154" s="67">
        <f>+VLOOKUP('3. Blasting'!AM154,Leyenda!$B$63:$E$67,3,FALSE)</f>
        <v>0</v>
      </c>
      <c r="BI154" s="67">
        <f>+VLOOKUP('3. Blasting'!AJ154,Leyenda!$B$39:$E$43,4,FALSE)</f>
        <v>0</v>
      </c>
      <c r="BJ154" s="67">
        <f>+VLOOKUP('3. Blasting'!AI154,Leyenda!$B$30:$E$34,4,FALSE)</f>
        <v>0</v>
      </c>
      <c r="BK154" s="67">
        <f>VLOOKUP(AN154,Leyenda!$B$71:$E$75,4,FALSE)</f>
        <v>10</v>
      </c>
      <c r="BL154" s="67">
        <f t="shared" si="68"/>
        <v>18</v>
      </c>
      <c r="BM154" s="18">
        <f t="shared" si="69"/>
        <v>22</v>
      </c>
      <c r="BN154" s="18"/>
      <c r="BO154" s="18"/>
      <c r="BP154">
        <f t="shared" si="70"/>
        <v>10</v>
      </c>
      <c r="BQ154">
        <f t="shared" si="71"/>
        <v>10</v>
      </c>
      <c r="BR154">
        <v>20</v>
      </c>
      <c r="BS154">
        <f t="shared" si="72"/>
        <v>-50</v>
      </c>
      <c r="BT154">
        <f t="shared" si="73"/>
        <v>0</v>
      </c>
      <c r="BU154">
        <f t="shared" si="74"/>
        <v>-5</v>
      </c>
      <c r="BV154" s="1">
        <f t="shared" si="58"/>
        <v>-0.02</v>
      </c>
      <c r="BW154" s="1">
        <f t="shared" si="59"/>
        <v>0</v>
      </c>
    </row>
    <row r="155" spans="1:75" hidden="1" x14ac:dyDescent="0.25">
      <c r="A155" s="18" t="s">
        <v>6</v>
      </c>
      <c r="B155" s="18">
        <v>2024</v>
      </c>
      <c r="C155" s="18" t="s">
        <v>138</v>
      </c>
      <c r="D155" s="18" t="s">
        <v>245</v>
      </c>
      <c r="E155" s="18">
        <v>50</v>
      </c>
      <c r="F155" s="18" t="s">
        <v>154</v>
      </c>
      <c r="G155" s="18" t="s">
        <v>293</v>
      </c>
      <c r="H155" s="4">
        <f t="shared" si="55"/>
        <v>20.5</v>
      </c>
      <c r="I155" s="4">
        <v>21</v>
      </c>
      <c r="J155" s="4">
        <f t="shared" si="60"/>
        <v>0.5</v>
      </c>
      <c r="K155" s="5">
        <v>0.48</v>
      </c>
      <c r="L155" s="31">
        <f t="shared" si="61"/>
        <v>0.24</v>
      </c>
      <c r="M155" s="31"/>
      <c r="N155" s="31"/>
      <c r="O155" s="31">
        <f t="shared" si="56"/>
        <v>0.24</v>
      </c>
      <c r="P155" s="31">
        <v>12</v>
      </c>
      <c r="Q155" s="31">
        <v>20</v>
      </c>
      <c r="R155" s="31">
        <v>0.22</v>
      </c>
      <c r="S155" s="31">
        <v>0</v>
      </c>
      <c r="T155" s="65">
        <f t="shared" si="75"/>
        <v>0</v>
      </c>
      <c r="U155" s="31">
        <v>6</v>
      </c>
      <c r="V155" s="31"/>
      <c r="W155" s="31">
        <f t="shared" si="77"/>
        <v>6</v>
      </c>
      <c r="X155" s="31">
        <f t="shared" si="54"/>
        <v>36.666666666666664</v>
      </c>
      <c r="Y155" s="31">
        <f t="shared" si="62"/>
        <v>3.6666666666666667E-2</v>
      </c>
      <c r="Z155" s="18">
        <v>0</v>
      </c>
      <c r="AA155" s="18" t="s">
        <v>330</v>
      </c>
      <c r="AB155" s="18" t="s">
        <v>333</v>
      </c>
      <c r="AC155" s="18" t="s">
        <v>337</v>
      </c>
      <c r="AD155" s="18">
        <v>20</v>
      </c>
      <c r="AE155" s="18">
        <v>12</v>
      </c>
      <c r="AF155" s="18" t="s">
        <v>29</v>
      </c>
      <c r="AG155" s="18" t="s">
        <v>239</v>
      </c>
      <c r="AH155" s="18" t="s">
        <v>239</v>
      </c>
      <c r="AI155" s="18" t="s">
        <v>69</v>
      </c>
      <c r="AJ155" s="18" t="s">
        <v>81</v>
      </c>
      <c r="AK155" s="18" t="s">
        <v>100</v>
      </c>
      <c r="AL155" s="18" t="s">
        <v>109</v>
      </c>
      <c r="AM155" s="18" t="s">
        <v>122</v>
      </c>
      <c r="AN155" s="18" t="s">
        <v>198</v>
      </c>
      <c r="AO155" s="18" t="s">
        <v>238</v>
      </c>
      <c r="AP155" s="18"/>
      <c r="AQ155" s="18">
        <f>+VLOOKUP(AI155,Leyenda!$B$30:$E$34,3,FALSE)</f>
        <v>0</v>
      </c>
      <c r="AR155" s="18">
        <f>+VLOOKUP('3. Blasting'!AJ155,Meteorizacion,3,FALSE)</f>
        <v>0</v>
      </c>
      <c r="AS155" s="18">
        <f>+VLOOKUP('3. Blasting'!AK155,Apertura,3,FALSE)</f>
        <v>0</v>
      </c>
      <c r="AT155" s="18">
        <f>+VLOOKUP('3. Blasting'!AL155,Leyenda!$B$55:$D$59,3,FALSE)</f>
        <v>1</v>
      </c>
      <c r="AU155" s="18">
        <f>+VLOOKUP('3. Blasting'!AM155,Relleno,3,FALSE)</f>
        <v>0</v>
      </c>
      <c r="AV155" s="18">
        <f t="shared" si="76"/>
        <v>1</v>
      </c>
      <c r="AW155" s="49">
        <f t="shared" si="63"/>
        <v>0</v>
      </c>
      <c r="AX155" s="49">
        <f>VLOOKUP(AF155,Leyenda!$B$4:$D$10,3,FALSE)</f>
        <v>2</v>
      </c>
      <c r="AY155" s="50">
        <f t="shared" si="57"/>
        <v>4</v>
      </c>
      <c r="AZ155" s="49">
        <f t="shared" si="64"/>
        <v>1</v>
      </c>
      <c r="BA155" s="49">
        <f>VLOOKUP(AN155,Leyenda!$B$70:$D$75,3,FALSE)</f>
        <v>15</v>
      </c>
      <c r="BB155" s="67">
        <f t="shared" si="65"/>
        <v>1.5</v>
      </c>
      <c r="BC155" s="67">
        <f>VLOOKUP(AF155,Leyenda!$B$4:$E$10,4,FALSE)</f>
        <v>2</v>
      </c>
      <c r="BD155" s="67">
        <f t="shared" si="66"/>
        <v>5</v>
      </c>
      <c r="BE155" s="67">
        <f t="shared" si="67"/>
        <v>0</v>
      </c>
      <c r="BF155" s="67">
        <f>+VLOOKUP('3. Blasting'!AK155,Leyenda!$B$47:$E$51,4,FALSE)</f>
        <v>0</v>
      </c>
      <c r="BG155" s="67">
        <f>+VLOOKUP('3. Blasting'!AL155,Leyenda!$B$55:$E$59,4,FALSE)</f>
        <v>1</v>
      </c>
      <c r="BH155" s="67">
        <f>+VLOOKUP('3. Blasting'!AM155,Leyenda!$B$63:$E$67,3,FALSE)</f>
        <v>0</v>
      </c>
      <c r="BI155" s="67">
        <f>+VLOOKUP('3. Blasting'!AJ155,Leyenda!$B$39:$E$43,4,FALSE)</f>
        <v>0</v>
      </c>
      <c r="BJ155" s="67">
        <f>+VLOOKUP('3. Blasting'!AI155,Leyenda!$B$30:$E$34,4,FALSE)</f>
        <v>0</v>
      </c>
      <c r="BK155" s="67">
        <f>VLOOKUP(AN155,Leyenda!$B$71:$E$75,4,FALSE)</f>
        <v>10</v>
      </c>
      <c r="BL155" s="67">
        <f t="shared" si="68"/>
        <v>18</v>
      </c>
      <c r="BM155" s="18">
        <f t="shared" si="69"/>
        <v>22</v>
      </c>
      <c r="BN155" s="18"/>
      <c r="BO155" s="18"/>
      <c r="BP155">
        <f t="shared" si="70"/>
        <v>10</v>
      </c>
      <c r="BQ155">
        <f t="shared" si="71"/>
        <v>10</v>
      </c>
      <c r="BR155">
        <v>20</v>
      </c>
      <c r="BS155">
        <f t="shared" si="72"/>
        <v>-50</v>
      </c>
      <c r="BT155">
        <f t="shared" si="73"/>
        <v>0</v>
      </c>
      <c r="BU155">
        <f t="shared" si="74"/>
        <v>-5</v>
      </c>
      <c r="BV155" s="1">
        <f t="shared" si="58"/>
        <v>-0.02</v>
      </c>
      <c r="BW155" s="1">
        <f t="shared" si="59"/>
        <v>0</v>
      </c>
    </row>
    <row r="156" spans="1:75" hidden="1" x14ac:dyDescent="0.25">
      <c r="A156" s="18" t="s">
        <v>6</v>
      </c>
      <c r="B156" s="18">
        <v>2024</v>
      </c>
      <c r="C156" s="18" t="s">
        <v>138</v>
      </c>
      <c r="D156" s="18" t="s">
        <v>245</v>
      </c>
      <c r="E156" s="18">
        <v>50</v>
      </c>
      <c r="F156" s="18" t="s">
        <v>154</v>
      </c>
      <c r="G156" s="18" t="s">
        <v>293</v>
      </c>
      <c r="H156" s="4">
        <f t="shared" si="55"/>
        <v>21</v>
      </c>
      <c r="I156" s="4">
        <v>21.5</v>
      </c>
      <c r="J156" s="4">
        <f t="shared" si="60"/>
        <v>0.5</v>
      </c>
      <c r="K156" s="5">
        <v>0.5</v>
      </c>
      <c r="L156" s="31">
        <f t="shared" si="61"/>
        <v>0.25</v>
      </c>
      <c r="M156" s="31"/>
      <c r="N156" s="31"/>
      <c r="O156" s="31">
        <f t="shared" si="56"/>
        <v>0.25</v>
      </c>
      <c r="P156" s="31">
        <v>12.5</v>
      </c>
      <c r="Q156" s="31">
        <v>20</v>
      </c>
      <c r="R156" s="84">
        <v>0.23</v>
      </c>
      <c r="S156" s="31">
        <v>0</v>
      </c>
      <c r="T156" s="65">
        <f t="shared" si="75"/>
        <v>0</v>
      </c>
      <c r="U156" s="31">
        <v>5</v>
      </c>
      <c r="V156" s="31"/>
      <c r="W156" s="31">
        <f t="shared" si="77"/>
        <v>5</v>
      </c>
      <c r="X156" s="31">
        <f t="shared" si="54"/>
        <v>46</v>
      </c>
      <c r="Y156" s="31">
        <f t="shared" si="62"/>
        <v>4.5999999999999999E-2</v>
      </c>
      <c r="Z156" s="18">
        <v>0</v>
      </c>
      <c r="AA156" s="18" t="s">
        <v>330</v>
      </c>
      <c r="AB156" s="18" t="s">
        <v>333</v>
      </c>
      <c r="AC156" s="18" t="s">
        <v>337</v>
      </c>
      <c r="AD156" s="18">
        <v>20</v>
      </c>
      <c r="AE156" s="18">
        <v>12.5</v>
      </c>
      <c r="AF156" s="18" t="s">
        <v>29</v>
      </c>
      <c r="AG156" s="18" t="s">
        <v>239</v>
      </c>
      <c r="AH156" s="18" t="s">
        <v>239</v>
      </c>
      <c r="AI156" s="18" t="s">
        <v>69</v>
      </c>
      <c r="AJ156" s="18" t="s">
        <v>81</v>
      </c>
      <c r="AK156" s="18" t="s">
        <v>100</v>
      </c>
      <c r="AL156" s="18" t="s">
        <v>109</v>
      </c>
      <c r="AM156" s="18" t="s">
        <v>122</v>
      </c>
      <c r="AN156" s="18" t="s">
        <v>198</v>
      </c>
      <c r="AO156" s="18" t="s">
        <v>238</v>
      </c>
      <c r="AP156" s="18"/>
      <c r="AQ156" s="18">
        <f>+VLOOKUP(AI156,Leyenda!$B$30:$E$34,3,FALSE)</f>
        <v>0</v>
      </c>
      <c r="AR156" s="18">
        <f>+VLOOKUP('3. Blasting'!AJ156,Meteorizacion,3,FALSE)</f>
        <v>0</v>
      </c>
      <c r="AS156" s="18">
        <f>+VLOOKUP('3. Blasting'!AK156,Apertura,3,FALSE)</f>
        <v>0</v>
      </c>
      <c r="AT156" s="18">
        <f>+VLOOKUP('3. Blasting'!AL156,Leyenda!$B$55:$D$59,3,FALSE)</f>
        <v>1</v>
      </c>
      <c r="AU156" s="18">
        <f>+VLOOKUP('3. Blasting'!AM156,Relleno,3,FALSE)</f>
        <v>0</v>
      </c>
      <c r="AV156" s="18">
        <f t="shared" si="76"/>
        <v>1</v>
      </c>
      <c r="AW156" s="49">
        <f t="shared" si="63"/>
        <v>0</v>
      </c>
      <c r="AX156" s="49">
        <f>VLOOKUP(AF156,Leyenda!$B$4:$D$10,3,FALSE)</f>
        <v>2</v>
      </c>
      <c r="AY156" s="50">
        <f t="shared" si="57"/>
        <v>4</v>
      </c>
      <c r="AZ156" s="49">
        <f t="shared" si="64"/>
        <v>1</v>
      </c>
      <c r="BA156" s="49">
        <f>VLOOKUP(AN156,Leyenda!$B$70:$D$75,3,FALSE)</f>
        <v>15</v>
      </c>
      <c r="BB156" s="67">
        <f t="shared" si="65"/>
        <v>1.5</v>
      </c>
      <c r="BC156" s="67">
        <f>VLOOKUP(AF156,Leyenda!$B$4:$E$10,4,FALSE)</f>
        <v>2</v>
      </c>
      <c r="BD156" s="67">
        <f t="shared" si="66"/>
        <v>5</v>
      </c>
      <c r="BE156" s="67">
        <f t="shared" si="67"/>
        <v>0</v>
      </c>
      <c r="BF156" s="67">
        <f>+VLOOKUP('3. Blasting'!AK156,Leyenda!$B$47:$E$51,4,FALSE)</f>
        <v>0</v>
      </c>
      <c r="BG156" s="67">
        <f>+VLOOKUP('3. Blasting'!AL156,Leyenda!$B$55:$E$59,4,FALSE)</f>
        <v>1</v>
      </c>
      <c r="BH156" s="67">
        <f>+VLOOKUP('3. Blasting'!AM156,Leyenda!$B$63:$E$67,3,FALSE)</f>
        <v>0</v>
      </c>
      <c r="BI156" s="67">
        <f>+VLOOKUP('3. Blasting'!AJ156,Leyenda!$B$39:$E$43,4,FALSE)</f>
        <v>0</v>
      </c>
      <c r="BJ156" s="67">
        <f>+VLOOKUP('3. Blasting'!AI156,Leyenda!$B$30:$E$34,4,FALSE)</f>
        <v>0</v>
      </c>
      <c r="BK156" s="67">
        <f>VLOOKUP(AN156,Leyenda!$B$71:$E$75,4,FALSE)</f>
        <v>10</v>
      </c>
      <c r="BL156" s="67">
        <f t="shared" si="68"/>
        <v>18</v>
      </c>
      <c r="BM156" s="18">
        <f t="shared" si="69"/>
        <v>22</v>
      </c>
      <c r="BN156" s="18"/>
      <c r="BO156" s="18"/>
      <c r="BP156">
        <f t="shared" si="70"/>
        <v>10</v>
      </c>
      <c r="BQ156">
        <f t="shared" si="71"/>
        <v>10</v>
      </c>
      <c r="BR156">
        <v>20</v>
      </c>
      <c r="BS156">
        <f t="shared" si="72"/>
        <v>-50</v>
      </c>
      <c r="BT156">
        <f t="shared" si="73"/>
        <v>0</v>
      </c>
      <c r="BU156">
        <f t="shared" si="74"/>
        <v>-5</v>
      </c>
      <c r="BV156" s="1">
        <f t="shared" si="58"/>
        <v>-0.02</v>
      </c>
      <c r="BW156" s="1">
        <f t="shared" si="59"/>
        <v>0</v>
      </c>
    </row>
    <row r="157" spans="1:75" hidden="1" x14ac:dyDescent="0.25">
      <c r="A157" s="18" t="s">
        <v>6</v>
      </c>
      <c r="B157" s="18">
        <v>2024</v>
      </c>
      <c r="C157" s="18" t="s">
        <v>138</v>
      </c>
      <c r="D157" s="18" t="s">
        <v>245</v>
      </c>
      <c r="E157" s="18">
        <v>50</v>
      </c>
      <c r="F157" s="18" t="s">
        <v>154</v>
      </c>
      <c r="G157" s="18" t="s">
        <v>293</v>
      </c>
      <c r="H157" s="4">
        <f t="shared" si="55"/>
        <v>21.5</v>
      </c>
      <c r="I157" s="4">
        <v>22</v>
      </c>
      <c r="J157" s="4">
        <f t="shared" si="60"/>
        <v>0.5</v>
      </c>
      <c r="K157" s="5">
        <v>0.42</v>
      </c>
      <c r="L157" s="31">
        <f t="shared" si="61"/>
        <v>0.21</v>
      </c>
      <c r="M157" s="31"/>
      <c r="N157" s="31"/>
      <c r="O157" s="31">
        <f t="shared" si="56"/>
        <v>0.21</v>
      </c>
      <c r="P157" s="31">
        <v>10.5</v>
      </c>
      <c r="Q157" s="31">
        <v>20</v>
      </c>
      <c r="R157" s="31">
        <v>0.17</v>
      </c>
      <c r="S157" s="31">
        <v>0</v>
      </c>
      <c r="T157" s="65">
        <f t="shared" si="75"/>
        <v>0</v>
      </c>
      <c r="U157" s="31">
        <v>5</v>
      </c>
      <c r="V157" s="31"/>
      <c r="W157" s="31">
        <f t="shared" si="77"/>
        <v>5</v>
      </c>
      <c r="X157" s="31">
        <f t="shared" si="54"/>
        <v>34</v>
      </c>
      <c r="Y157" s="31">
        <f t="shared" si="62"/>
        <v>3.4000000000000002E-2</v>
      </c>
      <c r="Z157" s="18">
        <v>0</v>
      </c>
      <c r="AA157" s="18" t="s">
        <v>330</v>
      </c>
      <c r="AB157" s="18" t="s">
        <v>333</v>
      </c>
      <c r="AC157" s="18" t="s">
        <v>337</v>
      </c>
      <c r="AD157" s="18">
        <v>20</v>
      </c>
      <c r="AE157" s="18">
        <v>10.5</v>
      </c>
      <c r="AF157" s="18" t="s">
        <v>29</v>
      </c>
      <c r="AG157" s="18" t="s">
        <v>239</v>
      </c>
      <c r="AH157" s="18" t="s">
        <v>239</v>
      </c>
      <c r="AI157" s="18" t="s">
        <v>69</v>
      </c>
      <c r="AJ157" s="18" t="s">
        <v>81</v>
      </c>
      <c r="AK157" s="18" t="s">
        <v>100</v>
      </c>
      <c r="AL157" s="18" t="s">
        <v>109</v>
      </c>
      <c r="AM157" s="18" t="s">
        <v>122</v>
      </c>
      <c r="AN157" s="18" t="s">
        <v>198</v>
      </c>
      <c r="AO157" s="18" t="s">
        <v>238</v>
      </c>
      <c r="AP157" s="18"/>
      <c r="AQ157" s="18">
        <f>+VLOOKUP(AI157,Leyenda!$B$30:$E$34,3,FALSE)</f>
        <v>0</v>
      </c>
      <c r="AR157" s="18">
        <f>+VLOOKUP('3. Blasting'!AJ157,Meteorizacion,3,FALSE)</f>
        <v>0</v>
      </c>
      <c r="AS157" s="18">
        <f>+VLOOKUP('3. Blasting'!AK157,Apertura,3,FALSE)</f>
        <v>0</v>
      </c>
      <c r="AT157" s="18">
        <f>+VLOOKUP('3. Blasting'!AL157,Leyenda!$B$55:$D$59,3,FALSE)</f>
        <v>1</v>
      </c>
      <c r="AU157" s="18">
        <f>+VLOOKUP('3. Blasting'!AM157,Relleno,3,FALSE)</f>
        <v>0</v>
      </c>
      <c r="AV157" s="18">
        <f t="shared" si="76"/>
        <v>1</v>
      </c>
      <c r="AW157" s="49">
        <f t="shared" si="63"/>
        <v>0</v>
      </c>
      <c r="AX157" s="49">
        <f>VLOOKUP(AF157,Leyenda!$B$4:$D$10,3,FALSE)</f>
        <v>2</v>
      </c>
      <c r="AY157" s="50">
        <f t="shared" si="57"/>
        <v>3</v>
      </c>
      <c r="AZ157" s="49">
        <f t="shared" si="64"/>
        <v>1</v>
      </c>
      <c r="BA157" s="49">
        <f>VLOOKUP(AN157,Leyenda!$B$70:$D$75,3,FALSE)</f>
        <v>15</v>
      </c>
      <c r="BB157" s="67">
        <f t="shared" si="65"/>
        <v>1.5</v>
      </c>
      <c r="BC157" s="67">
        <f>VLOOKUP(AF157,Leyenda!$B$4:$E$10,4,FALSE)</f>
        <v>2</v>
      </c>
      <c r="BD157" s="67">
        <f t="shared" si="66"/>
        <v>5</v>
      </c>
      <c r="BE157" s="67">
        <f t="shared" si="67"/>
        <v>0</v>
      </c>
      <c r="BF157" s="67">
        <f>+VLOOKUP('3. Blasting'!AK157,Leyenda!$B$47:$E$51,4,FALSE)</f>
        <v>0</v>
      </c>
      <c r="BG157" s="67">
        <f>+VLOOKUP('3. Blasting'!AL157,Leyenda!$B$55:$E$59,4,FALSE)</f>
        <v>1</v>
      </c>
      <c r="BH157" s="67">
        <f>+VLOOKUP('3. Blasting'!AM157,Leyenda!$B$63:$E$67,3,FALSE)</f>
        <v>0</v>
      </c>
      <c r="BI157" s="67">
        <f>+VLOOKUP('3. Blasting'!AJ157,Leyenda!$B$39:$E$43,4,FALSE)</f>
        <v>0</v>
      </c>
      <c r="BJ157" s="67">
        <f>+VLOOKUP('3. Blasting'!AI157,Leyenda!$B$30:$E$34,4,FALSE)</f>
        <v>0</v>
      </c>
      <c r="BK157" s="67">
        <f>VLOOKUP(AN157,Leyenda!$B$71:$E$75,4,FALSE)</f>
        <v>10</v>
      </c>
      <c r="BL157" s="67">
        <f t="shared" si="68"/>
        <v>18</v>
      </c>
      <c r="BM157" s="18">
        <f t="shared" si="69"/>
        <v>21</v>
      </c>
      <c r="BN157" s="18"/>
      <c r="BO157" s="18"/>
      <c r="BP157">
        <f t="shared" si="70"/>
        <v>10</v>
      </c>
      <c r="BQ157">
        <f t="shared" si="71"/>
        <v>10</v>
      </c>
      <c r="BR157">
        <v>20</v>
      </c>
      <c r="BS157">
        <f t="shared" si="72"/>
        <v>-50</v>
      </c>
      <c r="BT157">
        <f t="shared" si="73"/>
        <v>0</v>
      </c>
      <c r="BU157">
        <f t="shared" si="74"/>
        <v>-5</v>
      </c>
      <c r="BV157" s="1">
        <f t="shared" si="58"/>
        <v>-0.02</v>
      </c>
      <c r="BW157" s="1">
        <f t="shared" si="59"/>
        <v>0</v>
      </c>
    </row>
    <row r="158" spans="1:75" hidden="1" x14ac:dyDescent="0.25">
      <c r="A158" s="18" t="s">
        <v>6</v>
      </c>
      <c r="B158" s="18">
        <v>2024</v>
      </c>
      <c r="C158" s="18" t="s">
        <v>138</v>
      </c>
      <c r="D158" s="18" t="s">
        <v>245</v>
      </c>
      <c r="E158" s="18">
        <v>50</v>
      </c>
      <c r="F158" s="18" t="s">
        <v>154</v>
      </c>
      <c r="G158" s="18" t="s">
        <v>293</v>
      </c>
      <c r="H158" s="4">
        <f t="shared" si="55"/>
        <v>22</v>
      </c>
      <c r="I158" s="4">
        <v>22.5</v>
      </c>
      <c r="J158" s="4">
        <f t="shared" si="60"/>
        <v>0.5</v>
      </c>
      <c r="K158" s="5">
        <v>0.34</v>
      </c>
      <c r="L158" s="31">
        <f t="shared" si="61"/>
        <v>0.17</v>
      </c>
      <c r="M158" s="31"/>
      <c r="N158" s="31"/>
      <c r="O158" s="31">
        <f t="shared" si="56"/>
        <v>0.17</v>
      </c>
      <c r="P158" s="31">
        <v>34</v>
      </c>
      <c r="Q158" s="31">
        <v>5</v>
      </c>
      <c r="R158" s="31">
        <v>0.15</v>
      </c>
      <c r="S158" s="31">
        <v>0</v>
      </c>
      <c r="T158" s="65">
        <f t="shared" si="75"/>
        <v>0</v>
      </c>
      <c r="U158" s="31">
        <v>5</v>
      </c>
      <c r="V158" s="31"/>
      <c r="W158" s="31">
        <f t="shared" si="77"/>
        <v>5</v>
      </c>
      <c r="X158" s="31">
        <f t="shared" si="54"/>
        <v>30</v>
      </c>
      <c r="Y158" s="31">
        <f t="shared" si="62"/>
        <v>0.03</v>
      </c>
      <c r="Z158" s="18">
        <v>0</v>
      </c>
      <c r="AA158" s="18" t="s">
        <v>330</v>
      </c>
      <c r="AB158" s="18" t="s">
        <v>118</v>
      </c>
      <c r="AC158" s="18" t="s">
        <v>334</v>
      </c>
      <c r="AD158" s="18">
        <v>5</v>
      </c>
      <c r="AE158" s="18">
        <v>34</v>
      </c>
      <c r="AF158" s="18" t="s">
        <v>27</v>
      </c>
      <c r="AG158" s="18" t="s">
        <v>239</v>
      </c>
      <c r="AH158" s="18" t="s">
        <v>239</v>
      </c>
      <c r="AI158" s="18" t="s">
        <v>69</v>
      </c>
      <c r="AJ158" s="18" t="s">
        <v>81</v>
      </c>
      <c r="AK158" s="18" t="s">
        <v>100</v>
      </c>
      <c r="AL158" s="18" t="s">
        <v>109</v>
      </c>
      <c r="AM158" s="18" t="s">
        <v>122</v>
      </c>
      <c r="AN158" s="18" t="s">
        <v>198</v>
      </c>
      <c r="AO158" s="18" t="s">
        <v>238</v>
      </c>
      <c r="AP158" s="18"/>
      <c r="AQ158" s="18">
        <f>+VLOOKUP(AI158,Leyenda!$B$30:$E$34,3,FALSE)</f>
        <v>0</v>
      </c>
      <c r="AR158" s="18">
        <f>+VLOOKUP('3. Blasting'!AJ158,Meteorizacion,3,FALSE)</f>
        <v>0</v>
      </c>
      <c r="AS158" s="18">
        <f>+VLOOKUP('3. Blasting'!AK158,Apertura,3,FALSE)</f>
        <v>0</v>
      </c>
      <c r="AT158" s="18">
        <f>+VLOOKUP('3. Blasting'!AL158,Leyenda!$B$55:$D$59,3,FALSE)</f>
        <v>1</v>
      </c>
      <c r="AU158" s="18">
        <f>+VLOOKUP('3. Blasting'!AM158,Relleno,3,FALSE)</f>
        <v>0</v>
      </c>
      <c r="AV158" s="18">
        <f t="shared" si="76"/>
        <v>1</v>
      </c>
      <c r="AW158" s="49">
        <f t="shared" si="63"/>
        <v>0</v>
      </c>
      <c r="AX158" s="49">
        <f>VLOOKUP(AF158,Leyenda!$B$4:$D$10,3,FALSE)</f>
        <v>4</v>
      </c>
      <c r="AY158" s="50">
        <f t="shared" si="57"/>
        <v>5</v>
      </c>
      <c r="AZ158" s="49">
        <f t="shared" si="64"/>
        <v>1</v>
      </c>
      <c r="BA158" s="49">
        <f>VLOOKUP(AN158,Leyenda!$B$70:$D$75,3,FALSE)</f>
        <v>15</v>
      </c>
      <c r="BB158" s="67">
        <f t="shared" si="65"/>
        <v>1.5</v>
      </c>
      <c r="BC158" s="67">
        <f>VLOOKUP(AF158,Leyenda!$B$4:$E$10,4,FALSE)</f>
        <v>4</v>
      </c>
      <c r="BD158" s="67">
        <f t="shared" si="66"/>
        <v>5</v>
      </c>
      <c r="BE158" s="67">
        <f t="shared" si="67"/>
        <v>0</v>
      </c>
      <c r="BF158" s="67">
        <f>+VLOOKUP('3. Blasting'!AK158,Leyenda!$B$47:$E$51,4,FALSE)</f>
        <v>0</v>
      </c>
      <c r="BG158" s="67">
        <f>+VLOOKUP('3. Blasting'!AL158,Leyenda!$B$55:$E$59,4,FALSE)</f>
        <v>1</v>
      </c>
      <c r="BH158" s="67">
        <f>+VLOOKUP('3. Blasting'!AM158,Leyenda!$B$63:$E$67,3,FALSE)</f>
        <v>0</v>
      </c>
      <c r="BI158" s="67">
        <f>+VLOOKUP('3. Blasting'!AJ158,Leyenda!$B$39:$E$43,4,FALSE)</f>
        <v>0</v>
      </c>
      <c r="BJ158" s="67">
        <f>+VLOOKUP('3. Blasting'!AI158,Leyenda!$B$30:$E$34,4,FALSE)</f>
        <v>0</v>
      </c>
      <c r="BK158" s="67">
        <f>VLOOKUP(AN158,Leyenda!$B$71:$E$75,4,FALSE)</f>
        <v>10</v>
      </c>
      <c r="BL158" s="67">
        <f t="shared" si="68"/>
        <v>20</v>
      </c>
      <c r="BM158" s="18">
        <f t="shared" si="69"/>
        <v>25</v>
      </c>
      <c r="BN158" s="18"/>
      <c r="BO158" s="18"/>
      <c r="BP158">
        <f t="shared" si="70"/>
        <v>10</v>
      </c>
      <c r="BQ158">
        <f t="shared" si="71"/>
        <v>10</v>
      </c>
      <c r="BR158">
        <v>20</v>
      </c>
      <c r="BS158">
        <f t="shared" si="72"/>
        <v>-50</v>
      </c>
      <c r="BT158">
        <f t="shared" si="73"/>
        <v>0</v>
      </c>
      <c r="BU158">
        <f t="shared" si="74"/>
        <v>-5</v>
      </c>
      <c r="BV158" s="1">
        <f t="shared" si="58"/>
        <v>-0.02</v>
      </c>
      <c r="BW158" s="1">
        <f t="shared" si="59"/>
        <v>0</v>
      </c>
    </row>
    <row r="159" spans="1:75" hidden="1" x14ac:dyDescent="0.25">
      <c r="A159" s="18" t="s">
        <v>6</v>
      </c>
      <c r="B159" s="18">
        <v>2024</v>
      </c>
      <c r="C159" s="18" t="s">
        <v>138</v>
      </c>
      <c r="D159" s="18" t="s">
        <v>245</v>
      </c>
      <c r="E159" s="18">
        <v>50</v>
      </c>
      <c r="F159" s="18" t="s">
        <v>154</v>
      </c>
      <c r="G159" s="18" t="s">
        <v>293</v>
      </c>
      <c r="H159" s="4">
        <f t="shared" si="55"/>
        <v>22.5</v>
      </c>
      <c r="I159" s="4">
        <v>23</v>
      </c>
      <c r="J159" s="4">
        <f t="shared" si="60"/>
        <v>0.5</v>
      </c>
      <c r="K159" s="5">
        <v>0.4</v>
      </c>
      <c r="L159" s="31">
        <f t="shared" si="61"/>
        <v>0.2</v>
      </c>
      <c r="M159" s="31"/>
      <c r="N159" s="31"/>
      <c r="O159" s="31">
        <f t="shared" si="56"/>
        <v>0.2</v>
      </c>
      <c r="P159" s="31">
        <v>200</v>
      </c>
      <c r="Q159" s="31">
        <v>1</v>
      </c>
      <c r="R159" s="31">
        <v>0.19</v>
      </c>
      <c r="S159" s="31">
        <v>0</v>
      </c>
      <c r="T159" s="65">
        <f t="shared" si="75"/>
        <v>0</v>
      </c>
      <c r="U159" s="31">
        <v>10</v>
      </c>
      <c r="V159" s="31"/>
      <c r="W159" s="31">
        <f t="shared" si="77"/>
        <v>10</v>
      </c>
      <c r="X159" s="31">
        <f t="shared" si="54"/>
        <v>19</v>
      </c>
      <c r="Y159" s="31">
        <f t="shared" si="62"/>
        <v>1.9E-2</v>
      </c>
      <c r="Z159" s="18">
        <v>0</v>
      </c>
      <c r="AA159" s="18" t="s">
        <v>96</v>
      </c>
      <c r="AB159" s="18" t="s">
        <v>116</v>
      </c>
      <c r="AC159" s="18" t="s">
        <v>334</v>
      </c>
      <c r="AD159" s="18">
        <v>1</v>
      </c>
      <c r="AE159" s="18">
        <v>200</v>
      </c>
      <c r="AF159" s="18" t="s">
        <v>27</v>
      </c>
      <c r="AG159" s="18" t="s">
        <v>239</v>
      </c>
      <c r="AH159" s="18" t="s">
        <v>239</v>
      </c>
      <c r="AI159" s="18" t="s">
        <v>69</v>
      </c>
      <c r="AJ159" s="18" t="s">
        <v>81</v>
      </c>
      <c r="AK159" s="18" t="s">
        <v>100</v>
      </c>
      <c r="AL159" s="18" t="s">
        <v>109</v>
      </c>
      <c r="AM159" s="18" t="s">
        <v>122</v>
      </c>
      <c r="AN159" s="18" t="s">
        <v>198</v>
      </c>
      <c r="AO159" s="18" t="s">
        <v>238</v>
      </c>
      <c r="AP159" s="18"/>
      <c r="AQ159" s="18">
        <f>+VLOOKUP(AI159,Leyenda!$B$30:$E$34,3,FALSE)</f>
        <v>0</v>
      </c>
      <c r="AR159" s="18">
        <f>+VLOOKUP('3. Blasting'!AJ159,Meteorizacion,3,FALSE)</f>
        <v>0</v>
      </c>
      <c r="AS159" s="18">
        <f>+VLOOKUP('3. Blasting'!AK159,Apertura,3,FALSE)</f>
        <v>0</v>
      </c>
      <c r="AT159" s="18">
        <f>+VLOOKUP('3. Blasting'!AL159,Leyenda!$B$55:$D$59,3,FALSE)</f>
        <v>1</v>
      </c>
      <c r="AU159" s="18">
        <f>+VLOOKUP('3. Blasting'!AM159,Relleno,3,FALSE)</f>
        <v>0</v>
      </c>
      <c r="AV159" s="18">
        <f t="shared" si="76"/>
        <v>1</v>
      </c>
      <c r="AW159" s="49">
        <f t="shared" si="63"/>
        <v>0</v>
      </c>
      <c r="AX159" s="49">
        <f>VLOOKUP(AF159,Leyenda!$B$4:$D$10,3,FALSE)</f>
        <v>4</v>
      </c>
      <c r="AY159" s="50">
        <f t="shared" si="57"/>
        <v>9</v>
      </c>
      <c r="AZ159" s="49">
        <f t="shared" si="64"/>
        <v>1</v>
      </c>
      <c r="BA159" s="49">
        <f>VLOOKUP(AN159,Leyenda!$B$70:$D$75,3,FALSE)</f>
        <v>15</v>
      </c>
      <c r="BB159" s="67">
        <f t="shared" si="65"/>
        <v>1.5</v>
      </c>
      <c r="BC159" s="67">
        <f>VLOOKUP(AF159,Leyenda!$B$4:$E$10,4,FALSE)</f>
        <v>4</v>
      </c>
      <c r="BD159" s="67">
        <f t="shared" si="66"/>
        <v>5</v>
      </c>
      <c r="BE159" s="67">
        <f t="shared" si="67"/>
        <v>0</v>
      </c>
      <c r="BF159" s="67">
        <f>+VLOOKUP('3. Blasting'!AK159,Leyenda!$B$47:$E$51,4,FALSE)</f>
        <v>0</v>
      </c>
      <c r="BG159" s="67">
        <f>+VLOOKUP('3. Blasting'!AL159,Leyenda!$B$55:$E$59,4,FALSE)</f>
        <v>1</v>
      </c>
      <c r="BH159" s="67">
        <f>+VLOOKUP('3. Blasting'!AM159,Leyenda!$B$63:$E$67,3,FALSE)</f>
        <v>0</v>
      </c>
      <c r="BI159" s="67">
        <f>+VLOOKUP('3. Blasting'!AJ159,Leyenda!$B$39:$E$43,4,FALSE)</f>
        <v>0</v>
      </c>
      <c r="BJ159" s="67">
        <f>+VLOOKUP('3. Blasting'!AI159,Leyenda!$B$30:$E$34,4,FALSE)</f>
        <v>0</v>
      </c>
      <c r="BK159" s="67">
        <f>VLOOKUP(AN159,Leyenda!$B$71:$E$75,4,FALSE)</f>
        <v>10</v>
      </c>
      <c r="BL159" s="67">
        <f t="shared" si="68"/>
        <v>20</v>
      </c>
      <c r="BM159" s="18">
        <f t="shared" si="69"/>
        <v>29</v>
      </c>
      <c r="BN159" s="18"/>
      <c r="BO159" s="18"/>
      <c r="BP159">
        <f t="shared" si="70"/>
        <v>10</v>
      </c>
      <c r="BQ159">
        <f t="shared" si="71"/>
        <v>10</v>
      </c>
      <c r="BR159">
        <v>20</v>
      </c>
      <c r="BS159">
        <f t="shared" si="72"/>
        <v>-50</v>
      </c>
      <c r="BT159">
        <f t="shared" si="73"/>
        <v>0</v>
      </c>
      <c r="BU159">
        <f t="shared" si="74"/>
        <v>-5</v>
      </c>
      <c r="BV159" s="1">
        <f t="shared" si="58"/>
        <v>-0.02</v>
      </c>
      <c r="BW159" s="1">
        <f t="shared" si="59"/>
        <v>0</v>
      </c>
    </row>
    <row r="160" spans="1:75" hidden="1" x14ac:dyDescent="0.25">
      <c r="A160" s="18" t="s">
        <v>6</v>
      </c>
      <c r="B160" s="18">
        <v>2024</v>
      </c>
      <c r="C160" s="18" t="s">
        <v>138</v>
      </c>
      <c r="D160" s="18" t="s">
        <v>245</v>
      </c>
      <c r="E160" s="18">
        <v>50</v>
      </c>
      <c r="F160" s="18" t="s">
        <v>154</v>
      </c>
      <c r="G160" s="18" t="s">
        <v>293</v>
      </c>
      <c r="H160" s="4">
        <f t="shared" si="55"/>
        <v>23</v>
      </c>
      <c r="I160" s="4">
        <v>23.5</v>
      </c>
      <c r="J160" s="4">
        <f t="shared" si="60"/>
        <v>0.5</v>
      </c>
      <c r="K160" s="5">
        <v>0.28000000000000003</v>
      </c>
      <c r="L160" s="31">
        <f t="shared" si="61"/>
        <v>0.14000000000000001</v>
      </c>
      <c r="M160" s="31"/>
      <c r="N160" s="31"/>
      <c r="O160" s="31">
        <f t="shared" si="56"/>
        <v>0.14000000000000001</v>
      </c>
      <c r="P160" s="31">
        <v>28</v>
      </c>
      <c r="Q160" s="31">
        <v>5</v>
      </c>
      <c r="R160" s="31">
        <v>0.12</v>
      </c>
      <c r="S160" s="31">
        <v>0</v>
      </c>
      <c r="T160" s="65">
        <f t="shared" si="75"/>
        <v>0</v>
      </c>
      <c r="U160" s="31">
        <v>5</v>
      </c>
      <c r="V160" s="31"/>
      <c r="W160" s="31">
        <f t="shared" si="77"/>
        <v>5</v>
      </c>
      <c r="X160" s="31">
        <f t="shared" si="54"/>
        <v>24</v>
      </c>
      <c r="Y160" s="31">
        <f t="shared" si="62"/>
        <v>2.4E-2</v>
      </c>
      <c r="Z160" s="18">
        <v>0</v>
      </c>
      <c r="AA160" s="18" t="s">
        <v>96</v>
      </c>
      <c r="AB160" s="18" t="s">
        <v>118</v>
      </c>
      <c r="AC160" s="18" t="s">
        <v>334</v>
      </c>
      <c r="AD160" s="18">
        <v>5</v>
      </c>
      <c r="AE160" s="18">
        <v>28</v>
      </c>
      <c r="AF160" s="18" t="s">
        <v>27</v>
      </c>
      <c r="AG160" s="18" t="s">
        <v>239</v>
      </c>
      <c r="AH160" s="18" t="s">
        <v>239</v>
      </c>
      <c r="AI160" s="18" t="s">
        <v>69</v>
      </c>
      <c r="AJ160" s="18" t="s">
        <v>81</v>
      </c>
      <c r="AK160" s="18" t="s">
        <v>100</v>
      </c>
      <c r="AL160" s="18" t="s">
        <v>109</v>
      </c>
      <c r="AM160" s="18" t="s">
        <v>122</v>
      </c>
      <c r="AN160" s="18" t="s">
        <v>198</v>
      </c>
      <c r="AO160" s="18" t="s">
        <v>238</v>
      </c>
      <c r="AP160" s="18"/>
      <c r="AQ160" s="18">
        <f>+VLOOKUP(AI160,Leyenda!$B$30:$E$34,3,FALSE)</f>
        <v>0</v>
      </c>
      <c r="AR160" s="18">
        <f>+VLOOKUP('3. Blasting'!AJ160,Meteorizacion,3,FALSE)</f>
        <v>0</v>
      </c>
      <c r="AS160" s="18">
        <f>+VLOOKUP('3. Blasting'!AK160,Apertura,3,FALSE)</f>
        <v>0</v>
      </c>
      <c r="AT160" s="18">
        <f>+VLOOKUP('3. Blasting'!AL160,Leyenda!$B$55:$D$59,3,FALSE)</f>
        <v>1</v>
      </c>
      <c r="AU160" s="18">
        <f>+VLOOKUP('3. Blasting'!AM160,Relleno,3,FALSE)</f>
        <v>0</v>
      </c>
      <c r="AV160" s="18">
        <f t="shared" si="76"/>
        <v>1</v>
      </c>
      <c r="AW160" s="49">
        <f t="shared" si="63"/>
        <v>0</v>
      </c>
      <c r="AX160" s="49">
        <f>VLOOKUP(AF160,Leyenda!$B$4:$D$10,3,FALSE)</f>
        <v>4</v>
      </c>
      <c r="AY160" s="50">
        <f t="shared" si="57"/>
        <v>5</v>
      </c>
      <c r="AZ160" s="49">
        <f t="shared" si="64"/>
        <v>1</v>
      </c>
      <c r="BA160" s="49">
        <f>VLOOKUP(AN160,Leyenda!$B$70:$D$75,3,FALSE)</f>
        <v>15</v>
      </c>
      <c r="BB160" s="67">
        <f t="shared" si="65"/>
        <v>1.5</v>
      </c>
      <c r="BC160" s="67">
        <f>VLOOKUP(AF160,Leyenda!$B$4:$E$10,4,FALSE)</f>
        <v>4</v>
      </c>
      <c r="BD160" s="67">
        <f t="shared" si="66"/>
        <v>5</v>
      </c>
      <c r="BE160" s="67">
        <f t="shared" si="67"/>
        <v>0</v>
      </c>
      <c r="BF160" s="67">
        <f>+VLOOKUP('3. Blasting'!AK160,Leyenda!$B$47:$E$51,4,FALSE)</f>
        <v>0</v>
      </c>
      <c r="BG160" s="67">
        <f>+VLOOKUP('3. Blasting'!AL160,Leyenda!$B$55:$E$59,4,FALSE)</f>
        <v>1</v>
      </c>
      <c r="BH160" s="67">
        <f>+VLOOKUP('3. Blasting'!AM160,Leyenda!$B$63:$E$67,3,FALSE)</f>
        <v>0</v>
      </c>
      <c r="BI160" s="67">
        <f>+VLOOKUP('3. Blasting'!AJ160,Leyenda!$B$39:$E$43,4,FALSE)</f>
        <v>0</v>
      </c>
      <c r="BJ160" s="67">
        <f>+VLOOKUP('3. Blasting'!AI160,Leyenda!$B$30:$E$34,4,FALSE)</f>
        <v>0</v>
      </c>
      <c r="BK160" s="67">
        <f>VLOOKUP(AN160,Leyenda!$B$71:$E$75,4,FALSE)</f>
        <v>10</v>
      </c>
      <c r="BL160" s="67">
        <f t="shared" si="68"/>
        <v>20</v>
      </c>
      <c r="BM160" s="18">
        <f t="shared" si="69"/>
        <v>25</v>
      </c>
      <c r="BN160" s="18"/>
      <c r="BO160" s="18"/>
      <c r="BP160">
        <f t="shared" si="70"/>
        <v>10</v>
      </c>
      <c r="BQ160">
        <f t="shared" si="71"/>
        <v>10</v>
      </c>
      <c r="BR160">
        <v>20</v>
      </c>
      <c r="BS160">
        <f t="shared" si="72"/>
        <v>-50</v>
      </c>
      <c r="BT160">
        <f t="shared" si="73"/>
        <v>0</v>
      </c>
      <c r="BU160">
        <f t="shared" si="74"/>
        <v>-5</v>
      </c>
      <c r="BV160" s="1">
        <f t="shared" si="58"/>
        <v>-0.02</v>
      </c>
      <c r="BW160" s="1">
        <f t="shared" si="59"/>
        <v>0</v>
      </c>
    </row>
    <row r="161" spans="1:75" hidden="1" x14ac:dyDescent="0.25">
      <c r="A161" s="18" t="s">
        <v>6</v>
      </c>
      <c r="B161" s="18">
        <v>2024</v>
      </c>
      <c r="C161" s="18" t="s">
        <v>138</v>
      </c>
      <c r="D161" s="18" t="s">
        <v>245</v>
      </c>
      <c r="E161" s="18">
        <v>50</v>
      </c>
      <c r="F161" s="18" t="s">
        <v>154</v>
      </c>
      <c r="G161" s="18" t="s">
        <v>293</v>
      </c>
      <c r="H161" s="4">
        <f t="shared" si="55"/>
        <v>23.5</v>
      </c>
      <c r="I161" s="4">
        <v>24</v>
      </c>
      <c r="J161" s="4">
        <f t="shared" si="60"/>
        <v>0.5</v>
      </c>
      <c r="K161" s="5">
        <v>0.4</v>
      </c>
      <c r="L161" s="31">
        <f t="shared" si="61"/>
        <v>0.2</v>
      </c>
      <c r="M161" s="31"/>
      <c r="N161" s="31"/>
      <c r="O161" s="31">
        <f t="shared" si="56"/>
        <v>0.2</v>
      </c>
      <c r="P161" s="31">
        <v>200</v>
      </c>
      <c r="Q161" s="31">
        <v>1</v>
      </c>
      <c r="R161" s="31">
        <v>0.19</v>
      </c>
      <c r="S161" s="31">
        <v>0</v>
      </c>
      <c r="T161" s="65">
        <f t="shared" si="75"/>
        <v>0</v>
      </c>
      <c r="U161" s="31">
        <v>10</v>
      </c>
      <c r="V161" s="31"/>
      <c r="W161" s="31">
        <f t="shared" si="77"/>
        <v>10</v>
      </c>
      <c r="X161" s="31">
        <f t="shared" ref="X161:X182" si="78">+IF(R161=0,"",(R161*1000)/W161)</f>
        <v>19</v>
      </c>
      <c r="Y161" s="31">
        <f t="shared" si="62"/>
        <v>1.9E-2</v>
      </c>
      <c r="Z161" s="18">
        <v>0</v>
      </c>
      <c r="AA161" s="18" t="s">
        <v>96</v>
      </c>
      <c r="AB161" s="18" t="s">
        <v>116</v>
      </c>
      <c r="AC161" s="18" t="s">
        <v>334</v>
      </c>
      <c r="AD161" s="18">
        <v>1</v>
      </c>
      <c r="AE161" s="18">
        <v>200</v>
      </c>
      <c r="AF161" s="18" t="s">
        <v>27</v>
      </c>
      <c r="AG161" s="18" t="s">
        <v>239</v>
      </c>
      <c r="AH161" s="18" t="s">
        <v>239</v>
      </c>
      <c r="AI161" s="18" t="s">
        <v>69</v>
      </c>
      <c r="AJ161" s="18" t="s">
        <v>81</v>
      </c>
      <c r="AK161" s="18" t="s">
        <v>100</v>
      </c>
      <c r="AL161" s="18" t="s">
        <v>109</v>
      </c>
      <c r="AM161" s="18" t="s">
        <v>122</v>
      </c>
      <c r="AN161" s="18" t="s">
        <v>198</v>
      </c>
      <c r="AO161" s="18" t="s">
        <v>238</v>
      </c>
      <c r="AP161" s="18"/>
      <c r="AQ161" s="18">
        <f>+VLOOKUP(AI161,Leyenda!$B$30:$E$34,3,FALSE)</f>
        <v>0</v>
      </c>
      <c r="AR161" s="18">
        <f>+VLOOKUP('3. Blasting'!AJ161,Meteorizacion,3,FALSE)</f>
        <v>0</v>
      </c>
      <c r="AS161" s="18">
        <f>+VLOOKUP('3. Blasting'!AK161,Apertura,3,FALSE)</f>
        <v>0</v>
      </c>
      <c r="AT161" s="18">
        <f>+VLOOKUP('3. Blasting'!AL161,Leyenda!$B$55:$D$59,3,FALSE)</f>
        <v>1</v>
      </c>
      <c r="AU161" s="18">
        <f>+VLOOKUP('3. Blasting'!AM161,Relleno,3,FALSE)</f>
        <v>0</v>
      </c>
      <c r="AV161" s="18">
        <f t="shared" si="76"/>
        <v>1</v>
      </c>
      <c r="AW161" s="49">
        <f t="shared" si="63"/>
        <v>0</v>
      </c>
      <c r="AX161" s="49">
        <f>VLOOKUP(AF161,Leyenda!$B$4:$D$10,3,FALSE)</f>
        <v>4</v>
      </c>
      <c r="AY161" s="50">
        <f t="shared" si="57"/>
        <v>9</v>
      </c>
      <c r="AZ161" s="49">
        <f t="shared" si="64"/>
        <v>1</v>
      </c>
      <c r="BA161" s="49">
        <f>VLOOKUP(AN161,Leyenda!$B$70:$D$75,3,FALSE)</f>
        <v>15</v>
      </c>
      <c r="BB161" s="67">
        <f t="shared" si="65"/>
        <v>1.5</v>
      </c>
      <c r="BC161" s="67">
        <f>VLOOKUP(AF161,Leyenda!$B$4:$E$10,4,FALSE)</f>
        <v>4</v>
      </c>
      <c r="BD161" s="67">
        <f t="shared" si="66"/>
        <v>5</v>
      </c>
      <c r="BE161" s="67">
        <f t="shared" si="67"/>
        <v>0</v>
      </c>
      <c r="BF161" s="67">
        <f>+VLOOKUP('3. Blasting'!AK161,Leyenda!$B$47:$E$51,4,FALSE)</f>
        <v>0</v>
      </c>
      <c r="BG161" s="67">
        <f>+VLOOKUP('3. Blasting'!AL161,Leyenda!$B$55:$E$59,4,FALSE)</f>
        <v>1</v>
      </c>
      <c r="BH161" s="67">
        <f>+VLOOKUP('3. Blasting'!AM161,Leyenda!$B$63:$E$67,3,FALSE)</f>
        <v>0</v>
      </c>
      <c r="BI161" s="67">
        <f>+VLOOKUP('3. Blasting'!AJ161,Leyenda!$B$39:$E$43,4,FALSE)</f>
        <v>0</v>
      </c>
      <c r="BJ161" s="67">
        <f>+VLOOKUP('3. Blasting'!AI161,Leyenda!$B$30:$E$34,4,FALSE)</f>
        <v>0</v>
      </c>
      <c r="BK161" s="67">
        <f>VLOOKUP(AN161,Leyenda!$B$71:$E$75,4,FALSE)</f>
        <v>10</v>
      </c>
      <c r="BL161" s="67">
        <f t="shared" si="68"/>
        <v>20</v>
      </c>
      <c r="BM161" s="18">
        <f t="shared" si="69"/>
        <v>29</v>
      </c>
      <c r="BN161" s="18"/>
      <c r="BO161" s="18"/>
      <c r="BP161">
        <f t="shared" si="70"/>
        <v>10</v>
      </c>
      <c r="BQ161">
        <f t="shared" si="71"/>
        <v>10</v>
      </c>
      <c r="BR161">
        <v>20</v>
      </c>
      <c r="BS161">
        <f t="shared" si="72"/>
        <v>-50</v>
      </c>
      <c r="BT161">
        <f t="shared" si="73"/>
        <v>0</v>
      </c>
      <c r="BU161">
        <f t="shared" si="74"/>
        <v>-5</v>
      </c>
      <c r="BV161" s="1">
        <f t="shared" si="58"/>
        <v>-0.02</v>
      </c>
      <c r="BW161" s="1">
        <f t="shared" si="59"/>
        <v>0</v>
      </c>
    </row>
    <row r="162" spans="1:75" hidden="1" x14ac:dyDescent="0.25">
      <c r="A162" s="18" t="s">
        <v>6</v>
      </c>
      <c r="B162" s="18">
        <v>2024</v>
      </c>
      <c r="C162" s="18" t="s">
        <v>138</v>
      </c>
      <c r="D162" s="18" t="s">
        <v>245</v>
      </c>
      <c r="E162" s="18">
        <v>50</v>
      </c>
      <c r="F162" s="18" t="s">
        <v>154</v>
      </c>
      <c r="G162" s="18" t="s">
        <v>293</v>
      </c>
      <c r="H162" s="4">
        <f t="shared" si="55"/>
        <v>24</v>
      </c>
      <c r="I162" s="4">
        <v>24.5</v>
      </c>
      <c r="J162" s="4">
        <f t="shared" si="60"/>
        <v>0.5</v>
      </c>
      <c r="K162" s="5">
        <v>0.42</v>
      </c>
      <c r="L162" s="31">
        <f t="shared" si="61"/>
        <v>0.21</v>
      </c>
      <c r="M162" s="31"/>
      <c r="N162" s="31"/>
      <c r="O162" s="31">
        <f t="shared" si="56"/>
        <v>0.21</v>
      </c>
      <c r="P162" s="31">
        <v>42</v>
      </c>
      <c r="Q162" s="31">
        <v>5</v>
      </c>
      <c r="R162" s="31">
        <v>0.21</v>
      </c>
      <c r="S162" s="31">
        <v>0</v>
      </c>
      <c r="T162" s="65">
        <f t="shared" si="75"/>
        <v>0</v>
      </c>
      <c r="U162" s="31">
        <v>0</v>
      </c>
      <c r="V162" s="31"/>
      <c r="W162" s="31">
        <f t="shared" si="77"/>
        <v>0</v>
      </c>
      <c r="X162" s="31"/>
      <c r="Y162" s="31">
        <f t="shared" si="62"/>
        <v>0</v>
      </c>
      <c r="Z162" s="18">
        <v>0</v>
      </c>
      <c r="AA162" s="18" t="s">
        <v>96</v>
      </c>
      <c r="AB162" s="18" t="s">
        <v>118</v>
      </c>
      <c r="AC162" s="18" t="s">
        <v>334</v>
      </c>
      <c r="AD162" s="18">
        <v>5</v>
      </c>
      <c r="AE162" s="18">
        <v>42</v>
      </c>
      <c r="AF162" s="18" t="s">
        <v>27</v>
      </c>
      <c r="AG162" s="18" t="s">
        <v>239</v>
      </c>
      <c r="AH162" s="18" t="s">
        <v>239</v>
      </c>
      <c r="AI162" s="18" t="s">
        <v>69</v>
      </c>
      <c r="AJ162" s="18" t="s">
        <v>81</v>
      </c>
      <c r="AK162" s="18" t="s">
        <v>100</v>
      </c>
      <c r="AL162" s="18" t="s">
        <v>109</v>
      </c>
      <c r="AM162" s="18" t="s">
        <v>122</v>
      </c>
      <c r="AN162" s="18" t="s">
        <v>198</v>
      </c>
      <c r="AO162" s="18" t="s">
        <v>238</v>
      </c>
      <c r="AP162" s="18"/>
      <c r="AQ162" s="18">
        <f>+VLOOKUP(AI162,Leyenda!$B$30:$E$34,3,FALSE)</f>
        <v>0</v>
      </c>
      <c r="AR162" s="18">
        <f>+VLOOKUP('3. Blasting'!AJ162,Meteorizacion,3,FALSE)</f>
        <v>0</v>
      </c>
      <c r="AS162" s="18">
        <f>+VLOOKUP('3. Blasting'!AK162,Apertura,3,FALSE)</f>
        <v>0</v>
      </c>
      <c r="AT162" s="18">
        <f>+VLOOKUP('3. Blasting'!AL162,Leyenda!$B$55:$D$59,3,FALSE)</f>
        <v>1</v>
      </c>
      <c r="AU162" s="18">
        <f>+VLOOKUP('3. Blasting'!AM162,Relleno,3,FALSE)</f>
        <v>0</v>
      </c>
      <c r="AV162" s="18">
        <f t="shared" si="76"/>
        <v>1</v>
      </c>
      <c r="AW162" s="49">
        <f t="shared" si="63"/>
        <v>0</v>
      </c>
      <c r="AX162" s="49">
        <f>VLOOKUP(AF162,Leyenda!$B$4:$D$10,3,FALSE)</f>
        <v>4</v>
      </c>
      <c r="AY162" s="50">
        <f t="shared" si="57"/>
        <v>5</v>
      </c>
      <c r="AZ162" s="49">
        <f t="shared" si="64"/>
        <v>1</v>
      </c>
      <c r="BA162" s="49">
        <f>VLOOKUP(AN162,Leyenda!$B$70:$D$75,3,FALSE)</f>
        <v>15</v>
      </c>
      <c r="BB162" s="67">
        <f t="shared" si="65"/>
        <v>1.5</v>
      </c>
      <c r="BC162" s="67">
        <f>VLOOKUP(AF162,Leyenda!$B$4:$E$10,4,FALSE)</f>
        <v>4</v>
      </c>
      <c r="BD162" s="67">
        <f t="shared" si="66"/>
        <v>5</v>
      </c>
      <c r="BE162" s="67">
        <f t="shared" si="67"/>
        <v>0</v>
      </c>
      <c r="BF162" s="67">
        <f>+VLOOKUP('3. Blasting'!AK162,Leyenda!$B$47:$E$51,4,FALSE)</f>
        <v>0</v>
      </c>
      <c r="BG162" s="67">
        <f>+VLOOKUP('3. Blasting'!AL162,Leyenda!$B$55:$E$59,4,FALSE)</f>
        <v>1</v>
      </c>
      <c r="BH162" s="67">
        <f>+VLOOKUP('3. Blasting'!AM162,Leyenda!$B$63:$E$67,3,FALSE)</f>
        <v>0</v>
      </c>
      <c r="BI162" s="67">
        <f>+VLOOKUP('3. Blasting'!AJ162,Leyenda!$B$39:$E$43,4,FALSE)</f>
        <v>0</v>
      </c>
      <c r="BJ162" s="67">
        <f>+VLOOKUP('3. Blasting'!AI162,Leyenda!$B$30:$E$34,4,FALSE)</f>
        <v>0</v>
      </c>
      <c r="BK162" s="67">
        <f>VLOOKUP(AN162,Leyenda!$B$71:$E$75,4,FALSE)</f>
        <v>10</v>
      </c>
      <c r="BL162" s="67">
        <f t="shared" si="68"/>
        <v>20</v>
      </c>
      <c r="BM162" s="18">
        <f t="shared" si="69"/>
        <v>25</v>
      </c>
      <c r="BN162" s="18"/>
      <c r="BO162" s="18"/>
      <c r="BP162">
        <f t="shared" si="70"/>
        <v>10</v>
      </c>
      <c r="BQ162">
        <f t="shared" si="71"/>
        <v>10</v>
      </c>
      <c r="BR162">
        <v>20</v>
      </c>
      <c r="BS162">
        <f t="shared" si="72"/>
        <v>-50</v>
      </c>
      <c r="BT162">
        <f t="shared" si="73"/>
        <v>0</v>
      </c>
      <c r="BU162">
        <f t="shared" si="74"/>
        <v>-5</v>
      </c>
      <c r="BV162" s="1">
        <f t="shared" si="58"/>
        <v>-0.02</v>
      </c>
      <c r="BW162" s="1">
        <f t="shared" si="59"/>
        <v>0</v>
      </c>
    </row>
    <row r="163" spans="1:75" hidden="1" x14ac:dyDescent="0.25">
      <c r="A163" s="18" t="s">
        <v>6</v>
      </c>
      <c r="B163" s="18">
        <v>2024</v>
      </c>
      <c r="C163" s="18" t="s">
        <v>138</v>
      </c>
      <c r="D163" s="18" t="s">
        <v>245</v>
      </c>
      <c r="E163" s="18">
        <v>50</v>
      </c>
      <c r="F163" s="18" t="s">
        <v>154</v>
      </c>
      <c r="G163" s="18" t="s">
        <v>293</v>
      </c>
      <c r="H163" s="4">
        <f t="shared" si="55"/>
        <v>24.5</v>
      </c>
      <c r="I163" s="4">
        <v>25</v>
      </c>
      <c r="J163" s="4">
        <f t="shared" si="60"/>
        <v>0.5</v>
      </c>
      <c r="K163" s="5">
        <v>0.52</v>
      </c>
      <c r="L163" s="31">
        <f t="shared" si="61"/>
        <v>0.26</v>
      </c>
      <c r="M163" s="31"/>
      <c r="N163" s="31"/>
      <c r="O163" s="31">
        <f t="shared" si="56"/>
        <v>0.26</v>
      </c>
      <c r="P163" s="31">
        <v>52</v>
      </c>
      <c r="Q163" s="31">
        <v>5</v>
      </c>
      <c r="R163" s="31">
        <v>0.2</v>
      </c>
      <c r="S163" s="31">
        <v>0</v>
      </c>
      <c r="T163" s="65">
        <f t="shared" si="75"/>
        <v>0</v>
      </c>
      <c r="U163" s="31">
        <v>10</v>
      </c>
      <c r="V163" s="31"/>
      <c r="W163" s="31">
        <f t="shared" si="77"/>
        <v>10</v>
      </c>
      <c r="X163" s="31">
        <f t="shared" si="78"/>
        <v>20</v>
      </c>
      <c r="Y163" s="31">
        <f t="shared" si="62"/>
        <v>0.02</v>
      </c>
      <c r="Z163" s="18">
        <v>0</v>
      </c>
      <c r="AA163" s="18" t="s">
        <v>96</v>
      </c>
      <c r="AB163" s="18" t="s">
        <v>118</v>
      </c>
      <c r="AC163" s="18" t="s">
        <v>334</v>
      </c>
      <c r="AD163" s="18">
        <v>5</v>
      </c>
      <c r="AE163" s="18">
        <v>52</v>
      </c>
      <c r="AF163" s="18" t="s">
        <v>27</v>
      </c>
      <c r="AG163" s="18" t="s">
        <v>239</v>
      </c>
      <c r="AH163" s="18" t="s">
        <v>239</v>
      </c>
      <c r="AI163" s="18" t="s">
        <v>69</v>
      </c>
      <c r="AJ163" s="18" t="s">
        <v>81</v>
      </c>
      <c r="AK163" s="18" t="s">
        <v>100</v>
      </c>
      <c r="AL163" s="18" t="s">
        <v>109</v>
      </c>
      <c r="AM163" s="18" t="s">
        <v>122</v>
      </c>
      <c r="AN163" s="18" t="s">
        <v>198</v>
      </c>
      <c r="AO163" s="18" t="s">
        <v>238</v>
      </c>
      <c r="AP163" s="18"/>
      <c r="AQ163" s="18">
        <f>+VLOOKUP(AI163,Leyenda!$B$30:$E$34,3,FALSE)</f>
        <v>0</v>
      </c>
      <c r="AR163" s="18">
        <f>+VLOOKUP('3. Blasting'!AJ163,Meteorizacion,3,FALSE)</f>
        <v>0</v>
      </c>
      <c r="AS163" s="18">
        <f>+VLOOKUP('3. Blasting'!AK163,Apertura,3,FALSE)</f>
        <v>0</v>
      </c>
      <c r="AT163" s="18">
        <f>+VLOOKUP('3. Blasting'!AL163,Leyenda!$B$55:$D$59,3,FALSE)</f>
        <v>1</v>
      </c>
      <c r="AU163" s="18">
        <f>+VLOOKUP('3. Blasting'!AM163,Relleno,3,FALSE)</f>
        <v>0</v>
      </c>
      <c r="AV163" s="18">
        <f t="shared" si="76"/>
        <v>1</v>
      </c>
      <c r="AW163" s="49">
        <f t="shared" si="63"/>
        <v>0</v>
      </c>
      <c r="AX163" s="49">
        <f>VLOOKUP(AF163,Leyenda!$B$4:$D$10,3,FALSE)</f>
        <v>4</v>
      </c>
      <c r="AY163" s="50">
        <f t="shared" si="57"/>
        <v>6</v>
      </c>
      <c r="AZ163" s="49">
        <f t="shared" si="64"/>
        <v>1</v>
      </c>
      <c r="BA163" s="49">
        <f>VLOOKUP(AN163,Leyenda!$B$70:$D$75,3,FALSE)</f>
        <v>15</v>
      </c>
      <c r="BB163" s="67">
        <f t="shared" si="65"/>
        <v>1.5</v>
      </c>
      <c r="BC163" s="67">
        <f>VLOOKUP(AF163,Leyenda!$B$4:$E$10,4,FALSE)</f>
        <v>4</v>
      </c>
      <c r="BD163" s="67">
        <f t="shared" si="66"/>
        <v>5</v>
      </c>
      <c r="BE163" s="67">
        <f t="shared" si="67"/>
        <v>0</v>
      </c>
      <c r="BF163" s="67">
        <f>+VLOOKUP('3. Blasting'!AK163,Leyenda!$B$47:$E$51,4,FALSE)</f>
        <v>0</v>
      </c>
      <c r="BG163" s="67">
        <f>+VLOOKUP('3. Blasting'!AL163,Leyenda!$B$55:$E$59,4,FALSE)</f>
        <v>1</v>
      </c>
      <c r="BH163" s="67">
        <f>+VLOOKUP('3. Blasting'!AM163,Leyenda!$B$63:$E$67,3,FALSE)</f>
        <v>0</v>
      </c>
      <c r="BI163" s="67">
        <f>+VLOOKUP('3. Blasting'!AJ163,Leyenda!$B$39:$E$43,4,FALSE)</f>
        <v>0</v>
      </c>
      <c r="BJ163" s="67">
        <f>+VLOOKUP('3. Blasting'!AI163,Leyenda!$B$30:$E$34,4,FALSE)</f>
        <v>0</v>
      </c>
      <c r="BK163" s="67">
        <f>VLOOKUP(AN163,Leyenda!$B$71:$E$75,4,FALSE)</f>
        <v>10</v>
      </c>
      <c r="BL163" s="67">
        <f t="shared" si="68"/>
        <v>20</v>
      </c>
      <c r="BM163" s="18">
        <f t="shared" si="69"/>
        <v>26</v>
      </c>
      <c r="BN163" s="18"/>
      <c r="BO163" s="18"/>
      <c r="BP163">
        <f t="shared" si="70"/>
        <v>10</v>
      </c>
      <c r="BQ163">
        <f t="shared" si="71"/>
        <v>10</v>
      </c>
      <c r="BR163">
        <v>20</v>
      </c>
      <c r="BS163">
        <f t="shared" si="72"/>
        <v>-50</v>
      </c>
      <c r="BT163">
        <f t="shared" si="73"/>
        <v>0</v>
      </c>
      <c r="BU163">
        <f t="shared" si="74"/>
        <v>-5</v>
      </c>
      <c r="BV163" s="1">
        <f t="shared" si="58"/>
        <v>-0.02</v>
      </c>
      <c r="BW163" s="1">
        <f t="shared" si="59"/>
        <v>0</v>
      </c>
    </row>
    <row r="164" spans="1:75" hidden="1" x14ac:dyDescent="0.25">
      <c r="A164" s="18" t="s">
        <v>6</v>
      </c>
      <c r="B164" s="18">
        <v>2024</v>
      </c>
      <c r="C164" s="18" t="s">
        <v>138</v>
      </c>
      <c r="D164" s="18" t="s">
        <v>245</v>
      </c>
      <c r="E164" s="18">
        <v>50</v>
      </c>
      <c r="F164" s="18" t="s">
        <v>154</v>
      </c>
      <c r="G164" s="18" t="s">
        <v>293</v>
      </c>
      <c r="H164" s="4">
        <f t="shared" si="55"/>
        <v>25</v>
      </c>
      <c r="I164" s="4">
        <v>25.5</v>
      </c>
      <c r="J164" s="4">
        <f t="shared" si="60"/>
        <v>0.5</v>
      </c>
      <c r="K164" s="5">
        <v>0.5</v>
      </c>
      <c r="L164" s="31">
        <f t="shared" si="61"/>
        <v>0.25</v>
      </c>
      <c r="M164" s="31"/>
      <c r="N164" s="31"/>
      <c r="O164" s="31">
        <f t="shared" si="56"/>
        <v>0.25</v>
      </c>
      <c r="P164" s="31">
        <v>50</v>
      </c>
      <c r="Q164" s="31">
        <v>5</v>
      </c>
      <c r="R164" s="31">
        <v>0.23</v>
      </c>
      <c r="S164" s="31">
        <v>0</v>
      </c>
      <c r="T164" s="65">
        <f t="shared" si="75"/>
        <v>0</v>
      </c>
      <c r="U164" s="31">
        <v>10</v>
      </c>
      <c r="V164" s="31"/>
      <c r="W164" s="31">
        <f t="shared" si="77"/>
        <v>10</v>
      </c>
      <c r="X164" s="31">
        <f t="shared" si="78"/>
        <v>23</v>
      </c>
      <c r="Y164" s="31">
        <f t="shared" si="62"/>
        <v>2.3E-2</v>
      </c>
      <c r="Z164" s="18">
        <v>0</v>
      </c>
      <c r="AA164" s="18" t="s">
        <v>96</v>
      </c>
      <c r="AB164" s="18" t="s">
        <v>118</v>
      </c>
      <c r="AC164" s="18" t="s">
        <v>334</v>
      </c>
      <c r="AD164" s="18">
        <v>5</v>
      </c>
      <c r="AE164" s="18">
        <v>50</v>
      </c>
      <c r="AF164" s="18" t="s">
        <v>27</v>
      </c>
      <c r="AG164" s="18" t="s">
        <v>239</v>
      </c>
      <c r="AH164" s="18" t="s">
        <v>239</v>
      </c>
      <c r="AI164" s="18" t="s">
        <v>69</v>
      </c>
      <c r="AJ164" s="18" t="s">
        <v>81</v>
      </c>
      <c r="AK164" s="18" t="s">
        <v>100</v>
      </c>
      <c r="AL164" s="18" t="s">
        <v>109</v>
      </c>
      <c r="AM164" s="18" t="s">
        <v>122</v>
      </c>
      <c r="AN164" s="18" t="s">
        <v>198</v>
      </c>
      <c r="AO164" s="18" t="s">
        <v>238</v>
      </c>
      <c r="AP164" s="18"/>
      <c r="AQ164" s="18">
        <f>+VLOOKUP(AI164,Leyenda!$B$30:$E$34,3,FALSE)</f>
        <v>0</v>
      </c>
      <c r="AR164" s="18">
        <f>+VLOOKUP('3. Blasting'!AJ164,Meteorizacion,3,FALSE)</f>
        <v>0</v>
      </c>
      <c r="AS164" s="18">
        <f>+VLOOKUP('3. Blasting'!AK164,Apertura,3,FALSE)</f>
        <v>0</v>
      </c>
      <c r="AT164" s="18">
        <f>+VLOOKUP('3. Blasting'!AL164,Leyenda!$B$55:$D$59,3,FALSE)</f>
        <v>1</v>
      </c>
      <c r="AU164" s="18">
        <f>+VLOOKUP('3. Blasting'!AM164,Relleno,3,FALSE)</f>
        <v>0</v>
      </c>
      <c r="AV164" s="18">
        <f t="shared" si="76"/>
        <v>1</v>
      </c>
      <c r="AW164" s="49">
        <f t="shared" si="63"/>
        <v>0</v>
      </c>
      <c r="AX164" s="49">
        <f>VLOOKUP(AF164,Leyenda!$B$4:$D$10,3,FALSE)</f>
        <v>4</v>
      </c>
      <c r="AY164" s="50">
        <f t="shared" si="57"/>
        <v>6</v>
      </c>
      <c r="AZ164" s="49">
        <f t="shared" si="64"/>
        <v>1</v>
      </c>
      <c r="BA164" s="49">
        <f>VLOOKUP(AN164,Leyenda!$B$70:$D$75,3,FALSE)</f>
        <v>15</v>
      </c>
      <c r="BB164" s="67">
        <f t="shared" si="65"/>
        <v>1.5</v>
      </c>
      <c r="BC164" s="67">
        <f>VLOOKUP(AF164,Leyenda!$B$4:$E$10,4,FALSE)</f>
        <v>4</v>
      </c>
      <c r="BD164" s="67">
        <f t="shared" si="66"/>
        <v>5</v>
      </c>
      <c r="BE164" s="67">
        <f t="shared" si="67"/>
        <v>0</v>
      </c>
      <c r="BF164" s="67">
        <f>+VLOOKUP('3. Blasting'!AK164,Leyenda!$B$47:$E$51,4,FALSE)</f>
        <v>0</v>
      </c>
      <c r="BG164" s="67">
        <f>+VLOOKUP('3. Blasting'!AL164,Leyenda!$B$55:$E$59,4,FALSE)</f>
        <v>1</v>
      </c>
      <c r="BH164" s="67">
        <f>+VLOOKUP('3. Blasting'!AM164,Leyenda!$B$63:$E$67,3,FALSE)</f>
        <v>0</v>
      </c>
      <c r="BI164" s="67">
        <f>+VLOOKUP('3. Blasting'!AJ164,Leyenda!$B$39:$E$43,4,FALSE)</f>
        <v>0</v>
      </c>
      <c r="BJ164" s="67">
        <f>+VLOOKUP('3. Blasting'!AI164,Leyenda!$B$30:$E$34,4,FALSE)</f>
        <v>0</v>
      </c>
      <c r="BK164" s="67">
        <f>VLOOKUP(AN164,Leyenda!$B$71:$E$75,4,FALSE)</f>
        <v>10</v>
      </c>
      <c r="BL164" s="67">
        <f t="shared" si="68"/>
        <v>20</v>
      </c>
      <c r="BM164" s="18">
        <f t="shared" si="69"/>
        <v>26</v>
      </c>
      <c r="BN164" s="18"/>
      <c r="BO164" s="18"/>
      <c r="BP164">
        <f t="shared" si="70"/>
        <v>10</v>
      </c>
      <c r="BQ164">
        <f t="shared" si="71"/>
        <v>10</v>
      </c>
      <c r="BR164">
        <v>20</v>
      </c>
      <c r="BS164">
        <f t="shared" si="72"/>
        <v>-50</v>
      </c>
      <c r="BT164">
        <f t="shared" si="73"/>
        <v>0</v>
      </c>
      <c r="BU164">
        <f t="shared" si="74"/>
        <v>-5</v>
      </c>
      <c r="BV164" s="1">
        <f t="shared" si="58"/>
        <v>-0.02</v>
      </c>
      <c r="BW164" s="1">
        <f t="shared" si="59"/>
        <v>0</v>
      </c>
    </row>
    <row r="165" spans="1:75" hidden="1" x14ac:dyDescent="0.25">
      <c r="A165" s="36" t="s">
        <v>6</v>
      </c>
      <c r="B165" s="36">
        <v>2024</v>
      </c>
      <c r="C165" s="36" t="s">
        <v>138</v>
      </c>
      <c r="D165" s="36" t="s">
        <v>245</v>
      </c>
      <c r="E165" s="36">
        <v>50</v>
      </c>
      <c r="F165" s="36" t="s">
        <v>154</v>
      </c>
      <c r="G165" s="36" t="s">
        <v>293</v>
      </c>
      <c r="H165" s="107">
        <f t="shared" si="55"/>
        <v>25.5</v>
      </c>
      <c r="I165" s="107">
        <v>26</v>
      </c>
      <c r="J165" s="107">
        <f t="shared" si="60"/>
        <v>0.5</v>
      </c>
      <c r="K165" s="108">
        <v>0.5</v>
      </c>
      <c r="L165" s="106">
        <f t="shared" si="61"/>
        <v>0.25</v>
      </c>
      <c r="M165" s="106"/>
      <c r="N165" s="106"/>
      <c r="O165" s="106">
        <f t="shared" si="56"/>
        <v>0.25</v>
      </c>
      <c r="P165" s="106">
        <v>50</v>
      </c>
      <c r="Q165" s="106">
        <v>5</v>
      </c>
      <c r="R165" s="106">
        <v>0.25</v>
      </c>
      <c r="S165" s="106">
        <v>0</v>
      </c>
      <c r="T165" s="112">
        <f t="shared" si="75"/>
        <v>0</v>
      </c>
      <c r="U165" s="106">
        <v>10</v>
      </c>
      <c r="V165" s="106"/>
      <c r="W165" s="106">
        <f t="shared" si="77"/>
        <v>10</v>
      </c>
      <c r="X165" s="106">
        <f t="shared" si="78"/>
        <v>25</v>
      </c>
      <c r="Y165" s="106">
        <f t="shared" si="62"/>
        <v>2.5000000000000001E-2</v>
      </c>
      <c r="Z165" s="36">
        <v>0</v>
      </c>
      <c r="AA165" s="36" t="s">
        <v>96</v>
      </c>
      <c r="AB165" s="36" t="s">
        <v>118</v>
      </c>
      <c r="AC165" s="36" t="s">
        <v>334</v>
      </c>
      <c r="AD165" s="36">
        <v>5</v>
      </c>
      <c r="AE165" s="36">
        <v>50</v>
      </c>
      <c r="AF165" s="36" t="s">
        <v>27</v>
      </c>
      <c r="AG165" s="36" t="s">
        <v>239</v>
      </c>
      <c r="AH165" s="36" t="s">
        <v>239</v>
      </c>
      <c r="AI165" s="36" t="s">
        <v>69</v>
      </c>
      <c r="AJ165" s="36" t="s">
        <v>81</v>
      </c>
      <c r="AK165" s="36" t="s">
        <v>100</v>
      </c>
      <c r="AL165" s="36" t="s">
        <v>109</v>
      </c>
      <c r="AM165" s="36" t="s">
        <v>122</v>
      </c>
      <c r="AN165" s="36" t="s">
        <v>198</v>
      </c>
      <c r="AO165" s="36" t="s">
        <v>238</v>
      </c>
      <c r="AP165" s="36"/>
      <c r="AQ165" s="36">
        <f>+VLOOKUP(AI165,Leyenda!$B$30:$E$34,3,FALSE)</f>
        <v>0</v>
      </c>
      <c r="AR165" s="36">
        <f>+VLOOKUP('3. Blasting'!AJ165,Meteorizacion,3,FALSE)</f>
        <v>0</v>
      </c>
      <c r="AS165" s="36">
        <f>+VLOOKUP('3. Blasting'!AK165,Apertura,3,FALSE)</f>
        <v>0</v>
      </c>
      <c r="AT165" s="36">
        <f>+VLOOKUP('3. Blasting'!AL165,Leyenda!$B$55:$D$59,3,FALSE)</f>
        <v>1</v>
      </c>
      <c r="AU165" s="36">
        <f>+VLOOKUP('3. Blasting'!AM165,Relleno,3,FALSE)</f>
        <v>0</v>
      </c>
      <c r="AV165" s="36">
        <f t="shared" si="76"/>
        <v>1</v>
      </c>
      <c r="AW165" s="50">
        <f t="shared" si="63"/>
        <v>0</v>
      </c>
      <c r="AX165" s="50">
        <f>VLOOKUP(AF165,Leyenda!$B$4:$D$10,3,FALSE)</f>
        <v>4</v>
      </c>
      <c r="AY165" s="50">
        <f t="shared" si="57"/>
        <v>6</v>
      </c>
      <c r="AZ165" s="50">
        <f t="shared" si="64"/>
        <v>1</v>
      </c>
      <c r="BA165" s="50">
        <f>VLOOKUP(AN165,Leyenda!$B$70:$D$75,3,FALSE)</f>
        <v>15</v>
      </c>
      <c r="BB165" s="110">
        <f t="shared" si="65"/>
        <v>1.5</v>
      </c>
      <c r="BC165" s="110">
        <f>VLOOKUP(AF165,Leyenda!$B$4:$E$10,4,FALSE)</f>
        <v>4</v>
      </c>
      <c r="BD165" s="110">
        <f t="shared" si="66"/>
        <v>5</v>
      </c>
      <c r="BE165" s="110">
        <f t="shared" si="67"/>
        <v>0</v>
      </c>
      <c r="BF165" s="110">
        <f>+VLOOKUP('3. Blasting'!AK165,Leyenda!$B$47:$E$51,4,FALSE)</f>
        <v>0</v>
      </c>
      <c r="BG165" s="110">
        <f>+VLOOKUP('3. Blasting'!AL165,Leyenda!$B$55:$E$59,4,FALSE)</f>
        <v>1</v>
      </c>
      <c r="BH165" s="110">
        <f>+VLOOKUP('3. Blasting'!AM165,Leyenda!$B$63:$E$67,3,FALSE)</f>
        <v>0</v>
      </c>
      <c r="BI165" s="110">
        <f>+VLOOKUP('3. Blasting'!AJ165,Leyenda!$B$39:$E$43,4,FALSE)</f>
        <v>0</v>
      </c>
      <c r="BJ165" s="110">
        <f>+VLOOKUP('3. Blasting'!AI165,Leyenda!$B$30:$E$34,4,FALSE)</f>
        <v>0</v>
      </c>
      <c r="BK165" s="110">
        <f>VLOOKUP(AN165,Leyenda!$B$71:$E$75,4,FALSE)</f>
        <v>10</v>
      </c>
      <c r="BL165" s="110">
        <f t="shared" si="68"/>
        <v>20</v>
      </c>
      <c r="BM165" s="36">
        <f t="shared" si="69"/>
        <v>26</v>
      </c>
      <c r="BN165" s="36"/>
      <c r="BO165" s="36"/>
      <c r="BP165">
        <f t="shared" si="70"/>
        <v>10</v>
      </c>
      <c r="BQ165">
        <f t="shared" si="71"/>
        <v>10</v>
      </c>
      <c r="BR165">
        <v>20</v>
      </c>
      <c r="BS165">
        <f t="shared" si="72"/>
        <v>-50</v>
      </c>
      <c r="BT165">
        <f t="shared" si="73"/>
        <v>0</v>
      </c>
      <c r="BU165">
        <f t="shared" si="74"/>
        <v>-5</v>
      </c>
      <c r="BV165" s="1">
        <f t="shared" si="58"/>
        <v>-0.02</v>
      </c>
      <c r="BW165" s="1">
        <f t="shared" si="59"/>
        <v>0</v>
      </c>
    </row>
    <row r="166" spans="1:75" x14ac:dyDescent="0.25">
      <c r="A166" s="18" t="s">
        <v>6</v>
      </c>
      <c r="B166" s="18">
        <v>2024</v>
      </c>
      <c r="C166" s="18" t="s">
        <v>138</v>
      </c>
      <c r="D166" s="18" t="s">
        <v>245</v>
      </c>
      <c r="E166" s="18">
        <v>40</v>
      </c>
      <c r="F166" s="18" t="s">
        <v>153</v>
      </c>
      <c r="G166" s="18" t="s">
        <v>293</v>
      </c>
      <c r="H166" s="4">
        <f t="shared" si="55"/>
        <v>26</v>
      </c>
      <c r="I166" s="4">
        <v>26.5</v>
      </c>
      <c r="J166" s="4">
        <f t="shared" si="60"/>
        <v>0.5</v>
      </c>
      <c r="K166" s="5">
        <v>0.57999999999999996</v>
      </c>
      <c r="L166" s="31">
        <f t="shared" si="61"/>
        <v>0.28999999999999998</v>
      </c>
      <c r="M166" s="31">
        <v>2.14</v>
      </c>
      <c r="N166" s="31">
        <v>31.3</v>
      </c>
      <c r="O166" s="31">
        <f t="shared" si="56"/>
        <v>0.28999999999999998</v>
      </c>
      <c r="P166" s="31">
        <v>290</v>
      </c>
      <c r="Q166" s="31">
        <v>1</v>
      </c>
      <c r="R166" s="31">
        <v>0.28000000000000003</v>
      </c>
      <c r="S166" s="31">
        <v>0</v>
      </c>
      <c r="T166" s="65">
        <f t="shared" si="75"/>
        <v>0</v>
      </c>
      <c r="U166" s="31">
        <v>10</v>
      </c>
      <c r="V166" s="31"/>
      <c r="W166" s="31">
        <f t="shared" si="77"/>
        <v>10</v>
      </c>
      <c r="X166" s="31">
        <f t="shared" si="78"/>
        <v>28</v>
      </c>
      <c r="Y166" s="31">
        <f t="shared" si="62"/>
        <v>2.8000000000000001E-2</v>
      </c>
      <c r="Z166" s="18">
        <v>0</v>
      </c>
      <c r="AA166" s="18" t="s">
        <v>96</v>
      </c>
      <c r="AB166" s="18" t="s">
        <v>116</v>
      </c>
      <c r="AC166" s="18" t="s">
        <v>334</v>
      </c>
      <c r="AD166" s="18">
        <v>1</v>
      </c>
      <c r="AE166" s="18">
        <v>290</v>
      </c>
      <c r="AF166" s="18" t="s">
        <v>27</v>
      </c>
      <c r="AG166" s="18" t="s">
        <v>239</v>
      </c>
      <c r="AH166" s="18" t="s">
        <v>239</v>
      </c>
      <c r="AI166" s="18" t="s">
        <v>69</v>
      </c>
      <c r="AJ166" s="18" t="s">
        <v>81</v>
      </c>
      <c r="AK166" s="18" t="s">
        <v>100</v>
      </c>
      <c r="AL166" s="18" t="s">
        <v>109</v>
      </c>
      <c r="AM166" s="18" t="s">
        <v>122</v>
      </c>
      <c r="AN166" s="18" t="s">
        <v>198</v>
      </c>
      <c r="AO166" s="18" t="s">
        <v>238</v>
      </c>
      <c r="AP166" s="18"/>
      <c r="AQ166" s="18">
        <f>+VLOOKUP(AI166,Leyenda!$B$30:$E$34,3,FALSE)</f>
        <v>0</v>
      </c>
      <c r="AR166" s="18">
        <f>+VLOOKUP('3. Blasting'!AJ166,Meteorizacion,3,FALSE)</f>
        <v>0</v>
      </c>
      <c r="AS166" s="18">
        <f>+VLOOKUP('3. Blasting'!AK166,Apertura,3,FALSE)</f>
        <v>0</v>
      </c>
      <c r="AT166" s="18">
        <f>+VLOOKUP('3. Blasting'!AL166,Leyenda!$B$55:$D$59,3,FALSE)</f>
        <v>1</v>
      </c>
      <c r="AU166" s="18">
        <f>+VLOOKUP('3. Blasting'!AM166,Relleno,3,FALSE)</f>
        <v>0</v>
      </c>
      <c r="AV166" s="18">
        <f t="shared" si="76"/>
        <v>1</v>
      </c>
      <c r="AW166" s="49">
        <f t="shared" si="63"/>
        <v>0</v>
      </c>
      <c r="AX166" s="49">
        <f>VLOOKUP(AF166,Leyenda!$B$4:$D$10,3,FALSE)</f>
        <v>4</v>
      </c>
      <c r="AY166" s="49">
        <f t="shared" si="57"/>
        <v>10</v>
      </c>
      <c r="AZ166" s="49">
        <f t="shared" si="64"/>
        <v>1</v>
      </c>
      <c r="BA166" s="49">
        <f>VLOOKUP(AN166,Leyenda!$B$70:$D$75,3,FALSE)</f>
        <v>15</v>
      </c>
      <c r="BB166" s="67">
        <f t="shared" si="65"/>
        <v>1.5</v>
      </c>
      <c r="BC166" s="67">
        <f>VLOOKUP(AF166,Leyenda!$B$4:$E$10,4,FALSE)</f>
        <v>4</v>
      </c>
      <c r="BD166" s="67">
        <f t="shared" si="66"/>
        <v>5</v>
      </c>
      <c r="BE166" s="67">
        <f t="shared" si="67"/>
        <v>0</v>
      </c>
      <c r="BF166" s="67">
        <f>+VLOOKUP('3. Blasting'!AK166,Leyenda!$B$47:$E$51,4,FALSE)</f>
        <v>0</v>
      </c>
      <c r="BG166" s="67">
        <f>+VLOOKUP('3. Blasting'!AL166,Leyenda!$B$55:$E$59,4,FALSE)</f>
        <v>1</v>
      </c>
      <c r="BH166" s="67">
        <f>+VLOOKUP('3. Blasting'!AM166,Leyenda!$B$63:$E$67,3,FALSE)</f>
        <v>0</v>
      </c>
      <c r="BI166" s="67">
        <f>+VLOOKUP('3. Blasting'!AJ166,Leyenda!$B$39:$E$43,4,FALSE)</f>
        <v>0</v>
      </c>
      <c r="BJ166" s="67">
        <f>+VLOOKUP('3. Blasting'!AI166,Leyenda!$B$30:$E$34,4,FALSE)</f>
        <v>0</v>
      </c>
      <c r="BK166" s="67">
        <f>VLOOKUP(AN166,Leyenda!$B$71:$E$75,4,FALSE)</f>
        <v>10</v>
      </c>
      <c r="BL166" s="125">
        <f t="shared" si="68"/>
        <v>20</v>
      </c>
      <c r="BM166" s="85">
        <f t="shared" si="69"/>
        <v>30</v>
      </c>
      <c r="BN166" s="18" t="e">
        <f t="shared" ref="BN166:BN199" si="79">+CORREL(BB166:BB515,BL166:BL515)</f>
        <v>#N/A</v>
      </c>
      <c r="BO166" s="18"/>
      <c r="BP166" s="6">
        <f t="shared" si="70"/>
        <v>10</v>
      </c>
      <c r="BQ166" s="6">
        <f t="shared" si="71"/>
        <v>10</v>
      </c>
      <c r="BR166" s="6">
        <v>20</v>
      </c>
      <c r="BS166" s="6">
        <f t="shared" si="72"/>
        <v>3.5</v>
      </c>
      <c r="BT166" s="6">
        <f t="shared" si="73"/>
        <v>1.5650000000000002</v>
      </c>
      <c r="BU166" s="6">
        <f t="shared" si="74"/>
        <v>22.532499999999999</v>
      </c>
      <c r="BV166" s="18">
        <f t="shared" si="58"/>
        <v>9.0130000000000002E-2</v>
      </c>
      <c r="BW166" s="18">
        <f t="shared" si="59"/>
        <v>0.19287820000000003</v>
      </c>
    </row>
    <row r="167" spans="1:75" x14ac:dyDescent="0.25">
      <c r="A167" s="18" t="s">
        <v>6</v>
      </c>
      <c r="B167" s="18">
        <v>2024</v>
      </c>
      <c r="C167" s="18" t="s">
        <v>138</v>
      </c>
      <c r="D167" s="18" t="s">
        <v>245</v>
      </c>
      <c r="E167" s="18">
        <v>40</v>
      </c>
      <c r="F167" s="18" t="s">
        <v>153</v>
      </c>
      <c r="G167" s="18" t="s">
        <v>293</v>
      </c>
      <c r="H167" s="4">
        <f t="shared" si="55"/>
        <v>26.5</v>
      </c>
      <c r="I167" s="4">
        <v>27</v>
      </c>
      <c r="J167" s="4">
        <f t="shared" si="60"/>
        <v>0.5</v>
      </c>
      <c r="K167" s="5">
        <v>0.52</v>
      </c>
      <c r="L167" s="31">
        <f t="shared" si="61"/>
        <v>0.26</v>
      </c>
      <c r="M167" s="31">
        <v>2.14</v>
      </c>
      <c r="N167" s="31">
        <v>31.3</v>
      </c>
      <c r="O167" s="31">
        <f t="shared" si="56"/>
        <v>0.26</v>
      </c>
      <c r="P167" s="31">
        <v>260</v>
      </c>
      <c r="Q167" s="31">
        <v>1</v>
      </c>
      <c r="R167" s="31">
        <v>0.24</v>
      </c>
      <c r="S167" s="31">
        <v>0</v>
      </c>
      <c r="T167" s="65">
        <f t="shared" si="75"/>
        <v>0</v>
      </c>
      <c r="U167" s="31">
        <v>100</v>
      </c>
      <c r="V167" s="31"/>
      <c r="W167" s="31">
        <f t="shared" si="77"/>
        <v>100</v>
      </c>
      <c r="X167" s="31">
        <f t="shared" si="78"/>
        <v>2.4</v>
      </c>
      <c r="Y167" s="31">
        <f t="shared" si="62"/>
        <v>2.3999999999999998E-3</v>
      </c>
      <c r="Z167" s="18">
        <v>0</v>
      </c>
      <c r="AA167" s="18" t="s">
        <v>96</v>
      </c>
      <c r="AB167" s="18" t="s">
        <v>116</v>
      </c>
      <c r="AC167" s="18" t="s">
        <v>334</v>
      </c>
      <c r="AD167" s="18">
        <v>1</v>
      </c>
      <c r="AE167" s="18">
        <v>260</v>
      </c>
      <c r="AF167" s="18" t="s">
        <v>27</v>
      </c>
      <c r="AG167" s="18" t="s">
        <v>239</v>
      </c>
      <c r="AH167" s="18" t="s">
        <v>239</v>
      </c>
      <c r="AI167" s="18" t="s">
        <v>69</v>
      </c>
      <c r="AJ167" s="18" t="s">
        <v>81</v>
      </c>
      <c r="AK167" s="18" t="s">
        <v>100</v>
      </c>
      <c r="AL167" s="18" t="s">
        <v>109</v>
      </c>
      <c r="AM167" s="18" t="s">
        <v>122</v>
      </c>
      <c r="AN167" s="18" t="s">
        <v>198</v>
      </c>
      <c r="AO167" s="18" t="s">
        <v>238</v>
      </c>
      <c r="AP167" s="18"/>
      <c r="AQ167" s="18">
        <f>+VLOOKUP(AI167,Leyenda!$B$30:$E$34,3,FALSE)</f>
        <v>0</v>
      </c>
      <c r="AR167" s="18">
        <f>+VLOOKUP('3. Blasting'!AJ167,Meteorizacion,3,FALSE)</f>
        <v>0</v>
      </c>
      <c r="AS167" s="18">
        <f>+VLOOKUP('3. Blasting'!AK167,Apertura,3,FALSE)</f>
        <v>0</v>
      </c>
      <c r="AT167" s="18">
        <f>+VLOOKUP('3. Blasting'!AL167,Leyenda!$B$55:$D$59,3,FALSE)</f>
        <v>1</v>
      </c>
      <c r="AU167" s="18">
        <f>+VLOOKUP('3. Blasting'!AM167,Relleno,3,FALSE)</f>
        <v>0</v>
      </c>
      <c r="AV167" s="18">
        <f t="shared" si="76"/>
        <v>1</v>
      </c>
      <c r="AW167" s="49">
        <f t="shared" si="63"/>
        <v>0</v>
      </c>
      <c r="AX167" s="49">
        <f>VLOOKUP(AF167,Leyenda!$B$4:$D$10,3,FALSE)</f>
        <v>4</v>
      </c>
      <c r="AY167" s="49">
        <f t="shared" si="57"/>
        <v>10</v>
      </c>
      <c r="AZ167" s="49">
        <f t="shared" si="64"/>
        <v>1</v>
      </c>
      <c r="BA167" s="49">
        <f>VLOOKUP(AN167,Leyenda!$B$70:$D$75,3,FALSE)</f>
        <v>15</v>
      </c>
      <c r="BB167" s="67">
        <f t="shared" si="65"/>
        <v>1.5</v>
      </c>
      <c r="BC167" s="67">
        <f>VLOOKUP(AF167,Leyenda!$B$4:$E$10,4,FALSE)</f>
        <v>4</v>
      </c>
      <c r="BD167" s="67">
        <f t="shared" si="66"/>
        <v>5</v>
      </c>
      <c r="BE167" s="67">
        <f t="shared" si="67"/>
        <v>0</v>
      </c>
      <c r="BF167" s="67">
        <f>+VLOOKUP('3. Blasting'!AK167,Leyenda!$B$47:$E$51,4,FALSE)</f>
        <v>0</v>
      </c>
      <c r="BG167" s="67">
        <f>+VLOOKUP('3. Blasting'!AL167,Leyenda!$B$55:$E$59,4,FALSE)</f>
        <v>1</v>
      </c>
      <c r="BH167" s="67">
        <f>+VLOOKUP('3. Blasting'!AM167,Leyenda!$B$63:$E$67,3,FALSE)</f>
        <v>0</v>
      </c>
      <c r="BI167" s="67">
        <f>+VLOOKUP('3. Blasting'!AJ167,Leyenda!$B$39:$E$43,4,FALSE)</f>
        <v>0</v>
      </c>
      <c r="BJ167" s="67">
        <f>+VLOOKUP('3. Blasting'!AI167,Leyenda!$B$30:$E$34,4,FALSE)</f>
        <v>0</v>
      </c>
      <c r="BK167" s="67">
        <f>VLOOKUP(AN167,Leyenda!$B$71:$E$75,4,FALSE)</f>
        <v>10</v>
      </c>
      <c r="BL167" s="125">
        <f t="shared" si="68"/>
        <v>20</v>
      </c>
      <c r="BM167" s="85">
        <f t="shared" si="69"/>
        <v>30</v>
      </c>
      <c r="BN167" s="18" t="e">
        <f t="shared" si="79"/>
        <v>#N/A</v>
      </c>
      <c r="BO167" s="18"/>
      <c r="BP167" s="6">
        <f t="shared" si="70"/>
        <v>10</v>
      </c>
      <c r="BQ167" s="6">
        <f t="shared" si="71"/>
        <v>10</v>
      </c>
      <c r="BR167" s="6">
        <v>20</v>
      </c>
      <c r="BS167" s="6">
        <f t="shared" si="72"/>
        <v>3.5</v>
      </c>
      <c r="BT167" s="6">
        <f t="shared" si="73"/>
        <v>1.5650000000000002</v>
      </c>
      <c r="BU167" s="6">
        <f t="shared" si="74"/>
        <v>22.532499999999999</v>
      </c>
      <c r="BV167" s="18">
        <f t="shared" si="58"/>
        <v>9.0130000000000002E-2</v>
      </c>
      <c r="BW167" s="18">
        <f t="shared" si="59"/>
        <v>0.19287820000000003</v>
      </c>
    </row>
    <row r="168" spans="1:75" x14ac:dyDescent="0.25">
      <c r="A168" s="18" t="s">
        <v>6</v>
      </c>
      <c r="B168" s="18">
        <v>2024</v>
      </c>
      <c r="C168" s="18" t="s">
        <v>138</v>
      </c>
      <c r="D168" s="18" t="s">
        <v>245</v>
      </c>
      <c r="E168" s="18">
        <v>40</v>
      </c>
      <c r="F168" s="18" t="s">
        <v>153</v>
      </c>
      <c r="G168" s="18" t="s">
        <v>293</v>
      </c>
      <c r="H168" s="4">
        <f t="shared" si="55"/>
        <v>27</v>
      </c>
      <c r="I168" s="4">
        <v>27.5</v>
      </c>
      <c r="J168" s="4">
        <f t="shared" si="60"/>
        <v>0.5</v>
      </c>
      <c r="K168" s="5">
        <v>0.42</v>
      </c>
      <c r="L168" s="31">
        <f t="shared" si="61"/>
        <v>0.21</v>
      </c>
      <c r="M168" s="31">
        <v>2.14</v>
      </c>
      <c r="N168" s="31">
        <v>31.3</v>
      </c>
      <c r="O168" s="31">
        <f t="shared" si="56"/>
        <v>0.21</v>
      </c>
      <c r="P168" s="31">
        <v>210</v>
      </c>
      <c r="Q168" s="31">
        <v>1</v>
      </c>
      <c r="R168" s="31">
        <v>0.21</v>
      </c>
      <c r="S168" s="31">
        <v>0</v>
      </c>
      <c r="T168" s="65">
        <f t="shared" si="75"/>
        <v>0</v>
      </c>
      <c r="U168" s="31">
        <v>5</v>
      </c>
      <c r="V168" s="31"/>
      <c r="W168" s="31">
        <f t="shared" si="77"/>
        <v>5</v>
      </c>
      <c r="X168" s="31">
        <f t="shared" si="78"/>
        <v>42</v>
      </c>
      <c r="Y168" s="31">
        <f t="shared" si="62"/>
        <v>4.2000000000000003E-2</v>
      </c>
      <c r="Z168" s="18">
        <v>0</v>
      </c>
      <c r="AA168" s="18" t="s">
        <v>96</v>
      </c>
      <c r="AB168" s="18" t="s">
        <v>116</v>
      </c>
      <c r="AC168" s="18" t="s">
        <v>334</v>
      </c>
      <c r="AD168" s="18">
        <v>1</v>
      </c>
      <c r="AE168" s="18">
        <v>210</v>
      </c>
      <c r="AF168" s="18" t="s">
        <v>27</v>
      </c>
      <c r="AG168" s="18" t="s">
        <v>239</v>
      </c>
      <c r="AH168" s="18" t="s">
        <v>239</v>
      </c>
      <c r="AI168" s="18" t="s">
        <v>69</v>
      </c>
      <c r="AJ168" s="18" t="s">
        <v>81</v>
      </c>
      <c r="AK168" s="18" t="s">
        <v>100</v>
      </c>
      <c r="AL168" s="18" t="s">
        <v>109</v>
      </c>
      <c r="AM168" s="18" t="s">
        <v>122</v>
      </c>
      <c r="AN168" s="18" t="s">
        <v>198</v>
      </c>
      <c r="AO168" s="18" t="s">
        <v>238</v>
      </c>
      <c r="AP168" s="18"/>
      <c r="AQ168" s="18">
        <f>+VLOOKUP(AI168,Leyenda!$B$30:$E$34,3,FALSE)</f>
        <v>0</v>
      </c>
      <c r="AR168" s="18">
        <f>+VLOOKUP('3. Blasting'!AJ168,Meteorizacion,3,FALSE)</f>
        <v>0</v>
      </c>
      <c r="AS168" s="18">
        <f>+VLOOKUP('3. Blasting'!AK168,Apertura,3,FALSE)</f>
        <v>0</v>
      </c>
      <c r="AT168" s="18">
        <f>+VLOOKUP('3. Blasting'!AL168,Leyenda!$B$55:$D$59,3,FALSE)</f>
        <v>1</v>
      </c>
      <c r="AU168" s="18">
        <f>+VLOOKUP('3. Blasting'!AM168,Relleno,3,FALSE)</f>
        <v>0</v>
      </c>
      <c r="AV168" s="18">
        <f t="shared" si="76"/>
        <v>1</v>
      </c>
      <c r="AW168" s="49">
        <f t="shared" si="63"/>
        <v>0</v>
      </c>
      <c r="AX168" s="49">
        <f>VLOOKUP(AF168,Leyenda!$B$4:$D$10,3,FALSE)</f>
        <v>4</v>
      </c>
      <c r="AY168" s="49">
        <f t="shared" si="57"/>
        <v>9</v>
      </c>
      <c r="AZ168" s="49">
        <f t="shared" si="64"/>
        <v>1</v>
      </c>
      <c r="BA168" s="49">
        <f>VLOOKUP(AN168,Leyenda!$B$70:$D$75,3,FALSE)</f>
        <v>15</v>
      </c>
      <c r="BB168" s="67">
        <f t="shared" si="65"/>
        <v>1.5</v>
      </c>
      <c r="BC168" s="67">
        <f>VLOOKUP(AF168,Leyenda!$B$4:$E$10,4,FALSE)</f>
        <v>4</v>
      </c>
      <c r="BD168" s="67">
        <f t="shared" si="66"/>
        <v>5</v>
      </c>
      <c r="BE168" s="67">
        <f t="shared" si="67"/>
        <v>0</v>
      </c>
      <c r="BF168" s="67">
        <f>+VLOOKUP('3. Blasting'!AK168,Leyenda!$B$47:$E$51,4,FALSE)</f>
        <v>0</v>
      </c>
      <c r="BG168" s="67">
        <f>+VLOOKUP('3. Blasting'!AL168,Leyenda!$B$55:$E$59,4,FALSE)</f>
        <v>1</v>
      </c>
      <c r="BH168" s="67">
        <f>+VLOOKUP('3. Blasting'!AM168,Leyenda!$B$63:$E$67,3,FALSE)</f>
        <v>0</v>
      </c>
      <c r="BI168" s="67">
        <f>+VLOOKUP('3. Blasting'!AJ168,Leyenda!$B$39:$E$43,4,FALSE)</f>
        <v>0</v>
      </c>
      <c r="BJ168" s="67">
        <f>+VLOOKUP('3. Blasting'!AI168,Leyenda!$B$30:$E$34,4,FALSE)</f>
        <v>0</v>
      </c>
      <c r="BK168" s="67">
        <f>VLOOKUP(AN168,Leyenda!$B$71:$E$75,4,FALSE)</f>
        <v>10</v>
      </c>
      <c r="BL168" s="125">
        <f t="shared" si="68"/>
        <v>20</v>
      </c>
      <c r="BM168" s="85">
        <f t="shared" si="69"/>
        <v>29</v>
      </c>
      <c r="BN168" s="18" t="e">
        <f t="shared" si="79"/>
        <v>#N/A</v>
      </c>
      <c r="BO168" s="18"/>
      <c r="BP168" s="6">
        <f t="shared" si="70"/>
        <v>10</v>
      </c>
      <c r="BQ168" s="6">
        <f t="shared" si="71"/>
        <v>10</v>
      </c>
      <c r="BR168" s="6">
        <v>20</v>
      </c>
      <c r="BS168" s="6">
        <f t="shared" si="72"/>
        <v>3.5</v>
      </c>
      <c r="BT168" s="6">
        <f t="shared" si="73"/>
        <v>1.5650000000000002</v>
      </c>
      <c r="BU168" s="6">
        <f t="shared" si="74"/>
        <v>22.532499999999999</v>
      </c>
      <c r="BV168" s="18">
        <f t="shared" si="58"/>
        <v>9.0130000000000002E-2</v>
      </c>
      <c r="BW168" s="18">
        <f t="shared" si="59"/>
        <v>0.19287820000000003</v>
      </c>
    </row>
    <row r="169" spans="1:75" x14ac:dyDescent="0.25">
      <c r="A169" s="18" t="s">
        <v>6</v>
      </c>
      <c r="B169" s="18">
        <v>2024</v>
      </c>
      <c r="C169" s="18" t="s">
        <v>138</v>
      </c>
      <c r="D169" s="18" t="s">
        <v>245</v>
      </c>
      <c r="E169" s="18">
        <v>40</v>
      </c>
      <c r="F169" s="18" t="s">
        <v>153</v>
      </c>
      <c r="G169" s="18" t="s">
        <v>293</v>
      </c>
      <c r="H169" s="4">
        <f t="shared" si="55"/>
        <v>27.5</v>
      </c>
      <c r="I169" s="4">
        <v>28</v>
      </c>
      <c r="J169" s="4">
        <f t="shared" si="60"/>
        <v>0.5</v>
      </c>
      <c r="K169" s="5">
        <v>0.4</v>
      </c>
      <c r="L169" s="31">
        <f t="shared" si="61"/>
        <v>0.2</v>
      </c>
      <c r="M169" s="31">
        <v>2.14</v>
      </c>
      <c r="N169" s="31">
        <v>31.3</v>
      </c>
      <c r="O169" s="31">
        <f t="shared" si="56"/>
        <v>0.2</v>
      </c>
      <c r="P169" s="31">
        <v>200</v>
      </c>
      <c r="Q169" s="31">
        <v>1</v>
      </c>
      <c r="R169" s="31">
        <v>0.2</v>
      </c>
      <c r="S169" s="31">
        <v>0</v>
      </c>
      <c r="T169" s="65">
        <f t="shared" si="75"/>
        <v>0</v>
      </c>
      <c r="U169" s="31">
        <v>10</v>
      </c>
      <c r="V169" s="31"/>
      <c r="W169" s="31">
        <f t="shared" si="77"/>
        <v>10</v>
      </c>
      <c r="X169" s="31">
        <f t="shared" si="78"/>
        <v>20</v>
      </c>
      <c r="Y169" s="31">
        <f t="shared" si="62"/>
        <v>0.02</v>
      </c>
      <c r="Z169" s="18">
        <v>0</v>
      </c>
      <c r="AA169" s="18" t="s">
        <v>96</v>
      </c>
      <c r="AB169" s="18" t="s">
        <v>116</v>
      </c>
      <c r="AC169" s="18" t="s">
        <v>334</v>
      </c>
      <c r="AD169" s="18">
        <v>1</v>
      </c>
      <c r="AE169" s="18">
        <v>200</v>
      </c>
      <c r="AF169" s="18" t="s">
        <v>27</v>
      </c>
      <c r="AG169" s="18" t="s">
        <v>239</v>
      </c>
      <c r="AH169" s="18" t="s">
        <v>239</v>
      </c>
      <c r="AI169" s="18" t="s">
        <v>69</v>
      </c>
      <c r="AJ169" s="18" t="s">
        <v>81</v>
      </c>
      <c r="AK169" s="18" t="s">
        <v>100</v>
      </c>
      <c r="AL169" s="18" t="s">
        <v>109</v>
      </c>
      <c r="AM169" s="18" t="s">
        <v>122</v>
      </c>
      <c r="AN169" s="18" t="s">
        <v>198</v>
      </c>
      <c r="AO169" s="18" t="s">
        <v>238</v>
      </c>
      <c r="AP169" s="18"/>
      <c r="AQ169" s="18">
        <f>+VLOOKUP(AI169,Leyenda!$B$30:$E$34,3,FALSE)</f>
        <v>0</v>
      </c>
      <c r="AR169" s="18">
        <f>+VLOOKUP('3. Blasting'!AJ169,Meteorizacion,3,FALSE)</f>
        <v>0</v>
      </c>
      <c r="AS169" s="18">
        <f>+VLOOKUP('3. Blasting'!AK169,Apertura,3,FALSE)</f>
        <v>0</v>
      </c>
      <c r="AT169" s="18">
        <f>+VLOOKUP('3. Blasting'!AL169,Leyenda!$B$55:$D$59,3,FALSE)</f>
        <v>1</v>
      </c>
      <c r="AU169" s="18">
        <f>+VLOOKUP('3. Blasting'!AM169,Relleno,3,FALSE)</f>
        <v>0</v>
      </c>
      <c r="AV169" s="18">
        <f t="shared" si="76"/>
        <v>1</v>
      </c>
      <c r="AW169" s="49">
        <f t="shared" si="63"/>
        <v>0</v>
      </c>
      <c r="AX169" s="49">
        <f>VLOOKUP(AF169,Leyenda!$B$4:$D$10,3,FALSE)</f>
        <v>4</v>
      </c>
      <c r="AY169" s="49">
        <f t="shared" si="57"/>
        <v>9</v>
      </c>
      <c r="AZ169" s="49">
        <f t="shared" si="64"/>
        <v>1</v>
      </c>
      <c r="BA169" s="49">
        <f>VLOOKUP(AN169,Leyenda!$B$70:$D$75,3,FALSE)</f>
        <v>15</v>
      </c>
      <c r="BB169" s="67">
        <f t="shared" si="65"/>
        <v>1.5</v>
      </c>
      <c r="BC169" s="67">
        <f>VLOOKUP(AF169,Leyenda!$B$4:$E$10,4,FALSE)</f>
        <v>4</v>
      </c>
      <c r="BD169" s="67">
        <f t="shared" si="66"/>
        <v>5</v>
      </c>
      <c r="BE169" s="67">
        <f t="shared" si="67"/>
        <v>0</v>
      </c>
      <c r="BF169" s="67">
        <f>+VLOOKUP('3. Blasting'!AK169,Leyenda!$B$47:$E$51,4,FALSE)</f>
        <v>0</v>
      </c>
      <c r="BG169" s="67">
        <f>+VLOOKUP('3. Blasting'!AL169,Leyenda!$B$55:$E$59,4,FALSE)</f>
        <v>1</v>
      </c>
      <c r="BH169" s="67">
        <f>+VLOOKUP('3. Blasting'!AM169,Leyenda!$B$63:$E$67,3,FALSE)</f>
        <v>0</v>
      </c>
      <c r="BI169" s="67">
        <f>+VLOOKUP('3. Blasting'!AJ169,Leyenda!$B$39:$E$43,4,FALSE)</f>
        <v>0</v>
      </c>
      <c r="BJ169" s="67">
        <f>+VLOOKUP('3. Blasting'!AI169,Leyenda!$B$30:$E$34,4,FALSE)</f>
        <v>0</v>
      </c>
      <c r="BK169" s="67">
        <f>VLOOKUP(AN169,Leyenda!$B$71:$E$75,4,FALSE)</f>
        <v>10</v>
      </c>
      <c r="BL169" s="125">
        <f t="shared" si="68"/>
        <v>20</v>
      </c>
      <c r="BM169" s="85">
        <f t="shared" si="69"/>
        <v>29</v>
      </c>
      <c r="BN169" s="18" t="e">
        <f t="shared" si="79"/>
        <v>#N/A</v>
      </c>
      <c r="BO169" s="18"/>
      <c r="BP169" s="6">
        <f t="shared" si="70"/>
        <v>10</v>
      </c>
      <c r="BQ169" s="6">
        <f t="shared" si="71"/>
        <v>10</v>
      </c>
      <c r="BR169" s="6">
        <v>20</v>
      </c>
      <c r="BS169" s="6">
        <f t="shared" si="72"/>
        <v>3.5</v>
      </c>
      <c r="BT169" s="6">
        <f t="shared" si="73"/>
        <v>1.5650000000000002</v>
      </c>
      <c r="BU169" s="6">
        <f t="shared" si="74"/>
        <v>22.532499999999999</v>
      </c>
      <c r="BV169" s="18">
        <f t="shared" si="58"/>
        <v>9.0130000000000002E-2</v>
      </c>
      <c r="BW169" s="18">
        <f t="shared" si="59"/>
        <v>0.19287820000000003</v>
      </c>
    </row>
    <row r="170" spans="1:75" x14ac:dyDescent="0.25">
      <c r="A170" s="18" t="s">
        <v>6</v>
      </c>
      <c r="B170" s="18">
        <v>2024</v>
      </c>
      <c r="C170" s="18" t="s">
        <v>138</v>
      </c>
      <c r="D170" s="18" t="s">
        <v>245</v>
      </c>
      <c r="E170" s="18">
        <v>40</v>
      </c>
      <c r="F170" s="18" t="s">
        <v>153</v>
      </c>
      <c r="G170" s="18" t="s">
        <v>293</v>
      </c>
      <c r="H170" s="4">
        <f t="shared" si="55"/>
        <v>28</v>
      </c>
      <c r="I170" s="4">
        <v>28.5</v>
      </c>
      <c r="J170" s="4">
        <f t="shared" si="60"/>
        <v>0.5</v>
      </c>
      <c r="K170" s="5">
        <v>0</v>
      </c>
      <c r="L170" s="31">
        <f t="shared" si="61"/>
        <v>0</v>
      </c>
      <c r="M170" s="31">
        <v>2.14</v>
      </c>
      <c r="N170" s="31">
        <v>31.3</v>
      </c>
      <c r="O170" s="31">
        <f t="shared" si="56"/>
        <v>0</v>
      </c>
      <c r="P170" s="31" t="s">
        <v>348</v>
      </c>
      <c r="Q170" s="31">
        <v>1</v>
      </c>
      <c r="R170" s="31">
        <v>0.5</v>
      </c>
      <c r="S170" s="31">
        <v>0</v>
      </c>
      <c r="T170" s="65">
        <f t="shared" si="75"/>
        <v>0</v>
      </c>
      <c r="U170" s="31">
        <v>10</v>
      </c>
      <c r="V170" s="31"/>
      <c r="W170" s="31">
        <f t="shared" si="77"/>
        <v>10</v>
      </c>
      <c r="X170" s="31"/>
      <c r="Y170" s="31">
        <f t="shared" si="62"/>
        <v>0</v>
      </c>
      <c r="Z170" s="18">
        <v>0</v>
      </c>
      <c r="AA170" s="18" t="s">
        <v>96</v>
      </c>
      <c r="AB170" s="18" t="s">
        <v>116</v>
      </c>
      <c r="AC170" s="18" t="s">
        <v>334</v>
      </c>
      <c r="AD170" s="18">
        <v>1</v>
      </c>
      <c r="AE170" s="18" t="s">
        <v>348</v>
      </c>
      <c r="AF170" s="18" t="s">
        <v>27</v>
      </c>
      <c r="AG170" s="18" t="s">
        <v>239</v>
      </c>
      <c r="AH170" s="18" t="s">
        <v>239</v>
      </c>
      <c r="AI170" s="18" t="s">
        <v>69</v>
      </c>
      <c r="AJ170" s="18" t="s">
        <v>81</v>
      </c>
      <c r="AK170" s="18" t="s">
        <v>100</v>
      </c>
      <c r="AL170" s="18" t="s">
        <v>109</v>
      </c>
      <c r="AM170" s="18" t="s">
        <v>122</v>
      </c>
      <c r="AN170" s="18" t="s">
        <v>198</v>
      </c>
      <c r="AO170" s="18" t="s">
        <v>238</v>
      </c>
      <c r="AP170" s="18"/>
      <c r="AQ170" s="18">
        <f>+VLOOKUP(AI170,Leyenda!$B$30:$E$34,3,FALSE)</f>
        <v>0</v>
      </c>
      <c r="AR170" s="18">
        <f>+VLOOKUP('3. Blasting'!AJ170,Meteorizacion,3,FALSE)</f>
        <v>0</v>
      </c>
      <c r="AS170" s="18">
        <f>+VLOOKUP('3. Blasting'!AK170,Apertura,3,FALSE)</f>
        <v>0</v>
      </c>
      <c r="AT170" s="18">
        <f>+VLOOKUP('3. Blasting'!AL170,Leyenda!$B$55:$D$59,3,FALSE)</f>
        <v>1</v>
      </c>
      <c r="AU170" s="18">
        <f>+VLOOKUP('3. Blasting'!AM170,Relleno,3,FALSE)</f>
        <v>0</v>
      </c>
      <c r="AV170" s="18">
        <f t="shared" si="76"/>
        <v>1</v>
      </c>
      <c r="AW170" s="49">
        <f t="shared" si="63"/>
        <v>0</v>
      </c>
      <c r="AX170" s="49">
        <f>VLOOKUP(AF170,Leyenda!$B$4:$D$10,3,FALSE)</f>
        <v>4</v>
      </c>
      <c r="AY170" s="49" t="e">
        <f t="shared" si="57"/>
        <v>#VALUE!</v>
      </c>
      <c r="AZ170" s="49">
        <f t="shared" si="64"/>
        <v>1</v>
      </c>
      <c r="BA170" s="49">
        <f>VLOOKUP(AN170,Leyenda!$B$70:$D$75,3,FALSE)</f>
        <v>15</v>
      </c>
      <c r="BB170" s="67">
        <f t="shared" si="65"/>
        <v>1.5</v>
      </c>
      <c r="BC170" s="67">
        <f>VLOOKUP(AF170,Leyenda!$B$4:$E$10,4,FALSE)</f>
        <v>4</v>
      </c>
      <c r="BD170" s="67">
        <f t="shared" si="66"/>
        <v>5</v>
      </c>
      <c r="BE170" s="67">
        <f t="shared" si="67"/>
        <v>0</v>
      </c>
      <c r="BF170" s="67">
        <f>+VLOOKUP('3. Blasting'!AK170,Leyenda!$B$47:$E$51,4,FALSE)</f>
        <v>0</v>
      </c>
      <c r="BG170" s="67">
        <f>+VLOOKUP('3. Blasting'!AL170,Leyenda!$B$55:$E$59,4,FALSE)</f>
        <v>1</v>
      </c>
      <c r="BH170" s="67">
        <f>+VLOOKUP('3. Blasting'!AM170,Leyenda!$B$63:$E$67,3,FALSE)</f>
        <v>0</v>
      </c>
      <c r="BI170" s="67">
        <f>+VLOOKUP('3. Blasting'!AJ170,Leyenda!$B$39:$E$43,4,FALSE)</f>
        <v>0</v>
      </c>
      <c r="BJ170" s="67">
        <f>+VLOOKUP('3. Blasting'!AI170,Leyenda!$B$30:$E$34,4,FALSE)</f>
        <v>0</v>
      </c>
      <c r="BK170" s="67">
        <f>VLOOKUP(AN170,Leyenda!$B$71:$E$75,4,FALSE)</f>
        <v>10</v>
      </c>
      <c r="BL170" s="125">
        <f t="shared" si="68"/>
        <v>20</v>
      </c>
      <c r="BM170" s="85" t="e">
        <f t="shared" si="69"/>
        <v>#VALUE!</v>
      </c>
      <c r="BN170" s="18" t="e">
        <f t="shared" si="79"/>
        <v>#N/A</v>
      </c>
      <c r="BO170" s="18"/>
      <c r="BP170" s="6">
        <f t="shared" si="70"/>
        <v>10</v>
      </c>
      <c r="BQ170" s="6">
        <f t="shared" si="71"/>
        <v>10</v>
      </c>
      <c r="BR170" s="6">
        <v>20</v>
      </c>
      <c r="BS170" s="6">
        <f t="shared" si="72"/>
        <v>3.5</v>
      </c>
      <c r="BT170" s="6">
        <f t="shared" si="73"/>
        <v>1.5650000000000002</v>
      </c>
      <c r="BU170" s="6">
        <f t="shared" si="74"/>
        <v>22.532499999999999</v>
      </c>
      <c r="BV170" s="18">
        <f t="shared" si="58"/>
        <v>9.0130000000000002E-2</v>
      </c>
      <c r="BW170" s="18">
        <f t="shared" si="59"/>
        <v>0.19287820000000003</v>
      </c>
    </row>
    <row r="171" spans="1:75" x14ac:dyDescent="0.25">
      <c r="A171" s="18" t="s">
        <v>6</v>
      </c>
      <c r="B171" s="18">
        <v>2024</v>
      </c>
      <c r="C171" s="18" t="s">
        <v>138</v>
      </c>
      <c r="D171" s="18" t="s">
        <v>245</v>
      </c>
      <c r="E171" s="18">
        <v>40</v>
      </c>
      <c r="F171" s="18" t="s">
        <v>153</v>
      </c>
      <c r="G171" s="18" t="s">
        <v>293</v>
      </c>
      <c r="H171" s="4">
        <f t="shared" si="55"/>
        <v>28.5</v>
      </c>
      <c r="I171" s="4">
        <v>29</v>
      </c>
      <c r="J171" s="4">
        <f t="shared" si="60"/>
        <v>0.5</v>
      </c>
      <c r="K171" s="5">
        <v>0.26</v>
      </c>
      <c r="L171" s="31">
        <f t="shared" si="61"/>
        <v>0.13</v>
      </c>
      <c r="M171" s="31">
        <v>2.14</v>
      </c>
      <c r="N171" s="31">
        <v>31.3</v>
      </c>
      <c r="O171" s="31">
        <f t="shared" si="56"/>
        <v>0.13</v>
      </c>
      <c r="P171" s="31">
        <v>26</v>
      </c>
      <c r="Q171" s="31">
        <v>5</v>
      </c>
      <c r="R171" s="31">
        <v>0.13</v>
      </c>
      <c r="S171" s="31">
        <v>0</v>
      </c>
      <c r="T171" s="65">
        <f t="shared" si="75"/>
        <v>0</v>
      </c>
      <c r="U171" s="31">
        <v>10</v>
      </c>
      <c r="V171" s="31"/>
      <c r="W171" s="31">
        <f t="shared" si="77"/>
        <v>10</v>
      </c>
      <c r="X171" s="31">
        <f t="shared" si="78"/>
        <v>13</v>
      </c>
      <c r="Y171" s="31">
        <f t="shared" si="62"/>
        <v>1.2999999999999999E-2</v>
      </c>
      <c r="Z171" s="18">
        <v>0</v>
      </c>
      <c r="AA171" s="18" t="s">
        <v>96</v>
      </c>
      <c r="AB171" s="18" t="s">
        <v>118</v>
      </c>
      <c r="AC171" s="18" t="s">
        <v>334</v>
      </c>
      <c r="AD171" s="18">
        <v>5</v>
      </c>
      <c r="AE171" s="18">
        <v>26</v>
      </c>
      <c r="AF171" s="18" t="s">
        <v>27</v>
      </c>
      <c r="AG171" s="18" t="s">
        <v>239</v>
      </c>
      <c r="AH171" s="18" t="s">
        <v>239</v>
      </c>
      <c r="AI171" s="18" t="s">
        <v>69</v>
      </c>
      <c r="AJ171" s="18" t="s">
        <v>81</v>
      </c>
      <c r="AK171" s="18" t="s">
        <v>100</v>
      </c>
      <c r="AL171" s="18" t="s">
        <v>109</v>
      </c>
      <c r="AM171" s="18" t="s">
        <v>122</v>
      </c>
      <c r="AN171" s="18" t="s">
        <v>198</v>
      </c>
      <c r="AO171" s="18" t="s">
        <v>238</v>
      </c>
      <c r="AP171" s="18"/>
      <c r="AQ171" s="18">
        <f>+VLOOKUP(AI171,Leyenda!$B$30:$E$34,3,FALSE)</f>
        <v>0</v>
      </c>
      <c r="AR171" s="18">
        <f>+VLOOKUP('3. Blasting'!AJ171,Meteorizacion,3,FALSE)</f>
        <v>0</v>
      </c>
      <c r="AS171" s="18">
        <f>+VLOOKUP('3. Blasting'!AK171,Apertura,3,FALSE)</f>
        <v>0</v>
      </c>
      <c r="AT171" s="18">
        <f>+VLOOKUP('3. Blasting'!AL171,Leyenda!$B$55:$D$59,3,FALSE)</f>
        <v>1</v>
      </c>
      <c r="AU171" s="18">
        <f>+VLOOKUP('3. Blasting'!AM171,Relleno,3,FALSE)</f>
        <v>0</v>
      </c>
      <c r="AV171" s="18">
        <f t="shared" si="76"/>
        <v>1</v>
      </c>
      <c r="AW171" s="49">
        <f t="shared" si="63"/>
        <v>0</v>
      </c>
      <c r="AX171" s="49">
        <f>VLOOKUP(AF171,Leyenda!$B$4:$D$10,3,FALSE)</f>
        <v>4</v>
      </c>
      <c r="AY171" s="49">
        <f t="shared" si="57"/>
        <v>5</v>
      </c>
      <c r="AZ171" s="49">
        <f t="shared" si="64"/>
        <v>1</v>
      </c>
      <c r="BA171" s="49">
        <f>VLOOKUP(AN171,Leyenda!$B$70:$D$75,3,FALSE)</f>
        <v>15</v>
      </c>
      <c r="BB171" s="67">
        <f t="shared" si="65"/>
        <v>1.5</v>
      </c>
      <c r="BC171" s="67">
        <f>VLOOKUP(AF171,Leyenda!$B$4:$E$10,4,FALSE)</f>
        <v>4</v>
      </c>
      <c r="BD171" s="67">
        <f t="shared" si="66"/>
        <v>5</v>
      </c>
      <c r="BE171" s="67">
        <f t="shared" si="67"/>
        <v>0</v>
      </c>
      <c r="BF171" s="67">
        <f>+VLOOKUP('3. Blasting'!AK171,Leyenda!$B$47:$E$51,4,FALSE)</f>
        <v>0</v>
      </c>
      <c r="BG171" s="67">
        <f>+VLOOKUP('3. Blasting'!AL171,Leyenda!$B$55:$E$59,4,FALSE)</f>
        <v>1</v>
      </c>
      <c r="BH171" s="67">
        <f>+VLOOKUP('3. Blasting'!AM171,Leyenda!$B$63:$E$67,3,FALSE)</f>
        <v>0</v>
      </c>
      <c r="BI171" s="67">
        <f>+VLOOKUP('3. Blasting'!AJ171,Leyenda!$B$39:$E$43,4,FALSE)</f>
        <v>0</v>
      </c>
      <c r="BJ171" s="67">
        <f>+VLOOKUP('3. Blasting'!AI171,Leyenda!$B$30:$E$34,4,FALSE)</f>
        <v>0</v>
      </c>
      <c r="BK171" s="67">
        <f>VLOOKUP(AN171,Leyenda!$B$71:$E$75,4,FALSE)</f>
        <v>10</v>
      </c>
      <c r="BL171" s="125">
        <f t="shared" si="68"/>
        <v>20</v>
      </c>
      <c r="BM171" s="85">
        <f t="shared" si="69"/>
        <v>25</v>
      </c>
      <c r="BN171" s="18" t="e">
        <f t="shared" si="79"/>
        <v>#N/A</v>
      </c>
      <c r="BO171" s="18"/>
      <c r="BP171" s="6">
        <f t="shared" si="70"/>
        <v>10</v>
      </c>
      <c r="BQ171" s="6">
        <f t="shared" si="71"/>
        <v>10</v>
      </c>
      <c r="BR171" s="6">
        <v>20</v>
      </c>
      <c r="BS171" s="6">
        <f t="shared" si="72"/>
        <v>3.5</v>
      </c>
      <c r="BT171" s="6">
        <f t="shared" si="73"/>
        <v>1.5650000000000002</v>
      </c>
      <c r="BU171" s="6">
        <f t="shared" si="74"/>
        <v>22.532499999999999</v>
      </c>
      <c r="BV171" s="18">
        <f t="shared" si="58"/>
        <v>9.0130000000000002E-2</v>
      </c>
      <c r="BW171" s="18">
        <f t="shared" si="59"/>
        <v>0.19287820000000003</v>
      </c>
    </row>
    <row r="172" spans="1:75" x14ac:dyDescent="0.25">
      <c r="A172" s="18" t="s">
        <v>6</v>
      </c>
      <c r="B172" s="18">
        <v>2024</v>
      </c>
      <c r="C172" s="18" t="s">
        <v>138</v>
      </c>
      <c r="D172" s="18" t="s">
        <v>245</v>
      </c>
      <c r="E172" s="18">
        <v>40</v>
      </c>
      <c r="F172" s="18" t="s">
        <v>153</v>
      </c>
      <c r="G172" s="18" t="s">
        <v>293</v>
      </c>
      <c r="H172" s="4">
        <f t="shared" si="55"/>
        <v>29</v>
      </c>
      <c r="I172" s="4">
        <v>29.5</v>
      </c>
      <c r="J172" s="4">
        <f t="shared" si="60"/>
        <v>0.5</v>
      </c>
      <c r="K172" s="5">
        <v>0.34</v>
      </c>
      <c r="L172" s="31">
        <f t="shared" si="61"/>
        <v>0.17</v>
      </c>
      <c r="M172" s="31">
        <v>2.14</v>
      </c>
      <c r="N172" s="31">
        <v>31.3</v>
      </c>
      <c r="O172" s="31">
        <f t="shared" si="56"/>
        <v>0.17</v>
      </c>
      <c r="P172" s="31">
        <v>170</v>
      </c>
      <c r="Q172" s="31">
        <v>1</v>
      </c>
      <c r="R172" s="31">
        <v>0.17</v>
      </c>
      <c r="S172" s="31">
        <v>0</v>
      </c>
      <c r="T172" s="65">
        <f t="shared" si="75"/>
        <v>0</v>
      </c>
      <c r="U172" s="31">
        <v>10</v>
      </c>
      <c r="V172" s="31"/>
      <c r="W172" s="31">
        <f t="shared" si="77"/>
        <v>10</v>
      </c>
      <c r="X172" s="31">
        <f t="shared" si="78"/>
        <v>17</v>
      </c>
      <c r="Y172" s="31">
        <f t="shared" si="62"/>
        <v>1.7000000000000001E-2</v>
      </c>
      <c r="Z172" s="18">
        <v>0</v>
      </c>
      <c r="AA172" s="18" t="s">
        <v>96</v>
      </c>
      <c r="AB172" s="18" t="s">
        <v>116</v>
      </c>
      <c r="AC172" s="18" t="s">
        <v>334</v>
      </c>
      <c r="AD172" s="18">
        <v>1</v>
      </c>
      <c r="AE172" s="18">
        <v>170</v>
      </c>
      <c r="AF172" s="18" t="s">
        <v>27</v>
      </c>
      <c r="AG172" s="18" t="s">
        <v>239</v>
      </c>
      <c r="AH172" s="18" t="s">
        <v>239</v>
      </c>
      <c r="AI172" s="18" t="s">
        <v>69</v>
      </c>
      <c r="AJ172" s="18" t="s">
        <v>81</v>
      </c>
      <c r="AK172" s="18" t="s">
        <v>100</v>
      </c>
      <c r="AL172" s="18" t="s">
        <v>109</v>
      </c>
      <c r="AM172" s="18" t="s">
        <v>122</v>
      </c>
      <c r="AN172" s="18" t="s">
        <v>198</v>
      </c>
      <c r="AO172" s="18"/>
      <c r="AP172" s="18"/>
      <c r="AQ172" s="18">
        <f>+VLOOKUP(AI172,Leyenda!$B$30:$E$34,3,FALSE)</f>
        <v>0</v>
      </c>
      <c r="AR172" s="18">
        <f>+VLOOKUP('3. Blasting'!AJ172,Meteorizacion,3,FALSE)</f>
        <v>0</v>
      </c>
      <c r="AS172" s="18">
        <f>+VLOOKUP('3. Blasting'!AK172,Apertura,3,FALSE)</f>
        <v>0</v>
      </c>
      <c r="AT172" s="18">
        <f>+VLOOKUP('3. Blasting'!AL172,Leyenda!$B$55:$D$59,3,FALSE)</f>
        <v>1</v>
      </c>
      <c r="AU172" s="18">
        <f>+VLOOKUP('3. Blasting'!AM172,Relleno,3,FALSE)</f>
        <v>0</v>
      </c>
      <c r="AV172" s="18">
        <f t="shared" si="76"/>
        <v>1</v>
      </c>
      <c r="AW172" s="49">
        <f t="shared" si="63"/>
        <v>0</v>
      </c>
      <c r="AX172" s="49">
        <f>VLOOKUP(AF172,Leyenda!$B$4:$D$10,3,FALSE)</f>
        <v>4</v>
      </c>
      <c r="AY172" s="49">
        <f t="shared" si="57"/>
        <v>9</v>
      </c>
      <c r="AZ172" s="49">
        <f t="shared" si="64"/>
        <v>1</v>
      </c>
      <c r="BA172" s="49">
        <f>VLOOKUP(AN172,Leyenda!$B$70:$D$75,3,FALSE)</f>
        <v>15</v>
      </c>
      <c r="BB172" s="67">
        <f t="shared" si="65"/>
        <v>1.5</v>
      </c>
      <c r="BC172" s="67">
        <f>VLOOKUP(AF172,Leyenda!$B$4:$E$10,4,FALSE)</f>
        <v>4</v>
      </c>
      <c r="BD172" s="67">
        <f t="shared" si="66"/>
        <v>5</v>
      </c>
      <c r="BE172" s="67">
        <f t="shared" si="67"/>
        <v>0</v>
      </c>
      <c r="BF172" s="67">
        <f>+VLOOKUP('3. Blasting'!AK172,Leyenda!$B$47:$E$51,4,FALSE)</f>
        <v>0</v>
      </c>
      <c r="BG172" s="67">
        <f>+VLOOKUP('3. Blasting'!AL172,Leyenda!$B$55:$E$59,4,FALSE)</f>
        <v>1</v>
      </c>
      <c r="BH172" s="67">
        <f>+VLOOKUP('3. Blasting'!AM172,Leyenda!$B$63:$E$67,3,FALSE)</f>
        <v>0</v>
      </c>
      <c r="BI172" s="67">
        <f>+VLOOKUP('3. Blasting'!AJ172,Leyenda!$B$39:$E$43,4,FALSE)</f>
        <v>0</v>
      </c>
      <c r="BJ172" s="67">
        <f>+VLOOKUP('3. Blasting'!AI172,Leyenda!$B$30:$E$34,4,FALSE)</f>
        <v>0</v>
      </c>
      <c r="BK172" s="67">
        <f>VLOOKUP(AN172,Leyenda!$B$71:$E$75,4,FALSE)</f>
        <v>10</v>
      </c>
      <c r="BL172" s="125">
        <f t="shared" si="68"/>
        <v>20</v>
      </c>
      <c r="BM172" s="85">
        <f t="shared" si="69"/>
        <v>29</v>
      </c>
      <c r="BN172" s="18" t="e">
        <f t="shared" si="79"/>
        <v>#N/A</v>
      </c>
      <c r="BO172" s="18"/>
      <c r="BP172" s="6">
        <f t="shared" si="70"/>
        <v>10</v>
      </c>
      <c r="BQ172" s="6">
        <f t="shared" si="71"/>
        <v>10</v>
      </c>
      <c r="BR172" s="6">
        <v>20</v>
      </c>
      <c r="BS172" s="6">
        <f t="shared" si="72"/>
        <v>3.5</v>
      </c>
      <c r="BT172" s="6">
        <f t="shared" si="73"/>
        <v>1.5650000000000002</v>
      </c>
      <c r="BU172" s="6">
        <f t="shared" si="74"/>
        <v>22.532499999999999</v>
      </c>
      <c r="BV172" s="18">
        <f t="shared" si="58"/>
        <v>9.0130000000000002E-2</v>
      </c>
      <c r="BW172" s="18">
        <f t="shared" si="59"/>
        <v>0.19287820000000003</v>
      </c>
    </row>
    <row r="173" spans="1:75" x14ac:dyDescent="0.25">
      <c r="A173" s="18" t="s">
        <v>6</v>
      </c>
      <c r="B173" s="18">
        <v>2024</v>
      </c>
      <c r="C173" s="18" t="s">
        <v>138</v>
      </c>
      <c r="D173" s="18" t="s">
        <v>245</v>
      </c>
      <c r="E173" s="18">
        <v>40</v>
      </c>
      <c r="F173" s="18" t="s">
        <v>153</v>
      </c>
      <c r="G173" s="18" t="s">
        <v>293</v>
      </c>
      <c r="H173" s="4">
        <f t="shared" si="55"/>
        <v>29.5</v>
      </c>
      <c r="I173" s="4">
        <v>30</v>
      </c>
      <c r="J173" s="4">
        <f t="shared" si="60"/>
        <v>0.5</v>
      </c>
      <c r="K173" s="5">
        <v>0.36</v>
      </c>
      <c r="L173" s="31">
        <f t="shared" si="61"/>
        <v>0.18</v>
      </c>
      <c r="M173" s="31">
        <v>2.14</v>
      </c>
      <c r="N173" s="31">
        <v>31.3</v>
      </c>
      <c r="O173" s="31">
        <f t="shared" si="56"/>
        <v>0.18</v>
      </c>
      <c r="P173" s="31">
        <v>36</v>
      </c>
      <c r="Q173" s="31">
        <v>5</v>
      </c>
      <c r="R173" s="31">
        <v>0.16</v>
      </c>
      <c r="S173" s="31">
        <v>0</v>
      </c>
      <c r="T173" s="65">
        <f t="shared" si="75"/>
        <v>0</v>
      </c>
      <c r="U173" s="31">
        <v>10</v>
      </c>
      <c r="V173" s="31"/>
      <c r="W173" s="31">
        <f t="shared" si="77"/>
        <v>10</v>
      </c>
      <c r="X173" s="31">
        <f t="shared" si="78"/>
        <v>16</v>
      </c>
      <c r="Y173" s="31">
        <f t="shared" si="62"/>
        <v>1.6E-2</v>
      </c>
      <c r="Z173" s="18">
        <v>0</v>
      </c>
      <c r="AA173" s="18" t="s">
        <v>96</v>
      </c>
      <c r="AB173" s="18" t="s">
        <v>118</v>
      </c>
      <c r="AC173" s="18" t="s">
        <v>334</v>
      </c>
      <c r="AD173" s="18">
        <v>5</v>
      </c>
      <c r="AE173" s="18">
        <v>36</v>
      </c>
      <c r="AF173" s="18" t="s">
        <v>27</v>
      </c>
      <c r="AG173" s="18" t="s">
        <v>239</v>
      </c>
      <c r="AH173" s="18" t="s">
        <v>239</v>
      </c>
      <c r="AI173" s="18" t="s">
        <v>69</v>
      </c>
      <c r="AJ173" s="18" t="s">
        <v>81</v>
      </c>
      <c r="AK173" s="18" t="s">
        <v>100</v>
      </c>
      <c r="AL173" s="18" t="s">
        <v>109</v>
      </c>
      <c r="AM173" s="18" t="s">
        <v>122</v>
      </c>
      <c r="AN173" s="18" t="s">
        <v>198</v>
      </c>
      <c r="AO173" s="18"/>
      <c r="AP173" s="18"/>
      <c r="AQ173" s="18">
        <f>+VLOOKUP(AI173,Leyenda!$B$30:$E$34,3,FALSE)</f>
        <v>0</v>
      </c>
      <c r="AR173" s="18">
        <f>+VLOOKUP('3. Blasting'!AJ173,Meteorizacion,3,FALSE)</f>
        <v>0</v>
      </c>
      <c r="AS173" s="18">
        <f>+VLOOKUP('3. Blasting'!AK173,Apertura,3,FALSE)</f>
        <v>0</v>
      </c>
      <c r="AT173" s="18">
        <f>+VLOOKUP('3. Blasting'!AL173,Leyenda!$B$55:$D$59,3,FALSE)</f>
        <v>1</v>
      </c>
      <c r="AU173" s="18">
        <f>+VLOOKUP('3. Blasting'!AM173,Relleno,3,FALSE)</f>
        <v>0</v>
      </c>
      <c r="AV173" s="18">
        <f t="shared" si="76"/>
        <v>1</v>
      </c>
      <c r="AW173" s="49">
        <f t="shared" si="63"/>
        <v>0</v>
      </c>
      <c r="AX173" s="49">
        <f>VLOOKUP(AF173,Leyenda!$B$4:$D$10,3,FALSE)</f>
        <v>4</v>
      </c>
      <c r="AY173" s="49">
        <f t="shared" si="57"/>
        <v>5</v>
      </c>
      <c r="AZ173" s="49">
        <f t="shared" si="64"/>
        <v>1</v>
      </c>
      <c r="BA173" s="49">
        <f>VLOOKUP(AN173,Leyenda!$B$70:$D$75,3,FALSE)</f>
        <v>15</v>
      </c>
      <c r="BB173" s="67">
        <f t="shared" si="65"/>
        <v>1.5</v>
      </c>
      <c r="BC173" s="67">
        <f>VLOOKUP(AF173,Leyenda!$B$4:$E$10,4,FALSE)</f>
        <v>4</v>
      </c>
      <c r="BD173" s="67">
        <f t="shared" si="66"/>
        <v>5</v>
      </c>
      <c r="BE173" s="67">
        <f t="shared" si="67"/>
        <v>0</v>
      </c>
      <c r="BF173" s="67">
        <f>+VLOOKUP('3. Blasting'!AK173,Leyenda!$B$47:$E$51,4,FALSE)</f>
        <v>0</v>
      </c>
      <c r="BG173" s="67">
        <f>+VLOOKUP('3. Blasting'!AL173,Leyenda!$B$55:$E$59,4,FALSE)</f>
        <v>1</v>
      </c>
      <c r="BH173" s="67">
        <f>+VLOOKUP('3. Blasting'!AM173,Leyenda!$B$63:$E$67,3,FALSE)</f>
        <v>0</v>
      </c>
      <c r="BI173" s="67">
        <f>+VLOOKUP('3. Blasting'!AJ173,Leyenda!$B$39:$E$43,4,FALSE)</f>
        <v>0</v>
      </c>
      <c r="BJ173" s="67">
        <f>+VLOOKUP('3. Blasting'!AI173,Leyenda!$B$30:$E$34,4,FALSE)</f>
        <v>0</v>
      </c>
      <c r="BK173" s="67">
        <f>VLOOKUP(AN173,Leyenda!$B$71:$E$75,4,FALSE)</f>
        <v>10</v>
      </c>
      <c r="BL173" s="125">
        <f t="shared" si="68"/>
        <v>20</v>
      </c>
      <c r="BM173" s="85">
        <f t="shared" si="69"/>
        <v>25</v>
      </c>
      <c r="BN173" s="18" t="e">
        <f t="shared" si="79"/>
        <v>#N/A</v>
      </c>
      <c r="BO173" s="18"/>
      <c r="BP173" s="6">
        <f t="shared" si="70"/>
        <v>10</v>
      </c>
      <c r="BQ173" s="6">
        <f t="shared" si="71"/>
        <v>10</v>
      </c>
      <c r="BR173" s="6">
        <v>20</v>
      </c>
      <c r="BS173" s="6">
        <f t="shared" si="72"/>
        <v>3.5</v>
      </c>
      <c r="BT173" s="6">
        <f t="shared" si="73"/>
        <v>1.5650000000000002</v>
      </c>
      <c r="BU173" s="6">
        <f t="shared" si="74"/>
        <v>22.532499999999999</v>
      </c>
      <c r="BV173" s="18">
        <f t="shared" si="58"/>
        <v>9.0130000000000002E-2</v>
      </c>
      <c r="BW173" s="18">
        <f t="shared" si="59"/>
        <v>0.19287820000000003</v>
      </c>
    </row>
    <row r="174" spans="1:75" x14ac:dyDescent="0.25">
      <c r="A174" s="18" t="s">
        <v>6</v>
      </c>
      <c r="B174" s="18">
        <v>2024</v>
      </c>
      <c r="C174" s="18" t="s">
        <v>138</v>
      </c>
      <c r="D174" s="18" t="s">
        <v>245</v>
      </c>
      <c r="E174" s="18">
        <v>40</v>
      </c>
      <c r="F174" s="18" t="s">
        <v>153</v>
      </c>
      <c r="G174" s="18" t="s">
        <v>293</v>
      </c>
      <c r="H174" s="4">
        <f t="shared" si="55"/>
        <v>30</v>
      </c>
      <c r="I174" s="4">
        <v>30.5</v>
      </c>
      <c r="J174" s="4">
        <f t="shared" si="60"/>
        <v>0.5</v>
      </c>
      <c r="K174" s="5">
        <v>0.3</v>
      </c>
      <c r="L174" s="31">
        <f t="shared" si="61"/>
        <v>0.15</v>
      </c>
      <c r="M174" s="31">
        <v>2.14</v>
      </c>
      <c r="N174" s="31">
        <v>31.3</v>
      </c>
      <c r="O174" s="31">
        <f t="shared" si="56"/>
        <v>0.15</v>
      </c>
      <c r="P174" s="31">
        <v>7.5</v>
      </c>
      <c r="Q174" s="31">
        <v>20</v>
      </c>
      <c r="R174" s="31">
        <v>0.14000000000000001</v>
      </c>
      <c r="S174" s="31">
        <v>0</v>
      </c>
      <c r="T174" s="65">
        <f t="shared" si="75"/>
        <v>0</v>
      </c>
      <c r="U174" s="31">
        <v>10</v>
      </c>
      <c r="V174" s="31"/>
      <c r="W174" s="31">
        <f t="shared" si="77"/>
        <v>10</v>
      </c>
      <c r="X174" s="31">
        <f t="shared" si="78"/>
        <v>14</v>
      </c>
      <c r="Y174" s="31">
        <f t="shared" si="62"/>
        <v>1.4E-2</v>
      </c>
      <c r="Z174" s="18">
        <v>0</v>
      </c>
      <c r="AA174" s="18" t="s">
        <v>96</v>
      </c>
      <c r="AB174" s="18" t="s">
        <v>333</v>
      </c>
      <c r="AC174" s="18" t="s">
        <v>337</v>
      </c>
      <c r="AD174" s="18">
        <v>20</v>
      </c>
      <c r="AE174" s="18">
        <v>7.5</v>
      </c>
      <c r="AF174" s="18" t="s">
        <v>29</v>
      </c>
      <c r="AG174" s="18" t="s">
        <v>239</v>
      </c>
      <c r="AH174" s="18" t="s">
        <v>239</v>
      </c>
      <c r="AI174" s="18" t="s">
        <v>69</v>
      </c>
      <c r="AJ174" s="18" t="s">
        <v>81</v>
      </c>
      <c r="AK174" s="18" t="s">
        <v>100</v>
      </c>
      <c r="AL174" s="18" t="s">
        <v>109</v>
      </c>
      <c r="AM174" s="18" t="s">
        <v>122</v>
      </c>
      <c r="AN174" s="18" t="s">
        <v>198</v>
      </c>
      <c r="AO174" s="18"/>
      <c r="AP174" s="18"/>
      <c r="AQ174" s="18">
        <f>+VLOOKUP(AI174,Leyenda!$B$30:$E$34,3,FALSE)</f>
        <v>0</v>
      </c>
      <c r="AR174" s="18">
        <f>+VLOOKUP('3. Blasting'!AJ174,Meteorizacion,3,FALSE)</f>
        <v>0</v>
      </c>
      <c r="AS174" s="18">
        <f>+VLOOKUP('3. Blasting'!AK174,Apertura,3,FALSE)</f>
        <v>0</v>
      </c>
      <c r="AT174" s="18">
        <f>+VLOOKUP('3. Blasting'!AL174,Leyenda!$B$55:$D$59,3,FALSE)</f>
        <v>1</v>
      </c>
      <c r="AU174" s="18">
        <f>+VLOOKUP('3. Blasting'!AM174,Relleno,3,FALSE)</f>
        <v>0</v>
      </c>
      <c r="AV174" s="18">
        <f t="shared" si="76"/>
        <v>1</v>
      </c>
      <c r="AW174" s="49">
        <f t="shared" si="63"/>
        <v>0</v>
      </c>
      <c r="AX174" s="49">
        <f>VLOOKUP(AF174,Leyenda!$B$4:$D$10,3,FALSE)</f>
        <v>2</v>
      </c>
      <c r="AY174" s="49">
        <f t="shared" si="57"/>
        <v>3</v>
      </c>
      <c r="AZ174" s="49">
        <f t="shared" si="64"/>
        <v>1</v>
      </c>
      <c r="BA174" s="49">
        <f>VLOOKUP(AN174,Leyenda!$B$70:$D$75,3,FALSE)</f>
        <v>15</v>
      </c>
      <c r="BB174" s="67">
        <f t="shared" si="65"/>
        <v>1.5</v>
      </c>
      <c r="BC174" s="67">
        <f>VLOOKUP(AF174,Leyenda!$B$4:$E$10,4,FALSE)</f>
        <v>2</v>
      </c>
      <c r="BD174" s="67">
        <f t="shared" si="66"/>
        <v>5</v>
      </c>
      <c r="BE174" s="67">
        <f t="shared" si="67"/>
        <v>0</v>
      </c>
      <c r="BF174" s="67">
        <f>+VLOOKUP('3. Blasting'!AK174,Leyenda!$B$47:$E$51,4,FALSE)</f>
        <v>0</v>
      </c>
      <c r="BG174" s="67">
        <f>+VLOOKUP('3. Blasting'!AL174,Leyenda!$B$55:$E$59,4,FALSE)</f>
        <v>1</v>
      </c>
      <c r="BH174" s="67">
        <f>+VLOOKUP('3. Blasting'!AM174,Leyenda!$B$63:$E$67,3,FALSE)</f>
        <v>0</v>
      </c>
      <c r="BI174" s="67">
        <f>+VLOOKUP('3. Blasting'!AJ174,Leyenda!$B$39:$E$43,4,FALSE)</f>
        <v>0</v>
      </c>
      <c r="BJ174" s="67">
        <f>+VLOOKUP('3. Blasting'!AI174,Leyenda!$B$30:$E$34,4,FALSE)</f>
        <v>0</v>
      </c>
      <c r="BK174" s="67">
        <f>VLOOKUP(AN174,Leyenda!$B$71:$E$75,4,FALSE)</f>
        <v>10</v>
      </c>
      <c r="BL174" s="125">
        <f t="shared" si="68"/>
        <v>18</v>
      </c>
      <c r="BM174" s="85">
        <f t="shared" si="69"/>
        <v>21</v>
      </c>
      <c r="BN174" s="18" t="e">
        <f t="shared" si="79"/>
        <v>#N/A</v>
      </c>
      <c r="BO174" s="18"/>
      <c r="BP174" s="6">
        <f t="shared" si="70"/>
        <v>10</v>
      </c>
      <c r="BQ174" s="6">
        <f t="shared" si="71"/>
        <v>10</v>
      </c>
      <c r="BR174" s="6">
        <v>20</v>
      </c>
      <c r="BS174" s="6">
        <f t="shared" si="72"/>
        <v>3.5</v>
      </c>
      <c r="BT174" s="6">
        <f t="shared" si="73"/>
        <v>1.5650000000000002</v>
      </c>
      <c r="BU174" s="6">
        <f t="shared" si="74"/>
        <v>22.532499999999999</v>
      </c>
      <c r="BV174" s="18">
        <f t="shared" si="58"/>
        <v>9.0130000000000002E-2</v>
      </c>
      <c r="BW174" s="18">
        <f t="shared" si="59"/>
        <v>0.19287820000000003</v>
      </c>
    </row>
    <row r="175" spans="1:75" x14ac:dyDescent="0.25">
      <c r="A175" s="18" t="s">
        <v>6</v>
      </c>
      <c r="B175" s="18">
        <v>2024</v>
      </c>
      <c r="C175" s="18" t="s">
        <v>138</v>
      </c>
      <c r="D175" s="18" t="s">
        <v>245</v>
      </c>
      <c r="E175" s="18">
        <v>40</v>
      </c>
      <c r="F175" s="18" t="s">
        <v>153</v>
      </c>
      <c r="G175" s="18" t="s">
        <v>293</v>
      </c>
      <c r="H175" s="4">
        <f t="shared" si="55"/>
        <v>30.5</v>
      </c>
      <c r="I175" s="4">
        <v>31</v>
      </c>
      <c r="J175" s="4">
        <f t="shared" si="60"/>
        <v>0.5</v>
      </c>
      <c r="K175" s="5">
        <v>0.36</v>
      </c>
      <c r="L175" s="31">
        <f t="shared" si="61"/>
        <v>0.18</v>
      </c>
      <c r="M175" s="31">
        <v>2.14</v>
      </c>
      <c r="N175" s="31">
        <v>31.3</v>
      </c>
      <c r="O175" s="31">
        <f t="shared" si="56"/>
        <v>0.18</v>
      </c>
      <c r="P175" s="31">
        <v>9</v>
      </c>
      <c r="Q175" s="31">
        <v>20</v>
      </c>
      <c r="R175" s="31">
        <v>0.17</v>
      </c>
      <c r="S175" s="31">
        <v>0</v>
      </c>
      <c r="T175" s="65">
        <f t="shared" si="75"/>
        <v>0</v>
      </c>
      <c r="U175" s="31">
        <v>10</v>
      </c>
      <c r="V175" s="31"/>
      <c r="W175" s="31">
        <f t="shared" si="77"/>
        <v>10</v>
      </c>
      <c r="X175" s="31">
        <f t="shared" si="78"/>
        <v>17</v>
      </c>
      <c r="Y175" s="31">
        <f t="shared" si="62"/>
        <v>1.7000000000000001E-2</v>
      </c>
      <c r="Z175" s="18">
        <v>0</v>
      </c>
      <c r="AA175" s="18" t="s">
        <v>96</v>
      </c>
      <c r="AB175" s="18" t="s">
        <v>333</v>
      </c>
      <c r="AC175" s="18" t="s">
        <v>337</v>
      </c>
      <c r="AD175" s="18">
        <v>20</v>
      </c>
      <c r="AE175" s="18">
        <v>9</v>
      </c>
      <c r="AF175" s="18" t="s">
        <v>29</v>
      </c>
      <c r="AG175" s="18" t="s">
        <v>239</v>
      </c>
      <c r="AH175" s="18" t="s">
        <v>239</v>
      </c>
      <c r="AI175" s="18" t="s">
        <v>69</v>
      </c>
      <c r="AJ175" s="18" t="s">
        <v>81</v>
      </c>
      <c r="AK175" s="18" t="s">
        <v>100</v>
      </c>
      <c r="AL175" s="18" t="s">
        <v>109</v>
      </c>
      <c r="AM175" s="18" t="s">
        <v>122</v>
      </c>
      <c r="AN175" s="18" t="s">
        <v>198</v>
      </c>
      <c r="AO175" s="18"/>
      <c r="AP175" s="18"/>
      <c r="AQ175" s="18">
        <f>+VLOOKUP(AI175,Leyenda!$B$30:$E$34,3,FALSE)</f>
        <v>0</v>
      </c>
      <c r="AR175" s="18">
        <f>+VLOOKUP('3. Blasting'!AJ175,Meteorizacion,3,FALSE)</f>
        <v>0</v>
      </c>
      <c r="AS175" s="18">
        <f>+VLOOKUP('3. Blasting'!AK175,Apertura,3,FALSE)</f>
        <v>0</v>
      </c>
      <c r="AT175" s="18">
        <f>+VLOOKUP('3. Blasting'!AL175,Leyenda!$B$55:$D$59,3,FALSE)</f>
        <v>1</v>
      </c>
      <c r="AU175" s="18">
        <f>+VLOOKUP('3. Blasting'!AM175,Relleno,3,FALSE)</f>
        <v>0</v>
      </c>
      <c r="AV175" s="18">
        <f t="shared" si="76"/>
        <v>1</v>
      </c>
      <c r="AW175" s="49">
        <f t="shared" si="63"/>
        <v>0</v>
      </c>
      <c r="AX175" s="49">
        <f>VLOOKUP(AF175,Leyenda!$B$4:$D$10,3,FALSE)</f>
        <v>2</v>
      </c>
      <c r="AY175" s="49">
        <f t="shared" si="57"/>
        <v>3</v>
      </c>
      <c r="AZ175" s="49">
        <f t="shared" si="64"/>
        <v>1</v>
      </c>
      <c r="BA175" s="49">
        <f>VLOOKUP(AN175,Leyenda!$B$70:$D$75,3,FALSE)</f>
        <v>15</v>
      </c>
      <c r="BB175" s="67">
        <f t="shared" si="65"/>
        <v>1.5</v>
      </c>
      <c r="BC175" s="67">
        <f>VLOOKUP(AF175,Leyenda!$B$4:$E$10,4,FALSE)</f>
        <v>2</v>
      </c>
      <c r="BD175" s="67">
        <f t="shared" si="66"/>
        <v>5</v>
      </c>
      <c r="BE175" s="67">
        <f t="shared" si="67"/>
        <v>0</v>
      </c>
      <c r="BF175" s="67">
        <f>+VLOOKUP('3. Blasting'!AK175,Leyenda!$B$47:$E$51,4,FALSE)</f>
        <v>0</v>
      </c>
      <c r="BG175" s="67">
        <f>+VLOOKUP('3. Blasting'!AL175,Leyenda!$B$55:$E$59,4,FALSE)</f>
        <v>1</v>
      </c>
      <c r="BH175" s="67">
        <f>+VLOOKUP('3. Blasting'!AM175,Leyenda!$B$63:$E$67,3,FALSE)</f>
        <v>0</v>
      </c>
      <c r="BI175" s="67">
        <f>+VLOOKUP('3. Blasting'!AJ175,Leyenda!$B$39:$E$43,4,FALSE)</f>
        <v>0</v>
      </c>
      <c r="BJ175" s="67">
        <f>+VLOOKUP('3. Blasting'!AI175,Leyenda!$B$30:$E$34,4,FALSE)</f>
        <v>0</v>
      </c>
      <c r="BK175" s="67">
        <f>VLOOKUP(AN175,Leyenda!$B$71:$E$75,4,FALSE)</f>
        <v>10</v>
      </c>
      <c r="BL175" s="125">
        <f t="shared" si="68"/>
        <v>18</v>
      </c>
      <c r="BM175" s="85">
        <f t="shared" si="69"/>
        <v>21</v>
      </c>
      <c r="BN175" s="18" t="e">
        <f t="shared" si="79"/>
        <v>#N/A</v>
      </c>
      <c r="BO175" s="18"/>
      <c r="BP175" s="6">
        <f t="shared" si="70"/>
        <v>10</v>
      </c>
      <c r="BQ175" s="6">
        <f t="shared" si="71"/>
        <v>10</v>
      </c>
      <c r="BR175" s="6">
        <v>20</v>
      </c>
      <c r="BS175" s="6">
        <f t="shared" si="72"/>
        <v>3.5</v>
      </c>
      <c r="BT175" s="6">
        <f t="shared" si="73"/>
        <v>1.5650000000000002</v>
      </c>
      <c r="BU175" s="6">
        <f t="shared" si="74"/>
        <v>22.532499999999999</v>
      </c>
      <c r="BV175" s="18">
        <f t="shared" si="58"/>
        <v>9.0130000000000002E-2</v>
      </c>
      <c r="BW175" s="18">
        <f t="shared" si="59"/>
        <v>0.19287820000000003</v>
      </c>
    </row>
    <row r="176" spans="1:75" x14ac:dyDescent="0.25">
      <c r="A176" s="18" t="s">
        <v>6</v>
      </c>
      <c r="B176" s="18">
        <v>2024</v>
      </c>
      <c r="C176" s="18" t="s">
        <v>138</v>
      </c>
      <c r="D176" s="18" t="s">
        <v>245</v>
      </c>
      <c r="E176" s="18">
        <v>40</v>
      </c>
      <c r="F176" s="18" t="s">
        <v>153</v>
      </c>
      <c r="G176" s="18" t="s">
        <v>293</v>
      </c>
      <c r="H176" s="4">
        <f t="shared" si="55"/>
        <v>31</v>
      </c>
      <c r="I176" s="4">
        <v>31.5</v>
      </c>
      <c r="J176" s="4">
        <f t="shared" si="60"/>
        <v>0.5</v>
      </c>
      <c r="K176" s="5">
        <v>0.5</v>
      </c>
      <c r="L176" s="31">
        <f t="shared" si="61"/>
        <v>0.25</v>
      </c>
      <c r="M176" s="31">
        <v>2.14</v>
      </c>
      <c r="N176" s="31">
        <v>31.3</v>
      </c>
      <c r="O176" s="31">
        <f t="shared" si="56"/>
        <v>0.25</v>
      </c>
      <c r="P176" s="31">
        <v>12.5</v>
      </c>
      <c r="Q176" s="31">
        <v>20</v>
      </c>
      <c r="R176" s="31">
        <v>0.23</v>
      </c>
      <c r="S176" s="31">
        <v>0</v>
      </c>
      <c r="T176" s="65">
        <f t="shared" si="75"/>
        <v>0</v>
      </c>
      <c r="U176" s="31">
        <v>10</v>
      </c>
      <c r="V176" s="31"/>
      <c r="W176" s="31">
        <f t="shared" si="77"/>
        <v>10</v>
      </c>
      <c r="X176" s="31">
        <f t="shared" si="78"/>
        <v>23</v>
      </c>
      <c r="Y176" s="31">
        <f t="shared" si="62"/>
        <v>2.3E-2</v>
      </c>
      <c r="Z176" s="18">
        <v>0</v>
      </c>
      <c r="AA176" s="18" t="s">
        <v>96</v>
      </c>
      <c r="AB176" s="18" t="s">
        <v>333</v>
      </c>
      <c r="AC176" s="18" t="s">
        <v>337</v>
      </c>
      <c r="AD176" s="18">
        <v>20</v>
      </c>
      <c r="AE176" s="18">
        <v>12.5</v>
      </c>
      <c r="AF176" s="18" t="s">
        <v>29</v>
      </c>
      <c r="AG176" s="18" t="s">
        <v>239</v>
      </c>
      <c r="AH176" s="18" t="s">
        <v>239</v>
      </c>
      <c r="AI176" s="18" t="s">
        <v>69</v>
      </c>
      <c r="AJ176" s="18" t="s">
        <v>81</v>
      </c>
      <c r="AK176" s="18" t="s">
        <v>100</v>
      </c>
      <c r="AL176" s="18" t="s">
        <v>109</v>
      </c>
      <c r="AM176" s="18" t="s">
        <v>122</v>
      </c>
      <c r="AN176" s="18" t="s">
        <v>198</v>
      </c>
      <c r="AO176" s="18"/>
      <c r="AP176" s="18"/>
      <c r="AQ176" s="18">
        <f>+VLOOKUP(AI176,Leyenda!$B$30:$E$34,3,FALSE)</f>
        <v>0</v>
      </c>
      <c r="AR176" s="18">
        <f>+VLOOKUP('3. Blasting'!AJ176,Meteorizacion,3,FALSE)</f>
        <v>0</v>
      </c>
      <c r="AS176" s="18">
        <f>+VLOOKUP('3. Blasting'!AK176,Apertura,3,FALSE)</f>
        <v>0</v>
      </c>
      <c r="AT176" s="18">
        <f>+VLOOKUP('3. Blasting'!AL176,Leyenda!$B$55:$D$59,3,FALSE)</f>
        <v>1</v>
      </c>
      <c r="AU176" s="18">
        <f>+VLOOKUP('3. Blasting'!AM176,Relleno,3,FALSE)</f>
        <v>0</v>
      </c>
      <c r="AV176" s="18">
        <f t="shared" si="76"/>
        <v>1</v>
      </c>
      <c r="AW176" s="49">
        <f t="shared" si="63"/>
        <v>0</v>
      </c>
      <c r="AX176" s="49">
        <f>VLOOKUP(AF176,Leyenda!$B$4:$D$10,3,FALSE)</f>
        <v>2</v>
      </c>
      <c r="AY176" s="49">
        <f t="shared" si="57"/>
        <v>4</v>
      </c>
      <c r="AZ176" s="49">
        <f t="shared" si="64"/>
        <v>1</v>
      </c>
      <c r="BA176" s="49">
        <f>VLOOKUP(AN176,Leyenda!$B$70:$D$75,3,FALSE)</f>
        <v>15</v>
      </c>
      <c r="BB176" s="67">
        <f t="shared" si="65"/>
        <v>1.5</v>
      </c>
      <c r="BC176" s="67">
        <f>VLOOKUP(AF176,Leyenda!$B$4:$E$10,4,FALSE)</f>
        <v>2</v>
      </c>
      <c r="BD176" s="67">
        <f t="shared" si="66"/>
        <v>5</v>
      </c>
      <c r="BE176" s="67">
        <f t="shared" si="67"/>
        <v>0</v>
      </c>
      <c r="BF176" s="67">
        <f>+VLOOKUP('3. Blasting'!AK176,Leyenda!$B$47:$E$51,4,FALSE)</f>
        <v>0</v>
      </c>
      <c r="BG176" s="67">
        <f>+VLOOKUP('3. Blasting'!AL176,Leyenda!$B$55:$E$59,4,FALSE)</f>
        <v>1</v>
      </c>
      <c r="BH176" s="67">
        <f>+VLOOKUP('3. Blasting'!AM176,Leyenda!$B$63:$E$67,3,FALSE)</f>
        <v>0</v>
      </c>
      <c r="BI176" s="67">
        <f>+VLOOKUP('3. Blasting'!AJ176,Leyenda!$B$39:$E$43,4,FALSE)</f>
        <v>0</v>
      </c>
      <c r="BJ176" s="67">
        <f>+VLOOKUP('3. Blasting'!AI176,Leyenda!$B$30:$E$34,4,FALSE)</f>
        <v>0</v>
      </c>
      <c r="BK176" s="67">
        <f>VLOOKUP(AN176,Leyenda!$B$71:$E$75,4,FALSE)</f>
        <v>10</v>
      </c>
      <c r="BL176" s="125">
        <f t="shared" si="68"/>
        <v>18</v>
      </c>
      <c r="BM176" s="85">
        <f t="shared" si="69"/>
        <v>22</v>
      </c>
      <c r="BN176" s="18" t="e">
        <f t="shared" si="79"/>
        <v>#N/A</v>
      </c>
      <c r="BO176" s="18"/>
      <c r="BP176" s="6">
        <f t="shared" si="70"/>
        <v>10</v>
      </c>
      <c r="BQ176" s="6">
        <f t="shared" si="71"/>
        <v>10</v>
      </c>
      <c r="BR176" s="6">
        <v>20</v>
      </c>
      <c r="BS176" s="6">
        <f t="shared" si="72"/>
        <v>3.5</v>
      </c>
      <c r="BT176" s="6">
        <f t="shared" si="73"/>
        <v>1.5650000000000002</v>
      </c>
      <c r="BU176" s="6">
        <f t="shared" si="74"/>
        <v>22.532499999999999</v>
      </c>
      <c r="BV176" s="18">
        <f t="shared" si="58"/>
        <v>9.0130000000000002E-2</v>
      </c>
      <c r="BW176" s="18">
        <f t="shared" si="59"/>
        <v>0.19287820000000003</v>
      </c>
    </row>
    <row r="177" spans="1:75" x14ac:dyDescent="0.25">
      <c r="A177" s="18" t="s">
        <v>6</v>
      </c>
      <c r="B177" s="18">
        <v>2024</v>
      </c>
      <c r="C177" s="18" t="s">
        <v>138</v>
      </c>
      <c r="D177" s="18" t="s">
        <v>245</v>
      </c>
      <c r="E177" s="18">
        <v>40</v>
      </c>
      <c r="F177" s="18" t="s">
        <v>153</v>
      </c>
      <c r="G177" s="18" t="s">
        <v>294</v>
      </c>
      <c r="H177" s="4">
        <f t="shared" si="55"/>
        <v>31.5</v>
      </c>
      <c r="I177" s="4">
        <v>32</v>
      </c>
      <c r="J177" s="4">
        <f t="shared" si="60"/>
        <v>0.5</v>
      </c>
      <c r="K177" s="5">
        <v>0.42</v>
      </c>
      <c r="L177" s="31">
        <f t="shared" si="61"/>
        <v>0.21</v>
      </c>
      <c r="M177" s="31">
        <v>2.14</v>
      </c>
      <c r="N177" s="31">
        <v>31.3</v>
      </c>
      <c r="O177" s="31">
        <f t="shared" si="56"/>
        <v>0.21</v>
      </c>
      <c r="P177" s="31">
        <v>10.5</v>
      </c>
      <c r="Q177" s="31">
        <v>20</v>
      </c>
      <c r="R177" s="31">
        <v>0.2</v>
      </c>
      <c r="S177" s="31">
        <v>0</v>
      </c>
      <c r="T177" s="65">
        <f t="shared" si="75"/>
        <v>0</v>
      </c>
      <c r="U177" s="31">
        <v>10</v>
      </c>
      <c r="V177" s="31"/>
      <c r="W177" s="31">
        <f t="shared" si="77"/>
        <v>10</v>
      </c>
      <c r="X177" s="31">
        <f t="shared" si="78"/>
        <v>20</v>
      </c>
      <c r="Y177" s="31">
        <f t="shared" si="62"/>
        <v>0.02</v>
      </c>
      <c r="Z177" s="18">
        <v>0</v>
      </c>
      <c r="AA177" s="18" t="s">
        <v>96</v>
      </c>
      <c r="AB177" s="18" t="s">
        <v>333</v>
      </c>
      <c r="AC177" s="18" t="s">
        <v>337</v>
      </c>
      <c r="AD177" s="18">
        <v>20</v>
      </c>
      <c r="AE177" s="18">
        <v>10.5</v>
      </c>
      <c r="AF177" s="18" t="s">
        <v>29</v>
      </c>
      <c r="AG177" s="18" t="s">
        <v>239</v>
      </c>
      <c r="AH177" s="18" t="s">
        <v>239</v>
      </c>
      <c r="AI177" s="18" t="s">
        <v>69</v>
      </c>
      <c r="AJ177" s="18" t="s">
        <v>81</v>
      </c>
      <c r="AK177" s="18" t="s">
        <v>100</v>
      </c>
      <c r="AL177" s="18" t="s">
        <v>109</v>
      </c>
      <c r="AM177" s="18" t="s">
        <v>122</v>
      </c>
      <c r="AN177" s="18" t="s">
        <v>198</v>
      </c>
      <c r="AO177" s="18"/>
      <c r="AP177" s="18"/>
      <c r="AQ177" s="18">
        <f>+VLOOKUP(AI177,Leyenda!$B$30:$E$34,3,FALSE)</f>
        <v>0</v>
      </c>
      <c r="AR177" s="18">
        <f>+VLOOKUP('3. Blasting'!AJ177,Meteorizacion,3,FALSE)</f>
        <v>0</v>
      </c>
      <c r="AS177" s="18">
        <f>+VLOOKUP('3. Blasting'!AK177,Apertura,3,FALSE)</f>
        <v>0</v>
      </c>
      <c r="AT177" s="18">
        <f>+VLOOKUP('3. Blasting'!AL177,Leyenda!$B$55:$D$59,3,FALSE)</f>
        <v>1</v>
      </c>
      <c r="AU177" s="18">
        <f>+VLOOKUP('3. Blasting'!AM177,Relleno,3,FALSE)</f>
        <v>0</v>
      </c>
      <c r="AV177" s="18">
        <f t="shared" si="76"/>
        <v>1</v>
      </c>
      <c r="AW177" s="49">
        <f t="shared" si="63"/>
        <v>0</v>
      </c>
      <c r="AX177" s="49">
        <f>VLOOKUP(AF177,Leyenda!$B$4:$D$10,3,FALSE)</f>
        <v>2</v>
      </c>
      <c r="AY177" s="49">
        <f t="shared" si="57"/>
        <v>3</v>
      </c>
      <c r="AZ177" s="49">
        <f t="shared" si="64"/>
        <v>1</v>
      </c>
      <c r="BA177" s="49">
        <f>VLOOKUP(AN177,Leyenda!$B$70:$D$75,3,FALSE)</f>
        <v>15</v>
      </c>
      <c r="BB177" s="67">
        <f t="shared" si="65"/>
        <v>1.5</v>
      </c>
      <c r="BC177" s="67">
        <f>VLOOKUP(AF177,Leyenda!$B$4:$E$10,4,FALSE)</f>
        <v>2</v>
      </c>
      <c r="BD177" s="67">
        <f t="shared" si="66"/>
        <v>5</v>
      </c>
      <c r="BE177" s="67">
        <f t="shared" si="67"/>
        <v>0</v>
      </c>
      <c r="BF177" s="67">
        <f>+VLOOKUP('3. Blasting'!AK177,Leyenda!$B$47:$E$51,4,FALSE)</f>
        <v>0</v>
      </c>
      <c r="BG177" s="67">
        <f>+VLOOKUP('3. Blasting'!AL177,Leyenda!$B$55:$E$59,4,FALSE)</f>
        <v>1</v>
      </c>
      <c r="BH177" s="67">
        <f>+VLOOKUP('3. Blasting'!AM177,Leyenda!$B$63:$E$67,3,FALSE)</f>
        <v>0</v>
      </c>
      <c r="BI177" s="67">
        <f>+VLOOKUP('3. Blasting'!AJ177,Leyenda!$B$39:$E$43,4,FALSE)</f>
        <v>0</v>
      </c>
      <c r="BJ177" s="67">
        <f>+VLOOKUP('3. Blasting'!AI177,Leyenda!$B$30:$E$34,4,FALSE)</f>
        <v>0</v>
      </c>
      <c r="BK177" s="67">
        <f>VLOOKUP(AN177,Leyenda!$B$71:$E$75,4,FALSE)</f>
        <v>10</v>
      </c>
      <c r="BL177" s="125">
        <f t="shared" si="68"/>
        <v>18</v>
      </c>
      <c r="BM177" s="85">
        <f t="shared" si="69"/>
        <v>21</v>
      </c>
      <c r="BN177" s="18" t="e">
        <f t="shared" si="79"/>
        <v>#N/A</v>
      </c>
      <c r="BO177" s="18"/>
      <c r="BP177" s="6">
        <f t="shared" si="70"/>
        <v>10</v>
      </c>
      <c r="BQ177" s="6">
        <f t="shared" si="71"/>
        <v>10</v>
      </c>
      <c r="BR177" s="6">
        <v>20</v>
      </c>
      <c r="BS177" s="6">
        <f t="shared" si="72"/>
        <v>3.5</v>
      </c>
      <c r="BT177" s="6">
        <f t="shared" si="73"/>
        <v>1.5650000000000002</v>
      </c>
      <c r="BU177" s="6">
        <f t="shared" si="74"/>
        <v>22.532499999999999</v>
      </c>
      <c r="BV177" s="18">
        <f t="shared" si="58"/>
        <v>9.0130000000000002E-2</v>
      </c>
      <c r="BW177" s="18">
        <f t="shared" si="59"/>
        <v>0.19287820000000003</v>
      </c>
    </row>
    <row r="178" spans="1:75" x14ac:dyDescent="0.25">
      <c r="A178" s="18" t="s">
        <v>6</v>
      </c>
      <c r="B178" s="18">
        <v>2024</v>
      </c>
      <c r="C178" s="18" t="s">
        <v>138</v>
      </c>
      <c r="D178" s="18" t="s">
        <v>245</v>
      </c>
      <c r="E178" s="18">
        <v>40</v>
      </c>
      <c r="F178" s="18" t="s">
        <v>153</v>
      </c>
      <c r="G178" s="18" t="s">
        <v>294</v>
      </c>
      <c r="H178" s="4">
        <f t="shared" si="55"/>
        <v>32</v>
      </c>
      <c r="I178" s="4">
        <v>32.5</v>
      </c>
      <c r="J178" s="4">
        <f t="shared" si="60"/>
        <v>0.5</v>
      </c>
      <c r="K178" s="5">
        <v>0.36</v>
      </c>
      <c r="L178" s="31">
        <f t="shared" si="61"/>
        <v>0.18</v>
      </c>
      <c r="M178" s="31">
        <v>2.14</v>
      </c>
      <c r="N178" s="31">
        <v>31.3</v>
      </c>
      <c r="O178" s="31">
        <f t="shared" si="56"/>
        <v>0.18</v>
      </c>
      <c r="P178" s="31">
        <v>9</v>
      </c>
      <c r="Q178" s="31">
        <v>20</v>
      </c>
      <c r="R178" s="31">
        <v>0.17</v>
      </c>
      <c r="S178" s="31">
        <v>0</v>
      </c>
      <c r="T178" s="65">
        <f t="shared" si="75"/>
        <v>0</v>
      </c>
      <c r="U178" s="31">
        <v>10</v>
      </c>
      <c r="V178" s="31"/>
      <c r="W178" s="31">
        <f t="shared" si="77"/>
        <v>10</v>
      </c>
      <c r="X178" s="31">
        <f t="shared" si="78"/>
        <v>17</v>
      </c>
      <c r="Y178" s="31">
        <f t="shared" si="62"/>
        <v>1.7000000000000001E-2</v>
      </c>
      <c r="Z178" s="18">
        <v>0</v>
      </c>
      <c r="AA178" s="18" t="s">
        <v>96</v>
      </c>
      <c r="AB178" s="18" t="s">
        <v>333</v>
      </c>
      <c r="AC178" s="18" t="s">
        <v>337</v>
      </c>
      <c r="AD178" s="18">
        <v>20</v>
      </c>
      <c r="AE178" s="18">
        <v>9</v>
      </c>
      <c r="AF178" s="18" t="s">
        <v>29</v>
      </c>
      <c r="AG178" s="18" t="s">
        <v>27</v>
      </c>
      <c r="AH178" s="18" t="s">
        <v>27</v>
      </c>
      <c r="AI178" s="18" t="s">
        <v>66</v>
      </c>
      <c r="AJ178" s="18" t="s">
        <v>79</v>
      </c>
      <c r="AK178" s="18" t="s">
        <v>96</v>
      </c>
      <c r="AL178" s="18" t="s">
        <v>107</v>
      </c>
      <c r="AM178" s="18" t="s">
        <v>120</v>
      </c>
      <c r="AN178" s="18" t="s">
        <v>198</v>
      </c>
      <c r="AO178" s="18" t="s">
        <v>240</v>
      </c>
      <c r="AP178" s="18"/>
      <c r="AQ178" s="18">
        <f>+VLOOKUP(AI178,Leyenda!$B$30:$E$34,3,FALSE)</f>
        <v>1</v>
      </c>
      <c r="AR178" s="18">
        <f>+VLOOKUP('3. Blasting'!AJ178,Meteorizacion,3,FALSE)</f>
        <v>1</v>
      </c>
      <c r="AS178" s="18">
        <f>+VLOOKUP('3. Blasting'!AK178,Apertura,3,FALSE)</f>
        <v>1</v>
      </c>
      <c r="AT178" s="18">
        <f>+VLOOKUP('3. Blasting'!AL178,Leyenda!$B$55:$D$59,3,FALSE)</f>
        <v>3</v>
      </c>
      <c r="AU178" s="18">
        <f>+VLOOKUP('3. Blasting'!AM178,Relleno,3,FALSE)</f>
        <v>2</v>
      </c>
      <c r="AV178" s="18">
        <f t="shared" si="76"/>
        <v>8</v>
      </c>
      <c r="AW178" s="49">
        <f t="shared" si="63"/>
        <v>0</v>
      </c>
      <c r="AX178" s="49">
        <f>VLOOKUP(AF178,Leyenda!$B$4:$D$10,3,FALSE)</f>
        <v>2</v>
      </c>
      <c r="AY178" s="49">
        <f t="shared" si="57"/>
        <v>3</v>
      </c>
      <c r="AZ178" s="49">
        <f t="shared" si="64"/>
        <v>8</v>
      </c>
      <c r="BA178" s="49">
        <f>VLOOKUP(AN178,Leyenda!$B$70:$D$75,3,FALSE)</f>
        <v>15</v>
      </c>
      <c r="BB178" s="67">
        <f t="shared" si="65"/>
        <v>12</v>
      </c>
      <c r="BC178" s="67">
        <f>VLOOKUP(AF178,Leyenda!$B$4:$E$10,4,FALSE)</f>
        <v>2</v>
      </c>
      <c r="BD178" s="67">
        <f t="shared" si="66"/>
        <v>5</v>
      </c>
      <c r="BE178" s="67">
        <f t="shared" si="67"/>
        <v>0</v>
      </c>
      <c r="BF178" s="67">
        <f>+VLOOKUP('3. Blasting'!AK178,Leyenda!$B$47:$E$51,4,FALSE)</f>
        <v>1</v>
      </c>
      <c r="BG178" s="67">
        <f>+VLOOKUP('3. Blasting'!AL178,Leyenda!$B$55:$E$59,4,FALSE)</f>
        <v>3</v>
      </c>
      <c r="BH178" s="67">
        <f>+VLOOKUP('3. Blasting'!AM178,Leyenda!$B$63:$E$67,3,FALSE)</f>
        <v>2</v>
      </c>
      <c r="BI178" s="67">
        <f>+VLOOKUP('3. Blasting'!AJ178,Leyenda!$B$39:$E$43,4,FALSE)</f>
        <v>1</v>
      </c>
      <c r="BJ178" s="67">
        <f>+VLOOKUP('3. Blasting'!AI178,Leyenda!$B$30:$E$34,4,FALSE)</f>
        <v>1</v>
      </c>
      <c r="BK178" s="67">
        <f>VLOOKUP(AN178,Leyenda!$B$71:$E$75,4,FALSE)</f>
        <v>10</v>
      </c>
      <c r="BL178" s="125">
        <f t="shared" si="68"/>
        <v>25</v>
      </c>
      <c r="BM178" s="85">
        <f t="shared" si="69"/>
        <v>28</v>
      </c>
      <c r="BN178" s="18" t="e">
        <f t="shared" si="79"/>
        <v>#N/A</v>
      </c>
      <c r="BO178" s="18"/>
      <c r="BP178" s="6">
        <f t="shared" si="70"/>
        <v>10</v>
      </c>
      <c r="BQ178" s="6">
        <f t="shared" si="71"/>
        <v>10</v>
      </c>
      <c r="BR178" s="6">
        <v>20</v>
      </c>
      <c r="BS178" s="6">
        <f t="shared" si="72"/>
        <v>3.5</v>
      </c>
      <c r="BT178" s="6">
        <f t="shared" si="73"/>
        <v>1.5650000000000002</v>
      </c>
      <c r="BU178" s="6">
        <f t="shared" si="74"/>
        <v>22.532499999999999</v>
      </c>
      <c r="BV178" s="18">
        <f t="shared" si="58"/>
        <v>9.0130000000000002E-2</v>
      </c>
      <c r="BW178" s="18">
        <f t="shared" si="59"/>
        <v>0.19287820000000003</v>
      </c>
    </row>
    <row r="179" spans="1:75" x14ac:dyDescent="0.25">
      <c r="A179" s="18" t="s">
        <v>6</v>
      </c>
      <c r="B179" s="18">
        <v>2024</v>
      </c>
      <c r="C179" s="18" t="s">
        <v>138</v>
      </c>
      <c r="D179" s="18" t="s">
        <v>245</v>
      </c>
      <c r="E179" s="18">
        <v>40</v>
      </c>
      <c r="F179" s="18" t="s">
        <v>153</v>
      </c>
      <c r="G179" s="18" t="s">
        <v>294</v>
      </c>
      <c r="H179" s="4">
        <f t="shared" si="55"/>
        <v>32.5</v>
      </c>
      <c r="I179" s="4">
        <v>33</v>
      </c>
      <c r="J179" s="4">
        <f t="shared" si="60"/>
        <v>0.5</v>
      </c>
      <c r="K179" s="5">
        <v>0.36</v>
      </c>
      <c r="L179" s="31">
        <f t="shared" si="61"/>
        <v>0.18</v>
      </c>
      <c r="M179" s="31">
        <v>2.14</v>
      </c>
      <c r="N179" s="31">
        <v>31.3</v>
      </c>
      <c r="O179" s="31">
        <f t="shared" si="56"/>
        <v>0.18</v>
      </c>
      <c r="P179" s="31">
        <v>180</v>
      </c>
      <c r="Q179" s="31">
        <v>1</v>
      </c>
      <c r="R179" s="31">
        <v>0.18</v>
      </c>
      <c r="S179" s="31">
        <v>0</v>
      </c>
      <c r="T179" s="65">
        <f t="shared" si="75"/>
        <v>0</v>
      </c>
      <c r="U179" s="31">
        <v>10</v>
      </c>
      <c r="V179" s="31"/>
      <c r="W179" s="31">
        <f t="shared" si="77"/>
        <v>10</v>
      </c>
      <c r="X179" s="31">
        <f t="shared" si="78"/>
        <v>18</v>
      </c>
      <c r="Y179" s="31">
        <f t="shared" si="62"/>
        <v>1.7999999999999999E-2</v>
      </c>
      <c r="Z179" s="18">
        <v>0</v>
      </c>
      <c r="AA179" s="18" t="s">
        <v>96</v>
      </c>
      <c r="AB179" s="18" t="s">
        <v>116</v>
      </c>
      <c r="AC179" s="18" t="s">
        <v>337</v>
      </c>
      <c r="AD179" s="18">
        <v>1</v>
      </c>
      <c r="AE179" s="18">
        <v>180</v>
      </c>
      <c r="AF179" s="18" t="s">
        <v>29</v>
      </c>
      <c r="AG179" s="18" t="s">
        <v>27</v>
      </c>
      <c r="AH179" s="18" t="s">
        <v>27</v>
      </c>
      <c r="AI179" s="18" t="s">
        <v>66</v>
      </c>
      <c r="AJ179" s="18" t="s">
        <v>79</v>
      </c>
      <c r="AK179" s="18" t="s">
        <v>96</v>
      </c>
      <c r="AL179" s="18" t="s">
        <v>107</v>
      </c>
      <c r="AM179" s="18" t="s">
        <v>120</v>
      </c>
      <c r="AN179" s="18" t="s">
        <v>198</v>
      </c>
      <c r="AO179" s="18" t="s">
        <v>240</v>
      </c>
      <c r="AP179" s="18"/>
      <c r="AQ179" s="18">
        <f>+VLOOKUP(AI179,Leyenda!$B$30:$E$34,3,FALSE)</f>
        <v>1</v>
      </c>
      <c r="AR179" s="18">
        <f>+VLOOKUP('3. Blasting'!AJ179,Meteorizacion,3,FALSE)</f>
        <v>1</v>
      </c>
      <c r="AS179" s="18">
        <f>+VLOOKUP('3. Blasting'!AK179,Apertura,3,FALSE)</f>
        <v>1</v>
      </c>
      <c r="AT179" s="18">
        <f>+VLOOKUP('3. Blasting'!AL179,Leyenda!$B$55:$D$59,3,FALSE)</f>
        <v>3</v>
      </c>
      <c r="AU179" s="18">
        <f>+VLOOKUP('3. Blasting'!AM179,Relleno,3,FALSE)</f>
        <v>2</v>
      </c>
      <c r="AV179" s="18">
        <f t="shared" si="76"/>
        <v>8</v>
      </c>
      <c r="AW179" s="49">
        <f t="shared" si="63"/>
        <v>0</v>
      </c>
      <c r="AX179" s="49">
        <f>VLOOKUP(AF179,Leyenda!$B$4:$D$10,3,FALSE)</f>
        <v>2</v>
      </c>
      <c r="AY179" s="49">
        <f t="shared" si="57"/>
        <v>9</v>
      </c>
      <c r="AZ179" s="49">
        <f t="shared" si="64"/>
        <v>8</v>
      </c>
      <c r="BA179" s="49">
        <f>VLOOKUP(AN179,Leyenda!$B$70:$D$75,3,FALSE)</f>
        <v>15</v>
      </c>
      <c r="BB179" s="67">
        <f t="shared" si="65"/>
        <v>12</v>
      </c>
      <c r="BC179" s="67">
        <f>VLOOKUP(AF179,Leyenda!$B$4:$E$10,4,FALSE)</f>
        <v>2</v>
      </c>
      <c r="BD179" s="67">
        <f t="shared" si="66"/>
        <v>5</v>
      </c>
      <c r="BE179" s="67">
        <f t="shared" si="67"/>
        <v>0</v>
      </c>
      <c r="BF179" s="67">
        <f>+VLOOKUP('3. Blasting'!AK179,Leyenda!$B$47:$E$51,4,FALSE)</f>
        <v>1</v>
      </c>
      <c r="BG179" s="67">
        <f>+VLOOKUP('3. Blasting'!AL179,Leyenda!$B$55:$E$59,4,FALSE)</f>
        <v>3</v>
      </c>
      <c r="BH179" s="67">
        <f>+VLOOKUP('3. Blasting'!AM179,Leyenda!$B$63:$E$67,3,FALSE)</f>
        <v>2</v>
      </c>
      <c r="BI179" s="67">
        <f>+VLOOKUP('3. Blasting'!AJ179,Leyenda!$B$39:$E$43,4,FALSE)</f>
        <v>1</v>
      </c>
      <c r="BJ179" s="67">
        <f>+VLOOKUP('3. Blasting'!AI179,Leyenda!$B$30:$E$34,4,FALSE)</f>
        <v>1</v>
      </c>
      <c r="BK179" s="67">
        <f>VLOOKUP(AN179,Leyenda!$B$71:$E$75,4,FALSE)</f>
        <v>10</v>
      </c>
      <c r="BL179" s="125">
        <f t="shared" si="68"/>
        <v>25</v>
      </c>
      <c r="BM179" s="85">
        <f t="shared" si="69"/>
        <v>34</v>
      </c>
      <c r="BN179" s="18" t="e">
        <f t="shared" si="79"/>
        <v>#N/A</v>
      </c>
      <c r="BO179" s="18"/>
      <c r="BP179" s="6">
        <f t="shared" si="70"/>
        <v>10</v>
      </c>
      <c r="BQ179" s="6">
        <f t="shared" si="71"/>
        <v>10</v>
      </c>
      <c r="BR179" s="6">
        <v>20</v>
      </c>
      <c r="BS179" s="6">
        <f t="shared" si="72"/>
        <v>3.5</v>
      </c>
      <c r="BT179" s="6">
        <f t="shared" si="73"/>
        <v>1.5650000000000002</v>
      </c>
      <c r="BU179" s="6">
        <f t="shared" si="74"/>
        <v>22.532499999999999</v>
      </c>
      <c r="BV179" s="18">
        <f t="shared" si="58"/>
        <v>9.0130000000000002E-2</v>
      </c>
      <c r="BW179" s="18">
        <f t="shared" si="59"/>
        <v>0.19287820000000003</v>
      </c>
    </row>
    <row r="180" spans="1:75" x14ac:dyDescent="0.25">
      <c r="A180" s="18" t="s">
        <v>6</v>
      </c>
      <c r="B180" s="18">
        <v>2024</v>
      </c>
      <c r="C180" s="18" t="s">
        <v>138</v>
      </c>
      <c r="D180" s="18" t="s">
        <v>245</v>
      </c>
      <c r="E180" s="18">
        <v>40</v>
      </c>
      <c r="F180" s="18" t="s">
        <v>153</v>
      </c>
      <c r="G180" s="18" t="s">
        <v>294</v>
      </c>
      <c r="H180" s="4">
        <f t="shared" ref="H180:H233" si="80">+I179</f>
        <v>33</v>
      </c>
      <c r="I180" s="4">
        <v>33.5</v>
      </c>
      <c r="J180" s="4">
        <f t="shared" si="60"/>
        <v>0.5</v>
      </c>
      <c r="K180" s="5">
        <v>0.38</v>
      </c>
      <c r="L180" s="31">
        <f t="shared" si="61"/>
        <v>0.19</v>
      </c>
      <c r="M180" s="31">
        <v>2.14</v>
      </c>
      <c r="N180" s="31">
        <v>31.3</v>
      </c>
      <c r="O180" s="31">
        <f t="shared" si="56"/>
        <v>0.19</v>
      </c>
      <c r="P180" s="31">
        <v>190</v>
      </c>
      <c r="Q180" s="31">
        <v>1</v>
      </c>
      <c r="R180" s="31">
        <v>0.19</v>
      </c>
      <c r="S180" s="31">
        <v>0</v>
      </c>
      <c r="T180" s="65">
        <f t="shared" si="75"/>
        <v>0</v>
      </c>
      <c r="U180" s="31">
        <v>10</v>
      </c>
      <c r="V180" s="31"/>
      <c r="W180" s="31">
        <f t="shared" si="77"/>
        <v>10</v>
      </c>
      <c r="X180" s="31">
        <f t="shared" si="78"/>
        <v>19</v>
      </c>
      <c r="Y180" s="31">
        <f t="shared" si="62"/>
        <v>1.9E-2</v>
      </c>
      <c r="Z180" s="18">
        <v>0</v>
      </c>
      <c r="AA180" s="18" t="s">
        <v>100</v>
      </c>
      <c r="AB180" s="18" t="s">
        <v>116</v>
      </c>
      <c r="AC180" s="18" t="s">
        <v>337</v>
      </c>
      <c r="AD180" s="18">
        <v>1</v>
      </c>
      <c r="AE180" s="18">
        <v>190</v>
      </c>
      <c r="AF180" s="18" t="s">
        <v>29</v>
      </c>
      <c r="AG180" s="18" t="s">
        <v>27</v>
      </c>
      <c r="AH180" s="18" t="s">
        <v>27</v>
      </c>
      <c r="AI180" s="18" t="s">
        <v>66</v>
      </c>
      <c r="AJ180" s="18" t="s">
        <v>79</v>
      </c>
      <c r="AK180" s="18" t="s">
        <v>96</v>
      </c>
      <c r="AL180" s="18" t="s">
        <v>107</v>
      </c>
      <c r="AM180" s="18" t="s">
        <v>120</v>
      </c>
      <c r="AN180" s="18" t="s">
        <v>198</v>
      </c>
      <c r="AO180" s="18" t="s">
        <v>240</v>
      </c>
      <c r="AP180" s="18"/>
      <c r="AQ180" s="18">
        <f>+VLOOKUP(AI180,Leyenda!$B$30:$E$34,3,FALSE)</f>
        <v>1</v>
      </c>
      <c r="AR180" s="18">
        <f>+VLOOKUP('3. Blasting'!AJ180,Meteorizacion,3,FALSE)</f>
        <v>1</v>
      </c>
      <c r="AS180" s="18">
        <f>+VLOOKUP('3. Blasting'!AK180,Apertura,3,FALSE)</f>
        <v>1</v>
      </c>
      <c r="AT180" s="18">
        <f>+VLOOKUP('3. Blasting'!AL180,Leyenda!$B$55:$D$59,3,FALSE)</f>
        <v>3</v>
      </c>
      <c r="AU180" s="18">
        <f>+VLOOKUP('3. Blasting'!AM180,Relleno,3,FALSE)</f>
        <v>2</v>
      </c>
      <c r="AV180" s="18">
        <f t="shared" si="76"/>
        <v>8</v>
      </c>
      <c r="AW180" s="49">
        <f t="shared" si="63"/>
        <v>0</v>
      </c>
      <c r="AX180" s="49">
        <f>VLOOKUP(AF180,Leyenda!$B$4:$D$10,3,FALSE)</f>
        <v>2</v>
      </c>
      <c r="AY180" s="49">
        <f t="shared" si="57"/>
        <v>9</v>
      </c>
      <c r="AZ180" s="49">
        <f t="shared" si="64"/>
        <v>8</v>
      </c>
      <c r="BA180" s="49">
        <f>VLOOKUP(AN180,Leyenda!$B$70:$D$75,3,FALSE)</f>
        <v>15</v>
      </c>
      <c r="BB180" s="67">
        <f t="shared" si="65"/>
        <v>12</v>
      </c>
      <c r="BC180" s="67">
        <f>VLOOKUP(AF180,Leyenda!$B$4:$E$10,4,FALSE)</f>
        <v>2</v>
      </c>
      <c r="BD180" s="67">
        <f t="shared" si="66"/>
        <v>5</v>
      </c>
      <c r="BE180" s="67">
        <f t="shared" si="67"/>
        <v>0</v>
      </c>
      <c r="BF180" s="67">
        <f>+VLOOKUP('3. Blasting'!AK180,Leyenda!$B$47:$E$51,4,FALSE)</f>
        <v>1</v>
      </c>
      <c r="BG180" s="67">
        <f>+VLOOKUP('3. Blasting'!AL180,Leyenda!$B$55:$E$59,4,FALSE)</f>
        <v>3</v>
      </c>
      <c r="BH180" s="67">
        <f>+VLOOKUP('3. Blasting'!AM180,Leyenda!$B$63:$E$67,3,FALSE)</f>
        <v>2</v>
      </c>
      <c r="BI180" s="67">
        <f>+VLOOKUP('3. Blasting'!AJ180,Leyenda!$B$39:$E$43,4,FALSE)</f>
        <v>1</v>
      </c>
      <c r="BJ180" s="67">
        <f>+VLOOKUP('3. Blasting'!AI180,Leyenda!$B$30:$E$34,4,FALSE)</f>
        <v>1</v>
      </c>
      <c r="BK180" s="67">
        <f>VLOOKUP(AN180,Leyenda!$B$71:$E$75,4,FALSE)</f>
        <v>10</v>
      </c>
      <c r="BL180" s="125">
        <f t="shared" si="68"/>
        <v>25</v>
      </c>
      <c r="BM180" s="85">
        <f t="shared" si="69"/>
        <v>34</v>
      </c>
      <c r="BN180" s="18" t="e">
        <f t="shared" si="79"/>
        <v>#N/A</v>
      </c>
      <c r="BO180" s="18"/>
      <c r="BP180" s="6">
        <f t="shared" si="70"/>
        <v>10</v>
      </c>
      <c r="BQ180" s="6">
        <f t="shared" si="71"/>
        <v>10</v>
      </c>
      <c r="BR180" s="6">
        <v>20</v>
      </c>
      <c r="BS180" s="6">
        <f t="shared" si="72"/>
        <v>3.5</v>
      </c>
      <c r="BT180" s="6">
        <f t="shared" si="73"/>
        <v>1.5650000000000002</v>
      </c>
      <c r="BU180" s="6">
        <f t="shared" si="74"/>
        <v>22.532499999999999</v>
      </c>
      <c r="BV180" s="18">
        <f t="shared" si="58"/>
        <v>9.0130000000000002E-2</v>
      </c>
      <c r="BW180" s="18">
        <f t="shared" si="59"/>
        <v>0.19287820000000003</v>
      </c>
    </row>
    <row r="181" spans="1:75" x14ac:dyDescent="0.25">
      <c r="A181" s="18" t="s">
        <v>6</v>
      </c>
      <c r="B181" s="18">
        <v>2024</v>
      </c>
      <c r="C181" s="18" t="s">
        <v>138</v>
      </c>
      <c r="D181" s="18" t="s">
        <v>245</v>
      </c>
      <c r="E181" s="18">
        <v>40</v>
      </c>
      <c r="F181" s="18" t="s">
        <v>153</v>
      </c>
      <c r="G181" s="18" t="s">
        <v>294</v>
      </c>
      <c r="H181" s="4">
        <f t="shared" si="80"/>
        <v>33.5</v>
      </c>
      <c r="I181" s="4">
        <v>34</v>
      </c>
      <c r="J181" s="4">
        <f t="shared" si="60"/>
        <v>0.5</v>
      </c>
      <c r="K181" s="5">
        <v>0.42</v>
      </c>
      <c r="L181" s="31">
        <f t="shared" si="61"/>
        <v>0.21</v>
      </c>
      <c r="M181" s="31">
        <v>2.14</v>
      </c>
      <c r="N181" s="31">
        <v>31.3</v>
      </c>
      <c r="O181" s="31">
        <f t="shared" si="56"/>
        <v>0.21</v>
      </c>
      <c r="P181" s="31">
        <v>42</v>
      </c>
      <c r="Q181" s="31">
        <v>5</v>
      </c>
      <c r="R181" s="31">
        <v>0.18</v>
      </c>
      <c r="S181" s="31">
        <v>0</v>
      </c>
      <c r="T181" s="65">
        <f t="shared" si="75"/>
        <v>0</v>
      </c>
      <c r="U181" s="31">
        <v>11</v>
      </c>
      <c r="V181" s="31"/>
      <c r="W181" s="31">
        <f t="shared" si="77"/>
        <v>11</v>
      </c>
      <c r="X181" s="31">
        <f t="shared" si="78"/>
        <v>16.363636363636363</v>
      </c>
      <c r="Y181" s="31">
        <f t="shared" si="62"/>
        <v>1.6363636363636365E-2</v>
      </c>
      <c r="Z181" s="18">
        <v>0</v>
      </c>
      <c r="AA181" s="18" t="s">
        <v>100</v>
      </c>
      <c r="AB181" s="18" t="s">
        <v>118</v>
      </c>
      <c r="AC181" s="18" t="s">
        <v>337</v>
      </c>
      <c r="AD181" s="18">
        <v>5</v>
      </c>
      <c r="AE181" s="18">
        <v>42</v>
      </c>
      <c r="AF181" s="18" t="s">
        <v>29</v>
      </c>
      <c r="AG181" s="18" t="s">
        <v>27</v>
      </c>
      <c r="AH181" s="18" t="s">
        <v>27</v>
      </c>
      <c r="AI181" s="18" t="s">
        <v>66</v>
      </c>
      <c r="AJ181" s="18" t="s">
        <v>79</v>
      </c>
      <c r="AK181" s="18" t="s">
        <v>96</v>
      </c>
      <c r="AL181" s="18" t="s">
        <v>107</v>
      </c>
      <c r="AM181" s="18" t="s">
        <v>120</v>
      </c>
      <c r="AN181" s="18" t="s">
        <v>198</v>
      </c>
      <c r="AO181" s="18" t="s">
        <v>240</v>
      </c>
      <c r="AP181" s="18"/>
      <c r="AQ181" s="18">
        <f>+VLOOKUP(AI181,Leyenda!$B$30:$E$34,3,FALSE)</f>
        <v>1</v>
      </c>
      <c r="AR181" s="18">
        <f>+VLOOKUP('3. Blasting'!AJ181,Meteorizacion,3,FALSE)</f>
        <v>1</v>
      </c>
      <c r="AS181" s="18">
        <f>+VLOOKUP('3. Blasting'!AK181,Apertura,3,FALSE)</f>
        <v>1</v>
      </c>
      <c r="AT181" s="18">
        <f>+VLOOKUP('3. Blasting'!AL181,Leyenda!$B$55:$D$59,3,FALSE)</f>
        <v>3</v>
      </c>
      <c r="AU181" s="18">
        <f>+VLOOKUP('3. Blasting'!AM181,Relleno,3,FALSE)</f>
        <v>2</v>
      </c>
      <c r="AV181" s="18">
        <f t="shared" si="76"/>
        <v>8</v>
      </c>
      <c r="AW181" s="49">
        <f t="shared" si="63"/>
        <v>0</v>
      </c>
      <c r="AX181" s="49">
        <f>VLOOKUP(AF181,Leyenda!$B$4:$D$10,3,FALSE)</f>
        <v>2</v>
      </c>
      <c r="AY181" s="49">
        <f t="shared" si="57"/>
        <v>5</v>
      </c>
      <c r="AZ181" s="49">
        <f t="shared" si="64"/>
        <v>8</v>
      </c>
      <c r="BA181" s="49">
        <f>VLOOKUP(AN181,Leyenda!$B$70:$D$75,3,FALSE)</f>
        <v>15</v>
      </c>
      <c r="BB181" s="67">
        <f t="shared" si="65"/>
        <v>12</v>
      </c>
      <c r="BC181" s="67">
        <f>VLOOKUP(AF181,Leyenda!$B$4:$E$10,4,FALSE)</f>
        <v>2</v>
      </c>
      <c r="BD181" s="67">
        <f t="shared" si="66"/>
        <v>5</v>
      </c>
      <c r="BE181" s="67">
        <f t="shared" si="67"/>
        <v>0</v>
      </c>
      <c r="BF181" s="67">
        <f>+VLOOKUP('3. Blasting'!AK181,Leyenda!$B$47:$E$51,4,FALSE)</f>
        <v>1</v>
      </c>
      <c r="BG181" s="67">
        <f>+VLOOKUP('3. Blasting'!AL181,Leyenda!$B$55:$E$59,4,FALSE)</f>
        <v>3</v>
      </c>
      <c r="BH181" s="67">
        <f>+VLOOKUP('3. Blasting'!AM181,Leyenda!$B$63:$E$67,3,FALSE)</f>
        <v>2</v>
      </c>
      <c r="BI181" s="67">
        <f>+VLOOKUP('3. Blasting'!AJ181,Leyenda!$B$39:$E$43,4,FALSE)</f>
        <v>1</v>
      </c>
      <c r="BJ181" s="67">
        <f>+VLOOKUP('3. Blasting'!AI181,Leyenda!$B$30:$E$34,4,FALSE)</f>
        <v>1</v>
      </c>
      <c r="BK181" s="67">
        <f>VLOOKUP(AN181,Leyenda!$B$71:$E$75,4,FALSE)</f>
        <v>10</v>
      </c>
      <c r="BL181" s="125">
        <f t="shared" si="68"/>
        <v>25</v>
      </c>
      <c r="BM181" s="85">
        <f t="shared" si="69"/>
        <v>30</v>
      </c>
      <c r="BN181" s="18" t="e">
        <f t="shared" si="79"/>
        <v>#N/A</v>
      </c>
      <c r="BO181" s="18"/>
      <c r="BP181" s="6">
        <f t="shared" si="70"/>
        <v>10</v>
      </c>
      <c r="BQ181" s="6">
        <f t="shared" si="71"/>
        <v>10</v>
      </c>
      <c r="BR181" s="6">
        <v>20</v>
      </c>
      <c r="BS181" s="6">
        <f t="shared" si="72"/>
        <v>3.5</v>
      </c>
      <c r="BT181" s="6">
        <f t="shared" si="73"/>
        <v>1.5650000000000002</v>
      </c>
      <c r="BU181" s="6">
        <f t="shared" si="74"/>
        <v>22.532499999999999</v>
      </c>
      <c r="BV181" s="18">
        <f t="shared" si="58"/>
        <v>9.0130000000000002E-2</v>
      </c>
      <c r="BW181" s="18">
        <f t="shared" si="59"/>
        <v>0.19287820000000003</v>
      </c>
    </row>
    <row r="182" spans="1:75" x14ac:dyDescent="0.25">
      <c r="A182" s="18" t="s">
        <v>6</v>
      </c>
      <c r="B182" s="18">
        <v>2024</v>
      </c>
      <c r="C182" s="18" t="s">
        <v>138</v>
      </c>
      <c r="D182" s="18" t="s">
        <v>245</v>
      </c>
      <c r="E182" s="18">
        <v>40</v>
      </c>
      <c r="F182" s="18" t="s">
        <v>153</v>
      </c>
      <c r="G182" s="18" t="s">
        <v>294</v>
      </c>
      <c r="H182" s="4">
        <f t="shared" si="80"/>
        <v>34</v>
      </c>
      <c r="I182" s="4">
        <v>34.5</v>
      </c>
      <c r="J182" s="4">
        <f t="shared" si="60"/>
        <v>0.5</v>
      </c>
      <c r="K182" s="5">
        <v>0.24</v>
      </c>
      <c r="L182" s="31">
        <f t="shared" si="61"/>
        <v>0.12</v>
      </c>
      <c r="M182" s="31">
        <v>2.14</v>
      </c>
      <c r="N182" s="31">
        <v>31.3</v>
      </c>
      <c r="O182" s="31">
        <f t="shared" si="56"/>
        <v>0.12</v>
      </c>
      <c r="P182" s="31">
        <v>6</v>
      </c>
      <c r="Q182" s="31">
        <v>20</v>
      </c>
      <c r="R182" s="31">
        <v>0.12</v>
      </c>
      <c r="S182" s="31">
        <v>0</v>
      </c>
      <c r="T182" s="65">
        <f t="shared" si="75"/>
        <v>0</v>
      </c>
      <c r="U182" s="31">
        <v>11</v>
      </c>
      <c r="V182" s="31"/>
      <c r="W182" s="31">
        <f t="shared" si="77"/>
        <v>11</v>
      </c>
      <c r="X182" s="31">
        <f t="shared" si="78"/>
        <v>10.909090909090908</v>
      </c>
      <c r="Y182" s="31">
        <f t="shared" si="62"/>
        <v>1.0909090909090908E-2</v>
      </c>
      <c r="Z182" s="18">
        <v>0</v>
      </c>
      <c r="AA182" s="18" t="s">
        <v>100</v>
      </c>
      <c r="AB182" s="18" t="s">
        <v>333</v>
      </c>
      <c r="AC182" s="18" t="s">
        <v>337</v>
      </c>
      <c r="AD182" s="18">
        <v>20</v>
      </c>
      <c r="AE182" s="18">
        <v>6</v>
      </c>
      <c r="AF182" s="18" t="s">
        <v>29</v>
      </c>
      <c r="AG182" s="18" t="s">
        <v>27</v>
      </c>
      <c r="AH182" s="18" t="s">
        <v>27</v>
      </c>
      <c r="AI182" s="18" t="s">
        <v>66</v>
      </c>
      <c r="AJ182" s="18" t="s">
        <v>79</v>
      </c>
      <c r="AK182" s="18" t="s">
        <v>96</v>
      </c>
      <c r="AL182" s="18" t="s">
        <v>107</v>
      </c>
      <c r="AM182" s="18" t="s">
        <v>120</v>
      </c>
      <c r="AN182" s="18" t="s">
        <v>198</v>
      </c>
      <c r="AO182" s="18" t="s">
        <v>240</v>
      </c>
      <c r="AP182" s="18"/>
      <c r="AQ182" s="18">
        <f>+VLOOKUP(AI182,Leyenda!$B$30:$E$34,3,FALSE)</f>
        <v>1</v>
      </c>
      <c r="AR182" s="18">
        <f>+VLOOKUP('3. Blasting'!AJ182,Meteorizacion,3,FALSE)</f>
        <v>1</v>
      </c>
      <c r="AS182" s="18">
        <f>+VLOOKUP('3. Blasting'!AK182,Apertura,3,FALSE)</f>
        <v>1</v>
      </c>
      <c r="AT182" s="18">
        <f>+VLOOKUP('3. Blasting'!AL182,Leyenda!$B$55:$D$59,3,FALSE)</f>
        <v>3</v>
      </c>
      <c r="AU182" s="18">
        <f>+VLOOKUP('3. Blasting'!AM182,Relleno,3,FALSE)</f>
        <v>2</v>
      </c>
      <c r="AV182" s="18">
        <f t="shared" si="76"/>
        <v>8</v>
      </c>
      <c r="AW182" s="49">
        <f t="shared" si="63"/>
        <v>0</v>
      </c>
      <c r="AX182" s="49">
        <f>VLOOKUP(AF182,Leyenda!$B$4:$D$10,3,FALSE)</f>
        <v>2</v>
      </c>
      <c r="AY182" s="49">
        <f t="shared" si="57"/>
        <v>3</v>
      </c>
      <c r="AZ182" s="49">
        <f t="shared" si="64"/>
        <v>8</v>
      </c>
      <c r="BA182" s="49">
        <f>VLOOKUP(AN182,Leyenda!$B$70:$D$75,3,FALSE)</f>
        <v>15</v>
      </c>
      <c r="BB182" s="67">
        <f t="shared" si="65"/>
        <v>12</v>
      </c>
      <c r="BC182" s="67">
        <f>VLOOKUP(AF182,Leyenda!$B$4:$E$10,4,FALSE)</f>
        <v>2</v>
      </c>
      <c r="BD182" s="67">
        <f t="shared" si="66"/>
        <v>5</v>
      </c>
      <c r="BE182" s="67">
        <f t="shared" si="67"/>
        <v>0</v>
      </c>
      <c r="BF182" s="67">
        <f>+VLOOKUP('3. Blasting'!AK182,Leyenda!$B$47:$E$51,4,FALSE)</f>
        <v>1</v>
      </c>
      <c r="BG182" s="67">
        <f>+VLOOKUP('3. Blasting'!AL182,Leyenda!$B$55:$E$59,4,FALSE)</f>
        <v>3</v>
      </c>
      <c r="BH182" s="67">
        <f>+VLOOKUP('3. Blasting'!AM182,Leyenda!$B$63:$E$67,3,FALSE)</f>
        <v>2</v>
      </c>
      <c r="BI182" s="67">
        <f>+VLOOKUP('3. Blasting'!AJ182,Leyenda!$B$39:$E$43,4,FALSE)</f>
        <v>1</v>
      </c>
      <c r="BJ182" s="67">
        <f>+VLOOKUP('3. Blasting'!AI182,Leyenda!$B$30:$E$34,4,FALSE)</f>
        <v>1</v>
      </c>
      <c r="BK182" s="67">
        <f>VLOOKUP(AN182,Leyenda!$B$71:$E$75,4,FALSE)</f>
        <v>10</v>
      </c>
      <c r="BL182" s="125">
        <f t="shared" si="68"/>
        <v>25</v>
      </c>
      <c r="BM182" s="85">
        <f t="shared" si="69"/>
        <v>28</v>
      </c>
      <c r="BN182" s="18" t="e">
        <f t="shared" si="79"/>
        <v>#N/A</v>
      </c>
      <c r="BO182" s="18"/>
      <c r="BP182" s="6">
        <f t="shared" si="70"/>
        <v>10</v>
      </c>
      <c r="BQ182" s="6">
        <f t="shared" si="71"/>
        <v>10</v>
      </c>
      <c r="BR182" s="6">
        <v>20</v>
      </c>
      <c r="BS182" s="6">
        <f t="shared" si="72"/>
        <v>3.5</v>
      </c>
      <c r="BT182" s="6">
        <f t="shared" si="73"/>
        <v>1.5650000000000002</v>
      </c>
      <c r="BU182" s="6">
        <f t="shared" si="74"/>
        <v>22.532499999999999</v>
      </c>
      <c r="BV182" s="18">
        <f t="shared" si="58"/>
        <v>9.0130000000000002E-2</v>
      </c>
      <c r="BW182" s="18">
        <f t="shared" si="59"/>
        <v>0.19287820000000003</v>
      </c>
    </row>
    <row r="183" spans="1:75" x14ac:dyDescent="0.25">
      <c r="A183" s="18" t="s">
        <v>6</v>
      </c>
      <c r="B183" s="18">
        <v>2024</v>
      </c>
      <c r="C183" s="18" t="s">
        <v>138</v>
      </c>
      <c r="D183" s="18" t="s">
        <v>245</v>
      </c>
      <c r="E183" s="18">
        <v>40</v>
      </c>
      <c r="F183" s="18" t="s">
        <v>153</v>
      </c>
      <c r="G183" s="18" t="s">
        <v>294</v>
      </c>
      <c r="H183" s="4">
        <f t="shared" si="80"/>
        <v>34.5</v>
      </c>
      <c r="I183" s="4">
        <v>35</v>
      </c>
      <c r="J183" s="4">
        <f t="shared" si="60"/>
        <v>0.5</v>
      </c>
      <c r="K183" s="5">
        <v>0</v>
      </c>
      <c r="L183" s="31">
        <f t="shared" si="61"/>
        <v>0</v>
      </c>
      <c r="M183" s="31">
        <v>2.14</v>
      </c>
      <c r="N183" s="31">
        <v>31.3</v>
      </c>
      <c r="O183" s="31">
        <f t="shared" si="56"/>
        <v>0</v>
      </c>
      <c r="P183" s="31" t="s">
        <v>348</v>
      </c>
      <c r="Q183" s="31">
        <v>1</v>
      </c>
      <c r="R183" s="31">
        <v>0</v>
      </c>
      <c r="S183" s="31">
        <v>0</v>
      </c>
      <c r="T183" s="65">
        <f t="shared" si="75"/>
        <v>0</v>
      </c>
      <c r="U183" s="31"/>
      <c r="V183" s="31"/>
      <c r="W183" s="31"/>
      <c r="X183" s="31"/>
      <c r="Y183" s="31">
        <f t="shared" si="62"/>
        <v>0</v>
      </c>
      <c r="Z183" s="18">
        <v>0</v>
      </c>
      <c r="AA183" s="18" t="s">
        <v>100</v>
      </c>
      <c r="AB183" s="18" t="s">
        <v>116</v>
      </c>
      <c r="AC183" s="18" t="s">
        <v>337</v>
      </c>
      <c r="AD183" s="18">
        <v>1</v>
      </c>
      <c r="AE183" s="18" t="s">
        <v>348</v>
      </c>
      <c r="AF183" s="18" t="s">
        <v>29</v>
      </c>
      <c r="AG183" s="18" t="s">
        <v>27</v>
      </c>
      <c r="AH183" s="18" t="s">
        <v>27</v>
      </c>
      <c r="AI183" s="18" t="s">
        <v>66</v>
      </c>
      <c r="AJ183" s="18" t="s">
        <v>79</v>
      </c>
      <c r="AK183" s="18" t="s">
        <v>96</v>
      </c>
      <c r="AL183" s="18" t="s">
        <v>107</v>
      </c>
      <c r="AM183" s="18" t="s">
        <v>120</v>
      </c>
      <c r="AN183" s="18" t="s">
        <v>198</v>
      </c>
      <c r="AO183" s="18" t="s">
        <v>240</v>
      </c>
      <c r="AP183" s="18"/>
      <c r="AQ183" s="18">
        <f>+VLOOKUP(AI183,Leyenda!$B$30:$E$34,3,FALSE)</f>
        <v>1</v>
      </c>
      <c r="AR183" s="18">
        <f>+VLOOKUP('3. Blasting'!AJ183,Meteorizacion,3,FALSE)</f>
        <v>1</v>
      </c>
      <c r="AS183" s="18">
        <f>+VLOOKUP('3. Blasting'!AK183,Apertura,3,FALSE)</f>
        <v>1</v>
      </c>
      <c r="AT183" s="18">
        <f>+VLOOKUP('3. Blasting'!AL183,Leyenda!$B$55:$D$59,3,FALSE)</f>
        <v>3</v>
      </c>
      <c r="AU183" s="18">
        <f>+VLOOKUP('3. Blasting'!AM183,Relleno,3,FALSE)</f>
        <v>2</v>
      </c>
      <c r="AV183" s="18">
        <f t="shared" si="76"/>
        <v>8</v>
      </c>
      <c r="AW183" s="49">
        <f t="shared" si="63"/>
        <v>0</v>
      </c>
      <c r="AX183" s="49">
        <f>VLOOKUP(AF183,Leyenda!$B$4:$D$10,3,FALSE)</f>
        <v>2</v>
      </c>
      <c r="AY183" s="49" t="e">
        <f t="shared" si="57"/>
        <v>#VALUE!</v>
      </c>
      <c r="AZ183" s="49">
        <f t="shared" si="64"/>
        <v>8</v>
      </c>
      <c r="BA183" s="49">
        <f>VLOOKUP(AN183,Leyenda!$B$70:$D$75,3,FALSE)</f>
        <v>15</v>
      </c>
      <c r="BB183" s="67">
        <f t="shared" si="65"/>
        <v>12</v>
      </c>
      <c r="BC183" s="67">
        <f>VLOOKUP(AF183,Leyenda!$B$4:$E$10,4,FALSE)</f>
        <v>2</v>
      </c>
      <c r="BD183" s="67">
        <f t="shared" si="66"/>
        <v>5</v>
      </c>
      <c r="BE183" s="67">
        <f t="shared" si="67"/>
        <v>0</v>
      </c>
      <c r="BF183" s="67">
        <f>+VLOOKUP('3. Blasting'!AK183,Leyenda!$B$47:$E$51,4,FALSE)</f>
        <v>1</v>
      </c>
      <c r="BG183" s="67">
        <f>+VLOOKUP('3. Blasting'!AL183,Leyenda!$B$55:$E$59,4,FALSE)</f>
        <v>3</v>
      </c>
      <c r="BH183" s="67">
        <f>+VLOOKUP('3. Blasting'!AM183,Leyenda!$B$63:$E$67,3,FALSE)</f>
        <v>2</v>
      </c>
      <c r="BI183" s="67">
        <f>+VLOOKUP('3. Blasting'!AJ183,Leyenda!$B$39:$E$43,4,FALSE)</f>
        <v>1</v>
      </c>
      <c r="BJ183" s="67">
        <f>+VLOOKUP('3. Blasting'!AI183,Leyenda!$B$30:$E$34,4,FALSE)</f>
        <v>1</v>
      </c>
      <c r="BK183" s="67">
        <f>VLOOKUP(AN183,Leyenda!$B$71:$E$75,4,FALSE)</f>
        <v>10</v>
      </c>
      <c r="BL183" s="125">
        <f t="shared" si="68"/>
        <v>25</v>
      </c>
      <c r="BM183" s="85" t="e">
        <f t="shared" si="69"/>
        <v>#VALUE!</v>
      </c>
      <c r="BN183" s="18" t="e">
        <f t="shared" si="79"/>
        <v>#N/A</v>
      </c>
      <c r="BO183" s="18"/>
      <c r="BP183" s="6">
        <f t="shared" si="70"/>
        <v>10</v>
      </c>
      <c r="BQ183" s="6">
        <f t="shared" si="71"/>
        <v>10</v>
      </c>
      <c r="BR183" s="6">
        <v>20</v>
      </c>
      <c r="BS183" s="6">
        <f t="shared" si="72"/>
        <v>3.5</v>
      </c>
      <c r="BT183" s="6">
        <f t="shared" si="73"/>
        <v>1.5650000000000002</v>
      </c>
      <c r="BU183" s="6">
        <f t="shared" si="74"/>
        <v>22.532499999999999</v>
      </c>
      <c r="BV183" s="18">
        <f t="shared" si="58"/>
        <v>9.0130000000000002E-2</v>
      </c>
      <c r="BW183" s="18">
        <f t="shared" si="59"/>
        <v>0.19287820000000003</v>
      </c>
    </row>
    <row r="184" spans="1:75" x14ac:dyDescent="0.25">
      <c r="A184" s="18" t="s">
        <v>6</v>
      </c>
      <c r="B184" s="18">
        <v>2024</v>
      </c>
      <c r="C184" s="18" t="s">
        <v>138</v>
      </c>
      <c r="D184" s="18" t="s">
        <v>245</v>
      </c>
      <c r="E184" s="18">
        <v>40</v>
      </c>
      <c r="F184" s="18" t="s">
        <v>153</v>
      </c>
      <c r="G184" s="18" t="s">
        <v>294</v>
      </c>
      <c r="H184" s="4">
        <f t="shared" si="80"/>
        <v>35</v>
      </c>
      <c r="I184" s="4">
        <v>35.5</v>
      </c>
      <c r="J184" s="4">
        <f t="shared" si="60"/>
        <v>0.5</v>
      </c>
      <c r="K184" s="5">
        <v>0.26</v>
      </c>
      <c r="L184" s="31">
        <f t="shared" si="61"/>
        <v>0.13</v>
      </c>
      <c r="M184" s="31">
        <v>2.14</v>
      </c>
      <c r="N184" s="31">
        <v>31.3</v>
      </c>
      <c r="O184" s="31">
        <f t="shared" si="56"/>
        <v>0.13</v>
      </c>
      <c r="P184" s="31">
        <v>6.5</v>
      </c>
      <c r="Q184" s="31">
        <v>20</v>
      </c>
      <c r="R184" s="31">
        <v>0.12</v>
      </c>
      <c r="S184" s="31">
        <v>0</v>
      </c>
      <c r="T184" s="65">
        <f t="shared" si="75"/>
        <v>0</v>
      </c>
      <c r="U184" s="31">
        <v>5</v>
      </c>
      <c r="V184" s="31"/>
      <c r="W184" s="31">
        <f>+U184+V184</f>
        <v>5</v>
      </c>
      <c r="X184" s="31">
        <f>+IF(R184=0,"",(R184*1000)/W184)</f>
        <v>24</v>
      </c>
      <c r="Y184" s="31">
        <f t="shared" si="62"/>
        <v>2.4E-2</v>
      </c>
      <c r="Z184" s="18">
        <v>0</v>
      </c>
      <c r="AA184" s="18" t="s">
        <v>100</v>
      </c>
      <c r="AB184" s="18" t="s">
        <v>333</v>
      </c>
      <c r="AC184" s="18" t="s">
        <v>337</v>
      </c>
      <c r="AD184" s="18">
        <v>20</v>
      </c>
      <c r="AE184" s="18">
        <v>6.5</v>
      </c>
      <c r="AF184" s="18" t="s">
        <v>29</v>
      </c>
      <c r="AG184" s="18" t="s">
        <v>27</v>
      </c>
      <c r="AH184" s="18" t="s">
        <v>27</v>
      </c>
      <c r="AI184" s="18" t="s">
        <v>66</v>
      </c>
      <c r="AJ184" s="18" t="s">
        <v>79</v>
      </c>
      <c r="AK184" s="18" t="s">
        <v>96</v>
      </c>
      <c r="AL184" s="18" t="s">
        <v>107</v>
      </c>
      <c r="AM184" s="18" t="s">
        <v>120</v>
      </c>
      <c r="AN184" s="18" t="s">
        <v>198</v>
      </c>
      <c r="AO184" s="18" t="s">
        <v>240</v>
      </c>
      <c r="AP184" s="18"/>
      <c r="AQ184" s="18">
        <f>+VLOOKUP(AI184,Leyenda!$B$30:$E$34,3,FALSE)</f>
        <v>1</v>
      </c>
      <c r="AR184" s="18">
        <f>+VLOOKUP('3. Blasting'!AJ184,Meteorizacion,3,FALSE)</f>
        <v>1</v>
      </c>
      <c r="AS184" s="18">
        <f>+VLOOKUP('3. Blasting'!AK184,Apertura,3,FALSE)</f>
        <v>1</v>
      </c>
      <c r="AT184" s="18">
        <f>+VLOOKUP('3. Blasting'!AL184,Leyenda!$B$55:$D$59,3,FALSE)</f>
        <v>3</v>
      </c>
      <c r="AU184" s="18">
        <f>+VLOOKUP('3. Blasting'!AM184,Relleno,3,FALSE)</f>
        <v>2</v>
      </c>
      <c r="AV184" s="18">
        <f t="shared" si="76"/>
        <v>8</v>
      </c>
      <c r="AW184" s="49">
        <f t="shared" si="63"/>
        <v>0</v>
      </c>
      <c r="AX184" s="49">
        <f>VLOOKUP(AF184,Leyenda!$B$4:$D$10,3,FALSE)</f>
        <v>2</v>
      </c>
      <c r="AY184" s="49">
        <f t="shared" si="57"/>
        <v>3</v>
      </c>
      <c r="AZ184" s="49">
        <f t="shared" si="64"/>
        <v>8</v>
      </c>
      <c r="BA184" s="49">
        <f>VLOOKUP(AN184,Leyenda!$B$70:$D$75,3,FALSE)</f>
        <v>15</v>
      </c>
      <c r="BB184" s="67">
        <f t="shared" si="65"/>
        <v>12</v>
      </c>
      <c r="BC184" s="67">
        <f>VLOOKUP(AF184,Leyenda!$B$4:$E$10,4,FALSE)</f>
        <v>2</v>
      </c>
      <c r="BD184" s="67">
        <f t="shared" si="66"/>
        <v>5</v>
      </c>
      <c r="BE184" s="67">
        <f t="shared" si="67"/>
        <v>0</v>
      </c>
      <c r="BF184" s="67">
        <f>+VLOOKUP('3. Blasting'!AK184,Leyenda!$B$47:$E$51,4,FALSE)</f>
        <v>1</v>
      </c>
      <c r="BG184" s="67">
        <f>+VLOOKUP('3. Blasting'!AL184,Leyenda!$B$55:$E$59,4,FALSE)</f>
        <v>3</v>
      </c>
      <c r="BH184" s="67">
        <f>+VLOOKUP('3. Blasting'!AM184,Leyenda!$B$63:$E$67,3,FALSE)</f>
        <v>2</v>
      </c>
      <c r="BI184" s="67">
        <f>+VLOOKUP('3. Blasting'!AJ184,Leyenda!$B$39:$E$43,4,FALSE)</f>
        <v>1</v>
      </c>
      <c r="BJ184" s="67">
        <f>+VLOOKUP('3. Blasting'!AI184,Leyenda!$B$30:$E$34,4,FALSE)</f>
        <v>1</v>
      </c>
      <c r="BK184" s="67">
        <f>VLOOKUP(AN184,Leyenda!$B$71:$E$75,4,FALSE)</f>
        <v>10</v>
      </c>
      <c r="BL184" s="125">
        <f t="shared" si="68"/>
        <v>25</v>
      </c>
      <c r="BM184" s="85">
        <f t="shared" si="69"/>
        <v>28</v>
      </c>
      <c r="BN184" s="18" t="e">
        <f t="shared" si="79"/>
        <v>#N/A</v>
      </c>
      <c r="BO184" s="18"/>
      <c r="BP184" s="6">
        <f t="shared" si="70"/>
        <v>10</v>
      </c>
      <c r="BQ184" s="6">
        <f t="shared" si="71"/>
        <v>10</v>
      </c>
      <c r="BR184" s="6">
        <v>20</v>
      </c>
      <c r="BS184" s="6">
        <f t="shared" si="72"/>
        <v>3.5</v>
      </c>
      <c r="BT184" s="6">
        <f t="shared" si="73"/>
        <v>1.5650000000000002</v>
      </c>
      <c r="BU184" s="6">
        <f t="shared" si="74"/>
        <v>22.532499999999999</v>
      </c>
      <c r="BV184" s="18">
        <f t="shared" si="58"/>
        <v>9.0130000000000002E-2</v>
      </c>
      <c r="BW184" s="18">
        <f t="shared" si="59"/>
        <v>0.19287820000000003</v>
      </c>
    </row>
    <row r="185" spans="1:75" x14ac:dyDescent="0.25">
      <c r="A185" s="18" t="s">
        <v>6</v>
      </c>
      <c r="B185" s="18">
        <v>2024</v>
      </c>
      <c r="C185" s="18" t="s">
        <v>138</v>
      </c>
      <c r="D185" s="18" t="s">
        <v>245</v>
      </c>
      <c r="E185" s="18">
        <v>40</v>
      </c>
      <c r="F185" s="18" t="s">
        <v>153</v>
      </c>
      <c r="G185" s="18" t="s">
        <v>294</v>
      </c>
      <c r="H185" s="4">
        <f t="shared" si="80"/>
        <v>35.5</v>
      </c>
      <c r="I185" s="4">
        <v>36</v>
      </c>
      <c r="J185" s="4">
        <f t="shared" si="60"/>
        <v>0.5</v>
      </c>
      <c r="K185" s="5">
        <v>0</v>
      </c>
      <c r="L185" s="31">
        <f t="shared" si="61"/>
        <v>0</v>
      </c>
      <c r="M185" s="31">
        <v>2.14</v>
      </c>
      <c r="N185" s="31">
        <v>31.3</v>
      </c>
      <c r="O185" s="31">
        <f t="shared" si="56"/>
        <v>0</v>
      </c>
      <c r="P185" s="31" t="s">
        <v>348</v>
      </c>
      <c r="Q185" s="31">
        <v>20</v>
      </c>
      <c r="R185" s="31"/>
      <c r="S185" s="31"/>
      <c r="T185" s="65">
        <f t="shared" si="75"/>
        <v>0</v>
      </c>
      <c r="U185" s="31"/>
      <c r="V185" s="31"/>
      <c r="W185" s="31"/>
      <c r="X185" s="31"/>
      <c r="Y185" s="31">
        <f t="shared" si="62"/>
        <v>0</v>
      </c>
      <c r="Z185" s="18">
        <v>0</v>
      </c>
      <c r="AA185" s="18" t="s">
        <v>100</v>
      </c>
      <c r="AB185" s="18" t="s">
        <v>333</v>
      </c>
      <c r="AC185" s="18" t="s">
        <v>337</v>
      </c>
      <c r="AD185" s="18">
        <v>20</v>
      </c>
      <c r="AE185" s="18" t="s">
        <v>348</v>
      </c>
      <c r="AF185" s="18" t="s">
        <v>29</v>
      </c>
      <c r="AG185" s="18" t="s">
        <v>27</v>
      </c>
      <c r="AH185" s="18" t="s">
        <v>27</v>
      </c>
      <c r="AI185" s="18" t="s">
        <v>66</v>
      </c>
      <c r="AJ185" s="18" t="s">
        <v>79</v>
      </c>
      <c r="AK185" s="18" t="s">
        <v>96</v>
      </c>
      <c r="AL185" s="18" t="s">
        <v>107</v>
      </c>
      <c r="AM185" s="18" t="s">
        <v>120</v>
      </c>
      <c r="AN185" s="18" t="s">
        <v>198</v>
      </c>
      <c r="AO185" s="18" t="s">
        <v>240</v>
      </c>
      <c r="AP185" s="18"/>
      <c r="AQ185" s="18">
        <f>+VLOOKUP(AI185,Leyenda!$B$30:$E$34,3,FALSE)</f>
        <v>1</v>
      </c>
      <c r="AR185" s="18">
        <f>+VLOOKUP('3. Blasting'!AJ185,Meteorizacion,3,FALSE)</f>
        <v>1</v>
      </c>
      <c r="AS185" s="18">
        <f>+VLOOKUP('3. Blasting'!AK185,Apertura,3,FALSE)</f>
        <v>1</v>
      </c>
      <c r="AT185" s="18">
        <f>+VLOOKUP('3. Blasting'!AL185,Leyenda!$B$55:$D$59,3,FALSE)</f>
        <v>3</v>
      </c>
      <c r="AU185" s="18">
        <f>+VLOOKUP('3. Blasting'!AM185,Relleno,3,FALSE)</f>
        <v>2</v>
      </c>
      <c r="AV185" s="18">
        <f t="shared" si="76"/>
        <v>8</v>
      </c>
      <c r="AW185" s="49">
        <f t="shared" si="63"/>
        <v>0</v>
      </c>
      <c r="AX185" s="49">
        <f>VLOOKUP(AF185,Leyenda!$B$4:$D$10,3,FALSE)</f>
        <v>2</v>
      </c>
      <c r="AY185" s="49" t="e">
        <f t="shared" si="57"/>
        <v>#VALUE!</v>
      </c>
      <c r="AZ185" s="49">
        <f t="shared" si="64"/>
        <v>8</v>
      </c>
      <c r="BA185" s="49">
        <f>VLOOKUP(AN185,Leyenda!$B$70:$D$75,3,FALSE)</f>
        <v>15</v>
      </c>
      <c r="BB185" s="67">
        <f t="shared" si="65"/>
        <v>12</v>
      </c>
      <c r="BC185" s="67">
        <f>VLOOKUP(AF185,Leyenda!$B$4:$E$10,4,FALSE)</f>
        <v>2</v>
      </c>
      <c r="BD185" s="67">
        <f t="shared" si="66"/>
        <v>5</v>
      </c>
      <c r="BE185" s="67">
        <f t="shared" si="67"/>
        <v>0</v>
      </c>
      <c r="BF185" s="67">
        <f>+VLOOKUP('3. Blasting'!AK185,Leyenda!$B$47:$E$51,4,FALSE)</f>
        <v>1</v>
      </c>
      <c r="BG185" s="67">
        <f>+VLOOKUP('3. Blasting'!AL185,Leyenda!$B$55:$E$59,4,FALSE)</f>
        <v>3</v>
      </c>
      <c r="BH185" s="67">
        <f>+VLOOKUP('3. Blasting'!AM185,Leyenda!$B$63:$E$67,3,FALSE)</f>
        <v>2</v>
      </c>
      <c r="BI185" s="67">
        <f>+VLOOKUP('3. Blasting'!AJ185,Leyenda!$B$39:$E$43,4,FALSE)</f>
        <v>1</v>
      </c>
      <c r="BJ185" s="67">
        <f>+VLOOKUP('3. Blasting'!AI185,Leyenda!$B$30:$E$34,4,FALSE)</f>
        <v>1</v>
      </c>
      <c r="BK185" s="67">
        <f>VLOOKUP(AN185,Leyenda!$B$71:$E$75,4,FALSE)</f>
        <v>10</v>
      </c>
      <c r="BL185" s="125">
        <f t="shared" si="68"/>
        <v>25</v>
      </c>
      <c r="BM185" s="85" t="e">
        <f t="shared" si="69"/>
        <v>#VALUE!</v>
      </c>
      <c r="BN185" s="18" t="e">
        <f t="shared" si="79"/>
        <v>#N/A</v>
      </c>
      <c r="BO185" s="18"/>
      <c r="BP185" s="6">
        <f t="shared" si="70"/>
        <v>10</v>
      </c>
      <c r="BQ185" s="6">
        <f t="shared" si="71"/>
        <v>10</v>
      </c>
      <c r="BR185" s="6">
        <v>20</v>
      </c>
      <c r="BS185" s="6">
        <f t="shared" si="72"/>
        <v>3.5</v>
      </c>
      <c r="BT185" s="6">
        <f t="shared" si="73"/>
        <v>1.5650000000000002</v>
      </c>
      <c r="BU185" s="6">
        <f t="shared" si="74"/>
        <v>22.532499999999999</v>
      </c>
      <c r="BV185" s="18">
        <f t="shared" si="58"/>
        <v>9.0130000000000002E-2</v>
      </c>
      <c r="BW185" s="18">
        <f t="shared" si="59"/>
        <v>0.19287820000000003</v>
      </c>
    </row>
    <row r="186" spans="1:75" x14ac:dyDescent="0.25">
      <c r="A186" s="18" t="s">
        <v>6</v>
      </c>
      <c r="B186" s="18">
        <v>2024</v>
      </c>
      <c r="C186" s="18" t="s">
        <v>138</v>
      </c>
      <c r="D186" s="18" t="s">
        <v>245</v>
      </c>
      <c r="E186" s="18">
        <v>40</v>
      </c>
      <c r="F186" s="18" t="s">
        <v>153</v>
      </c>
      <c r="G186" s="18" t="s">
        <v>294</v>
      </c>
      <c r="H186" s="4">
        <f t="shared" si="80"/>
        <v>36</v>
      </c>
      <c r="I186" s="4">
        <v>36.5</v>
      </c>
      <c r="J186" s="4">
        <f t="shared" si="60"/>
        <v>0.5</v>
      </c>
      <c r="K186" s="5">
        <v>0.32</v>
      </c>
      <c r="L186" s="31">
        <f t="shared" si="61"/>
        <v>0.16</v>
      </c>
      <c r="M186" s="31">
        <v>2.14</v>
      </c>
      <c r="N186" s="31">
        <v>31.3</v>
      </c>
      <c r="O186" s="31">
        <f t="shared" si="56"/>
        <v>0.16</v>
      </c>
      <c r="P186" s="31">
        <v>8</v>
      </c>
      <c r="Q186" s="31">
        <v>20</v>
      </c>
      <c r="R186" s="31">
        <v>0.24</v>
      </c>
      <c r="S186" s="31">
        <v>0</v>
      </c>
      <c r="T186" s="65">
        <f t="shared" si="75"/>
        <v>0</v>
      </c>
      <c r="U186" s="31">
        <v>10</v>
      </c>
      <c r="V186" s="31"/>
      <c r="W186" s="31">
        <f t="shared" ref="W186:W249" si="81">+U186+V186</f>
        <v>10</v>
      </c>
      <c r="X186" s="31">
        <f t="shared" ref="X186:X249" si="82">+IF(R186=0,"",(R186*1000)/W186)</f>
        <v>24</v>
      </c>
      <c r="Y186" s="31">
        <f t="shared" si="62"/>
        <v>2.4E-2</v>
      </c>
      <c r="Z186" s="18">
        <v>0</v>
      </c>
      <c r="AA186" s="18" t="s">
        <v>100</v>
      </c>
      <c r="AB186" s="18" t="s">
        <v>333</v>
      </c>
      <c r="AC186" s="18" t="s">
        <v>337</v>
      </c>
      <c r="AD186" s="18">
        <v>20</v>
      </c>
      <c r="AE186" s="18">
        <v>8</v>
      </c>
      <c r="AF186" s="18" t="s">
        <v>29</v>
      </c>
      <c r="AG186" s="18" t="s">
        <v>27</v>
      </c>
      <c r="AH186" s="18" t="s">
        <v>27</v>
      </c>
      <c r="AI186" s="18" t="s">
        <v>66</v>
      </c>
      <c r="AJ186" s="18" t="s">
        <v>79</v>
      </c>
      <c r="AK186" s="18" t="s">
        <v>96</v>
      </c>
      <c r="AL186" s="18" t="s">
        <v>107</v>
      </c>
      <c r="AM186" s="18" t="s">
        <v>120</v>
      </c>
      <c r="AN186" s="18" t="s">
        <v>198</v>
      </c>
      <c r="AO186" s="18" t="s">
        <v>240</v>
      </c>
      <c r="AP186" s="18"/>
      <c r="AQ186" s="18">
        <f>+VLOOKUP(AI186,Leyenda!$B$30:$E$34,3,FALSE)</f>
        <v>1</v>
      </c>
      <c r="AR186" s="18">
        <f>+VLOOKUP('3. Blasting'!AJ186,Meteorizacion,3,FALSE)</f>
        <v>1</v>
      </c>
      <c r="AS186" s="18">
        <f>+VLOOKUP('3. Blasting'!AK186,Apertura,3,FALSE)</f>
        <v>1</v>
      </c>
      <c r="AT186" s="18">
        <f>+VLOOKUP('3. Blasting'!AL186,Leyenda!$B$55:$D$59,3,FALSE)</f>
        <v>3</v>
      </c>
      <c r="AU186" s="18">
        <f>+VLOOKUP('3. Blasting'!AM186,Relleno,3,FALSE)</f>
        <v>2</v>
      </c>
      <c r="AV186" s="18">
        <f t="shared" si="76"/>
        <v>8</v>
      </c>
      <c r="AW186" s="49">
        <f t="shared" si="63"/>
        <v>0</v>
      </c>
      <c r="AX186" s="49">
        <f>VLOOKUP(AF186,Leyenda!$B$4:$D$10,3,FALSE)</f>
        <v>2</v>
      </c>
      <c r="AY186" s="49">
        <f t="shared" si="57"/>
        <v>3</v>
      </c>
      <c r="AZ186" s="49">
        <f t="shared" si="64"/>
        <v>8</v>
      </c>
      <c r="BA186" s="49">
        <f>VLOOKUP(AN186,Leyenda!$B$70:$D$75,3,FALSE)</f>
        <v>15</v>
      </c>
      <c r="BB186" s="67">
        <f t="shared" si="65"/>
        <v>12</v>
      </c>
      <c r="BC186" s="67">
        <f>VLOOKUP(AF186,Leyenda!$B$4:$E$10,4,FALSE)</f>
        <v>2</v>
      </c>
      <c r="BD186" s="67">
        <f t="shared" si="66"/>
        <v>5</v>
      </c>
      <c r="BE186" s="67">
        <f t="shared" si="67"/>
        <v>0</v>
      </c>
      <c r="BF186" s="67">
        <f>+VLOOKUP('3. Blasting'!AK186,Leyenda!$B$47:$E$51,4,FALSE)</f>
        <v>1</v>
      </c>
      <c r="BG186" s="67">
        <f>+VLOOKUP('3. Blasting'!AL186,Leyenda!$B$55:$E$59,4,FALSE)</f>
        <v>3</v>
      </c>
      <c r="BH186" s="67">
        <f>+VLOOKUP('3. Blasting'!AM186,Leyenda!$B$63:$E$67,3,FALSE)</f>
        <v>2</v>
      </c>
      <c r="BI186" s="67">
        <f>+VLOOKUP('3. Blasting'!AJ186,Leyenda!$B$39:$E$43,4,FALSE)</f>
        <v>1</v>
      </c>
      <c r="BJ186" s="67">
        <f>+VLOOKUP('3. Blasting'!AI186,Leyenda!$B$30:$E$34,4,FALSE)</f>
        <v>1</v>
      </c>
      <c r="BK186" s="67">
        <f>VLOOKUP(AN186,Leyenda!$B$71:$E$75,4,FALSE)</f>
        <v>10</v>
      </c>
      <c r="BL186" s="125">
        <f t="shared" si="68"/>
        <v>25</v>
      </c>
      <c r="BM186" s="85">
        <f t="shared" si="69"/>
        <v>28</v>
      </c>
      <c r="BN186" s="18" t="e">
        <f t="shared" si="79"/>
        <v>#N/A</v>
      </c>
      <c r="BO186" s="18"/>
      <c r="BP186" s="6">
        <f t="shared" si="70"/>
        <v>10</v>
      </c>
      <c r="BQ186" s="6">
        <f t="shared" si="71"/>
        <v>10</v>
      </c>
      <c r="BR186" s="6">
        <v>20</v>
      </c>
      <c r="BS186" s="6">
        <f t="shared" si="72"/>
        <v>3.5</v>
      </c>
      <c r="BT186" s="6">
        <f t="shared" si="73"/>
        <v>1.5650000000000002</v>
      </c>
      <c r="BU186" s="6">
        <f t="shared" si="74"/>
        <v>22.532499999999999</v>
      </c>
      <c r="BV186" s="18">
        <f t="shared" si="58"/>
        <v>9.0130000000000002E-2</v>
      </c>
      <c r="BW186" s="18">
        <f t="shared" si="59"/>
        <v>0.19287820000000003</v>
      </c>
    </row>
    <row r="187" spans="1:75" x14ac:dyDescent="0.25">
      <c r="A187" s="18" t="s">
        <v>6</v>
      </c>
      <c r="B187" s="18">
        <v>2024</v>
      </c>
      <c r="C187" s="18" t="s">
        <v>138</v>
      </c>
      <c r="D187" s="18" t="s">
        <v>245</v>
      </c>
      <c r="E187" s="18">
        <v>40</v>
      </c>
      <c r="F187" s="18" t="s">
        <v>153</v>
      </c>
      <c r="G187" s="18" t="s">
        <v>294</v>
      </c>
      <c r="H187" s="4">
        <f t="shared" si="80"/>
        <v>36.5</v>
      </c>
      <c r="I187" s="4">
        <v>37</v>
      </c>
      <c r="J187" s="4">
        <f t="shared" si="60"/>
        <v>0.5</v>
      </c>
      <c r="K187" s="5">
        <v>0.3</v>
      </c>
      <c r="L187" s="31">
        <f t="shared" si="61"/>
        <v>0.15</v>
      </c>
      <c r="M187" s="31">
        <v>2.14</v>
      </c>
      <c r="N187" s="31">
        <v>31.3</v>
      </c>
      <c r="O187" s="31">
        <f t="shared" si="56"/>
        <v>0.15</v>
      </c>
      <c r="P187" s="31">
        <v>7.5</v>
      </c>
      <c r="Q187" s="31">
        <v>20</v>
      </c>
      <c r="R187" s="31">
        <v>0.11</v>
      </c>
      <c r="S187" s="31">
        <v>0</v>
      </c>
      <c r="T187" s="65">
        <f t="shared" si="75"/>
        <v>0</v>
      </c>
      <c r="U187" s="31">
        <v>10</v>
      </c>
      <c r="V187" s="31"/>
      <c r="W187" s="31">
        <f t="shared" si="81"/>
        <v>10</v>
      </c>
      <c r="X187" s="31">
        <f t="shared" si="82"/>
        <v>11</v>
      </c>
      <c r="Y187" s="31">
        <f t="shared" si="62"/>
        <v>1.0999999999999999E-2</v>
      </c>
      <c r="Z187" s="18">
        <v>0</v>
      </c>
      <c r="AA187" s="18" t="s">
        <v>100</v>
      </c>
      <c r="AB187" s="18" t="s">
        <v>333</v>
      </c>
      <c r="AC187" s="18" t="s">
        <v>337</v>
      </c>
      <c r="AD187" s="18">
        <v>20</v>
      </c>
      <c r="AE187" s="18">
        <v>7.5</v>
      </c>
      <c r="AF187" s="18" t="s">
        <v>29</v>
      </c>
      <c r="AG187" s="18" t="s">
        <v>27</v>
      </c>
      <c r="AH187" s="18" t="s">
        <v>27</v>
      </c>
      <c r="AI187" s="18" t="s">
        <v>66</v>
      </c>
      <c r="AJ187" s="18" t="s">
        <v>79</v>
      </c>
      <c r="AK187" s="18" t="s">
        <v>96</v>
      </c>
      <c r="AL187" s="18" t="s">
        <v>107</v>
      </c>
      <c r="AM187" s="18" t="s">
        <v>120</v>
      </c>
      <c r="AN187" s="18" t="s">
        <v>198</v>
      </c>
      <c r="AO187" s="18" t="s">
        <v>240</v>
      </c>
      <c r="AP187" s="18"/>
      <c r="AQ187" s="18">
        <f>+VLOOKUP(AI187,Leyenda!$B$30:$E$34,3,FALSE)</f>
        <v>1</v>
      </c>
      <c r="AR187" s="18">
        <f>+VLOOKUP('3. Blasting'!AJ187,Meteorizacion,3,FALSE)</f>
        <v>1</v>
      </c>
      <c r="AS187" s="18">
        <f>+VLOOKUP('3. Blasting'!AK187,Apertura,3,FALSE)</f>
        <v>1</v>
      </c>
      <c r="AT187" s="18">
        <f>+VLOOKUP('3. Blasting'!AL187,Leyenda!$B$55:$D$59,3,FALSE)</f>
        <v>3</v>
      </c>
      <c r="AU187" s="18">
        <f>+VLOOKUP('3. Blasting'!AM187,Relleno,3,FALSE)</f>
        <v>2</v>
      </c>
      <c r="AV187" s="18">
        <f t="shared" si="76"/>
        <v>8</v>
      </c>
      <c r="AW187" s="49">
        <f t="shared" si="63"/>
        <v>0</v>
      </c>
      <c r="AX187" s="49">
        <f>VLOOKUP(AF187,Leyenda!$B$4:$D$10,3,FALSE)</f>
        <v>2</v>
      </c>
      <c r="AY187" s="49">
        <f t="shared" si="57"/>
        <v>3</v>
      </c>
      <c r="AZ187" s="49">
        <f t="shared" si="64"/>
        <v>8</v>
      </c>
      <c r="BA187" s="49">
        <f>VLOOKUP(AN187,Leyenda!$B$70:$D$75,3,FALSE)</f>
        <v>15</v>
      </c>
      <c r="BB187" s="67">
        <f t="shared" si="65"/>
        <v>12</v>
      </c>
      <c r="BC187" s="67">
        <f>VLOOKUP(AF187,Leyenda!$B$4:$E$10,4,FALSE)</f>
        <v>2</v>
      </c>
      <c r="BD187" s="67">
        <f t="shared" si="66"/>
        <v>5</v>
      </c>
      <c r="BE187" s="67">
        <f t="shared" si="67"/>
        <v>0</v>
      </c>
      <c r="BF187" s="67">
        <f>+VLOOKUP('3. Blasting'!AK187,Leyenda!$B$47:$E$51,4,FALSE)</f>
        <v>1</v>
      </c>
      <c r="BG187" s="67">
        <f>+VLOOKUP('3. Blasting'!AL187,Leyenda!$B$55:$E$59,4,FALSE)</f>
        <v>3</v>
      </c>
      <c r="BH187" s="67">
        <f>+VLOOKUP('3. Blasting'!AM187,Leyenda!$B$63:$E$67,3,FALSE)</f>
        <v>2</v>
      </c>
      <c r="BI187" s="67">
        <f>+VLOOKUP('3. Blasting'!AJ187,Leyenda!$B$39:$E$43,4,FALSE)</f>
        <v>1</v>
      </c>
      <c r="BJ187" s="67">
        <f>+VLOOKUP('3. Blasting'!AI187,Leyenda!$B$30:$E$34,4,FALSE)</f>
        <v>1</v>
      </c>
      <c r="BK187" s="67">
        <f>VLOOKUP(AN187,Leyenda!$B$71:$E$75,4,FALSE)</f>
        <v>10</v>
      </c>
      <c r="BL187" s="125">
        <f t="shared" si="68"/>
        <v>25</v>
      </c>
      <c r="BM187" s="85">
        <f t="shared" si="69"/>
        <v>28</v>
      </c>
      <c r="BN187" s="18" t="e">
        <f t="shared" si="79"/>
        <v>#N/A</v>
      </c>
      <c r="BO187" s="18"/>
      <c r="BP187" s="6">
        <f t="shared" si="70"/>
        <v>10</v>
      </c>
      <c r="BQ187" s="6">
        <f t="shared" si="71"/>
        <v>10</v>
      </c>
      <c r="BR187" s="6">
        <v>20</v>
      </c>
      <c r="BS187" s="6">
        <f t="shared" si="72"/>
        <v>3.5</v>
      </c>
      <c r="BT187" s="6">
        <f t="shared" si="73"/>
        <v>1.5650000000000002</v>
      </c>
      <c r="BU187" s="6">
        <f t="shared" si="74"/>
        <v>22.532499999999999</v>
      </c>
      <c r="BV187" s="18">
        <f t="shared" si="58"/>
        <v>9.0130000000000002E-2</v>
      </c>
      <c r="BW187" s="18">
        <f t="shared" si="59"/>
        <v>0.19287820000000003</v>
      </c>
    </row>
    <row r="188" spans="1:75" x14ac:dyDescent="0.25">
      <c r="A188" s="18" t="s">
        <v>6</v>
      </c>
      <c r="B188" s="18">
        <v>2024</v>
      </c>
      <c r="C188" s="18" t="s">
        <v>138</v>
      </c>
      <c r="D188" s="18" t="s">
        <v>245</v>
      </c>
      <c r="E188" s="18">
        <v>40</v>
      </c>
      <c r="F188" s="18" t="s">
        <v>153</v>
      </c>
      <c r="G188" s="18" t="s">
        <v>294</v>
      </c>
      <c r="H188" s="4">
        <f t="shared" si="80"/>
        <v>37</v>
      </c>
      <c r="I188" s="4">
        <v>37.5</v>
      </c>
      <c r="J188" s="4">
        <f t="shared" si="60"/>
        <v>0.5</v>
      </c>
      <c r="K188" s="5">
        <v>0.28000000000000003</v>
      </c>
      <c r="L188" s="31">
        <f t="shared" si="61"/>
        <v>0.14000000000000001</v>
      </c>
      <c r="M188" s="31">
        <v>2.14</v>
      </c>
      <c r="N188" s="31">
        <v>31.3</v>
      </c>
      <c r="O188" s="31">
        <f t="shared" si="56"/>
        <v>0.14000000000000001</v>
      </c>
      <c r="P188" s="31">
        <v>28</v>
      </c>
      <c r="Q188" s="31">
        <v>5</v>
      </c>
      <c r="R188" s="31">
        <v>0.12</v>
      </c>
      <c r="S188" s="31">
        <v>0</v>
      </c>
      <c r="T188" s="65">
        <f t="shared" si="75"/>
        <v>0</v>
      </c>
      <c r="U188" s="31">
        <v>10</v>
      </c>
      <c r="V188" s="31"/>
      <c r="W188" s="31">
        <f t="shared" si="81"/>
        <v>10</v>
      </c>
      <c r="X188" s="31">
        <f t="shared" si="82"/>
        <v>12</v>
      </c>
      <c r="Y188" s="31">
        <f t="shared" si="62"/>
        <v>1.2E-2</v>
      </c>
      <c r="Z188" s="18">
        <v>0</v>
      </c>
      <c r="AA188" s="18" t="s">
        <v>100</v>
      </c>
      <c r="AB188" s="18" t="s">
        <v>118</v>
      </c>
      <c r="AC188" s="18" t="s">
        <v>337</v>
      </c>
      <c r="AD188" s="18">
        <v>5</v>
      </c>
      <c r="AE188" s="18">
        <v>28</v>
      </c>
      <c r="AF188" s="18" t="s">
        <v>29</v>
      </c>
      <c r="AG188" s="18" t="s">
        <v>27</v>
      </c>
      <c r="AH188" s="18" t="s">
        <v>27</v>
      </c>
      <c r="AI188" s="18" t="s">
        <v>66</v>
      </c>
      <c r="AJ188" s="18" t="s">
        <v>79</v>
      </c>
      <c r="AK188" s="18" t="s">
        <v>96</v>
      </c>
      <c r="AL188" s="18" t="s">
        <v>107</v>
      </c>
      <c r="AM188" s="18" t="s">
        <v>120</v>
      </c>
      <c r="AN188" s="18" t="s">
        <v>198</v>
      </c>
      <c r="AO188" s="18" t="s">
        <v>240</v>
      </c>
      <c r="AP188" s="18"/>
      <c r="AQ188" s="18">
        <f>+VLOOKUP(AI188,Leyenda!$B$30:$E$34,3,FALSE)</f>
        <v>1</v>
      </c>
      <c r="AR188" s="18">
        <f>+VLOOKUP('3. Blasting'!AJ188,Meteorizacion,3,FALSE)</f>
        <v>1</v>
      </c>
      <c r="AS188" s="18">
        <f>+VLOOKUP('3. Blasting'!AK188,Apertura,3,FALSE)</f>
        <v>1</v>
      </c>
      <c r="AT188" s="18">
        <f>+VLOOKUP('3. Blasting'!AL188,Leyenda!$B$55:$D$59,3,FALSE)</f>
        <v>3</v>
      </c>
      <c r="AU188" s="18">
        <f>+VLOOKUP('3. Blasting'!AM188,Relleno,3,FALSE)</f>
        <v>2</v>
      </c>
      <c r="AV188" s="18">
        <f t="shared" si="76"/>
        <v>8</v>
      </c>
      <c r="AW188" s="49">
        <f t="shared" si="63"/>
        <v>0</v>
      </c>
      <c r="AX188" s="49">
        <f>VLOOKUP(AF188,Leyenda!$B$4:$D$10,3,FALSE)</f>
        <v>2</v>
      </c>
      <c r="AY188" s="49">
        <f t="shared" si="57"/>
        <v>5</v>
      </c>
      <c r="AZ188" s="49">
        <f t="shared" si="64"/>
        <v>8</v>
      </c>
      <c r="BA188" s="49">
        <f>VLOOKUP(AN188,Leyenda!$B$70:$D$75,3,FALSE)</f>
        <v>15</v>
      </c>
      <c r="BB188" s="67">
        <f t="shared" si="65"/>
        <v>12</v>
      </c>
      <c r="BC188" s="67">
        <f>VLOOKUP(AF188,Leyenda!$B$4:$E$10,4,FALSE)</f>
        <v>2</v>
      </c>
      <c r="BD188" s="67">
        <f t="shared" si="66"/>
        <v>5</v>
      </c>
      <c r="BE188" s="67">
        <f t="shared" si="67"/>
        <v>0</v>
      </c>
      <c r="BF188" s="67">
        <f>+VLOOKUP('3. Blasting'!AK188,Leyenda!$B$47:$E$51,4,FALSE)</f>
        <v>1</v>
      </c>
      <c r="BG188" s="67">
        <f>+VLOOKUP('3. Blasting'!AL188,Leyenda!$B$55:$E$59,4,FALSE)</f>
        <v>3</v>
      </c>
      <c r="BH188" s="67">
        <f>+VLOOKUP('3. Blasting'!AM188,Leyenda!$B$63:$E$67,3,FALSE)</f>
        <v>2</v>
      </c>
      <c r="BI188" s="67">
        <f>+VLOOKUP('3. Blasting'!AJ188,Leyenda!$B$39:$E$43,4,FALSE)</f>
        <v>1</v>
      </c>
      <c r="BJ188" s="67">
        <f>+VLOOKUP('3. Blasting'!AI188,Leyenda!$B$30:$E$34,4,FALSE)</f>
        <v>1</v>
      </c>
      <c r="BK188" s="67">
        <f>VLOOKUP(AN188,Leyenda!$B$71:$E$75,4,FALSE)</f>
        <v>10</v>
      </c>
      <c r="BL188" s="125">
        <f t="shared" si="68"/>
        <v>25</v>
      </c>
      <c r="BM188" s="85">
        <f t="shared" si="69"/>
        <v>30</v>
      </c>
      <c r="BN188" s="18" t="e">
        <f t="shared" si="79"/>
        <v>#N/A</v>
      </c>
      <c r="BO188" s="18"/>
      <c r="BP188" s="6">
        <f t="shared" si="70"/>
        <v>10</v>
      </c>
      <c r="BQ188" s="6">
        <f t="shared" si="71"/>
        <v>10</v>
      </c>
      <c r="BR188" s="6">
        <v>20</v>
      </c>
      <c r="BS188" s="6">
        <f t="shared" si="72"/>
        <v>3.5</v>
      </c>
      <c r="BT188" s="6">
        <f t="shared" si="73"/>
        <v>1.5650000000000002</v>
      </c>
      <c r="BU188" s="6">
        <f t="shared" si="74"/>
        <v>22.532499999999999</v>
      </c>
      <c r="BV188" s="18">
        <f t="shared" si="58"/>
        <v>9.0130000000000002E-2</v>
      </c>
      <c r="BW188" s="18">
        <f t="shared" si="59"/>
        <v>0.19287820000000003</v>
      </c>
    </row>
    <row r="189" spans="1:75" x14ac:dyDescent="0.25">
      <c r="A189" s="18" t="s">
        <v>6</v>
      </c>
      <c r="B189" s="18">
        <v>2024</v>
      </c>
      <c r="C189" s="18" t="s">
        <v>138</v>
      </c>
      <c r="D189" s="18" t="s">
        <v>245</v>
      </c>
      <c r="E189" s="18">
        <v>40</v>
      </c>
      <c r="F189" s="18" t="s">
        <v>153</v>
      </c>
      <c r="G189" s="18" t="s">
        <v>294</v>
      </c>
      <c r="H189" s="4">
        <f t="shared" si="80"/>
        <v>37.5</v>
      </c>
      <c r="I189" s="4">
        <v>38</v>
      </c>
      <c r="J189" s="4">
        <f t="shared" si="60"/>
        <v>0.5</v>
      </c>
      <c r="K189" s="5">
        <v>0.54</v>
      </c>
      <c r="L189" s="31">
        <f t="shared" si="61"/>
        <v>0.27</v>
      </c>
      <c r="M189" s="31">
        <v>2.14</v>
      </c>
      <c r="N189" s="31">
        <v>31.3</v>
      </c>
      <c r="O189" s="31">
        <f t="shared" si="56"/>
        <v>0.27</v>
      </c>
      <c r="P189" s="31">
        <v>54</v>
      </c>
      <c r="Q189" s="31">
        <v>5</v>
      </c>
      <c r="R189" s="31">
        <v>0.26</v>
      </c>
      <c r="S189" s="31">
        <v>0</v>
      </c>
      <c r="T189" s="65">
        <f t="shared" si="75"/>
        <v>0</v>
      </c>
      <c r="U189" s="31">
        <v>3</v>
      </c>
      <c r="V189" s="31"/>
      <c r="W189" s="31">
        <f t="shared" si="81"/>
        <v>3</v>
      </c>
      <c r="X189" s="31">
        <f t="shared" si="82"/>
        <v>86.666666666666671</v>
      </c>
      <c r="Y189" s="31">
        <f t="shared" si="62"/>
        <v>8.666666666666667E-2</v>
      </c>
      <c r="Z189" s="18">
        <v>0</v>
      </c>
      <c r="AA189" s="18" t="s">
        <v>100</v>
      </c>
      <c r="AB189" s="18" t="s">
        <v>118</v>
      </c>
      <c r="AC189" s="18" t="s">
        <v>337</v>
      </c>
      <c r="AD189" s="18">
        <v>5</v>
      </c>
      <c r="AE189" s="18">
        <v>54</v>
      </c>
      <c r="AF189" s="18" t="s">
        <v>29</v>
      </c>
      <c r="AG189" s="18" t="s">
        <v>27</v>
      </c>
      <c r="AH189" s="18" t="s">
        <v>27</v>
      </c>
      <c r="AI189" s="18" t="s">
        <v>64</v>
      </c>
      <c r="AJ189" s="18" t="s">
        <v>79</v>
      </c>
      <c r="AK189" s="18" t="s">
        <v>96</v>
      </c>
      <c r="AL189" s="18" t="s">
        <v>109</v>
      </c>
      <c r="AM189" s="18" t="s">
        <v>120</v>
      </c>
      <c r="AN189" s="18" t="s">
        <v>198</v>
      </c>
      <c r="AO189" s="18" t="s">
        <v>241</v>
      </c>
      <c r="AP189" s="18"/>
      <c r="AQ189" s="18">
        <f>+VLOOKUP(AI189,Leyenda!$B$30:$E$34,3,FALSE)</f>
        <v>2</v>
      </c>
      <c r="AR189" s="18">
        <f>+VLOOKUP('3. Blasting'!AJ189,Meteorizacion,3,FALSE)</f>
        <v>1</v>
      </c>
      <c r="AS189" s="18">
        <f>+VLOOKUP('3. Blasting'!AK189,Apertura,3,FALSE)</f>
        <v>1</v>
      </c>
      <c r="AT189" s="18">
        <f>+VLOOKUP('3. Blasting'!AL189,Leyenda!$B$55:$D$59,3,FALSE)</f>
        <v>1</v>
      </c>
      <c r="AU189" s="18">
        <f>+VLOOKUP('3. Blasting'!AM189,Relleno,3,FALSE)</f>
        <v>2</v>
      </c>
      <c r="AV189" s="18">
        <f t="shared" si="76"/>
        <v>7</v>
      </c>
      <c r="AW189" s="49">
        <f t="shared" si="63"/>
        <v>0</v>
      </c>
      <c r="AX189" s="49">
        <f>VLOOKUP(AF189,Leyenda!$B$4:$D$10,3,FALSE)</f>
        <v>2</v>
      </c>
      <c r="AY189" s="49">
        <f t="shared" si="57"/>
        <v>6</v>
      </c>
      <c r="AZ189" s="49">
        <f t="shared" si="64"/>
        <v>7</v>
      </c>
      <c r="BA189" s="49">
        <f>VLOOKUP(AN189,Leyenda!$B$70:$D$75,3,FALSE)</f>
        <v>15</v>
      </c>
      <c r="BB189" s="67">
        <f t="shared" si="65"/>
        <v>10.5</v>
      </c>
      <c r="BC189" s="67">
        <f>VLOOKUP(AF189,Leyenda!$B$4:$E$10,4,FALSE)</f>
        <v>2</v>
      </c>
      <c r="BD189" s="67">
        <f t="shared" si="66"/>
        <v>7</v>
      </c>
      <c r="BE189" s="67">
        <f t="shared" si="67"/>
        <v>0</v>
      </c>
      <c r="BF189" s="67">
        <f>+VLOOKUP('3. Blasting'!AK189,Leyenda!$B$47:$E$51,4,FALSE)</f>
        <v>1</v>
      </c>
      <c r="BG189" s="67">
        <f>+VLOOKUP('3. Blasting'!AL189,Leyenda!$B$55:$E$59,4,FALSE)</f>
        <v>1</v>
      </c>
      <c r="BH189" s="67">
        <f>+VLOOKUP('3. Blasting'!AM189,Leyenda!$B$63:$E$67,3,FALSE)</f>
        <v>2</v>
      </c>
      <c r="BI189" s="67">
        <f>+VLOOKUP('3. Blasting'!AJ189,Leyenda!$B$39:$E$43,4,FALSE)</f>
        <v>1</v>
      </c>
      <c r="BJ189" s="67">
        <f>+VLOOKUP('3. Blasting'!AI189,Leyenda!$B$30:$E$34,4,FALSE)</f>
        <v>3</v>
      </c>
      <c r="BK189" s="67">
        <f>VLOOKUP(AN189,Leyenda!$B$71:$E$75,4,FALSE)</f>
        <v>10</v>
      </c>
      <c r="BL189" s="125">
        <f t="shared" si="68"/>
        <v>27</v>
      </c>
      <c r="BM189" s="85">
        <f t="shared" si="69"/>
        <v>30</v>
      </c>
      <c r="BN189" s="18" t="e">
        <f t="shared" si="79"/>
        <v>#N/A</v>
      </c>
      <c r="BO189" s="18"/>
      <c r="BP189" s="6">
        <f t="shared" si="70"/>
        <v>10</v>
      </c>
      <c r="BQ189" s="6">
        <f t="shared" si="71"/>
        <v>10</v>
      </c>
      <c r="BR189" s="6">
        <v>20</v>
      </c>
      <c r="BS189" s="6">
        <f t="shared" si="72"/>
        <v>3.5</v>
      </c>
      <c r="BT189" s="6">
        <f t="shared" si="73"/>
        <v>1.5650000000000002</v>
      </c>
      <c r="BU189" s="6">
        <f t="shared" si="74"/>
        <v>22.532499999999999</v>
      </c>
      <c r="BV189" s="18">
        <f t="shared" si="58"/>
        <v>9.0130000000000002E-2</v>
      </c>
      <c r="BW189" s="18">
        <f t="shared" si="59"/>
        <v>0.19287820000000003</v>
      </c>
    </row>
    <row r="190" spans="1:75" x14ac:dyDescent="0.25">
      <c r="A190" s="18" t="s">
        <v>6</v>
      </c>
      <c r="B190" s="18">
        <v>2024</v>
      </c>
      <c r="C190" s="18" t="s">
        <v>138</v>
      </c>
      <c r="D190" s="18" t="s">
        <v>245</v>
      </c>
      <c r="E190" s="18">
        <v>40</v>
      </c>
      <c r="F190" s="18" t="s">
        <v>153</v>
      </c>
      <c r="G190" s="18" t="s">
        <v>295</v>
      </c>
      <c r="H190" s="4">
        <f t="shared" si="80"/>
        <v>38</v>
      </c>
      <c r="I190" s="4">
        <v>38.5</v>
      </c>
      <c r="J190" s="4">
        <f t="shared" si="60"/>
        <v>0.5</v>
      </c>
      <c r="K190" s="5">
        <v>0.54</v>
      </c>
      <c r="L190" s="31">
        <f t="shared" si="61"/>
        <v>0.27</v>
      </c>
      <c r="M190" s="31">
        <v>2.14</v>
      </c>
      <c r="N190" s="31">
        <v>31.3</v>
      </c>
      <c r="O190" s="31">
        <f t="shared" si="56"/>
        <v>0.27</v>
      </c>
      <c r="P190" s="31">
        <v>270</v>
      </c>
      <c r="Q190" s="31">
        <v>1</v>
      </c>
      <c r="R190" s="31">
        <v>0.26</v>
      </c>
      <c r="S190" s="31">
        <v>0</v>
      </c>
      <c r="T190" s="65">
        <f t="shared" si="75"/>
        <v>0</v>
      </c>
      <c r="U190" s="31">
        <v>10</v>
      </c>
      <c r="V190" s="31"/>
      <c r="W190" s="31">
        <f t="shared" si="81"/>
        <v>10</v>
      </c>
      <c r="X190" s="31">
        <f t="shared" si="82"/>
        <v>26</v>
      </c>
      <c r="Y190" s="31">
        <f t="shared" si="62"/>
        <v>2.5999999999999999E-2</v>
      </c>
      <c r="Z190" s="18">
        <v>0</v>
      </c>
      <c r="AA190" s="18" t="s">
        <v>100</v>
      </c>
      <c r="AB190" s="18" t="s">
        <v>116</v>
      </c>
      <c r="AC190" s="18" t="s">
        <v>337</v>
      </c>
      <c r="AD190" s="18">
        <v>1</v>
      </c>
      <c r="AE190" s="18">
        <v>270</v>
      </c>
      <c r="AF190" s="18" t="s">
        <v>29</v>
      </c>
      <c r="AG190" s="18" t="s">
        <v>228</v>
      </c>
      <c r="AH190" s="18" t="s">
        <v>228</v>
      </c>
      <c r="AI190" s="18" t="s">
        <v>66</v>
      </c>
      <c r="AJ190" s="18" t="s">
        <v>81</v>
      </c>
      <c r="AK190" s="18" t="s">
        <v>100</v>
      </c>
      <c r="AL190" s="18" t="s">
        <v>109</v>
      </c>
      <c r="AM190" s="18" t="s">
        <v>122</v>
      </c>
      <c r="AN190" s="18" t="s">
        <v>198</v>
      </c>
      <c r="AO190" s="18" t="s">
        <v>241</v>
      </c>
      <c r="AP190" s="18"/>
      <c r="AQ190" s="18">
        <f>+VLOOKUP(AI190,Leyenda!$B$30:$E$34,3,FALSE)</f>
        <v>1</v>
      </c>
      <c r="AR190" s="18">
        <f>+VLOOKUP('3. Blasting'!AJ190,Meteorizacion,3,FALSE)</f>
        <v>0</v>
      </c>
      <c r="AS190" s="18">
        <f>+VLOOKUP('3. Blasting'!AK190,Apertura,3,FALSE)</f>
        <v>0</v>
      </c>
      <c r="AT190" s="18">
        <f>+VLOOKUP('3. Blasting'!AL190,Leyenda!$B$55:$D$59,3,FALSE)</f>
        <v>1</v>
      </c>
      <c r="AU190" s="18">
        <f>+VLOOKUP('3. Blasting'!AM190,Relleno,3,FALSE)</f>
        <v>0</v>
      </c>
      <c r="AV190" s="18">
        <f t="shared" si="76"/>
        <v>2</v>
      </c>
      <c r="AW190" s="49">
        <f t="shared" si="63"/>
        <v>0</v>
      </c>
      <c r="AX190" s="49">
        <f>VLOOKUP(AF190,Leyenda!$B$4:$D$10,3,FALSE)</f>
        <v>2</v>
      </c>
      <c r="AY190" s="49">
        <f t="shared" si="57"/>
        <v>10</v>
      </c>
      <c r="AZ190" s="49">
        <f t="shared" si="64"/>
        <v>2</v>
      </c>
      <c r="BA190" s="49">
        <f>VLOOKUP(AN190,Leyenda!$B$70:$D$75,3,FALSE)</f>
        <v>15</v>
      </c>
      <c r="BB190" s="67">
        <f t="shared" si="65"/>
        <v>3</v>
      </c>
      <c r="BC190" s="67">
        <f>VLOOKUP(AF190,Leyenda!$B$4:$E$10,4,FALSE)</f>
        <v>2</v>
      </c>
      <c r="BD190" s="67">
        <f t="shared" si="66"/>
        <v>5</v>
      </c>
      <c r="BE190" s="67">
        <f t="shared" si="67"/>
        <v>0</v>
      </c>
      <c r="BF190" s="67">
        <f>+VLOOKUP('3. Blasting'!AK190,Leyenda!$B$47:$E$51,4,FALSE)</f>
        <v>0</v>
      </c>
      <c r="BG190" s="67">
        <f>+VLOOKUP('3. Blasting'!AL190,Leyenda!$B$55:$E$59,4,FALSE)</f>
        <v>1</v>
      </c>
      <c r="BH190" s="67">
        <f>+VLOOKUP('3. Blasting'!AM190,Leyenda!$B$63:$E$67,3,FALSE)</f>
        <v>0</v>
      </c>
      <c r="BI190" s="67">
        <f>+VLOOKUP('3. Blasting'!AJ190,Leyenda!$B$39:$E$43,4,FALSE)</f>
        <v>0</v>
      </c>
      <c r="BJ190" s="67">
        <f>+VLOOKUP('3. Blasting'!AI190,Leyenda!$B$30:$E$34,4,FALSE)</f>
        <v>1</v>
      </c>
      <c r="BK190" s="67">
        <f>VLOOKUP(AN190,Leyenda!$B$71:$E$75,4,FALSE)</f>
        <v>10</v>
      </c>
      <c r="BL190" s="125">
        <f t="shared" si="68"/>
        <v>19</v>
      </c>
      <c r="BM190" s="85">
        <f t="shared" si="69"/>
        <v>29</v>
      </c>
      <c r="BN190" s="18" t="e">
        <f t="shared" si="79"/>
        <v>#N/A</v>
      </c>
      <c r="BO190" s="18"/>
      <c r="BP190" s="6">
        <f t="shared" si="70"/>
        <v>10</v>
      </c>
      <c r="BQ190" s="6">
        <f t="shared" si="71"/>
        <v>10</v>
      </c>
      <c r="BR190" s="6">
        <v>20</v>
      </c>
      <c r="BS190" s="6">
        <f t="shared" si="72"/>
        <v>3.5</v>
      </c>
      <c r="BT190" s="6">
        <f t="shared" si="73"/>
        <v>1.5650000000000002</v>
      </c>
      <c r="BU190" s="6">
        <f t="shared" si="74"/>
        <v>22.532499999999999</v>
      </c>
      <c r="BV190" s="18">
        <f t="shared" si="58"/>
        <v>9.0130000000000002E-2</v>
      </c>
      <c r="BW190" s="18">
        <f t="shared" si="59"/>
        <v>0.19287820000000003</v>
      </c>
    </row>
    <row r="191" spans="1:75" x14ac:dyDescent="0.25">
      <c r="A191" s="18" t="s">
        <v>6</v>
      </c>
      <c r="B191" s="18">
        <v>2024</v>
      </c>
      <c r="C191" s="18" t="s">
        <v>138</v>
      </c>
      <c r="D191" s="18" t="s">
        <v>245</v>
      </c>
      <c r="E191" s="18">
        <v>40</v>
      </c>
      <c r="F191" s="18" t="s">
        <v>153</v>
      </c>
      <c r="G191" s="18" t="s">
        <v>295</v>
      </c>
      <c r="H191" s="4">
        <f t="shared" si="80"/>
        <v>38.5</v>
      </c>
      <c r="I191" s="4">
        <v>39</v>
      </c>
      <c r="J191" s="4">
        <f t="shared" si="60"/>
        <v>0.5</v>
      </c>
      <c r="K191" s="5">
        <v>0.38</v>
      </c>
      <c r="L191" s="31">
        <f t="shared" si="61"/>
        <v>0.19</v>
      </c>
      <c r="M191" s="31">
        <v>2.14</v>
      </c>
      <c r="N191" s="31">
        <v>31.3</v>
      </c>
      <c r="O191" s="31">
        <f t="shared" si="56"/>
        <v>0.19</v>
      </c>
      <c r="P191" s="31">
        <v>38</v>
      </c>
      <c r="Q191" s="31">
        <v>5</v>
      </c>
      <c r="R191" s="31">
        <v>0.16</v>
      </c>
      <c r="S191" s="31">
        <v>0</v>
      </c>
      <c r="T191" s="65">
        <f t="shared" si="75"/>
        <v>0</v>
      </c>
      <c r="U191" s="31">
        <v>15</v>
      </c>
      <c r="V191" s="31"/>
      <c r="W191" s="31">
        <f t="shared" si="81"/>
        <v>15</v>
      </c>
      <c r="X191" s="31">
        <f t="shared" si="82"/>
        <v>10.666666666666666</v>
      </c>
      <c r="Y191" s="31">
        <f t="shared" si="62"/>
        <v>1.0666666666666666E-2</v>
      </c>
      <c r="Z191" s="18">
        <v>0</v>
      </c>
      <c r="AA191" s="18" t="s">
        <v>330</v>
      </c>
      <c r="AB191" s="18" t="s">
        <v>118</v>
      </c>
      <c r="AC191" s="18" t="s">
        <v>334</v>
      </c>
      <c r="AD191" s="18">
        <v>5</v>
      </c>
      <c r="AE191" s="18">
        <v>38</v>
      </c>
      <c r="AF191" s="18" t="s">
        <v>27</v>
      </c>
      <c r="AG191" s="18" t="s">
        <v>228</v>
      </c>
      <c r="AH191" s="18" t="s">
        <v>228</v>
      </c>
      <c r="AI191" s="18" t="s">
        <v>66</v>
      </c>
      <c r="AJ191" s="18" t="s">
        <v>81</v>
      </c>
      <c r="AK191" s="18" t="s">
        <v>100</v>
      </c>
      <c r="AL191" s="18" t="s">
        <v>109</v>
      </c>
      <c r="AM191" s="18" t="s">
        <v>122</v>
      </c>
      <c r="AN191" s="18" t="s">
        <v>198</v>
      </c>
      <c r="AO191" s="18" t="s">
        <v>241</v>
      </c>
      <c r="AP191" s="18"/>
      <c r="AQ191" s="18">
        <f>+VLOOKUP(AI191,Leyenda!$B$30:$E$34,3,FALSE)</f>
        <v>1</v>
      </c>
      <c r="AR191" s="18">
        <f>+VLOOKUP('3. Blasting'!AJ191,Meteorizacion,3,FALSE)</f>
        <v>0</v>
      </c>
      <c r="AS191" s="18">
        <f>+VLOOKUP('3. Blasting'!AK191,Apertura,3,FALSE)</f>
        <v>0</v>
      </c>
      <c r="AT191" s="18">
        <f>+VLOOKUP('3. Blasting'!AL191,Leyenda!$B$55:$D$59,3,FALSE)</f>
        <v>1</v>
      </c>
      <c r="AU191" s="18">
        <f>+VLOOKUP('3. Blasting'!AM191,Relleno,3,FALSE)</f>
        <v>0</v>
      </c>
      <c r="AV191" s="18">
        <f t="shared" si="76"/>
        <v>2</v>
      </c>
      <c r="AW191" s="49">
        <f t="shared" si="63"/>
        <v>0</v>
      </c>
      <c r="AX191" s="49">
        <f>VLOOKUP(AF191,Leyenda!$B$4:$D$10,3,FALSE)</f>
        <v>4</v>
      </c>
      <c r="AY191" s="49">
        <f t="shared" si="57"/>
        <v>5</v>
      </c>
      <c r="AZ191" s="49">
        <f t="shared" si="64"/>
        <v>2</v>
      </c>
      <c r="BA191" s="49">
        <f>VLOOKUP(AN191,Leyenda!$B$70:$D$75,3,FALSE)</f>
        <v>15</v>
      </c>
      <c r="BB191" s="67">
        <f t="shared" si="65"/>
        <v>3</v>
      </c>
      <c r="BC191" s="67">
        <f>VLOOKUP(AF191,Leyenda!$B$4:$E$10,4,FALSE)</f>
        <v>4</v>
      </c>
      <c r="BD191" s="67">
        <f t="shared" si="66"/>
        <v>5</v>
      </c>
      <c r="BE191" s="67">
        <f t="shared" si="67"/>
        <v>0</v>
      </c>
      <c r="BF191" s="67">
        <f>+VLOOKUP('3. Blasting'!AK191,Leyenda!$B$47:$E$51,4,FALSE)</f>
        <v>0</v>
      </c>
      <c r="BG191" s="67">
        <f>+VLOOKUP('3. Blasting'!AL191,Leyenda!$B$55:$E$59,4,FALSE)</f>
        <v>1</v>
      </c>
      <c r="BH191" s="67">
        <f>+VLOOKUP('3. Blasting'!AM191,Leyenda!$B$63:$E$67,3,FALSE)</f>
        <v>0</v>
      </c>
      <c r="BI191" s="67">
        <f>+VLOOKUP('3. Blasting'!AJ191,Leyenda!$B$39:$E$43,4,FALSE)</f>
        <v>0</v>
      </c>
      <c r="BJ191" s="67">
        <f>+VLOOKUP('3. Blasting'!AI191,Leyenda!$B$30:$E$34,4,FALSE)</f>
        <v>1</v>
      </c>
      <c r="BK191" s="67">
        <f>VLOOKUP(AN191,Leyenda!$B$71:$E$75,4,FALSE)</f>
        <v>10</v>
      </c>
      <c r="BL191" s="125">
        <f t="shared" si="68"/>
        <v>21</v>
      </c>
      <c r="BM191" s="85">
        <f t="shared" si="69"/>
        <v>26</v>
      </c>
      <c r="BN191" s="18" t="e">
        <f t="shared" si="79"/>
        <v>#N/A</v>
      </c>
      <c r="BO191" s="18"/>
      <c r="BP191" s="6">
        <f t="shared" si="70"/>
        <v>10</v>
      </c>
      <c r="BQ191" s="6">
        <f t="shared" si="71"/>
        <v>10</v>
      </c>
      <c r="BR191" s="6">
        <v>20</v>
      </c>
      <c r="BS191" s="6">
        <f t="shared" si="72"/>
        <v>3.5</v>
      </c>
      <c r="BT191" s="6">
        <f t="shared" si="73"/>
        <v>1.5650000000000002</v>
      </c>
      <c r="BU191" s="6">
        <f t="shared" si="74"/>
        <v>22.532499999999999</v>
      </c>
      <c r="BV191" s="18">
        <f t="shared" si="58"/>
        <v>9.0130000000000002E-2</v>
      </c>
      <c r="BW191" s="18">
        <f t="shared" si="59"/>
        <v>0.19287820000000003</v>
      </c>
    </row>
    <row r="192" spans="1:75" x14ac:dyDescent="0.25">
      <c r="A192" s="18" t="s">
        <v>6</v>
      </c>
      <c r="B192" s="18">
        <v>2024</v>
      </c>
      <c r="C192" s="18" t="s">
        <v>138</v>
      </c>
      <c r="D192" s="18" t="s">
        <v>245</v>
      </c>
      <c r="E192" s="18">
        <v>40</v>
      </c>
      <c r="F192" s="18" t="s">
        <v>153</v>
      </c>
      <c r="G192" s="18" t="s">
        <v>295</v>
      </c>
      <c r="H192" s="4">
        <f t="shared" si="80"/>
        <v>39</v>
      </c>
      <c r="I192" s="4">
        <v>39.5</v>
      </c>
      <c r="J192" s="4">
        <f t="shared" si="60"/>
        <v>0.5</v>
      </c>
      <c r="K192" s="5">
        <v>0.4</v>
      </c>
      <c r="L192" s="31">
        <f t="shared" si="61"/>
        <v>0.2</v>
      </c>
      <c r="M192" s="31">
        <v>2.14</v>
      </c>
      <c r="N192" s="31">
        <v>31.3</v>
      </c>
      <c r="O192" s="31">
        <f t="shared" si="56"/>
        <v>0.2</v>
      </c>
      <c r="P192" s="31">
        <v>200</v>
      </c>
      <c r="Q192" s="31">
        <v>1</v>
      </c>
      <c r="R192" s="31">
        <v>0.18</v>
      </c>
      <c r="S192" s="31">
        <v>0</v>
      </c>
      <c r="T192" s="65">
        <f t="shared" si="75"/>
        <v>0</v>
      </c>
      <c r="U192" s="31">
        <v>15</v>
      </c>
      <c r="V192" s="31"/>
      <c r="W192" s="31">
        <f t="shared" si="81"/>
        <v>15</v>
      </c>
      <c r="X192" s="31">
        <f t="shared" si="82"/>
        <v>12</v>
      </c>
      <c r="Y192" s="31">
        <f t="shared" si="62"/>
        <v>1.2E-2</v>
      </c>
      <c r="Z192" s="18">
        <v>0</v>
      </c>
      <c r="AA192" s="18" t="s">
        <v>330</v>
      </c>
      <c r="AB192" s="18" t="s">
        <v>116</v>
      </c>
      <c r="AC192" s="18" t="s">
        <v>334</v>
      </c>
      <c r="AD192" s="18">
        <v>1</v>
      </c>
      <c r="AE192" s="18">
        <v>200</v>
      </c>
      <c r="AF192" s="18" t="s">
        <v>27</v>
      </c>
      <c r="AG192" s="18" t="s">
        <v>228</v>
      </c>
      <c r="AH192" s="18" t="s">
        <v>228</v>
      </c>
      <c r="AI192" s="18" t="s">
        <v>66</v>
      </c>
      <c r="AJ192" s="18" t="s">
        <v>81</v>
      </c>
      <c r="AK192" s="18" t="s">
        <v>100</v>
      </c>
      <c r="AL192" s="18" t="s">
        <v>109</v>
      </c>
      <c r="AM192" s="18" t="s">
        <v>122</v>
      </c>
      <c r="AN192" s="18" t="s">
        <v>198</v>
      </c>
      <c r="AO192" s="18" t="s">
        <v>241</v>
      </c>
      <c r="AP192" s="18"/>
      <c r="AQ192" s="18">
        <f>+VLOOKUP(AI192,Leyenda!$B$30:$E$34,3,FALSE)</f>
        <v>1</v>
      </c>
      <c r="AR192" s="18">
        <f>+VLOOKUP('3. Blasting'!AJ192,Meteorizacion,3,FALSE)</f>
        <v>0</v>
      </c>
      <c r="AS192" s="18">
        <f>+VLOOKUP('3. Blasting'!AK192,Apertura,3,FALSE)</f>
        <v>0</v>
      </c>
      <c r="AT192" s="18">
        <f>+VLOOKUP('3. Blasting'!AL192,Leyenda!$B$55:$D$59,3,FALSE)</f>
        <v>1</v>
      </c>
      <c r="AU192" s="18">
        <f>+VLOOKUP('3. Blasting'!AM192,Relleno,3,FALSE)</f>
        <v>0</v>
      </c>
      <c r="AV192" s="18">
        <f t="shared" si="76"/>
        <v>2</v>
      </c>
      <c r="AW192" s="49">
        <f t="shared" si="63"/>
        <v>0</v>
      </c>
      <c r="AX192" s="49">
        <f>VLOOKUP(AF192,Leyenda!$B$4:$D$10,3,FALSE)</f>
        <v>4</v>
      </c>
      <c r="AY192" s="49">
        <f t="shared" si="57"/>
        <v>9</v>
      </c>
      <c r="AZ192" s="49">
        <f t="shared" si="64"/>
        <v>2</v>
      </c>
      <c r="BA192" s="49">
        <f>VLOOKUP(AN192,Leyenda!$B$70:$D$75,3,FALSE)</f>
        <v>15</v>
      </c>
      <c r="BB192" s="67">
        <f t="shared" si="65"/>
        <v>3</v>
      </c>
      <c r="BC192" s="67">
        <f>VLOOKUP(AF192,Leyenda!$B$4:$E$10,4,FALSE)</f>
        <v>4</v>
      </c>
      <c r="BD192" s="67">
        <f t="shared" si="66"/>
        <v>5</v>
      </c>
      <c r="BE192" s="67">
        <f t="shared" si="67"/>
        <v>0</v>
      </c>
      <c r="BF192" s="67">
        <f>+VLOOKUP('3. Blasting'!AK192,Leyenda!$B$47:$E$51,4,FALSE)</f>
        <v>0</v>
      </c>
      <c r="BG192" s="67">
        <f>+VLOOKUP('3. Blasting'!AL192,Leyenda!$B$55:$E$59,4,FALSE)</f>
        <v>1</v>
      </c>
      <c r="BH192" s="67">
        <f>+VLOOKUP('3. Blasting'!AM192,Leyenda!$B$63:$E$67,3,FALSE)</f>
        <v>0</v>
      </c>
      <c r="BI192" s="67">
        <f>+VLOOKUP('3. Blasting'!AJ192,Leyenda!$B$39:$E$43,4,FALSE)</f>
        <v>0</v>
      </c>
      <c r="BJ192" s="67">
        <f>+VLOOKUP('3. Blasting'!AI192,Leyenda!$B$30:$E$34,4,FALSE)</f>
        <v>1</v>
      </c>
      <c r="BK192" s="67">
        <f>VLOOKUP(AN192,Leyenda!$B$71:$E$75,4,FALSE)</f>
        <v>10</v>
      </c>
      <c r="BL192" s="125">
        <f t="shared" si="68"/>
        <v>21</v>
      </c>
      <c r="BM192" s="85">
        <f t="shared" si="69"/>
        <v>30</v>
      </c>
      <c r="BN192" s="18" t="e">
        <f t="shared" si="79"/>
        <v>#N/A</v>
      </c>
      <c r="BO192" s="18"/>
      <c r="BP192" s="6">
        <f t="shared" si="70"/>
        <v>10</v>
      </c>
      <c r="BQ192" s="6">
        <f t="shared" si="71"/>
        <v>10</v>
      </c>
      <c r="BR192" s="6">
        <v>20</v>
      </c>
      <c r="BS192" s="6">
        <f t="shared" si="72"/>
        <v>3.5</v>
      </c>
      <c r="BT192" s="6">
        <f t="shared" si="73"/>
        <v>1.5650000000000002</v>
      </c>
      <c r="BU192" s="6">
        <f t="shared" si="74"/>
        <v>22.532499999999999</v>
      </c>
      <c r="BV192" s="18">
        <f t="shared" si="58"/>
        <v>9.0130000000000002E-2</v>
      </c>
      <c r="BW192" s="18">
        <f t="shared" si="59"/>
        <v>0.19287820000000003</v>
      </c>
    </row>
    <row r="193" spans="1:75" x14ac:dyDescent="0.25">
      <c r="A193" s="18" t="s">
        <v>6</v>
      </c>
      <c r="B193" s="18">
        <v>2024</v>
      </c>
      <c r="C193" s="18" t="s">
        <v>138</v>
      </c>
      <c r="D193" s="18" t="s">
        <v>245</v>
      </c>
      <c r="E193" s="18">
        <v>40</v>
      </c>
      <c r="F193" s="18" t="s">
        <v>153</v>
      </c>
      <c r="G193" s="18" t="s">
        <v>296</v>
      </c>
      <c r="H193" s="4">
        <f t="shared" si="80"/>
        <v>39.5</v>
      </c>
      <c r="I193" s="4">
        <v>40</v>
      </c>
      <c r="J193" s="4">
        <f t="shared" si="60"/>
        <v>0.5</v>
      </c>
      <c r="K193" s="5">
        <v>0.66</v>
      </c>
      <c r="L193" s="31">
        <f t="shared" si="61"/>
        <v>0.33</v>
      </c>
      <c r="M193" s="31">
        <v>2.14</v>
      </c>
      <c r="N193" s="31">
        <v>31.3</v>
      </c>
      <c r="O193" s="31">
        <f t="shared" si="56"/>
        <v>0.33</v>
      </c>
      <c r="P193" s="31">
        <v>66</v>
      </c>
      <c r="Q193" s="31">
        <v>5</v>
      </c>
      <c r="R193" s="31">
        <v>0.32</v>
      </c>
      <c r="S193" s="31">
        <v>0</v>
      </c>
      <c r="T193" s="65">
        <f t="shared" si="75"/>
        <v>0</v>
      </c>
      <c r="U193" s="31">
        <v>7</v>
      </c>
      <c r="V193" s="31"/>
      <c r="W193" s="31">
        <f t="shared" si="81"/>
        <v>7</v>
      </c>
      <c r="X193" s="31">
        <f t="shared" si="82"/>
        <v>45.714285714285715</v>
      </c>
      <c r="Y193" s="31">
        <f t="shared" si="62"/>
        <v>4.5714285714285714E-2</v>
      </c>
      <c r="Z193" s="18">
        <v>0</v>
      </c>
      <c r="AA193" s="18" t="s">
        <v>330</v>
      </c>
      <c r="AB193" s="18" t="s">
        <v>118</v>
      </c>
      <c r="AC193" s="18" t="s">
        <v>334</v>
      </c>
      <c r="AD193" s="18">
        <v>5</v>
      </c>
      <c r="AE193" s="18">
        <v>66</v>
      </c>
      <c r="AF193" s="18" t="s">
        <v>27</v>
      </c>
      <c r="AG193" s="18" t="s">
        <v>199</v>
      </c>
      <c r="AH193" s="18" t="s">
        <v>199</v>
      </c>
      <c r="AI193" s="18" t="s">
        <v>66</v>
      </c>
      <c r="AJ193" s="18" t="s">
        <v>79</v>
      </c>
      <c r="AK193" s="18" t="s">
        <v>96</v>
      </c>
      <c r="AL193" s="18" t="s">
        <v>107</v>
      </c>
      <c r="AM193" s="18" t="s">
        <v>120</v>
      </c>
      <c r="AN193" s="18" t="s">
        <v>198</v>
      </c>
      <c r="AO193" s="18" t="s">
        <v>240</v>
      </c>
      <c r="AP193" s="18"/>
      <c r="AQ193" s="18">
        <f>+VLOOKUP(AI193,Leyenda!$B$30:$E$34,3,FALSE)</f>
        <v>1</v>
      </c>
      <c r="AR193" s="18">
        <f>+VLOOKUP('3. Blasting'!AJ193,Meteorizacion,3,FALSE)</f>
        <v>1</v>
      </c>
      <c r="AS193" s="18">
        <f>+VLOOKUP('3. Blasting'!AK193,Apertura,3,FALSE)</f>
        <v>1</v>
      </c>
      <c r="AT193" s="18">
        <f>+VLOOKUP('3. Blasting'!AL193,Leyenda!$B$55:$D$59,3,FALSE)</f>
        <v>3</v>
      </c>
      <c r="AU193" s="18">
        <f>+VLOOKUP('3. Blasting'!AM193,Relleno,3,FALSE)</f>
        <v>2</v>
      </c>
      <c r="AV193" s="18">
        <f t="shared" si="76"/>
        <v>8</v>
      </c>
      <c r="AW193" s="49">
        <f t="shared" si="63"/>
        <v>0</v>
      </c>
      <c r="AX193" s="49">
        <f>VLOOKUP(AF193,Leyenda!$B$4:$D$10,3,FALSE)</f>
        <v>4</v>
      </c>
      <c r="AY193" s="49">
        <f t="shared" si="57"/>
        <v>6</v>
      </c>
      <c r="AZ193" s="49">
        <f t="shared" si="64"/>
        <v>8</v>
      </c>
      <c r="BA193" s="49">
        <f>VLOOKUP(AN193,Leyenda!$B$70:$D$75,3,FALSE)</f>
        <v>15</v>
      </c>
      <c r="BB193" s="67">
        <f t="shared" si="65"/>
        <v>12</v>
      </c>
      <c r="BC193" s="67">
        <f>VLOOKUP(AF193,Leyenda!$B$4:$E$10,4,FALSE)</f>
        <v>4</v>
      </c>
      <c r="BD193" s="67">
        <f t="shared" si="66"/>
        <v>5</v>
      </c>
      <c r="BE193" s="67">
        <f t="shared" si="67"/>
        <v>0</v>
      </c>
      <c r="BF193" s="67">
        <f>+VLOOKUP('3. Blasting'!AK193,Leyenda!$B$47:$E$51,4,FALSE)</f>
        <v>1</v>
      </c>
      <c r="BG193" s="67">
        <f>+VLOOKUP('3. Blasting'!AL193,Leyenda!$B$55:$E$59,4,FALSE)</f>
        <v>3</v>
      </c>
      <c r="BH193" s="67">
        <f>+VLOOKUP('3. Blasting'!AM193,Leyenda!$B$63:$E$67,3,FALSE)</f>
        <v>2</v>
      </c>
      <c r="BI193" s="67">
        <f>+VLOOKUP('3. Blasting'!AJ193,Leyenda!$B$39:$E$43,4,FALSE)</f>
        <v>1</v>
      </c>
      <c r="BJ193" s="67">
        <f>+VLOOKUP('3. Blasting'!AI193,Leyenda!$B$30:$E$34,4,FALSE)</f>
        <v>1</v>
      </c>
      <c r="BK193" s="67">
        <f>VLOOKUP(AN193,Leyenda!$B$71:$E$75,4,FALSE)</f>
        <v>10</v>
      </c>
      <c r="BL193" s="125">
        <f t="shared" si="68"/>
        <v>27</v>
      </c>
      <c r="BM193" s="85">
        <f t="shared" si="69"/>
        <v>33</v>
      </c>
      <c r="BN193" s="18" t="e">
        <f t="shared" si="79"/>
        <v>#N/A</v>
      </c>
      <c r="BO193" s="18"/>
      <c r="BP193" s="6">
        <f t="shared" si="70"/>
        <v>10</v>
      </c>
      <c r="BQ193" s="6">
        <f t="shared" si="71"/>
        <v>10</v>
      </c>
      <c r="BR193" s="6">
        <v>20</v>
      </c>
      <c r="BS193" s="6">
        <f t="shared" si="72"/>
        <v>3.5</v>
      </c>
      <c r="BT193" s="6">
        <f t="shared" si="73"/>
        <v>1.5650000000000002</v>
      </c>
      <c r="BU193" s="6">
        <f t="shared" si="74"/>
        <v>22.532499999999999</v>
      </c>
      <c r="BV193" s="18">
        <f t="shared" si="58"/>
        <v>9.0130000000000002E-2</v>
      </c>
      <c r="BW193" s="18">
        <f t="shared" si="59"/>
        <v>0.19287820000000003</v>
      </c>
    </row>
    <row r="194" spans="1:75" x14ac:dyDescent="0.25">
      <c r="A194" s="18" t="s">
        <v>6</v>
      </c>
      <c r="B194" s="18">
        <v>2024</v>
      </c>
      <c r="C194" s="18" t="s">
        <v>138</v>
      </c>
      <c r="D194" s="18" t="s">
        <v>245</v>
      </c>
      <c r="E194" s="18">
        <v>40</v>
      </c>
      <c r="F194" s="18" t="s">
        <v>153</v>
      </c>
      <c r="G194" s="18" t="s">
        <v>296</v>
      </c>
      <c r="H194" s="4">
        <f t="shared" si="80"/>
        <v>40</v>
      </c>
      <c r="I194" s="4">
        <v>40.5</v>
      </c>
      <c r="J194" s="4">
        <f t="shared" si="60"/>
        <v>0.5</v>
      </c>
      <c r="K194" s="5">
        <v>0.4</v>
      </c>
      <c r="L194" s="31">
        <f t="shared" si="61"/>
        <v>0.2</v>
      </c>
      <c r="M194" s="31">
        <v>2.14</v>
      </c>
      <c r="N194" s="31">
        <v>31.3</v>
      </c>
      <c r="O194" s="31">
        <f t="shared" si="56"/>
        <v>0.2</v>
      </c>
      <c r="P194" s="31">
        <v>200</v>
      </c>
      <c r="Q194" s="31">
        <v>1</v>
      </c>
      <c r="R194" s="31">
        <v>0.16</v>
      </c>
      <c r="S194" s="31">
        <v>0</v>
      </c>
      <c r="T194" s="65">
        <f t="shared" si="75"/>
        <v>0</v>
      </c>
      <c r="U194" s="31">
        <v>8</v>
      </c>
      <c r="V194" s="31"/>
      <c r="W194" s="31">
        <f t="shared" si="81"/>
        <v>8</v>
      </c>
      <c r="X194" s="31">
        <f t="shared" si="82"/>
        <v>20</v>
      </c>
      <c r="Y194" s="31">
        <f t="shared" si="62"/>
        <v>0.02</v>
      </c>
      <c r="Z194" s="18">
        <v>0</v>
      </c>
      <c r="AA194" s="18" t="s">
        <v>330</v>
      </c>
      <c r="AB194" s="18" t="s">
        <v>116</v>
      </c>
      <c r="AC194" s="18" t="s">
        <v>334</v>
      </c>
      <c r="AD194" s="18">
        <v>1</v>
      </c>
      <c r="AE194" s="18">
        <v>200</v>
      </c>
      <c r="AF194" s="18" t="s">
        <v>27</v>
      </c>
      <c r="AG194" s="18" t="s">
        <v>199</v>
      </c>
      <c r="AH194" s="18" t="s">
        <v>199</v>
      </c>
      <c r="AI194" s="18" t="s">
        <v>66</v>
      </c>
      <c r="AJ194" s="18" t="s">
        <v>79</v>
      </c>
      <c r="AK194" s="18" t="s">
        <v>96</v>
      </c>
      <c r="AL194" s="18" t="s">
        <v>107</v>
      </c>
      <c r="AM194" s="18" t="s">
        <v>120</v>
      </c>
      <c r="AN194" s="18" t="s">
        <v>198</v>
      </c>
      <c r="AO194" s="18" t="s">
        <v>240</v>
      </c>
      <c r="AP194" s="18"/>
      <c r="AQ194" s="18">
        <f>+VLOOKUP(AI194,Leyenda!$B$30:$E$34,3,FALSE)</f>
        <v>1</v>
      </c>
      <c r="AR194" s="18">
        <f>+VLOOKUP('3. Blasting'!AJ194,Meteorizacion,3,FALSE)</f>
        <v>1</v>
      </c>
      <c r="AS194" s="18">
        <f>+VLOOKUP('3. Blasting'!AK194,Apertura,3,FALSE)</f>
        <v>1</v>
      </c>
      <c r="AT194" s="18">
        <f>+VLOOKUP('3. Blasting'!AL194,Leyenda!$B$55:$D$59,3,FALSE)</f>
        <v>3</v>
      </c>
      <c r="AU194" s="18">
        <f>+VLOOKUP('3. Blasting'!AM194,Relleno,3,FALSE)</f>
        <v>2</v>
      </c>
      <c r="AV194" s="18">
        <f t="shared" si="76"/>
        <v>8</v>
      </c>
      <c r="AW194" s="49">
        <f t="shared" si="63"/>
        <v>0</v>
      </c>
      <c r="AX194" s="49">
        <f>VLOOKUP(AF194,Leyenda!$B$4:$D$10,3,FALSE)</f>
        <v>4</v>
      </c>
      <c r="AY194" s="49">
        <f t="shared" si="57"/>
        <v>9</v>
      </c>
      <c r="AZ194" s="49">
        <f t="shared" si="64"/>
        <v>8</v>
      </c>
      <c r="BA194" s="49">
        <f>VLOOKUP(AN194,Leyenda!$B$70:$D$75,3,FALSE)</f>
        <v>15</v>
      </c>
      <c r="BB194" s="67">
        <f t="shared" si="65"/>
        <v>12</v>
      </c>
      <c r="BC194" s="67">
        <f>VLOOKUP(AF194,Leyenda!$B$4:$E$10,4,FALSE)</f>
        <v>4</v>
      </c>
      <c r="BD194" s="67">
        <f t="shared" si="66"/>
        <v>5</v>
      </c>
      <c r="BE194" s="67">
        <f t="shared" si="67"/>
        <v>0</v>
      </c>
      <c r="BF194" s="67">
        <f>+VLOOKUP('3. Blasting'!AK194,Leyenda!$B$47:$E$51,4,FALSE)</f>
        <v>1</v>
      </c>
      <c r="BG194" s="67">
        <f>+VLOOKUP('3. Blasting'!AL194,Leyenda!$B$55:$E$59,4,FALSE)</f>
        <v>3</v>
      </c>
      <c r="BH194" s="67">
        <f>+VLOOKUP('3. Blasting'!AM194,Leyenda!$B$63:$E$67,3,FALSE)</f>
        <v>2</v>
      </c>
      <c r="BI194" s="67">
        <f>+VLOOKUP('3. Blasting'!AJ194,Leyenda!$B$39:$E$43,4,FALSE)</f>
        <v>1</v>
      </c>
      <c r="BJ194" s="67">
        <f>+VLOOKUP('3. Blasting'!AI194,Leyenda!$B$30:$E$34,4,FALSE)</f>
        <v>1</v>
      </c>
      <c r="BK194" s="67">
        <f>VLOOKUP(AN194,Leyenda!$B$71:$E$75,4,FALSE)</f>
        <v>10</v>
      </c>
      <c r="BL194" s="125">
        <f t="shared" si="68"/>
        <v>27</v>
      </c>
      <c r="BM194" s="85">
        <f t="shared" si="69"/>
        <v>36</v>
      </c>
      <c r="BN194" s="18" t="e">
        <f t="shared" si="79"/>
        <v>#N/A</v>
      </c>
      <c r="BO194" s="18"/>
      <c r="BP194" s="6">
        <f t="shared" si="70"/>
        <v>10</v>
      </c>
      <c r="BQ194" s="6">
        <f t="shared" si="71"/>
        <v>10</v>
      </c>
      <c r="BR194" s="6">
        <v>20</v>
      </c>
      <c r="BS194" s="6">
        <f t="shared" si="72"/>
        <v>3.5</v>
      </c>
      <c r="BT194" s="6">
        <f t="shared" si="73"/>
        <v>1.5650000000000002</v>
      </c>
      <c r="BU194" s="6">
        <f t="shared" si="74"/>
        <v>22.532499999999999</v>
      </c>
      <c r="BV194" s="18">
        <f t="shared" si="58"/>
        <v>9.0130000000000002E-2</v>
      </c>
      <c r="BW194" s="18">
        <f t="shared" si="59"/>
        <v>0.19287820000000003</v>
      </c>
    </row>
    <row r="195" spans="1:75" x14ac:dyDescent="0.25">
      <c r="A195" s="18" t="s">
        <v>6</v>
      </c>
      <c r="B195" s="18">
        <v>2024</v>
      </c>
      <c r="C195" s="18" t="s">
        <v>138</v>
      </c>
      <c r="D195" s="18" t="s">
        <v>245</v>
      </c>
      <c r="E195" s="18">
        <v>40</v>
      </c>
      <c r="F195" s="18" t="s">
        <v>153</v>
      </c>
      <c r="G195" s="18" t="s">
        <v>296</v>
      </c>
      <c r="H195" s="4">
        <f t="shared" si="80"/>
        <v>40.5</v>
      </c>
      <c r="I195" s="4">
        <v>41</v>
      </c>
      <c r="J195" s="4">
        <f t="shared" si="60"/>
        <v>0.5</v>
      </c>
      <c r="K195" s="5">
        <v>0.34</v>
      </c>
      <c r="L195" s="31">
        <f t="shared" si="61"/>
        <v>0.17</v>
      </c>
      <c r="M195" s="31">
        <v>2.14</v>
      </c>
      <c r="N195" s="31">
        <v>31.3</v>
      </c>
      <c r="O195" s="31">
        <f t="shared" si="56"/>
        <v>0.17</v>
      </c>
      <c r="P195" s="31">
        <v>8.5</v>
      </c>
      <c r="Q195" s="31">
        <v>20</v>
      </c>
      <c r="R195" s="31">
        <v>0.16</v>
      </c>
      <c r="S195" s="31">
        <v>0</v>
      </c>
      <c r="T195" s="65">
        <f t="shared" si="75"/>
        <v>0</v>
      </c>
      <c r="U195" s="31">
        <v>5</v>
      </c>
      <c r="V195" s="31"/>
      <c r="W195" s="31">
        <f t="shared" si="81"/>
        <v>5</v>
      </c>
      <c r="X195" s="31">
        <f t="shared" si="82"/>
        <v>32</v>
      </c>
      <c r="Y195" s="31">
        <f t="shared" si="62"/>
        <v>3.2000000000000001E-2</v>
      </c>
      <c r="Z195" s="18">
        <v>0</v>
      </c>
      <c r="AA195" s="18" t="s">
        <v>330</v>
      </c>
      <c r="AB195" s="18" t="s">
        <v>333</v>
      </c>
      <c r="AC195" s="18" t="s">
        <v>334</v>
      </c>
      <c r="AD195" s="18">
        <v>20</v>
      </c>
      <c r="AE195" s="18">
        <v>8.5</v>
      </c>
      <c r="AF195" s="18" t="s">
        <v>27</v>
      </c>
      <c r="AG195" s="18" t="s">
        <v>199</v>
      </c>
      <c r="AH195" s="18" t="s">
        <v>199</v>
      </c>
      <c r="AI195" s="18" t="s">
        <v>66</v>
      </c>
      <c r="AJ195" s="18" t="s">
        <v>79</v>
      </c>
      <c r="AK195" s="18" t="s">
        <v>96</v>
      </c>
      <c r="AL195" s="18" t="s">
        <v>107</v>
      </c>
      <c r="AM195" s="18" t="s">
        <v>120</v>
      </c>
      <c r="AN195" s="18" t="s">
        <v>198</v>
      </c>
      <c r="AO195" s="18" t="s">
        <v>240</v>
      </c>
      <c r="AP195" s="18"/>
      <c r="AQ195" s="18">
        <f>+VLOOKUP(AI195,Leyenda!$B$30:$E$34,3,FALSE)</f>
        <v>1</v>
      </c>
      <c r="AR195" s="18">
        <f>+VLOOKUP('3. Blasting'!AJ195,Meteorizacion,3,FALSE)</f>
        <v>1</v>
      </c>
      <c r="AS195" s="18">
        <f>+VLOOKUP('3. Blasting'!AK195,Apertura,3,FALSE)</f>
        <v>1</v>
      </c>
      <c r="AT195" s="18">
        <f>+VLOOKUP('3. Blasting'!AL195,Leyenda!$B$55:$D$59,3,FALSE)</f>
        <v>3</v>
      </c>
      <c r="AU195" s="18">
        <f>+VLOOKUP('3. Blasting'!AM195,Relleno,3,FALSE)</f>
        <v>2</v>
      </c>
      <c r="AV195" s="18">
        <f t="shared" si="76"/>
        <v>8</v>
      </c>
      <c r="AW195" s="49">
        <f t="shared" si="63"/>
        <v>0</v>
      </c>
      <c r="AX195" s="49">
        <f>VLOOKUP(AF195,Leyenda!$B$4:$D$10,3,FALSE)</f>
        <v>4</v>
      </c>
      <c r="AY195" s="49">
        <f t="shared" si="57"/>
        <v>3</v>
      </c>
      <c r="AZ195" s="49">
        <f t="shared" si="64"/>
        <v>8</v>
      </c>
      <c r="BA195" s="49">
        <f>VLOOKUP(AN195,Leyenda!$B$70:$D$75,3,FALSE)</f>
        <v>15</v>
      </c>
      <c r="BB195" s="67">
        <f t="shared" si="65"/>
        <v>12</v>
      </c>
      <c r="BC195" s="67">
        <f>VLOOKUP(AF195,Leyenda!$B$4:$E$10,4,FALSE)</f>
        <v>4</v>
      </c>
      <c r="BD195" s="67">
        <f t="shared" si="66"/>
        <v>5</v>
      </c>
      <c r="BE195" s="67">
        <f t="shared" si="67"/>
        <v>0</v>
      </c>
      <c r="BF195" s="67">
        <f>+VLOOKUP('3. Blasting'!AK195,Leyenda!$B$47:$E$51,4,FALSE)</f>
        <v>1</v>
      </c>
      <c r="BG195" s="67">
        <f>+VLOOKUP('3. Blasting'!AL195,Leyenda!$B$55:$E$59,4,FALSE)</f>
        <v>3</v>
      </c>
      <c r="BH195" s="67">
        <f>+VLOOKUP('3. Blasting'!AM195,Leyenda!$B$63:$E$67,3,FALSE)</f>
        <v>2</v>
      </c>
      <c r="BI195" s="67">
        <f>+VLOOKUP('3. Blasting'!AJ195,Leyenda!$B$39:$E$43,4,FALSE)</f>
        <v>1</v>
      </c>
      <c r="BJ195" s="67">
        <f>+VLOOKUP('3. Blasting'!AI195,Leyenda!$B$30:$E$34,4,FALSE)</f>
        <v>1</v>
      </c>
      <c r="BK195" s="67">
        <f>VLOOKUP(AN195,Leyenda!$B$71:$E$75,4,FALSE)</f>
        <v>10</v>
      </c>
      <c r="BL195" s="125">
        <f t="shared" si="68"/>
        <v>27</v>
      </c>
      <c r="BM195" s="85">
        <f t="shared" si="69"/>
        <v>30</v>
      </c>
      <c r="BN195" s="18" t="e">
        <f t="shared" si="79"/>
        <v>#N/A</v>
      </c>
      <c r="BO195" s="18"/>
      <c r="BP195" s="6">
        <f t="shared" si="70"/>
        <v>10</v>
      </c>
      <c r="BQ195" s="6">
        <f t="shared" si="71"/>
        <v>10</v>
      </c>
      <c r="BR195" s="6">
        <v>20</v>
      </c>
      <c r="BS195" s="6">
        <f t="shared" si="72"/>
        <v>3.5</v>
      </c>
      <c r="BT195" s="6">
        <f t="shared" si="73"/>
        <v>1.5650000000000002</v>
      </c>
      <c r="BU195" s="6">
        <f t="shared" si="74"/>
        <v>22.532499999999999</v>
      </c>
      <c r="BV195" s="18">
        <f t="shared" si="58"/>
        <v>9.0130000000000002E-2</v>
      </c>
      <c r="BW195" s="18">
        <f t="shared" si="59"/>
        <v>0.19287820000000003</v>
      </c>
    </row>
    <row r="196" spans="1:75" x14ac:dyDescent="0.25">
      <c r="A196" s="18" t="s">
        <v>6</v>
      </c>
      <c r="B196" s="18">
        <v>2024</v>
      </c>
      <c r="C196" s="18" t="s">
        <v>138</v>
      </c>
      <c r="D196" s="18" t="s">
        <v>245</v>
      </c>
      <c r="E196" s="18">
        <v>40</v>
      </c>
      <c r="F196" s="18" t="s">
        <v>153</v>
      </c>
      <c r="G196" s="18" t="s">
        <v>296</v>
      </c>
      <c r="H196" s="4">
        <f t="shared" si="80"/>
        <v>41</v>
      </c>
      <c r="I196" s="4">
        <v>41.5</v>
      </c>
      <c r="J196" s="4">
        <f t="shared" si="60"/>
        <v>0.5</v>
      </c>
      <c r="K196" s="5">
        <v>0.46</v>
      </c>
      <c r="L196" s="31">
        <f t="shared" si="61"/>
        <v>0.23</v>
      </c>
      <c r="M196" s="31">
        <v>2.14</v>
      </c>
      <c r="N196" s="31">
        <v>31.3</v>
      </c>
      <c r="O196" s="31">
        <f t="shared" ref="O196:O259" si="83">+K196*J196</f>
        <v>0.23</v>
      </c>
      <c r="P196" s="31">
        <v>46</v>
      </c>
      <c r="Q196" s="31">
        <v>5</v>
      </c>
      <c r="R196" s="31">
        <v>0.22</v>
      </c>
      <c r="S196" s="31">
        <v>0.11</v>
      </c>
      <c r="T196" s="65">
        <f t="shared" si="75"/>
        <v>22</v>
      </c>
      <c r="U196" s="31">
        <v>5</v>
      </c>
      <c r="V196" s="31"/>
      <c r="W196" s="31">
        <f t="shared" si="81"/>
        <v>5</v>
      </c>
      <c r="X196" s="31">
        <f t="shared" si="82"/>
        <v>44</v>
      </c>
      <c r="Y196" s="31">
        <f t="shared" si="62"/>
        <v>4.3999999999999997E-2</v>
      </c>
      <c r="Z196" s="18">
        <v>0</v>
      </c>
      <c r="AA196" s="18" t="s">
        <v>330</v>
      </c>
      <c r="AB196" s="18" t="s">
        <v>118</v>
      </c>
      <c r="AC196" s="18" t="s">
        <v>334</v>
      </c>
      <c r="AD196" s="18">
        <v>5</v>
      </c>
      <c r="AE196" s="18">
        <v>46</v>
      </c>
      <c r="AF196" s="18" t="s">
        <v>27</v>
      </c>
      <c r="AG196" s="18" t="s">
        <v>199</v>
      </c>
      <c r="AH196" s="18" t="s">
        <v>199</v>
      </c>
      <c r="AI196" s="18" t="s">
        <v>66</v>
      </c>
      <c r="AJ196" s="18" t="s">
        <v>79</v>
      </c>
      <c r="AK196" s="18" t="s">
        <v>96</v>
      </c>
      <c r="AL196" s="18" t="s">
        <v>107</v>
      </c>
      <c r="AM196" s="18" t="s">
        <v>120</v>
      </c>
      <c r="AN196" s="18" t="s">
        <v>198</v>
      </c>
      <c r="AO196" s="18" t="s">
        <v>240</v>
      </c>
      <c r="AP196" s="18"/>
      <c r="AQ196" s="18">
        <f>+VLOOKUP(AI196,Leyenda!$B$30:$E$34,3,FALSE)</f>
        <v>1</v>
      </c>
      <c r="AR196" s="18">
        <f>+VLOOKUP('3. Blasting'!AJ196,Meteorizacion,3,FALSE)</f>
        <v>1</v>
      </c>
      <c r="AS196" s="18">
        <f>+VLOOKUP('3. Blasting'!AK196,Apertura,3,FALSE)</f>
        <v>1</v>
      </c>
      <c r="AT196" s="18">
        <f>+VLOOKUP('3. Blasting'!AL196,Leyenda!$B$55:$D$59,3,FALSE)</f>
        <v>3</v>
      </c>
      <c r="AU196" s="18">
        <f>+VLOOKUP('3. Blasting'!AM196,Relleno,3,FALSE)</f>
        <v>2</v>
      </c>
      <c r="AV196" s="18">
        <f t="shared" si="76"/>
        <v>8</v>
      </c>
      <c r="AW196" s="49">
        <f t="shared" si="63"/>
        <v>0</v>
      </c>
      <c r="AX196" s="49">
        <f>VLOOKUP(AF196,Leyenda!$B$4:$D$10,3,FALSE)</f>
        <v>4</v>
      </c>
      <c r="AY196" s="49">
        <f t="shared" ref="AY196:AY259" si="84">IF(P196="",ROUND((IF(P196&lt;=400,1.5478*POWER(P196,0.3351),-2*POWER(10,-6)*POWER(P196,2)+0.0091*P196+8.1704)),0),ROUND((IF(P196&lt;=400,1.5478*POWER(P196,0.3351),-2*POWER(10,-6)*POWER(P196,2)+0.0091*P196+8.1704)),0))</f>
        <v>6</v>
      </c>
      <c r="AZ196" s="49">
        <f t="shared" si="64"/>
        <v>8</v>
      </c>
      <c r="BA196" s="49">
        <f>VLOOKUP(AN196,Leyenda!$B$70:$D$75,3,FALSE)</f>
        <v>15</v>
      </c>
      <c r="BB196" s="67">
        <f t="shared" si="65"/>
        <v>23</v>
      </c>
      <c r="BC196" s="67">
        <f>VLOOKUP(AF196,Leyenda!$B$4:$E$10,4,FALSE)</f>
        <v>4</v>
      </c>
      <c r="BD196" s="67">
        <f t="shared" si="66"/>
        <v>5</v>
      </c>
      <c r="BE196" s="67">
        <f t="shared" si="67"/>
        <v>5</v>
      </c>
      <c r="BF196" s="67">
        <f>+VLOOKUP('3. Blasting'!AK196,Leyenda!$B$47:$E$51,4,FALSE)</f>
        <v>1</v>
      </c>
      <c r="BG196" s="67">
        <f>+VLOOKUP('3. Blasting'!AL196,Leyenda!$B$55:$E$59,4,FALSE)</f>
        <v>3</v>
      </c>
      <c r="BH196" s="67">
        <f>+VLOOKUP('3. Blasting'!AM196,Leyenda!$B$63:$E$67,3,FALSE)</f>
        <v>2</v>
      </c>
      <c r="BI196" s="67">
        <f>+VLOOKUP('3. Blasting'!AJ196,Leyenda!$B$39:$E$43,4,FALSE)</f>
        <v>1</v>
      </c>
      <c r="BJ196" s="67">
        <f>+VLOOKUP('3. Blasting'!AI196,Leyenda!$B$30:$E$34,4,FALSE)</f>
        <v>1</v>
      </c>
      <c r="BK196" s="67">
        <f>VLOOKUP(AN196,Leyenda!$B$71:$E$75,4,FALSE)</f>
        <v>10</v>
      </c>
      <c r="BL196" s="125">
        <f t="shared" si="68"/>
        <v>32</v>
      </c>
      <c r="BM196" s="85">
        <f t="shared" si="69"/>
        <v>33</v>
      </c>
      <c r="BN196" s="18" t="e">
        <f t="shared" si="79"/>
        <v>#N/A</v>
      </c>
      <c r="BO196" s="18"/>
      <c r="BP196" s="6">
        <f t="shared" si="70"/>
        <v>20</v>
      </c>
      <c r="BQ196" s="6">
        <f t="shared" si="71"/>
        <v>10</v>
      </c>
      <c r="BR196" s="6">
        <v>20</v>
      </c>
      <c r="BS196" s="6">
        <f t="shared" si="72"/>
        <v>3.5</v>
      </c>
      <c r="BT196" s="6">
        <f t="shared" si="73"/>
        <v>1.5650000000000002</v>
      </c>
      <c r="BU196" s="6">
        <f t="shared" si="74"/>
        <v>27.532499999999999</v>
      </c>
      <c r="BV196" s="18">
        <f t="shared" ref="BV196:BV259" si="85">0.004*BU196</f>
        <v>0.11012999999999999</v>
      </c>
      <c r="BW196" s="18">
        <f t="shared" ref="BW196:BW259" si="86">+BV196*M196</f>
        <v>0.2356782</v>
      </c>
    </row>
    <row r="197" spans="1:75" x14ac:dyDescent="0.25">
      <c r="A197" s="18" t="s">
        <v>6</v>
      </c>
      <c r="B197" s="18">
        <v>2024</v>
      </c>
      <c r="C197" s="18" t="s">
        <v>138</v>
      </c>
      <c r="D197" s="18" t="s">
        <v>245</v>
      </c>
      <c r="E197" s="18">
        <v>40</v>
      </c>
      <c r="F197" s="18" t="s">
        <v>153</v>
      </c>
      <c r="G197" s="18" t="s">
        <v>296</v>
      </c>
      <c r="H197" s="4">
        <f t="shared" si="80"/>
        <v>41.5</v>
      </c>
      <c r="I197" s="4">
        <v>42</v>
      </c>
      <c r="J197" s="4">
        <f t="shared" ref="J197:J260" si="87">+I197-H197</f>
        <v>0.5</v>
      </c>
      <c r="K197" s="5">
        <v>0.26</v>
      </c>
      <c r="L197" s="31">
        <f t="shared" ref="L197:L260" si="88">+J197*K197</f>
        <v>0.13</v>
      </c>
      <c r="M197" s="31">
        <v>2.14</v>
      </c>
      <c r="N197" s="31">
        <v>31.3</v>
      </c>
      <c r="O197" s="31">
        <f t="shared" si="83"/>
        <v>0.13</v>
      </c>
      <c r="P197" s="31">
        <v>130</v>
      </c>
      <c r="Q197" s="31">
        <v>1</v>
      </c>
      <c r="R197" s="31">
        <v>0.12</v>
      </c>
      <c r="S197" s="31">
        <v>0</v>
      </c>
      <c r="T197" s="65">
        <f t="shared" si="75"/>
        <v>0</v>
      </c>
      <c r="U197" s="31">
        <v>10</v>
      </c>
      <c r="V197" s="31"/>
      <c r="W197" s="31">
        <f t="shared" si="81"/>
        <v>10</v>
      </c>
      <c r="X197" s="31">
        <f t="shared" si="82"/>
        <v>12</v>
      </c>
      <c r="Y197" s="31">
        <f t="shared" ref="Y197:Y260" si="89">+X197/1000</f>
        <v>1.2E-2</v>
      </c>
      <c r="Z197" s="18">
        <v>0</v>
      </c>
      <c r="AA197" s="18" t="s">
        <v>330</v>
      </c>
      <c r="AB197" s="18" t="s">
        <v>116</v>
      </c>
      <c r="AC197" s="18" t="s">
        <v>334</v>
      </c>
      <c r="AD197" s="18">
        <v>1</v>
      </c>
      <c r="AE197" s="18">
        <v>130</v>
      </c>
      <c r="AF197" s="18" t="s">
        <v>27</v>
      </c>
      <c r="AG197" s="18" t="s">
        <v>199</v>
      </c>
      <c r="AH197" s="18" t="s">
        <v>199</v>
      </c>
      <c r="AI197" s="18" t="s">
        <v>66</v>
      </c>
      <c r="AJ197" s="18" t="s">
        <v>79</v>
      </c>
      <c r="AK197" s="18" t="s">
        <v>96</v>
      </c>
      <c r="AL197" s="18" t="s">
        <v>107</v>
      </c>
      <c r="AM197" s="18" t="s">
        <v>120</v>
      </c>
      <c r="AN197" s="18" t="s">
        <v>198</v>
      </c>
      <c r="AO197" s="18" t="s">
        <v>240</v>
      </c>
      <c r="AP197" s="18"/>
      <c r="AQ197" s="18">
        <f>+VLOOKUP(AI197,Leyenda!$B$30:$E$34,3,FALSE)</f>
        <v>1</v>
      </c>
      <c r="AR197" s="18">
        <f>+VLOOKUP('3. Blasting'!AJ197,Meteorizacion,3,FALSE)</f>
        <v>1</v>
      </c>
      <c r="AS197" s="18">
        <f>+VLOOKUP('3. Blasting'!AK197,Apertura,3,FALSE)</f>
        <v>1</v>
      </c>
      <c r="AT197" s="18">
        <f>+VLOOKUP('3. Blasting'!AL197,Leyenda!$B$55:$D$59,3,FALSE)</f>
        <v>3</v>
      </c>
      <c r="AU197" s="18">
        <f>+VLOOKUP('3. Blasting'!AM197,Relleno,3,FALSE)</f>
        <v>2</v>
      </c>
      <c r="AV197" s="18">
        <f t="shared" si="76"/>
        <v>8</v>
      </c>
      <c r="AW197" s="49">
        <f t="shared" ref="AW197:AW260" si="90">ROUND(-0.0002*POWER(Z197,2)+0.2197*Z197,0)</f>
        <v>0</v>
      </c>
      <c r="AX197" s="49">
        <f>VLOOKUP(AF197,Leyenda!$B$4:$D$10,3,FALSE)</f>
        <v>4</v>
      </c>
      <c r="AY197" s="49">
        <f t="shared" si="84"/>
        <v>8</v>
      </c>
      <c r="AZ197" s="49">
        <f t="shared" ref="AZ197:AZ260" si="91">+AV197</f>
        <v>8</v>
      </c>
      <c r="BA197" s="49">
        <f>VLOOKUP(AN197,Leyenda!$B$70:$D$75,3,FALSE)</f>
        <v>15</v>
      </c>
      <c r="BB197" s="67">
        <f t="shared" ref="BB197:BB260" si="92">1.5*AV197+(T197*0.5)</f>
        <v>12</v>
      </c>
      <c r="BC197" s="67">
        <f>VLOOKUP(AF197,Leyenda!$B$4:$E$10,4,FALSE)</f>
        <v>4</v>
      </c>
      <c r="BD197" s="67">
        <f t="shared" ref="BD197:BD260" si="93">IF(X197="",ROUND(IF(X197&lt;=50,5,IF(X197&gt;=3000,30,6.038*LN(X197)-19.63)),0),ROUND(IF(X197&lt;=50,5,IF(X197&gt;=3000,30,6.038*LN(X197)-19.63)),0))</f>
        <v>5</v>
      </c>
      <c r="BE197" s="67">
        <f t="shared" ref="BE197:BE260" si="94">ROUND(-0.0002*POWER(T197,2)+0.2197*T197,0)</f>
        <v>0</v>
      </c>
      <c r="BF197" s="67">
        <f>+VLOOKUP('3. Blasting'!AK197,Leyenda!$B$47:$E$51,4,FALSE)</f>
        <v>1</v>
      </c>
      <c r="BG197" s="67">
        <f>+VLOOKUP('3. Blasting'!AL197,Leyenda!$B$55:$E$59,4,FALSE)</f>
        <v>3</v>
      </c>
      <c r="BH197" s="67">
        <f>+VLOOKUP('3. Blasting'!AM197,Leyenda!$B$63:$E$67,3,FALSE)</f>
        <v>2</v>
      </c>
      <c r="BI197" s="67">
        <f>+VLOOKUP('3. Blasting'!AJ197,Leyenda!$B$39:$E$43,4,FALSE)</f>
        <v>1</v>
      </c>
      <c r="BJ197" s="67">
        <f>+VLOOKUP('3. Blasting'!AI197,Leyenda!$B$30:$E$34,4,FALSE)</f>
        <v>1</v>
      </c>
      <c r="BK197" s="67">
        <f>VLOOKUP(AN197,Leyenda!$B$71:$E$75,4,FALSE)</f>
        <v>10</v>
      </c>
      <c r="BL197" s="125">
        <f t="shared" ref="BL197:BL260" si="95">+BC197+BD197+BE197+BF197+BG197+BH197+BI197+BJ197+BK197</f>
        <v>27</v>
      </c>
      <c r="BM197" s="85">
        <f t="shared" ref="BM197:BM260" si="96">+AX197+AY197+AW197+AZ197+BA197</f>
        <v>35</v>
      </c>
      <c r="BN197" s="18" t="e">
        <f t="shared" si="79"/>
        <v>#N/A</v>
      </c>
      <c r="BO197" s="18"/>
      <c r="BP197" s="6">
        <f t="shared" ref="BP197:BP260" si="97">+IF(BL197&lt;30,10,IF(BL197&lt;=41,20,30))</f>
        <v>10</v>
      </c>
      <c r="BQ197" s="6">
        <f t="shared" ref="BQ197:BQ260" si="98">+IF(Y197&lt;0.1,10,IF(AND(Y197&gt;0.1,Y197&lt;1),20,50))</f>
        <v>10</v>
      </c>
      <c r="BR197" s="6">
        <v>20</v>
      </c>
      <c r="BS197" s="6">
        <f t="shared" ref="BS197:BS260" si="99">25*M197-50</f>
        <v>3.5</v>
      </c>
      <c r="BT197" s="6">
        <f t="shared" ref="BT197:BT260" si="100">0.05*N197</f>
        <v>1.5650000000000002</v>
      </c>
      <c r="BU197" s="6">
        <f t="shared" ref="BU197:BU260" si="101">0.5*((BP197+BQ197)+BR197+BS197+BT197)</f>
        <v>22.532499999999999</v>
      </c>
      <c r="BV197" s="18">
        <f t="shared" si="85"/>
        <v>9.0130000000000002E-2</v>
      </c>
      <c r="BW197" s="18">
        <f t="shared" si="86"/>
        <v>0.19287820000000003</v>
      </c>
    </row>
    <row r="198" spans="1:75" x14ac:dyDescent="0.25">
      <c r="A198" s="18" t="s">
        <v>6</v>
      </c>
      <c r="B198" s="18">
        <v>2024</v>
      </c>
      <c r="C198" s="18" t="s">
        <v>138</v>
      </c>
      <c r="D198" s="18" t="s">
        <v>245</v>
      </c>
      <c r="E198" s="18">
        <v>40</v>
      </c>
      <c r="F198" s="18" t="s">
        <v>153</v>
      </c>
      <c r="G198" s="18" t="s">
        <v>296</v>
      </c>
      <c r="H198" s="4">
        <f t="shared" si="80"/>
        <v>42</v>
      </c>
      <c r="I198" s="4">
        <v>42.5</v>
      </c>
      <c r="J198" s="4">
        <f t="shared" si="87"/>
        <v>0.5</v>
      </c>
      <c r="K198" s="5">
        <v>0.3</v>
      </c>
      <c r="L198" s="31">
        <f t="shared" si="88"/>
        <v>0.15</v>
      </c>
      <c r="M198" s="31">
        <v>2.14</v>
      </c>
      <c r="N198" s="31">
        <v>31.3</v>
      </c>
      <c r="O198" s="31">
        <f t="shared" si="83"/>
        <v>0.15</v>
      </c>
      <c r="P198" s="31">
        <v>150</v>
      </c>
      <c r="Q198" s="31">
        <v>1</v>
      </c>
      <c r="R198" s="31">
        <v>0.15</v>
      </c>
      <c r="S198" s="31">
        <v>0</v>
      </c>
      <c r="T198" s="65">
        <f t="shared" si="75"/>
        <v>0</v>
      </c>
      <c r="U198" s="31">
        <v>10</v>
      </c>
      <c r="V198" s="31"/>
      <c r="W198" s="31">
        <f t="shared" si="81"/>
        <v>10</v>
      </c>
      <c r="X198" s="31">
        <f t="shared" si="82"/>
        <v>15</v>
      </c>
      <c r="Y198" s="31">
        <f t="shared" si="89"/>
        <v>1.4999999999999999E-2</v>
      </c>
      <c r="Z198" s="18">
        <v>0</v>
      </c>
      <c r="AA198" s="18" t="s">
        <v>330</v>
      </c>
      <c r="AB198" s="18" t="s">
        <v>116</v>
      </c>
      <c r="AC198" s="18" t="s">
        <v>334</v>
      </c>
      <c r="AD198" s="18">
        <v>1</v>
      </c>
      <c r="AE198" s="18">
        <v>150</v>
      </c>
      <c r="AF198" s="18" t="s">
        <v>27</v>
      </c>
      <c r="AG198" s="18" t="s">
        <v>199</v>
      </c>
      <c r="AH198" s="18" t="s">
        <v>199</v>
      </c>
      <c r="AI198" s="18" t="s">
        <v>66</v>
      </c>
      <c r="AJ198" s="18" t="s">
        <v>79</v>
      </c>
      <c r="AK198" s="18" t="s">
        <v>96</v>
      </c>
      <c r="AL198" s="18" t="s">
        <v>107</v>
      </c>
      <c r="AM198" s="18" t="s">
        <v>120</v>
      </c>
      <c r="AN198" s="18" t="s">
        <v>198</v>
      </c>
      <c r="AO198" s="18" t="s">
        <v>240</v>
      </c>
      <c r="AP198" s="18"/>
      <c r="AQ198" s="18">
        <f>+VLOOKUP(AI198,Leyenda!$B$30:$E$34,3,FALSE)</f>
        <v>1</v>
      </c>
      <c r="AR198" s="18">
        <f>+VLOOKUP('3. Blasting'!AJ198,Meteorizacion,3,FALSE)</f>
        <v>1</v>
      </c>
      <c r="AS198" s="18">
        <f>+VLOOKUP('3. Blasting'!AK198,Apertura,3,FALSE)</f>
        <v>1</v>
      </c>
      <c r="AT198" s="18">
        <f>+VLOOKUP('3. Blasting'!AL198,Leyenda!$B$55:$D$59,3,FALSE)</f>
        <v>3</v>
      </c>
      <c r="AU198" s="18">
        <f>+VLOOKUP('3. Blasting'!AM198,Relleno,3,FALSE)</f>
        <v>2</v>
      </c>
      <c r="AV198" s="18">
        <f t="shared" si="76"/>
        <v>8</v>
      </c>
      <c r="AW198" s="49">
        <f t="shared" si="90"/>
        <v>0</v>
      </c>
      <c r="AX198" s="49">
        <f>VLOOKUP(AF198,Leyenda!$B$4:$D$10,3,FALSE)</f>
        <v>4</v>
      </c>
      <c r="AY198" s="49">
        <f t="shared" si="84"/>
        <v>8</v>
      </c>
      <c r="AZ198" s="49">
        <f t="shared" si="91"/>
        <v>8</v>
      </c>
      <c r="BA198" s="49">
        <f>VLOOKUP(AN198,Leyenda!$B$70:$D$75,3,FALSE)</f>
        <v>15</v>
      </c>
      <c r="BB198" s="67">
        <f t="shared" si="92"/>
        <v>12</v>
      </c>
      <c r="BC198" s="67">
        <f>VLOOKUP(AF198,Leyenda!$B$4:$E$10,4,FALSE)</f>
        <v>4</v>
      </c>
      <c r="BD198" s="67">
        <f t="shared" si="93"/>
        <v>5</v>
      </c>
      <c r="BE198" s="67">
        <f t="shared" si="94"/>
        <v>0</v>
      </c>
      <c r="BF198" s="67">
        <f>+VLOOKUP('3. Blasting'!AK198,Leyenda!$B$47:$E$51,4,FALSE)</f>
        <v>1</v>
      </c>
      <c r="BG198" s="67">
        <f>+VLOOKUP('3. Blasting'!AL198,Leyenda!$B$55:$E$59,4,FALSE)</f>
        <v>3</v>
      </c>
      <c r="BH198" s="67">
        <f>+VLOOKUP('3. Blasting'!AM198,Leyenda!$B$63:$E$67,3,FALSE)</f>
        <v>2</v>
      </c>
      <c r="BI198" s="67">
        <f>+VLOOKUP('3. Blasting'!AJ198,Leyenda!$B$39:$E$43,4,FALSE)</f>
        <v>1</v>
      </c>
      <c r="BJ198" s="67">
        <f>+VLOOKUP('3. Blasting'!AI198,Leyenda!$B$30:$E$34,4,FALSE)</f>
        <v>1</v>
      </c>
      <c r="BK198" s="67">
        <f>VLOOKUP(AN198,Leyenda!$B$71:$E$75,4,FALSE)</f>
        <v>10</v>
      </c>
      <c r="BL198" s="125">
        <f t="shared" si="95"/>
        <v>27</v>
      </c>
      <c r="BM198" s="85">
        <f t="shared" si="96"/>
        <v>35</v>
      </c>
      <c r="BN198" s="18" t="e">
        <f t="shared" si="79"/>
        <v>#N/A</v>
      </c>
      <c r="BO198" s="18"/>
      <c r="BP198" s="6">
        <f t="shared" si="97"/>
        <v>10</v>
      </c>
      <c r="BQ198" s="6">
        <f t="shared" si="98"/>
        <v>10</v>
      </c>
      <c r="BR198" s="6">
        <v>20</v>
      </c>
      <c r="BS198" s="6">
        <f t="shared" si="99"/>
        <v>3.5</v>
      </c>
      <c r="BT198" s="6">
        <f t="shared" si="100"/>
        <v>1.5650000000000002</v>
      </c>
      <c r="BU198" s="6">
        <f t="shared" si="101"/>
        <v>22.532499999999999</v>
      </c>
      <c r="BV198" s="18">
        <f t="shared" si="85"/>
        <v>9.0130000000000002E-2</v>
      </c>
      <c r="BW198" s="18">
        <f t="shared" si="86"/>
        <v>0.19287820000000003</v>
      </c>
    </row>
    <row r="199" spans="1:75" x14ac:dyDescent="0.25">
      <c r="A199" s="18" t="s">
        <v>6</v>
      </c>
      <c r="B199" s="18">
        <v>2024</v>
      </c>
      <c r="C199" s="18" t="s">
        <v>138</v>
      </c>
      <c r="D199" s="18" t="s">
        <v>245</v>
      </c>
      <c r="E199" s="18">
        <v>40</v>
      </c>
      <c r="F199" s="18" t="s">
        <v>153</v>
      </c>
      <c r="G199" s="18" t="s">
        <v>296</v>
      </c>
      <c r="H199" s="4">
        <f t="shared" si="80"/>
        <v>42.5</v>
      </c>
      <c r="I199" s="4">
        <v>43</v>
      </c>
      <c r="J199" s="4">
        <f t="shared" si="87"/>
        <v>0.5</v>
      </c>
      <c r="K199" s="5">
        <v>0.34</v>
      </c>
      <c r="L199" s="31">
        <f t="shared" si="88"/>
        <v>0.17</v>
      </c>
      <c r="M199" s="31">
        <v>2.14</v>
      </c>
      <c r="N199" s="31">
        <v>31.3</v>
      </c>
      <c r="O199" s="31">
        <f t="shared" si="83"/>
        <v>0.17</v>
      </c>
      <c r="P199" s="31">
        <v>8.5</v>
      </c>
      <c r="Q199" s="31">
        <v>20</v>
      </c>
      <c r="R199" s="31">
        <v>0.13</v>
      </c>
      <c r="S199" s="31">
        <v>0</v>
      </c>
      <c r="T199" s="65">
        <f t="shared" si="75"/>
        <v>0</v>
      </c>
      <c r="U199" s="31">
        <v>7</v>
      </c>
      <c r="V199" s="31"/>
      <c r="W199" s="31">
        <f t="shared" si="81"/>
        <v>7</v>
      </c>
      <c r="X199" s="31">
        <f t="shared" si="82"/>
        <v>18.571428571428573</v>
      </c>
      <c r="Y199" s="31">
        <f t="shared" si="89"/>
        <v>1.8571428571428572E-2</v>
      </c>
      <c r="Z199" s="18">
        <v>0</v>
      </c>
      <c r="AA199" s="18" t="s">
        <v>330</v>
      </c>
      <c r="AB199" s="18" t="s">
        <v>333</v>
      </c>
      <c r="AC199" s="18" t="s">
        <v>335</v>
      </c>
      <c r="AD199" s="18">
        <v>20</v>
      </c>
      <c r="AE199" s="18">
        <v>8.5</v>
      </c>
      <c r="AF199" s="18" t="s">
        <v>34</v>
      </c>
      <c r="AG199" s="18" t="s">
        <v>29</v>
      </c>
      <c r="AH199" s="18" t="s">
        <v>29</v>
      </c>
      <c r="AI199" s="18" t="s">
        <v>66</v>
      </c>
      <c r="AJ199" s="18" t="s">
        <v>79</v>
      </c>
      <c r="AK199" s="18" t="s">
        <v>96</v>
      </c>
      <c r="AL199" s="18" t="s">
        <v>107</v>
      </c>
      <c r="AM199" s="18" t="s">
        <v>120</v>
      </c>
      <c r="AN199" s="18" t="s">
        <v>198</v>
      </c>
      <c r="AO199" s="18" t="s">
        <v>240</v>
      </c>
      <c r="AP199" s="18"/>
      <c r="AQ199" s="18">
        <f>+VLOOKUP(AI199,Leyenda!$B$30:$E$34,3,FALSE)</f>
        <v>1</v>
      </c>
      <c r="AR199" s="18">
        <f>+VLOOKUP('3. Blasting'!AJ199,Meteorizacion,3,FALSE)</f>
        <v>1</v>
      </c>
      <c r="AS199" s="18">
        <f>+VLOOKUP('3. Blasting'!AK199,Apertura,3,FALSE)</f>
        <v>1</v>
      </c>
      <c r="AT199" s="18">
        <f>+VLOOKUP('3. Blasting'!AL199,Leyenda!$B$55:$D$59,3,FALSE)</f>
        <v>3</v>
      </c>
      <c r="AU199" s="18">
        <f>+VLOOKUP('3. Blasting'!AM199,Relleno,3,FALSE)</f>
        <v>2</v>
      </c>
      <c r="AV199" s="18">
        <f t="shared" si="76"/>
        <v>8</v>
      </c>
      <c r="AW199" s="49">
        <f t="shared" si="90"/>
        <v>0</v>
      </c>
      <c r="AX199" s="49">
        <f>VLOOKUP(AF199,Leyenda!$B$4:$D$10,3,FALSE)</f>
        <v>0</v>
      </c>
      <c r="AY199" s="49">
        <f t="shared" si="84"/>
        <v>3</v>
      </c>
      <c r="AZ199" s="49">
        <f t="shared" si="91"/>
        <v>8</v>
      </c>
      <c r="BA199" s="49">
        <f>VLOOKUP(AN199,Leyenda!$B$70:$D$75,3,FALSE)</f>
        <v>15</v>
      </c>
      <c r="BB199" s="67">
        <f t="shared" si="92"/>
        <v>12</v>
      </c>
      <c r="BC199" s="67">
        <f>VLOOKUP(AF199,Leyenda!$B$4:$E$10,4,FALSE)</f>
        <v>0</v>
      </c>
      <c r="BD199" s="67">
        <f t="shared" si="93"/>
        <v>5</v>
      </c>
      <c r="BE199" s="67">
        <f t="shared" si="94"/>
        <v>0</v>
      </c>
      <c r="BF199" s="67">
        <f>+VLOOKUP('3. Blasting'!AK199,Leyenda!$B$47:$E$51,4,FALSE)</f>
        <v>1</v>
      </c>
      <c r="BG199" s="67">
        <f>+VLOOKUP('3. Blasting'!AL199,Leyenda!$B$55:$E$59,4,FALSE)</f>
        <v>3</v>
      </c>
      <c r="BH199" s="67">
        <f>+VLOOKUP('3. Blasting'!AM199,Leyenda!$B$63:$E$67,3,FALSE)</f>
        <v>2</v>
      </c>
      <c r="BI199" s="67">
        <f>+VLOOKUP('3. Blasting'!AJ199,Leyenda!$B$39:$E$43,4,FALSE)</f>
        <v>1</v>
      </c>
      <c r="BJ199" s="67">
        <f>+VLOOKUP('3. Blasting'!AI199,Leyenda!$B$30:$E$34,4,FALSE)</f>
        <v>1</v>
      </c>
      <c r="BK199" s="67">
        <f>VLOOKUP(AN199,Leyenda!$B$71:$E$75,4,FALSE)</f>
        <v>10</v>
      </c>
      <c r="BL199" s="125">
        <f t="shared" si="95"/>
        <v>23</v>
      </c>
      <c r="BM199" s="85">
        <f t="shared" si="96"/>
        <v>26</v>
      </c>
      <c r="BN199" s="18" t="e">
        <f t="shared" si="79"/>
        <v>#N/A</v>
      </c>
      <c r="BO199" s="18"/>
      <c r="BP199" s="6">
        <f t="shared" si="97"/>
        <v>10</v>
      </c>
      <c r="BQ199" s="6">
        <f t="shared" si="98"/>
        <v>10</v>
      </c>
      <c r="BR199" s="6">
        <v>20</v>
      </c>
      <c r="BS199" s="6">
        <f t="shared" si="99"/>
        <v>3.5</v>
      </c>
      <c r="BT199" s="6">
        <f t="shared" si="100"/>
        <v>1.5650000000000002</v>
      </c>
      <c r="BU199" s="6">
        <f t="shared" si="101"/>
        <v>22.532499999999999</v>
      </c>
      <c r="BV199" s="18">
        <f t="shared" si="85"/>
        <v>9.0130000000000002E-2</v>
      </c>
      <c r="BW199" s="18">
        <f t="shared" si="86"/>
        <v>0.19287820000000003</v>
      </c>
    </row>
    <row r="200" spans="1:75" hidden="1" x14ac:dyDescent="0.25">
      <c r="A200" s="35" t="s">
        <v>6</v>
      </c>
      <c r="B200" s="35">
        <v>2024</v>
      </c>
      <c r="C200" s="35" t="s">
        <v>138</v>
      </c>
      <c r="D200" s="35" t="s">
        <v>245</v>
      </c>
      <c r="E200" s="35">
        <v>20</v>
      </c>
      <c r="F200" s="35" t="s">
        <v>156</v>
      </c>
      <c r="G200" s="35" t="s">
        <v>296</v>
      </c>
      <c r="H200" s="115">
        <f t="shared" si="80"/>
        <v>43</v>
      </c>
      <c r="I200" s="115">
        <v>43.5</v>
      </c>
      <c r="J200" s="115">
        <f t="shared" si="87"/>
        <v>0.5</v>
      </c>
      <c r="K200" s="116">
        <v>0.22</v>
      </c>
      <c r="L200" s="114">
        <f t="shared" si="88"/>
        <v>0.11</v>
      </c>
      <c r="M200" s="114"/>
      <c r="N200" s="114"/>
      <c r="O200" s="114">
        <f t="shared" si="83"/>
        <v>0.11</v>
      </c>
      <c r="P200" s="114">
        <v>5.5</v>
      </c>
      <c r="Q200" s="114">
        <v>20</v>
      </c>
      <c r="R200" s="114">
        <v>0.1</v>
      </c>
      <c r="S200" s="114">
        <v>0</v>
      </c>
      <c r="T200" s="122">
        <f t="shared" si="75"/>
        <v>0</v>
      </c>
      <c r="U200" s="114">
        <v>3</v>
      </c>
      <c r="V200" s="114"/>
      <c r="W200" s="114">
        <f t="shared" si="81"/>
        <v>3</v>
      </c>
      <c r="X200" s="114">
        <f t="shared" si="82"/>
        <v>33.333333333333336</v>
      </c>
      <c r="Y200" s="114">
        <f t="shared" si="89"/>
        <v>3.3333333333333333E-2</v>
      </c>
      <c r="Z200" s="35">
        <v>0</v>
      </c>
      <c r="AA200" s="35" t="s">
        <v>330</v>
      </c>
      <c r="AB200" s="35" t="s">
        <v>333</v>
      </c>
      <c r="AC200" s="35" t="s">
        <v>335</v>
      </c>
      <c r="AD200" s="35">
        <v>20</v>
      </c>
      <c r="AE200" s="35">
        <v>5.5</v>
      </c>
      <c r="AF200" s="35" t="s">
        <v>34</v>
      </c>
      <c r="AG200" s="35" t="s">
        <v>29</v>
      </c>
      <c r="AH200" s="35" t="s">
        <v>29</v>
      </c>
      <c r="AI200" s="35" t="s">
        <v>66</v>
      </c>
      <c r="AJ200" s="35" t="s">
        <v>79</v>
      </c>
      <c r="AK200" s="35" t="s">
        <v>96</v>
      </c>
      <c r="AL200" s="35" t="s">
        <v>107</v>
      </c>
      <c r="AM200" s="35" t="s">
        <v>120</v>
      </c>
      <c r="AN200" s="35" t="s">
        <v>198</v>
      </c>
      <c r="AO200" s="35" t="s">
        <v>240</v>
      </c>
      <c r="AP200" s="35"/>
      <c r="AQ200" s="35">
        <f>+VLOOKUP(AI200,Leyenda!$B$30:$E$34,3,FALSE)</f>
        <v>1</v>
      </c>
      <c r="AR200" s="35">
        <f>+VLOOKUP('3. Blasting'!AJ200,Meteorizacion,3,FALSE)</f>
        <v>1</v>
      </c>
      <c r="AS200" s="35">
        <f>+VLOOKUP('3. Blasting'!AK200,Apertura,3,FALSE)</f>
        <v>1</v>
      </c>
      <c r="AT200" s="35">
        <f>+VLOOKUP('3. Blasting'!AL200,Leyenda!$B$55:$D$59,3,FALSE)</f>
        <v>3</v>
      </c>
      <c r="AU200" s="35">
        <f>+VLOOKUP('3. Blasting'!AM200,Relleno,3,FALSE)</f>
        <v>2</v>
      </c>
      <c r="AV200" s="35">
        <f t="shared" si="76"/>
        <v>8</v>
      </c>
      <c r="AW200" s="118">
        <f t="shared" si="90"/>
        <v>0</v>
      </c>
      <c r="AX200" s="118">
        <f>VLOOKUP(AF200,Leyenda!$B$4:$D$10,3,FALSE)</f>
        <v>0</v>
      </c>
      <c r="AY200" s="119">
        <f t="shared" si="84"/>
        <v>3</v>
      </c>
      <c r="AZ200" s="118">
        <f t="shared" si="91"/>
        <v>8</v>
      </c>
      <c r="BA200" s="118">
        <f>VLOOKUP(AN200,Leyenda!$B$70:$D$75,3,FALSE)</f>
        <v>15</v>
      </c>
      <c r="BB200" s="120">
        <f t="shared" si="92"/>
        <v>12</v>
      </c>
      <c r="BC200" s="120">
        <f>VLOOKUP(AF200,Leyenda!$B$4:$E$10,4,FALSE)</f>
        <v>0</v>
      </c>
      <c r="BD200" s="120">
        <f t="shared" si="93"/>
        <v>5</v>
      </c>
      <c r="BE200" s="120">
        <f t="shared" si="94"/>
        <v>0</v>
      </c>
      <c r="BF200" s="120">
        <f>+VLOOKUP('3. Blasting'!AK200,Leyenda!$B$47:$E$51,4,FALSE)</f>
        <v>1</v>
      </c>
      <c r="BG200" s="120">
        <f>+VLOOKUP('3. Blasting'!AL200,Leyenda!$B$55:$E$59,4,FALSE)</f>
        <v>3</v>
      </c>
      <c r="BH200" s="120">
        <f>+VLOOKUP('3. Blasting'!AM200,Leyenda!$B$63:$E$67,3,FALSE)</f>
        <v>2</v>
      </c>
      <c r="BI200" s="120">
        <f>+VLOOKUP('3. Blasting'!AJ200,Leyenda!$B$39:$E$43,4,FALSE)</f>
        <v>1</v>
      </c>
      <c r="BJ200" s="120">
        <f>+VLOOKUP('3. Blasting'!AI200,Leyenda!$B$30:$E$34,4,FALSE)</f>
        <v>1</v>
      </c>
      <c r="BK200" s="120">
        <f>VLOOKUP(AN200,Leyenda!$B$71:$E$75,4,FALSE)</f>
        <v>10</v>
      </c>
      <c r="BL200" s="120">
        <f t="shared" si="95"/>
        <v>23</v>
      </c>
      <c r="BM200" s="35">
        <f t="shared" si="96"/>
        <v>26</v>
      </c>
      <c r="BN200" s="35"/>
      <c r="BO200" s="35"/>
      <c r="BP200">
        <f t="shared" si="97"/>
        <v>10</v>
      </c>
      <c r="BQ200">
        <f t="shared" si="98"/>
        <v>10</v>
      </c>
      <c r="BR200">
        <v>20</v>
      </c>
      <c r="BS200">
        <f t="shared" si="99"/>
        <v>-50</v>
      </c>
      <c r="BT200">
        <f t="shared" si="100"/>
        <v>0</v>
      </c>
      <c r="BU200">
        <f t="shared" si="101"/>
        <v>-5</v>
      </c>
      <c r="BV200" s="1">
        <f t="shared" si="85"/>
        <v>-0.02</v>
      </c>
      <c r="BW200" s="1">
        <f t="shared" si="86"/>
        <v>0</v>
      </c>
    </row>
    <row r="201" spans="1:75" hidden="1" x14ac:dyDescent="0.25">
      <c r="A201" s="18" t="s">
        <v>6</v>
      </c>
      <c r="B201" s="18">
        <v>2024</v>
      </c>
      <c r="C201" s="18" t="s">
        <v>138</v>
      </c>
      <c r="D201" s="18" t="s">
        <v>245</v>
      </c>
      <c r="E201" s="18">
        <v>20</v>
      </c>
      <c r="F201" s="18" t="s">
        <v>156</v>
      </c>
      <c r="G201" s="18" t="s">
        <v>296</v>
      </c>
      <c r="H201" s="4">
        <f t="shared" si="80"/>
        <v>43.5</v>
      </c>
      <c r="I201" s="4">
        <v>44</v>
      </c>
      <c r="J201" s="4">
        <f t="shared" si="87"/>
        <v>0.5</v>
      </c>
      <c r="K201" s="5">
        <v>0.3</v>
      </c>
      <c r="L201" s="31">
        <f t="shared" si="88"/>
        <v>0.15</v>
      </c>
      <c r="M201" s="31"/>
      <c r="N201" s="31"/>
      <c r="O201" s="31">
        <f t="shared" si="83"/>
        <v>0.15</v>
      </c>
      <c r="P201" s="31">
        <v>7.5</v>
      </c>
      <c r="Q201" s="31">
        <v>20</v>
      </c>
      <c r="R201" s="31">
        <v>0.15</v>
      </c>
      <c r="S201" s="31">
        <v>0</v>
      </c>
      <c r="T201" s="65">
        <f t="shared" si="75"/>
        <v>0</v>
      </c>
      <c r="U201" s="31">
        <v>7</v>
      </c>
      <c r="V201" s="31"/>
      <c r="W201" s="31">
        <f t="shared" si="81"/>
        <v>7</v>
      </c>
      <c r="X201" s="31">
        <f t="shared" si="82"/>
        <v>21.428571428571427</v>
      </c>
      <c r="Y201" s="31">
        <f t="shared" si="89"/>
        <v>2.1428571428571429E-2</v>
      </c>
      <c r="Z201" s="18">
        <v>0</v>
      </c>
      <c r="AA201" s="18" t="s">
        <v>330</v>
      </c>
      <c r="AB201" s="18" t="s">
        <v>333</v>
      </c>
      <c r="AC201" s="18" t="s">
        <v>335</v>
      </c>
      <c r="AD201" s="18">
        <v>20</v>
      </c>
      <c r="AE201" s="18">
        <v>7.5</v>
      </c>
      <c r="AF201" s="18" t="s">
        <v>34</v>
      </c>
      <c r="AG201" s="18" t="s">
        <v>29</v>
      </c>
      <c r="AH201" s="18" t="s">
        <v>29</v>
      </c>
      <c r="AI201" s="18" t="s">
        <v>66</v>
      </c>
      <c r="AJ201" s="18" t="s">
        <v>79</v>
      </c>
      <c r="AK201" s="18" t="s">
        <v>96</v>
      </c>
      <c r="AL201" s="18" t="s">
        <v>107</v>
      </c>
      <c r="AM201" s="18" t="s">
        <v>120</v>
      </c>
      <c r="AN201" s="18" t="s">
        <v>198</v>
      </c>
      <c r="AO201" s="18" t="s">
        <v>240</v>
      </c>
      <c r="AP201" s="18"/>
      <c r="AQ201" s="18">
        <f>+VLOOKUP(AI201,Leyenda!$B$30:$E$34,3,FALSE)</f>
        <v>1</v>
      </c>
      <c r="AR201" s="18">
        <f>+VLOOKUP('3. Blasting'!AJ201,Meteorizacion,3,FALSE)</f>
        <v>1</v>
      </c>
      <c r="AS201" s="18">
        <f>+VLOOKUP('3. Blasting'!AK201,Apertura,3,FALSE)</f>
        <v>1</v>
      </c>
      <c r="AT201" s="18">
        <f>+VLOOKUP('3. Blasting'!AL201,Leyenda!$B$55:$D$59,3,FALSE)</f>
        <v>3</v>
      </c>
      <c r="AU201" s="18">
        <f>+VLOOKUP('3. Blasting'!AM201,Relleno,3,FALSE)</f>
        <v>2</v>
      </c>
      <c r="AV201" s="18">
        <f t="shared" si="76"/>
        <v>8</v>
      </c>
      <c r="AW201" s="49">
        <f t="shared" si="90"/>
        <v>0</v>
      </c>
      <c r="AX201" s="49">
        <f>VLOOKUP(AF201,Leyenda!$B$4:$D$10,3,FALSE)</f>
        <v>0</v>
      </c>
      <c r="AY201" s="50">
        <f t="shared" si="84"/>
        <v>3</v>
      </c>
      <c r="AZ201" s="49">
        <f t="shared" si="91"/>
        <v>8</v>
      </c>
      <c r="BA201" s="49">
        <f>VLOOKUP(AN201,Leyenda!$B$70:$D$75,3,FALSE)</f>
        <v>15</v>
      </c>
      <c r="BB201" s="67">
        <f t="shared" si="92"/>
        <v>12</v>
      </c>
      <c r="BC201" s="67">
        <f>VLOOKUP(AF201,Leyenda!$B$4:$E$10,4,FALSE)</f>
        <v>0</v>
      </c>
      <c r="BD201" s="67">
        <f t="shared" si="93"/>
        <v>5</v>
      </c>
      <c r="BE201" s="67">
        <f t="shared" si="94"/>
        <v>0</v>
      </c>
      <c r="BF201" s="67">
        <f>+VLOOKUP('3. Blasting'!AK201,Leyenda!$B$47:$E$51,4,FALSE)</f>
        <v>1</v>
      </c>
      <c r="BG201" s="67">
        <f>+VLOOKUP('3. Blasting'!AL201,Leyenda!$B$55:$E$59,4,FALSE)</f>
        <v>3</v>
      </c>
      <c r="BH201" s="67">
        <f>+VLOOKUP('3. Blasting'!AM201,Leyenda!$B$63:$E$67,3,FALSE)</f>
        <v>2</v>
      </c>
      <c r="BI201" s="67">
        <f>+VLOOKUP('3. Blasting'!AJ201,Leyenda!$B$39:$E$43,4,FALSE)</f>
        <v>1</v>
      </c>
      <c r="BJ201" s="67">
        <f>+VLOOKUP('3. Blasting'!AI201,Leyenda!$B$30:$E$34,4,FALSE)</f>
        <v>1</v>
      </c>
      <c r="BK201" s="67">
        <f>VLOOKUP(AN201,Leyenda!$B$71:$E$75,4,FALSE)</f>
        <v>10</v>
      </c>
      <c r="BL201" s="67">
        <f t="shared" si="95"/>
        <v>23</v>
      </c>
      <c r="BM201" s="18">
        <f t="shared" si="96"/>
        <v>26</v>
      </c>
      <c r="BN201" s="18"/>
      <c r="BO201" s="18"/>
      <c r="BP201">
        <f t="shared" si="97"/>
        <v>10</v>
      </c>
      <c r="BQ201">
        <f t="shared" si="98"/>
        <v>10</v>
      </c>
      <c r="BR201">
        <v>20</v>
      </c>
      <c r="BS201">
        <f t="shared" si="99"/>
        <v>-50</v>
      </c>
      <c r="BT201">
        <f t="shared" si="100"/>
        <v>0</v>
      </c>
      <c r="BU201">
        <f t="shared" si="101"/>
        <v>-5</v>
      </c>
      <c r="BV201" s="1">
        <f t="shared" si="85"/>
        <v>-0.02</v>
      </c>
      <c r="BW201" s="1">
        <f t="shared" si="86"/>
        <v>0</v>
      </c>
    </row>
    <row r="202" spans="1:75" hidden="1" x14ac:dyDescent="0.25">
      <c r="A202" s="18" t="s">
        <v>6</v>
      </c>
      <c r="B202" s="18">
        <v>2024</v>
      </c>
      <c r="C202" s="18" t="s">
        <v>138</v>
      </c>
      <c r="D202" s="18" t="s">
        <v>245</v>
      </c>
      <c r="E202" s="18">
        <v>20</v>
      </c>
      <c r="F202" s="18" t="s">
        <v>156</v>
      </c>
      <c r="G202" s="18" t="s">
        <v>296</v>
      </c>
      <c r="H202" s="4">
        <f t="shared" si="80"/>
        <v>44</v>
      </c>
      <c r="I202" s="4">
        <v>44.5</v>
      </c>
      <c r="J202" s="4">
        <f t="shared" si="87"/>
        <v>0.5</v>
      </c>
      <c r="K202" s="5">
        <v>0.26</v>
      </c>
      <c r="L202" s="31">
        <f t="shared" si="88"/>
        <v>0.13</v>
      </c>
      <c r="M202" s="31"/>
      <c r="N202" s="31"/>
      <c r="O202" s="31">
        <f t="shared" si="83"/>
        <v>0.13</v>
      </c>
      <c r="P202" s="31">
        <v>6.5</v>
      </c>
      <c r="Q202" s="31">
        <v>20</v>
      </c>
      <c r="R202" s="31">
        <v>0.12</v>
      </c>
      <c r="S202" s="31">
        <v>0</v>
      </c>
      <c r="T202" s="65">
        <f t="shared" si="75"/>
        <v>0</v>
      </c>
      <c r="U202" s="31">
        <v>3</v>
      </c>
      <c r="V202" s="31"/>
      <c r="W202" s="31">
        <f t="shared" si="81"/>
        <v>3</v>
      </c>
      <c r="X202" s="31">
        <f t="shared" si="82"/>
        <v>40</v>
      </c>
      <c r="Y202" s="31">
        <f t="shared" si="89"/>
        <v>0.04</v>
      </c>
      <c r="Z202" s="18">
        <v>0</v>
      </c>
      <c r="AA202" s="18" t="s">
        <v>330</v>
      </c>
      <c r="AB202" s="18" t="s">
        <v>333</v>
      </c>
      <c r="AC202" s="18" t="s">
        <v>335</v>
      </c>
      <c r="AD202" s="18">
        <v>20</v>
      </c>
      <c r="AE202" s="18">
        <v>6.5</v>
      </c>
      <c r="AF202" s="18" t="s">
        <v>34</v>
      </c>
      <c r="AG202" s="18" t="s">
        <v>29</v>
      </c>
      <c r="AH202" s="18" t="s">
        <v>29</v>
      </c>
      <c r="AI202" s="18" t="s">
        <v>66</v>
      </c>
      <c r="AJ202" s="18" t="s">
        <v>79</v>
      </c>
      <c r="AK202" s="18" t="s">
        <v>96</v>
      </c>
      <c r="AL202" s="18" t="s">
        <v>107</v>
      </c>
      <c r="AM202" s="18" t="s">
        <v>120</v>
      </c>
      <c r="AN202" s="18" t="s">
        <v>198</v>
      </c>
      <c r="AO202" s="18" t="s">
        <v>240</v>
      </c>
      <c r="AP202" s="18"/>
      <c r="AQ202" s="18">
        <f>+VLOOKUP(AI202,Leyenda!$B$30:$E$34,3,FALSE)</f>
        <v>1</v>
      </c>
      <c r="AR202" s="18">
        <f>+VLOOKUP('3. Blasting'!AJ202,Meteorizacion,3,FALSE)</f>
        <v>1</v>
      </c>
      <c r="AS202" s="18">
        <f>+VLOOKUP('3. Blasting'!AK202,Apertura,3,FALSE)</f>
        <v>1</v>
      </c>
      <c r="AT202" s="18">
        <f>+VLOOKUP('3. Blasting'!AL202,Leyenda!$B$55:$D$59,3,FALSE)</f>
        <v>3</v>
      </c>
      <c r="AU202" s="18">
        <f>+VLOOKUP('3. Blasting'!AM202,Relleno,3,FALSE)</f>
        <v>2</v>
      </c>
      <c r="AV202" s="18">
        <f t="shared" si="76"/>
        <v>8</v>
      </c>
      <c r="AW202" s="49">
        <f t="shared" si="90"/>
        <v>0</v>
      </c>
      <c r="AX202" s="49">
        <f>VLOOKUP(AF202,Leyenda!$B$4:$D$10,3,FALSE)</f>
        <v>0</v>
      </c>
      <c r="AY202" s="50">
        <f t="shared" si="84"/>
        <v>3</v>
      </c>
      <c r="AZ202" s="49">
        <f t="shared" si="91"/>
        <v>8</v>
      </c>
      <c r="BA202" s="49">
        <f>VLOOKUP(AN202,Leyenda!$B$70:$D$75,3,FALSE)</f>
        <v>15</v>
      </c>
      <c r="BB202" s="67">
        <f t="shared" si="92"/>
        <v>12</v>
      </c>
      <c r="BC202" s="67">
        <f>VLOOKUP(AF202,Leyenda!$B$4:$E$10,4,FALSE)</f>
        <v>0</v>
      </c>
      <c r="BD202" s="67">
        <f t="shared" si="93"/>
        <v>5</v>
      </c>
      <c r="BE202" s="67">
        <f t="shared" si="94"/>
        <v>0</v>
      </c>
      <c r="BF202" s="67">
        <f>+VLOOKUP('3. Blasting'!AK202,Leyenda!$B$47:$E$51,4,FALSE)</f>
        <v>1</v>
      </c>
      <c r="BG202" s="67">
        <f>+VLOOKUP('3. Blasting'!AL202,Leyenda!$B$55:$E$59,4,FALSE)</f>
        <v>3</v>
      </c>
      <c r="BH202" s="67">
        <f>+VLOOKUP('3. Blasting'!AM202,Leyenda!$B$63:$E$67,3,FALSE)</f>
        <v>2</v>
      </c>
      <c r="BI202" s="67">
        <f>+VLOOKUP('3. Blasting'!AJ202,Leyenda!$B$39:$E$43,4,FALSE)</f>
        <v>1</v>
      </c>
      <c r="BJ202" s="67">
        <f>+VLOOKUP('3. Blasting'!AI202,Leyenda!$B$30:$E$34,4,FALSE)</f>
        <v>1</v>
      </c>
      <c r="BK202" s="67">
        <f>VLOOKUP(AN202,Leyenda!$B$71:$E$75,4,FALSE)</f>
        <v>10</v>
      </c>
      <c r="BL202" s="67">
        <f t="shared" si="95"/>
        <v>23</v>
      </c>
      <c r="BM202" s="18">
        <f t="shared" si="96"/>
        <v>26</v>
      </c>
      <c r="BN202" s="18"/>
      <c r="BO202" s="18"/>
      <c r="BP202">
        <f t="shared" si="97"/>
        <v>10</v>
      </c>
      <c r="BQ202">
        <f t="shared" si="98"/>
        <v>10</v>
      </c>
      <c r="BR202">
        <v>20</v>
      </c>
      <c r="BS202">
        <f t="shared" si="99"/>
        <v>-50</v>
      </c>
      <c r="BT202">
        <f t="shared" si="100"/>
        <v>0</v>
      </c>
      <c r="BU202">
        <f t="shared" si="101"/>
        <v>-5</v>
      </c>
      <c r="BV202" s="1">
        <f t="shared" si="85"/>
        <v>-0.02</v>
      </c>
      <c r="BW202" s="1">
        <f t="shared" si="86"/>
        <v>0</v>
      </c>
    </row>
    <row r="203" spans="1:75" hidden="1" x14ac:dyDescent="0.25">
      <c r="A203" s="18" t="s">
        <v>6</v>
      </c>
      <c r="B203" s="18">
        <v>2024</v>
      </c>
      <c r="C203" s="18" t="s">
        <v>138</v>
      </c>
      <c r="D203" s="18" t="s">
        <v>245</v>
      </c>
      <c r="E203" s="18">
        <v>20</v>
      </c>
      <c r="F203" s="18" t="s">
        <v>156</v>
      </c>
      <c r="G203" s="18" t="s">
        <v>296</v>
      </c>
      <c r="H203" s="4">
        <f t="shared" si="80"/>
        <v>44.5</v>
      </c>
      <c r="I203" s="4">
        <v>45</v>
      </c>
      <c r="J203" s="4">
        <f t="shared" si="87"/>
        <v>0.5</v>
      </c>
      <c r="K203" s="5">
        <v>0.32</v>
      </c>
      <c r="L203" s="31">
        <f t="shared" si="88"/>
        <v>0.16</v>
      </c>
      <c r="M203" s="31"/>
      <c r="N203" s="31"/>
      <c r="O203" s="31">
        <f t="shared" si="83"/>
        <v>0.16</v>
      </c>
      <c r="P203" s="31">
        <v>8</v>
      </c>
      <c r="Q203" s="31">
        <v>20</v>
      </c>
      <c r="R203" s="31">
        <v>0.15</v>
      </c>
      <c r="S203" s="31">
        <v>0</v>
      </c>
      <c r="T203" s="65">
        <f t="shared" ref="T203:T266" si="102">+S203/J203*100</f>
        <v>0</v>
      </c>
      <c r="U203" s="31">
        <v>5</v>
      </c>
      <c r="V203" s="31"/>
      <c r="W203" s="31">
        <f t="shared" si="81"/>
        <v>5</v>
      </c>
      <c r="X203" s="31">
        <f t="shared" si="82"/>
        <v>30</v>
      </c>
      <c r="Y203" s="31">
        <f t="shared" si="89"/>
        <v>0.03</v>
      </c>
      <c r="Z203" s="18">
        <v>0</v>
      </c>
      <c r="AA203" s="18" t="s">
        <v>330</v>
      </c>
      <c r="AB203" s="18" t="s">
        <v>333</v>
      </c>
      <c r="AC203" s="18" t="s">
        <v>335</v>
      </c>
      <c r="AD203" s="18">
        <v>20</v>
      </c>
      <c r="AE203" s="18">
        <v>8</v>
      </c>
      <c r="AF203" s="18" t="s">
        <v>34</v>
      </c>
      <c r="AG203" s="18" t="s">
        <v>29</v>
      </c>
      <c r="AH203" s="18" t="s">
        <v>29</v>
      </c>
      <c r="AI203" s="18" t="s">
        <v>66</v>
      </c>
      <c r="AJ203" s="18" t="s">
        <v>79</v>
      </c>
      <c r="AK203" s="18" t="s">
        <v>96</v>
      </c>
      <c r="AL203" s="18" t="s">
        <v>107</v>
      </c>
      <c r="AM203" s="18" t="s">
        <v>120</v>
      </c>
      <c r="AN203" s="18" t="s">
        <v>198</v>
      </c>
      <c r="AO203" s="18" t="s">
        <v>240</v>
      </c>
      <c r="AP203" s="18"/>
      <c r="AQ203" s="18">
        <f>+VLOOKUP(AI203,Leyenda!$B$30:$E$34,3,FALSE)</f>
        <v>1</v>
      </c>
      <c r="AR203" s="18">
        <f>+VLOOKUP('3. Blasting'!AJ203,Meteorizacion,3,FALSE)</f>
        <v>1</v>
      </c>
      <c r="AS203" s="18">
        <f>+VLOOKUP('3. Blasting'!AK203,Apertura,3,FALSE)</f>
        <v>1</v>
      </c>
      <c r="AT203" s="18">
        <f>+VLOOKUP('3. Blasting'!AL203,Leyenda!$B$55:$D$59,3,FALSE)</f>
        <v>3</v>
      </c>
      <c r="AU203" s="18">
        <f>+VLOOKUP('3. Blasting'!AM203,Relleno,3,FALSE)</f>
        <v>2</v>
      </c>
      <c r="AV203" s="18">
        <f t="shared" ref="AV203:AV266" si="103">+SUM(AQ203:AU203)</f>
        <v>8</v>
      </c>
      <c r="AW203" s="49">
        <f t="shared" si="90"/>
        <v>0</v>
      </c>
      <c r="AX203" s="49">
        <f>VLOOKUP(AF203,Leyenda!$B$4:$D$10,3,FALSE)</f>
        <v>0</v>
      </c>
      <c r="AY203" s="50">
        <f t="shared" si="84"/>
        <v>3</v>
      </c>
      <c r="AZ203" s="49">
        <f t="shared" si="91"/>
        <v>8</v>
      </c>
      <c r="BA203" s="49">
        <f>VLOOKUP(AN203,Leyenda!$B$70:$D$75,3,FALSE)</f>
        <v>15</v>
      </c>
      <c r="BB203" s="67">
        <f t="shared" si="92"/>
        <v>12</v>
      </c>
      <c r="BC203" s="67">
        <f>VLOOKUP(AF203,Leyenda!$B$4:$E$10,4,FALSE)</f>
        <v>0</v>
      </c>
      <c r="BD203" s="67">
        <f t="shared" si="93"/>
        <v>5</v>
      </c>
      <c r="BE203" s="67">
        <f t="shared" si="94"/>
        <v>0</v>
      </c>
      <c r="BF203" s="67">
        <f>+VLOOKUP('3. Blasting'!AK203,Leyenda!$B$47:$E$51,4,FALSE)</f>
        <v>1</v>
      </c>
      <c r="BG203" s="67">
        <f>+VLOOKUP('3. Blasting'!AL203,Leyenda!$B$55:$E$59,4,FALSE)</f>
        <v>3</v>
      </c>
      <c r="BH203" s="67">
        <f>+VLOOKUP('3. Blasting'!AM203,Leyenda!$B$63:$E$67,3,FALSE)</f>
        <v>2</v>
      </c>
      <c r="BI203" s="67">
        <f>+VLOOKUP('3. Blasting'!AJ203,Leyenda!$B$39:$E$43,4,FALSE)</f>
        <v>1</v>
      </c>
      <c r="BJ203" s="67">
        <f>+VLOOKUP('3. Blasting'!AI203,Leyenda!$B$30:$E$34,4,FALSE)</f>
        <v>1</v>
      </c>
      <c r="BK203" s="67">
        <f>VLOOKUP(AN203,Leyenda!$B$71:$E$75,4,FALSE)</f>
        <v>10</v>
      </c>
      <c r="BL203" s="67">
        <f t="shared" si="95"/>
        <v>23</v>
      </c>
      <c r="BM203" s="18">
        <f t="shared" si="96"/>
        <v>26</v>
      </c>
      <c r="BN203" s="18"/>
      <c r="BO203" s="18"/>
      <c r="BP203">
        <f t="shared" si="97"/>
        <v>10</v>
      </c>
      <c r="BQ203">
        <f t="shared" si="98"/>
        <v>10</v>
      </c>
      <c r="BR203">
        <v>20</v>
      </c>
      <c r="BS203">
        <f t="shared" si="99"/>
        <v>-50</v>
      </c>
      <c r="BT203">
        <f t="shared" si="100"/>
        <v>0</v>
      </c>
      <c r="BU203">
        <f t="shared" si="101"/>
        <v>-5</v>
      </c>
      <c r="BV203" s="1">
        <f t="shared" si="85"/>
        <v>-0.02</v>
      </c>
      <c r="BW203" s="1">
        <f t="shared" si="86"/>
        <v>0</v>
      </c>
    </row>
    <row r="204" spans="1:75" hidden="1" x14ac:dyDescent="0.25">
      <c r="A204" s="18" t="s">
        <v>6</v>
      </c>
      <c r="B204" s="18">
        <v>2024</v>
      </c>
      <c r="C204" s="18" t="s">
        <v>138</v>
      </c>
      <c r="D204" s="18" t="s">
        <v>245</v>
      </c>
      <c r="E204" s="18">
        <v>20</v>
      </c>
      <c r="F204" s="18" t="s">
        <v>156</v>
      </c>
      <c r="G204" s="18" t="s">
        <v>296</v>
      </c>
      <c r="H204" s="4">
        <f t="shared" si="80"/>
        <v>45</v>
      </c>
      <c r="I204" s="4">
        <v>45.5</v>
      </c>
      <c r="J204" s="4">
        <f t="shared" si="87"/>
        <v>0.5</v>
      </c>
      <c r="K204" s="5">
        <v>0.34</v>
      </c>
      <c r="L204" s="31">
        <f t="shared" si="88"/>
        <v>0.17</v>
      </c>
      <c r="M204" s="31"/>
      <c r="N204" s="31"/>
      <c r="O204" s="31">
        <f t="shared" si="83"/>
        <v>0.17</v>
      </c>
      <c r="P204" s="31">
        <v>8.5</v>
      </c>
      <c r="Q204" s="31">
        <v>20</v>
      </c>
      <c r="R204" s="31">
        <v>0.17</v>
      </c>
      <c r="S204" s="31">
        <v>0</v>
      </c>
      <c r="T204" s="65">
        <f t="shared" si="102"/>
        <v>0</v>
      </c>
      <c r="U204" s="31">
        <v>5</v>
      </c>
      <c r="V204" s="31"/>
      <c r="W204" s="31">
        <f t="shared" si="81"/>
        <v>5</v>
      </c>
      <c r="X204" s="31">
        <f t="shared" si="82"/>
        <v>34</v>
      </c>
      <c r="Y204" s="31">
        <f t="shared" si="89"/>
        <v>3.4000000000000002E-2</v>
      </c>
      <c r="Z204" s="18">
        <v>0</v>
      </c>
      <c r="AA204" s="18" t="s">
        <v>330</v>
      </c>
      <c r="AB204" s="18" t="s">
        <v>333</v>
      </c>
      <c r="AC204" s="18" t="s">
        <v>337</v>
      </c>
      <c r="AD204" s="18">
        <v>20</v>
      </c>
      <c r="AE204" s="18">
        <v>8.5</v>
      </c>
      <c r="AF204" s="18" t="s">
        <v>29</v>
      </c>
      <c r="AG204" s="18" t="s">
        <v>29</v>
      </c>
      <c r="AH204" s="18" t="s">
        <v>29</v>
      </c>
      <c r="AI204" s="18" t="s">
        <v>66</v>
      </c>
      <c r="AJ204" s="18" t="s">
        <v>79</v>
      </c>
      <c r="AK204" s="18" t="s">
        <v>96</v>
      </c>
      <c r="AL204" s="18" t="s">
        <v>107</v>
      </c>
      <c r="AM204" s="18" t="s">
        <v>120</v>
      </c>
      <c r="AN204" s="18" t="s">
        <v>198</v>
      </c>
      <c r="AO204" s="18" t="s">
        <v>240</v>
      </c>
      <c r="AP204" s="18"/>
      <c r="AQ204" s="18">
        <f>+VLOOKUP(AI204,Leyenda!$B$30:$E$34,3,FALSE)</f>
        <v>1</v>
      </c>
      <c r="AR204" s="18">
        <f>+VLOOKUP('3. Blasting'!AJ204,Meteorizacion,3,FALSE)</f>
        <v>1</v>
      </c>
      <c r="AS204" s="18">
        <f>+VLOOKUP('3. Blasting'!AK204,Apertura,3,FALSE)</f>
        <v>1</v>
      </c>
      <c r="AT204" s="18">
        <f>+VLOOKUP('3. Blasting'!AL204,Leyenda!$B$55:$D$59,3,FALSE)</f>
        <v>3</v>
      </c>
      <c r="AU204" s="18">
        <f>+VLOOKUP('3. Blasting'!AM204,Relleno,3,FALSE)</f>
        <v>2</v>
      </c>
      <c r="AV204" s="18">
        <f t="shared" si="103"/>
        <v>8</v>
      </c>
      <c r="AW204" s="49">
        <f t="shared" si="90"/>
        <v>0</v>
      </c>
      <c r="AX204" s="49">
        <f>VLOOKUP(AF204,Leyenda!$B$4:$D$10,3,FALSE)</f>
        <v>2</v>
      </c>
      <c r="AY204" s="50">
        <f t="shared" si="84"/>
        <v>3</v>
      </c>
      <c r="AZ204" s="49">
        <f t="shared" si="91"/>
        <v>8</v>
      </c>
      <c r="BA204" s="49">
        <f>VLOOKUP(AN204,Leyenda!$B$70:$D$75,3,FALSE)</f>
        <v>15</v>
      </c>
      <c r="BB204" s="67">
        <f t="shared" si="92"/>
        <v>12</v>
      </c>
      <c r="BC204" s="67">
        <f>VLOOKUP(AF204,Leyenda!$B$4:$E$10,4,FALSE)</f>
        <v>2</v>
      </c>
      <c r="BD204" s="67">
        <f t="shared" si="93"/>
        <v>5</v>
      </c>
      <c r="BE204" s="67">
        <f t="shared" si="94"/>
        <v>0</v>
      </c>
      <c r="BF204" s="67">
        <f>+VLOOKUP('3. Blasting'!AK204,Leyenda!$B$47:$E$51,4,FALSE)</f>
        <v>1</v>
      </c>
      <c r="BG204" s="67">
        <f>+VLOOKUP('3. Blasting'!AL204,Leyenda!$B$55:$E$59,4,FALSE)</f>
        <v>3</v>
      </c>
      <c r="BH204" s="67">
        <f>+VLOOKUP('3. Blasting'!AM204,Leyenda!$B$63:$E$67,3,FALSE)</f>
        <v>2</v>
      </c>
      <c r="BI204" s="67">
        <f>+VLOOKUP('3. Blasting'!AJ204,Leyenda!$B$39:$E$43,4,FALSE)</f>
        <v>1</v>
      </c>
      <c r="BJ204" s="67">
        <f>+VLOOKUP('3. Blasting'!AI204,Leyenda!$B$30:$E$34,4,FALSE)</f>
        <v>1</v>
      </c>
      <c r="BK204" s="67">
        <f>VLOOKUP(AN204,Leyenda!$B$71:$E$75,4,FALSE)</f>
        <v>10</v>
      </c>
      <c r="BL204" s="67">
        <f t="shared" si="95"/>
        <v>25</v>
      </c>
      <c r="BM204" s="18">
        <f t="shared" si="96"/>
        <v>28</v>
      </c>
      <c r="BN204" s="18"/>
      <c r="BO204" s="18"/>
      <c r="BP204">
        <f t="shared" si="97"/>
        <v>10</v>
      </c>
      <c r="BQ204">
        <f t="shared" si="98"/>
        <v>10</v>
      </c>
      <c r="BR204">
        <v>20</v>
      </c>
      <c r="BS204">
        <f t="shared" si="99"/>
        <v>-50</v>
      </c>
      <c r="BT204">
        <f t="shared" si="100"/>
        <v>0</v>
      </c>
      <c r="BU204">
        <f t="shared" si="101"/>
        <v>-5</v>
      </c>
      <c r="BV204" s="1">
        <f t="shared" si="85"/>
        <v>-0.02</v>
      </c>
      <c r="BW204" s="1">
        <f t="shared" si="86"/>
        <v>0</v>
      </c>
    </row>
    <row r="205" spans="1:75" hidden="1" x14ac:dyDescent="0.25">
      <c r="A205" s="18" t="s">
        <v>6</v>
      </c>
      <c r="B205" s="18">
        <v>2024</v>
      </c>
      <c r="C205" s="18" t="s">
        <v>138</v>
      </c>
      <c r="D205" s="18" t="s">
        <v>245</v>
      </c>
      <c r="E205" s="18">
        <v>20</v>
      </c>
      <c r="F205" s="18" t="s">
        <v>156</v>
      </c>
      <c r="G205" s="18" t="s">
        <v>296</v>
      </c>
      <c r="H205" s="4">
        <f t="shared" si="80"/>
        <v>45.5</v>
      </c>
      <c r="I205" s="4">
        <v>46</v>
      </c>
      <c r="J205" s="4">
        <f t="shared" si="87"/>
        <v>0.5</v>
      </c>
      <c r="K205" s="5">
        <v>0.32</v>
      </c>
      <c r="L205" s="31">
        <f t="shared" si="88"/>
        <v>0.16</v>
      </c>
      <c r="M205" s="31"/>
      <c r="N205" s="31"/>
      <c r="O205" s="31">
        <f t="shared" si="83"/>
        <v>0.16</v>
      </c>
      <c r="P205" s="31">
        <v>8</v>
      </c>
      <c r="Q205" s="31">
        <v>20</v>
      </c>
      <c r="R205" s="31">
        <v>0.14000000000000001</v>
      </c>
      <c r="S205" s="31">
        <v>0</v>
      </c>
      <c r="T205" s="65">
        <f t="shared" si="102"/>
        <v>0</v>
      </c>
      <c r="U205" s="31">
        <v>5</v>
      </c>
      <c r="V205" s="31"/>
      <c r="W205" s="31">
        <f t="shared" si="81"/>
        <v>5</v>
      </c>
      <c r="X205" s="31">
        <f t="shared" si="82"/>
        <v>28</v>
      </c>
      <c r="Y205" s="31">
        <f t="shared" si="89"/>
        <v>2.8000000000000001E-2</v>
      </c>
      <c r="Z205" s="18">
        <v>0</v>
      </c>
      <c r="AA205" s="18" t="s">
        <v>330</v>
      </c>
      <c r="AB205" s="18" t="s">
        <v>333</v>
      </c>
      <c r="AC205" s="18" t="s">
        <v>337</v>
      </c>
      <c r="AD205" s="18">
        <v>20</v>
      </c>
      <c r="AE205" s="18">
        <v>8</v>
      </c>
      <c r="AF205" s="18" t="s">
        <v>29</v>
      </c>
      <c r="AG205" s="18" t="s">
        <v>29</v>
      </c>
      <c r="AH205" s="18" t="s">
        <v>29</v>
      </c>
      <c r="AI205" s="18" t="s">
        <v>66</v>
      </c>
      <c r="AJ205" s="18" t="s">
        <v>79</v>
      </c>
      <c r="AK205" s="18" t="s">
        <v>96</v>
      </c>
      <c r="AL205" s="18" t="s">
        <v>107</v>
      </c>
      <c r="AM205" s="18" t="s">
        <v>120</v>
      </c>
      <c r="AN205" s="18" t="s">
        <v>198</v>
      </c>
      <c r="AO205" s="18" t="s">
        <v>240</v>
      </c>
      <c r="AP205" s="18"/>
      <c r="AQ205" s="18">
        <f>+VLOOKUP(AI205,Leyenda!$B$30:$E$34,3,FALSE)</f>
        <v>1</v>
      </c>
      <c r="AR205" s="18">
        <f>+VLOOKUP('3. Blasting'!AJ205,Meteorizacion,3,FALSE)</f>
        <v>1</v>
      </c>
      <c r="AS205" s="18">
        <f>+VLOOKUP('3. Blasting'!AK205,Apertura,3,FALSE)</f>
        <v>1</v>
      </c>
      <c r="AT205" s="18">
        <f>+VLOOKUP('3. Blasting'!AL205,Leyenda!$B$55:$D$59,3,FALSE)</f>
        <v>3</v>
      </c>
      <c r="AU205" s="18">
        <f>+VLOOKUP('3. Blasting'!AM205,Relleno,3,FALSE)</f>
        <v>2</v>
      </c>
      <c r="AV205" s="18">
        <f t="shared" si="103"/>
        <v>8</v>
      </c>
      <c r="AW205" s="49">
        <f t="shared" si="90"/>
        <v>0</v>
      </c>
      <c r="AX205" s="49">
        <f>VLOOKUP(AF205,Leyenda!$B$4:$D$10,3,FALSE)</f>
        <v>2</v>
      </c>
      <c r="AY205" s="50">
        <f t="shared" si="84"/>
        <v>3</v>
      </c>
      <c r="AZ205" s="49">
        <f t="shared" si="91"/>
        <v>8</v>
      </c>
      <c r="BA205" s="49">
        <f>VLOOKUP(AN205,Leyenda!$B$70:$D$75,3,FALSE)</f>
        <v>15</v>
      </c>
      <c r="BB205" s="67">
        <f t="shared" si="92"/>
        <v>12</v>
      </c>
      <c r="BC205" s="67">
        <f>VLOOKUP(AF205,Leyenda!$B$4:$E$10,4,FALSE)</f>
        <v>2</v>
      </c>
      <c r="BD205" s="67">
        <f t="shared" si="93"/>
        <v>5</v>
      </c>
      <c r="BE205" s="67">
        <f t="shared" si="94"/>
        <v>0</v>
      </c>
      <c r="BF205" s="67">
        <f>+VLOOKUP('3. Blasting'!AK205,Leyenda!$B$47:$E$51,4,FALSE)</f>
        <v>1</v>
      </c>
      <c r="BG205" s="67">
        <f>+VLOOKUP('3. Blasting'!AL205,Leyenda!$B$55:$E$59,4,FALSE)</f>
        <v>3</v>
      </c>
      <c r="BH205" s="67">
        <f>+VLOOKUP('3. Blasting'!AM205,Leyenda!$B$63:$E$67,3,FALSE)</f>
        <v>2</v>
      </c>
      <c r="BI205" s="67">
        <f>+VLOOKUP('3. Blasting'!AJ205,Leyenda!$B$39:$E$43,4,FALSE)</f>
        <v>1</v>
      </c>
      <c r="BJ205" s="67">
        <f>+VLOOKUP('3. Blasting'!AI205,Leyenda!$B$30:$E$34,4,FALSE)</f>
        <v>1</v>
      </c>
      <c r="BK205" s="67">
        <f>VLOOKUP(AN205,Leyenda!$B$71:$E$75,4,FALSE)</f>
        <v>10</v>
      </c>
      <c r="BL205" s="67">
        <f t="shared" si="95"/>
        <v>25</v>
      </c>
      <c r="BM205" s="18">
        <f t="shared" si="96"/>
        <v>28</v>
      </c>
      <c r="BN205" s="18"/>
      <c r="BO205" s="18"/>
      <c r="BP205">
        <f t="shared" si="97"/>
        <v>10</v>
      </c>
      <c r="BQ205">
        <f t="shared" si="98"/>
        <v>10</v>
      </c>
      <c r="BR205">
        <v>20</v>
      </c>
      <c r="BS205">
        <f t="shared" si="99"/>
        <v>-50</v>
      </c>
      <c r="BT205">
        <f t="shared" si="100"/>
        <v>0</v>
      </c>
      <c r="BU205">
        <f t="shared" si="101"/>
        <v>-5</v>
      </c>
      <c r="BV205" s="1">
        <f t="shared" si="85"/>
        <v>-0.02</v>
      </c>
      <c r="BW205" s="1">
        <f t="shared" si="86"/>
        <v>0</v>
      </c>
    </row>
    <row r="206" spans="1:75" hidden="1" x14ac:dyDescent="0.25">
      <c r="A206" s="18" t="s">
        <v>6</v>
      </c>
      <c r="B206" s="18">
        <v>2024</v>
      </c>
      <c r="C206" s="18" t="s">
        <v>138</v>
      </c>
      <c r="D206" s="18" t="s">
        <v>245</v>
      </c>
      <c r="E206" s="18">
        <v>20</v>
      </c>
      <c r="F206" s="18" t="s">
        <v>156</v>
      </c>
      <c r="G206" s="18" t="s">
        <v>296</v>
      </c>
      <c r="H206" s="4">
        <f t="shared" si="80"/>
        <v>46</v>
      </c>
      <c r="I206" s="4">
        <v>46.5</v>
      </c>
      <c r="J206" s="4">
        <f t="shared" si="87"/>
        <v>0.5</v>
      </c>
      <c r="K206" s="5">
        <v>0.22</v>
      </c>
      <c r="L206" s="31">
        <f t="shared" si="88"/>
        <v>0.11</v>
      </c>
      <c r="M206" s="31"/>
      <c r="N206" s="31"/>
      <c r="O206" s="31">
        <f t="shared" si="83"/>
        <v>0.11</v>
      </c>
      <c r="P206" s="31">
        <v>5.5</v>
      </c>
      <c r="Q206" s="31">
        <v>20</v>
      </c>
      <c r="R206" s="31">
        <v>0.11</v>
      </c>
      <c r="S206" s="31">
        <v>0</v>
      </c>
      <c r="T206" s="65">
        <f t="shared" si="102"/>
        <v>0</v>
      </c>
      <c r="U206" s="31">
        <v>5</v>
      </c>
      <c r="V206" s="31"/>
      <c r="W206" s="31">
        <f t="shared" si="81"/>
        <v>5</v>
      </c>
      <c r="X206" s="31">
        <f t="shared" si="82"/>
        <v>22</v>
      </c>
      <c r="Y206" s="31">
        <f t="shared" si="89"/>
        <v>2.1999999999999999E-2</v>
      </c>
      <c r="Z206" s="18">
        <v>0</v>
      </c>
      <c r="AA206" s="18" t="s">
        <v>330</v>
      </c>
      <c r="AB206" s="18" t="s">
        <v>333</v>
      </c>
      <c r="AC206" s="18" t="s">
        <v>337</v>
      </c>
      <c r="AD206" s="18">
        <v>20</v>
      </c>
      <c r="AE206" s="18">
        <v>5.5</v>
      </c>
      <c r="AF206" s="18" t="s">
        <v>29</v>
      </c>
      <c r="AG206" s="18" t="s">
        <v>29</v>
      </c>
      <c r="AH206" s="18" t="s">
        <v>29</v>
      </c>
      <c r="AI206" s="18" t="s">
        <v>66</v>
      </c>
      <c r="AJ206" s="18" t="s">
        <v>79</v>
      </c>
      <c r="AK206" s="18" t="s">
        <v>96</v>
      </c>
      <c r="AL206" s="18" t="s">
        <v>107</v>
      </c>
      <c r="AM206" s="18" t="s">
        <v>120</v>
      </c>
      <c r="AN206" s="18" t="s">
        <v>198</v>
      </c>
      <c r="AO206" s="18" t="s">
        <v>240</v>
      </c>
      <c r="AP206" s="18"/>
      <c r="AQ206" s="18">
        <f>+VLOOKUP(AI206,Leyenda!$B$30:$E$34,3,FALSE)</f>
        <v>1</v>
      </c>
      <c r="AR206" s="18">
        <f>+VLOOKUP('3. Blasting'!AJ206,Meteorizacion,3,FALSE)</f>
        <v>1</v>
      </c>
      <c r="AS206" s="18">
        <f>+VLOOKUP('3. Blasting'!AK206,Apertura,3,FALSE)</f>
        <v>1</v>
      </c>
      <c r="AT206" s="18">
        <f>+VLOOKUP('3. Blasting'!AL206,Leyenda!$B$55:$D$59,3,FALSE)</f>
        <v>3</v>
      </c>
      <c r="AU206" s="18">
        <f>+VLOOKUP('3. Blasting'!AM206,Relleno,3,FALSE)</f>
        <v>2</v>
      </c>
      <c r="AV206" s="18">
        <f t="shared" si="103"/>
        <v>8</v>
      </c>
      <c r="AW206" s="49">
        <f t="shared" si="90"/>
        <v>0</v>
      </c>
      <c r="AX206" s="49">
        <f>VLOOKUP(AF206,Leyenda!$B$4:$D$10,3,FALSE)</f>
        <v>2</v>
      </c>
      <c r="AY206" s="50">
        <f t="shared" si="84"/>
        <v>3</v>
      </c>
      <c r="AZ206" s="49">
        <f t="shared" si="91"/>
        <v>8</v>
      </c>
      <c r="BA206" s="49">
        <f>VLOOKUP(AN206,Leyenda!$B$70:$D$75,3,FALSE)</f>
        <v>15</v>
      </c>
      <c r="BB206" s="67">
        <f t="shared" si="92"/>
        <v>12</v>
      </c>
      <c r="BC206" s="67">
        <f>VLOOKUP(AF206,Leyenda!$B$4:$E$10,4,FALSE)</f>
        <v>2</v>
      </c>
      <c r="BD206" s="67">
        <f t="shared" si="93"/>
        <v>5</v>
      </c>
      <c r="BE206" s="67">
        <f t="shared" si="94"/>
        <v>0</v>
      </c>
      <c r="BF206" s="67">
        <f>+VLOOKUP('3. Blasting'!AK206,Leyenda!$B$47:$E$51,4,FALSE)</f>
        <v>1</v>
      </c>
      <c r="BG206" s="67">
        <f>+VLOOKUP('3. Blasting'!AL206,Leyenda!$B$55:$E$59,4,FALSE)</f>
        <v>3</v>
      </c>
      <c r="BH206" s="67">
        <f>+VLOOKUP('3. Blasting'!AM206,Leyenda!$B$63:$E$67,3,FALSE)</f>
        <v>2</v>
      </c>
      <c r="BI206" s="67">
        <f>+VLOOKUP('3. Blasting'!AJ206,Leyenda!$B$39:$E$43,4,FALSE)</f>
        <v>1</v>
      </c>
      <c r="BJ206" s="67">
        <f>+VLOOKUP('3. Blasting'!AI206,Leyenda!$B$30:$E$34,4,FALSE)</f>
        <v>1</v>
      </c>
      <c r="BK206" s="67">
        <f>VLOOKUP(AN206,Leyenda!$B$71:$E$75,4,FALSE)</f>
        <v>10</v>
      </c>
      <c r="BL206" s="67">
        <f t="shared" si="95"/>
        <v>25</v>
      </c>
      <c r="BM206" s="18">
        <f t="shared" si="96"/>
        <v>28</v>
      </c>
      <c r="BN206" s="18"/>
      <c r="BO206" s="18"/>
      <c r="BP206">
        <f t="shared" si="97"/>
        <v>10</v>
      </c>
      <c r="BQ206">
        <f t="shared" si="98"/>
        <v>10</v>
      </c>
      <c r="BR206">
        <v>20</v>
      </c>
      <c r="BS206">
        <f t="shared" si="99"/>
        <v>-50</v>
      </c>
      <c r="BT206">
        <f t="shared" si="100"/>
        <v>0</v>
      </c>
      <c r="BU206">
        <f t="shared" si="101"/>
        <v>-5</v>
      </c>
      <c r="BV206" s="1">
        <f t="shared" si="85"/>
        <v>-0.02</v>
      </c>
      <c r="BW206" s="1">
        <f t="shared" si="86"/>
        <v>0</v>
      </c>
    </row>
    <row r="207" spans="1:75" hidden="1" x14ac:dyDescent="0.25">
      <c r="A207" s="18" t="s">
        <v>6</v>
      </c>
      <c r="B207" s="18">
        <v>2024</v>
      </c>
      <c r="C207" s="18" t="s">
        <v>138</v>
      </c>
      <c r="D207" s="18" t="s">
        <v>245</v>
      </c>
      <c r="E207" s="18">
        <v>20</v>
      </c>
      <c r="F207" s="18" t="s">
        <v>156</v>
      </c>
      <c r="G207" s="18" t="s">
        <v>296</v>
      </c>
      <c r="H207" s="4">
        <f t="shared" si="80"/>
        <v>46.5</v>
      </c>
      <c r="I207" s="4">
        <v>47</v>
      </c>
      <c r="J207" s="4">
        <f t="shared" si="87"/>
        <v>0.5</v>
      </c>
      <c r="K207" s="5">
        <v>0.2</v>
      </c>
      <c r="L207" s="31">
        <f t="shared" si="88"/>
        <v>0.1</v>
      </c>
      <c r="M207" s="31"/>
      <c r="N207" s="31"/>
      <c r="O207" s="31">
        <f t="shared" si="83"/>
        <v>0.1</v>
      </c>
      <c r="P207" s="31">
        <v>5</v>
      </c>
      <c r="Q207" s="31">
        <v>20</v>
      </c>
      <c r="R207" s="31">
        <v>0.1</v>
      </c>
      <c r="S207" s="31">
        <v>0</v>
      </c>
      <c r="T207" s="65">
        <f t="shared" si="102"/>
        <v>0</v>
      </c>
      <c r="U207" s="31">
        <v>5</v>
      </c>
      <c r="V207" s="31"/>
      <c r="W207" s="31">
        <f t="shared" si="81"/>
        <v>5</v>
      </c>
      <c r="X207" s="31">
        <f t="shared" si="82"/>
        <v>20</v>
      </c>
      <c r="Y207" s="31">
        <f t="shared" si="89"/>
        <v>0.02</v>
      </c>
      <c r="Z207" s="18">
        <v>0</v>
      </c>
      <c r="AA207" s="18" t="s">
        <v>330</v>
      </c>
      <c r="AB207" s="18" t="s">
        <v>333</v>
      </c>
      <c r="AC207" s="18" t="s">
        <v>337</v>
      </c>
      <c r="AD207" s="18">
        <v>20</v>
      </c>
      <c r="AE207" s="18">
        <v>5</v>
      </c>
      <c r="AF207" s="18" t="s">
        <v>29</v>
      </c>
      <c r="AG207" s="18" t="s">
        <v>29</v>
      </c>
      <c r="AH207" s="18" t="s">
        <v>29</v>
      </c>
      <c r="AI207" s="18" t="s">
        <v>66</v>
      </c>
      <c r="AJ207" s="18" t="s">
        <v>79</v>
      </c>
      <c r="AK207" s="18" t="s">
        <v>96</v>
      </c>
      <c r="AL207" s="18" t="s">
        <v>107</v>
      </c>
      <c r="AM207" s="18" t="s">
        <v>120</v>
      </c>
      <c r="AN207" s="18" t="s">
        <v>198</v>
      </c>
      <c r="AO207" s="18" t="s">
        <v>240</v>
      </c>
      <c r="AP207" s="18"/>
      <c r="AQ207" s="18">
        <f>+VLOOKUP(AI207,Leyenda!$B$30:$E$34,3,FALSE)</f>
        <v>1</v>
      </c>
      <c r="AR207" s="18">
        <f>+VLOOKUP('3. Blasting'!AJ207,Meteorizacion,3,FALSE)</f>
        <v>1</v>
      </c>
      <c r="AS207" s="18">
        <f>+VLOOKUP('3. Blasting'!AK207,Apertura,3,FALSE)</f>
        <v>1</v>
      </c>
      <c r="AT207" s="18">
        <f>+VLOOKUP('3. Blasting'!AL207,Leyenda!$B$55:$D$59,3,FALSE)</f>
        <v>3</v>
      </c>
      <c r="AU207" s="18">
        <f>+VLOOKUP('3. Blasting'!AM207,Relleno,3,FALSE)</f>
        <v>2</v>
      </c>
      <c r="AV207" s="18">
        <f t="shared" si="103"/>
        <v>8</v>
      </c>
      <c r="AW207" s="49">
        <f t="shared" si="90"/>
        <v>0</v>
      </c>
      <c r="AX207" s="49">
        <f>VLOOKUP(AF207,Leyenda!$B$4:$D$10,3,FALSE)</f>
        <v>2</v>
      </c>
      <c r="AY207" s="50">
        <f t="shared" si="84"/>
        <v>3</v>
      </c>
      <c r="AZ207" s="49">
        <f t="shared" si="91"/>
        <v>8</v>
      </c>
      <c r="BA207" s="49">
        <f>VLOOKUP(AN207,Leyenda!$B$70:$D$75,3,FALSE)</f>
        <v>15</v>
      </c>
      <c r="BB207" s="67">
        <f t="shared" si="92"/>
        <v>12</v>
      </c>
      <c r="BC207" s="67">
        <f>VLOOKUP(AF207,Leyenda!$B$4:$E$10,4,FALSE)</f>
        <v>2</v>
      </c>
      <c r="BD207" s="67">
        <f t="shared" si="93"/>
        <v>5</v>
      </c>
      <c r="BE207" s="67">
        <f t="shared" si="94"/>
        <v>0</v>
      </c>
      <c r="BF207" s="67">
        <f>+VLOOKUP('3. Blasting'!AK207,Leyenda!$B$47:$E$51,4,FALSE)</f>
        <v>1</v>
      </c>
      <c r="BG207" s="67">
        <f>+VLOOKUP('3. Blasting'!AL207,Leyenda!$B$55:$E$59,4,FALSE)</f>
        <v>3</v>
      </c>
      <c r="BH207" s="67">
        <f>+VLOOKUP('3. Blasting'!AM207,Leyenda!$B$63:$E$67,3,FALSE)</f>
        <v>2</v>
      </c>
      <c r="BI207" s="67">
        <f>+VLOOKUP('3. Blasting'!AJ207,Leyenda!$B$39:$E$43,4,FALSE)</f>
        <v>1</v>
      </c>
      <c r="BJ207" s="67">
        <f>+VLOOKUP('3. Blasting'!AI207,Leyenda!$B$30:$E$34,4,FALSE)</f>
        <v>1</v>
      </c>
      <c r="BK207" s="67">
        <f>VLOOKUP(AN207,Leyenda!$B$71:$E$75,4,FALSE)</f>
        <v>10</v>
      </c>
      <c r="BL207" s="67">
        <f t="shared" si="95"/>
        <v>25</v>
      </c>
      <c r="BM207" s="18">
        <f t="shared" si="96"/>
        <v>28</v>
      </c>
      <c r="BN207" s="18"/>
      <c r="BO207" s="18"/>
      <c r="BP207">
        <f t="shared" si="97"/>
        <v>10</v>
      </c>
      <c r="BQ207">
        <f t="shared" si="98"/>
        <v>10</v>
      </c>
      <c r="BR207">
        <v>20</v>
      </c>
      <c r="BS207">
        <f t="shared" si="99"/>
        <v>-50</v>
      </c>
      <c r="BT207">
        <f t="shared" si="100"/>
        <v>0</v>
      </c>
      <c r="BU207">
        <f t="shared" si="101"/>
        <v>-5</v>
      </c>
      <c r="BV207" s="1">
        <f t="shared" si="85"/>
        <v>-0.02</v>
      </c>
      <c r="BW207" s="1">
        <f t="shared" si="86"/>
        <v>0</v>
      </c>
    </row>
    <row r="208" spans="1:75" hidden="1" x14ac:dyDescent="0.25">
      <c r="A208" s="18" t="s">
        <v>6</v>
      </c>
      <c r="B208" s="18">
        <v>2024</v>
      </c>
      <c r="C208" s="18" t="s">
        <v>138</v>
      </c>
      <c r="D208" s="18" t="s">
        <v>245</v>
      </c>
      <c r="E208" s="18">
        <v>20</v>
      </c>
      <c r="F208" s="18" t="s">
        <v>156</v>
      </c>
      <c r="G208" s="18" t="s">
        <v>296</v>
      </c>
      <c r="H208" s="4">
        <f t="shared" si="80"/>
        <v>47</v>
      </c>
      <c r="I208" s="4">
        <v>47.5</v>
      </c>
      <c r="J208" s="4">
        <f t="shared" si="87"/>
        <v>0.5</v>
      </c>
      <c r="K208" s="5">
        <v>0.22</v>
      </c>
      <c r="L208" s="31">
        <f t="shared" si="88"/>
        <v>0.11</v>
      </c>
      <c r="M208" s="31"/>
      <c r="N208" s="31"/>
      <c r="O208" s="31">
        <f t="shared" si="83"/>
        <v>0.11</v>
      </c>
      <c r="P208" s="31">
        <v>5.5</v>
      </c>
      <c r="Q208" s="31">
        <v>20</v>
      </c>
      <c r="R208" s="31">
        <v>0.11</v>
      </c>
      <c r="S208" s="31">
        <v>0</v>
      </c>
      <c r="T208" s="65">
        <f t="shared" si="102"/>
        <v>0</v>
      </c>
      <c r="U208" s="31">
        <v>5</v>
      </c>
      <c r="V208" s="31"/>
      <c r="W208" s="31">
        <f t="shared" si="81"/>
        <v>5</v>
      </c>
      <c r="X208" s="31">
        <f t="shared" si="82"/>
        <v>22</v>
      </c>
      <c r="Y208" s="31">
        <f t="shared" si="89"/>
        <v>2.1999999999999999E-2</v>
      </c>
      <c r="Z208" s="18">
        <v>0</v>
      </c>
      <c r="AA208" s="18" t="s">
        <v>330</v>
      </c>
      <c r="AB208" s="18" t="s">
        <v>333</v>
      </c>
      <c r="AC208" s="18" t="s">
        <v>337</v>
      </c>
      <c r="AD208" s="18">
        <v>20</v>
      </c>
      <c r="AE208" s="18">
        <v>5.5</v>
      </c>
      <c r="AF208" s="18" t="s">
        <v>29</v>
      </c>
      <c r="AG208" s="18" t="s">
        <v>29</v>
      </c>
      <c r="AH208" s="18" t="s">
        <v>29</v>
      </c>
      <c r="AI208" s="18" t="s">
        <v>66</v>
      </c>
      <c r="AJ208" s="18" t="s">
        <v>79</v>
      </c>
      <c r="AK208" s="18" t="s">
        <v>96</v>
      </c>
      <c r="AL208" s="18" t="s">
        <v>107</v>
      </c>
      <c r="AM208" s="18" t="s">
        <v>120</v>
      </c>
      <c r="AN208" s="18" t="s">
        <v>198</v>
      </c>
      <c r="AO208" s="18" t="s">
        <v>240</v>
      </c>
      <c r="AP208" s="18"/>
      <c r="AQ208" s="18">
        <f>+VLOOKUP(AI208,Leyenda!$B$30:$E$34,3,FALSE)</f>
        <v>1</v>
      </c>
      <c r="AR208" s="18">
        <f>+VLOOKUP('3. Blasting'!AJ208,Meteorizacion,3,FALSE)</f>
        <v>1</v>
      </c>
      <c r="AS208" s="18">
        <f>+VLOOKUP('3. Blasting'!AK208,Apertura,3,FALSE)</f>
        <v>1</v>
      </c>
      <c r="AT208" s="18">
        <f>+VLOOKUP('3. Blasting'!AL208,Leyenda!$B$55:$D$59,3,FALSE)</f>
        <v>3</v>
      </c>
      <c r="AU208" s="18">
        <f>+VLOOKUP('3. Blasting'!AM208,Relleno,3,FALSE)</f>
        <v>2</v>
      </c>
      <c r="AV208" s="18">
        <f t="shared" si="103"/>
        <v>8</v>
      </c>
      <c r="AW208" s="49">
        <f t="shared" si="90"/>
        <v>0</v>
      </c>
      <c r="AX208" s="49">
        <f>VLOOKUP(AF208,Leyenda!$B$4:$D$10,3,FALSE)</f>
        <v>2</v>
      </c>
      <c r="AY208" s="50">
        <f t="shared" si="84"/>
        <v>3</v>
      </c>
      <c r="AZ208" s="49">
        <f t="shared" si="91"/>
        <v>8</v>
      </c>
      <c r="BA208" s="49">
        <f>VLOOKUP(AN208,Leyenda!$B$70:$D$75,3,FALSE)</f>
        <v>15</v>
      </c>
      <c r="BB208" s="67">
        <f t="shared" si="92"/>
        <v>12</v>
      </c>
      <c r="BC208" s="67">
        <f>VLOOKUP(AF208,Leyenda!$B$4:$E$10,4,FALSE)</f>
        <v>2</v>
      </c>
      <c r="BD208" s="67">
        <f t="shared" si="93"/>
        <v>5</v>
      </c>
      <c r="BE208" s="67">
        <f t="shared" si="94"/>
        <v>0</v>
      </c>
      <c r="BF208" s="67">
        <f>+VLOOKUP('3. Blasting'!AK208,Leyenda!$B$47:$E$51,4,FALSE)</f>
        <v>1</v>
      </c>
      <c r="BG208" s="67">
        <f>+VLOOKUP('3. Blasting'!AL208,Leyenda!$B$55:$E$59,4,FALSE)</f>
        <v>3</v>
      </c>
      <c r="BH208" s="67">
        <f>+VLOOKUP('3. Blasting'!AM208,Leyenda!$B$63:$E$67,3,FALSE)</f>
        <v>2</v>
      </c>
      <c r="BI208" s="67">
        <f>+VLOOKUP('3. Blasting'!AJ208,Leyenda!$B$39:$E$43,4,FALSE)</f>
        <v>1</v>
      </c>
      <c r="BJ208" s="67">
        <f>+VLOOKUP('3. Blasting'!AI208,Leyenda!$B$30:$E$34,4,FALSE)</f>
        <v>1</v>
      </c>
      <c r="BK208" s="67">
        <f>VLOOKUP(AN208,Leyenda!$B$71:$E$75,4,FALSE)</f>
        <v>10</v>
      </c>
      <c r="BL208" s="67">
        <f t="shared" si="95"/>
        <v>25</v>
      </c>
      <c r="BM208" s="18">
        <f t="shared" si="96"/>
        <v>28</v>
      </c>
      <c r="BN208" s="18"/>
      <c r="BO208" s="18"/>
      <c r="BP208">
        <f t="shared" si="97"/>
        <v>10</v>
      </c>
      <c r="BQ208">
        <f t="shared" si="98"/>
        <v>10</v>
      </c>
      <c r="BR208">
        <v>20</v>
      </c>
      <c r="BS208">
        <f t="shared" si="99"/>
        <v>-50</v>
      </c>
      <c r="BT208">
        <f t="shared" si="100"/>
        <v>0</v>
      </c>
      <c r="BU208">
        <f t="shared" si="101"/>
        <v>-5</v>
      </c>
      <c r="BV208" s="1">
        <f t="shared" si="85"/>
        <v>-0.02</v>
      </c>
      <c r="BW208" s="1">
        <f t="shared" si="86"/>
        <v>0</v>
      </c>
    </row>
    <row r="209" spans="1:75" hidden="1" x14ac:dyDescent="0.25">
      <c r="A209" s="18" t="s">
        <v>6</v>
      </c>
      <c r="B209" s="18">
        <v>2024</v>
      </c>
      <c r="C209" s="18" t="s">
        <v>138</v>
      </c>
      <c r="D209" s="18" t="s">
        <v>245</v>
      </c>
      <c r="E209" s="18">
        <v>20</v>
      </c>
      <c r="F209" s="18" t="s">
        <v>156</v>
      </c>
      <c r="G209" s="18" t="s">
        <v>296</v>
      </c>
      <c r="H209" s="4">
        <f t="shared" si="80"/>
        <v>47.5</v>
      </c>
      <c r="I209" s="4">
        <v>48</v>
      </c>
      <c r="J209" s="4">
        <f t="shared" si="87"/>
        <v>0.5</v>
      </c>
      <c r="K209" s="5">
        <v>0.34</v>
      </c>
      <c r="L209" s="31">
        <f t="shared" si="88"/>
        <v>0.17</v>
      </c>
      <c r="M209" s="31"/>
      <c r="N209" s="31"/>
      <c r="O209" s="31">
        <f t="shared" si="83"/>
        <v>0.17</v>
      </c>
      <c r="P209" s="31">
        <v>8.5</v>
      </c>
      <c r="Q209" s="31">
        <v>20</v>
      </c>
      <c r="R209" s="31">
        <v>0.14000000000000001</v>
      </c>
      <c r="S209" s="31">
        <v>0.1</v>
      </c>
      <c r="T209" s="65">
        <f t="shared" si="102"/>
        <v>20</v>
      </c>
      <c r="U209" s="31">
        <v>3</v>
      </c>
      <c r="V209" s="31"/>
      <c r="W209" s="31">
        <f t="shared" si="81"/>
        <v>3</v>
      </c>
      <c r="X209" s="31">
        <f t="shared" si="82"/>
        <v>46.666666666666664</v>
      </c>
      <c r="Y209" s="31">
        <f t="shared" si="89"/>
        <v>4.6666666666666662E-2</v>
      </c>
      <c r="Z209" s="18">
        <v>20</v>
      </c>
      <c r="AA209" s="18" t="s">
        <v>330</v>
      </c>
      <c r="AB209" s="18" t="s">
        <v>333</v>
      </c>
      <c r="AC209" s="18" t="s">
        <v>337</v>
      </c>
      <c r="AD209" s="18">
        <v>20</v>
      </c>
      <c r="AE209" s="18">
        <v>8.5</v>
      </c>
      <c r="AF209" s="18" t="s">
        <v>29</v>
      </c>
      <c r="AG209" s="18" t="s">
        <v>29</v>
      </c>
      <c r="AH209" s="18" t="s">
        <v>29</v>
      </c>
      <c r="AI209" s="18" t="s">
        <v>66</v>
      </c>
      <c r="AJ209" s="18" t="s">
        <v>79</v>
      </c>
      <c r="AK209" s="18" t="s">
        <v>96</v>
      </c>
      <c r="AL209" s="18" t="s">
        <v>107</v>
      </c>
      <c r="AM209" s="18" t="s">
        <v>120</v>
      </c>
      <c r="AN209" s="18" t="s">
        <v>198</v>
      </c>
      <c r="AO209" s="18" t="s">
        <v>240</v>
      </c>
      <c r="AP209" s="18"/>
      <c r="AQ209" s="18">
        <f>+VLOOKUP(AI209,Leyenda!$B$30:$E$34,3,FALSE)</f>
        <v>1</v>
      </c>
      <c r="AR209" s="18">
        <f>+VLOOKUP('3. Blasting'!AJ209,Meteorizacion,3,FALSE)</f>
        <v>1</v>
      </c>
      <c r="AS209" s="18">
        <f>+VLOOKUP('3. Blasting'!AK209,Apertura,3,FALSE)</f>
        <v>1</v>
      </c>
      <c r="AT209" s="18">
        <f>+VLOOKUP('3. Blasting'!AL209,Leyenda!$B$55:$D$59,3,FALSE)</f>
        <v>3</v>
      </c>
      <c r="AU209" s="18">
        <f>+VLOOKUP('3. Blasting'!AM209,Relleno,3,FALSE)</f>
        <v>2</v>
      </c>
      <c r="AV209" s="18">
        <f t="shared" si="103"/>
        <v>8</v>
      </c>
      <c r="AW209" s="49">
        <f t="shared" si="90"/>
        <v>4</v>
      </c>
      <c r="AX209" s="49">
        <f>VLOOKUP(AF209,Leyenda!$B$4:$D$10,3,FALSE)</f>
        <v>2</v>
      </c>
      <c r="AY209" s="50">
        <f t="shared" si="84"/>
        <v>3</v>
      </c>
      <c r="AZ209" s="49">
        <f t="shared" si="91"/>
        <v>8</v>
      </c>
      <c r="BA209" s="49">
        <f>VLOOKUP(AN209,Leyenda!$B$70:$D$75,3,FALSE)</f>
        <v>15</v>
      </c>
      <c r="BB209" s="67">
        <f t="shared" si="92"/>
        <v>22</v>
      </c>
      <c r="BC209" s="67">
        <f>VLOOKUP(AF209,Leyenda!$B$4:$E$10,4,FALSE)</f>
        <v>2</v>
      </c>
      <c r="BD209" s="67">
        <f t="shared" si="93"/>
        <v>5</v>
      </c>
      <c r="BE209" s="67">
        <f t="shared" si="94"/>
        <v>4</v>
      </c>
      <c r="BF209" s="67">
        <f>+VLOOKUP('3. Blasting'!AK209,Leyenda!$B$47:$E$51,4,FALSE)</f>
        <v>1</v>
      </c>
      <c r="BG209" s="67">
        <f>+VLOOKUP('3. Blasting'!AL209,Leyenda!$B$55:$E$59,4,FALSE)</f>
        <v>3</v>
      </c>
      <c r="BH209" s="67">
        <f>+VLOOKUP('3. Blasting'!AM209,Leyenda!$B$63:$E$67,3,FALSE)</f>
        <v>2</v>
      </c>
      <c r="BI209" s="67">
        <f>+VLOOKUP('3. Blasting'!AJ209,Leyenda!$B$39:$E$43,4,FALSE)</f>
        <v>1</v>
      </c>
      <c r="BJ209" s="67">
        <f>+VLOOKUP('3. Blasting'!AI209,Leyenda!$B$30:$E$34,4,FALSE)</f>
        <v>1</v>
      </c>
      <c r="BK209" s="67">
        <f>VLOOKUP(AN209,Leyenda!$B$71:$E$75,4,FALSE)</f>
        <v>10</v>
      </c>
      <c r="BL209" s="67">
        <f t="shared" si="95"/>
        <v>29</v>
      </c>
      <c r="BM209" s="18">
        <f t="shared" si="96"/>
        <v>32</v>
      </c>
      <c r="BN209" s="18"/>
      <c r="BO209" s="18"/>
      <c r="BP209">
        <f t="shared" si="97"/>
        <v>10</v>
      </c>
      <c r="BQ209">
        <f t="shared" si="98"/>
        <v>10</v>
      </c>
      <c r="BR209">
        <v>20</v>
      </c>
      <c r="BS209">
        <f t="shared" si="99"/>
        <v>-50</v>
      </c>
      <c r="BT209">
        <f t="shared" si="100"/>
        <v>0</v>
      </c>
      <c r="BU209">
        <f t="shared" si="101"/>
        <v>-5</v>
      </c>
      <c r="BV209" s="1">
        <f t="shared" si="85"/>
        <v>-0.02</v>
      </c>
      <c r="BW209" s="1">
        <f t="shared" si="86"/>
        <v>0</v>
      </c>
    </row>
    <row r="210" spans="1:75" hidden="1" x14ac:dyDescent="0.25">
      <c r="A210" s="18" t="s">
        <v>6</v>
      </c>
      <c r="B210" s="18">
        <v>2024</v>
      </c>
      <c r="C210" s="18" t="s">
        <v>138</v>
      </c>
      <c r="D210" s="18" t="s">
        <v>245</v>
      </c>
      <c r="E210" s="18">
        <v>20</v>
      </c>
      <c r="F210" s="18" t="s">
        <v>156</v>
      </c>
      <c r="G210" s="18" t="s">
        <v>296</v>
      </c>
      <c r="H210" s="4">
        <f t="shared" si="80"/>
        <v>48</v>
      </c>
      <c r="I210" s="4">
        <v>48.5</v>
      </c>
      <c r="J210" s="4">
        <f t="shared" si="87"/>
        <v>0.5</v>
      </c>
      <c r="K210" s="5">
        <v>0.46</v>
      </c>
      <c r="L210" s="31">
        <f t="shared" si="88"/>
        <v>0.23</v>
      </c>
      <c r="M210" s="31"/>
      <c r="N210" s="31"/>
      <c r="O210" s="31">
        <f t="shared" si="83"/>
        <v>0.23</v>
      </c>
      <c r="P210" s="31">
        <v>11.5</v>
      </c>
      <c r="Q210" s="31">
        <v>20</v>
      </c>
      <c r="R210" s="31">
        <v>0.19</v>
      </c>
      <c r="S210" s="31">
        <v>0.1</v>
      </c>
      <c r="T210" s="65">
        <f t="shared" si="102"/>
        <v>20</v>
      </c>
      <c r="U210" s="31">
        <v>3</v>
      </c>
      <c r="V210" s="31"/>
      <c r="W210" s="31">
        <f t="shared" si="81"/>
        <v>3</v>
      </c>
      <c r="X210" s="31">
        <f t="shared" si="82"/>
        <v>63.333333333333336</v>
      </c>
      <c r="Y210" s="31">
        <f t="shared" si="89"/>
        <v>6.3333333333333339E-2</v>
      </c>
      <c r="Z210" s="18">
        <v>38</v>
      </c>
      <c r="AA210" s="18" t="s">
        <v>330</v>
      </c>
      <c r="AB210" s="18" t="s">
        <v>333</v>
      </c>
      <c r="AC210" s="18" t="s">
        <v>337</v>
      </c>
      <c r="AD210" s="18">
        <v>20</v>
      </c>
      <c r="AE210" s="18">
        <v>11.5</v>
      </c>
      <c r="AF210" s="18" t="s">
        <v>29</v>
      </c>
      <c r="AG210" s="18" t="s">
        <v>29</v>
      </c>
      <c r="AH210" s="18" t="s">
        <v>29</v>
      </c>
      <c r="AI210" s="18" t="s">
        <v>66</v>
      </c>
      <c r="AJ210" s="18" t="s">
        <v>79</v>
      </c>
      <c r="AK210" s="18" t="s">
        <v>96</v>
      </c>
      <c r="AL210" s="18" t="s">
        <v>107</v>
      </c>
      <c r="AM210" s="18" t="s">
        <v>120</v>
      </c>
      <c r="AN210" s="18" t="s">
        <v>198</v>
      </c>
      <c r="AO210" s="18" t="s">
        <v>240</v>
      </c>
      <c r="AP210" s="18"/>
      <c r="AQ210" s="18">
        <f>+VLOOKUP(AI210,Leyenda!$B$30:$E$34,3,FALSE)</f>
        <v>1</v>
      </c>
      <c r="AR210" s="18">
        <f>+VLOOKUP('3. Blasting'!AJ210,Meteorizacion,3,FALSE)</f>
        <v>1</v>
      </c>
      <c r="AS210" s="18">
        <f>+VLOOKUP('3. Blasting'!AK210,Apertura,3,FALSE)</f>
        <v>1</v>
      </c>
      <c r="AT210" s="18">
        <f>+VLOOKUP('3. Blasting'!AL210,Leyenda!$B$55:$D$59,3,FALSE)</f>
        <v>3</v>
      </c>
      <c r="AU210" s="18">
        <f>+VLOOKUP('3. Blasting'!AM210,Relleno,3,FALSE)</f>
        <v>2</v>
      </c>
      <c r="AV210" s="18">
        <f t="shared" si="103"/>
        <v>8</v>
      </c>
      <c r="AW210" s="49">
        <f t="shared" si="90"/>
        <v>8</v>
      </c>
      <c r="AX210" s="49">
        <f>VLOOKUP(AF210,Leyenda!$B$4:$D$10,3,FALSE)</f>
        <v>2</v>
      </c>
      <c r="AY210" s="50">
        <f t="shared" si="84"/>
        <v>4</v>
      </c>
      <c r="AZ210" s="49">
        <f t="shared" si="91"/>
        <v>8</v>
      </c>
      <c r="BA210" s="49">
        <f>VLOOKUP(AN210,Leyenda!$B$70:$D$75,3,FALSE)</f>
        <v>15</v>
      </c>
      <c r="BB210" s="67">
        <f t="shared" si="92"/>
        <v>22</v>
      </c>
      <c r="BC210" s="67">
        <f>VLOOKUP(AF210,Leyenda!$B$4:$E$10,4,FALSE)</f>
        <v>2</v>
      </c>
      <c r="BD210" s="67">
        <f t="shared" si="93"/>
        <v>5</v>
      </c>
      <c r="BE210" s="67">
        <f t="shared" si="94"/>
        <v>4</v>
      </c>
      <c r="BF210" s="67">
        <f>+VLOOKUP('3. Blasting'!AK210,Leyenda!$B$47:$E$51,4,FALSE)</f>
        <v>1</v>
      </c>
      <c r="BG210" s="67">
        <f>+VLOOKUP('3. Blasting'!AL210,Leyenda!$B$55:$E$59,4,FALSE)</f>
        <v>3</v>
      </c>
      <c r="BH210" s="67">
        <f>+VLOOKUP('3. Blasting'!AM210,Leyenda!$B$63:$E$67,3,FALSE)</f>
        <v>2</v>
      </c>
      <c r="BI210" s="67">
        <f>+VLOOKUP('3. Blasting'!AJ210,Leyenda!$B$39:$E$43,4,FALSE)</f>
        <v>1</v>
      </c>
      <c r="BJ210" s="67">
        <f>+VLOOKUP('3. Blasting'!AI210,Leyenda!$B$30:$E$34,4,FALSE)</f>
        <v>1</v>
      </c>
      <c r="BK210" s="67">
        <f>VLOOKUP(AN210,Leyenda!$B$71:$E$75,4,FALSE)</f>
        <v>10</v>
      </c>
      <c r="BL210" s="67">
        <f t="shared" si="95"/>
        <v>29</v>
      </c>
      <c r="BM210" s="18">
        <f t="shared" si="96"/>
        <v>37</v>
      </c>
      <c r="BN210" s="18"/>
      <c r="BO210" s="18"/>
      <c r="BP210">
        <f t="shared" si="97"/>
        <v>10</v>
      </c>
      <c r="BQ210">
        <f t="shared" si="98"/>
        <v>10</v>
      </c>
      <c r="BR210">
        <v>20</v>
      </c>
      <c r="BS210">
        <f t="shared" si="99"/>
        <v>-50</v>
      </c>
      <c r="BT210">
        <f t="shared" si="100"/>
        <v>0</v>
      </c>
      <c r="BU210">
        <f t="shared" si="101"/>
        <v>-5</v>
      </c>
      <c r="BV210" s="1">
        <f t="shared" si="85"/>
        <v>-0.02</v>
      </c>
      <c r="BW210" s="1">
        <f t="shared" si="86"/>
        <v>0</v>
      </c>
    </row>
    <row r="211" spans="1:75" hidden="1" x14ac:dyDescent="0.25">
      <c r="A211" s="18" t="s">
        <v>6</v>
      </c>
      <c r="B211" s="18">
        <v>2024</v>
      </c>
      <c r="C211" s="18" t="s">
        <v>138</v>
      </c>
      <c r="D211" s="18" t="s">
        <v>245</v>
      </c>
      <c r="E211" s="18">
        <v>20</v>
      </c>
      <c r="F211" s="18" t="s">
        <v>156</v>
      </c>
      <c r="G211" s="18" t="s">
        <v>296</v>
      </c>
      <c r="H211" s="4">
        <f t="shared" si="80"/>
        <v>48.5</v>
      </c>
      <c r="I211" s="4">
        <v>49</v>
      </c>
      <c r="J211" s="4">
        <f t="shared" si="87"/>
        <v>0.5</v>
      </c>
      <c r="K211" s="5">
        <v>0.26</v>
      </c>
      <c r="L211" s="31">
        <f t="shared" si="88"/>
        <v>0.13</v>
      </c>
      <c r="M211" s="31"/>
      <c r="N211" s="31"/>
      <c r="O211" s="31">
        <f t="shared" si="83"/>
        <v>0.13</v>
      </c>
      <c r="P211" s="31">
        <v>6.5</v>
      </c>
      <c r="Q211" s="31">
        <v>20</v>
      </c>
      <c r="R211" s="31">
        <v>0.12</v>
      </c>
      <c r="S211" s="31">
        <v>0</v>
      </c>
      <c r="T211" s="65">
        <f t="shared" si="102"/>
        <v>0</v>
      </c>
      <c r="U211" s="31">
        <v>5</v>
      </c>
      <c r="V211" s="31"/>
      <c r="W211" s="31">
        <f t="shared" si="81"/>
        <v>5</v>
      </c>
      <c r="X211" s="31">
        <f t="shared" si="82"/>
        <v>24</v>
      </c>
      <c r="Y211" s="31">
        <f t="shared" si="89"/>
        <v>2.4E-2</v>
      </c>
      <c r="Z211" s="18">
        <v>0</v>
      </c>
      <c r="AA211" s="18" t="s">
        <v>330</v>
      </c>
      <c r="AB211" s="18" t="s">
        <v>333</v>
      </c>
      <c r="AC211" s="18" t="s">
        <v>337</v>
      </c>
      <c r="AD211" s="18">
        <v>20</v>
      </c>
      <c r="AE211" s="18">
        <v>6.5</v>
      </c>
      <c r="AF211" s="18" t="s">
        <v>29</v>
      </c>
      <c r="AG211" s="18" t="s">
        <v>29</v>
      </c>
      <c r="AH211" s="18" t="s">
        <v>29</v>
      </c>
      <c r="AI211" s="18" t="s">
        <v>66</v>
      </c>
      <c r="AJ211" s="18" t="s">
        <v>79</v>
      </c>
      <c r="AK211" s="18" t="s">
        <v>96</v>
      </c>
      <c r="AL211" s="18" t="s">
        <v>107</v>
      </c>
      <c r="AM211" s="18" t="s">
        <v>120</v>
      </c>
      <c r="AN211" s="18" t="s">
        <v>198</v>
      </c>
      <c r="AO211" s="18" t="s">
        <v>240</v>
      </c>
      <c r="AP211" s="18"/>
      <c r="AQ211" s="18">
        <f>+VLOOKUP(AI211,Leyenda!$B$30:$E$34,3,FALSE)</f>
        <v>1</v>
      </c>
      <c r="AR211" s="18">
        <f>+VLOOKUP('3. Blasting'!AJ211,Meteorizacion,3,FALSE)</f>
        <v>1</v>
      </c>
      <c r="AS211" s="18">
        <f>+VLOOKUP('3. Blasting'!AK211,Apertura,3,FALSE)</f>
        <v>1</v>
      </c>
      <c r="AT211" s="18">
        <f>+VLOOKUP('3. Blasting'!AL211,Leyenda!$B$55:$D$59,3,FALSE)</f>
        <v>3</v>
      </c>
      <c r="AU211" s="18">
        <f>+VLOOKUP('3. Blasting'!AM211,Relleno,3,FALSE)</f>
        <v>2</v>
      </c>
      <c r="AV211" s="18">
        <f t="shared" si="103"/>
        <v>8</v>
      </c>
      <c r="AW211" s="49">
        <f t="shared" si="90"/>
        <v>0</v>
      </c>
      <c r="AX211" s="49">
        <f>VLOOKUP(AF211,Leyenda!$B$4:$D$10,3,FALSE)</f>
        <v>2</v>
      </c>
      <c r="AY211" s="50">
        <f t="shared" si="84"/>
        <v>3</v>
      </c>
      <c r="AZ211" s="49">
        <f t="shared" si="91"/>
        <v>8</v>
      </c>
      <c r="BA211" s="49">
        <f>VLOOKUP(AN211,Leyenda!$B$70:$D$75,3,FALSE)</f>
        <v>15</v>
      </c>
      <c r="BB211" s="67">
        <f t="shared" si="92"/>
        <v>12</v>
      </c>
      <c r="BC211" s="67">
        <f>VLOOKUP(AF211,Leyenda!$B$4:$E$10,4,FALSE)</f>
        <v>2</v>
      </c>
      <c r="BD211" s="67">
        <f t="shared" si="93"/>
        <v>5</v>
      </c>
      <c r="BE211" s="67">
        <f t="shared" si="94"/>
        <v>0</v>
      </c>
      <c r="BF211" s="67">
        <f>+VLOOKUP('3. Blasting'!AK211,Leyenda!$B$47:$E$51,4,FALSE)</f>
        <v>1</v>
      </c>
      <c r="BG211" s="67">
        <f>+VLOOKUP('3. Blasting'!AL211,Leyenda!$B$55:$E$59,4,FALSE)</f>
        <v>3</v>
      </c>
      <c r="BH211" s="67">
        <f>+VLOOKUP('3. Blasting'!AM211,Leyenda!$B$63:$E$67,3,FALSE)</f>
        <v>2</v>
      </c>
      <c r="BI211" s="67">
        <f>+VLOOKUP('3. Blasting'!AJ211,Leyenda!$B$39:$E$43,4,FALSE)</f>
        <v>1</v>
      </c>
      <c r="BJ211" s="67">
        <f>+VLOOKUP('3. Blasting'!AI211,Leyenda!$B$30:$E$34,4,FALSE)</f>
        <v>1</v>
      </c>
      <c r="BK211" s="67">
        <f>VLOOKUP(AN211,Leyenda!$B$71:$E$75,4,FALSE)</f>
        <v>10</v>
      </c>
      <c r="BL211" s="67">
        <f t="shared" si="95"/>
        <v>25</v>
      </c>
      <c r="BM211" s="18">
        <f t="shared" si="96"/>
        <v>28</v>
      </c>
      <c r="BN211" s="18"/>
      <c r="BO211" s="18"/>
      <c r="BP211">
        <f t="shared" si="97"/>
        <v>10</v>
      </c>
      <c r="BQ211">
        <f t="shared" si="98"/>
        <v>10</v>
      </c>
      <c r="BR211">
        <v>20</v>
      </c>
      <c r="BS211">
        <f t="shared" si="99"/>
        <v>-50</v>
      </c>
      <c r="BT211">
        <f t="shared" si="100"/>
        <v>0</v>
      </c>
      <c r="BU211">
        <f t="shared" si="101"/>
        <v>-5</v>
      </c>
      <c r="BV211" s="1">
        <f t="shared" si="85"/>
        <v>-0.02</v>
      </c>
      <c r="BW211" s="1">
        <f t="shared" si="86"/>
        <v>0</v>
      </c>
    </row>
    <row r="212" spans="1:75" hidden="1" x14ac:dyDescent="0.25">
      <c r="A212" s="18" t="s">
        <v>6</v>
      </c>
      <c r="B212" s="18">
        <v>2024</v>
      </c>
      <c r="C212" s="18" t="s">
        <v>138</v>
      </c>
      <c r="D212" s="18" t="s">
        <v>245</v>
      </c>
      <c r="E212" s="18">
        <v>20</v>
      </c>
      <c r="F212" s="18" t="s">
        <v>156</v>
      </c>
      <c r="G212" s="18" t="s">
        <v>296</v>
      </c>
      <c r="H212" s="4">
        <f t="shared" si="80"/>
        <v>49</v>
      </c>
      <c r="I212" s="4">
        <v>49.5</v>
      </c>
      <c r="J212" s="4">
        <f t="shared" si="87"/>
        <v>0.5</v>
      </c>
      <c r="K212" s="5">
        <v>0.2</v>
      </c>
      <c r="L212" s="31">
        <f t="shared" si="88"/>
        <v>0.1</v>
      </c>
      <c r="M212" s="31"/>
      <c r="N212" s="31"/>
      <c r="O212" s="31">
        <f t="shared" si="83"/>
        <v>0.1</v>
      </c>
      <c r="P212" s="31">
        <v>5</v>
      </c>
      <c r="Q212" s="31">
        <v>20</v>
      </c>
      <c r="R212" s="31">
        <v>0.1</v>
      </c>
      <c r="S212" s="31">
        <v>0</v>
      </c>
      <c r="T212" s="65">
        <f t="shared" si="102"/>
        <v>0</v>
      </c>
      <c r="U212" s="31">
        <v>5</v>
      </c>
      <c r="V212" s="31"/>
      <c r="W212" s="31">
        <f t="shared" si="81"/>
        <v>5</v>
      </c>
      <c r="X212" s="31">
        <f t="shared" si="82"/>
        <v>20</v>
      </c>
      <c r="Y212" s="31">
        <f t="shared" si="89"/>
        <v>0.02</v>
      </c>
      <c r="Z212" s="18">
        <v>0</v>
      </c>
      <c r="AA212" s="18" t="s">
        <v>330</v>
      </c>
      <c r="AB212" s="18" t="s">
        <v>333</v>
      </c>
      <c r="AC212" s="18" t="s">
        <v>337</v>
      </c>
      <c r="AD212" s="18">
        <v>20</v>
      </c>
      <c r="AE212" s="18">
        <v>5</v>
      </c>
      <c r="AF212" s="18" t="s">
        <v>29</v>
      </c>
      <c r="AG212" s="18" t="s">
        <v>242</v>
      </c>
      <c r="AH212" s="18" t="s">
        <v>242</v>
      </c>
      <c r="AI212" s="18" t="s">
        <v>69</v>
      </c>
      <c r="AJ212" s="18" t="s">
        <v>81</v>
      </c>
      <c r="AK212" s="18" t="s">
        <v>100</v>
      </c>
      <c r="AL212" s="18" t="s">
        <v>109</v>
      </c>
      <c r="AM212" s="18" t="s">
        <v>120</v>
      </c>
      <c r="AN212" s="18" t="s">
        <v>198</v>
      </c>
      <c r="AO212" s="18" t="s">
        <v>243</v>
      </c>
      <c r="AP212" s="18"/>
      <c r="AQ212" s="18">
        <f>+VLOOKUP(AI212,Leyenda!$B$30:$E$34,3,FALSE)</f>
        <v>0</v>
      </c>
      <c r="AR212" s="18">
        <f>+VLOOKUP('3. Blasting'!AJ212,Meteorizacion,3,FALSE)</f>
        <v>0</v>
      </c>
      <c r="AS212" s="18">
        <f>+VLOOKUP('3. Blasting'!AK212,Apertura,3,FALSE)</f>
        <v>0</v>
      </c>
      <c r="AT212" s="18">
        <f>+VLOOKUP('3. Blasting'!AL212,Leyenda!$B$55:$D$59,3,FALSE)</f>
        <v>1</v>
      </c>
      <c r="AU212" s="18">
        <f>+VLOOKUP('3. Blasting'!AM212,Relleno,3,FALSE)</f>
        <v>2</v>
      </c>
      <c r="AV212" s="18">
        <f t="shared" si="103"/>
        <v>3</v>
      </c>
      <c r="AW212" s="49">
        <f t="shared" si="90"/>
        <v>0</v>
      </c>
      <c r="AX212" s="49">
        <f>VLOOKUP(AF212,Leyenda!$B$4:$D$10,3,FALSE)</f>
        <v>2</v>
      </c>
      <c r="AY212" s="50">
        <f t="shared" si="84"/>
        <v>3</v>
      </c>
      <c r="AZ212" s="49">
        <f t="shared" si="91"/>
        <v>3</v>
      </c>
      <c r="BA212" s="49">
        <f>VLOOKUP(AN212,Leyenda!$B$70:$D$75,3,FALSE)</f>
        <v>15</v>
      </c>
      <c r="BB212" s="67">
        <f t="shared" si="92"/>
        <v>4.5</v>
      </c>
      <c r="BC212" s="67">
        <f>VLOOKUP(AF212,Leyenda!$B$4:$E$10,4,FALSE)</f>
        <v>2</v>
      </c>
      <c r="BD212" s="67">
        <f t="shared" si="93"/>
        <v>5</v>
      </c>
      <c r="BE212" s="67">
        <f t="shared" si="94"/>
        <v>0</v>
      </c>
      <c r="BF212" s="67">
        <f>+VLOOKUP('3. Blasting'!AK212,Leyenda!$B$47:$E$51,4,FALSE)</f>
        <v>0</v>
      </c>
      <c r="BG212" s="67">
        <f>+VLOOKUP('3. Blasting'!AL212,Leyenda!$B$55:$E$59,4,FALSE)</f>
        <v>1</v>
      </c>
      <c r="BH212" s="67">
        <f>+VLOOKUP('3. Blasting'!AM212,Leyenda!$B$63:$E$67,3,FALSE)</f>
        <v>2</v>
      </c>
      <c r="BI212" s="67">
        <f>+VLOOKUP('3. Blasting'!AJ212,Leyenda!$B$39:$E$43,4,FALSE)</f>
        <v>0</v>
      </c>
      <c r="BJ212" s="67">
        <f>+VLOOKUP('3. Blasting'!AI212,Leyenda!$B$30:$E$34,4,FALSE)</f>
        <v>0</v>
      </c>
      <c r="BK212" s="67">
        <f>VLOOKUP(AN212,Leyenda!$B$71:$E$75,4,FALSE)</f>
        <v>10</v>
      </c>
      <c r="BL212" s="67">
        <f t="shared" si="95"/>
        <v>20</v>
      </c>
      <c r="BM212" s="18">
        <f t="shared" si="96"/>
        <v>23</v>
      </c>
      <c r="BN212" s="18"/>
      <c r="BO212" s="18"/>
      <c r="BP212">
        <f t="shared" si="97"/>
        <v>10</v>
      </c>
      <c r="BQ212">
        <f t="shared" si="98"/>
        <v>10</v>
      </c>
      <c r="BR212">
        <v>20</v>
      </c>
      <c r="BS212">
        <f t="shared" si="99"/>
        <v>-50</v>
      </c>
      <c r="BT212">
        <f t="shared" si="100"/>
        <v>0</v>
      </c>
      <c r="BU212">
        <f t="shared" si="101"/>
        <v>-5</v>
      </c>
      <c r="BV212" s="1">
        <f t="shared" si="85"/>
        <v>-0.02</v>
      </c>
      <c r="BW212" s="1">
        <f t="shared" si="86"/>
        <v>0</v>
      </c>
    </row>
    <row r="213" spans="1:75" hidden="1" x14ac:dyDescent="0.25">
      <c r="A213" s="18" t="s">
        <v>6</v>
      </c>
      <c r="B213" s="18">
        <v>2024</v>
      </c>
      <c r="C213" s="18" t="s">
        <v>138</v>
      </c>
      <c r="D213" s="18" t="s">
        <v>245</v>
      </c>
      <c r="E213" s="18">
        <v>20</v>
      </c>
      <c r="F213" s="18" t="s">
        <v>156</v>
      </c>
      <c r="G213" s="18" t="s">
        <v>296</v>
      </c>
      <c r="H213" s="4">
        <f t="shared" si="80"/>
        <v>49.5</v>
      </c>
      <c r="I213" s="4">
        <v>50</v>
      </c>
      <c r="J213" s="4">
        <f t="shared" si="87"/>
        <v>0.5</v>
      </c>
      <c r="K213" s="5">
        <v>0.34</v>
      </c>
      <c r="L213" s="31">
        <f t="shared" si="88"/>
        <v>0.17</v>
      </c>
      <c r="M213" s="31"/>
      <c r="N213" s="31"/>
      <c r="O213" s="31">
        <f t="shared" si="83"/>
        <v>0.17</v>
      </c>
      <c r="P213" s="31">
        <v>8.5</v>
      </c>
      <c r="Q213" s="31">
        <v>20</v>
      </c>
      <c r="R213" s="31">
        <v>0.16</v>
      </c>
      <c r="S213" s="31">
        <v>0</v>
      </c>
      <c r="T213" s="65">
        <f t="shared" si="102"/>
        <v>0</v>
      </c>
      <c r="U213" s="31">
        <v>5</v>
      </c>
      <c r="V213" s="31"/>
      <c r="W213" s="31">
        <f t="shared" si="81"/>
        <v>5</v>
      </c>
      <c r="X213" s="31">
        <f t="shared" si="82"/>
        <v>32</v>
      </c>
      <c r="Y213" s="31">
        <f t="shared" si="89"/>
        <v>3.2000000000000001E-2</v>
      </c>
      <c r="Z213" s="18">
        <v>0</v>
      </c>
      <c r="AA213" s="18" t="s">
        <v>330</v>
      </c>
      <c r="AB213" s="18" t="s">
        <v>333</v>
      </c>
      <c r="AC213" s="18" t="s">
        <v>337</v>
      </c>
      <c r="AD213" s="18">
        <v>20</v>
      </c>
      <c r="AE213" s="18">
        <v>8.5</v>
      </c>
      <c r="AF213" s="18" t="s">
        <v>29</v>
      </c>
      <c r="AG213" s="18" t="s">
        <v>242</v>
      </c>
      <c r="AH213" s="18" t="s">
        <v>242</v>
      </c>
      <c r="AI213" s="18" t="s">
        <v>69</v>
      </c>
      <c r="AJ213" s="18" t="s">
        <v>81</v>
      </c>
      <c r="AK213" s="18" t="s">
        <v>100</v>
      </c>
      <c r="AL213" s="18" t="s">
        <v>109</v>
      </c>
      <c r="AM213" s="18" t="s">
        <v>120</v>
      </c>
      <c r="AN213" s="18" t="s">
        <v>198</v>
      </c>
      <c r="AO213" s="18" t="s">
        <v>243</v>
      </c>
      <c r="AP213" s="18"/>
      <c r="AQ213" s="18">
        <f>+VLOOKUP(AI213,Leyenda!$B$30:$E$34,3,FALSE)</f>
        <v>0</v>
      </c>
      <c r="AR213" s="18">
        <f>+VLOOKUP('3. Blasting'!AJ213,Meteorizacion,3,FALSE)</f>
        <v>0</v>
      </c>
      <c r="AS213" s="18">
        <f>+VLOOKUP('3. Blasting'!AK213,Apertura,3,FALSE)</f>
        <v>0</v>
      </c>
      <c r="AT213" s="18">
        <f>+VLOOKUP('3. Blasting'!AL213,Leyenda!$B$55:$D$59,3,FALSE)</f>
        <v>1</v>
      </c>
      <c r="AU213" s="18">
        <f>+VLOOKUP('3. Blasting'!AM213,Relleno,3,FALSE)</f>
        <v>2</v>
      </c>
      <c r="AV213" s="18">
        <f t="shared" si="103"/>
        <v>3</v>
      </c>
      <c r="AW213" s="49">
        <f t="shared" si="90"/>
        <v>0</v>
      </c>
      <c r="AX213" s="49">
        <f>VLOOKUP(AF213,Leyenda!$B$4:$D$10,3,FALSE)</f>
        <v>2</v>
      </c>
      <c r="AY213" s="50">
        <f t="shared" si="84"/>
        <v>3</v>
      </c>
      <c r="AZ213" s="49">
        <f t="shared" si="91"/>
        <v>3</v>
      </c>
      <c r="BA213" s="49">
        <f>VLOOKUP(AN213,Leyenda!$B$70:$D$75,3,FALSE)</f>
        <v>15</v>
      </c>
      <c r="BB213" s="67">
        <f t="shared" si="92"/>
        <v>4.5</v>
      </c>
      <c r="BC213" s="67">
        <f>VLOOKUP(AF213,Leyenda!$B$4:$E$10,4,FALSE)</f>
        <v>2</v>
      </c>
      <c r="BD213" s="67">
        <f t="shared" si="93"/>
        <v>5</v>
      </c>
      <c r="BE213" s="67">
        <f t="shared" si="94"/>
        <v>0</v>
      </c>
      <c r="BF213" s="67">
        <f>+VLOOKUP('3. Blasting'!AK213,Leyenda!$B$47:$E$51,4,FALSE)</f>
        <v>0</v>
      </c>
      <c r="BG213" s="67">
        <f>+VLOOKUP('3. Blasting'!AL213,Leyenda!$B$55:$E$59,4,FALSE)</f>
        <v>1</v>
      </c>
      <c r="BH213" s="67">
        <f>+VLOOKUP('3. Blasting'!AM213,Leyenda!$B$63:$E$67,3,FALSE)</f>
        <v>2</v>
      </c>
      <c r="BI213" s="67">
        <f>+VLOOKUP('3. Blasting'!AJ213,Leyenda!$B$39:$E$43,4,FALSE)</f>
        <v>0</v>
      </c>
      <c r="BJ213" s="67">
        <f>+VLOOKUP('3. Blasting'!AI213,Leyenda!$B$30:$E$34,4,FALSE)</f>
        <v>0</v>
      </c>
      <c r="BK213" s="67">
        <f>VLOOKUP(AN213,Leyenda!$B$71:$E$75,4,FALSE)</f>
        <v>10</v>
      </c>
      <c r="BL213" s="67">
        <f t="shared" si="95"/>
        <v>20</v>
      </c>
      <c r="BM213" s="18">
        <f t="shared" si="96"/>
        <v>23</v>
      </c>
      <c r="BN213" s="18"/>
      <c r="BO213" s="18"/>
      <c r="BP213">
        <f t="shared" si="97"/>
        <v>10</v>
      </c>
      <c r="BQ213">
        <f t="shared" si="98"/>
        <v>10</v>
      </c>
      <c r="BR213">
        <v>20</v>
      </c>
      <c r="BS213">
        <f t="shared" si="99"/>
        <v>-50</v>
      </c>
      <c r="BT213">
        <f t="shared" si="100"/>
        <v>0</v>
      </c>
      <c r="BU213">
        <f t="shared" si="101"/>
        <v>-5</v>
      </c>
      <c r="BV213" s="1">
        <f t="shared" si="85"/>
        <v>-0.02</v>
      </c>
      <c r="BW213" s="1">
        <f t="shared" si="86"/>
        <v>0</v>
      </c>
    </row>
    <row r="214" spans="1:75" hidden="1" x14ac:dyDescent="0.25">
      <c r="A214" s="18" t="s">
        <v>6</v>
      </c>
      <c r="B214" s="18">
        <v>2024</v>
      </c>
      <c r="C214" s="18" t="s">
        <v>138</v>
      </c>
      <c r="D214" s="18" t="s">
        <v>245</v>
      </c>
      <c r="E214" s="18">
        <v>20</v>
      </c>
      <c r="F214" s="18" t="s">
        <v>156</v>
      </c>
      <c r="G214" s="18" t="s">
        <v>296</v>
      </c>
      <c r="H214" s="4">
        <f t="shared" si="80"/>
        <v>50</v>
      </c>
      <c r="I214" s="4">
        <v>50.5</v>
      </c>
      <c r="J214" s="4">
        <f t="shared" si="87"/>
        <v>0.5</v>
      </c>
      <c r="K214" s="5">
        <v>0.26</v>
      </c>
      <c r="L214" s="31">
        <f t="shared" si="88"/>
        <v>0.13</v>
      </c>
      <c r="M214" s="31"/>
      <c r="N214" s="31"/>
      <c r="O214" s="31">
        <f t="shared" si="83"/>
        <v>0.13</v>
      </c>
      <c r="P214" s="31">
        <v>6.5</v>
      </c>
      <c r="Q214" s="31">
        <v>20</v>
      </c>
      <c r="R214" s="31">
        <v>0.12</v>
      </c>
      <c r="S214" s="31">
        <v>0</v>
      </c>
      <c r="T214" s="65">
        <f t="shared" si="102"/>
        <v>0</v>
      </c>
      <c r="U214" s="31">
        <v>5</v>
      </c>
      <c r="V214" s="31"/>
      <c r="W214" s="31">
        <f t="shared" si="81"/>
        <v>5</v>
      </c>
      <c r="X214" s="31">
        <f t="shared" si="82"/>
        <v>24</v>
      </c>
      <c r="Y214" s="31">
        <f t="shared" si="89"/>
        <v>2.4E-2</v>
      </c>
      <c r="Z214" s="18">
        <v>0</v>
      </c>
      <c r="AA214" s="18" t="s">
        <v>330</v>
      </c>
      <c r="AB214" s="18" t="s">
        <v>333</v>
      </c>
      <c r="AC214" s="18" t="s">
        <v>337</v>
      </c>
      <c r="AD214" s="18">
        <v>20</v>
      </c>
      <c r="AE214" s="18">
        <v>6.5</v>
      </c>
      <c r="AF214" s="18" t="s">
        <v>29</v>
      </c>
      <c r="AG214" s="18" t="s">
        <v>242</v>
      </c>
      <c r="AH214" s="18" t="s">
        <v>242</v>
      </c>
      <c r="AI214" s="18" t="s">
        <v>69</v>
      </c>
      <c r="AJ214" s="18" t="s">
        <v>81</v>
      </c>
      <c r="AK214" s="18" t="s">
        <v>100</v>
      </c>
      <c r="AL214" s="18" t="s">
        <v>109</v>
      </c>
      <c r="AM214" s="18" t="s">
        <v>120</v>
      </c>
      <c r="AN214" s="18" t="s">
        <v>198</v>
      </c>
      <c r="AO214" s="18" t="s">
        <v>243</v>
      </c>
      <c r="AP214" s="18"/>
      <c r="AQ214" s="18">
        <f>+VLOOKUP(AI214,Leyenda!$B$30:$E$34,3,FALSE)</f>
        <v>0</v>
      </c>
      <c r="AR214" s="18">
        <f>+VLOOKUP('3. Blasting'!AJ214,Meteorizacion,3,FALSE)</f>
        <v>0</v>
      </c>
      <c r="AS214" s="18">
        <f>+VLOOKUP('3. Blasting'!AK214,Apertura,3,FALSE)</f>
        <v>0</v>
      </c>
      <c r="AT214" s="18">
        <f>+VLOOKUP('3. Blasting'!AL214,Leyenda!$B$55:$D$59,3,FALSE)</f>
        <v>1</v>
      </c>
      <c r="AU214" s="18">
        <f>+VLOOKUP('3. Blasting'!AM214,Relleno,3,FALSE)</f>
        <v>2</v>
      </c>
      <c r="AV214" s="18">
        <f t="shared" si="103"/>
        <v>3</v>
      </c>
      <c r="AW214" s="49">
        <f t="shared" si="90"/>
        <v>0</v>
      </c>
      <c r="AX214" s="49">
        <f>VLOOKUP(AF214,Leyenda!$B$4:$D$10,3,FALSE)</f>
        <v>2</v>
      </c>
      <c r="AY214" s="50">
        <f t="shared" si="84"/>
        <v>3</v>
      </c>
      <c r="AZ214" s="49">
        <f t="shared" si="91"/>
        <v>3</v>
      </c>
      <c r="BA214" s="49">
        <f>VLOOKUP(AN214,Leyenda!$B$70:$D$75,3,FALSE)</f>
        <v>15</v>
      </c>
      <c r="BB214" s="67">
        <f t="shared" si="92"/>
        <v>4.5</v>
      </c>
      <c r="BC214" s="67">
        <f>VLOOKUP(AF214,Leyenda!$B$4:$E$10,4,FALSE)</f>
        <v>2</v>
      </c>
      <c r="BD214" s="67">
        <f t="shared" si="93"/>
        <v>5</v>
      </c>
      <c r="BE214" s="67">
        <f t="shared" si="94"/>
        <v>0</v>
      </c>
      <c r="BF214" s="67">
        <f>+VLOOKUP('3. Blasting'!AK214,Leyenda!$B$47:$E$51,4,FALSE)</f>
        <v>0</v>
      </c>
      <c r="BG214" s="67">
        <f>+VLOOKUP('3. Blasting'!AL214,Leyenda!$B$55:$E$59,4,FALSE)</f>
        <v>1</v>
      </c>
      <c r="BH214" s="67">
        <f>+VLOOKUP('3. Blasting'!AM214,Leyenda!$B$63:$E$67,3,FALSE)</f>
        <v>2</v>
      </c>
      <c r="BI214" s="67">
        <f>+VLOOKUP('3. Blasting'!AJ214,Leyenda!$B$39:$E$43,4,FALSE)</f>
        <v>0</v>
      </c>
      <c r="BJ214" s="67">
        <f>+VLOOKUP('3. Blasting'!AI214,Leyenda!$B$30:$E$34,4,FALSE)</f>
        <v>0</v>
      </c>
      <c r="BK214" s="67">
        <f>VLOOKUP(AN214,Leyenda!$B$71:$E$75,4,FALSE)</f>
        <v>10</v>
      </c>
      <c r="BL214" s="67">
        <f t="shared" si="95"/>
        <v>20</v>
      </c>
      <c r="BM214" s="18">
        <f t="shared" si="96"/>
        <v>23</v>
      </c>
      <c r="BN214" s="18"/>
      <c r="BO214" s="18"/>
      <c r="BP214">
        <f t="shared" si="97"/>
        <v>10</v>
      </c>
      <c r="BQ214">
        <f t="shared" si="98"/>
        <v>10</v>
      </c>
      <c r="BR214">
        <v>20</v>
      </c>
      <c r="BS214">
        <f t="shared" si="99"/>
        <v>-50</v>
      </c>
      <c r="BT214">
        <f t="shared" si="100"/>
        <v>0</v>
      </c>
      <c r="BU214">
        <f t="shared" si="101"/>
        <v>-5</v>
      </c>
      <c r="BV214" s="1">
        <f t="shared" si="85"/>
        <v>-0.02</v>
      </c>
      <c r="BW214" s="1">
        <f t="shared" si="86"/>
        <v>0</v>
      </c>
    </row>
    <row r="215" spans="1:75" hidden="1" x14ac:dyDescent="0.25">
      <c r="A215" s="18" t="s">
        <v>6</v>
      </c>
      <c r="B215" s="18">
        <v>2024</v>
      </c>
      <c r="C215" s="18" t="s">
        <v>138</v>
      </c>
      <c r="D215" s="18" t="s">
        <v>245</v>
      </c>
      <c r="E215" s="18">
        <v>20</v>
      </c>
      <c r="F215" s="18" t="s">
        <v>156</v>
      </c>
      <c r="G215" s="18" t="s">
        <v>296</v>
      </c>
      <c r="H215" s="4">
        <f t="shared" si="80"/>
        <v>50.5</v>
      </c>
      <c r="I215" s="4">
        <v>51</v>
      </c>
      <c r="J215" s="4">
        <f t="shared" si="87"/>
        <v>0.5</v>
      </c>
      <c r="K215" s="5">
        <v>0.66</v>
      </c>
      <c r="L215" s="31">
        <f t="shared" si="88"/>
        <v>0.33</v>
      </c>
      <c r="M215" s="31"/>
      <c r="N215" s="31"/>
      <c r="O215" s="31">
        <f t="shared" si="83"/>
        <v>0.33</v>
      </c>
      <c r="P215" s="31">
        <v>16.5</v>
      </c>
      <c r="Q215" s="31">
        <v>20</v>
      </c>
      <c r="R215" s="31">
        <v>0.31</v>
      </c>
      <c r="S215" s="31">
        <v>0</v>
      </c>
      <c r="T215" s="65">
        <f t="shared" si="102"/>
        <v>0</v>
      </c>
      <c r="U215" s="31">
        <v>6</v>
      </c>
      <c r="V215" s="31"/>
      <c r="W215" s="31">
        <f t="shared" si="81"/>
        <v>6</v>
      </c>
      <c r="X215" s="31">
        <f t="shared" si="82"/>
        <v>51.666666666666664</v>
      </c>
      <c r="Y215" s="31">
        <f t="shared" si="89"/>
        <v>5.1666666666666666E-2</v>
      </c>
      <c r="Z215" s="18">
        <v>0</v>
      </c>
      <c r="AA215" s="18" t="s">
        <v>330</v>
      </c>
      <c r="AB215" s="18" t="s">
        <v>333</v>
      </c>
      <c r="AC215" s="18" t="s">
        <v>337</v>
      </c>
      <c r="AD215" s="18">
        <v>20</v>
      </c>
      <c r="AE215" s="18">
        <v>16.5</v>
      </c>
      <c r="AF215" s="18" t="s">
        <v>29</v>
      </c>
      <c r="AG215" s="18" t="s">
        <v>200</v>
      </c>
      <c r="AH215" s="18" t="s">
        <v>200</v>
      </c>
      <c r="AI215" s="18" t="s">
        <v>66</v>
      </c>
      <c r="AJ215" s="18" t="s">
        <v>79</v>
      </c>
      <c r="AK215" s="18" t="s">
        <v>96</v>
      </c>
      <c r="AL215" s="18" t="s">
        <v>107</v>
      </c>
      <c r="AM215" s="18" t="s">
        <v>120</v>
      </c>
      <c r="AN215" s="18" t="s">
        <v>198</v>
      </c>
      <c r="AO215" s="18"/>
      <c r="AP215" s="18"/>
      <c r="AQ215" s="18">
        <f>+VLOOKUP(AI215,Leyenda!$B$30:$E$34,3,FALSE)</f>
        <v>1</v>
      </c>
      <c r="AR215" s="18">
        <f>+VLOOKUP('3. Blasting'!AJ215,Meteorizacion,3,FALSE)</f>
        <v>1</v>
      </c>
      <c r="AS215" s="18">
        <f>+VLOOKUP('3. Blasting'!AK215,Apertura,3,FALSE)</f>
        <v>1</v>
      </c>
      <c r="AT215" s="18">
        <f>+VLOOKUP('3. Blasting'!AL215,Leyenda!$B$55:$D$59,3,FALSE)</f>
        <v>3</v>
      </c>
      <c r="AU215" s="18">
        <f>+VLOOKUP('3. Blasting'!AM215,Relleno,3,FALSE)</f>
        <v>2</v>
      </c>
      <c r="AV215" s="18">
        <f t="shared" si="103"/>
        <v>8</v>
      </c>
      <c r="AW215" s="49">
        <f t="shared" si="90"/>
        <v>0</v>
      </c>
      <c r="AX215" s="49">
        <f>VLOOKUP(AF215,Leyenda!$B$4:$D$10,3,FALSE)</f>
        <v>2</v>
      </c>
      <c r="AY215" s="50">
        <f t="shared" si="84"/>
        <v>4</v>
      </c>
      <c r="AZ215" s="49">
        <f t="shared" si="91"/>
        <v>8</v>
      </c>
      <c r="BA215" s="49">
        <f>VLOOKUP(AN215,Leyenda!$B$70:$D$75,3,FALSE)</f>
        <v>15</v>
      </c>
      <c r="BB215" s="67">
        <f t="shared" si="92"/>
        <v>12</v>
      </c>
      <c r="BC215" s="67">
        <f>VLOOKUP(AF215,Leyenda!$B$4:$E$10,4,FALSE)</f>
        <v>2</v>
      </c>
      <c r="BD215" s="67">
        <f t="shared" si="93"/>
        <v>4</v>
      </c>
      <c r="BE215" s="67">
        <f t="shared" si="94"/>
        <v>0</v>
      </c>
      <c r="BF215" s="67">
        <f>+VLOOKUP('3. Blasting'!AK215,Leyenda!$B$47:$E$51,4,FALSE)</f>
        <v>1</v>
      </c>
      <c r="BG215" s="67">
        <f>+VLOOKUP('3. Blasting'!AL215,Leyenda!$B$55:$E$59,4,FALSE)</f>
        <v>3</v>
      </c>
      <c r="BH215" s="67">
        <f>+VLOOKUP('3. Blasting'!AM215,Leyenda!$B$63:$E$67,3,FALSE)</f>
        <v>2</v>
      </c>
      <c r="BI215" s="67">
        <f>+VLOOKUP('3. Blasting'!AJ215,Leyenda!$B$39:$E$43,4,FALSE)</f>
        <v>1</v>
      </c>
      <c r="BJ215" s="67">
        <f>+VLOOKUP('3. Blasting'!AI215,Leyenda!$B$30:$E$34,4,FALSE)</f>
        <v>1</v>
      </c>
      <c r="BK215" s="67">
        <f>VLOOKUP(AN215,Leyenda!$B$71:$E$75,4,FALSE)</f>
        <v>10</v>
      </c>
      <c r="BL215" s="67">
        <f t="shared" si="95"/>
        <v>24</v>
      </c>
      <c r="BM215" s="18">
        <f t="shared" si="96"/>
        <v>29</v>
      </c>
      <c r="BN215" s="18"/>
      <c r="BO215" s="18"/>
      <c r="BP215">
        <f t="shared" si="97"/>
        <v>10</v>
      </c>
      <c r="BQ215">
        <f t="shared" si="98"/>
        <v>10</v>
      </c>
      <c r="BR215">
        <v>20</v>
      </c>
      <c r="BS215">
        <f t="shared" si="99"/>
        <v>-50</v>
      </c>
      <c r="BT215">
        <f t="shared" si="100"/>
        <v>0</v>
      </c>
      <c r="BU215">
        <f t="shared" si="101"/>
        <v>-5</v>
      </c>
      <c r="BV215" s="1">
        <f t="shared" si="85"/>
        <v>-0.02</v>
      </c>
      <c r="BW215" s="1">
        <f t="shared" si="86"/>
        <v>0</v>
      </c>
    </row>
    <row r="216" spans="1:75" hidden="1" x14ac:dyDescent="0.25">
      <c r="A216" s="18" t="s">
        <v>6</v>
      </c>
      <c r="B216" s="18">
        <v>2024</v>
      </c>
      <c r="C216" s="18" t="s">
        <v>138</v>
      </c>
      <c r="D216" s="18" t="s">
        <v>245</v>
      </c>
      <c r="E216" s="18">
        <v>20</v>
      </c>
      <c r="F216" s="18" t="s">
        <v>156</v>
      </c>
      <c r="G216" s="18" t="s">
        <v>296</v>
      </c>
      <c r="H216" s="4">
        <f t="shared" si="80"/>
        <v>51</v>
      </c>
      <c r="I216" s="4">
        <v>51.5</v>
      </c>
      <c r="J216" s="4">
        <f t="shared" si="87"/>
        <v>0.5</v>
      </c>
      <c r="K216" s="5">
        <v>0.74</v>
      </c>
      <c r="L216" s="31">
        <f t="shared" si="88"/>
        <v>0.37</v>
      </c>
      <c r="M216" s="31"/>
      <c r="N216" s="31"/>
      <c r="O216" s="31">
        <f t="shared" si="83"/>
        <v>0.37</v>
      </c>
      <c r="P216" s="31">
        <v>18.5</v>
      </c>
      <c r="Q216" s="31">
        <v>20</v>
      </c>
      <c r="R216" s="31">
        <v>0.33</v>
      </c>
      <c r="S216" s="31">
        <v>0</v>
      </c>
      <c r="T216" s="65">
        <f t="shared" si="102"/>
        <v>0</v>
      </c>
      <c r="U216" s="31">
        <v>10</v>
      </c>
      <c r="V216" s="31"/>
      <c r="W216" s="31">
        <f t="shared" si="81"/>
        <v>10</v>
      </c>
      <c r="X216" s="31">
        <f t="shared" si="82"/>
        <v>33</v>
      </c>
      <c r="Y216" s="31">
        <f t="shared" si="89"/>
        <v>3.3000000000000002E-2</v>
      </c>
      <c r="Z216" s="18">
        <v>0</v>
      </c>
      <c r="AA216" s="18" t="s">
        <v>330</v>
      </c>
      <c r="AB216" s="18" t="s">
        <v>333</v>
      </c>
      <c r="AC216" s="18" t="s">
        <v>337</v>
      </c>
      <c r="AD216" s="18">
        <v>20</v>
      </c>
      <c r="AE216" s="18">
        <v>18.5</v>
      </c>
      <c r="AF216" s="18" t="s">
        <v>29</v>
      </c>
      <c r="AG216" s="18" t="s">
        <v>199</v>
      </c>
      <c r="AH216" s="18" t="s">
        <v>199</v>
      </c>
      <c r="AI216" s="18" t="s">
        <v>66</v>
      </c>
      <c r="AJ216" s="18" t="s">
        <v>81</v>
      </c>
      <c r="AK216" s="18" t="s">
        <v>96</v>
      </c>
      <c r="AL216" s="18" t="s">
        <v>107</v>
      </c>
      <c r="AM216" s="18" t="s">
        <v>122</v>
      </c>
      <c r="AN216" s="18" t="s">
        <v>198</v>
      </c>
      <c r="AO216" s="18" t="s">
        <v>243</v>
      </c>
      <c r="AP216" s="18"/>
      <c r="AQ216" s="18">
        <f>+VLOOKUP(AI216,Leyenda!$B$30:$E$34,3,FALSE)</f>
        <v>1</v>
      </c>
      <c r="AR216" s="18">
        <f>+VLOOKUP('3. Blasting'!AJ216,Meteorizacion,3,FALSE)</f>
        <v>0</v>
      </c>
      <c r="AS216" s="18">
        <f>+VLOOKUP('3. Blasting'!AK216,Apertura,3,FALSE)</f>
        <v>1</v>
      </c>
      <c r="AT216" s="18">
        <f>+VLOOKUP('3. Blasting'!AL216,Leyenda!$B$55:$D$59,3,FALSE)</f>
        <v>3</v>
      </c>
      <c r="AU216" s="18">
        <f>+VLOOKUP('3. Blasting'!AM216,Relleno,3,FALSE)</f>
        <v>0</v>
      </c>
      <c r="AV216" s="18">
        <f t="shared" si="103"/>
        <v>5</v>
      </c>
      <c r="AW216" s="49">
        <f t="shared" si="90"/>
        <v>0</v>
      </c>
      <c r="AX216" s="49">
        <f>VLOOKUP(AF216,Leyenda!$B$4:$D$10,3,FALSE)</f>
        <v>2</v>
      </c>
      <c r="AY216" s="50">
        <f t="shared" si="84"/>
        <v>4</v>
      </c>
      <c r="AZ216" s="49">
        <f t="shared" si="91"/>
        <v>5</v>
      </c>
      <c r="BA216" s="49">
        <f>VLOOKUP(AN216,Leyenda!$B$70:$D$75,3,FALSE)</f>
        <v>15</v>
      </c>
      <c r="BB216" s="67">
        <f t="shared" si="92"/>
        <v>7.5</v>
      </c>
      <c r="BC216" s="67">
        <f>VLOOKUP(AF216,Leyenda!$B$4:$E$10,4,FALSE)</f>
        <v>2</v>
      </c>
      <c r="BD216" s="67">
        <f t="shared" si="93"/>
        <v>5</v>
      </c>
      <c r="BE216" s="67">
        <f t="shared" si="94"/>
        <v>0</v>
      </c>
      <c r="BF216" s="67">
        <f>+VLOOKUP('3. Blasting'!AK216,Leyenda!$B$47:$E$51,4,FALSE)</f>
        <v>1</v>
      </c>
      <c r="BG216" s="67">
        <f>+VLOOKUP('3. Blasting'!AL216,Leyenda!$B$55:$E$59,4,FALSE)</f>
        <v>3</v>
      </c>
      <c r="BH216" s="67">
        <f>+VLOOKUP('3. Blasting'!AM216,Leyenda!$B$63:$E$67,3,FALSE)</f>
        <v>0</v>
      </c>
      <c r="BI216" s="67">
        <f>+VLOOKUP('3. Blasting'!AJ216,Leyenda!$B$39:$E$43,4,FALSE)</f>
        <v>0</v>
      </c>
      <c r="BJ216" s="67">
        <f>+VLOOKUP('3. Blasting'!AI216,Leyenda!$B$30:$E$34,4,FALSE)</f>
        <v>1</v>
      </c>
      <c r="BK216" s="67">
        <f>VLOOKUP(AN216,Leyenda!$B$71:$E$75,4,FALSE)</f>
        <v>10</v>
      </c>
      <c r="BL216" s="67">
        <f t="shared" si="95"/>
        <v>22</v>
      </c>
      <c r="BM216" s="18">
        <f t="shared" si="96"/>
        <v>26</v>
      </c>
      <c r="BN216" s="18"/>
      <c r="BO216" s="18"/>
      <c r="BP216">
        <f t="shared" si="97"/>
        <v>10</v>
      </c>
      <c r="BQ216">
        <f t="shared" si="98"/>
        <v>10</v>
      </c>
      <c r="BR216">
        <v>20</v>
      </c>
      <c r="BS216">
        <f t="shared" si="99"/>
        <v>-50</v>
      </c>
      <c r="BT216">
        <f t="shared" si="100"/>
        <v>0</v>
      </c>
      <c r="BU216">
        <f t="shared" si="101"/>
        <v>-5</v>
      </c>
      <c r="BV216" s="1">
        <f t="shared" si="85"/>
        <v>-0.02</v>
      </c>
      <c r="BW216" s="1">
        <f t="shared" si="86"/>
        <v>0</v>
      </c>
    </row>
    <row r="217" spans="1:75" hidden="1" x14ac:dyDescent="0.25">
      <c r="A217" s="18" t="s">
        <v>6</v>
      </c>
      <c r="B217" s="18">
        <v>2024</v>
      </c>
      <c r="C217" s="18" t="s">
        <v>138</v>
      </c>
      <c r="D217" s="18" t="s">
        <v>245</v>
      </c>
      <c r="E217" s="18">
        <v>20</v>
      </c>
      <c r="F217" s="18" t="s">
        <v>156</v>
      </c>
      <c r="G217" s="18" t="s">
        <v>296</v>
      </c>
      <c r="H217" s="4">
        <f t="shared" si="80"/>
        <v>51.5</v>
      </c>
      <c r="I217" s="4">
        <v>52</v>
      </c>
      <c r="J217" s="4">
        <f t="shared" si="87"/>
        <v>0.5</v>
      </c>
      <c r="K217" s="5">
        <v>1</v>
      </c>
      <c r="L217" s="31">
        <f t="shared" si="88"/>
        <v>0.5</v>
      </c>
      <c r="M217" s="31"/>
      <c r="N217" s="31"/>
      <c r="O217" s="31">
        <f t="shared" si="83"/>
        <v>0.5</v>
      </c>
      <c r="P217" s="31">
        <v>25</v>
      </c>
      <c r="Q217" s="31">
        <v>20</v>
      </c>
      <c r="R217" s="31">
        <v>0.47</v>
      </c>
      <c r="S217" s="31">
        <v>0.25</v>
      </c>
      <c r="T217" s="65">
        <f t="shared" si="102"/>
        <v>50</v>
      </c>
      <c r="U217" s="31">
        <v>5</v>
      </c>
      <c r="V217" s="31"/>
      <c r="W217" s="31">
        <f t="shared" si="81"/>
        <v>5</v>
      </c>
      <c r="X217" s="31">
        <f t="shared" si="82"/>
        <v>94</v>
      </c>
      <c r="Y217" s="31">
        <f t="shared" si="89"/>
        <v>9.4E-2</v>
      </c>
      <c r="Z217" s="18">
        <v>0</v>
      </c>
      <c r="AA217" s="18" t="s">
        <v>330</v>
      </c>
      <c r="AB217" s="18" t="s">
        <v>333</v>
      </c>
      <c r="AC217" s="18" t="s">
        <v>337</v>
      </c>
      <c r="AD217" s="18">
        <v>20</v>
      </c>
      <c r="AE217" s="18">
        <v>25</v>
      </c>
      <c r="AF217" s="18" t="s">
        <v>29</v>
      </c>
      <c r="AG217" s="18" t="s">
        <v>199</v>
      </c>
      <c r="AH217" s="18" t="s">
        <v>199</v>
      </c>
      <c r="AI217" s="18" t="s">
        <v>66</v>
      </c>
      <c r="AJ217" s="18" t="s">
        <v>81</v>
      </c>
      <c r="AK217" s="18" t="s">
        <v>96</v>
      </c>
      <c r="AL217" s="18" t="s">
        <v>107</v>
      </c>
      <c r="AM217" s="18" t="s">
        <v>122</v>
      </c>
      <c r="AN217" s="18" t="s">
        <v>198</v>
      </c>
      <c r="AO217" s="18" t="s">
        <v>243</v>
      </c>
      <c r="AP217" s="18"/>
      <c r="AQ217" s="18">
        <f>+VLOOKUP(AI217,Leyenda!$B$30:$E$34,3,FALSE)</f>
        <v>1</v>
      </c>
      <c r="AR217" s="18">
        <f>+VLOOKUP('3. Blasting'!AJ217,Meteorizacion,3,FALSE)</f>
        <v>0</v>
      </c>
      <c r="AS217" s="18">
        <f>+VLOOKUP('3. Blasting'!AK217,Apertura,3,FALSE)</f>
        <v>1</v>
      </c>
      <c r="AT217" s="18">
        <f>+VLOOKUP('3. Blasting'!AL217,Leyenda!$B$55:$D$59,3,FALSE)</f>
        <v>3</v>
      </c>
      <c r="AU217" s="18">
        <f>+VLOOKUP('3. Blasting'!AM217,Relleno,3,FALSE)</f>
        <v>0</v>
      </c>
      <c r="AV217" s="18">
        <f t="shared" si="103"/>
        <v>5</v>
      </c>
      <c r="AW217" s="49">
        <f t="shared" si="90"/>
        <v>0</v>
      </c>
      <c r="AX217" s="49">
        <f>VLOOKUP(AF217,Leyenda!$B$4:$D$10,3,FALSE)</f>
        <v>2</v>
      </c>
      <c r="AY217" s="50">
        <f t="shared" si="84"/>
        <v>5</v>
      </c>
      <c r="AZ217" s="49">
        <f t="shared" si="91"/>
        <v>5</v>
      </c>
      <c r="BA217" s="49">
        <f>VLOOKUP(AN217,Leyenda!$B$70:$D$75,3,FALSE)</f>
        <v>15</v>
      </c>
      <c r="BB217" s="67">
        <f t="shared" si="92"/>
        <v>32.5</v>
      </c>
      <c r="BC217" s="67">
        <f>VLOOKUP(AF217,Leyenda!$B$4:$E$10,4,FALSE)</f>
        <v>2</v>
      </c>
      <c r="BD217" s="67">
        <f t="shared" si="93"/>
        <v>8</v>
      </c>
      <c r="BE217" s="67">
        <f t="shared" si="94"/>
        <v>10</v>
      </c>
      <c r="BF217" s="67">
        <f>+VLOOKUP('3. Blasting'!AK217,Leyenda!$B$47:$E$51,4,FALSE)</f>
        <v>1</v>
      </c>
      <c r="BG217" s="67">
        <f>+VLOOKUP('3. Blasting'!AL217,Leyenda!$B$55:$E$59,4,FALSE)</f>
        <v>3</v>
      </c>
      <c r="BH217" s="67">
        <f>+VLOOKUP('3. Blasting'!AM217,Leyenda!$B$63:$E$67,3,FALSE)</f>
        <v>0</v>
      </c>
      <c r="BI217" s="67">
        <f>+VLOOKUP('3. Blasting'!AJ217,Leyenda!$B$39:$E$43,4,FALSE)</f>
        <v>0</v>
      </c>
      <c r="BJ217" s="67">
        <f>+VLOOKUP('3. Blasting'!AI217,Leyenda!$B$30:$E$34,4,FALSE)</f>
        <v>1</v>
      </c>
      <c r="BK217" s="67">
        <f>VLOOKUP(AN217,Leyenda!$B$71:$E$75,4,FALSE)</f>
        <v>10</v>
      </c>
      <c r="BL217" s="67">
        <f t="shared" si="95"/>
        <v>35</v>
      </c>
      <c r="BM217" s="18">
        <f t="shared" si="96"/>
        <v>27</v>
      </c>
      <c r="BN217" s="18"/>
      <c r="BO217" s="18"/>
      <c r="BP217">
        <f t="shared" si="97"/>
        <v>20</v>
      </c>
      <c r="BQ217">
        <f t="shared" si="98"/>
        <v>10</v>
      </c>
      <c r="BR217">
        <v>20</v>
      </c>
      <c r="BS217">
        <f t="shared" si="99"/>
        <v>-50</v>
      </c>
      <c r="BT217">
        <f t="shared" si="100"/>
        <v>0</v>
      </c>
      <c r="BU217">
        <f t="shared" si="101"/>
        <v>0</v>
      </c>
      <c r="BV217" s="1">
        <f t="shared" si="85"/>
        <v>0</v>
      </c>
      <c r="BW217" s="1">
        <f t="shared" si="86"/>
        <v>0</v>
      </c>
    </row>
    <row r="218" spans="1:75" hidden="1" x14ac:dyDescent="0.25">
      <c r="A218" s="18" t="s">
        <v>6</v>
      </c>
      <c r="B218" s="18">
        <v>2024</v>
      </c>
      <c r="C218" s="18" t="s">
        <v>138</v>
      </c>
      <c r="D218" s="18" t="s">
        <v>245</v>
      </c>
      <c r="E218" s="18">
        <v>20</v>
      </c>
      <c r="F218" s="18" t="s">
        <v>156</v>
      </c>
      <c r="G218" s="18" t="s">
        <v>296</v>
      </c>
      <c r="H218" s="4">
        <f t="shared" si="80"/>
        <v>52</v>
      </c>
      <c r="I218" s="4">
        <v>52.5</v>
      </c>
      <c r="J218" s="4">
        <f t="shared" si="87"/>
        <v>0.5</v>
      </c>
      <c r="K218" s="5">
        <v>1</v>
      </c>
      <c r="L218" s="31">
        <f t="shared" si="88"/>
        <v>0.5</v>
      </c>
      <c r="M218" s="31"/>
      <c r="N218" s="31"/>
      <c r="O218" s="31">
        <f t="shared" si="83"/>
        <v>0.5</v>
      </c>
      <c r="P218" s="31">
        <v>25</v>
      </c>
      <c r="Q218" s="31">
        <v>20</v>
      </c>
      <c r="R218" s="31">
        <v>0.37</v>
      </c>
      <c r="S218" s="31">
        <v>0</v>
      </c>
      <c r="T218" s="65">
        <f t="shared" si="102"/>
        <v>0</v>
      </c>
      <c r="U218" s="31">
        <v>8</v>
      </c>
      <c r="V218" s="31"/>
      <c r="W218" s="31">
        <f t="shared" si="81"/>
        <v>8</v>
      </c>
      <c r="X218" s="31">
        <f t="shared" si="82"/>
        <v>46.25</v>
      </c>
      <c r="Y218" s="31">
        <f t="shared" si="89"/>
        <v>4.6249999999999999E-2</v>
      </c>
      <c r="Z218" s="18">
        <v>64</v>
      </c>
      <c r="AA218" s="18" t="s">
        <v>330</v>
      </c>
      <c r="AB218" s="18" t="s">
        <v>333</v>
      </c>
      <c r="AC218" s="18" t="s">
        <v>337</v>
      </c>
      <c r="AD218" s="18">
        <v>20</v>
      </c>
      <c r="AE218" s="18">
        <v>25</v>
      </c>
      <c r="AF218" s="18" t="s">
        <v>29</v>
      </c>
      <c r="AG218" s="18" t="s">
        <v>199</v>
      </c>
      <c r="AH218" s="18" t="s">
        <v>199</v>
      </c>
      <c r="AI218" s="18" t="s">
        <v>66</v>
      </c>
      <c r="AJ218" s="18" t="s">
        <v>79</v>
      </c>
      <c r="AK218" s="18" t="s">
        <v>96</v>
      </c>
      <c r="AL218" s="18" t="s">
        <v>107</v>
      </c>
      <c r="AM218" s="18" t="s">
        <v>120</v>
      </c>
      <c r="AN218" s="18" t="s">
        <v>198</v>
      </c>
      <c r="AO218" s="18"/>
      <c r="AP218" s="18"/>
      <c r="AQ218" s="18">
        <f>+VLOOKUP(AI218,Leyenda!$B$30:$E$34,3,FALSE)</f>
        <v>1</v>
      </c>
      <c r="AR218" s="18">
        <f>+VLOOKUP('3. Blasting'!AJ218,Meteorizacion,3,FALSE)</f>
        <v>1</v>
      </c>
      <c r="AS218" s="18">
        <f>+VLOOKUP('3. Blasting'!AK218,Apertura,3,FALSE)</f>
        <v>1</v>
      </c>
      <c r="AT218" s="18">
        <f>+VLOOKUP('3. Blasting'!AL218,Leyenda!$B$55:$D$59,3,FALSE)</f>
        <v>3</v>
      </c>
      <c r="AU218" s="18">
        <f>+VLOOKUP('3. Blasting'!AM218,Relleno,3,FALSE)</f>
        <v>2</v>
      </c>
      <c r="AV218" s="18">
        <f t="shared" si="103"/>
        <v>8</v>
      </c>
      <c r="AW218" s="49">
        <f t="shared" si="90"/>
        <v>13</v>
      </c>
      <c r="AX218" s="49">
        <f>VLOOKUP(AF218,Leyenda!$B$4:$D$10,3,FALSE)</f>
        <v>2</v>
      </c>
      <c r="AY218" s="50">
        <f t="shared" si="84"/>
        <v>5</v>
      </c>
      <c r="AZ218" s="49">
        <f t="shared" si="91"/>
        <v>8</v>
      </c>
      <c r="BA218" s="49">
        <f>VLOOKUP(AN218,Leyenda!$B$70:$D$75,3,FALSE)</f>
        <v>15</v>
      </c>
      <c r="BB218" s="67">
        <f t="shared" si="92"/>
        <v>12</v>
      </c>
      <c r="BC218" s="67">
        <f>VLOOKUP(AF218,Leyenda!$B$4:$E$10,4,FALSE)</f>
        <v>2</v>
      </c>
      <c r="BD218" s="67">
        <f t="shared" si="93"/>
        <v>5</v>
      </c>
      <c r="BE218" s="67">
        <f t="shared" si="94"/>
        <v>0</v>
      </c>
      <c r="BF218" s="67">
        <f>+VLOOKUP('3. Blasting'!AK218,Leyenda!$B$47:$E$51,4,FALSE)</f>
        <v>1</v>
      </c>
      <c r="BG218" s="67">
        <f>+VLOOKUP('3. Blasting'!AL218,Leyenda!$B$55:$E$59,4,FALSE)</f>
        <v>3</v>
      </c>
      <c r="BH218" s="67">
        <f>+VLOOKUP('3. Blasting'!AM218,Leyenda!$B$63:$E$67,3,FALSE)</f>
        <v>2</v>
      </c>
      <c r="BI218" s="67">
        <f>+VLOOKUP('3. Blasting'!AJ218,Leyenda!$B$39:$E$43,4,FALSE)</f>
        <v>1</v>
      </c>
      <c r="BJ218" s="67">
        <f>+VLOOKUP('3. Blasting'!AI218,Leyenda!$B$30:$E$34,4,FALSE)</f>
        <v>1</v>
      </c>
      <c r="BK218" s="67">
        <f>VLOOKUP(AN218,Leyenda!$B$71:$E$75,4,FALSE)</f>
        <v>10</v>
      </c>
      <c r="BL218" s="67">
        <f t="shared" si="95"/>
        <v>25</v>
      </c>
      <c r="BM218" s="18">
        <f t="shared" si="96"/>
        <v>43</v>
      </c>
      <c r="BN218" s="18"/>
      <c r="BO218" s="18"/>
      <c r="BP218">
        <f t="shared" si="97"/>
        <v>10</v>
      </c>
      <c r="BQ218">
        <f t="shared" si="98"/>
        <v>10</v>
      </c>
      <c r="BR218">
        <v>20</v>
      </c>
      <c r="BS218">
        <f t="shared" si="99"/>
        <v>-50</v>
      </c>
      <c r="BT218">
        <f t="shared" si="100"/>
        <v>0</v>
      </c>
      <c r="BU218">
        <f t="shared" si="101"/>
        <v>-5</v>
      </c>
      <c r="BV218" s="1">
        <f t="shared" si="85"/>
        <v>-0.02</v>
      </c>
      <c r="BW218" s="1">
        <f t="shared" si="86"/>
        <v>0</v>
      </c>
    </row>
    <row r="219" spans="1:75" hidden="1" x14ac:dyDescent="0.25">
      <c r="A219" s="18" t="s">
        <v>6</v>
      </c>
      <c r="B219" s="18">
        <v>2024</v>
      </c>
      <c r="C219" s="18" t="s">
        <v>138</v>
      </c>
      <c r="D219" s="18" t="s">
        <v>245</v>
      </c>
      <c r="E219" s="18">
        <v>20</v>
      </c>
      <c r="F219" s="18" t="s">
        <v>156</v>
      </c>
      <c r="G219" s="18" t="s">
        <v>296</v>
      </c>
      <c r="H219" s="4">
        <f t="shared" si="80"/>
        <v>52.5</v>
      </c>
      <c r="I219" s="4">
        <v>53</v>
      </c>
      <c r="J219" s="4">
        <f t="shared" si="87"/>
        <v>0.5</v>
      </c>
      <c r="K219" s="5">
        <v>0.74</v>
      </c>
      <c r="L219" s="31">
        <f t="shared" si="88"/>
        <v>0.37</v>
      </c>
      <c r="M219" s="31"/>
      <c r="N219" s="31"/>
      <c r="O219" s="31">
        <f t="shared" si="83"/>
        <v>0.37</v>
      </c>
      <c r="P219" s="31">
        <v>18.5</v>
      </c>
      <c r="Q219" s="31">
        <v>20</v>
      </c>
      <c r="R219" s="31">
        <v>0.22</v>
      </c>
      <c r="S219" s="31">
        <v>0</v>
      </c>
      <c r="T219" s="65">
        <f t="shared" si="102"/>
        <v>0</v>
      </c>
      <c r="U219" s="31">
        <v>5</v>
      </c>
      <c r="V219" s="31"/>
      <c r="W219" s="31">
        <f t="shared" si="81"/>
        <v>5</v>
      </c>
      <c r="X219" s="31">
        <f t="shared" si="82"/>
        <v>44</v>
      </c>
      <c r="Y219" s="31">
        <f t="shared" si="89"/>
        <v>4.3999999999999997E-2</v>
      </c>
      <c r="Z219" s="18">
        <v>0</v>
      </c>
      <c r="AA219" s="18" t="s">
        <v>330</v>
      </c>
      <c r="AB219" s="18" t="s">
        <v>333</v>
      </c>
      <c r="AC219" s="18" t="s">
        <v>337</v>
      </c>
      <c r="AD219" s="18">
        <v>20</v>
      </c>
      <c r="AE219" s="18">
        <v>18.5</v>
      </c>
      <c r="AF219" s="18" t="s">
        <v>29</v>
      </c>
      <c r="AG219" s="18" t="s">
        <v>199</v>
      </c>
      <c r="AH219" s="18" t="s">
        <v>199</v>
      </c>
      <c r="AI219" s="18" t="s">
        <v>66</v>
      </c>
      <c r="AJ219" s="18" t="s">
        <v>81</v>
      </c>
      <c r="AK219" s="18" t="s">
        <v>96</v>
      </c>
      <c r="AL219" s="18" t="s">
        <v>107</v>
      </c>
      <c r="AM219" s="18" t="s">
        <v>122</v>
      </c>
      <c r="AN219" s="18" t="s">
        <v>198</v>
      </c>
      <c r="AO219" s="18"/>
      <c r="AP219" s="18"/>
      <c r="AQ219" s="18">
        <f>+VLOOKUP(AI219,Leyenda!$B$30:$E$34,3,FALSE)</f>
        <v>1</v>
      </c>
      <c r="AR219" s="18">
        <f>+VLOOKUP('3. Blasting'!AJ219,Meteorizacion,3,FALSE)</f>
        <v>0</v>
      </c>
      <c r="AS219" s="18">
        <f>+VLOOKUP('3. Blasting'!AK219,Apertura,3,FALSE)</f>
        <v>1</v>
      </c>
      <c r="AT219" s="18">
        <f>+VLOOKUP('3. Blasting'!AL219,Leyenda!$B$55:$D$59,3,FALSE)</f>
        <v>3</v>
      </c>
      <c r="AU219" s="18">
        <f>+VLOOKUP('3. Blasting'!AM219,Relleno,3,FALSE)</f>
        <v>0</v>
      </c>
      <c r="AV219" s="18">
        <f t="shared" si="103"/>
        <v>5</v>
      </c>
      <c r="AW219" s="49">
        <f t="shared" si="90"/>
        <v>0</v>
      </c>
      <c r="AX219" s="49">
        <f>VLOOKUP(AF219,Leyenda!$B$4:$D$10,3,FALSE)</f>
        <v>2</v>
      </c>
      <c r="AY219" s="50">
        <f t="shared" si="84"/>
        <v>4</v>
      </c>
      <c r="AZ219" s="49">
        <f t="shared" si="91"/>
        <v>5</v>
      </c>
      <c r="BA219" s="49">
        <f>VLOOKUP(AN219,Leyenda!$B$70:$D$75,3,FALSE)</f>
        <v>15</v>
      </c>
      <c r="BB219" s="67">
        <f t="shared" si="92"/>
        <v>7.5</v>
      </c>
      <c r="BC219" s="67">
        <f>VLOOKUP(AF219,Leyenda!$B$4:$E$10,4,FALSE)</f>
        <v>2</v>
      </c>
      <c r="BD219" s="67">
        <f t="shared" si="93"/>
        <v>5</v>
      </c>
      <c r="BE219" s="67">
        <f t="shared" si="94"/>
        <v>0</v>
      </c>
      <c r="BF219" s="67">
        <f>+VLOOKUP('3. Blasting'!AK219,Leyenda!$B$47:$E$51,4,FALSE)</f>
        <v>1</v>
      </c>
      <c r="BG219" s="67">
        <f>+VLOOKUP('3. Blasting'!AL219,Leyenda!$B$55:$E$59,4,FALSE)</f>
        <v>3</v>
      </c>
      <c r="BH219" s="67">
        <f>+VLOOKUP('3. Blasting'!AM219,Leyenda!$B$63:$E$67,3,FALSE)</f>
        <v>0</v>
      </c>
      <c r="BI219" s="67">
        <f>+VLOOKUP('3. Blasting'!AJ219,Leyenda!$B$39:$E$43,4,FALSE)</f>
        <v>0</v>
      </c>
      <c r="BJ219" s="67">
        <f>+VLOOKUP('3. Blasting'!AI219,Leyenda!$B$30:$E$34,4,FALSE)</f>
        <v>1</v>
      </c>
      <c r="BK219" s="67">
        <f>VLOOKUP(AN219,Leyenda!$B$71:$E$75,4,FALSE)</f>
        <v>10</v>
      </c>
      <c r="BL219" s="67">
        <f t="shared" si="95"/>
        <v>22</v>
      </c>
      <c r="BM219" s="18">
        <f t="shared" si="96"/>
        <v>26</v>
      </c>
      <c r="BN219" s="18"/>
      <c r="BO219" s="18"/>
      <c r="BP219">
        <f t="shared" si="97"/>
        <v>10</v>
      </c>
      <c r="BQ219">
        <f t="shared" si="98"/>
        <v>10</v>
      </c>
      <c r="BR219">
        <v>20</v>
      </c>
      <c r="BS219">
        <f t="shared" si="99"/>
        <v>-50</v>
      </c>
      <c r="BT219">
        <f t="shared" si="100"/>
        <v>0</v>
      </c>
      <c r="BU219">
        <f t="shared" si="101"/>
        <v>-5</v>
      </c>
      <c r="BV219" s="1">
        <f t="shared" si="85"/>
        <v>-0.02</v>
      </c>
      <c r="BW219" s="1">
        <f t="shared" si="86"/>
        <v>0</v>
      </c>
    </row>
    <row r="220" spans="1:75" hidden="1" x14ac:dyDescent="0.25">
      <c r="A220" s="18" t="s">
        <v>6</v>
      </c>
      <c r="B220" s="18">
        <v>2024</v>
      </c>
      <c r="C220" s="18" t="s">
        <v>138</v>
      </c>
      <c r="D220" s="18" t="s">
        <v>245</v>
      </c>
      <c r="E220" s="18">
        <v>20</v>
      </c>
      <c r="F220" s="18" t="s">
        <v>156</v>
      </c>
      <c r="G220" s="18" t="s">
        <v>296</v>
      </c>
      <c r="H220" s="4">
        <f t="shared" si="80"/>
        <v>53</v>
      </c>
      <c r="I220" s="4">
        <v>53.5</v>
      </c>
      <c r="J220" s="4">
        <f t="shared" si="87"/>
        <v>0.5</v>
      </c>
      <c r="K220" s="5">
        <v>0.48</v>
      </c>
      <c r="L220" s="31">
        <f t="shared" si="88"/>
        <v>0.24</v>
      </c>
      <c r="M220" s="31"/>
      <c r="N220" s="31"/>
      <c r="O220" s="31">
        <f t="shared" si="83"/>
        <v>0.24</v>
      </c>
      <c r="P220" s="31">
        <v>12</v>
      </c>
      <c r="Q220" s="31">
        <v>20</v>
      </c>
      <c r="R220" s="31">
        <v>0.26</v>
      </c>
      <c r="S220" s="84">
        <v>0</v>
      </c>
      <c r="T220" s="65">
        <f>+R219/J220*100</f>
        <v>44</v>
      </c>
      <c r="U220" s="31">
        <v>6</v>
      </c>
      <c r="V220" s="31"/>
      <c r="W220" s="31">
        <f t="shared" si="81"/>
        <v>6</v>
      </c>
      <c r="X220" s="31">
        <f t="shared" si="82"/>
        <v>43.333333333333336</v>
      </c>
      <c r="Y220" s="31">
        <f t="shared" si="89"/>
        <v>4.3333333333333335E-2</v>
      </c>
      <c r="Z220" s="18">
        <v>0</v>
      </c>
      <c r="AA220" s="18" t="s">
        <v>330</v>
      </c>
      <c r="AB220" s="18" t="s">
        <v>333</v>
      </c>
      <c r="AC220" s="18" t="s">
        <v>337</v>
      </c>
      <c r="AD220" s="18">
        <v>20</v>
      </c>
      <c r="AE220" s="18">
        <v>12</v>
      </c>
      <c r="AF220" s="18" t="s">
        <v>29</v>
      </c>
      <c r="AG220" s="18" t="s">
        <v>199</v>
      </c>
      <c r="AH220" s="18" t="s">
        <v>199</v>
      </c>
      <c r="AI220" s="18" t="s">
        <v>66</v>
      </c>
      <c r="AJ220" s="18" t="s">
        <v>81</v>
      </c>
      <c r="AK220" s="18" t="s">
        <v>96</v>
      </c>
      <c r="AL220" s="18" t="s">
        <v>107</v>
      </c>
      <c r="AM220" s="18" t="s">
        <v>122</v>
      </c>
      <c r="AN220" s="18" t="s">
        <v>198</v>
      </c>
      <c r="AO220" s="18"/>
      <c r="AP220" s="18"/>
      <c r="AQ220" s="18">
        <f>+VLOOKUP(AI220,Leyenda!$B$30:$E$34,3,FALSE)</f>
        <v>1</v>
      </c>
      <c r="AR220" s="18">
        <f>+VLOOKUP('3. Blasting'!AJ220,Meteorizacion,3,FALSE)</f>
        <v>0</v>
      </c>
      <c r="AS220" s="18">
        <f>+VLOOKUP('3. Blasting'!AK220,Apertura,3,FALSE)</f>
        <v>1</v>
      </c>
      <c r="AT220" s="18">
        <f>+VLOOKUP('3. Blasting'!AL220,Leyenda!$B$55:$D$59,3,FALSE)</f>
        <v>3</v>
      </c>
      <c r="AU220" s="18">
        <f>+VLOOKUP('3. Blasting'!AM220,Relleno,3,FALSE)</f>
        <v>0</v>
      </c>
      <c r="AV220" s="18">
        <f t="shared" si="103"/>
        <v>5</v>
      </c>
      <c r="AW220" s="49">
        <f t="shared" si="90"/>
        <v>0</v>
      </c>
      <c r="AX220" s="49">
        <f>VLOOKUP(AF220,Leyenda!$B$4:$D$10,3,FALSE)</f>
        <v>2</v>
      </c>
      <c r="AY220" s="50">
        <f t="shared" si="84"/>
        <v>4</v>
      </c>
      <c r="AZ220" s="49">
        <f t="shared" si="91"/>
        <v>5</v>
      </c>
      <c r="BA220" s="49">
        <f>VLOOKUP(AN220,Leyenda!$B$70:$D$75,3,FALSE)</f>
        <v>15</v>
      </c>
      <c r="BB220" s="67">
        <f t="shared" si="92"/>
        <v>29.5</v>
      </c>
      <c r="BC220" s="67">
        <f>VLOOKUP(AF220,Leyenda!$B$4:$E$10,4,FALSE)</f>
        <v>2</v>
      </c>
      <c r="BD220" s="67">
        <f t="shared" si="93"/>
        <v>5</v>
      </c>
      <c r="BE220" s="67">
        <f t="shared" si="94"/>
        <v>9</v>
      </c>
      <c r="BF220" s="67">
        <f>+VLOOKUP('3. Blasting'!AK220,Leyenda!$B$47:$E$51,4,FALSE)</f>
        <v>1</v>
      </c>
      <c r="BG220" s="67">
        <f>+VLOOKUP('3. Blasting'!AL220,Leyenda!$B$55:$E$59,4,FALSE)</f>
        <v>3</v>
      </c>
      <c r="BH220" s="67">
        <f>+VLOOKUP('3. Blasting'!AM220,Leyenda!$B$63:$E$67,3,FALSE)</f>
        <v>0</v>
      </c>
      <c r="BI220" s="67">
        <f>+VLOOKUP('3. Blasting'!AJ220,Leyenda!$B$39:$E$43,4,FALSE)</f>
        <v>0</v>
      </c>
      <c r="BJ220" s="67">
        <f>+VLOOKUP('3. Blasting'!AI220,Leyenda!$B$30:$E$34,4,FALSE)</f>
        <v>1</v>
      </c>
      <c r="BK220" s="67">
        <f>VLOOKUP(AN220,Leyenda!$B$71:$E$75,4,FALSE)</f>
        <v>10</v>
      </c>
      <c r="BL220" s="67">
        <f t="shared" si="95"/>
        <v>31</v>
      </c>
      <c r="BM220" s="18">
        <f t="shared" si="96"/>
        <v>26</v>
      </c>
      <c r="BN220" s="18"/>
      <c r="BO220" s="18"/>
      <c r="BP220">
        <f t="shared" si="97"/>
        <v>20</v>
      </c>
      <c r="BQ220">
        <f t="shared" si="98"/>
        <v>10</v>
      </c>
      <c r="BR220">
        <v>20</v>
      </c>
      <c r="BS220">
        <f t="shared" si="99"/>
        <v>-50</v>
      </c>
      <c r="BT220">
        <f t="shared" si="100"/>
        <v>0</v>
      </c>
      <c r="BU220">
        <f t="shared" si="101"/>
        <v>0</v>
      </c>
      <c r="BV220" s="1">
        <f t="shared" si="85"/>
        <v>0</v>
      </c>
      <c r="BW220" s="1">
        <f t="shared" si="86"/>
        <v>0</v>
      </c>
    </row>
    <row r="221" spans="1:75" hidden="1" x14ac:dyDescent="0.25">
      <c r="A221" s="18" t="s">
        <v>6</v>
      </c>
      <c r="B221" s="18">
        <v>2024</v>
      </c>
      <c r="C221" s="18" t="s">
        <v>138</v>
      </c>
      <c r="D221" s="18" t="s">
        <v>245</v>
      </c>
      <c r="E221" s="18">
        <v>20</v>
      </c>
      <c r="F221" s="18" t="s">
        <v>156</v>
      </c>
      <c r="G221" s="18" t="s">
        <v>296</v>
      </c>
      <c r="H221" s="4">
        <f t="shared" si="80"/>
        <v>53.5</v>
      </c>
      <c r="I221" s="4">
        <v>54</v>
      </c>
      <c r="J221" s="4">
        <f t="shared" si="87"/>
        <v>0.5</v>
      </c>
      <c r="K221" s="5">
        <v>0.54</v>
      </c>
      <c r="L221" s="31">
        <f t="shared" si="88"/>
        <v>0.27</v>
      </c>
      <c r="M221" s="31"/>
      <c r="N221" s="31"/>
      <c r="O221" s="31">
        <f t="shared" si="83"/>
        <v>0.27</v>
      </c>
      <c r="P221" s="31">
        <v>13.5</v>
      </c>
      <c r="Q221" s="31">
        <v>20</v>
      </c>
      <c r="R221" s="31">
        <v>0.27</v>
      </c>
      <c r="S221" s="31">
        <v>0</v>
      </c>
      <c r="T221" s="65">
        <f t="shared" si="102"/>
        <v>0</v>
      </c>
      <c r="U221" s="31">
        <v>4</v>
      </c>
      <c r="V221" s="31"/>
      <c r="W221" s="31">
        <f t="shared" si="81"/>
        <v>4</v>
      </c>
      <c r="X221" s="31">
        <f t="shared" si="82"/>
        <v>67.5</v>
      </c>
      <c r="Y221" s="31">
        <f t="shared" si="89"/>
        <v>6.7500000000000004E-2</v>
      </c>
      <c r="Z221" s="18">
        <v>0</v>
      </c>
      <c r="AA221" s="18" t="s">
        <v>330</v>
      </c>
      <c r="AB221" s="18" t="s">
        <v>333</v>
      </c>
      <c r="AC221" s="18" t="s">
        <v>337</v>
      </c>
      <c r="AD221" s="18">
        <v>20</v>
      </c>
      <c r="AE221" s="18">
        <v>13.5</v>
      </c>
      <c r="AF221" s="18" t="s">
        <v>29</v>
      </c>
      <c r="AG221" s="18" t="s">
        <v>199</v>
      </c>
      <c r="AH221" s="18" t="s">
        <v>199</v>
      </c>
      <c r="AI221" s="18" t="s">
        <v>66</v>
      </c>
      <c r="AJ221" s="18" t="s">
        <v>81</v>
      </c>
      <c r="AK221" s="18" t="s">
        <v>96</v>
      </c>
      <c r="AL221" s="18" t="s">
        <v>107</v>
      </c>
      <c r="AM221" s="18" t="s">
        <v>122</v>
      </c>
      <c r="AN221" s="18" t="s">
        <v>198</v>
      </c>
      <c r="AO221" s="18"/>
      <c r="AP221" s="18"/>
      <c r="AQ221" s="18">
        <f>+VLOOKUP(AI221,Leyenda!$B$30:$E$34,3,FALSE)</f>
        <v>1</v>
      </c>
      <c r="AR221" s="18">
        <f>+VLOOKUP('3. Blasting'!AJ221,Meteorizacion,3,FALSE)</f>
        <v>0</v>
      </c>
      <c r="AS221" s="18">
        <f>+VLOOKUP('3. Blasting'!AK221,Apertura,3,FALSE)</f>
        <v>1</v>
      </c>
      <c r="AT221" s="18">
        <f>+VLOOKUP('3. Blasting'!AL221,Leyenda!$B$55:$D$59,3,FALSE)</f>
        <v>3</v>
      </c>
      <c r="AU221" s="18">
        <f>+VLOOKUP('3. Blasting'!AM221,Relleno,3,FALSE)</f>
        <v>0</v>
      </c>
      <c r="AV221" s="18">
        <f t="shared" si="103"/>
        <v>5</v>
      </c>
      <c r="AW221" s="49">
        <f t="shared" si="90"/>
        <v>0</v>
      </c>
      <c r="AX221" s="49">
        <f>VLOOKUP(AF221,Leyenda!$B$4:$D$10,3,FALSE)</f>
        <v>2</v>
      </c>
      <c r="AY221" s="50">
        <f t="shared" si="84"/>
        <v>4</v>
      </c>
      <c r="AZ221" s="49">
        <f t="shared" si="91"/>
        <v>5</v>
      </c>
      <c r="BA221" s="49">
        <f>VLOOKUP(AN221,Leyenda!$B$70:$D$75,3,FALSE)</f>
        <v>15</v>
      </c>
      <c r="BB221" s="67">
        <f t="shared" si="92"/>
        <v>7.5</v>
      </c>
      <c r="BC221" s="67">
        <f>VLOOKUP(AF221,Leyenda!$B$4:$E$10,4,FALSE)</f>
        <v>2</v>
      </c>
      <c r="BD221" s="67">
        <f t="shared" si="93"/>
        <v>6</v>
      </c>
      <c r="BE221" s="67">
        <f t="shared" si="94"/>
        <v>0</v>
      </c>
      <c r="BF221" s="67">
        <f>+VLOOKUP('3. Blasting'!AK221,Leyenda!$B$47:$E$51,4,FALSE)</f>
        <v>1</v>
      </c>
      <c r="BG221" s="67">
        <f>+VLOOKUP('3. Blasting'!AL221,Leyenda!$B$55:$E$59,4,FALSE)</f>
        <v>3</v>
      </c>
      <c r="BH221" s="67">
        <f>+VLOOKUP('3. Blasting'!AM221,Leyenda!$B$63:$E$67,3,FALSE)</f>
        <v>0</v>
      </c>
      <c r="BI221" s="67">
        <f>+VLOOKUP('3. Blasting'!AJ221,Leyenda!$B$39:$E$43,4,FALSE)</f>
        <v>0</v>
      </c>
      <c r="BJ221" s="67">
        <f>+VLOOKUP('3. Blasting'!AI221,Leyenda!$B$30:$E$34,4,FALSE)</f>
        <v>1</v>
      </c>
      <c r="BK221" s="67">
        <f>VLOOKUP(AN221,Leyenda!$B$71:$E$75,4,FALSE)</f>
        <v>10</v>
      </c>
      <c r="BL221" s="67">
        <f t="shared" si="95"/>
        <v>23</v>
      </c>
      <c r="BM221" s="18">
        <f t="shared" si="96"/>
        <v>26</v>
      </c>
      <c r="BN221" s="18"/>
      <c r="BO221" s="18"/>
      <c r="BP221">
        <f t="shared" si="97"/>
        <v>10</v>
      </c>
      <c r="BQ221">
        <f t="shared" si="98"/>
        <v>10</v>
      </c>
      <c r="BR221">
        <v>20</v>
      </c>
      <c r="BS221">
        <f t="shared" si="99"/>
        <v>-50</v>
      </c>
      <c r="BT221">
        <f t="shared" si="100"/>
        <v>0</v>
      </c>
      <c r="BU221">
        <f t="shared" si="101"/>
        <v>-5</v>
      </c>
      <c r="BV221" s="1">
        <f t="shared" si="85"/>
        <v>-0.02</v>
      </c>
      <c r="BW221" s="1">
        <f t="shared" si="86"/>
        <v>0</v>
      </c>
    </row>
    <row r="222" spans="1:75" hidden="1" x14ac:dyDescent="0.25">
      <c r="A222" s="18" t="s">
        <v>6</v>
      </c>
      <c r="B222" s="18">
        <v>2024</v>
      </c>
      <c r="C222" s="18" t="s">
        <v>138</v>
      </c>
      <c r="D222" s="18" t="s">
        <v>245</v>
      </c>
      <c r="E222" s="18">
        <v>20</v>
      </c>
      <c r="F222" s="18" t="s">
        <v>156</v>
      </c>
      <c r="G222" s="18" t="s">
        <v>296</v>
      </c>
      <c r="H222" s="4">
        <f t="shared" si="80"/>
        <v>54</v>
      </c>
      <c r="I222" s="4">
        <v>54.5</v>
      </c>
      <c r="J222" s="4">
        <f t="shared" si="87"/>
        <v>0.5</v>
      </c>
      <c r="K222" s="5">
        <v>1</v>
      </c>
      <c r="L222" s="31">
        <f t="shared" si="88"/>
        <v>0.5</v>
      </c>
      <c r="M222" s="31"/>
      <c r="N222" s="31"/>
      <c r="O222" s="31">
        <f t="shared" si="83"/>
        <v>0.5</v>
      </c>
      <c r="P222" s="31">
        <v>25</v>
      </c>
      <c r="Q222" s="31">
        <v>20</v>
      </c>
      <c r="R222" s="31">
        <v>0.5</v>
      </c>
      <c r="S222" s="31">
        <v>0.13</v>
      </c>
      <c r="T222" s="65">
        <f t="shared" si="102"/>
        <v>26</v>
      </c>
      <c r="U222" s="31">
        <v>5</v>
      </c>
      <c r="V222" s="31"/>
      <c r="W222" s="31">
        <f t="shared" si="81"/>
        <v>5</v>
      </c>
      <c r="X222" s="31">
        <f t="shared" si="82"/>
        <v>100</v>
      </c>
      <c r="Y222" s="31">
        <f t="shared" si="89"/>
        <v>0.1</v>
      </c>
      <c r="Z222" s="18">
        <v>40</v>
      </c>
      <c r="AA222" s="18" t="s">
        <v>330</v>
      </c>
      <c r="AB222" s="18" t="s">
        <v>333</v>
      </c>
      <c r="AC222" s="18" t="s">
        <v>337</v>
      </c>
      <c r="AD222" s="18">
        <v>20</v>
      </c>
      <c r="AE222" s="18">
        <v>25</v>
      </c>
      <c r="AF222" s="18" t="s">
        <v>29</v>
      </c>
      <c r="AG222" s="18" t="s">
        <v>199</v>
      </c>
      <c r="AH222" s="18" t="s">
        <v>199</v>
      </c>
      <c r="AI222" s="18" t="s">
        <v>66</v>
      </c>
      <c r="AJ222" s="18" t="s">
        <v>81</v>
      </c>
      <c r="AK222" s="18" t="s">
        <v>96</v>
      </c>
      <c r="AL222" s="18" t="s">
        <v>107</v>
      </c>
      <c r="AM222" s="18" t="s">
        <v>122</v>
      </c>
      <c r="AN222" s="18" t="s">
        <v>198</v>
      </c>
      <c r="AO222" s="18" t="s">
        <v>244</v>
      </c>
      <c r="AP222" s="18"/>
      <c r="AQ222" s="18">
        <f>+VLOOKUP(AI222,Leyenda!$B$30:$E$34,3,FALSE)</f>
        <v>1</v>
      </c>
      <c r="AR222" s="18">
        <f>+VLOOKUP('3. Blasting'!AJ222,Meteorizacion,3,FALSE)</f>
        <v>0</v>
      </c>
      <c r="AS222" s="18">
        <f>+VLOOKUP('3. Blasting'!AK222,Apertura,3,FALSE)</f>
        <v>1</v>
      </c>
      <c r="AT222" s="18">
        <f>+VLOOKUP('3. Blasting'!AL222,Leyenda!$B$55:$D$59,3,FALSE)</f>
        <v>3</v>
      </c>
      <c r="AU222" s="18">
        <f>+VLOOKUP('3. Blasting'!AM222,Relleno,3,FALSE)</f>
        <v>0</v>
      </c>
      <c r="AV222" s="18">
        <f t="shared" si="103"/>
        <v>5</v>
      </c>
      <c r="AW222" s="49">
        <f t="shared" si="90"/>
        <v>8</v>
      </c>
      <c r="AX222" s="49">
        <f>VLOOKUP(AF222,Leyenda!$B$4:$D$10,3,FALSE)</f>
        <v>2</v>
      </c>
      <c r="AY222" s="50">
        <f t="shared" si="84"/>
        <v>5</v>
      </c>
      <c r="AZ222" s="49">
        <f t="shared" si="91"/>
        <v>5</v>
      </c>
      <c r="BA222" s="49">
        <f>VLOOKUP(AN222,Leyenda!$B$70:$D$75,3,FALSE)</f>
        <v>15</v>
      </c>
      <c r="BB222" s="67">
        <f t="shared" si="92"/>
        <v>20.5</v>
      </c>
      <c r="BC222" s="67">
        <f>VLOOKUP(AF222,Leyenda!$B$4:$E$10,4,FALSE)</f>
        <v>2</v>
      </c>
      <c r="BD222" s="67">
        <f t="shared" si="93"/>
        <v>8</v>
      </c>
      <c r="BE222" s="67">
        <f t="shared" si="94"/>
        <v>6</v>
      </c>
      <c r="BF222" s="67">
        <f>+VLOOKUP('3. Blasting'!AK222,Leyenda!$B$47:$E$51,4,FALSE)</f>
        <v>1</v>
      </c>
      <c r="BG222" s="67">
        <f>+VLOOKUP('3. Blasting'!AL222,Leyenda!$B$55:$E$59,4,FALSE)</f>
        <v>3</v>
      </c>
      <c r="BH222" s="67">
        <f>+VLOOKUP('3. Blasting'!AM222,Leyenda!$B$63:$E$67,3,FALSE)</f>
        <v>0</v>
      </c>
      <c r="BI222" s="67">
        <f>+VLOOKUP('3. Blasting'!AJ222,Leyenda!$B$39:$E$43,4,FALSE)</f>
        <v>0</v>
      </c>
      <c r="BJ222" s="67">
        <f>+VLOOKUP('3. Blasting'!AI222,Leyenda!$B$30:$E$34,4,FALSE)</f>
        <v>1</v>
      </c>
      <c r="BK222" s="67">
        <f>VLOOKUP(AN222,Leyenda!$B$71:$E$75,4,FALSE)</f>
        <v>10</v>
      </c>
      <c r="BL222" s="67">
        <f t="shared" si="95"/>
        <v>31</v>
      </c>
      <c r="BM222" s="18">
        <f t="shared" si="96"/>
        <v>35</v>
      </c>
      <c r="BN222" s="18"/>
      <c r="BO222" s="18"/>
      <c r="BP222">
        <f t="shared" si="97"/>
        <v>20</v>
      </c>
      <c r="BQ222">
        <f t="shared" si="98"/>
        <v>50</v>
      </c>
      <c r="BR222">
        <v>20</v>
      </c>
      <c r="BS222">
        <f t="shared" si="99"/>
        <v>-50</v>
      </c>
      <c r="BT222">
        <f t="shared" si="100"/>
        <v>0</v>
      </c>
      <c r="BU222">
        <f t="shared" si="101"/>
        <v>20</v>
      </c>
      <c r="BV222" s="1">
        <f t="shared" si="85"/>
        <v>0.08</v>
      </c>
      <c r="BW222" s="1">
        <f t="shared" si="86"/>
        <v>0</v>
      </c>
    </row>
    <row r="223" spans="1:75" hidden="1" x14ac:dyDescent="0.25">
      <c r="A223" s="18" t="s">
        <v>6</v>
      </c>
      <c r="B223" s="18">
        <v>2024</v>
      </c>
      <c r="C223" s="18" t="s">
        <v>138</v>
      </c>
      <c r="D223" s="18" t="s">
        <v>245</v>
      </c>
      <c r="E223" s="18">
        <v>20</v>
      </c>
      <c r="F223" s="18" t="s">
        <v>156</v>
      </c>
      <c r="G223" s="18" t="s">
        <v>296</v>
      </c>
      <c r="H223" s="4">
        <f t="shared" si="80"/>
        <v>54.5</v>
      </c>
      <c r="I223" s="4">
        <v>55</v>
      </c>
      <c r="J223" s="4">
        <f t="shared" si="87"/>
        <v>0.5</v>
      </c>
      <c r="K223" s="5">
        <v>1</v>
      </c>
      <c r="L223" s="31">
        <f t="shared" si="88"/>
        <v>0.5</v>
      </c>
      <c r="M223" s="31"/>
      <c r="N223" s="31"/>
      <c r="O223" s="31">
        <f t="shared" si="83"/>
        <v>0.5</v>
      </c>
      <c r="P223" s="31">
        <v>25</v>
      </c>
      <c r="Q223" s="31">
        <v>20</v>
      </c>
      <c r="R223" s="31">
        <v>0.5</v>
      </c>
      <c r="S223" s="31">
        <v>0.13</v>
      </c>
      <c r="T223" s="65">
        <f t="shared" si="102"/>
        <v>26</v>
      </c>
      <c r="U223" s="31">
        <v>7</v>
      </c>
      <c r="V223" s="31"/>
      <c r="W223" s="31">
        <f t="shared" si="81"/>
        <v>7</v>
      </c>
      <c r="X223" s="31">
        <f t="shared" si="82"/>
        <v>71.428571428571431</v>
      </c>
      <c r="Y223" s="31">
        <f t="shared" si="89"/>
        <v>7.1428571428571425E-2</v>
      </c>
      <c r="Z223" s="18">
        <v>0</v>
      </c>
      <c r="AA223" s="18" t="s">
        <v>330</v>
      </c>
      <c r="AB223" s="18" t="s">
        <v>333</v>
      </c>
      <c r="AC223" s="18" t="s">
        <v>337</v>
      </c>
      <c r="AD223" s="18">
        <v>20</v>
      </c>
      <c r="AE223" s="18">
        <v>25</v>
      </c>
      <c r="AF223" s="18" t="s">
        <v>29</v>
      </c>
      <c r="AG223" s="18" t="s">
        <v>199</v>
      </c>
      <c r="AH223" s="18" t="s">
        <v>199</v>
      </c>
      <c r="AI223" s="18" t="s">
        <v>66</v>
      </c>
      <c r="AJ223" s="18" t="s">
        <v>81</v>
      </c>
      <c r="AK223" s="18" t="s">
        <v>96</v>
      </c>
      <c r="AL223" s="18" t="s">
        <v>107</v>
      </c>
      <c r="AM223" s="18" t="s">
        <v>120</v>
      </c>
      <c r="AN223" s="18" t="s">
        <v>198</v>
      </c>
      <c r="AO223" s="18" t="s">
        <v>244</v>
      </c>
      <c r="AP223" s="18"/>
      <c r="AQ223" s="18">
        <f>+VLOOKUP(AI223,Leyenda!$B$30:$E$34,3,FALSE)</f>
        <v>1</v>
      </c>
      <c r="AR223" s="18">
        <f>+VLOOKUP('3. Blasting'!AJ223,Meteorizacion,3,FALSE)</f>
        <v>0</v>
      </c>
      <c r="AS223" s="18">
        <f>+VLOOKUP('3. Blasting'!AK223,Apertura,3,FALSE)</f>
        <v>1</v>
      </c>
      <c r="AT223" s="18">
        <f>+VLOOKUP('3. Blasting'!AL223,Leyenda!$B$55:$D$59,3,FALSE)</f>
        <v>3</v>
      </c>
      <c r="AU223" s="18">
        <f>+VLOOKUP('3. Blasting'!AM223,Relleno,3,FALSE)</f>
        <v>2</v>
      </c>
      <c r="AV223" s="18">
        <f t="shared" si="103"/>
        <v>7</v>
      </c>
      <c r="AW223" s="49">
        <f t="shared" si="90"/>
        <v>0</v>
      </c>
      <c r="AX223" s="49">
        <f>VLOOKUP(AF223,Leyenda!$B$4:$D$10,3,FALSE)</f>
        <v>2</v>
      </c>
      <c r="AY223" s="50">
        <f t="shared" si="84"/>
        <v>5</v>
      </c>
      <c r="AZ223" s="49">
        <f t="shared" si="91"/>
        <v>7</v>
      </c>
      <c r="BA223" s="49">
        <f>VLOOKUP(AN223,Leyenda!$B$70:$D$75,3,FALSE)</f>
        <v>15</v>
      </c>
      <c r="BB223" s="67">
        <f t="shared" si="92"/>
        <v>23.5</v>
      </c>
      <c r="BC223" s="67">
        <f>VLOOKUP(AF223,Leyenda!$B$4:$E$10,4,FALSE)</f>
        <v>2</v>
      </c>
      <c r="BD223" s="67">
        <f t="shared" si="93"/>
        <v>6</v>
      </c>
      <c r="BE223" s="67">
        <f t="shared" si="94"/>
        <v>6</v>
      </c>
      <c r="BF223" s="67">
        <f>+VLOOKUP('3. Blasting'!AK223,Leyenda!$B$47:$E$51,4,FALSE)</f>
        <v>1</v>
      </c>
      <c r="BG223" s="67">
        <f>+VLOOKUP('3. Blasting'!AL223,Leyenda!$B$55:$E$59,4,FALSE)</f>
        <v>3</v>
      </c>
      <c r="BH223" s="67">
        <f>+VLOOKUP('3. Blasting'!AM223,Leyenda!$B$63:$E$67,3,FALSE)</f>
        <v>2</v>
      </c>
      <c r="BI223" s="67">
        <f>+VLOOKUP('3. Blasting'!AJ223,Leyenda!$B$39:$E$43,4,FALSE)</f>
        <v>0</v>
      </c>
      <c r="BJ223" s="67">
        <f>+VLOOKUP('3. Blasting'!AI223,Leyenda!$B$30:$E$34,4,FALSE)</f>
        <v>1</v>
      </c>
      <c r="BK223" s="67">
        <f>VLOOKUP(AN223,Leyenda!$B$71:$E$75,4,FALSE)</f>
        <v>10</v>
      </c>
      <c r="BL223" s="67">
        <f t="shared" si="95"/>
        <v>31</v>
      </c>
      <c r="BM223" s="18">
        <f t="shared" si="96"/>
        <v>29</v>
      </c>
      <c r="BN223" s="18"/>
      <c r="BO223" s="18"/>
      <c r="BP223">
        <f t="shared" si="97"/>
        <v>20</v>
      </c>
      <c r="BQ223">
        <f t="shared" si="98"/>
        <v>10</v>
      </c>
      <c r="BR223">
        <v>20</v>
      </c>
      <c r="BS223">
        <f t="shared" si="99"/>
        <v>-50</v>
      </c>
      <c r="BT223">
        <f t="shared" si="100"/>
        <v>0</v>
      </c>
      <c r="BU223">
        <f t="shared" si="101"/>
        <v>0</v>
      </c>
      <c r="BV223" s="1">
        <f t="shared" si="85"/>
        <v>0</v>
      </c>
      <c r="BW223" s="1">
        <f t="shared" si="86"/>
        <v>0</v>
      </c>
    </row>
    <row r="224" spans="1:75" hidden="1" x14ac:dyDescent="0.25">
      <c r="A224" s="18" t="s">
        <v>6</v>
      </c>
      <c r="B224" s="18">
        <v>2024</v>
      </c>
      <c r="C224" s="18" t="s">
        <v>138</v>
      </c>
      <c r="D224" s="18" t="s">
        <v>245</v>
      </c>
      <c r="E224" s="18">
        <v>20</v>
      </c>
      <c r="F224" s="18" t="s">
        <v>156</v>
      </c>
      <c r="G224" s="18" t="s">
        <v>296</v>
      </c>
      <c r="H224" s="4">
        <f t="shared" si="80"/>
        <v>55</v>
      </c>
      <c r="I224" s="4">
        <v>55.5</v>
      </c>
      <c r="J224" s="4">
        <f t="shared" si="87"/>
        <v>0.5</v>
      </c>
      <c r="K224" s="5">
        <v>1</v>
      </c>
      <c r="L224" s="31">
        <f t="shared" si="88"/>
        <v>0.5</v>
      </c>
      <c r="M224" s="31"/>
      <c r="N224" s="31"/>
      <c r="O224" s="31">
        <f t="shared" si="83"/>
        <v>0.5</v>
      </c>
      <c r="P224" s="31">
        <v>25</v>
      </c>
      <c r="Q224" s="31">
        <v>20</v>
      </c>
      <c r="R224" s="31">
        <v>0.42</v>
      </c>
      <c r="S224" s="31">
        <v>0.18</v>
      </c>
      <c r="T224" s="65">
        <f t="shared" si="102"/>
        <v>36</v>
      </c>
      <c r="U224" s="31">
        <v>5</v>
      </c>
      <c r="V224" s="31"/>
      <c r="W224" s="31">
        <f t="shared" si="81"/>
        <v>5</v>
      </c>
      <c r="X224" s="31">
        <f t="shared" si="82"/>
        <v>84</v>
      </c>
      <c r="Y224" s="31">
        <f t="shared" si="89"/>
        <v>8.4000000000000005E-2</v>
      </c>
      <c r="Z224" s="18">
        <v>0</v>
      </c>
      <c r="AA224" s="18" t="s">
        <v>330</v>
      </c>
      <c r="AB224" s="18" t="s">
        <v>333</v>
      </c>
      <c r="AC224" s="18" t="s">
        <v>337</v>
      </c>
      <c r="AD224" s="18">
        <v>20</v>
      </c>
      <c r="AE224" s="18">
        <v>25</v>
      </c>
      <c r="AF224" s="18" t="s">
        <v>29</v>
      </c>
      <c r="AG224" s="18" t="s">
        <v>199</v>
      </c>
      <c r="AH224" s="18" t="s">
        <v>199</v>
      </c>
      <c r="AI224" s="18" t="s">
        <v>66</v>
      </c>
      <c r="AJ224" s="18" t="s">
        <v>81</v>
      </c>
      <c r="AK224" s="18" t="s">
        <v>96</v>
      </c>
      <c r="AL224" s="18" t="s">
        <v>107</v>
      </c>
      <c r="AM224" s="18" t="s">
        <v>120</v>
      </c>
      <c r="AN224" s="18" t="s">
        <v>198</v>
      </c>
      <c r="AO224" s="18" t="s">
        <v>244</v>
      </c>
      <c r="AP224" s="18"/>
      <c r="AQ224" s="18">
        <f>+VLOOKUP(AI224,Leyenda!$B$30:$E$34,3,FALSE)</f>
        <v>1</v>
      </c>
      <c r="AR224" s="18">
        <f>+VLOOKUP('3. Blasting'!AJ224,Meteorizacion,3,FALSE)</f>
        <v>0</v>
      </c>
      <c r="AS224" s="18">
        <f>+VLOOKUP('3. Blasting'!AK224,Apertura,3,FALSE)</f>
        <v>1</v>
      </c>
      <c r="AT224" s="18">
        <f>+VLOOKUP('3. Blasting'!AL224,Leyenda!$B$55:$D$59,3,FALSE)</f>
        <v>3</v>
      </c>
      <c r="AU224" s="18">
        <f>+VLOOKUP('3. Blasting'!AM224,Relleno,3,FALSE)</f>
        <v>2</v>
      </c>
      <c r="AV224" s="18">
        <f t="shared" si="103"/>
        <v>7</v>
      </c>
      <c r="AW224" s="49">
        <f t="shared" si="90"/>
        <v>0</v>
      </c>
      <c r="AX224" s="49">
        <f>VLOOKUP(AF224,Leyenda!$B$4:$D$10,3,FALSE)</f>
        <v>2</v>
      </c>
      <c r="AY224" s="50">
        <f t="shared" si="84"/>
        <v>5</v>
      </c>
      <c r="AZ224" s="49">
        <f t="shared" si="91"/>
        <v>7</v>
      </c>
      <c r="BA224" s="49">
        <f>VLOOKUP(AN224,Leyenda!$B$70:$D$75,3,FALSE)</f>
        <v>15</v>
      </c>
      <c r="BB224" s="67">
        <f t="shared" si="92"/>
        <v>28.5</v>
      </c>
      <c r="BC224" s="67">
        <f>VLOOKUP(AF224,Leyenda!$B$4:$E$10,4,FALSE)</f>
        <v>2</v>
      </c>
      <c r="BD224" s="67">
        <f t="shared" si="93"/>
        <v>7</v>
      </c>
      <c r="BE224" s="67">
        <f t="shared" si="94"/>
        <v>8</v>
      </c>
      <c r="BF224" s="67">
        <f>+VLOOKUP('3. Blasting'!AK224,Leyenda!$B$47:$E$51,4,FALSE)</f>
        <v>1</v>
      </c>
      <c r="BG224" s="67">
        <f>+VLOOKUP('3. Blasting'!AL224,Leyenda!$B$55:$E$59,4,FALSE)</f>
        <v>3</v>
      </c>
      <c r="BH224" s="67">
        <f>+VLOOKUP('3. Blasting'!AM224,Leyenda!$B$63:$E$67,3,FALSE)</f>
        <v>2</v>
      </c>
      <c r="BI224" s="67">
        <f>+VLOOKUP('3. Blasting'!AJ224,Leyenda!$B$39:$E$43,4,FALSE)</f>
        <v>0</v>
      </c>
      <c r="BJ224" s="67">
        <f>+VLOOKUP('3. Blasting'!AI224,Leyenda!$B$30:$E$34,4,FALSE)</f>
        <v>1</v>
      </c>
      <c r="BK224" s="67">
        <f>VLOOKUP(AN224,Leyenda!$B$71:$E$75,4,FALSE)</f>
        <v>10</v>
      </c>
      <c r="BL224" s="67">
        <f t="shared" si="95"/>
        <v>34</v>
      </c>
      <c r="BM224" s="18">
        <f t="shared" si="96"/>
        <v>29</v>
      </c>
      <c r="BN224" s="18"/>
      <c r="BO224" s="18"/>
      <c r="BP224">
        <f t="shared" si="97"/>
        <v>20</v>
      </c>
      <c r="BQ224">
        <f t="shared" si="98"/>
        <v>10</v>
      </c>
      <c r="BR224">
        <v>20</v>
      </c>
      <c r="BS224">
        <f t="shared" si="99"/>
        <v>-50</v>
      </c>
      <c r="BT224">
        <f t="shared" si="100"/>
        <v>0</v>
      </c>
      <c r="BU224">
        <f t="shared" si="101"/>
        <v>0</v>
      </c>
      <c r="BV224" s="1">
        <f t="shared" si="85"/>
        <v>0</v>
      </c>
      <c r="BW224" s="1">
        <f t="shared" si="86"/>
        <v>0</v>
      </c>
    </row>
    <row r="225" spans="1:75" hidden="1" x14ac:dyDescent="0.25">
      <c r="A225" s="18" t="s">
        <v>6</v>
      </c>
      <c r="B225" s="18">
        <v>2024</v>
      </c>
      <c r="C225" s="18" t="s">
        <v>138</v>
      </c>
      <c r="D225" s="18" t="s">
        <v>245</v>
      </c>
      <c r="E225" s="18">
        <v>20</v>
      </c>
      <c r="F225" s="18" t="s">
        <v>156</v>
      </c>
      <c r="G225" s="18" t="s">
        <v>296</v>
      </c>
      <c r="H225" s="4">
        <f t="shared" si="80"/>
        <v>55.5</v>
      </c>
      <c r="I225" s="4">
        <v>56</v>
      </c>
      <c r="J225" s="4">
        <f t="shared" si="87"/>
        <v>0.5</v>
      </c>
      <c r="K225" s="5">
        <v>0.54</v>
      </c>
      <c r="L225" s="31">
        <f t="shared" si="88"/>
        <v>0.27</v>
      </c>
      <c r="M225" s="31"/>
      <c r="N225" s="31"/>
      <c r="O225" s="31">
        <f t="shared" si="83"/>
        <v>0.27</v>
      </c>
      <c r="P225" s="31">
        <v>13.5</v>
      </c>
      <c r="Q225" s="31">
        <v>20</v>
      </c>
      <c r="R225" s="31">
        <v>0.25</v>
      </c>
      <c r="S225" s="31">
        <v>0</v>
      </c>
      <c r="T225" s="65">
        <f t="shared" si="102"/>
        <v>0</v>
      </c>
      <c r="U225" s="31">
        <v>7</v>
      </c>
      <c r="V225" s="31"/>
      <c r="W225" s="31">
        <f t="shared" si="81"/>
        <v>7</v>
      </c>
      <c r="X225" s="31">
        <f t="shared" si="82"/>
        <v>35.714285714285715</v>
      </c>
      <c r="Y225" s="31">
        <f t="shared" si="89"/>
        <v>3.5714285714285712E-2</v>
      </c>
      <c r="Z225" s="18">
        <v>0</v>
      </c>
      <c r="AA225" s="18" t="s">
        <v>330</v>
      </c>
      <c r="AB225" s="18" t="s">
        <v>333</v>
      </c>
      <c r="AC225" s="18" t="s">
        <v>337</v>
      </c>
      <c r="AD225" s="18">
        <v>20</v>
      </c>
      <c r="AE225" s="18">
        <v>13.5</v>
      </c>
      <c r="AF225" s="18" t="s">
        <v>29</v>
      </c>
      <c r="AG225" s="18" t="s">
        <v>199</v>
      </c>
      <c r="AH225" s="18" t="s">
        <v>199</v>
      </c>
      <c r="AI225" s="18" t="s">
        <v>66</v>
      </c>
      <c r="AJ225" s="18" t="s">
        <v>81</v>
      </c>
      <c r="AK225" s="18" t="s">
        <v>96</v>
      </c>
      <c r="AL225" s="18" t="s">
        <v>107</v>
      </c>
      <c r="AM225" s="18" t="s">
        <v>120</v>
      </c>
      <c r="AN225" s="18" t="s">
        <v>198</v>
      </c>
      <c r="AO225" s="18" t="s">
        <v>244</v>
      </c>
      <c r="AP225" s="18"/>
      <c r="AQ225" s="18">
        <f>+VLOOKUP(AI225,Leyenda!$B$30:$E$34,3,FALSE)</f>
        <v>1</v>
      </c>
      <c r="AR225" s="18">
        <f>+VLOOKUP('3. Blasting'!AJ225,Meteorizacion,3,FALSE)</f>
        <v>0</v>
      </c>
      <c r="AS225" s="18">
        <f>+VLOOKUP('3. Blasting'!AK225,Apertura,3,FALSE)</f>
        <v>1</v>
      </c>
      <c r="AT225" s="18">
        <f>+VLOOKUP('3. Blasting'!AL225,Leyenda!$B$55:$D$59,3,FALSE)</f>
        <v>3</v>
      </c>
      <c r="AU225" s="18">
        <f>+VLOOKUP('3. Blasting'!AM225,Relleno,3,FALSE)</f>
        <v>2</v>
      </c>
      <c r="AV225" s="18">
        <f t="shared" si="103"/>
        <v>7</v>
      </c>
      <c r="AW225" s="49">
        <f t="shared" si="90"/>
        <v>0</v>
      </c>
      <c r="AX225" s="49">
        <f>VLOOKUP(AF225,Leyenda!$B$4:$D$10,3,FALSE)</f>
        <v>2</v>
      </c>
      <c r="AY225" s="50">
        <f t="shared" si="84"/>
        <v>4</v>
      </c>
      <c r="AZ225" s="49">
        <f t="shared" si="91"/>
        <v>7</v>
      </c>
      <c r="BA225" s="49">
        <f>VLOOKUP(AN225,Leyenda!$B$70:$D$75,3,FALSE)</f>
        <v>15</v>
      </c>
      <c r="BB225" s="67">
        <f t="shared" si="92"/>
        <v>10.5</v>
      </c>
      <c r="BC225" s="67">
        <f>VLOOKUP(AF225,Leyenda!$B$4:$E$10,4,FALSE)</f>
        <v>2</v>
      </c>
      <c r="BD225" s="67">
        <f t="shared" si="93"/>
        <v>5</v>
      </c>
      <c r="BE225" s="67">
        <f t="shared" si="94"/>
        <v>0</v>
      </c>
      <c r="BF225" s="67">
        <f>+VLOOKUP('3. Blasting'!AK225,Leyenda!$B$47:$E$51,4,FALSE)</f>
        <v>1</v>
      </c>
      <c r="BG225" s="67">
        <f>+VLOOKUP('3. Blasting'!AL225,Leyenda!$B$55:$E$59,4,FALSE)</f>
        <v>3</v>
      </c>
      <c r="BH225" s="67">
        <f>+VLOOKUP('3. Blasting'!AM225,Leyenda!$B$63:$E$67,3,FALSE)</f>
        <v>2</v>
      </c>
      <c r="BI225" s="67">
        <f>+VLOOKUP('3. Blasting'!AJ225,Leyenda!$B$39:$E$43,4,FALSE)</f>
        <v>0</v>
      </c>
      <c r="BJ225" s="67">
        <f>+VLOOKUP('3. Blasting'!AI225,Leyenda!$B$30:$E$34,4,FALSE)</f>
        <v>1</v>
      </c>
      <c r="BK225" s="67">
        <f>VLOOKUP(AN225,Leyenda!$B$71:$E$75,4,FALSE)</f>
        <v>10</v>
      </c>
      <c r="BL225" s="67">
        <f t="shared" si="95"/>
        <v>24</v>
      </c>
      <c r="BM225" s="18">
        <f t="shared" si="96"/>
        <v>28</v>
      </c>
      <c r="BN225" s="18"/>
      <c r="BO225" s="18"/>
      <c r="BP225">
        <f t="shared" si="97"/>
        <v>10</v>
      </c>
      <c r="BQ225">
        <f t="shared" si="98"/>
        <v>10</v>
      </c>
      <c r="BR225">
        <v>20</v>
      </c>
      <c r="BS225">
        <f t="shared" si="99"/>
        <v>-50</v>
      </c>
      <c r="BT225">
        <f t="shared" si="100"/>
        <v>0</v>
      </c>
      <c r="BU225">
        <f t="shared" si="101"/>
        <v>-5</v>
      </c>
      <c r="BV225" s="1">
        <f t="shared" si="85"/>
        <v>-0.02</v>
      </c>
      <c r="BW225" s="1">
        <f t="shared" si="86"/>
        <v>0</v>
      </c>
    </row>
    <row r="226" spans="1:75" hidden="1" x14ac:dyDescent="0.25">
      <c r="A226" s="18" t="s">
        <v>6</v>
      </c>
      <c r="B226" s="18">
        <v>2024</v>
      </c>
      <c r="C226" s="18" t="s">
        <v>138</v>
      </c>
      <c r="D226" s="18" t="s">
        <v>245</v>
      </c>
      <c r="E226" s="18">
        <v>20</v>
      </c>
      <c r="F226" s="18" t="s">
        <v>156</v>
      </c>
      <c r="G226" s="18" t="s">
        <v>296</v>
      </c>
      <c r="H226" s="4">
        <f t="shared" si="80"/>
        <v>56</v>
      </c>
      <c r="I226" s="4">
        <v>56.5</v>
      </c>
      <c r="J226" s="4">
        <f t="shared" si="87"/>
        <v>0.5</v>
      </c>
      <c r="K226" s="5">
        <v>0.46</v>
      </c>
      <c r="L226" s="31">
        <f t="shared" si="88"/>
        <v>0.23</v>
      </c>
      <c r="M226" s="31"/>
      <c r="N226" s="31"/>
      <c r="O226" s="31">
        <f t="shared" si="83"/>
        <v>0.23</v>
      </c>
      <c r="P226" s="31">
        <v>11.5</v>
      </c>
      <c r="Q226" s="31">
        <v>20</v>
      </c>
      <c r="R226" s="31">
        <v>0.21</v>
      </c>
      <c r="S226" s="31">
        <v>0</v>
      </c>
      <c r="T226" s="65">
        <f t="shared" si="102"/>
        <v>0</v>
      </c>
      <c r="U226" s="31">
        <v>5</v>
      </c>
      <c r="V226" s="31"/>
      <c r="W226" s="31">
        <f t="shared" si="81"/>
        <v>5</v>
      </c>
      <c r="X226" s="31">
        <f t="shared" si="82"/>
        <v>42</v>
      </c>
      <c r="Y226" s="31">
        <f t="shared" si="89"/>
        <v>4.2000000000000003E-2</v>
      </c>
      <c r="Z226" s="18">
        <v>0</v>
      </c>
      <c r="AA226" s="18" t="s">
        <v>330</v>
      </c>
      <c r="AB226" s="18" t="s">
        <v>333</v>
      </c>
      <c r="AC226" s="18" t="s">
        <v>337</v>
      </c>
      <c r="AD226" s="18">
        <v>20</v>
      </c>
      <c r="AE226" s="18">
        <v>11.5</v>
      </c>
      <c r="AF226" s="18" t="s">
        <v>29</v>
      </c>
      <c r="AG226" s="18" t="s">
        <v>199</v>
      </c>
      <c r="AH226" s="18" t="s">
        <v>199</v>
      </c>
      <c r="AI226" s="18" t="s">
        <v>66</v>
      </c>
      <c r="AJ226" s="18" t="s">
        <v>81</v>
      </c>
      <c r="AK226" s="18" t="s">
        <v>96</v>
      </c>
      <c r="AL226" s="18" t="s">
        <v>107</v>
      </c>
      <c r="AM226" s="18" t="s">
        <v>120</v>
      </c>
      <c r="AN226" s="18" t="s">
        <v>198</v>
      </c>
      <c r="AO226" s="18" t="s">
        <v>244</v>
      </c>
      <c r="AP226" s="18"/>
      <c r="AQ226" s="18">
        <f>+VLOOKUP(AI226,Leyenda!$B$30:$E$34,3,FALSE)</f>
        <v>1</v>
      </c>
      <c r="AR226" s="18">
        <f>+VLOOKUP('3. Blasting'!AJ226,Meteorizacion,3,FALSE)</f>
        <v>0</v>
      </c>
      <c r="AS226" s="18">
        <f>+VLOOKUP('3. Blasting'!AK226,Apertura,3,FALSE)</f>
        <v>1</v>
      </c>
      <c r="AT226" s="18">
        <f>+VLOOKUP('3. Blasting'!AL226,Leyenda!$B$55:$D$59,3,FALSE)</f>
        <v>3</v>
      </c>
      <c r="AU226" s="18">
        <f>+VLOOKUP('3. Blasting'!AM226,Relleno,3,FALSE)</f>
        <v>2</v>
      </c>
      <c r="AV226" s="18">
        <f t="shared" si="103"/>
        <v>7</v>
      </c>
      <c r="AW226" s="49">
        <f t="shared" si="90"/>
        <v>0</v>
      </c>
      <c r="AX226" s="49">
        <f>VLOOKUP(AF226,Leyenda!$B$4:$D$10,3,FALSE)</f>
        <v>2</v>
      </c>
      <c r="AY226" s="50">
        <f t="shared" si="84"/>
        <v>4</v>
      </c>
      <c r="AZ226" s="49">
        <f t="shared" si="91"/>
        <v>7</v>
      </c>
      <c r="BA226" s="49">
        <f>VLOOKUP(AN226,Leyenda!$B$70:$D$75,3,FALSE)</f>
        <v>15</v>
      </c>
      <c r="BB226" s="67">
        <f t="shared" si="92"/>
        <v>10.5</v>
      </c>
      <c r="BC226" s="67">
        <f>VLOOKUP(AF226,Leyenda!$B$4:$E$10,4,FALSE)</f>
        <v>2</v>
      </c>
      <c r="BD226" s="67">
        <f t="shared" si="93"/>
        <v>5</v>
      </c>
      <c r="BE226" s="67">
        <f t="shared" si="94"/>
        <v>0</v>
      </c>
      <c r="BF226" s="67">
        <f>+VLOOKUP('3. Blasting'!AK226,Leyenda!$B$47:$E$51,4,FALSE)</f>
        <v>1</v>
      </c>
      <c r="BG226" s="67">
        <f>+VLOOKUP('3. Blasting'!AL226,Leyenda!$B$55:$E$59,4,FALSE)</f>
        <v>3</v>
      </c>
      <c r="BH226" s="67">
        <f>+VLOOKUP('3. Blasting'!AM226,Leyenda!$B$63:$E$67,3,FALSE)</f>
        <v>2</v>
      </c>
      <c r="BI226" s="67">
        <f>+VLOOKUP('3. Blasting'!AJ226,Leyenda!$B$39:$E$43,4,FALSE)</f>
        <v>0</v>
      </c>
      <c r="BJ226" s="67">
        <f>+VLOOKUP('3. Blasting'!AI226,Leyenda!$B$30:$E$34,4,FALSE)</f>
        <v>1</v>
      </c>
      <c r="BK226" s="67">
        <f>VLOOKUP(AN226,Leyenda!$B$71:$E$75,4,FALSE)</f>
        <v>10</v>
      </c>
      <c r="BL226" s="67">
        <f t="shared" si="95"/>
        <v>24</v>
      </c>
      <c r="BM226" s="18">
        <f t="shared" si="96"/>
        <v>28</v>
      </c>
      <c r="BN226" s="18"/>
      <c r="BO226" s="18"/>
      <c r="BP226">
        <f t="shared" si="97"/>
        <v>10</v>
      </c>
      <c r="BQ226">
        <f t="shared" si="98"/>
        <v>10</v>
      </c>
      <c r="BR226">
        <v>20</v>
      </c>
      <c r="BS226">
        <f t="shared" si="99"/>
        <v>-50</v>
      </c>
      <c r="BT226">
        <f t="shared" si="100"/>
        <v>0</v>
      </c>
      <c r="BU226">
        <f t="shared" si="101"/>
        <v>-5</v>
      </c>
      <c r="BV226" s="1">
        <f t="shared" si="85"/>
        <v>-0.02</v>
      </c>
      <c r="BW226" s="1">
        <f t="shared" si="86"/>
        <v>0</v>
      </c>
    </row>
    <row r="227" spans="1:75" hidden="1" x14ac:dyDescent="0.25">
      <c r="A227" s="18" t="s">
        <v>6</v>
      </c>
      <c r="B227" s="18">
        <v>2024</v>
      </c>
      <c r="C227" s="18" t="s">
        <v>138</v>
      </c>
      <c r="D227" s="18" t="s">
        <v>245</v>
      </c>
      <c r="E227" s="18">
        <v>20</v>
      </c>
      <c r="F227" s="18" t="s">
        <v>156</v>
      </c>
      <c r="G227" s="18" t="s">
        <v>296</v>
      </c>
      <c r="H227" s="4">
        <f t="shared" si="80"/>
        <v>56.5</v>
      </c>
      <c r="I227" s="4">
        <v>57</v>
      </c>
      <c r="J227" s="4">
        <f t="shared" si="87"/>
        <v>0.5</v>
      </c>
      <c r="K227" s="5">
        <v>0.34</v>
      </c>
      <c r="L227" s="31">
        <f t="shared" si="88"/>
        <v>0.17</v>
      </c>
      <c r="M227" s="31"/>
      <c r="N227" s="31"/>
      <c r="O227" s="31">
        <f t="shared" si="83"/>
        <v>0.17</v>
      </c>
      <c r="P227" s="31">
        <v>8.5</v>
      </c>
      <c r="Q227" s="31">
        <v>20</v>
      </c>
      <c r="R227" s="31">
        <v>0.18</v>
      </c>
      <c r="S227" s="31">
        <v>0</v>
      </c>
      <c r="T227" s="65">
        <f t="shared" si="102"/>
        <v>0</v>
      </c>
      <c r="U227" s="31">
        <v>5</v>
      </c>
      <c r="V227" s="31"/>
      <c r="W227" s="31">
        <f t="shared" si="81"/>
        <v>5</v>
      </c>
      <c r="X227" s="31">
        <f t="shared" si="82"/>
        <v>36</v>
      </c>
      <c r="Y227" s="31">
        <f t="shared" si="89"/>
        <v>3.5999999999999997E-2</v>
      </c>
      <c r="Z227" s="18">
        <v>0</v>
      </c>
      <c r="AA227" s="18" t="s">
        <v>330</v>
      </c>
      <c r="AB227" s="18" t="s">
        <v>333</v>
      </c>
      <c r="AC227" s="18" t="s">
        <v>337</v>
      </c>
      <c r="AD227" s="18">
        <v>20</v>
      </c>
      <c r="AE227" s="18">
        <v>8.5</v>
      </c>
      <c r="AF227" s="18" t="s">
        <v>29</v>
      </c>
      <c r="AG227" s="18" t="s">
        <v>199</v>
      </c>
      <c r="AH227" s="18" t="s">
        <v>199</v>
      </c>
      <c r="AI227" s="18" t="s">
        <v>66</v>
      </c>
      <c r="AJ227" s="18" t="s">
        <v>81</v>
      </c>
      <c r="AK227" s="18" t="s">
        <v>96</v>
      </c>
      <c r="AL227" s="18" t="s">
        <v>107</v>
      </c>
      <c r="AM227" s="18" t="s">
        <v>120</v>
      </c>
      <c r="AN227" s="18" t="s">
        <v>198</v>
      </c>
      <c r="AO227" s="18" t="s">
        <v>244</v>
      </c>
      <c r="AP227" s="18"/>
      <c r="AQ227" s="18">
        <f>+VLOOKUP(AI227,Leyenda!$B$30:$E$34,3,FALSE)</f>
        <v>1</v>
      </c>
      <c r="AR227" s="18">
        <f>+VLOOKUP('3. Blasting'!AJ227,Meteorizacion,3,FALSE)</f>
        <v>0</v>
      </c>
      <c r="AS227" s="18">
        <f>+VLOOKUP('3. Blasting'!AK227,Apertura,3,FALSE)</f>
        <v>1</v>
      </c>
      <c r="AT227" s="18">
        <f>+VLOOKUP('3. Blasting'!AL227,Leyenda!$B$55:$D$59,3,FALSE)</f>
        <v>3</v>
      </c>
      <c r="AU227" s="18">
        <f>+VLOOKUP('3. Blasting'!AM227,Relleno,3,FALSE)</f>
        <v>2</v>
      </c>
      <c r="AV227" s="18">
        <f t="shared" si="103"/>
        <v>7</v>
      </c>
      <c r="AW227" s="49">
        <f t="shared" si="90"/>
        <v>0</v>
      </c>
      <c r="AX227" s="49">
        <f>VLOOKUP(AF227,Leyenda!$B$4:$D$10,3,FALSE)</f>
        <v>2</v>
      </c>
      <c r="AY227" s="50">
        <f t="shared" si="84"/>
        <v>3</v>
      </c>
      <c r="AZ227" s="49">
        <f t="shared" si="91"/>
        <v>7</v>
      </c>
      <c r="BA227" s="49">
        <f>VLOOKUP(AN227,Leyenda!$B$70:$D$75,3,FALSE)</f>
        <v>15</v>
      </c>
      <c r="BB227" s="67">
        <f t="shared" si="92"/>
        <v>10.5</v>
      </c>
      <c r="BC227" s="67">
        <f>VLOOKUP(AF227,Leyenda!$B$4:$E$10,4,FALSE)</f>
        <v>2</v>
      </c>
      <c r="BD227" s="67">
        <f t="shared" si="93"/>
        <v>5</v>
      </c>
      <c r="BE227" s="67">
        <f t="shared" si="94"/>
        <v>0</v>
      </c>
      <c r="BF227" s="67">
        <f>+VLOOKUP('3. Blasting'!AK227,Leyenda!$B$47:$E$51,4,FALSE)</f>
        <v>1</v>
      </c>
      <c r="BG227" s="67">
        <f>+VLOOKUP('3. Blasting'!AL227,Leyenda!$B$55:$E$59,4,FALSE)</f>
        <v>3</v>
      </c>
      <c r="BH227" s="67">
        <f>+VLOOKUP('3. Blasting'!AM227,Leyenda!$B$63:$E$67,3,FALSE)</f>
        <v>2</v>
      </c>
      <c r="BI227" s="67">
        <f>+VLOOKUP('3. Blasting'!AJ227,Leyenda!$B$39:$E$43,4,FALSE)</f>
        <v>0</v>
      </c>
      <c r="BJ227" s="67">
        <f>+VLOOKUP('3. Blasting'!AI227,Leyenda!$B$30:$E$34,4,FALSE)</f>
        <v>1</v>
      </c>
      <c r="BK227" s="67">
        <f>VLOOKUP(AN227,Leyenda!$B$71:$E$75,4,FALSE)</f>
        <v>10</v>
      </c>
      <c r="BL227" s="67">
        <f t="shared" si="95"/>
        <v>24</v>
      </c>
      <c r="BM227" s="18">
        <f t="shared" si="96"/>
        <v>27</v>
      </c>
      <c r="BN227" s="18"/>
      <c r="BO227" s="18"/>
      <c r="BP227">
        <f t="shared" si="97"/>
        <v>10</v>
      </c>
      <c r="BQ227">
        <f t="shared" si="98"/>
        <v>10</v>
      </c>
      <c r="BR227">
        <v>20</v>
      </c>
      <c r="BS227">
        <f t="shared" si="99"/>
        <v>-50</v>
      </c>
      <c r="BT227">
        <f t="shared" si="100"/>
        <v>0</v>
      </c>
      <c r="BU227">
        <f t="shared" si="101"/>
        <v>-5</v>
      </c>
      <c r="BV227" s="1">
        <f t="shared" si="85"/>
        <v>-0.02</v>
      </c>
      <c r="BW227" s="1">
        <f t="shared" si="86"/>
        <v>0</v>
      </c>
    </row>
    <row r="228" spans="1:75" hidden="1" x14ac:dyDescent="0.25">
      <c r="A228" s="18" t="s">
        <v>6</v>
      </c>
      <c r="B228" s="18">
        <v>2024</v>
      </c>
      <c r="C228" s="18" t="s">
        <v>138</v>
      </c>
      <c r="D228" s="18" t="s">
        <v>245</v>
      </c>
      <c r="E228" s="18">
        <v>20</v>
      </c>
      <c r="F228" s="18" t="s">
        <v>156</v>
      </c>
      <c r="G228" s="18" t="s">
        <v>296</v>
      </c>
      <c r="H228" s="4">
        <f t="shared" si="80"/>
        <v>57</v>
      </c>
      <c r="I228" s="4">
        <v>57.5</v>
      </c>
      <c r="J228" s="4">
        <f t="shared" si="87"/>
        <v>0.5</v>
      </c>
      <c r="K228" s="5">
        <v>0.4</v>
      </c>
      <c r="L228" s="31">
        <f t="shared" si="88"/>
        <v>0.2</v>
      </c>
      <c r="M228" s="31"/>
      <c r="N228" s="31"/>
      <c r="O228" s="31">
        <f t="shared" si="83"/>
        <v>0.2</v>
      </c>
      <c r="P228" s="31">
        <v>10</v>
      </c>
      <c r="Q228" s="31">
        <v>20</v>
      </c>
      <c r="R228" s="31">
        <v>0.17</v>
      </c>
      <c r="S228" s="31">
        <v>0</v>
      </c>
      <c r="T228" s="65">
        <f t="shared" si="102"/>
        <v>0</v>
      </c>
      <c r="U228" s="31">
        <v>5</v>
      </c>
      <c r="V228" s="31"/>
      <c r="W228" s="31">
        <f t="shared" si="81"/>
        <v>5</v>
      </c>
      <c r="X228" s="31">
        <f t="shared" si="82"/>
        <v>34</v>
      </c>
      <c r="Y228" s="31">
        <f t="shared" si="89"/>
        <v>3.4000000000000002E-2</v>
      </c>
      <c r="Z228" s="18">
        <v>0</v>
      </c>
      <c r="AA228" s="18" t="s">
        <v>330</v>
      </c>
      <c r="AB228" s="18" t="s">
        <v>333</v>
      </c>
      <c r="AC228" s="18" t="s">
        <v>337</v>
      </c>
      <c r="AD228" s="18">
        <v>20</v>
      </c>
      <c r="AE228" s="18">
        <v>10</v>
      </c>
      <c r="AF228" s="18" t="s">
        <v>29</v>
      </c>
      <c r="AG228" s="18" t="s">
        <v>199</v>
      </c>
      <c r="AH228" s="18" t="s">
        <v>199</v>
      </c>
      <c r="AI228" s="18" t="s">
        <v>66</v>
      </c>
      <c r="AJ228" s="18" t="s">
        <v>81</v>
      </c>
      <c r="AK228" s="18" t="s">
        <v>96</v>
      </c>
      <c r="AL228" s="18" t="s">
        <v>107</v>
      </c>
      <c r="AM228" s="18" t="s">
        <v>120</v>
      </c>
      <c r="AN228" s="18" t="s">
        <v>198</v>
      </c>
      <c r="AO228" s="18" t="s">
        <v>244</v>
      </c>
      <c r="AP228" s="18"/>
      <c r="AQ228" s="18">
        <f>+VLOOKUP(AI228,Leyenda!$B$30:$E$34,3,FALSE)</f>
        <v>1</v>
      </c>
      <c r="AR228" s="18">
        <f>+VLOOKUP('3. Blasting'!AJ228,Meteorizacion,3,FALSE)</f>
        <v>0</v>
      </c>
      <c r="AS228" s="18">
        <f>+VLOOKUP('3. Blasting'!AK228,Apertura,3,FALSE)</f>
        <v>1</v>
      </c>
      <c r="AT228" s="18">
        <f>+VLOOKUP('3. Blasting'!AL228,Leyenda!$B$55:$D$59,3,FALSE)</f>
        <v>3</v>
      </c>
      <c r="AU228" s="18">
        <f>+VLOOKUP('3. Blasting'!AM228,Relleno,3,FALSE)</f>
        <v>2</v>
      </c>
      <c r="AV228" s="18">
        <f t="shared" si="103"/>
        <v>7</v>
      </c>
      <c r="AW228" s="49">
        <f t="shared" si="90"/>
        <v>0</v>
      </c>
      <c r="AX228" s="49">
        <f>VLOOKUP(AF228,Leyenda!$B$4:$D$10,3,FALSE)</f>
        <v>2</v>
      </c>
      <c r="AY228" s="50">
        <f t="shared" si="84"/>
        <v>3</v>
      </c>
      <c r="AZ228" s="49">
        <f t="shared" si="91"/>
        <v>7</v>
      </c>
      <c r="BA228" s="49">
        <f>VLOOKUP(AN228,Leyenda!$B$70:$D$75,3,FALSE)</f>
        <v>15</v>
      </c>
      <c r="BB228" s="67">
        <f t="shared" si="92"/>
        <v>10.5</v>
      </c>
      <c r="BC228" s="67">
        <f>VLOOKUP(AF228,Leyenda!$B$4:$E$10,4,FALSE)</f>
        <v>2</v>
      </c>
      <c r="BD228" s="67">
        <f t="shared" si="93"/>
        <v>5</v>
      </c>
      <c r="BE228" s="67">
        <f t="shared" si="94"/>
        <v>0</v>
      </c>
      <c r="BF228" s="67">
        <f>+VLOOKUP('3. Blasting'!AK228,Leyenda!$B$47:$E$51,4,FALSE)</f>
        <v>1</v>
      </c>
      <c r="BG228" s="67">
        <f>+VLOOKUP('3. Blasting'!AL228,Leyenda!$B$55:$E$59,4,FALSE)</f>
        <v>3</v>
      </c>
      <c r="BH228" s="67">
        <f>+VLOOKUP('3. Blasting'!AM228,Leyenda!$B$63:$E$67,3,FALSE)</f>
        <v>2</v>
      </c>
      <c r="BI228" s="67">
        <f>+VLOOKUP('3. Blasting'!AJ228,Leyenda!$B$39:$E$43,4,FALSE)</f>
        <v>0</v>
      </c>
      <c r="BJ228" s="67">
        <f>+VLOOKUP('3. Blasting'!AI228,Leyenda!$B$30:$E$34,4,FALSE)</f>
        <v>1</v>
      </c>
      <c r="BK228" s="67">
        <f>VLOOKUP(AN228,Leyenda!$B$71:$E$75,4,FALSE)</f>
        <v>10</v>
      </c>
      <c r="BL228" s="67">
        <f t="shared" si="95"/>
        <v>24</v>
      </c>
      <c r="BM228" s="18">
        <f t="shared" si="96"/>
        <v>27</v>
      </c>
      <c r="BN228" s="18"/>
      <c r="BO228" s="18"/>
      <c r="BP228">
        <f t="shared" si="97"/>
        <v>10</v>
      </c>
      <c r="BQ228">
        <f t="shared" si="98"/>
        <v>10</v>
      </c>
      <c r="BR228">
        <v>20</v>
      </c>
      <c r="BS228">
        <f t="shared" si="99"/>
        <v>-50</v>
      </c>
      <c r="BT228">
        <f t="shared" si="100"/>
        <v>0</v>
      </c>
      <c r="BU228">
        <f t="shared" si="101"/>
        <v>-5</v>
      </c>
      <c r="BV228" s="1">
        <f t="shared" si="85"/>
        <v>-0.02</v>
      </c>
      <c r="BW228" s="1">
        <f t="shared" si="86"/>
        <v>0</v>
      </c>
    </row>
    <row r="229" spans="1:75" hidden="1" x14ac:dyDescent="0.25">
      <c r="A229" s="18" t="s">
        <v>6</v>
      </c>
      <c r="B229" s="18">
        <v>2024</v>
      </c>
      <c r="C229" s="18" t="s">
        <v>138</v>
      </c>
      <c r="D229" s="18" t="s">
        <v>245</v>
      </c>
      <c r="E229" s="18">
        <v>20</v>
      </c>
      <c r="F229" s="18" t="s">
        <v>156</v>
      </c>
      <c r="G229" s="18" t="s">
        <v>296</v>
      </c>
      <c r="H229" s="4">
        <f t="shared" si="80"/>
        <v>57.5</v>
      </c>
      <c r="I229" s="4">
        <v>58</v>
      </c>
      <c r="J229" s="4">
        <f t="shared" si="87"/>
        <v>0.5</v>
      </c>
      <c r="K229" s="5">
        <v>0.5</v>
      </c>
      <c r="L229" s="31">
        <f t="shared" si="88"/>
        <v>0.25</v>
      </c>
      <c r="M229" s="31"/>
      <c r="N229" s="31"/>
      <c r="O229" s="31">
        <f t="shared" si="83"/>
        <v>0.25</v>
      </c>
      <c r="P229" s="31">
        <v>12.5</v>
      </c>
      <c r="Q229" s="31">
        <v>20</v>
      </c>
      <c r="R229" s="31">
        <v>0.24</v>
      </c>
      <c r="S229" s="31">
        <v>0</v>
      </c>
      <c r="T229" s="65">
        <f t="shared" si="102"/>
        <v>0</v>
      </c>
      <c r="U229" s="31">
        <v>6</v>
      </c>
      <c r="V229" s="31"/>
      <c r="W229" s="31">
        <f t="shared" si="81"/>
        <v>6</v>
      </c>
      <c r="X229" s="31">
        <f t="shared" si="82"/>
        <v>40</v>
      </c>
      <c r="Y229" s="31">
        <f t="shared" si="89"/>
        <v>0.04</v>
      </c>
      <c r="Z229" s="18">
        <v>0</v>
      </c>
      <c r="AA229" s="18" t="s">
        <v>330</v>
      </c>
      <c r="AB229" s="18" t="s">
        <v>333</v>
      </c>
      <c r="AC229" s="18" t="s">
        <v>337</v>
      </c>
      <c r="AD229" s="18">
        <v>20</v>
      </c>
      <c r="AE229" s="18">
        <v>12.5</v>
      </c>
      <c r="AF229" s="18" t="s">
        <v>29</v>
      </c>
      <c r="AG229" s="18" t="s">
        <v>199</v>
      </c>
      <c r="AH229" s="18" t="s">
        <v>199</v>
      </c>
      <c r="AI229" s="18" t="s">
        <v>66</v>
      </c>
      <c r="AJ229" s="18" t="s">
        <v>81</v>
      </c>
      <c r="AK229" s="18" t="s">
        <v>96</v>
      </c>
      <c r="AL229" s="18" t="s">
        <v>107</v>
      </c>
      <c r="AM229" s="18" t="s">
        <v>120</v>
      </c>
      <c r="AN229" s="18" t="s">
        <v>198</v>
      </c>
      <c r="AO229" s="18" t="s">
        <v>244</v>
      </c>
      <c r="AP229" s="18"/>
      <c r="AQ229" s="18">
        <f>+VLOOKUP(AI229,Leyenda!$B$30:$E$34,3,FALSE)</f>
        <v>1</v>
      </c>
      <c r="AR229" s="18">
        <f>+VLOOKUP('3. Blasting'!AJ229,Meteorizacion,3,FALSE)</f>
        <v>0</v>
      </c>
      <c r="AS229" s="18">
        <f>+VLOOKUP('3. Blasting'!AK229,Apertura,3,FALSE)</f>
        <v>1</v>
      </c>
      <c r="AT229" s="18">
        <f>+VLOOKUP('3. Blasting'!AL229,Leyenda!$B$55:$D$59,3,FALSE)</f>
        <v>3</v>
      </c>
      <c r="AU229" s="18">
        <f>+VLOOKUP('3. Blasting'!AM229,Relleno,3,FALSE)</f>
        <v>2</v>
      </c>
      <c r="AV229" s="18">
        <f t="shared" si="103"/>
        <v>7</v>
      </c>
      <c r="AW229" s="49">
        <f t="shared" si="90"/>
        <v>0</v>
      </c>
      <c r="AX229" s="49">
        <f>VLOOKUP(AF229,Leyenda!$B$4:$D$10,3,FALSE)</f>
        <v>2</v>
      </c>
      <c r="AY229" s="50">
        <f t="shared" si="84"/>
        <v>4</v>
      </c>
      <c r="AZ229" s="49">
        <f t="shared" si="91"/>
        <v>7</v>
      </c>
      <c r="BA229" s="49">
        <f>VLOOKUP(AN229,Leyenda!$B$70:$D$75,3,FALSE)</f>
        <v>15</v>
      </c>
      <c r="BB229" s="67">
        <f t="shared" si="92"/>
        <v>10.5</v>
      </c>
      <c r="BC229" s="67">
        <f>VLOOKUP(AF229,Leyenda!$B$4:$E$10,4,FALSE)</f>
        <v>2</v>
      </c>
      <c r="BD229" s="67">
        <f t="shared" si="93"/>
        <v>5</v>
      </c>
      <c r="BE229" s="67">
        <f t="shared" si="94"/>
        <v>0</v>
      </c>
      <c r="BF229" s="67">
        <f>+VLOOKUP('3. Blasting'!AK229,Leyenda!$B$47:$E$51,4,FALSE)</f>
        <v>1</v>
      </c>
      <c r="BG229" s="67">
        <f>+VLOOKUP('3. Blasting'!AL229,Leyenda!$B$55:$E$59,4,FALSE)</f>
        <v>3</v>
      </c>
      <c r="BH229" s="67">
        <f>+VLOOKUP('3. Blasting'!AM229,Leyenda!$B$63:$E$67,3,FALSE)</f>
        <v>2</v>
      </c>
      <c r="BI229" s="67">
        <f>+VLOOKUP('3. Blasting'!AJ229,Leyenda!$B$39:$E$43,4,FALSE)</f>
        <v>0</v>
      </c>
      <c r="BJ229" s="67">
        <f>+VLOOKUP('3. Blasting'!AI229,Leyenda!$B$30:$E$34,4,FALSE)</f>
        <v>1</v>
      </c>
      <c r="BK229" s="67">
        <f>VLOOKUP(AN229,Leyenda!$B$71:$E$75,4,FALSE)</f>
        <v>10</v>
      </c>
      <c r="BL229" s="67">
        <f t="shared" si="95"/>
        <v>24</v>
      </c>
      <c r="BM229" s="18">
        <f t="shared" si="96"/>
        <v>28</v>
      </c>
      <c r="BN229" s="18"/>
      <c r="BO229" s="18"/>
      <c r="BP229">
        <f t="shared" si="97"/>
        <v>10</v>
      </c>
      <c r="BQ229">
        <f t="shared" si="98"/>
        <v>10</v>
      </c>
      <c r="BR229">
        <v>20</v>
      </c>
      <c r="BS229">
        <f t="shared" si="99"/>
        <v>-50</v>
      </c>
      <c r="BT229">
        <f t="shared" si="100"/>
        <v>0</v>
      </c>
      <c r="BU229">
        <f t="shared" si="101"/>
        <v>-5</v>
      </c>
      <c r="BV229" s="1">
        <f t="shared" si="85"/>
        <v>-0.02</v>
      </c>
      <c r="BW229" s="1">
        <f t="shared" si="86"/>
        <v>0</v>
      </c>
    </row>
    <row r="230" spans="1:75" hidden="1" x14ac:dyDescent="0.25">
      <c r="A230" s="18" t="s">
        <v>6</v>
      </c>
      <c r="B230" s="18">
        <v>2024</v>
      </c>
      <c r="C230" s="18" t="s">
        <v>138</v>
      </c>
      <c r="D230" s="18" t="s">
        <v>245</v>
      </c>
      <c r="E230" s="18">
        <v>20</v>
      </c>
      <c r="F230" s="18" t="s">
        <v>156</v>
      </c>
      <c r="G230" s="18" t="s">
        <v>296</v>
      </c>
      <c r="H230" s="4">
        <f t="shared" si="80"/>
        <v>58</v>
      </c>
      <c r="I230" s="4">
        <v>58.5</v>
      </c>
      <c r="J230" s="4">
        <f t="shared" si="87"/>
        <v>0.5</v>
      </c>
      <c r="K230" s="5">
        <v>0.42</v>
      </c>
      <c r="L230" s="31">
        <f t="shared" si="88"/>
        <v>0.21</v>
      </c>
      <c r="M230" s="31"/>
      <c r="N230" s="31"/>
      <c r="O230" s="31">
        <f t="shared" si="83"/>
        <v>0.21</v>
      </c>
      <c r="P230" s="31">
        <v>10.5</v>
      </c>
      <c r="Q230" s="31">
        <v>20</v>
      </c>
      <c r="R230" s="31">
        <v>0.2</v>
      </c>
      <c r="S230" s="31">
        <v>0</v>
      </c>
      <c r="T230" s="65">
        <f t="shared" si="102"/>
        <v>0</v>
      </c>
      <c r="U230" s="31">
        <v>3</v>
      </c>
      <c r="V230" s="31"/>
      <c r="W230" s="31">
        <f t="shared" si="81"/>
        <v>3</v>
      </c>
      <c r="X230" s="31">
        <f t="shared" si="82"/>
        <v>66.666666666666671</v>
      </c>
      <c r="Y230" s="31">
        <f t="shared" si="89"/>
        <v>6.6666666666666666E-2</v>
      </c>
      <c r="Z230" s="18">
        <v>0</v>
      </c>
      <c r="AA230" s="18" t="s">
        <v>330</v>
      </c>
      <c r="AB230" s="18" t="s">
        <v>333</v>
      </c>
      <c r="AC230" s="18" t="s">
        <v>337</v>
      </c>
      <c r="AD230" s="18">
        <v>20</v>
      </c>
      <c r="AE230" s="18">
        <v>10.5</v>
      </c>
      <c r="AF230" s="18" t="s">
        <v>29</v>
      </c>
      <c r="AG230" s="18" t="s">
        <v>199</v>
      </c>
      <c r="AH230" s="18" t="s">
        <v>199</v>
      </c>
      <c r="AI230" s="18" t="s">
        <v>66</v>
      </c>
      <c r="AJ230" s="18" t="s">
        <v>81</v>
      </c>
      <c r="AK230" s="18" t="s">
        <v>96</v>
      </c>
      <c r="AL230" s="18" t="s">
        <v>107</v>
      </c>
      <c r="AM230" s="18" t="s">
        <v>120</v>
      </c>
      <c r="AN230" s="18" t="s">
        <v>198</v>
      </c>
      <c r="AO230" s="18" t="s">
        <v>244</v>
      </c>
      <c r="AP230" s="18"/>
      <c r="AQ230" s="18">
        <f>+VLOOKUP(AI230,Leyenda!$B$30:$E$34,3,FALSE)</f>
        <v>1</v>
      </c>
      <c r="AR230" s="18">
        <f>+VLOOKUP('3. Blasting'!AJ230,Meteorizacion,3,FALSE)</f>
        <v>0</v>
      </c>
      <c r="AS230" s="18">
        <f>+VLOOKUP('3. Blasting'!AK230,Apertura,3,FALSE)</f>
        <v>1</v>
      </c>
      <c r="AT230" s="18">
        <f>+VLOOKUP('3. Blasting'!AL230,Leyenda!$B$55:$D$59,3,FALSE)</f>
        <v>3</v>
      </c>
      <c r="AU230" s="18">
        <f>+VLOOKUP('3. Blasting'!AM230,Relleno,3,FALSE)</f>
        <v>2</v>
      </c>
      <c r="AV230" s="18">
        <f t="shared" si="103"/>
        <v>7</v>
      </c>
      <c r="AW230" s="49">
        <f t="shared" si="90"/>
        <v>0</v>
      </c>
      <c r="AX230" s="49">
        <f>VLOOKUP(AF230,Leyenda!$B$4:$D$10,3,FALSE)</f>
        <v>2</v>
      </c>
      <c r="AY230" s="50">
        <f t="shared" si="84"/>
        <v>3</v>
      </c>
      <c r="AZ230" s="49">
        <f t="shared" si="91"/>
        <v>7</v>
      </c>
      <c r="BA230" s="49">
        <f>VLOOKUP(AN230,Leyenda!$B$70:$D$75,3,FALSE)</f>
        <v>15</v>
      </c>
      <c r="BB230" s="67">
        <f t="shared" si="92"/>
        <v>10.5</v>
      </c>
      <c r="BC230" s="67">
        <f>VLOOKUP(AF230,Leyenda!$B$4:$E$10,4,FALSE)</f>
        <v>2</v>
      </c>
      <c r="BD230" s="67">
        <f t="shared" si="93"/>
        <v>6</v>
      </c>
      <c r="BE230" s="67">
        <f t="shared" si="94"/>
        <v>0</v>
      </c>
      <c r="BF230" s="67">
        <f>+VLOOKUP('3. Blasting'!AK230,Leyenda!$B$47:$E$51,4,FALSE)</f>
        <v>1</v>
      </c>
      <c r="BG230" s="67">
        <f>+VLOOKUP('3. Blasting'!AL230,Leyenda!$B$55:$E$59,4,FALSE)</f>
        <v>3</v>
      </c>
      <c r="BH230" s="67">
        <f>+VLOOKUP('3. Blasting'!AM230,Leyenda!$B$63:$E$67,3,FALSE)</f>
        <v>2</v>
      </c>
      <c r="BI230" s="67">
        <f>+VLOOKUP('3. Blasting'!AJ230,Leyenda!$B$39:$E$43,4,FALSE)</f>
        <v>0</v>
      </c>
      <c r="BJ230" s="67">
        <f>+VLOOKUP('3. Blasting'!AI230,Leyenda!$B$30:$E$34,4,FALSE)</f>
        <v>1</v>
      </c>
      <c r="BK230" s="67">
        <f>VLOOKUP(AN230,Leyenda!$B$71:$E$75,4,FALSE)</f>
        <v>10</v>
      </c>
      <c r="BL230" s="67">
        <f t="shared" si="95"/>
        <v>25</v>
      </c>
      <c r="BM230" s="18">
        <f t="shared" si="96"/>
        <v>27</v>
      </c>
      <c r="BN230" s="18"/>
      <c r="BO230" s="18"/>
      <c r="BP230">
        <f t="shared" si="97"/>
        <v>10</v>
      </c>
      <c r="BQ230">
        <f t="shared" si="98"/>
        <v>10</v>
      </c>
      <c r="BR230">
        <v>20</v>
      </c>
      <c r="BS230">
        <f t="shared" si="99"/>
        <v>-50</v>
      </c>
      <c r="BT230">
        <f t="shared" si="100"/>
        <v>0</v>
      </c>
      <c r="BU230">
        <f t="shared" si="101"/>
        <v>-5</v>
      </c>
      <c r="BV230" s="1">
        <f t="shared" si="85"/>
        <v>-0.02</v>
      </c>
      <c r="BW230" s="1">
        <f t="shared" si="86"/>
        <v>0</v>
      </c>
    </row>
    <row r="231" spans="1:75" hidden="1" x14ac:dyDescent="0.25">
      <c r="A231" s="18" t="s">
        <v>6</v>
      </c>
      <c r="B231" s="18">
        <v>2024</v>
      </c>
      <c r="C231" s="18" t="s">
        <v>138</v>
      </c>
      <c r="D231" s="18" t="s">
        <v>245</v>
      </c>
      <c r="E231" s="18">
        <v>20</v>
      </c>
      <c r="F231" s="18" t="s">
        <v>156</v>
      </c>
      <c r="G231" s="18" t="s">
        <v>296</v>
      </c>
      <c r="H231" s="4">
        <f t="shared" si="80"/>
        <v>58.5</v>
      </c>
      <c r="I231" s="4">
        <v>59</v>
      </c>
      <c r="J231" s="4">
        <f t="shared" si="87"/>
        <v>0.5</v>
      </c>
      <c r="K231" s="5">
        <v>0.46</v>
      </c>
      <c r="L231" s="31">
        <f t="shared" si="88"/>
        <v>0.23</v>
      </c>
      <c r="M231" s="31"/>
      <c r="N231" s="31"/>
      <c r="O231" s="31">
        <f t="shared" si="83"/>
        <v>0.23</v>
      </c>
      <c r="P231" s="31">
        <v>11.5</v>
      </c>
      <c r="Q231" s="31">
        <v>20</v>
      </c>
      <c r="R231" s="31">
        <v>0.2</v>
      </c>
      <c r="S231" s="31">
        <v>0</v>
      </c>
      <c r="T231" s="65">
        <f t="shared" si="102"/>
        <v>0</v>
      </c>
      <c r="U231" s="31">
        <v>4</v>
      </c>
      <c r="V231" s="31"/>
      <c r="W231" s="31">
        <f t="shared" si="81"/>
        <v>4</v>
      </c>
      <c r="X231" s="31">
        <f t="shared" si="82"/>
        <v>50</v>
      </c>
      <c r="Y231" s="31">
        <f t="shared" si="89"/>
        <v>0.05</v>
      </c>
      <c r="Z231" s="18">
        <v>0</v>
      </c>
      <c r="AA231" s="18" t="s">
        <v>330</v>
      </c>
      <c r="AB231" s="18" t="s">
        <v>333</v>
      </c>
      <c r="AC231" s="18" t="s">
        <v>337</v>
      </c>
      <c r="AD231" s="18">
        <v>20</v>
      </c>
      <c r="AE231" s="18">
        <v>11.5</v>
      </c>
      <c r="AF231" s="18" t="s">
        <v>29</v>
      </c>
      <c r="AG231" s="18" t="s">
        <v>199</v>
      </c>
      <c r="AH231" s="18" t="s">
        <v>199</v>
      </c>
      <c r="AI231" s="18" t="s">
        <v>66</v>
      </c>
      <c r="AJ231" s="18" t="s">
        <v>81</v>
      </c>
      <c r="AK231" s="18" t="s">
        <v>96</v>
      </c>
      <c r="AL231" s="18" t="s">
        <v>107</v>
      </c>
      <c r="AM231" s="18" t="s">
        <v>120</v>
      </c>
      <c r="AN231" s="18" t="s">
        <v>198</v>
      </c>
      <c r="AO231" s="18" t="s">
        <v>244</v>
      </c>
      <c r="AP231" s="18"/>
      <c r="AQ231" s="18">
        <f>+VLOOKUP(AI231,Leyenda!$B$30:$E$34,3,FALSE)</f>
        <v>1</v>
      </c>
      <c r="AR231" s="18">
        <f>+VLOOKUP('3. Blasting'!AJ231,Meteorizacion,3,FALSE)</f>
        <v>0</v>
      </c>
      <c r="AS231" s="18">
        <f>+VLOOKUP('3. Blasting'!AK231,Apertura,3,FALSE)</f>
        <v>1</v>
      </c>
      <c r="AT231" s="18">
        <f>+VLOOKUP('3. Blasting'!AL231,Leyenda!$B$55:$D$59,3,FALSE)</f>
        <v>3</v>
      </c>
      <c r="AU231" s="18">
        <f>+VLOOKUP('3. Blasting'!AM231,Relleno,3,FALSE)</f>
        <v>2</v>
      </c>
      <c r="AV231" s="18">
        <f t="shared" si="103"/>
        <v>7</v>
      </c>
      <c r="AW231" s="49">
        <f t="shared" si="90"/>
        <v>0</v>
      </c>
      <c r="AX231" s="49">
        <f>VLOOKUP(AF231,Leyenda!$B$4:$D$10,3,FALSE)</f>
        <v>2</v>
      </c>
      <c r="AY231" s="50">
        <f t="shared" si="84"/>
        <v>4</v>
      </c>
      <c r="AZ231" s="49">
        <f t="shared" si="91"/>
        <v>7</v>
      </c>
      <c r="BA231" s="49">
        <f>VLOOKUP(AN231,Leyenda!$B$70:$D$75,3,FALSE)</f>
        <v>15</v>
      </c>
      <c r="BB231" s="67">
        <f t="shared" si="92"/>
        <v>10.5</v>
      </c>
      <c r="BC231" s="67">
        <f>VLOOKUP(AF231,Leyenda!$B$4:$E$10,4,FALSE)</f>
        <v>2</v>
      </c>
      <c r="BD231" s="67">
        <f t="shared" si="93"/>
        <v>5</v>
      </c>
      <c r="BE231" s="67">
        <f t="shared" si="94"/>
        <v>0</v>
      </c>
      <c r="BF231" s="67">
        <f>+VLOOKUP('3. Blasting'!AK231,Leyenda!$B$47:$E$51,4,FALSE)</f>
        <v>1</v>
      </c>
      <c r="BG231" s="67">
        <f>+VLOOKUP('3. Blasting'!AL231,Leyenda!$B$55:$E$59,4,FALSE)</f>
        <v>3</v>
      </c>
      <c r="BH231" s="67">
        <f>+VLOOKUP('3. Blasting'!AM231,Leyenda!$B$63:$E$67,3,FALSE)</f>
        <v>2</v>
      </c>
      <c r="BI231" s="67">
        <f>+VLOOKUP('3. Blasting'!AJ231,Leyenda!$B$39:$E$43,4,FALSE)</f>
        <v>0</v>
      </c>
      <c r="BJ231" s="67">
        <f>+VLOOKUP('3. Blasting'!AI231,Leyenda!$B$30:$E$34,4,FALSE)</f>
        <v>1</v>
      </c>
      <c r="BK231" s="67">
        <f>VLOOKUP(AN231,Leyenda!$B$71:$E$75,4,FALSE)</f>
        <v>10</v>
      </c>
      <c r="BL231" s="67">
        <f t="shared" si="95"/>
        <v>24</v>
      </c>
      <c r="BM231" s="18">
        <f t="shared" si="96"/>
        <v>28</v>
      </c>
      <c r="BN231" s="18"/>
      <c r="BO231" s="18"/>
      <c r="BP231">
        <f t="shared" si="97"/>
        <v>10</v>
      </c>
      <c r="BQ231">
        <f t="shared" si="98"/>
        <v>10</v>
      </c>
      <c r="BR231">
        <v>20</v>
      </c>
      <c r="BS231">
        <f t="shared" si="99"/>
        <v>-50</v>
      </c>
      <c r="BT231">
        <f t="shared" si="100"/>
        <v>0</v>
      </c>
      <c r="BU231">
        <f t="shared" si="101"/>
        <v>-5</v>
      </c>
      <c r="BV231" s="1">
        <f t="shared" si="85"/>
        <v>-0.02</v>
      </c>
      <c r="BW231" s="1">
        <f t="shared" si="86"/>
        <v>0</v>
      </c>
    </row>
    <row r="232" spans="1:75" hidden="1" x14ac:dyDescent="0.25">
      <c r="A232" s="18" t="s">
        <v>6</v>
      </c>
      <c r="B232" s="18">
        <v>2024</v>
      </c>
      <c r="C232" s="18" t="s">
        <v>138</v>
      </c>
      <c r="D232" s="18" t="s">
        <v>245</v>
      </c>
      <c r="E232" s="18">
        <v>20</v>
      </c>
      <c r="F232" s="18" t="s">
        <v>156</v>
      </c>
      <c r="G232" s="18" t="s">
        <v>296</v>
      </c>
      <c r="H232" s="4">
        <f t="shared" si="80"/>
        <v>59</v>
      </c>
      <c r="I232" s="4">
        <v>59.5</v>
      </c>
      <c r="J232" s="4">
        <f t="shared" si="87"/>
        <v>0.5</v>
      </c>
      <c r="K232" s="5">
        <v>0.6</v>
      </c>
      <c r="L232" s="31">
        <f t="shared" si="88"/>
        <v>0.3</v>
      </c>
      <c r="M232" s="31"/>
      <c r="N232" s="31"/>
      <c r="O232" s="31">
        <f t="shared" si="83"/>
        <v>0.3</v>
      </c>
      <c r="P232" s="31">
        <v>15</v>
      </c>
      <c r="Q232" s="31">
        <v>20</v>
      </c>
      <c r="R232" s="31">
        <v>0.22</v>
      </c>
      <c r="S232" s="31">
        <v>0</v>
      </c>
      <c r="T232" s="65">
        <f t="shared" si="102"/>
        <v>0</v>
      </c>
      <c r="U232" s="31">
        <v>5</v>
      </c>
      <c r="V232" s="31"/>
      <c r="W232" s="31">
        <f t="shared" si="81"/>
        <v>5</v>
      </c>
      <c r="X232" s="31">
        <f t="shared" si="82"/>
        <v>44</v>
      </c>
      <c r="Y232" s="31">
        <f t="shared" si="89"/>
        <v>4.3999999999999997E-2</v>
      </c>
      <c r="Z232" s="18">
        <v>0</v>
      </c>
      <c r="AA232" s="18" t="s">
        <v>330</v>
      </c>
      <c r="AB232" s="18" t="s">
        <v>333</v>
      </c>
      <c r="AC232" s="18" t="s">
        <v>337</v>
      </c>
      <c r="AD232" s="18">
        <v>20</v>
      </c>
      <c r="AE232" s="18">
        <v>15</v>
      </c>
      <c r="AF232" s="18" t="s">
        <v>29</v>
      </c>
      <c r="AG232" s="18" t="s">
        <v>199</v>
      </c>
      <c r="AH232" s="18" t="s">
        <v>199</v>
      </c>
      <c r="AI232" s="18" t="s">
        <v>66</v>
      </c>
      <c r="AJ232" s="18" t="s">
        <v>81</v>
      </c>
      <c r="AK232" s="18" t="s">
        <v>96</v>
      </c>
      <c r="AL232" s="18" t="s">
        <v>107</v>
      </c>
      <c r="AM232" s="18" t="s">
        <v>120</v>
      </c>
      <c r="AN232" s="18" t="s">
        <v>198</v>
      </c>
      <c r="AO232" s="18" t="s">
        <v>244</v>
      </c>
      <c r="AP232" s="18"/>
      <c r="AQ232" s="18">
        <f>+VLOOKUP(AI232,Leyenda!$B$30:$E$34,3,FALSE)</f>
        <v>1</v>
      </c>
      <c r="AR232" s="18">
        <f>+VLOOKUP('3. Blasting'!AJ232,Meteorizacion,3,FALSE)</f>
        <v>0</v>
      </c>
      <c r="AS232" s="18">
        <f>+VLOOKUP('3. Blasting'!AK232,Apertura,3,FALSE)</f>
        <v>1</v>
      </c>
      <c r="AT232" s="18">
        <f>+VLOOKUP('3. Blasting'!AL232,Leyenda!$B$55:$D$59,3,FALSE)</f>
        <v>3</v>
      </c>
      <c r="AU232" s="18">
        <f>+VLOOKUP('3. Blasting'!AM232,Relleno,3,FALSE)</f>
        <v>2</v>
      </c>
      <c r="AV232" s="18">
        <f t="shared" si="103"/>
        <v>7</v>
      </c>
      <c r="AW232" s="49">
        <f t="shared" si="90"/>
        <v>0</v>
      </c>
      <c r="AX232" s="49">
        <f>VLOOKUP(AF232,Leyenda!$B$4:$D$10,3,FALSE)</f>
        <v>2</v>
      </c>
      <c r="AY232" s="50">
        <f t="shared" si="84"/>
        <v>4</v>
      </c>
      <c r="AZ232" s="49">
        <f t="shared" si="91"/>
        <v>7</v>
      </c>
      <c r="BA232" s="49">
        <f>VLOOKUP(AN232,Leyenda!$B$70:$D$75,3,FALSE)</f>
        <v>15</v>
      </c>
      <c r="BB232" s="67">
        <f t="shared" si="92"/>
        <v>10.5</v>
      </c>
      <c r="BC232" s="67">
        <f>VLOOKUP(AF232,Leyenda!$B$4:$E$10,4,FALSE)</f>
        <v>2</v>
      </c>
      <c r="BD232" s="67">
        <f t="shared" si="93"/>
        <v>5</v>
      </c>
      <c r="BE232" s="67">
        <f t="shared" si="94"/>
        <v>0</v>
      </c>
      <c r="BF232" s="67">
        <f>+VLOOKUP('3. Blasting'!AK232,Leyenda!$B$47:$E$51,4,FALSE)</f>
        <v>1</v>
      </c>
      <c r="BG232" s="67">
        <f>+VLOOKUP('3. Blasting'!AL232,Leyenda!$B$55:$E$59,4,FALSE)</f>
        <v>3</v>
      </c>
      <c r="BH232" s="67">
        <f>+VLOOKUP('3. Blasting'!AM232,Leyenda!$B$63:$E$67,3,FALSE)</f>
        <v>2</v>
      </c>
      <c r="BI232" s="67">
        <f>+VLOOKUP('3. Blasting'!AJ232,Leyenda!$B$39:$E$43,4,FALSE)</f>
        <v>0</v>
      </c>
      <c r="BJ232" s="67">
        <f>+VLOOKUP('3. Blasting'!AI232,Leyenda!$B$30:$E$34,4,FALSE)</f>
        <v>1</v>
      </c>
      <c r="BK232" s="67">
        <f>VLOOKUP(AN232,Leyenda!$B$71:$E$75,4,FALSE)</f>
        <v>10</v>
      </c>
      <c r="BL232" s="67">
        <f t="shared" si="95"/>
        <v>24</v>
      </c>
      <c r="BM232" s="18">
        <f t="shared" si="96"/>
        <v>28</v>
      </c>
      <c r="BN232" s="18"/>
      <c r="BO232" s="18"/>
      <c r="BP232">
        <f t="shared" si="97"/>
        <v>10</v>
      </c>
      <c r="BQ232">
        <f t="shared" si="98"/>
        <v>10</v>
      </c>
      <c r="BR232">
        <v>20</v>
      </c>
      <c r="BS232">
        <f t="shared" si="99"/>
        <v>-50</v>
      </c>
      <c r="BT232">
        <f t="shared" si="100"/>
        <v>0</v>
      </c>
      <c r="BU232">
        <f t="shared" si="101"/>
        <v>-5</v>
      </c>
      <c r="BV232" s="1">
        <f t="shared" si="85"/>
        <v>-0.02</v>
      </c>
      <c r="BW232" s="1">
        <f t="shared" si="86"/>
        <v>0</v>
      </c>
    </row>
    <row r="233" spans="1:75" hidden="1" x14ac:dyDescent="0.25">
      <c r="A233" s="36" t="s">
        <v>6</v>
      </c>
      <c r="B233" s="36">
        <v>2024</v>
      </c>
      <c r="C233" s="36" t="s">
        <v>138</v>
      </c>
      <c r="D233" s="36" t="s">
        <v>245</v>
      </c>
      <c r="E233" s="36">
        <v>20</v>
      </c>
      <c r="F233" s="36" t="s">
        <v>156</v>
      </c>
      <c r="G233" s="36" t="s">
        <v>296</v>
      </c>
      <c r="H233" s="107">
        <f t="shared" si="80"/>
        <v>59.5</v>
      </c>
      <c r="I233" s="107">
        <v>60</v>
      </c>
      <c r="J233" s="107">
        <f t="shared" si="87"/>
        <v>0.5</v>
      </c>
      <c r="K233" s="108">
        <v>0.54</v>
      </c>
      <c r="L233" s="106">
        <f t="shared" si="88"/>
        <v>0.27</v>
      </c>
      <c r="M233" s="106"/>
      <c r="N233" s="106"/>
      <c r="O233" s="106">
        <f t="shared" si="83"/>
        <v>0.27</v>
      </c>
      <c r="P233" s="106">
        <v>13.5</v>
      </c>
      <c r="Q233" s="106">
        <v>20</v>
      </c>
      <c r="R233" s="106">
        <v>0.26</v>
      </c>
      <c r="S233" s="106">
        <v>0</v>
      </c>
      <c r="T233" s="112">
        <f t="shared" si="102"/>
        <v>0</v>
      </c>
      <c r="U233" s="106">
        <v>7</v>
      </c>
      <c r="V233" s="106"/>
      <c r="W233" s="106">
        <f t="shared" si="81"/>
        <v>7</v>
      </c>
      <c r="X233" s="106">
        <f t="shared" si="82"/>
        <v>37.142857142857146</v>
      </c>
      <c r="Y233" s="106">
        <f t="shared" si="89"/>
        <v>3.7142857142857144E-2</v>
      </c>
      <c r="Z233" s="36">
        <v>0</v>
      </c>
      <c r="AA233" s="36" t="s">
        <v>330</v>
      </c>
      <c r="AB233" s="36" t="s">
        <v>333</v>
      </c>
      <c r="AC233" s="36" t="s">
        <v>337</v>
      </c>
      <c r="AD233" s="36">
        <v>20</v>
      </c>
      <c r="AE233" s="36">
        <v>13.5</v>
      </c>
      <c r="AF233" s="36" t="s">
        <v>29</v>
      </c>
      <c r="AG233" s="36" t="s">
        <v>27</v>
      </c>
      <c r="AH233" s="36" t="s">
        <v>27</v>
      </c>
      <c r="AI233" s="36" t="s">
        <v>64</v>
      </c>
      <c r="AJ233" s="36" t="s">
        <v>77</v>
      </c>
      <c r="AK233" s="36" t="s">
        <v>92</v>
      </c>
      <c r="AL233" s="36" t="s">
        <v>107</v>
      </c>
      <c r="AM233" s="36" t="s">
        <v>118</v>
      </c>
      <c r="AN233" s="36" t="s">
        <v>198</v>
      </c>
      <c r="AO233" s="36" t="s">
        <v>235</v>
      </c>
      <c r="AP233" s="36"/>
      <c r="AQ233" s="36">
        <f>+VLOOKUP(AI233,Leyenda!$B$30:$E$34,3,FALSE)</f>
        <v>2</v>
      </c>
      <c r="AR233" s="36">
        <f>+VLOOKUP('3. Blasting'!AJ233,Meteorizacion,3,FALSE)</f>
        <v>3</v>
      </c>
      <c r="AS233" s="36">
        <f>+VLOOKUP('3. Blasting'!AK233,Apertura,3,FALSE)</f>
        <v>3</v>
      </c>
      <c r="AT233" s="36">
        <f>+VLOOKUP('3. Blasting'!AL233,Leyenda!$B$55:$D$59,3,FALSE)</f>
        <v>3</v>
      </c>
      <c r="AU233" s="36">
        <f>+VLOOKUP('3. Blasting'!AM233,Relleno,3,FALSE)</f>
        <v>2</v>
      </c>
      <c r="AV233" s="36">
        <f t="shared" si="103"/>
        <v>13</v>
      </c>
      <c r="AW233" s="50">
        <f t="shared" si="90"/>
        <v>0</v>
      </c>
      <c r="AX233" s="50">
        <f>VLOOKUP(AF233,Leyenda!$B$4:$D$10,3,FALSE)</f>
        <v>2</v>
      </c>
      <c r="AY233" s="50">
        <f t="shared" si="84"/>
        <v>4</v>
      </c>
      <c r="AZ233" s="50">
        <f t="shared" si="91"/>
        <v>13</v>
      </c>
      <c r="BA233" s="50">
        <f>VLOOKUP(AN233,Leyenda!$B$70:$D$75,3,FALSE)</f>
        <v>15</v>
      </c>
      <c r="BB233" s="110">
        <f t="shared" si="92"/>
        <v>19.5</v>
      </c>
      <c r="BC233" s="110">
        <f>VLOOKUP(AF233,Leyenda!$B$4:$E$10,4,FALSE)</f>
        <v>2</v>
      </c>
      <c r="BD233" s="110">
        <f t="shared" si="93"/>
        <v>5</v>
      </c>
      <c r="BE233" s="110">
        <f t="shared" si="94"/>
        <v>0</v>
      </c>
      <c r="BF233" s="110">
        <f>+VLOOKUP('3. Blasting'!AK233,Leyenda!$B$47:$E$51,4,FALSE)</f>
        <v>3</v>
      </c>
      <c r="BG233" s="110">
        <f>+VLOOKUP('3. Blasting'!AL233,Leyenda!$B$55:$E$59,4,FALSE)</f>
        <v>3</v>
      </c>
      <c r="BH233" s="110">
        <f>+VLOOKUP('3. Blasting'!AM233,Leyenda!$B$63:$E$67,3,FALSE)</f>
        <v>2</v>
      </c>
      <c r="BI233" s="110">
        <f>+VLOOKUP('3. Blasting'!AJ233,Leyenda!$B$39:$E$43,4,FALSE)</f>
        <v>3</v>
      </c>
      <c r="BJ233" s="110">
        <f>+VLOOKUP('3. Blasting'!AI233,Leyenda!$B$30:$E$34,4,FALSE)</f>
        <v>3</v>
      </c>
      <c r="BK233" s="110">
        <f>VLOOKUP(AN233,Leyenda!$B$71:$E$75,4,FALSE)</f>
        <v>10</v>
      </c>
      <c r="BL233" s="110">
        <f t="shared" si="95"/>
        <v>31</v>
      </c>
      <c r="BM233" s="36">
        <f t="shared" si="96"/>
        <v>34</v>
      </c>
      <c r="BN233" s="36"/>
      <c r="BO233" s="36"/>
      <c r="BP233">
        <f t="shared" si="97"/>
        <v>20</v>
      </c>
      <c r="BQ233">
        <f t="shared" si="98"/>
        <v>10</v>
      </c>
      <c r="BR233">
        <v>20</v>
      </c>
      <c r="BS233">
        <f t="shared" si="99"/>
        <v>-50</v>
      </c>
      <c r="BT233">
        <f t="shared" si="100"/>
        <v>0</v>
      </c>
      <c r="BU233">
        <f t="shared" si="101"/>
        <v>0</v>
      </c>
      <c r="BV233" s="1">
        <f t="shared" si="85"/>
        <v>0</v>
      </c>
      <c r="BW233" s="1">
        <f t="shared" si="86"/>
        <v>0</v>
      </c>
    </row>
    <row r="234" spans="1:75" hidden="1" x14ac:dyDescent="0.25">
      <c r="A234" s="18" t="s">
        <v>6</v>
      </c>
      <c r="B234" s="18">
        <v>2024</v>
      </c>
      <c r="C234" s="18" t="s">
        <v>138</v>
      </c>
      <c r="D234" s="18" t="s">
        <v>130</v>
      </c>
      <c r="E234" s="18">
        <v>60</v>
      </c>
      <c r="F234" s="18" t="s">
        <v>136</v>
      </c>
      <c r="G234" s="18" t="s">
        <v>179</v>
      </c>
      <c r="H234" s="4">
        <v>0</v>
      </c>
      <c r="I234" s="4">
        <v>0.5</v>
      </c>
      <c r="J234" s="4">
        <f t="shared" si="87"/>
        <v>0.5</v>
      </c>
      <c r="K234" s="5">
        <v>0.57999999999999996</v>
      </c>
      <c r="L234" s="31">
        <f t="shared" si="88"/>
        <v>0.28999999999999998</v>
      </c>
      <c r="M234" s="31">
        <v>2.11</v>
      </c>
      <c r="N234" s="31">
        <v>16.600000000000001</v>
      </c>
      <c r="O234" s="31">
        <f t="shared" si="83"/>
        <v>0.28999999999999998</v>
      </c>
      <c r="P234" s="31">
        <v>14.5</v>
      </c>
      <c r="Q234" s="31">
        <v>20</v>
      </c>
      <c r="R234" s="31">
        <v>0.28999999999999998</v>
      </c>
      <c r="S234" s="31">
        <v>0</v>
      </c>
      <c r="T234" s="65">
        <f t="shared" si="102"/>
        <v>0</v>
      </c>
      <c r="U234" s="31">
        <v>10</v>
      </c>
      <c r="V234" s="31"/>
      <c r="W234" s="31">
        <f t="shared" si="81"/>
        <v>10</v>
      </c>
      <c r="X234" s="31">
        <f t="shared" si="82"/>
        <v>29</v>
      </c>
      <c r="Y234" s="31">
        <f t="shared" si="89"/>
        <v>2.9000000000000001E-2</v>
      </c>
      <c r="Z234" s="18">
        <v>0</v>
      </c>
      <c r="AA234" s="18" t="s">
        <v>330</v>
      </c>
      <c r="AB234" s="18" t="s">
        <v>333</v>
      </c>
      <c r="AC234" s="18" t="s">
        <v>336</v>
      </c>
      <c r="AD234" s="18">
        <v>20</v>
      </c>
      <c r="AE234" s="18">
        <v>14.5</v>
      </c>
      <c r="AF234" s="18" t="s">
        <v>32</v>
      </c>
      <c r="AG234" s="18" t="s">
        <v>239</v>
      </c>
      <c r="AH234" s="18" t="s">
        <v>239</v>
      </c>
      <c r="AI234" s="18" t="s">
        <v>69</v>
      </c>
      <c r="AJ234" s="18" t="s">
        <v>81</v>
      </c>
      <c r="AK234" s="18" t="s">
        <v>100</v>
      </c>
      <c r="AL234" s="18" t="s">
        <v>109</v>
      </c>
      <c r="AM234" s="18" t="s">
        <v>122</v>
      </c>
      <c r="AN234" s="18" t="s">
        <v>247</v>
      </c>
      <c r="AO234" s="18" t="s">
        <v>246</v>
      </c>
      <c r="AP234" s="18"/>
      <c r="AQ234" s="18">
        <f>+VLOOKUP(AI234,Leyenda!$B$30:$E$34,3,FALSE)</f>
        <v>0</v>
      </c>
      <c r="AR234" s="18">
        <f>+VLOOKUP('3. Blasting'!AJ234,Meteorizacion,3,FALSE)</f>
        <v>0</v>
      </c>
      <c r="AS234" s="18">
        <f>+VLOOKUP('3. Blasting'!AK234,Apertura,3,FALSE)</f>
        <v>0</v>
      </c>
      <c r="AT234" s="18">
        <f>+VLOOKUP('3. Blasting'!AL234,Leyenda!$B$55:$D$59,3,FALSE)</f>
        <v>1</v>
      </c>
      <c r="AU234" s="18">
        <f>+VLOOKUP('3. Blasting'!AM234,Relleno,3,FALSE)</f>
        <v>0</v>
      </c>
      <c r="AV234" s="18">
        <f t="shared" si="103"/>
        <v>1</v>
      </c>
      <c r="AW234" s="49">
        <f t="shared" si="90"/>
        <v>0</v>
      </c>
      <c r="AX234" s="49">
        <f>VLOOKUP(AF234,Leyenda!$B$4:$D$10,3,FALSE)</f>
        <v>1</v>
      </c>
      <c r="AY234" s="49">
        <f t="shared" si="84"/>
        <v>4</v>
      </c>
      <c r="AZ234" s="49">
        <f t="shared" si="91"/>
        <v>1</v>
      </c>
      <c r="BA234" s="49">
        <f>VLOOKUP(AN234,Leyenda!$B$70:$D$75,3,FALSE)</f>
        <v>10</v>
      </c>
      <c r="BB234" s="67">
        <f t="shared" si="92"/>
        <v>1.5</v>
      </c>
      <c r="BC234" s="67">
        <f>VLOOKUP(AF234,Leyenda!$B$4:$E$10,4,FALSE)</f>
        <v>1</v>
      </c>
      <c r="BD234" s="67">
        <f t="shared" si="93"/>
        <v>5</v>
      </c>
      <c r="BE234" s="67">
        <f t="shared" si="94"/>
        <v>0</v>
      </c>
      <c r="BF234" s="67">
        <f>+VLOOKUP('3. Blasting'!AK234,Leyenda!$B$47:$E$51,4,FALSE)</f>
        <v>0</v>
      </c>
      <c r="BG234" s="67">
        <f>+VLOOKUP('3. Blasting'!AL234,Leyenda!$B$55:$E$59,4,FALSE)</f>
        <v>1</v>
      </c>
      <c r="BH234" s="67">
        <f>+VLOOKUP('3. Blasting'!AM234,Leyenda!$B$63:$E$67,3,FALSE)</f>
        <v>0</v>
      </c>
      <c r="BI234" s="67">
        <f>+VLOOKUP('3. Blasting'!AJ234,Leyenda!$B$39:$E$43,4,FALSE)</f>
        <v>0</v>
      </c>
      <c r="BJ234" s="67">
        <f>+VLOOKUP('3. Blasting'!AI234,Leyenda!$B$30:$E$34,4,FALSE)</f>
        <v>0</v>
      </c>
      <c r="BK234" s="67">
        <f>VLOOKUP(AN234,Leyenda!$B$71:$E$75,4,FALSE)</f>
        <v>7</v>
      </c>
      <c r="BL234" s="67">
        <f t="shared" si="95"/>
        <v>14</v>
      </c>
      <c r="BM234" s="18">
        <f t="shared" si="96"/>
        <v>16</v>
      </c>
      <c r="BN234" s="18" t="e">
        <f t="shared" ref="BN234:BN285" si="104">+CORREL(BB234:BB583,BL234:BL583)</f>
        <v>#N/A</v>
      </c>
      <c r="BO234" s="18"/>
      <c r="BP234" s="6">
        <f t="shared" si="97"/>
        <v>10</v>
      </c>
      <c r="BQ234" s="6">
        <f t="shared" si="98"/>
        <v>10</v>
      </c>
      <c r="BR234" s="6">
        <v>20</v>
      </c>
      <c r="BS234" s="6">
        <f t="shared" si="99"/>
        <v>2.75</v>
      </c>
      <c r="BT234" s="6">
        <f t="shared" si="100"/>
        <v>0.83000000000000007</v>
      </c>
      <c r="BU234" s="6">
        <f t="shared" si="101"/>
        <v>21.79</v>
      </c>
      <c r="BV234" s="18">
        <f t="shared" si="85"/>
        <v>8.7160000000000001E-2</v>
      </c>
      <c r="BW234" s="18">
        <f t="shared" si="86"/>
        <v>0.1839076</v>
      </c>
    </row>
    <row r="235" spans="1:75" hidden="1" x14ac:dyDescent="0.25">
      <c r="A235" s="18" t="s">
        <v>6</v>
      </c>
      <c r="B235" s="18">
        <v>2024</v>
      </c>
      <c r="C235" s="18" t="s">
        <v>138</v>
      </c>
      <c r="D235" s="18" t="s">
        <v>130</v>
      </c>
      <c r="E235" s="18">
        <v>60</v>
      </c>
      <c r="F235" s="18" t="s">
        <v>136</v>
      </c>
      <c r="G235" s="18" t="s">
        <v>179</v>
      </c>
      <c r="H235" s="4">
        <v>0.5</v>
      </c>
      <c r="I235" s="4">
        <v>1</v>
      </c>
      <c r="J235" s="4">
        <f t="shared" si="87"/>
        <v>0.5</v>
      </c>
      <c r="K235" s="5">
        <v>0.52</v>
      </c>
      <c r="L235" s="31">
        <f t="shared" si="88"/>
        <v>0.26</v>
      </c>
      <c r="M235" s="31">
        <v>2.11</v>
      </c>
      <c r="N235" s="31">
        <v>16.600000000000001</v>
      </c>
      <c r="O235" s="31">
        <f t="shared" si="83"/>
        <v>0.26</v>
      </c>
      <c r="P235" s="31">
        <v>13</v>
      </c>
      <c r="Q235" s="31">
        <v>20</v>
      </c>
      <c r="R235" s="31">
        <v>0.22</v>
      </c>
      <c r="S235" s="31">
        <v>0</v>
      </c>
      <c r="T235" s="65">
        <f t="shared" si="102"/>
        <v>0</v>
      </c>
      <c r="U235" s="31">
        <v>10</v>
      </c>
      <c r="V235" s="31"/>
      <c r="W235" s="31">
        <f t="shared" si="81"/>
        <v>10</v>
      </c>
      <c r="X235" s="31">
        <f t="shared" si="82"/>
        <v>22</v>
      </c>
      <c r="Y235" s="31">
        <f t="shared" si="89"/>
        <v>2.1999999999999999E-2</v>
      </c>
      <c r="Z235" s="18">
        <v>0</v>
      </c>
      <c r="AA235" s="18" t="s">
        <v>330</v>
      </c>
      <c r="AB235" s="18" t="s">
        <v>333</v>
      </c>
      <c r="AC235" s="18" t="s">
        <v>336</v>
      </c>
      <c r="AD235" s="18">
        <v>20</v>
      </c>
      <c r="AE235" s="18">
        <v>13</v>
      </c>
      <c r="AF235" s="18" t="s">
        <v>32</v>
      </c>
      <c r="AG235" s="18" t="s">
        <v>239</v>
      </c>
      <c r="AH235" s="18" t="s">
        <v>239</v>
      </c>
      <c r="AI235" s="18" t="s">
        <v>69</v>
      </c>
      <c r="AJ235" s="18" t="s">
        <v>81</v>
      </c>
      <c r="AK235" s="18" t="s">
        <v>100</v>
      </c>
      <c r="AL235" s="18" t="s">
        <v>109</v>
      </c>
      <c r="AM235" s="18" t="s">
        <v>122</v>
      </c>
      <c r="AN235" s="18" t="s">
        <v>247</v>
      </c>
      <c r="AO235" s="18" t="s">
        <v>246</v>
      </c>
      <c r="AP235" s="18"/>
      <c r="AQ235" s="18">
        <f>+VLOOKUP(AI235,Leyenda!$B$30:$E$34,3,FALSE)</f>
        <v>0</v>
      </c>
      <c r="AR235" s="18">
        <f>+VLOOKUP('3. Blasting'!AJ235,Meteorizacion,3,FALSE)</f>
        <v>0</v>
      </c>
      <c r="AS235" s="18">
        <f>+VLOOKUP('3. Blasting'!AK235,Apertura,3,FALSE)</f>
        <v>0</v>
      </c>
      <c r="AT235" s="18">
        <f>+VLOOKUP('3. Blasting'!AL235,Leyenda!$B$55:$D$59,3,FALSE)</f>
        <v>1</v>
      </c>
      <c r="AU235" s="18">
        <f>+VLOOKUP('3. Blasting'!AM235,Relleno,3,FALSE)</f>
        <v>0</v>
      </c>
      <c r="AV235" s="18">
        <f t="shared" si="103"/>
        <v>1</v>
      </c>
      <c r="AW235" s="49">
        <f t="shared" si="90"/>
        <v>0</v>
      </c>
      <c r="AX235" s="49">
        <f>VLOOKUP(AF235,Leyenda!$B$4:$D$10,3,FALSE)</f>
        <v>1</v>
      </c>
      <c r="AY235" s="49">
        <f t="shared" si="84"/>
        <v>4</v>
      </c>
      <c r="AZ235" s="49">
        <f t="shared" si="91"/>
        <v>1</v>
      </c>
      <c r="BA235" s="49">
        <f>VLOOKUP(AN235,Leyenda!$B$70:$D$75,3,FALSE)</f>
        <v>10</v>
      </c>
      <c r="BB235" s="67">
        <f t="shared" si="92"/>
        <v>1.5</v>
      </c>
      <c r="BC235" s="67">
        <f>VLOOKUP(AF235,Leyenda!$B$4:$E$10,4,FALSE)</f>
        <v>1</v>
      </c>
      <c r="BD235" s="67">
        <f t="shared" si="93"/>
        <v>5</v>
      </c>
      <c r="BE235" s="67">
        <f t="shared" si="94"/>
        <v>0</v>
      </c>
      <c r="BF235" s="67">
        <f>+VLOOKUP('3. Blasting'!AK235,Leyenda!$B$47:$E$51,4,FALSE)</f>
        <v>0</v>
      </c>
      <c r="BG235" s="67">
        <f>+VLOOKUP('3. Blasting'!AL235,Leyenda!$B$55:$E$59,4,FALSE)</f>
        <v>1</v>
      </c>
      <c r="BH235" s="67">
        <f>+VLOOKUP('3. Blasting'!AM235,Leyenda!$B$63:$E$67,3,FALSE)</f>
        <v>0</v>
      </c>
      <c r="BI235" s="67">
        <f>+VLOOKUP('3. Blasting'!AJ235,Leyenda!$B$39:$E$43,4,FALSE)</f>
        <v>0</v>
      </c>
      <c r="BJ235" s="67">
        <f>+VLOOKUP('3. Blasting'!AI235,Leyenda!$B$30:$E$34,4,FALSE)</f>
        <v>0</v>
      </c>
      <c r="BK235" s="67">
        <f>VLOOKUP(AN235,Leyenda!$B$71:$E$75,4,FALSE)</f>
        <v>7</v>
      </c>
      <c r="BL235" s="67">
        <f t="shared" si="95"/>
        <v>14</v>
      </c>
      <c r="BM235" s="18">
        <f t="shared" si="96"/>
        <v>16</v>
      </c>
      <c r="BN235" s="18" t="e">
        <f t="shared" si="104"/>
        <v>#N/A</v>
      </c>
      <c r="BO235" s="18"/>
      <c r="BP235" s="6">
        <f t="shared" si="97"/>
        <v>10</v>
      </c>
      <c r="BQ235" s="6">
        <f t="shared" si="98"/>
        <v>10</v>
      </c>
      <c r="BR235" s="6">
        <v>20</v>
      </c>
      <c r="BS235" s="6">
        <f t="shared" si="99"/>
        <v>2.75</v>
      </c>
      <c r="BT235" s="6">
        <f t="shared" si="100"/>
        <v>0.83000000000000007</v>
      </c>
      <c r="BU235" s="6">
        <f t="shared" si="101"/>
        <v>21.79</v>
      </c>
      <c r="BV235" s="18">
        <f t="shared" si="85"/>
        <v>8.7160000000000001E-2</v>
      </c>
      <c r="BW235" s="18">
        <f t="shared" si="86"/>
        <v>0.1839076</v>
      </c>
    </row>
    <row r="236" spans="1:75" hidden="1" x14ac:dyDescent="0.25">
      <c r="A236" s="18" t="s">
        <v>6</v>
      </c>
      <c r="B236" s="18">
        <v>2024</v>
      </c>
      <c r="C236" s="18" t="s">
        <v>138</v>
      </c>
      <c r="D236" s="18" t="s">
        <v>130</v>
      </c>
      <c r="E236" s="18">
        <v>60</v>
      </c>
      <c r="F236" s="18" t="s">
        <v>136</v>
      </c>
      <c r="G236" s="18" t="s">
        <v>179</v>
      </c>
      <c r="H236" s="4">
        <v>1</v>
      </c>
      <c r="I236" s="4">
        <v>1.5</v>
      </c>
      <c r="J236" s="4">
        <f t="shared" si="87"/>
        <v>0.5</v>
      </c>
      <c r="K236" s="5">
        <v>0.57999999999999996</v>
      </c>
      <c r="L236" s="31">
        <f t="shared" si="88"/>
        <v>0.28999999999999998</v>
      </c>
      <c r="M236" s="31">
        <v>2.11</v>
      </c>
      <c r="N236" s="31">
        <v>16.600000000000001</v>
      </c>
      <c r="O236" s="31">
        <f t="shared" si="83"/>
        <v>0.28999999999999998</v>
      </c>
      <c r="P236" s="31">
        <v>14.5</v>
      </c>
      <c r="Q236" s="31">
        <v>20</v>
      </c>
      <c r="R236" s="31">
        <v>0.26</v>
      </c>
      <c r="S236" s="31">
        <v>0</v>
      </c>
      <c r="T236" s="65">
        <f t="shared" si="102"/>
        <v>0</v>
      </c>
      <c r="U236" s="31">
        <v>10</v>
      </c>
      <c r="V236" s="31"/>
      <c r="W236" s="31">
        <f t="shared" si="81"/>
        <v>10</v>
      </c>
      <c r="X236" s="31">
        <f t="shared" si="82"/>
        <v>26</v>
      </c>
      <c r="Y236" s="31">
        <f t="shared" si="89"/>
        <v>2.5999999999999999E-2</v>
      </c>
      <c r="Z236" s="18">
        <v>0</v>
      </c>
      <c r="AA236" s="18" t="s">
        <v>330</v>
      </c>
      <c r="AB236" s="18" t="s">
        <v>333</v>
      </c>
      <c r="AC236" s="18" t="s">
        <v>336</v>
      </c>
      <c r="AD236" s="18">
        <v>20</v>
      </c>
      <c r="AE236" s="18">
        <v>14.5</v>
      </c>
      <c r="AF236" s="18" t="s">
        <v>32</v>
      </c>
      <c r="AG236" s="18" t="s">
        <v>239</v>
      </c>
      <c r="AH236" s="18" t="s">
        <v>239</v>
      </c>
      <c r="AI236" s="18" t="s">
        <v>69</v>
      </c>
      <c r="AJ236" s="18" t="s">
        <v>81</v>
      </c>
      <c r="AK236" s="18" t="s">
        <v>100</v>
      </c>
      <c r="AL236" s="18" t="s">
        <v>109</v>
      </c>
      <c r="AM236" s="18" t="s">
        <v>122</v>
      </c>
      <c r="AN236" s="18" t="s">
        <v>247</v>
      </c>
      <c r="AO236" s="18" t="s">
        <v>246</v>
      </c>
      <c r="AP236" s="18"/>
      <c r="AQ236" s="18">
        <f>+VLOOKUP(AI236,Leyenda!$B$30:$E$34,3,FALSE)</f>
        <v>0</v>
      </c>
      <c r="AR236" s="18">
        <f>+VLOOKUP('3. Blasting'!AJ236,Meteorizacion,3,FALSE)</f>
        <v>0</v>
      </c>
      <c r="AS236" s="18">
        <f>+VLOOKUP('3. Blasting'!AK236,Apertura,3,FALSE)</f>
        <v>0</v>
      </c>
      <c r="AT236" s="18">
        <f>+VLOOKUP('3. Blasting'!AL236,Leyenda!$B$55:$D$59,3,FALSE)</f>
        <v>1</v>
      </c>
      <c r="AU236" s="18">
        <f>+VLOOKUP('3. Blasting'!AM236,Relleno,3,FALSE)</f>
        <v>0</v>
      </c>
      <c r="AV236" s="18">
        <f t="shared" si="103"/>
        <v>1</v>
      </c>
      <c r="AW236" s="49">
        <f t="shared" si="90"/>
        <v>0</v>
      </c>
      <c r="AX236" s="49">
        <f>VLOOKUP(AF236,Leyenda!$B$4:$D$10,3,FALSE)</f>
        <v>1</v>
      </c>
      <c r="AY236" s="49">
        <f t="shared" si="84"/>
        <v>4</v>
      </c>
      <c r="AZ236" s="49">
        <f t="shared" si="91"/>
        <v>1</v>
      </c>
      <c r="BA236" s="49">
        <f>VLOOKUP(AN236,Leyenda!$B$70:$D$75,3,FALSE)</f>
        <v>10</v>
      </c>
      <c r="BB236" s="67">
        <f t="shared" si="92"/>
        <v>1.5</v>
      </c>
      <c r="BC236" s="67">
        <f>VLOOKUP(AF236,Leyenda!$B$4:$E$10,4,FALSE)</f>
        <v>1</v>
      </c>
      <c r="BD236" s="67">
        <f t="shared" si="93"/>
        <v>5</v>
      </c>
      <c r="BE236" s="67">
        <f t="shared" si="94"/>
        <v>0</v>
      </c>
      <c r="BF236" s="67">
        <f>+VLOOKUP('3. Blasting'!AK236,Leyenda!$B$47:$E$51,4,FALSE)</f>
        <v>0</v>
      </c>
      <c r="BG236" s="67">
        <f>+VLOOKUP('3. Blasting'!AL236,Leyenda!$B$55:$E$59,4,FALSE)</f>
        <v>1</v>
      </c>
      <c r="BH236" s="67">
        <f>+VLOOKUP('3. Blasting'!AM236,Leyenda!$B$63:$E$67,3,FALSE)</f>
        <v>0</v>
      </c>
      <c r="BI236" s="67">
        <f>+VLOOKUP('3. Blasting'!AJ236,Leyenda!$B$39:$E$43,4,FALSE)</f>
        <v>0</v>
      </c>
      <c r="BJ236" s="67">
        <f>+VLOOKUP('3. Blasting'!AI236,Leyenda!$B$30:$E$34,4,FALSE)</f>
        <v>0</v>
      </c>
      <c r="BK236" s="67">
        <f>VLOOKUP(AN236,Leyenda!$B$71:$E$75,4,FALSE)</f>
        <v>7</v>
      </c>
      <c r="BL236" s="67">
        <f t="shared" si="95"/>
        <v>14</v>
      </c>
      <c r="BM236" s="18">
        <f t="shared" si="96"/>
        <v>16</v>
      </c>
      <c r="BN236" s="18" t="e">
        <f t="shared" si="104"/>
        <v>#N/A</v>
      </c>
      <c r="BO236" s="18"/>
      <c r="BP236" s="6">
        <f t="shared" si="97"/>
        <v>10</v>
      </c>
      <c r="BQ236" s="6">
        <f t="shared" si="98"/>
        <v>10</v>
      </c>
      <c r="BR236" s="6">
        <v>20</v>
      </c>
      <c r="BS236" s="6">
        <f t="shared" si="99"/>
        <v>2.75</v>
      </c>
      <c r="BT236" s="6">
        <f t="shared" si="100"/>
        <v>0.83000000000000007</v>
      </c>
      <c r="BU236" s="6">
        <f t="shared" si="101"/>
        <v>21.79</v>
      </c>
      <c r="BV236" s="18">
        <f t="shared" si="85"/>
        <v>8.7160000000000001E-2</v>
      </c>
      <c r="BW236" s="18">
        <f t="shared" si="86"/>
        <v>0.1839076</v>
      </c>
    </row>
    <row r="237" spans="1:75" hidden="1" x14ac:dyDescent="0.25">
      <c r="A237" s="18" t="s">
        <v>6</v>
      </c>
      <c r="B237" s="18">
        <v>2024</v>
      </c>
      <c r="C237" s="18" t="s">
        <v>138</v>
      </c>
      <c r="D237" s="18" t="s">
        <v>130</v>
      </c>
      <c r="E237" s="18">
        <v>60</v>
      </c>
      <c r="F237" s="18" t="s">
        <v>136</v>
      </c>
      <c r="G237" s="18" t="s">
        <v>179</v>
      </c>
      <c r="H237" s="4">
        <v>1.5</v>
      </c>
      <c r="I237" s="4">
        <v>2</v>
      </c>
      <c r="J237" s="4">
        <f t="shared" si="87"/>
        <v>0.5</v>
      </c>
      <c r="K237" s="5">
        <v>0.5</v>
      </c>
      <c r="L237" s="31">
        <f t="shared" si="88"/>
        <v>0.25</v>
      </c>
      <c r="M237" s="31">
        <v>2.11</v>
      </c>
      <c r="N237" s="31">
        <v>16.600000000000001</v>
      </c>
      <c r="O237" s="31">
        <f t="shared" si="83"/>
        <v>0.25</v>
      </c>
      <c r="P237" s="31">
        <v>12.5</v>
      </c>
      <c r="Q237" s="31">
        <v>20</v>
      </c>
      <c r="R237" s="31">
        <v>0.25</v>
      </c>
      <c r="S237" s="31">
        <v>0</v>
      </c>
      <c r="T237" s="65">
        <f t="shared" si="102"/>
        <v>0</v>
      </c>
      <c r="U237" s="31">
        <v>10</v>
      </c>
      <c r="V237" s="31"/>
      <c r="W237" s="31">
        <f t="shared" si="81"/>
        <v>10</v>
      </c>
      <c r="X237" s="31">
        <f t="shared" si="82"/>
        <v>25</v>
      </c>
      <c r="Y237" s="31">
        <f t="shared" si="89"/>
        <v>2.5000000000000001E-2</v>
      </c>
      <c r="Z237" s="18">
        <v>0</v>
      </c>
      <c r="AA237" s="18" t="s">
        <v>330</v>
      </c>
      <c r="AB237" s="18" t="s">
        <v>333</v>
      </c>
      <c r="AC237" s="18" t="s">
        <v>336</v>
      </c>
      <c r="AD237" s="18">
        <v>20</v>
      </c>
      <c r="AE237" s="18">
        <v>12.5</v>
      </c>
      <c r="AF237" s="18" t="s">
        <v>32</v>
      </c>
      <c r="AG237" s="18" t="s">
        <v>239</v>
      </c>
      <c r="AH237" s="18" t="s">
        <v>239</v>
      </c>
      <c r="AI237" s="18" t="s">
        <v>69</v>
      </c>
      <c r="AJ237" s="18" t="s">
        <v>81</v>
      </c>
      <c r="AK237" s="18" t="s">
        <v>100</v>
      </c>
      <c r="AL237" s="18" t="s">
        <v>109</v>
      </c>
      <c r="AM237" s="18" t="s">
        <v>122</v>
      </c>
      <c r="AN237" s="18" t="s">
        <v>247</v>
      </c>
      <c r="AO237" s="18" t="s">
        <v>246</v>
      </c>
      <c r="AP237" s="18"/>
      <c r="AQ237" s="18">
        <f>+VLOOKUP(AI237,Leyenda!$B$30:$E$34,3,FALSE)</f>
        <v>0</v>
      </c>
      <c r="AR237" s="18">
        <f>+VLOOKUP('3. Blasting'!AJ237,Meteorizacion,3,FALSE)</f>
        <v>0</v>
      </c>
      <c r="AS237" s="18">
        <f>+VLOOKUP('3. Blasting'!AK237,Apertura,3,FALSE)</f>
        <v>0</v>
      </c>
      <c r="AT237" s="18">
        <f>+VLOOKUP('3. Blasting'!AL237,Leyenda!$B$55:$D$59,3,FALSE)</f>
        <v>1</v>
      </c>
      <c r="AU237" s="18">
        <f>+VLOOKUP('3. Blasting'!AM237,Relleno,3,FALSE)</f>
        <v>0</v>
      </c>
      <c r="AV237" s="18">
        <f t="shared" si="103"/>
        <v>1</v>
      </c>
      <c r="AW237" s="49">
        <f t="shared" si="90"/>
        <v>0</v>
      </c>
      <c r="AX237" s="49">
        <f>VLOOKUP(AF237,Leyenda!$B$4:$D$10,3,FALSE)</f>
        <v>1</v>
      </c>
      <c r="AY237" s="49">
        <f t="shared" si="84"/>
        <v>4</v>
      </c>
      <c r="AZ237" s="49">
        <f t="shared" si="91"/>
        <v>1</v>
      </c>
      <c r="BA237" s="49">
        <f>VLOOKUP(AN237,Leyenda!$B$70:$D$75,3,FALSE)</f>
        <v>10</v>
      </c>
      <c r="BB237" s="67">
        <f t="shared" si="92"/>
        <v>1.5</v>
      </c>
      <c r="BC237" s="67">
        <f>VLOOKUP(AF237,Leyenda!$B$4:$E$10,4,FALSE)</f>
        <v>1</v>
      </c>
      <c r="BD237" s="67">
        <f t="shared" si="93"/>
        <v>5</v>
      </c>
      <c r="BE237" s="67">
        <f t="shared" si="94"/>
        <v>0</v>
      </c>
      <c r="BF237" s="67">
        <f>+VLOOKUP('3. Blasting'!AK237,Leyenda!$B$47:$E$51,4,FALSE)</f>
        <v>0</v>
      </c>
      <c r="BG237" s="67">
        <f>+VLOOKUP('3. Blasting'!AL237,Leyenda!$B$55:$E$59,4,FALSE)</f>
        <v>1</v>
      </c>
      <c r="BH237" s="67">
        <f>+VLOOKUP('3. Blasting'!AM237,Leyenda!$B$63:$E$67,3,FALSE)</f>
        <v>0</v>
      </c>
      <c r="BI237" s="67">
        <f>+VLOOKUP('3. Blasting'!AJ237,Leyenda!$B$39:$E$43,4,FALSE)</f>
        <v>0</v>
      </c>
      <c r="BJ237" s="67">
        <f>+VLOOKUP('3. Blasting'!AI237,Leyenda!$B$30:$E$34,4,FALSE)</f>
        <v>0</v>
      </c>
      <c r="BK237" s="67">
        <f>VLOOKUP(AN237,Leyenda!$B$71:$E$75,4,FALSE)</f>
        <v>7</v>
      </c>
      <c r="BL237" s="67">
        <f t="shared" si="95"/>
        <v>14</v>
      </c>
      <c r="BM237" s="18">
        <f t="shared" si="96"/>
        <v>16</v>
      </c>
      <c r="BN237" s="18" t="e">
        <f t="shared" si="104"/>
        <v>#N/A</v>
      </c>
      <c r="BO237" s="18"/>
      <c r="BP237" s="6">
        <f t="shared" si="97"/>
        <v>10</v>
      </c>
      <c r="BQ237" s="6">
        <f t="shared" si="98"/>
        <v>10</v>
      </c>
      <c r="BR237" s="6">
        <v>20</v>
      </c>
      <c r="BS237" s="6">
        <f t="shared" si="99"/>
        <v>2.75</v>
      </c>
      <c r="BT237" s="6">
        <f t="shared" si="100"/>
        <v>0.83000000000000007</v>
      </c>
      <c r="BU237" s="6">
        <f t="shared" si="101"/>
        <v>21.79</v>
      </c>
      <c r="BV237" s="18">
        <f t="shared" si="85"/>
        <v>8.7160000000000001E-2</v>
      </c>
      <c r="BW237" s="18">
        <f t="shared" si="86"/>
        <v>0.1839076</v>
      </c>
    </row>
    <row r="238" spans="1:75" hidden="1" x14ac:dyDescent="0.25">
      <c r="A238" s="18" t="s">
        <v>6</v>
      </c>
      <c r="B238" s="18">
        <v>2024</v>
      </c>
      <c r="C238" s="18" t="s">
        <v>138</v>
      </c>
      <c r="D238" s="18" t="s">
        <v>130</v>
      </c>
      <c r="E238" s="18">
        <v>60</v>
      </c>
      <c r="F238" s="18" t="s">
        <v>136</v>
      </c>
      <c r="G238" s="18" t="s">
        <v>179</v>
      </c>
      <c r="H238" s="4">
        <f>+I237</f>
        <v>2</v>
      </c>
      <c r="I238" s="4">
        <v>2.5</v>
      </c>
      <c r="J238" s="4">
        <f t="shared" si="87"/>
        <v>0.5</v>
      </c>
      <c r="K238" s="5">
        <v>0.74</v>
      </c>
      <c r="L238" s="31">
        <f t="shared" si="88"/>
        <v>0.37</v>
      </c>
      <c r="M238" s="31">
        <v>2.11</v>
      </c>
      <c r="N238" s="31">
        <v>16.600000000000001</v>
      </c>
      <c r="O238" s="31">
        <f t="shared" si="83"/>
        <v>0.37</v>
      </c>
      <c r="P238" s="31">
        <v>18.5</v>
      </c>
      <c r="Q238" s="31">
        <v>20</v>
      </c>
      <c r="R238" s="31">
        <v>0.36</v>
      </c>
      <c r="S238" s="31">
        <v>0</v>
      </c>
      <c r="T238" s="65">
        <f t="shared" si="102"/>
        <v>0</v>
      </c>
      <c r="U238" s="31">
        <v>10</v>
      </c>
      <c r="V238" s="31"/>
      <c r="W238" s="31">
        <f t="shared" si="81"/>
        <v>10</v>
      </c>
      <c r="X238" s="31">
        <f t="shared" si="82"/>
        <v>36</v>
      </c>
      <c r="Y238" s="31">
        <f t="shared" si="89"/>
        <v>3.5999999999999997E-2</v>
      </c>
      <c r="Z238" s="18">
        <v>0</v>
      </c>
      <c r="AA238" s="18" t="s">
        <v>330</v>
      </c>
      <c r="AB238" s="18" t="s">
        <v>333</v>
      </c>
      <c r="AC238" s="18" t="s">
        <v>336</v>
      </c>
      <c r="AD238" s="18">
        <v>20</v>
      </c>
      <c r="AE238" s="18">
        <v>18.5</v>
      </c>
      <c r="AF238" s="18" t="s">
        <v>32</v>
      </c>
      <c r="AG238" s="18" t="s">
        <v>239</v>
      </c>
      <c r="AH238" s="18" t="s">
        <v>239</v>
      </c>
      <c r="AI238" s="18" t="s">
        <v>69</v>
      </c>
      <c r="AJ238" s="18" t="s">
        <v>81</v>
      </c>
      <c r="AK238" s="18" t="s">
        <v>100</v>
      </c>
      <c r="AL238" s="18" t="s">
        <v>109</v>
      </c>
      <c r="AM238" s="18" t="s">
        <v>122</v>
      </c>
      <c r="AN238" s="18" t="s">
        <v>247</v>
      </c>
      <c r="AO238" s="18" t="s">
        <v>246</v>
      </c>
      <c r="AP238" s="18"/>
      <c r="AQ238" s="18">
        <f>+VLOOKUP(AI238,Leyenda!$B$30:$E$34,3,FALSE)</f>
        <v>0</v>
      </c>
      <c r="AR238" s="18">
        <f>+VLOOKUP('3. Blasting'!AJ238,Meteorizacion,3,FALSE)</f>
        <v>0</v>
      </c>
      <c r="AS238" s="18">
        <f>+VLOOKUP('3. Blasting'!AK238,Apertura,3,FALSE)</f>
        <v>0</v>
      </c>
      <c r="AT238" s="18">
        <f>+VLOOKUP('3. Blasting'!AL238,Leyenda!$B$55:$D$59,3,FALSE)</f>
        <v>1</v>
      </c>
      <c r="AU238" s="18">
        <f>+VLOOKUP('3. Blasting'!AM238,Relleno,3,FALSE)</f>
        <v>0</v>
      </c>
      <c r="AV238" s="18">
        <f t="shared" si="103"/>
        <v>1</v>
      </c>
      <c r="AW238" s="49">
        <f t="shared" si="90"/>
        <v>0</v>
      </c>
      <c r="AX238" s="49">
        <f>VLOOKUP(AF238,Leyenda!$B$4:$D$10,3,FALSE)</f>
        <v>1</v>
      </c>
      <c r="AY238" s="49">
        <f t="shared" si="84"/>
        <v>4</v>
      </c>
      <c r="AZ238" s="49">
        <f t="shared" si="91"/>
        <v>1</v>
      </c>
      <c r="BA238" s="49">
        <f>VLOOKUP(AN238,Leyenda!$B$70:$D$75,3,FALSE)</f>
        <v>10</v>
      </c>
      <c r="BB238" s="67">
        <f t="shared" si="92"/>
        <v>1.5</v>
      </c>
      <c r="BC238" s="67">
        <f>VLOOKUP(AF238,Leyenda!$B$4:$E$10,4,FALSE)</f>
        <v>1</v>
      </c>
      <c r="BD238" s="67">
        <f t="shared" si="93"/>
        <v>5</v>
      </c>
      <c r="BE238" s="67">
        <f t="shared" si="94"/>
        <v>0</v>
      </c>
      <c r="BF238" s="67">
        <f>+VLOOKUP('3. Blasting'!AK238,Leyenda!$B$47:$E$51,4,FALSE)</f>
        <v>0</v>
      </c>
      <c r="BG238" s="67">
        <f>+VLOOKUP('3. Blasting'!AL238,Leyenda!$B$55:$E$59,4,FALSE)</f>
        <v>1</v>
      </c>
      <c r="BH238" s="67">
        <f>+VLOOKUP('3. Blasting'!AM238,Leyenda!$B$63:$E$67,3,FALSE)</f>
        <v>0</v>
      </c>
      <c r="BI238" s="67">
        <f>+VLOOKUP('3. Blasting'!AJ238,Leyenda!$B$39:$E$43,4,FALSE)</f>
        <v>0</v>
      </c>
      <c r="BJ238" s="67">
        <f>+VLOOKUP('3. Blasting'!AI238,Leyenda!$B$30:$E$34,4,FALSE)</f>
        <v>0</v>
      </c>
      <c r="BK238" s="67">
        <f>VLOOKUP(AN238,Leyenda!$B$71:$E$75,4,FALSE)</f>
        <v>7</v>
      </c>
      <c r="BL238" s="67">
        <f t="shared" si="95"/>
        <v>14</v>
      </c>
      <c r="BM238" s="18">
        <f t="shared" si="96"/>
        <v>16</v>
      </c>
      <c r="BN238" s="18" t="e">
        <f t="shared" si="104"/>
        <v>#N/A</v>
      </c>
      <c r="BO238" s="18"/>
      <c r="BP238" s="6">
        <f t="shared" si="97"/>
        <v>10</v>
      </c>
      <c r="BQ238" s="6">
        <f t="shared" si="98"/>
        <v>10</v>
      </c>
      <c r="BR238" s="6">
        <v>20</v>
      </c>
      <c r="BS238" s="6">
        <f t="shared" si="99"/>
        <v>2.75</v>
      </c>
      <c r="BT238" s="6">
        <f t="shared" si="100"/>
        <v>0.83000000000000007</v>
      </c>
      <c r="BU238" s="6">
        <f t="shared" si="101"/>
        <v>21.79</v>
      </c>
      <c r="BV238" s="18">
        <f t="shared" si="85"/>
        <v>8.7160000000000001E-2</v>
      </c>
      <c r="BW238" s="18">
        <f t="shared" si="86"/>
        <v>0.1839076</v>
      </c>
    </row>
    <row r="239" spans="1:75" hidden="1" x14ac:dyDescent="0.25">
      <c r="A239" s="18" t="s">
        <v>6</v>
      </c>
      <c r="B239" s="18">
        <v>2024</v>
      </c>
      <c r="C239" s="18" t="s">
        <v>138</v>
      </c>
      <c r="D239" s="18" t="s">
        <v>130</v>
      </c>
      <c r="E239" s="18">
        <v>60</v>
      </c>
      <c r="F239" s="18" t="s">
        <v>136</v>
      </c>
      <c r="G239" s="18" t="s">
        <v>179</v>
      </c>
      <c r="H239" s="4">
        <f t="shared" ref="H239:H302" si="105">+I238</f>
        <v>2.5</v>
      </c>
      <c r="I239" s="4">
        <v>3</v>
      </c>
      <c r="J239" s="4">
        <f t="shared" si="87"/>
        <v>0.5</v>
      </c>
      <c r="K239" s="5">
        <v>0.94</v>
      </c>
      <c r="L239" s="31">
        <f t="shared" si="88"/>
        <v>0.47</v>
      </c>
      <c r="M239" s="31">
        <v>2.11</v>
      </c>
      <c r="N239" s="31">
        <v>16.600000000000001</v>
      </c>
      <c r="O239" s="31">
        <f t="shared" si="83"/>
        <v>0.47</v>
      </c>
      <c r="P239" s="31">
        <v>23.5</v>
      </c>
      <c r="Q239" s="31">
        <v>20</v>
      </c>
      <c r="R239" s="31">
        <v>0.42</v>
      </c>
      <c r="S239" s="31">
        <v>0</v>
      </c>
      <c r="T239" s="65">
        <f t="shared" si="102"/>
        <v>0</v>
      </c>
      <c r="U239" s="31">
        <v>10</v>
      </c>
      <c r="V239" s="31"/>
      <c r="W239" s="31">
        <f t="shared" si="81"/>
        <v>10</v>
      </c>
      <c r="X239" s="31">
        <f t="shared" si="82"/>
        <v>42</v>
      </c>
      <c r="Y239" s="31">
        <f t="shared" si="89"/>
        <v>4.2000000000000003E-2</v>
      </c>
      <c r="Z239" s="18">
        <v>0</v>
      </c>
      <c r="AA239" s="18" t="s">
        <v>330</v>
      </c>
      <c r="AB239" s="18" t="s">
        <v>333</v>
      </c>
      <c r="AC239" s="18" t="s">
        <v>336</v>
      </c>
      <c r="AD239" s="18">
        <v>20</v>
      </c>
      <c r="AE239" s="18">
        <v>23.5</v>
      </c>
      <c r="AF239" s="18" t="s">
        <v>32</v>
      </c>
      <c r="AG239" s="18" t="s">
        <v>239</v>
      </c>
      <c r="AH239" s="18" t="s">
        <v>239</v>
      </c>
      <c r="AI239" s="18" t="s">
        <v>69</v>
      </c>
      <c r="AJ239" s="18" t="s">
        <v>81</v>
      </c>
      <c r="AK239" s="18" t="s">
        <v>100</v>
      </c>
      <c r="AL239" s="18" t="s">
        <v>109</v>
      </c>
      <c r="AM239" s="18" t="s">
        <v>122</v>
      </c>
      <c r="AN239" s="18" t="s">
        <v>247</v>
      </c>
      <c r="AO239" s="18" t="s">
        <v>246</v>
      </c>
      <c r="AP239" s="18"/>
      <c r="AQ239" s="18">
        <f>+VLOOKUP(AI239,Leyenda!$B$30:$E$34,3,FALSE)</f>
        <v>0</v>
      </c>
      <c r="AR239" s="18">
        <f>+VLOOKUP('3. Blasting'!AJ239,Meteorizacion,3,FALSE)</f>
        <v>0</v>
      </c>
      <c r="AS239" s="18">
        <f>+VLOOKUP('3. Blasting'!AK239,Apertura,3,FALSE)</f>
        <v>0</v>
      </c>
      <c r="AT239" s="18">
        <f>+VLOOKUP('3. Blasting'!AL239,Leyenda!$B$55:$D$59,3,FALSE)</f>
        <v>1</v>
      </c>
      <c r="AU239" s="18">
        <f>+VLOOKUP('3. Blasting'!AM239,Relleno,3,FALSE)</f>
        <v>0</v>
      </c>
      <c r="AV239" s="18">
        <f t="shared" si="103"/>
        <v>1</v>
      </c>
      <c r="AW239" s="49">
        <f t="shared" si="90"/>
        <v>0</v>
      </c>
      <c r="AX239" s="49">
        <f>VLOOKUP(AF239,Leyenda!$B$4:$D$10,3,FALSE)</f>
        <v>1</v>
      </c>
      <c r="AY239" s="49">
        <f t="shared" si="84"/>
        <v>4</v>
      </c>
      <c r="AZ239" s="49">
        <f t="shared" si="91"/>
        <v>1</v>
      </c>
      <c r="BA239" s="49">
        <f>VLOOKUP(AN239,Leyenda!$B$70:$D$75,3,FALSE)</f>
        <v>10</v>
      </c>
      <c r="BB239" s="67">
        <f t="shared" si="92"/>
        <v>1.5</v>
      </c>
      <c r="BC239" s="67">
        <f>VLOOKUP(AF239,Leyenda!$B$4:$E$10,4,FALSE)</f>
        <v>1</v>
      </c>
      <c r="BD239" s="67">
        <f t="shared" si="93"/>
        <v>5</v>
      </c>
      <c r="BE239" s="67">
        <f t="shared" si="94"/>
        <v>0</v>
      </c>
      <c r="BF239" s="67">
        <f>+VLOOKUP('3. Blasting'!AK239,Leyenda!$B$47:$E$51,4,FALSE)</f>
        <v>0</v>
      </c>
      <c r="BG239" s="67">
        <f>+VLOOKUP('3. Blasting'!AL239,Leyenda!$B$55:$E$59,4,FALSE)</f>
        <v>1</v>
      </c>
      <c r="BH239" s="67">
        <f>+VLOOKUP('3. Blasting'!AM239,Leyenda!$B$63:$E$67,3,FALSE)</f>
        <v>0</v>
      </c>
      <c r="BI239" s="67">
        <f>+VLOOKUP('3. Blasting'!AJ239,Leyenda!$B$39:$E$43,4,FALSE)</f>
        <v>0</v>
      </c>
      <c r="BJ239" s="67">
        <f>+VLOOKUP('3. Blasting'!AI239,Leyenda!$B$30:$E$34,4,FALSE)</f>
        <v>0</v>
      </c>
      <c r="BK239" s="67">
        <f>VLOOKUP(AN239,Leyenda!$B$71:$E$75,4,FALSE)</f>
        <v>7</v>
      </c>
      <c r="BL239" s="67">
        <f t="shared" si="95"/>
        <v>14</v>
      </c>
      <c r="BM239" s="18">
        <f t="shared" si="96"/>
        <v>16</v>
      </c>
      <c r="BN239" s="18" t="e">
        <f t="shared" si="104"/>
        <v>#N/A</v>
      </c>
      <c r="BO239" s="18"/>
      <c r="BP239" s="6">
        <f t="shared" si="97"/>
        <v>10</v>
      </c>
      <c r="BQ239" s="6">
        <f t="shared" si="98"/>
        <v>10</v>
      </c>
      <c r="BR239" s="6">
        <v>20</v>
      </c>
      <c r="BS239" s="6">
        <f t="shared" si="99"/>
        <v>2.75</v>
      </c>
      <c r="BT239" s="6">
        <f t="shared" si="100"/>
        <v>0.83000000000000007</v>
      </c>
      <c r="BU239" s="6">
        <f t="shared" si="101"/>
        <v>21.79</v>
      </c>
      <c r="BV239" s="18">
        <f t="shared" si="85"/>
        <v>8.7160000000000001E-2</v>
      </c>
      <c r="BW239" s="18">
        <f t="shared" si="86"/>
        <v>0.1839076</v>
      </c>
    </row>
    <row r="240" spans="1:75" hidden="1" x14ac:dyDescent="0.25">
      <c r="A240" s="18" t="s">
        <v>6</v>
      </c>
      <c r="B240" s="18">
        <v>2024</v>
      </c>
      <c r="C240" s="18" t="s">
        <v>138</v>
      </c>
      <c r="D240" s="18" t="s">
        <v>130</v>
      </c>
      <c r="E240" s="18">
        <v>60</v>
      </c>
      <c r="F240" s="18" t="s">
        <v>136</v>
      </c>
      <c r="G240" s="18" t="s">
        <v>179</v>
      </c>
      <c r="H240" s="4">
        <f t="shared" si="105"/>
        <v>3</v>
      </c>
      <c r="I240" s="4">
        <v>3.5</v>
      </c>
      <c r="J240" s="4">
        <f t="shared" si="87"/>
        <v>0.5</v>
      </c>
      <c r="K240" s="5">
        <v>0.36</v>
      </c>
      <c r="L240" s="31">
        <f t="shared" si="88"/>
        <v>0.18</v>
      </c>
      <c r="M240" s="31">
        <v>2.11</v>
      </c>
      <c r="N240" s="31">
        <v>16.600000000000001</v>
      </c>
      <c r="O240" s="31">
        <f t="shared" si="83"/>
        <v>0.18</v>
      </c>
      <c r="P240" s="31">
        <v>9</v>
      </c>
      <c r="Q240" s="31">
        <v>20</v>
      </c>
      <c r="R240" s="31">
        <v>0.17</v>
      </c>
      <c r="S240" s="31">
        <v>0</v>
      </c>
      <c r="T240" s="65">
        <f t="shared" si="102"/>
        <v>0</v>
      </c>
      <c r="U240" s="31">
        <v>10</v>
      </c>
      <c r="V240" s="31"/>
      <c r="W240" s="31">
        <f t="shared" si="81"/>
        <v>10</v>
      </c>
      <c r="X240" s="31">
        <f t="shared" si="82"/>
        <v>17</v>
      </c>
      <c r="Y240" s="31">
        <f t="shared" si="89"/>
        <v>1.7000000000000001E-2</v>
      </c>
      <c r="Z240" s="18">
        <v>0</v>
      </c>
      <c r="AA240" s="18" t="s">
        <v>330</v>
      </c>
      <c r="AB240" s="18" t="s">
        <v>333</v>
      </c>
      <c r="AC240" s="18" t="s">
        <v>336</v>
      </c>
      <c r="AD240" s="18">
        <v>20</v>
      </c>
      <c r="AE240" s="18">
        <v>9</v>
      </c>
      <c r="AF240" s="18" t="s">
        <v>32</v>
      </c>
      <c r="AG240" s="18" t="s">
        <v>239</v>
      </c>
      <c r="AH240" s="18" t="s">
        <v>239</v>
      </c>
      <c r="AI240" s="18" t="s">
        <v>69</v>
      </c>
      <c r="AJ240" s="18" t="s">
        <v>81</v>
      </c>
      <c r="AK240" s="18" t="s">
        <v>100</v>
      </c>
      <c r="AL240" s="18" t="s">
        <v>109</v>
      </c>
      <c r="AM240" s="18" t="s">
        <v>122</v>
      </c>
      <c r="AN240" s="18" t="s">
        <v>247</v>
      </c>
      <c r="AO240" s="18" t="s">
        <v>246</v>
      </c>
      <c r="AP240" s="18"/>
      <c r="AQ240" s="18">
        <f>+VLOOKUP(AI240,Leyenda!$B$30:$E$34,3,FALSE)</f>
        <v>0</v>
      </c>
      <c r="AR240" s="18">
        <f>+VLOOKUP('3. Blasting'!AJ240,Meteorizacion,3,FALSE)</f>
        <v>0</v>
      </c>
      <c r="AS240" s="18">
        <f>+VLOOKUP('3. Blasting'!AK240,Apertura,3,FALSE)</f>
        <v>0</v>
      </c>
      <c r="AT240" s="18">
        <f>+VLOOKUP('3. Blasting'!AL240,Leyenda!$B$55:$D$59,3,FALSE)</f>
        <v>1</v>
      </c>
      <c r="AU240" s="18">
        <f>+VLOOKUP('3. Blasting'!AM240,Relleno,3,FALSE)</f>
        <v>0</v>
      </c>
      <c r="AV240" s="18">
        <f t="shared" si="103"/>
        <v>1</v>
      </c>
      <c r="AW240" s="49">
        <f t="shared" si="90"/>
        <v>0</v>
      </c>
      <c r="AX240" s="49">
        <f>VLOOKUP(AF240,Leyenda!$B$4:$D$10,3,FALSE)</f>
        <v>1</v>
      </c>
      <c r="AY240" s="49">
        <f t="shared" si="84"/>
        <v>3</v>
      </c>
      <c r="AZ240" s="49">
        <f t="shared" si="91"/>
        <v>1</v>
      </c>
      <c r="BA240" s="49">
        <f>VLOOKUP(AN240,Leyenda!$B$70:$D$75,3,FALSE)</f>
        <v>10</v>
      </c>
      <c r="BB240" s="67">
        <f t="shared" si="92"/>
        <v>1.5</v>
      </c>
      <c r="BC240" s="67">
        <f>VLOOKUP(AF240,Leyenda!$B$4:$E$10,4,FALSE)</f>
        <v>1</v>
      </c>
      <c r="BD240" s="67">
        <f t="shared" si="93"/>
        <v>5</v>
      </c>
      <c r="BE240" s="67">
        <f t="shared" si="94"/>
        <v>0</v>
      </c>
      <c r="BF240" s="67">
        <f>+VLOOKUP('3. Blasting'!AK240,Leyenda!$B$47:$E$51,4,FALSE)</f>
        <v>0</v>
      </c>
      <c r="BG240" s="67">
        <f>+VLOOKUP('3. Blasting'!AL240,Leyenda!$B$55:$E$59,4,FALSE)</f>
        <v>1</v>
      </c>
      <c r="BH240" s="67">
        <f>+VLOOKUP('3. Blasting'!AM240,Leyenda!$B$63:$E$67,3,FALSE)</f>
        <v>0</v>
      </c>
      <c r="BI240" s="67">
        <f>+VLOOKUP('3. Blasting'!AJ240,Leyenda!$B$39:$E$43,4,FALSE)</f>
        <v>0</v>
      </c>
      <c r="BJ240" s="67">
        <f>+VLOOKUP('3. Blasting'!AI240,Leyenda!$B$30:$E$34,4,FALSE)</f>
        <v>0</v>
      </c>
      <c r="BK240" s="67">
        <f>VLOOKUP(AN240,Leyenda!$B$71:$E$75,4,FALSE)</f>
        <v>7</v>
      </c>
      <c r="BL240" s="67">
        <f t="shared" si="95"/>
        <v>14</v>
      </c>
      <c r="BM240" s="18">
        <f t="shared" si="96"/>
        <v>15</v>
      </c>
      <c r="BN240" s="18" t="e">
        <f t="shared" si="104"/>
        <v>#N/A</v>
      </c>
      <c r="BO240" s="18"/>
      <c r="BP240" s="6">
        <f t="shared" si="97"/>
        <v>10</v>
      </c>
      <c r="BQ240" s="6">
        <f t="shared" si="98"/>
        <v>10</v>
      </c>
      <c r="BR240" s="6">
        <v>20</v>
      </c>
      <c r="BS240" s="6">
        <f t="shared" si="99"/>
        <v>2.75</v>
      </c>
      <c r="BT240" s="6">
        <f t="shared" si="100"/>
        <v>0.83000000000000007</v>
      </c>
      <c r="BU240" s="6">
        <f t="shared" si="101"/>
        <v>21.79</v>
      </c>
      <c r="BV240" s="18">
        <f t="shared" si="85"/>
        <v>8.7160000000000001E-2</v>
      </c>
      <c r="BW240" s="18">
        <f t="shared" si="86"/>
        <v>0.1839076</v>
      </c>
    </row>
    <row r="241" spans="1:75" hidden="1" x14ac:dyDescent="0.25">
      <c r="A241" s="18" t="s">
        <v>6</v>
      </c>
      <c r="B241" s="18">
        <v>2024</v>
      </c>
      <c r="C241" s="18" t="s">
        <v>138</v>
      </c>
      <c r="D241" s="18" t="s">
        <v>130</v>
      </c>
      <c r="E241" s="18">
        <v>60</v>
      </c>
      <c r="F241" s="18" t="s">
        <v>136</v>
      </c>
      <c r="G241" s="18" t="s">
        <v>179</v>
      </c>
      <c r="H241" s="4">
        <f t="shared" si="105"/>
        <v>3.5</v>
      </c>
      <c r="I241" s="4">
        <v>4</v>
      </c>
      <c r="J241" s="4">
        <f t="shared" si="87"/>
        <v>0.5</v>
      </c>
      <c r="K241" s="5">
        <v>0.57999999999999996</v>
      </c>
      <c r="L241" s="31">
        <f t="shared" si="88"/>
        <v>0.28999999999999998</v>
      </c>
      <c r="M241" s="31">
        <v>2.11</v>
      </c>
      <c r="N241" s="31">
        <v>16.600000000000001</v>
      </c>
      <c r="O241" s="31">
        <f t="shared" si="83"/>
        <v>0.28999999999999998</v>
      </c>
      <c r="P241" s="31">
        <v>14.5</v>
      </c>
      <c r="Q241" s="31">
        <v>20</v>
      </c>
      <c r="R241" s="31">
        <v>0.27</v>
      </c>
      <c r="S241" s="31">
        <v>0</v>
      </c>
      <c r="T241" s="65">
        <f t="shared" si="102"/>
        <v>0</v>
      </c>
      <c r="U241" s="31">
        <v>10</v>
      </c>
      <c r="V241" s="31"/>
      <c r="W241" s="31">
        <f t="shared" si="81"/>
        <v>10</v>
      </c>
      <c r="X241" s="31">
        <f t="shared" si="82"/>
        <v>27</v>
      </c>
      <c r="Y241" s="31">
        <f t="shared" si="89"/>
        <v>2.7E-2</v>
      </c>
      <c r="Z241" s="18">
        <v>0</v>
      </c>
      <c r="AA241" s="18" t="s">
        <v>330</v>
      </c>
      <c r="AB241" s="18" t="s">
        <v>333</v>
      </c>
      <c r="AC241" s="18" t="s">
        <v>336</v>
      </c>
      <c r="AD241" s="18">
        <v>20</v>
      </c>
      <c r="AE241" s="18">
        <v>14.5</v>
      </c>
      <c r="AF241" s="18" t="s">
        <v>32</v>
      </c>
      <c r="AG241" s="18" t="s">
        <v>239</v>
      </c>
      <c r="AH241" s="18" t="s">
        <v>239</v>
      </c>
      <c r="AI241" s="18" t="s">
        <v>69</v>
      </c>
      <c r="AJ241" s="18" t="s">
        <v>81</v>
      </c>
      <c r="AK241" s="18" t="s">
        <v>100</v>
      </c>
      <c r="AL241" s="18" t="s">
        <v>109</v>
      </c>
      <c r="AM241" s="18" t="s">
        <v>122</v>
      </c>
      <c r="AN241" s="18" t="s">
        <v>247</v>
      </c>
      <c r="AO241" s="18" t="s">
        <v>246</v>
      </c>
      <c r="AP241" s="18"/>
      <c r="AQ241" s="18">
        <f>+VLOOKUP(AI241,Leyenda!$B$30:$E$34,3,FALSE)</f>
        <v>0</v>
      </c>
      <c r="AR241" s="18">
        <f>+VLOOKUP('3. Blasting'!AJ241,Meteorizacion,3,FALSE)</f>
        <v>0</v>
      </c>
      <c r="AS241" s="18">
        <f>+VLOOKUP('3. Blasting'!AK241,Apertura,3,FALSE)</f>
        <v>0</v>
      </c>
      <c r="AT241" s="18">
        <f>+VLOOKUP('3. Blasting'!AL241,Leyenda!$B$55:$D$59,3,FALSE)</f>
        <v>1</v>
      </c>
      <c r="AU241" s="18">
        <f>+VLOOKUP('3. Blasting'!AM241,Relleno,3,FALSE)</f>
        <v>0</v>
      </c>
      <c r="AV241" s="18">
        <f t="shared" si="103"/>
        <v>1</v>
      </c>
      <c r="AW241" s="49">
        <f t="shared" si="90"/>
        <v>0</v>
      </c>
      <c r="AX241" s="49">
        <f>VLOOKUP(AF241,Leyenda!$B$4:$D$10,3,FALSE)</f>
        <v>1</v>
      </c>
      <c r="AY241" s="49">
        <f t="shared" si="84"/>
        <v>4</v>
      </c>
      <c r="AZ241" s="49">
        <f t="shared" si="91"/>
        <v>1</v>
      </c>
      <c r="BA241" s="49">
        <f>VLOOKUP(AN241,Leyenda!$B$70:$D$75,3,FALSE)</f>
        <v>10</v>
      </c>
      <c r="BB241" s="67">
        <f t="shared" si="92"/>
        <v>1.5</v>
      </c>
      <c r="BC241" s="67">
        <f>VLOOKUP(AF241,Leyenda!$B$4:$E$10,4,FALSE)</f>
        <v>1</v>
      </c>
      <c r="BD241" s="67">
        <f t="shared" si="93"/>
        <v>5</v>
      </c>
      <c r="BE241" s="67">
        <f t="shared" si="94"/>
        <v>0</v>
      </c>
      <c r="BF241" s="67">
        <f>+VLOOKUP('3. Blasting'!AK241,Leyenda!$B$47:$E$51,4,FALSE)</f>
        <v>0</v>
      </c>
      <c r="BG241" s="67">
        <f>+VLOOKUP('3. Blasting'!AL241,Leyenda!$B$55:$E$59,4,FALSE)</f>
        <v>1</v>
      </c>
      <c r="BH241" s="67">
        <f>+VLOOKUP('3. Blasting'!AM241,Leyenda!$B$63:$E$67,3,FALSE)</f>
        <v>0</v>
      </c>
      <c r="BI241" s="67">
        <f>+VLOOKUP('3. Blasting'!AJ241,Leyenda!$B$39:$E$43,4,FALSE)</f>
        <v>0</v>
      </c>
      <c r="BJ241" s="67">
        <f>+VLOOKUP('3. Blasting'!AI241,Leyenda!$B$30:$E$34,4,FALSE)</f>
        <v>0</v>
      </c>
      <c r="BK241" s="67">
        <f>VLOOKUP(AN241,Leyenda!$B$71:$E$75,4,FALSE)</f>
        <v>7</v>
      </c>
      <c r="BL241" s="67">
        <f t="shared" si="95"/>
        <v>14</v>
      </c>
      <c r="BM241" s="18">
        <f t="shared" si="96"/>
        <v>16</v>
      </c>
      <c r="BN241" s="18" t="e">
        <f t="shared" si="104"/>
        <v>#N/A</v>
      </c>
      <c r="BO241" s="18"/>
      <c r="BP241" s="6">
        <f t="shared" si="97"/>
        <v>10</v>
      </c>
      <c r="BQ241" s="6">
        <f t="shared" si="98"/>
        <v>10</v>
      </c>
      <c r="BR241" s="6">
        <v>20</v>
      </c>
      <c r="BS241" s="6">
        <f t="shared" si="99"/>
        <v>2.75</v>
      </c>
      <c r="BT241" s="6">
        <f t="shared" si="100"/>
        <v>0.83000000000000007</v>
      </c>
      <c r="BU241" s="6">
        <f t="shared" si="101"/>
        <v>21.79</v>
      </c>
      <c r="BV241" s="18">
        <f t="shared" si="85"/>
        <v>8.7160000000000001E-2</v>
      </c>
      <c r="BW241" s="18">
        <f t="shared" si="86"/>
        <v>0.1839076</v>
      </c>
    </row>
    <row r="242" spans="1:75" x14ac:dyDescent="0.25">
      <c r="A242" s="18" t="s">
        <v>6</v>
      </c>
      <c r="B242" s="18">
        <v>2024</v>
      </c>
      <c r="C242" s="18" t="s">
        <v>138</v>
      </c>
      <c r="D242" s="18" t="s">
        <v>130</v>
      </c>
      <c r="E242" s="18">
        <v>40</v>
      </c>
      <c r="F242" s="18" t="s">
        <v>153</v>
      </c>
      <c r="G242" s="18" t="s">
        <v>180</v>
      </c>
      <c r="H242" s="4">
        <f t="shared" si="105"/>
        <v>4</v>
      </c>
      <c r="I242" s="4">
        <v>4.5</v>
      </c>
      <c r="J242" s="4">
        <f t="shared" si="87"/>
        <v>0.5</v>
      </c>
      <c r="K242" s="5">
        <v>0.6</v>
      </c>
      <c r="L242" s="31">
        <f t="shared" si="88"/>
        <v>0.3</v>
      </c>
      <c r="M242" s="31">
        <v>2.14</v>
      </c>
      <c r="N242" s="31">
        <v>31.3</v>
      </c>
      <c r="O242" s="31">
        <f t="shared" si="83"/>
        <v>0.3</v>
      </c>
      <c r="P242" s="31">
        <v>15</v>
      </c>
      <c r="Q242" s="31">
        <v>20</v>
      </c>
      <c r="R242" s="31">
        <v>0.26</v>
      </c>
      <c r="S242" s="31">
        <v>0.11</v>
      </c>
      <c r="T242" s="65">
        <f t="shared" si="102"/>
        <v>22</v>
      </c>
      <c r="U242" s="31">
        <v>5</v>
      </c>
      <c r="V242" s="31"/>
      <c r="W242" s="31">
        <f t="shared" si="81"/>
        <v>5</v>
      </c>
      <c r="X242" s="31">
        <f t="shared" si="82"/>
        <v>52</v>
      </c>
      <c r="Y242" s="31">
        <f t="shared" si="89"/>
        <v>5.1999999999999998E-2</v>
      </c>
      <c r="Z242" s="18">
        <v>0</v>
      </c>
      <c r="AA242" s="18" t="s">
        <v>330</v>
      </c>
      <c r="AB242" s="18" t="s">
        <v>333</v>
      </c>
      <c r="AC242" s="18" t="s">
        <v>336</v>
      </c>
      <c r="AD242" s="18">
        <v>20</v>
      </c>
      <c r="AE242" s="18">
        <v>15</v>
      </c>
      <c r="AF242" s="18" t="s">
        <v>32</v>
      </c>
      <c r="AG242" s="18" t="s">
        <v>200</v>
      </c>
      <c r="AH242" s="18" t="s">
        <v>200</v>
      </c>
      <c r="AI242" s="18" t="s">
        <v>69</v>
      </c>
      <c r="AJ242" s="18" t="s">
        <v>79</v>
      </c>
      <c r="AK242" s="18" t="s">
        <v>100</v>
      </c>
      <c r="AL242" s="18" t="s">
        <v>107</v>
      </c>
      <c r="AM242" s="18" t="s">
        <v>120</v>
      </c>
      <c r="AN242" s="18" t="s">
        <v>247</v>
      </c>
      <c r="AO242" s="18" t="s">
        <v>248</v>
      </c>
      <c r="AP242" s="18"/>
      <c r="AQ242" s="18">
        <f>+VLOOKUP(AI242,Leyenda!$B$30:$E$34,3,FALSE)</f>
        <v>0</v>
      </c>
      <c r="AR242" s="18">
        <f>+VLOOKUP('3. Blasting'!AJ242,Meteorizacion,3,FALSE)</f>
        <v>1</v>
      </c>
      <c r="AS242" s="18">
        <f>+VLOOKUP('3. Blasting'!AK242,Apertura,3,FALSE)</f>
        <v>0</v>
      </c>
      <c r="AT242" s="18">
        <f>+VLOOKUP('3. Blasting'!AL242,Leyenda!$B$55:$D$59,3,FALSE)</f>
        <v>3</v>
      </c>
      <c r="AU242" s="18">
        <f>+VLOOKUP('3. Blasting'!AM242,Relleno,3,FALSE)</f>
        <v>2</v>
      </c>
      <c r="AV242" s="18">
        <f t="shared" si="103"/>
        <v>6</v>
      </c>
      <c r="AW242" s="49">
        <f t="shared" si="90"/>
        <v>0</v>
      </c>
      <c r="AX242" s="49">
        <f>VLOOKUP(AF242,Leyenda!$B$4:$D$10,3,FALSE)</f>
        <v>1</v>
      </c>
      <c r="AY242" s="49">
        <f t="shared" si="84"/>
        <v>4</v>
      </c>
      <c r="AZ242" s="49">
        <f t="shared" si="91"/>
        <v>6</v>
      </c>
      <c r="BA242" s="49">
        <f>VLOOKUP(AN242,Leyenda!$B$70:$D$75,3,FALSE)</f>
        <v>10</v>
      </c>
      <c r="BB242" s="67">
        <f t="shared" si="92"/>
        <v>20</v>
      </c>
      <c r="BC242" s="67">
        <f>VLOOKUP(AF242,Leyenda!$B$4:$E$10,4,FALSE)</f>
        <v>1</v>
      </c>
      <c r="BD242" s="67">
        <f t="shared" si="93"/>
        <v>4</v>
      </c>
      <c r="BE242" s="67">
        <f t="shared" si="94"/>
        <v>5</v>
      </c>
      <c r="BF242" s="67">
        <f>+VLOOKUP('3. Blasting'!AK242,Leyenda!$B$47:$E$51,4,FALSE)</f>
        <v>0</v>
      </c>
      <c r="BG242" s="67">
        <f>+VLOOKUP('3. Blasting'!AL242,Leyenda!$B$55:$E$59,4,FALSE)</f>
        <v>3</v>
      </c>
      <c r="BH242" s="67">
        <f>+VLOOKUP('3. Blasting'!AM242,Leyenda!$B$63:$E$67,3,FALSE)</f>
        <v>2</v>
      </c>
      <c r="BI242" s="67">
        <f>+VLOOKUP('3. Blasting'!AJ242,Leyenda!$B$39:$E$43,4,FALSE)</f>
        <v>1</v>
      </c>
      <c r="BJ242" s="67">
        <f>+VLOOKUP('3. Blasting'!AI242,Leyenda!$B$30:$E$34,4,FALSE)</f>
        <v>0</v>
      </c>
      <c r="BK242" s="67">
        <f>VLOOKUP(AN242,Leyenda!$B$71:$E$75,4,FALSE)</f>
        <v>7</v>
      </c>
      <c r="BL242" s="125">
        <f t="shared" si="95"/>
        <v>23</v>
      </c>
      <c r="BM242" s="85">
        <f t="shared" si="96"/>
        <v>21</v>
      </c>
      <c r="BN242" s="18" t="e">
        <f t="shared" si="104"/>
        <v>#N/A</v>
      </c>
      <c r="BO242" s="18"/>
      <c r="BP242" s="6">
        <f t="shared" si="97"/>
        <v>10</v>
      </c>
      <c r="BQ242" s="6">
        <f t="shared" si="98"/>
        <v>10</v>
      </c>
      <c r="BR242" s="6">
        <v>20</v>
      </c>
      <c r="BS242" s="6">
        <f t="shared" si="99"/>
        <v>3.5</v>
      </c>
      <c r="BT242" s="6">
        <f t="shared" si="100"/>
        <v>1.5650000000000002</v>
      </c>
      <c r="BU242" s="6">
        <f t="shared" si="101"/>
        <v>22.532499999999999</v>
      </c>
      <c r="BV242" s="18">
        <f t="shared" si="85"/>
        <v>9.0130000000000002E-2</v>
      </c>
      <c r="BW242" s="18">
        <f t="shared" si="86"/>
        <v>0.19287820000000003</v>
      </c>
    </row>
    <row r="243" spans="1:75" x14ac:dyDescent="0.25">
      <c r="A243" s="18" t="s">
        <v>6</v>
      </c>
      <c r="B243" s="18">
        <v>2024</v>
      </c>
      <c r="C243" s="18" t="s">
        <v>138</v>
      </c>
      <c r="D243" s="18" t="s">
        <v>130</v>
      </c>
      <c r="E243" s="18">
        <v>40</v>
      </c>
      <c r="F243" s="18" t="s">
        <v>153</v>
      </c>
      <c r="G243" s="18" t="s">
        <v>180</v>
      </c>
      <c r="H243" s="4">
        <f t="shared" si="105"/>
        <v>4.5</v>
      </c>
      <c r="I243" s="4">
        <v>5</v>
      </c>
      <c r="J243" s="4">
        <f t="shared" si="87"/>
        <v>0.5</v>
      </c>
      <c r="K243" s="5">
        <v>0.66</v>
      </c>
      <c r="L243" s="31">
        <f t="shared" si="88"/>
        <v>0.33</v>
      </c>
      <c r="M243" s="31">
        <v>2.14</v>
      </c>
      <c r="N243" s="31">
        <v>31.3</v>
      </c>
      <c r="O243" s="31">
        <f t="shared" si="83"/>
        <v>0.33</v>
      </c>
      <c r="P243" s="31">
        <v>16.5</v>
      </c>
      <c r="Q243" s="31">
        <v>20</v>
      </c>
      <c r="R243" s="31">
        <v>0.35</v>
      </c>
      <c r="S243" s="31">
        <v>0.14000000000000001</v>
      </c>
      <c r="T243" s="65">
        <f t="shared" si="102"/>
        <v>28.000000000000004</v>
      </c>
      <c r="U243" s="31">
        <v>7</v>
      </c>
      <c r="V243" s="31"/>
      <c r="W243" s="31">
        <f t="shared" si="81"/>
        <v>7</v>
      </c>
      <c r="X243" s="31">
        <f t="shared" si="82"/>
        <v>50</v>
      </c>
      <c r="Y243" s="31">
        <f t="shared" si="89"/>
        <v>0.05</v>
      </c>
      <c r="Z243" s="18">
        <v>0</v>
      </c>
      <c r="AA243" s="18" t="s">
        <v>330</v>
      </c>
      <c r="AB243" s="18" t="s">
        <v>333</v>
      </c>
      <c r="AC243" s="18" t="s">
        <v>336</v>
      </c>
      <c r="AD243" s="18">
        <v>20</v>
      </c>
      <c r="AE243" s="18">
        <v>16.5</v>
      </c>
      <c r="AF243" s="18" t="s">
        <v>32</v>
      </c>
      <c r="AG243" s="18" t="s">
        <v>200</v>
      </c>
      <c r="AH243" s="18" t="s">
        <v>200</v>
      </c>
      <c r="AI243" s="18" t="s">
        <v>69</v>
      </c>
      <c r="AJ243" s="18" t="s">
        <v>81</v>
      </c>
      <c r="AK243" s="18" t="s">
        <v>100</v>
      </c>
      <c r="AL243" s="18" t="s">
        <v>107</v>
      </c>
      <c r="AM243" s="18" t="s">
        <v>120</v>
      </c>
      <c r="AN243" s="18" t="s">
        <v>247</v>
      </c>
      <c r="AO243" s="18" t="s">
        <v>248</v>
      </c>
      <c r="AP243" s="18"/>
      <c r="AQ243" s="18">
        <f>+VLOOKUP(AI243,Leyenda!$B$30:$E$34,3,FALSE)</f>
        <v>0</v>
      </c>
      <c r="AR243" s="18">
        <f>+VLOOKUP('3. Blasting'!AJ243,Meteorizacion,3,FALSE)</f>
        <v>0</v>
      </c>
      <c r="AS243" s="18">
        <f>+VLOOKUP('3. Blasting'!AK243,Apertura,3,FALSE)</f>
        <v>0</v>
      </c>
      <c r="AT243" s="18">
        <f>+VLOOKUP('3. Blasting'!AL243,Leyenda!$B$55:$D$59,3,FALSE)</f>
        <v>3</v>
      </c>
      <c r="AU243" s="18">
        <f>+VLOOKUP('3. Blasting'!AM243,Relleno,3,FALSE)</f>
        <v>2</v>
      </c>
      <c r="AV243" s="18">
        <f t="shared" si="103"/>
        <v>5</v>
      </c>
      <c r="AW243" s="49">
        <f t="shared" si="90"/>
        <v>0</v>
      </c>
      <c r="AX243" s="49">
        <f>VLOOKUP(AF243,Leyenda!$B$4:$D$10,3,FALSE)</f>
        <v>1</v>
      </c>
      <c r="AY243" s="49">
        <f t="shared" si="84"/>
        <v>4</v>
      </c>
      <c r="AZ243" s="49">
        <f t="shared" si="91"/>
        <v>5</v>
      </c>
      <c r="BA243" s="49">
        <f>VLOOKUP(AN243,Leyenda!$B$70:$D$75,3,FALSE)</f>
        <v>10</v>
      </c>
      <c r="BB243" s="67">
        <f t="shared" si="92"/>
        <v>21.5</v>
      </c>
      <c r="BC243" s="67">
        <f>VLOOKUP(AF243,Leyenda!$B$4:$E$10,4,FALSE)</f>
        <v>1</v>
      </c>
      <c r="BD243" s="67">
        <f t="shared" si="93"/>
        <v>5</v>
      </c>
      <c r="BE243" s="67">
        <f t="shared" si="94"/>
        <v>6</v>
      </c>
      <c r="BF243" s="67">
        <f>+VLOOKUP('3. Blasting'!AK243,Leyenda!$B$47:$E$51,4,FALSE)</f>
        <v>0</v>
      </c>
      <c r="BG243" s="67">
        <f>+VLOOKUP('3. Blasting'!AL243,Leyenda!$B$55:$E$59,4,FALSE)</f>
        <v>3</v>
      </c>
      <c r="BH243" s="67">
        <f>+VLOOKUP('3. Blasting'!AM243,Leyenda!$B$63:$E$67,3,FALSE)</f>
        <v>2</v>
      </c>
      <c r="BI243" s="67">
        <f>+VLOOKUP('3. Blasting'!AJ243,Leyenda!$B$39:$E$43,4,FALSE)</f>
        <v>0</v>
      </c>
      <c r="BJ243" s="67">
        <f>+VLOOKUP('3. Blasting'!AI243,Leyenda!$B$30:$E$34,4,FALSE)</f>
        <v>0</v>
      </c>
      <c r="BK243" s="67">
        <f>VLOOKUP(AN243,Leyenda!$B$71:$E$75,4,FALSE)</f>
        <v>7</v>
      </c>
      <c r="BL243" s="125">
        <f t="shared" si="95"/>
        <v>24</v>
      </c>
      <c r="BM243" s="85">
        <f t="shared" si="96"/>
        <v>20</v>
      </c>
      <c r="BN243" s="18" t="e">
        <f t="shared" si="104"/>
        <v>#N/A</v>
      </c>
      <c r="BO243" s="18"/>
      <c r="BP243" s="6">
        <f t="shared" si="97"/>
        <v>10</v>
      </c>
      <c r="BQ243" s="6">
        <f t="shared" si="98"/>
        <v>10</v>
      </c>
      <c r="BR243" s="6">
        <v>20</v>
      </c>
      <c r="BS243" s="6">
        <f t="shared" si="99"/>
        <v>3.5</v>
      </c>
      <c r="BT243" s="6">
        <f t="shared" si="100"/>
        <v>1.5650000000000002</v>
      </c>
      <c r="BU243" s="6">
        <f t="shared" si="101"/>
        <v>22.532499999999999</v>
      </c>
      <c r="BV243" s="18">
        <f t="shared" si="85"/>
        <v>9.0130000000000002E-2</v>
      </c>
      <c r="BW243" s="18">
        <f t="shared" si="86"/>
        <v>0.19287820000000003</v>
      </c>
    </row>
    <row r="244" spans="1:75" x14ac:dyDescent="0.25">
      <c r="A244" s="18" t="s">
        <v>6</v>
      </c>
      <c r="B244" s="18">
        <v>2024</v>
      </c>
      <c r="C244" s="18" t="s">
        <v>138</v>
      </c>
      <c r="D244" s="18" t="s">
        <v>130</v>
      </c>
      <c r="E244" s="18">
        <v>40</v>
      </c>
      <c r="F244" s="18" t="s">
        <v>153</v>
      </c>
      <c r="G244" s="18" t="s">
        <v>180</v>
      </c>
      <c r="H244" s="4">
        <f t="shared" si="105"/>
        <v>5</v>
      </c>
      <c r="I244" s="4">
        <v>5.5</v>
      </c>
      <c r="J244" s="4">
        <f t="shared" si="87"/>
        <v>0.5</v>
      </c>
      <c r="K244" s="5">
        <v>0.7</v>
      </c>
      <c r="L244" s="31">
        <f t="shared" si="88"/>
        <v>0.35</v>
      </c>
      <c r="M244" s="31">
        <v>2.14</v>
      </c>
      <c r="N244" s="31">
        <v>31.3</v>
      </c>
      <c r="O244" s="31">
        <f t="shared" si="83"/>
        <v>0.35</v>
      </c>
      <c r="P244" s="31">
        <v>17.5</v>
      </c>
      <c r="Q244" s="31">
        <v>20</v>
      </c>
      <c r="R244" s="31">
        <v>0.33</v>
      </c>
      <c r="S244" s="31">
        <v>0.15</v>
      </c>
      <c r="T244" s="65">
        <f t="shared" si="102"/>
        <v>30</v>
      </c>
      <c r="U244" s="31">
        <v>3</v>
      </c>
      <c r="V244" s="31"/>
      <c r="W244" s="31">
        <f t="shared" si="81"/>
        <v>3</v>
      </c>
      <c r="X244" s="31">
        <f t="shared" si="82"/>
        <v>110</v>
      </c>
      <c r="Y244" s="31">
        <f t="shared" si="89"/>
        <v>0.11</v>
      </c>
      <c r="Z244" s="18">
        <v>0</v>
      </c>
      <c r="AA244" s="18" t="s">
        <v>330</v>
      </c>
      <c r="AB244" s="18" t="s">
        <v>333</v>
      </c>
      <c r="AC244" s="18" t="s">
        <v>336</v>
      </c>
      <c r="AD244" s="18">
        <v>20</v>
      </c>
      <c r="AE244" s="18">
        <v>17.5</v>
      </c>
      <c r="AF244" s="18" t="s">
        <v>32</v>
      </c>
      <c r="AG244" s="18" t="s">
        <v>239</v>
      </c>
      <c r="AH244" s="18" t="s">
        <v>239</v>
      </c>
      <c r="AI244" s="18" t="s">
        <v>69</v>
      </c>
      <c r="AJ244" s="18" t="s">
        <v>79</v>
      </c>
      <c r="AK244" s="18" t="s">
        <v>100</v>
      </c>
      <c r="AL244" s="18" t="s">
        <v>107</v>
      </c>
      <c r="AM244" s="18" t="s">
        <v>120</v>
      </c>
      <c r="AN244" s="18" t="s">
        <v>247</v>
      </c>
      <c r="AO244" s="18" t="s">
        <v>248</v>
      </c>
      <c r="AP244" s="18"/>
      <c r="AQ244" s="18">
        <f>+VLOOKUP(AI244,Leyenda!$B$30:$E$34,3,FALSE)</f>
        <v>0</v>
      </c>
      <c r="AR244" s="18">
        <f>+VLOOKUP('3. Blasting'!AJ244,Meteorizacion,3,FALSE)</f>
        <v>1</v>
      </c>
      <c r="AS244" s="18">
        <f>+VLOOKUP('3. Blasting'!AK244,Apertura,3,FALSE)</f>
        <v>0</v>
      </c>
      <c r="AT244" s="18">
        <f>+VLOOKUP('3. Blasting'!AL244,Leyenda!$B$55:$D$59,3,FALSE)</f>
        <v>3</v>
      </c>
      <c r="AU244" s="18">
        <f>+VLOOKUP('3. Blasting'!AM244,Relleno,3,FALSE)</f>
        <v>2</v>
      </c>
      <c r="AV244" s="18">
        <f t="shared" si="103"/>
        <v>6</v>
      </c>
      <c r="AW244" s="49">
        <f t="shared" si="90"/>
        <v>0</v>
      </c>
      <c r="AX244" s="49">
        <f>VLOOKUP(AF244,Leyenda!$B$4:$D$10,3,FALSE)</f>
        <v>1</v>
      </c>
      <c r="AY244" s="49">
        <f t="shared" si="84"/>
        <v>4</v>
      </c>
      <c r="AZ244" s="49">
        <f t="shared" si="91"/>
        <v>6</v>
      </c>
      <c r="BA244" s="49">
        <f>VLOOKUP(AN244,Leyenda!$B$70:$D$75,3,FALSE)</f>
        <v>10</v>
      </c>
      <c r="BB244" s="67">
        <f t="shared" si="92"/>
        <v>24</v>
      </c>
      <c r="BC244" s="67">
        <f>VLOOKUP(AF244,Leyenda!$B$4:$E$10,4,FALSE)</f>
        <v>1</v>
      </c>
      <c r="BD244" s="67">
        <f t="shared" si="93"/>
        <v>9</v>
      </c>
      <c r="BE244" s="67">
        <f t="shared" si="94"/>
        <v>6</v>
      </c>
      <c r="BF244" s="67">
        <f>+VLOOKUP('3. Blasting'!AK244,Leyenda!$B$47:$E$51,4,FALSE)</f>
        <v>0</v>
      </c>
      <c r="BG244" s="67">
        <f>+VLOOKUP('3. Blasting'!AL244,Leyenda!$B$55:$E$59,4,FALSE)</f>
        <v>3</v>
      </c>
      <c r="BH244" s="67">
        <f>+VLOOKUP('3. Blasting'!AM244,Leyenda!$B$63:$E$67,3,FALSE)</f>
        <v>2</v>
      </c>
      <c r="BI244" s="67">
        <f>+VLOOKUP('3. Blasting'!AJ244,Leyenda!$B$39:$E$43,4,FALSE)</f>
        <v>1</v>
      </c>
      <c r="BJ244" s="67">
        <f>+VLOOKUP('3. Blasting'!AI244,Leyenda!$B$30:$E$34,4,FALSE)</f>
        <v>0</v>
      </c>
      <c r="BK244" s="67">
        <f>VLOOKUP(AN244,Leyenda!$B$71:$E$75,4,FALSE)</f>
        <v>7</v>
      </c>
      <c r="BL244" s="125">
        <f t="shared" si="95"/>
        <v>29</v>
      </c>
      <c r="BM244" s="85">
        <f t="shared" si="96"/>
        <v>21</v>
      </c>
      <c r="BN244" s="18" t="e">
        <f t="shared" si="104"/>
        <v>#N/A</v>
      </c>
      <c r="BO244" s="18"/>
      <c r="BP244" s="6">
        <f t="shared" si="97"/>
        <v>10</v>
      </c>
      <c r="BQ244" s="6">
        <f t="shared" si="98"/>
        <v>20</v>
      </c>
      <c r="BR244" s="6">
        <v>20</v>
      </c>
      <c r="BS244" s="6">
        <f t="shared" si="99"/>
        <v>3.5</v>
      </c>
      <c r="BT244" s="6">
        <f t="shared" si="100"/>
        <v>1.5650000000000002</v>
      </c>
      <c r="BU244" s="6">
        <f t="shared" si="101"/>
        <v>27.532499999999999</v>
      </c>
      <c r="BV244" s="18">
        <f t="shared" si="85"/>
        <v>0.11012999999999999</v>
      </c>
      <c r="BW244" s="18">
        <f t="shared" si="86"/>
        <v>0.2356782</v>
      </c>
    </row>
    <row r="245" spans="1:75" x14ac:dyDescent="0.25">
      <c r="A245" s="18" t="s">
        <v>6</v>
      </c>
      <c r="B245" s="18">
        <v>2024</v>
      </c>
      <c r="C245" s="18" t="s">
        <v>138</v>
      </c>
      <c r="D245" s="18" t="s">
        <v>130</v>
      </c>
      <c r="E245" s="18">
        <v>40</v>
      </c>
      <c r="F245" s="18" t="s">
        <v>153</v>
      </c>
      <c r="G245" s="18" t="s">
        <v>180</v>
      </c>
      <c r="H245" s="4">
        <f t="shared" si="105"/>
        <v>5.5</v>
      </c>
      <c r="I245" s="4">
        <v>6</v>
      </c>
      <c r="J245" s="4">
        <f t="shared" si="87"/>
        <v>0.5</v>
      </c>
      <c r="K245" s="5">
        <v>0.72</v>
      </c>
      <c r="L245" s="31">
        <f t="shared" si="88"/>
        <v>0.36</v>
      </c>
      <c r="M245" s="31">
        <v>2.14</v>
      </c>
      <c r="N245" s="31">
        <v>31.3</v>
      </c>
      <c r="O245" s="31">
        <f t="shared" si="83"/>
        <v>0.36</v>
      </c>
      <c r="P245" s="31">
        <v>18</v>
      </c>
      <c r="Q245" s="31">
        <v>20</v>
      </c>
      <c r="R245" s="31">
        <v>0.33</v>
      </c>
      <c r="S245" s="31">
        <v>0</v>
      </c>
      <c r="T245" s="65">
        <f t="shared" si="102"/>
        <v>0</v>
      </c>
      <c r="U245" s="31">
        <v>7</v>
      </c>
      <c r="V245" s="31"/>
      <c r="W245" s="31">
        <f t="shared" si="81"/>
        <v>7</v>
      </c>
      <c r="X245" s="31">
        <f t="shared" si="82"/>
        <v>47.142857142857146</v>
      </c>
      <c r="Y245" s="31">
        <f t="shared" si="89"/>
        <v>4.7142857142857146E-2</v>
      </c>
      <c r="Z245" s="18">
        <v>0</v>
      </c>
      <c r="AA245" s="18" t="s">
        <v>330</v>
      </c>
      <c r="AB245" s="18" t="s">
        <v>333</v>
      </c>
      <c r="AC245" s="18" t="s">
        <v>336</v>
      </c>
      <c r="AD245" s="18">
        <v>20</v>
      </c>
      <c r="AE245" s="18">
        <v>18</v>
      </c>
      <c r="AF245" s="18" t="s">
        <v>32</v>
      </c>
      <c r="AG245" s="18" t="s">
        <v>239</v>
      </c>
      <c r="AH245" s="18" t="s">
        <v>239</v>
      </c>
      <c r="AI245" s="18" t="s">
        <v>69</v>
      </c>
      <c r="AJ245" s="18" t="s">
        <v>79</v>
      </c>
      <c r="AK245" s="18" t="s">
        <v>100</v>
      </c>
      <c r="AL245" s="18" t="s">
        <v>107</v>
      </c>
      <c r="AM245" s="18" t="s">
        <v>120</v>
      </c>
      <c r="AN245" s="18" t="s">
        <v>247</v>
      </c>
      <c r="AO245" s="18" t="s">
        <v>248</v>
      </c>
      <c r="AP245" s="18"/>
      <c r="AQ245" s="18">
        <f>+VLOOKUP(AI245,Leyenda!$B$30:$E$34,3,FALSE)</f>
        <v>0</v>
      </c>
      <c r="AR245" s="18">
        <f>+VLOOKUP('3. Blasting'!AJ245,Meteorizacion,3,FALSE)</f>
        <v>1</v>
      </c>
      <c r="AS245" s="18">
        <f>+VLOOKUP('3. Blasting'!AK245,Apertura,3,FALSE)</f>
        <v>0</v>
      </c>
      <c r="AT245" s="18">
        <f>+VLOOKUP('3. Blasting'!AL245,Leyenda!$B$55:$D$59,3,FALSE)</f>
        <v>3</v>
      </c>
      <c r="AU245" s="18">
        <f>+VLOOKUP('3. Blasting'!AM245,Relleno,3,FALSE)</f>
        <v>2</v>
      </c>
      <c r="AV245" s="18">
        <f t="shared" si="103"/>
        <v>6</v>
      </c>
      <c r="AW245" s="49">
        <f t="shared" si="90"/>
        <v>0</v>
      </c>
      <c r="AX245" s="49">
        <f>VLOOKUP(AF245,Leyenda!$B$4:$D$10,3,FALSE)</f>
        <v>1</v>
      </c>
      <c r="AY245" s="49">
        <f t="shared" si="84"/>
        <v>4</v>
      </c>
      <c r="AZ245" s="49">
        <f t="shared" si="91"/>
        <v>6</v>
      </c>
      <c r="BA245" s="49">
        <f>VLOOKUP(AN245,Leyenda!$B$70:$D$75,3,FALSE)</f>
        <v>10</v>
      </c>
      <c r="BB245" s="67">
        <f t="shared" si="92"/>
        <v>9</v>
      </c>
      <c r="BC245" s="67">
        <f>VLOOKUP(AF245,Leyenda!$B$4:$E$10,4,FALSE)</f>
        <v>1</v>
      </c>
      <c r="BD245" s="67">
        <f t="shared" si="93"/>
        <v>5</v>
      </c>
      <c r="BE245" s="67">
        <f t="shared" si="94"/>
        <v>0</v>
      </c>
      <c r="BF245" s="67">
        <f>+VLOOKUP('3. Blasting'!AK245,Leyenda!$B$47:$E$51,4,FALSE)</f>
        <v>0</v>
      </c>
      <c r="BG245" s="67">
        <f>+VLOOKUP('3. Blasting'!AL245,Leyenda!$B$55:$E$59,4,FALSE)</f>
        <v>3</v>
      </c>
      <c r="BH245" s="67">
        <f>+VLOOKUP('3. Blasting'!AM245,Leyenda!$B$63:$E$67,3,FALSE)</f>
        <v>2</v>
      </c>
      <c r="BI245" s="67">
        <f>+VLOOKUP('3. Blasting'!AJ245,Leyenda!$B$39:$E$43,4,FALSE)</f>
        <v>1</v>
      </c>
      <c r="BJ245" s="67">
        <f>+VLOOKUP('3. Blasting'!AI245,Leyenda!$B$30:$E$34,4,FALSE)</f>
        <v>0</v>
      </c>
      <c r="BK245" s="67">
        <f>VLOOKUP(AN245,Leyenda!$B$71:$E$75,4,FALSE)</f>
        <v>7</v>
      </c>
      <c r="BL245" s="125">
        <f t="shared" si="95"/>
        <v>19</v>
      </c>
      <c r="BM245" s="85">
        <f t="shared" si="96"/>
        <v>21</v>
      </c>
      <c r="BN245" s="18" t="e">
        <f t="shared" si="104"/>
        <v>#N/A</v>
      </c>
      <c r="BO245" s="18"/>
      <c r="BP245" s="6">
        <f t="shared" si="97"/>
        <v>10</v>
      </c>
      <c r="BQ245" s="6">
        <f t="shared" si="98"/>
        <v>10</v>
      </c>
      <c r="BR245" s="6">
        <v>20</v>
      </c>
      <c r="BS245" s="6">
        <f t="shared" si="99"/>
        <v>3.5</v>
      </c>
      <c r="BT245" s="6">
        <f t="shared" si="100"/>
        <v>1.5650000000000002</v>
      </c>
      <c r="BU245" s="6">
        <f t="shared" si="101"/>
        <v>22.532499999999999</v>
      </c>
      <c r="BV245" s="18">
        <f t="shared" si="85"/>
        <v>9.0130000000000002E-2</v>
      </c>
      <c r="BW245" s="18">
        <f t="shared" si="86"/>
        <v>0.19287820000000003</v>
      </c>
    </row>
    <row r="246" spans="1:75" x14ac:dyDescent="0.25">
      <c r="A246" s="18" t="s">
        <v>6</v>
      </c>
      <c r="B246" s="18">
        <v>2024</v>
      </c>
      <c r="C246" s="18" t="s">
        <v>138</v>
      </c>
      <c r="D246" s="18" t="s">
        <v>130</v>
      </c>
      <c r="E246" s="18">
        <v>40</v>
      </c>
      <c r="F246" s="18" t="s">
        <v>153</v>
      </c>
      <c r="G246" s="18" t="s">
        <v>180</v>
      </c>
      <c r="H246" s="4">
        <f t="shared" si="105"/>
        <v>6</v>
      </c>
      <c r="I246" s="4">
        <v>6.5</v>
      </c>
      <c r="J246" s="4">
        <f t="shared" si="87"/>
        <v>0.5</v>
      </c>
      <c r="K246" s="5">
        <v>0.57999999999999996</v>
      </c>
      <c r="L246" s="31">
        <f t="shared" si="88"/>
        <v>0.28999999999999998</v>
      </c>
      <c r="M246" s="31">
        <v>2.14</v>
      </c>
      <c r="N246" s="31">
        <v>31.3</v>
      </c>
      <c r="O246" s="31">
        <f t="shared" si="83"/>
        <v>0.28999999999999998</v>
      </c>
      <c r="P246" s="31">
        <v>14.5</v>
      </c>
      <c r="Q246" s="31">
        <v>20</v>
      </c>
      <c r="R246" s="31">
        <v>0.28999999999999998</v>
      </c>
      <c r="S246" s="31">
        <v>0</v>
      </c>
      <c r="T246" s="65">
        <f t="shared" si="102"/>
        <v>0</v>
      </c>
      <c r="U246" s="31">
        <v>7</v>
      </c>
      <c r="V246" s="31"/>
      <c r="W246" s="31">
        <f t="shared" si="81"/>
        <v>7</v>
      </c>
      <c r="X246" s="31">
        <f t="shared" si="82"/>
        <v>41.428571428571431</v>
      </c>
      <c r="Y246" s="31">
        <f t="shared" si="89"/>
        <v>4.1428571428571433E-2</v>
      </c>
      <c r="Z246" s="18">
        <v>0</v>
      </c>
      <c r="AA246" s="18" t="s">
        <v>330</v>
      </c>
      <c r="AB246" s="18" t="s">
        <v>333</v>
      </c>
      <c r="AC246" s="18" t="s">
        <v>336</v>
      </c>
      <c r="AD246" s="18">
        <v>20</v>
      </c>
      <c r="AE246" s="18">
        <v>14.5</v>
      </c>
      <c r="AF246" s="18" t="s">
        <v>32</v>
      </c>
      <c r="AG246" s="18" t="s">
        <v>200</v>
      </c>
      <c r="AH246" s="18" t="s">
        <v>200</v>
      </c>
      <c r="AI246" s="18" t="s">
        <v>69</v>
      </c>
      <c r="AJ246" s="18" t="s">
        <v>79</v>
      </c>
      <c r="AK246" s="18" t="s">
        <v>100</v>
      </c>
      <c r="AL246" s="18" t="s">
        <v>107</v>
      </c>
      <c r="AM246" s="18" t="s">
        <v>120</v>
      </c>
      <c r="AN246" s="18" t="s">
        <v>247</v>
      </c>
      <c r="AO246" s="18" t="s">
        <v>248</v>
      </c>
      <c r="AP246" s="18"/>
      <c r="AQ246" s="18">
        <f>+VLOOKUP(AI246,Leyenda!$B$30:$E$34,3,FALSE)</f>
        <v>0</v>
      </c>
      <c r="AR246" s="18">
        <f>+VLOOKUP('3. Blasting'!AJ246,Meteorizacion,3,FALSE)</f>
        <v>1</v>
      </c>
      <c r="AS246" s="18">
        <f>+VLOOKUP('3. Blasting'!AK246,Apertura,3,FALSE)</f>
        <v>0</v>
      </c>
      <c r="AT246" s="18">
        <f>+VLOOKUP('3. Blasting'!AL246,Leyenda!$B$55:$D$59,3,FALSE)</f>
        <v>3</v>
      </c>
      <c r="AU246" s="18">
        <f>+VLOOKUP('3. Blasting'!AM246,Relleno,3,FALSE)</f>
        <v>2</v>
      </c>
      <c r="AV246" s="18">
        <f t="shared" si="103"/>
        <v>6</v>
      </c>
      <c r="AW246" s="49">
        <f t="shared" si="90"/>
        <v>0</v>
      </c>
      <c r="AX246" s="49">
        <f>VLOOKUP(AF246,Leyenda!$B$4:$D$10,3,FALSE)</f>
        <v>1</v>
      </c>
      <c r="AY246" s="49">
        <f t="shared" si="84"/>
        <v>4</v>
      </c>
      <c r="AZ246" s="49">
        <f t="shared" si="91"/>
        <v>6</v>
      </c>
      <c r="BA246" s="49">
        <f>VLOOKUP(AN246,Leyenda!$B$70:$D$75,3,FALSE)</f>
        <v>10</v>
      </c>
      <c r="BB246" s="67">
        <f t="shared" si="92"/>
        <v>9</v>
      </c>
      <c r="BC246" s="67">
        <f>VLOOKUP(AF246,Leyenda!$B$4:$E$10,4,FALSE)</f>
        <v>1</v>
      </c>
      <c r="BD246" s="67">
        <f t="shared" si="93"/>
        <v>5</v>
      </c>
      <c r="BE246" s="67">
        <f t="shared" si="94"/>
        <v>0</v>
      </c>
      <c r="BF246" s="67">
        <f>+VLOOKUP('3. Blasting'!AK246,Leyenda!$B$47:$E$51,4,FALSE)</f>
        <v>0</v>
      </c>
      <c r="BG246" s="67">
        <f>+VLOOKUP('3. Blasting'!AL246,Leyenda!$B$55:$E$59,4,FALSE)</f>
        <v>3</v>
      </c>
      <c r="BH246" s="67">
        <f>+VLOOKUP('3. Blasting'!AM246,Leyenda!$B$63:$E$67,3,FALSE)</f>
        <v>2</v>
      </c>
      <c r="BI246" s="67">
        <f>+VLOOKUP('3. Blasting'!AJ246,Leyenda!$B$39:$E$43,4,FALSE)</f>
        <v>1</v>
      </c>
      <c r="BJ246" s="67">
        <f>+VLOOKUP('3. Blasting'!AI246,Leyenda!$B$30:$E$34,4,FALSE)</f>
        <v>0</v>
      </c>
      <c r="BK246" s="67">
        <f>VLOOKUP(AN246,Leyenda!$B$71:$E$75,4,FALSE)</f>
        <v>7</v>
      </c>
      <c r="BL246" s="125">
        <f t="shared" si="95"/>
        <v>19</v>
      </c>
      <c r="BM246" s="85">
        <f t="shared" si="96"/>
        <v>21</v>
      </c>
      <c r="BN246" s="18" t="e">
        <f t="shared" si="104"/>
        <v>#N/A</v>
      </c>
      <c r="BO246" s="18"/>
      <c r="BP246" s="6">
        <f t="shared" si="97"/>
        <v>10</v>
      </c>
      <c r="BQ246" s="6">
        <f t="shared" si="98"/>
        <v>10</v>
      </c>
      <c r="BR246" s="6">
        <v>20</v>
      </c>
      <c r="BS246" s="6">
        <f t="shared" si="99"/>
        <v>3.5</v>
      </c>
      <c r="BT246" s="6">
        <f t="shared" si="100"/>
        <v>1.5650000000000002</v>
      </c>
      <c r="BU246" s="6">
        <f t="shared" si="101"/>
        <v>22.532499999999999</v>
      </c>
      <c r="BV246" s="18">
        <f t="shared" si="85"/>
        <v>9.0130000000000002E-2</v>
      </c>
      <c r="BW246" s="18">
        <f t="shared" si="86"/>
        <v>0.19287820000000003</v>
      </c>
    </row>
    <row r="247" spans="1:75" x14ac:dyDescent="0.25">
      <c r="A247" s="18" t="s">
        <v>6</v>
      </c>
      <c r="B247" s="18">
        <v>2024</v>
      </c>
      <c r="C247" s="18" t="s">
        <v>138</v>
      </c>
      <c r="D247" s="18" t="s">
        <v>130</v>
      </c>
      <c r="E247" s="18">
        <v>40</v>
      </c>
      <c r="F247" s="18" t="s">
        <v>153</v>
      </c>
      <c r="G247" s="18" t="s">
        <v>180</v>
      </c>
      <c r="H247" s="4">
        <f t="shared" si="105"/>
        <v>6.5</v>
      </c>
      <c r="I247" s="4">
        <v>7</v>
      </c>
      <c r="J247" s="4">
        <f t="shared" si="87"/>
        <v>0.5</v>
      </c>
      <c r="K247" s="5">
        <v>0.56000000000000005</v>
      </c>
      <c r="L247" s="31">
        <f t="shared" si="88"/>
        <v>0.28000000000000003</v>
      </c>
      <c r="M247" s="31">
        <v>2.14</v>
      </c>
      <c r="N247" s="31">
        <v>31.3</v>
      </c>
      <c r="O247" s="31">
        <f t="shared" si="83"/>
        <v>0.28000000000000003</v>
      </c>
      <c r="P247" s="31">
        <v>14</v>
      </c>
      <c r="Q247" s="31">
        <v>20</v>
      </c>
      <c r="R247" s="31">
        <v>0.25</v>
      </c>
      <c r="S247" s="31">
        <v>0.1</v>
      </c>
      <c r="T247" s="65">
        <f t="shared" si="102"/>
        <v>20</v>
      </c>
      <c r="U247" s="31">
        <v>5</v>
      </c>
      <c r="V247" s="31"/>
      <c r="W247" s="31">
        <f t="shared" si="81"/>
        <v>5</v>
      </c>
      <c r="X247" s="31">
        <f t="shared" si="82"/>
        <v>50</v>
      </c>
      <c r="Y247" s="31">
        <f t="shared" si="89"/>
        <v>0.05</v>
      </c>
      <c r="Z247" s="18">
        <v>0</v>
      </c>
      <c r="AA247" s="18" t="s">
        <v>330</v>
      </c>
      <c r="AB247" s="18" t="s">
        <v>333</v>
      </c>
      <c r="AC247" s="18" t="s">
        <v>336</v>
      </c>
      <c r="AD247" s="18">
        <v>20</v>
      </c>
      <c r="AE247" s="18">
        <v>14</v>
      </c>
      <c r="AF247" s="18" t="s">
        <v>32</v>
      </c>
      <c r="AG247" s="18" t="s">
        <v>200</v>
      </c>
      <c r="AH247" s="18" t="s">
        <v>200</v>
      </c>
      <c r="AI247" s="18" t="s">
        <v>69</v>
      </c>
      <c r="AJ247" s="18" t="s">
        <v>81</v>
      </c>
      <c r="AK247" s="18" t="s">
        <v>100</v>
      </c>
      <c r="AL247" s="18" t="s">
        <v>107</v>
      </c>
      <c r="AM247" s="18" t="s">
        <v>120</v>
      </c>
      <c r="AN247" s="18" t="s">
        <v>247</v>
      </c>
      <c r="AO247" s="18" t="s">
        <v>248</v>
      </c>
      <c r="AP247" s="18"/>
      <c r="AQ247" s="18">
        <f>+VLOOKUP(AI247,Leyenda!$B$30:$E$34,3,FALSE)</f>
        <v>0</v>
      </c>
      <c r="AR247" s="18">
        <f>+VLOOKUP('3. Blasting'!AJ247,Meteorizacion,3,FALSE)</f>
        <v>0</v>
      </c>
      <c r="AS247" s="18">
        <f>+VLOOKUP('3. Blasting'!AK247,Apertura,3,FALSE)</f>
        <v>0</v>
      </c>
      <c r="AT247" s="18">
        <f>+VLOOKUP('3. Blasting'!AL247,Leyenda!$B$55:$D$59,3,FALSE)</f>
        <v>3</v>
      </c>
      <c r="AU247" s="18">
        <f>+VLOOKUP('3. Blasting'!AM247,Relleno,3,FALSE)</f>
        <v>2</v>
      </c>
      <c r="AV247" s="18">
        <f t="shared" si="103"/>
        <v>5</v>
      </c>
      <c r="AW247" s="49">
        <f t="shared" si="90"/>
        <v>0</v>
      </c>
      <c r="AX247" s="49">
        <f>VLOOKUP(AF247,Leyenda!$B$4:$D$10,3,FALSE)</f>
        <v>1</v>
      </c>
      <c r="AY247" s="49">
        <f t="shared" si="84"/>
        <v>4</v>
      </c>
      <c r="AZ247" s="49">
        <f t="shared" si="91"/>
        <v>5</v>
      </c>
      <c r="BA247" s="49">
        <f>VLOOKUP(AN247,Leyenda!$B$70:$D$75,3,FALSE)</f>
        <v>10</v>
      </c>
      <c r="BB247" s="67">
        <f t="shared" si="92"/>
        <v>17.5</v>
      </c>
      <c r="BC247" s="67">
        <f>VLOOKUP(AF247,Leyenda!$B$4:$E$10,4,FALSE)</f>
        <v>1</v>
      </c>
      <c r="BD247" s="67">
        <f t="shared" si="93"/>
        <v>5</v>
      </c>
      <c r="BE247" s="67">
        <f t="shared" si="94"/>
        <v>4</v>
      </c>
      <c r="BF247" s="67">
        <f>+VLOOKUP('3. Blasting'!AK247,Leyenda!$B$47:$E$51,4,FALSE)</f>
        <v>0</v>
      </c>
      <c r="BG247" s="67">
        <f>+VLOOKUP('3. Blasting'!AL247,Leyenda!$B$55:$E$59,4,FALSE)</f>
        <v>3</v>
      </c>
      <c r="BH247" s="67">
        <f>+VLOOKUP('3. Blasting'!AM247,Leyenda!$B$63:$E$67,3,FALSE)</f>
        <v>2</v>
      </c>
      <c r="BI247" s="67">
        <f>+VLOOKUP('3. Blasting'!AJ247,Leyenda!$B$39:$E$43,4,FALSE)</f>
        <v>0</v>
      </c>
      <c r="BJ247" s="67">
        <f>+VLOOKUP('3. Blasting'!AI247,Leyenda!$B$30:$E$34,4,FALSE)</f>
        <v>0</v>
      </c>
      <c r="BK247" s="67">
        <f>VLOOKUP(AN247,Leyenda!$B$71:$E$75,4,FALSE)</f>
        <v>7</v>
      </c>
      <c r="BL247" s="125">
        <f t="shared" si="95"/>
        <v>22</v>
      </c>
      <c r="BM247" s="85">
        <f t="shared" si="96"/>
        <v>20</v>
      </c>
      <c r="BN247" s="18" t="e">
        <f t="shared" si="104"/>
        <v>#N/A</v>
      </c>
      <c r="BO247" s="18"/>
      <c r="BP247" s="6">
        <f t="shared" si="97"/>
        <v>10</v>
      </c>
      <c r="BQ247" s="6">
        <f t="shared" si="98"/>
        <v>10</v>
      </c>
      <c r="BR247" s="6">
        <v>20</v>
      </c>
      <c r="BS247" s="6">
        <f t="shared" si="99"/>
        <v>3.5</v>
      </c>
      <c r="BT247" s="6">
        <f t="shared" si="100"/>
        <v>1.5650000000000002</v>
      </c>
      <c r="BU247" s="6">
        <f t="shared" si="101"/>
        <v>22.532499999999999</v>
      </c>
      <c r="BV247" s="18">
        <f t="shared" si="85"/>
        <v>9.0130000000000002E-2</v>
      </c>
      <c r="BW247" s="18">
        <f t="shared" si="86"/>
        <v>0.19287820000000003</v>
      </c>
    </row>
    <row r="248" spans="1:75" x14ac:dyDescent="0.25">
      <c r="A248" s="18" t="s">
        <v>6</v>
      </c>
      <c r="B248" s="18">
        <v>2024</v>
      </c>
      <c r="C248" s="18" t="s">
        <v>138</v>
      </c>
      <c r="D248" s="18" t="s">
        <v>130</v>
      </c>
      <c r="E248" s="18">
        <v>40</v>
      </c>
      <c r="F248" s="18" t="s">
        <v>153</v>
      </c>
      <c r="G248" s="18" t="s">
        <v>180</v>
      </c>
      <c r="H248" s="4">
        <f t="shared" si="105"/>
        <v>7</v>
      </c>
      <c r="I248" s="4">
        <v>7.5</v>
      </c>
      <c r="J248" s="4">
        <f t="shared" si="87"/>
        <v>0.5</v>
      </c>
      <c r="K248" s="5">
        <v>0.92</v>
      </c>
      <c r="L248" s="31">
        <f t="shared" si="88"/>
        <v>0.46</v>
      </c>
      <c r="M248" s="31">
        <v>2.14</v>
      </c>
      <c r="N248" s="31">
        <v>31.3</v>
      </c>
      <c r="O248" s="31">
        <f t="shared" si="83"/>
        <v>0.46</v>
      </c>
      <c r="P248" s="31">
        <v>23</v>
      </c>
      <c r="Q248" s="31">
        <v>20</v>
      </c>
      <c r="R248" s="31">
        <v>0.41</v>
      </c>
      <c r="S248" s="31">
        <v>0.13</v>
      </c>
      <c r="T248" s="65">
        <f t="shared" si="102"/>
        <v>26</v>
      </c>
      <c r="U248" s="31">
        <v>8</v>
      </c>
      <c r="V248" s="31"/>
      <c r="W248" s="31">
        <f t="shared" si="81"/>
        <v>8</v>
      </c>
      <c r="X248" s="31">
        <f t="shared" si="82"/>
        <v>51.25</v>
      </c>
      <c r="Y248" s="31">
        <f t="shared" si="89"/>
        <v>5.1249999999999997E-2</v>
      </c>
      <c r="Z248" s="18">
        <v>0</v>
      </c>
      <c r="AA248" s="18" t="s">
        <v>330</v>
      </c>
      <c r="AB248" s="18" t="s">
        <v>333</v>
      </c>
      <c r="AC248" s="18" t="s">
        <v>336</v>
      </c>
      <c r="AD248" s="18">
        <v>20</v>
      </c>
      <c r="AE248" s="18">
        <v>23</v>
      </c>
      <c r="AF248" s="18" t="s">
        <v>32</v>
      </c>
      <c r="AG248" s="18" t="s">
        <v>239</v>
      </c>
      <c r="AH248" s="18" t="s">
        <v>239</v>
      </c>
      <c r="AI248" s="18" t="s">
        <v>69</v>
      </c>
      <c r="AJ248" s="18" t="s">
        <v>79</v>
      </c>
      <c r="AK248" s="18" t="s">
        <v>100</v>
      </c>
      <c r="AL248" s="18" t="s">
        <v>107</v>
      </c>
      <c r="AM248" s="18" t="s">
        <v>120</v>
      </c>
      <c r="AN248" s="18" t="s">
        <v>247</v>
      </c>
      <c r="AO248" s="18" t="s">
        <v>248</v>
      </c>
      <c r="AP248" s="18"/>
      <c r="AQ248" s="18">
        <f>+VLOOKUP(AI248,Leyenda!$B$30:$E$34,3,FALSE)</f>
        <v>0</v>
      </c>
      <c r="AR248" s="18">
        <f>+VLOOKUP('3. Blasting'!AJ248,Meteorizacion,3,FALSE)</f>
        <v>1</v>
      </c>
      <c r="AS248" s="18">
        <f>+VLOOKUP('3. Blasting'!AK248,Apertura,3,FALSE)</f>
        <v>0</v>
      </c>
      <c r="AT248" s="18">
        <f>+VLOOKUP('3. Blasting'!AL248,Leyenda!$B$55:$D$59,3,FALSE)</f>
        <v>3</v>
      </c>
      <c r="AU248" s="18">
        <f>+VLOOKUP('3. Blasting'!AM248,Relleno,3,FALSE)</f>
        <v>2</v>
      </c>
      <c r="AV248" s="18">
        <f t="shared" si="103"/>
        <v>6</v>
      </c>
      <c r="AW248" s="49">
        <f t="shared" si="90"/>
        <v>0</v>
      </c>
      <c r="AX248" s="49">
        <f>VLOOKUP(AF248,Leyenda!$B$4:$D$10,3,FALSE)</f>
        <v>1</v>
      </c>
      <c r="AY248" s="49">
        <f t="shared" si="84"/>
        <v>4</v>
      </c>
      <c r="AZ248" s="49">
        <f t="shared" si="91"/>
        <v>6</v>
      </c>
      <c r="BA248" s="49">
        <f>VLOOKUP(AN248,Leyenda!$B$70:$D$75,3,FALSE)</f>
        <v>10</v>
      </c>
      <c r="BB248" s="67">
        <f t="shared" si="92"/>
        <v>22</v>
      </c>
      <c r="BC248" s="67">
        <f>VLOOKUP(AF248,Leyenda!$B$4:$E$10,4,FALSE)</f>
        <v>1</v>
      </c>
      <c r="BD248" s="67">
        <f t="shared" si="93"/>
        <v>4</v>
      </c>
      <c r="BE248" s="67">
        <f t="shared" si="94"/>
        <v>6</v>
      </c>
      <c r="BF248" s="67">
        <f>+VLOOKUP('3. Blasting'!AK248,Leyenda!$B$47:$E$51,4,FALSE)</f>
        <v>0</v>
      </c>
      <c r="BG248" s="67">
        <f>+VLOOKUP('3. Blasting'!AL248,Leyenda!$B$55:$E$59,4,FALSE)</f>
        <v>3</v>
      </c>
      <c r="BH248" s="67">
        <f>+VLOOKUP('3. Blasting'!AM248,Leyenda!$B$63:$E$67,3,FALSE)</f>
        <v>2</v>
      </c>
      <c r="BI248" s="67">
        <f>+VLOOKUP('3. Blasting'!AJ248,Leyenda!$B$39:$E$43,4,FALSE)</f>
        <v>1</v>
      </c>
      <c r="BJ248" s="67">
        <f>+VLOOKUP('3. Blasting'!AI248,Leyenda!$B$30:$E$34,4,FALSE)</f>
        <v>0</v>
      </c>
      <c r="BK248" s="67">
        <f>VLOOKUP(AN248,Leyenda!$B$71:$E$75,4,FALSE)</f>
        <v>7</v>
      </c>
      <c r="BL248" s="125">
        <f t="shared" si="95"/>
        <v>24</v>
      </c>
      <c r="BM248" s="85">
        <f t="shared" si="96"/>
        <v>21</v>
      </c>
      <c r="BN248" s="18" t="e">
        <f t="shared" si="104"/>
        <v>#N/A</v>
      </c>
      <c r="BO248" s="18"/>
      <c r="BP248" s="6">
        <f t="shared" si="97"/>
        <v>10</v>
      </c>
      <c r="BQ248" s="6">
        <f t="shared" si="98"/>
        <v>10</v>
      </c>
      <c r="BR248" s="6">
        <v>20</v>
      </c>
      <c r="BS248" s="6">
        <f t="shared" si="99"/>
        <v>3.5</v>
      </c>
      <c r="BT248" s="6">
        <f t="shared" si="100"/>
        <v>1.5650000000000002</v>
      </c>
      <c r="BU248" s="6">
        <f t="shared" si="101"/>
        <v>22.532499999999999</v>
      </c>
      <c r="BV248" s="18">
        <f t="shared" si="85"/>
        <v>9.0130000000000002E-2</v>
      </c>
      <c r="BW248" s="18">
        <f t="shared" si="86"/>
        <v>0.19287820000000003</v>
      </c>
    </row>
    <row r="249" spans="1:75" x14ac:dyDescent="0.25">
      <c r="A249" s="18" t="s">
        <v>6</v>
      </c>
      <c r="B249" s="18">
        <v>2024</v>
      </c>
      <c r="C249" s="18" t="s">
        <v>138</v>
      </c>
      <c r="D249" s="18" t="s">
        <v>130</v>
      </c>
      <c r="E249" s="18">
        <v>40</v>
      </c>
      <c r="F249" s="18" t="s">
        <v>153</v>
      </c>
      <c r="G249" s="18" t="s">
        <v>180</v>
      </c>
      <c r="H249" s="4">
        <f t="shared" si="105"/>
        <v>7.5</v>
      </c>
      <c r="I249" s="4">
        <v>8</v>
      </c>
      <c r="J249" s="4">
        <f t="shared" si="87"/>
        <v>0.5</v>
      </c>
      <c r="K249" s="5">
        <v>0.94</v>
      </c>
      <c r="L249" s="31">
        <f t="shared" si="88"/>
        <v>0.47</v>
      </c>
      <c r="M249" s="31">
        <v>2.14</v>
      </c>
      <c r="N249" s="31">
        <v>31.3</v>
      </c>
      <c r="O249" s="31">
        <f t="shared" si="83"/>
        <v>0.47</v>
      </c>
      <c r="P249" s="31">
        <v>23.5</v>
      </c>
      <c r="Q249" s="31">
        <v>20</v>
      </c>
      <c r="R249" s="31">
        <v>0.43</v>
      </c>
      <c r="S249" s="31">
        <v>0.15</v>
      </c>
      <c r="T249" s="65">
        <f t="shared" si="102"/>
        <v>30</v>
      </c>
      <c r="U249" s="31">
        <v>5</v>
      </c>
      <c r="V249" s="31"/>
      <c r="W249" s="31">
        <f t="shared" si="81"/>
        <v>5</v>
      </c>
      <c r="X249" s="31">
        <f t="shared" si="82"/>
        <v>86</v>
      </c>
      <c r="Y249" s="31">
        <f t="shared" si="89"/>
        <v>8.5999999999999993E-2</v>
      </c>
      <c r="Z249" s="18">
        <v>0</v>
      </c>
      <c r="AA249" s="18" t="s">
        <v>330</v>
      </c>
      <c r="AB249" s="18" t="s">
        <v>333</v>
      </c>
      <c r="AC249" s="18" t="s">
        <v>336</v>
      </c>
      <c r="AD249" s="18">
        <v>20</v>
      </c>
      <c r="AE249" s="18">
        <v>23.5</v>
      </c>
      <c r="AF249" s="18" t="s">
        <v>32</v>
      </c>
      <c r="AG249" s="18" t="s">
        <v>239</v>
      </c>
      <c r="AH249" s="18" t="s">
        <v>239</v>
      </c>
      <c r="AI249" s="18" t="s">
        <v>69</v>
      </c>
      <c r="AJ249" s="18" t="s">
        <v>79</v>
      </c>
      <c r="AK249" s="18" t="s">
        <v>100</v>
      </c>
      <c r="AL249" s="18" t="s">
        <v>107</v>
      </c>
      <c r="AM249" s="18" t="s">
        <v>120</v>
      </c>
      <c r="AN249" s="18" t="s">
        <v>247</v>
      </c>
      <c r="AO249" s="18" t="s">
        <v>248</v>
      </c>
      <c r="AP249" s="18"/>
      <c r="AQ249" s="18">
        <f>+VLOOKUP(AI249,Leyenda!$B$30:$E$34,3,FALSE)</f>
        <v>0</v>
      </c>
      <c r="AR249" s="18">
        <f>+VLOOKUP('3. Blasting'!AJ249,Meteorizacion,3,FALSE)</f>
        <v>1</v>
      </c>
      <c r="AS249" s="18">
        <f>+VLOOKUP('3. Blasting'!AK249,Apertura,3,FALSE)</f>
        <v>0</v>
      </c>
      <c r="AT249" s="18">
        <f>+VLOOKUP('3. Blasting'!AL249,Leyenda!$B$55:$D$59,3,FALSE)</f>
        <v>3</v>
      </c>
      <c r="AU249" s="18">
        <f>+VLOOKUP('3. Blasting'!AM249,Relleno,3,FALSE)</f>
        <v>2</v>
      </c>
      <c r="AV249" s="18">
        <f t="shared" si="103"/>
        <v>6</v>
      </c>
      <c r="AW249" s="49">
        <f t="shared" si="90"/>
        <v>0</v>
      </c>
      <c r="AX249" s="49">
        <f>VLOOKUP(AF249,Leyenda!$B$4:$D$10,3,FALSE)</f>
        <v>1</v>
      </c>
      <c r="AY249" s="49">
        <f t="shared" si="84"/>
        <v>4</v>
      </c>
      <c r="AZ249" s="49">
        <f t="shared" si="91"/>
        <v>6</v>
      </c>
      <c r="BA249" s="49">
        <f>VLOOKUP(AN249,Leyenda!$B$70:$D$75,3,FALSE)</f>
        <v>10</v>
      </c>
      <c r="BB249" s="67">
        <f t="shared" si="92"/>
        <v>24</v>
      </c>
      <c r="BC249" s="67">
        <f>VLOOKUP(AF249,Leyenda!$B$4:$E$10,4,FALSE)</f>
        <v>1</v>
      </c>
      <c r="BD249" s="67">
        <f t="shared" si="93"/>
        <v>7</v>
      </c>
      <c r="BE249" s="67">
        <f t="shared" si="94"/>
        <v>6</v>
      </c>
      <c r="BF249" s="67">
        <f>+VLOOKUP('3. Blasting'!AK249,Leyenda!$B$47:$E$51,4,FALSE)</f>
        <v>0</v>
      </c>
      <c r="BG249" s="67">
        <f>+VLOOKUP('3. Blasting'!AL249,Leyenda!$B$55:$E$59,4,FALSE)</f>
        <v>3</v>
      </c>
      <c r="BH249" s="67">
        <f>+VLOOKUP('3. Blasting'!AM249,Leyenda!$B$63:$E$67,3,FALSE)</f>
        <v>2</v>
      </c>
      <c r="BI249" s="67">
        <f>+VLOOKUP('3. Blasting'!AJ249,Leyenda!$B$39:$E$43,4,FALSE)</f>
        <v>1</v>
      </c>
      <c r="BJ249" s="67">
        <f>+VLOOKUP('3. Blasting'!AI249,Leyenda!$B$30:$E$34,4,FALSE)</f>
        <v>0</v>
      </c>
      <c r="BK249" s="67">
        <f>VLOOKUP(AN249,Leyenda!$B$71:$E$75,4,FALSE)</f>
        <v>7</v>
      </c>
      <c r="BL249" s="125">
        <f t="shared" si="95"/>
        <v>27</v>
      </c>
      <c r="BM249" s="85">
        <f t="shared" si="96"/>
        <v>21</v>
      </c>
      <c r="BN249" s="18" t="e">
        <f t="shared" si="104"/>
        <v>#N/A</v>
      </c>
      <c r="BO249" s="18"/>
      <c r="BP249" s="6">
        <f t="shared" si="97"/>
        <v>10</v>
      </c>
      <c r="BQ249" s="6">
        <f t="shared" si="98"/>
        <v>10</v>
      </c>
      <c r="BR249" s="6">
        <v>20</v>
      </c>
      <c r="BS249" s="6">
        <f t="shared" si="99"/>
        <v>3.5</v>
      </c>
      <c r="BT249" s="6">
        <f t="shared" si="100"/>
        <v>1.5650000000000002</v>
      </c>
      <c r="BU249" s="6">
        <f t="shared" si="101"/>
        <v>22.532499999999999</v>
      </c>
      <c r="BV249" s="18">
        <f t="shared" si="85"/>
        <v>9.0130000000000002E-2</v>
      </c>
      <c r="BW249" s="18">
        <f t="shared" si="86"/>
        <v>0.19287820000000003</v>
      </c>
    </row>
    <row r="250" spans="1:75" x14ac:dyDescent="0.25">
      <c r="A250" s="18" t="s">
        <v>6</v>
      </c>
      <c r="B250" s="18">
        <v>2024</v>
      </c>
      <c r="C250" s="18" t="s">
        <v>138</v>
      </c>
      <c r="D250" s="18" t="s">
        <v>130</v>
      </c>
      <c r="E250" s="18">
        <v>40</v>
      </c>
      <c r="F250" s="18" t="s">
        <v>153</v>
      </c>
      <c r="G250" s="18" t="s">
        <v>180</v>
      </c>
      <c r="H250" s="4">
        <f t="shared" si="105"/>
        <v>8</v>
      </c>
      <c r="I250" s="4">
        <v>8.5</v>
      </c>
      <c r="J250" s="4">
        <f t="shared" si="87"/>
        <v>0.5</v>
      </c>
      <c r="K250" s="5">
        <v>0.86</v>
      </c>
      <c r="L250" s="31">
        <f t="shared" si="88"/>
        <v>0.43</v>
      </c>
      <c r="M250" s="31">
        <v>2.14</v>
      </c>
      <c r="N250" s="31">
        <v>31.3</v>
      </c>
      <c r="O250" s="31">
        <f t="shared" si="83"/>
        <v>0.43</v>
      </c>
      <c r="P250" s="31">
        <v>21.5</v>
      </c>
      <c r="Q250" s="31">
        <v>20</v>
      </c>
      <c r="R250" s="31">
        <f>0.16+0.21</f>
        <v>0.37</v>
      </c>
      <c r="S250" s="31">
        <v>0.16</v>
      </c>
      <c r="T250" s="65">
        <f t="shared" si="102"/>
        <v>32</v>
      </c>
      <c r="U250" s="31">
        <v>5</v>
      </c>
      <c r="V250" s="31"/>
      <c r="W250" s="31">
        <f t="shared" ref="W250:W355" si="106">+U250+V250</f>
        <v>5</v>
      </c>
      <c r="X250" s="31">
        <f t="shared" ref="X250:X313" si="107">+IF(R250=0,"",(R250*1000)/W250)</f>
        <v>74</v>
      </c>
      <c r="Y250" s="31">
        <f t="shared" si="89"/>
        <v>7.3999999999999996E-2</v>
      </c>
      <c r="Z250" s="18">
        <v>0</v>
      </c>
      <c r="AA250" s="18" t="s">
        <v>330</v>
      </c>
      <c r="AB250" s="18" t="s">
        <v>333</v>
      </c>
      <c r="AC250" s="18" t="s">
        <v>336</v>
      </c>
      <c r="AD250" s="18">
        <v>20</v>
      </c>
      <c r="AE250" s="18">
        <v>21.5</v>
      </c>
      <c r="AF250" s="18" t="s">
        <v>32</v>
      </c>
      <c r="AG250" s="18" t="s">
        <v>239</v>
      </c>
      <c r="AH250" s="18" t="s">
        <v>239</v>
      </c>
      <c r="AI250" s="18" t="s">
        <v>69</v>
      </c>
      <c r="AJ250" s="18" t="s">
        <v>81</v>
      </c>
      <c r="AK250" s="18" t="s">
        <v>100</v>
      </c>
      <c r="AL250" s="18" t="s">
        <v>107</v>
      </c>
      <c r="AM250" s="18" t="s">
        <v>120</v>
      </c>
      <c r="AN250" s="18" t="s">
        <v>247</v>
      </c>
      <c r="AO250" s="18" t="s">
        <v>248</v>
      </c>
      <c r="AP250" s="18"/>
      <c r="AQ250" s="18">
        <f>+VLOOKUP(AI250,Leyenda!$B$30:$E$34,3,FALSE)</f>
        <v>0</v>
      </c>
      <c r="AR250" s="18">
        <f>+VLOOKUP('3. Blasting'!AJ250,Meteorizacion,3,FALSE)</f>
        <v>0</v>
      </c>
      <c r="AS250" s="18">
        <f>+VLOOKUP('3. Blasting'!AK250,Apertura,3,FALSE)</f>
        <v>0</v>
      </c>
      <c r="AT250" s="18">
        <f>+VLOOKUP('3. Blasting'!AL250,Leyenda!$B$55:$D$59,3,FALSE)</f>
        <v>3</v>
      </c>
      <c r="AU250" s="18">
        <f>+VLOOKUP('3. Blasting'!AM250,Relleno,3,FALSE)</f>
        <v>2</v>
      </c>
      <c r="AV250" s="18">
        <f t="shared" si="103"/>
        <v>5</v>
      </c>
      <c r="AW250" s="49">
        <f t="shared" si="90"/>
        <v>0</v>
      </c>
      <c r="AX250" s="49">
        <f>VLOOKUP(AF250,Leyenda!$B$4:$D$10,3,FALSE)</f>
        <v>1</v>
      </c>
      <c r="AY250" s="49">
        <f t="shared" si="84"/>
        <v>4</v>
      </c>
      <c r="AZ250" s="49">
        <f t="shared" si="91"/>
        <v>5</v>
      </c>
      <c r="BA250" s="49">
        <f>VLOOKUP(AN250,Leyenda!$B$70:$D$75,3,FALSE)</f>
        <v>10</v>
      </c>
      <c r="BB250" s="67">
        <f t="shared" si="92"/>
        <v>23.5</v>
      </c>
      <c r="BC250" s="67">
        <f>VLOOKUP(AF250,Leyenda!$B$4:$E$10,4,FALSE)</f>
        <v>1</v>
      </c>
      <c r="BD250" s="67">
        <f t="shared" si="93"/>
        <v>6</v>
      </c>
      <c r="BE250" s="67">
        <f t="shared" si="94"/>
        <v>7</v>
      </c>
      <c r="BF250" s="67">
        <f>+VLOOKUP('3. Blasting'!AK250,Leyenda!$B$47:$E$51,4,FALSE)</f>
        <v>0</v>
      </c>
      <c r="BG250" s="67">
        <f>+VLOOKUP('3. Blasting'!AL250,Leyenda!$B$55:$E$59,4,FALSE)</f>
        <v>3</v>
      </c>
      <c r="BH250" s="67">
        <f>+VLOOKUP('3. Blasting'!AM250,Leyenda!$B$63:$E$67,3,FALSE)</f>
        <v>2</v>
      </c>
      <c r="BI250" s="67">
        <f>+VLOOKUP('3. Blasting'!AJ250,Leyenda!$B$39:$E$43,4,FALSE)</f>
        <v>0</v>
      </c>
      <c r="BJ250" s="67">
        <f>+VLOOKUP('3. Blasting'!AI250,Leyenda!$B$30:$E$34,4,FALSE)</f>
        <v>0</v>
      </c>
      <c r="BK250" s="67">
        <f>VLOOKUP(AN250,Leyenda!$B$71:$E$75,4,FALSE)</f>
        <v>7</v>
      </c>
      <c r="BL250" s="125">
        <f t="shared" si="95"/>
        <v>26</v>
      </c>
      <c r="BM250" s="85">
        <f t="shared" si="96"/>
        <v>20</v>
      </c>
      <c r="BN250" s="18" t="e">
        <f t="shared" si="104"/>
        <v>#N/A</v>
      </c>
      <c r="BO250" s="18"/>
      <c r="BP250" s="6">
        <f t="shared" si="97"/>
        <v>10</v>
      </c>
      <c r="BQ250" s="6">
        <f t="shared" si="98"/>
        <v>10</v>
      </c>
      <c r="BR250" s="6">
        <v>20</v>
      </c>
      <c r="BS250" s="6">
        <f t="shared" si="99"/>
        <v>3.5</v>
      </c>
      <c r="BT250" s="6">
        <f t="shared" si="100"/>
        <v>1.5650000000000002</v>
      </c>
      <c r="BU250" s="6">
        <f t="shared" si="101"/>
        <v>22.532499999999999</v>
      </c>
      <c r="BV250" s="18">
        <f t="shared" si="85"/>
        <v>9.0130000000000002E-2</v>
      </c>
      <c r="BW250" s="18">
        <f t="shared" si="86"/>
        <v>0.19287820000000003</v>
      </c>
    </row>
    <row r="251" spans="1:75" x14ac:dyDescent="0.25">
      <c r="A251" s="18" t="s">
        <v>6</v>
      </c>
      <c r="B251" s="18">
        <v>2024</v>
      </c>
      <c r="C251" s="18" t="s">
        <v>138</v>
      </c>
      <c r="D251" s="18" t="s">
        <v>130</v>
      </c>
      <c r="E251" s="18">
        <v>40</v>
      </c>
      <c r="F251" s="18" t="s">
        <v>153</v>
      </c>
      <c r="G251" s="18" t="s">
        <v>180</v>
      </c>
      <c r="H251" s="4">
        <f t="shared" si="105"/>
        <v>8.5</v>
      </c>
      <c r="I251" s="4">
        <v>9</v>
      </c>
      <c r="J251" s="4">
        <f t="shared" si="87"/>
        <v>0.5</v>
      </c>
      <c r="K251" s="5">
        <v>1</v>
      </c>
      <c r="L251" s="31">
        <f t="shared" si="88"/>
        <v>0.5</v>
      </c>
      <c r="M251" s="31">
        <v>2.14</v>
      </c>
      <c r="N251" s="31">
        <v>31.3</v>
      </c>
      <c r="O251" s="31">
        <f t="shared" si="83"/>
        <v>0.5</v>
      </c>
      <c r="P251" s="31">
        <v>25</v>
      </c>
      <c r="Q251" s="31">
        <v>20</v>
      </c>
      <c r="R251" s="31">
        <v>0.43</v>
      </c>
      <c r="S251" s="31">
        <v>0.28000000000000003</v>
      </c>
      <c r="T251" s="65">
        <f t="shared" si="102"/>
        <v>56.000000000000007</v>
      </c>
      <c r="U251" s="31">
        <v>4</v>
      </c>
      <c r="V251" s="31"/>
      <c r="W251" s="31">
        <f t="shared" si="106"/>
        <v>4</v>
      </c>
      <c r="X251" s="31">
        <f t="shared" si="107"/>
        <v>107.5</v>
      </c>
      <c r="Y251" s="31">
        <f t="shared" si="89"/>
        <v>0.1075</v>
      </c>
      <c r="Z251" s="18">
        <v>0</v>
      </c>
      <c r="AA251" s="18" t="s">
        <v>330</v>
      </c>
      <c r="AB251" s="18" t="s">
        <v>333</v>
      </c>
      <c r="AC251" s="18" t="s">
        <v>336</v>
      </c>
      <c r="AD251" s="18">
        <v>20</v>
      </c>
      <c r="AE251" s="18">
        <v>25</v>
      </c>
      <c r="AF251" s="18" t="s">
        <v>32</v>
      </c>
      <c r="AG251" s="18" t="s">
        <v>239</v>
      </c>
      <c r="AH251" s="18" t="s">
        <v>239</v>
      </c>
      <c r="AI251" s="18" t="s">
        <v>69</v>
      </c>
      <c r="AJ251" s="18" t="s">
        <v>79</v>
      </c>
      <c r="AK251" s="18" t="s">
        <v>100</v>
      </c>
      <c r="AL251" s="18" t="s">
        <v>107</v>
      </c>
      <c r="AM251" s="18" t="s">
        <v>120</v>
      </c>
      <c r="AN251" s="18" t="s">
        <v>247</v>
      </c>
      <c r="AO251" s="18" t="s">
        <v>248</v>
      </c>
      <c r="AP251" s="18"/>
      <c r="AQ251" s="18">
        <f>+VLOOKUP(AI251,Leyenda!$B$30:$E$34,3,FALSE)</f>
        <v>0</v>
      </c>
      <c r="AR251" s="18">
        <f>+VLOOKUP('3. Blasting'!AJ251,Meteorizacion,3,FALSE)</f>
        <v>1</v>
      </c>
      <c r="AS251" s="18">
        <f>+VLOOKUP('3. Blasting'!AK251,Apertura,3,FALSE)</f>
        <v>0</v>
      </c>
      <c r="AT251" s="18">
        <f>+VLOOKUP('3. Blasting'!AL251,Leyenda!$B$55:$D$59,3,FALSE)</f>
        <v>3</v>
      </c>
      <c r="AU251" s="18">
        <f>+VLOOKUP('3. Blasting'!AM251,Relleno,3,FALSE)</f>
        <v>2</v>
      </c>
      <c r="AV251" s="18">
        <f t="shared" si="103"/>
        <v>6</v>
      </c>
      <c r="AW251" s="49">
        <f t="shared" si="90"/>
        <v>0</v>
      </c>
      <c r="AX251" s="49">
        <f>VLOOKUP(AF251,Leyenda!$B$4:$D$10,3,FALSE)</f>
        <v>1</v>
      </c>
      <c r="AY251" s="49">
        <f t="shared" si="84"/>
        <v>5</v>
      </c>
      <c r="AZ251" s="49">
        <f t="shared" si="91"/>
        <v>6</v>
      </c>
      <c r="BA251" s="49">
        <f>VLOOKUP(AN251,Leyenda!$B$70:$D$75,3,FALSE)</f>
        <v>10</v>
      </c>
      <c r="BB251" s="67">
        <f t="shared" si="92"/>
        <v>37</v>
      </c>
      <c r="BC251" s="67">
        <f>VLOOKUP(AF251,Leyenda!$B$4:$E$10,4,FALSE)</f>
        <v>1</v>
      </c>
      <c r="BD251" s="67">
        <f t="shared" si="93"/>
        <v>9</v>
      </c>
      <c r="BE251" s="67">
        <f t="shared" si="94"/>
        <v>12</v>
      </c>
      <c r="BF251" s="67">
        <f>+VLOOKUP('3. Blasting'!AK251,Leyenda!$B$47:$E$51,4,FALSE)</f>
        <v>0</v>
      </c>
      <c r="BG251" s="67">
        <f>+VLOOKUP('3. Blasting'!AL251,Leyenda!$B$55:$E$59,4,FALSE)</f>
        <v>3</v>
      </c>
      <c r="BH251" s="67">
        <f>+VLOOKUP('3. Blasting'!AM251,Leyenda!$B$63:$E$67,3,FALSE)</f>
        <v>2</v>
      </c>
      <c r="BI251" s="67">
        <f>+VLOOKUP('3. Blasting'!AJ251,Leyenda!$B$39:$E$43,4,FALSE)</f>
        <v>1</v>
      </c>
      <c r="BJ251" s="67">
        <f>+VLOOKUP('3. Blasting'!AI251,Leyenda!$B$30:$E$34,4,FALSE)</f>
        <v>0</v>
      </c>
      <c r="BK251" s="67">
        <f>VLOOKUP(AN251,Leyenda!$B$71:$E$75,4,FALSE)</f>
        <v>7</v>
      </c>
      <c r="BL251" s="125">
        <f t="shared" si="95"/>
        <v>35</v>
      </c>
      <c r="BM251" s="85">
        <f t="shared" si="96"/>
        <v>22</v>
      </c>
      <c r="BN251" s="18" t="e">
        <f t="shared" si="104"/>
        <v>#N/A</v>
      </c>
      <c r="BO251" s="18"/>
      <c r="BP251" s="6">
        <f t="shared" si="97"/>
        <v>20</v>
      </c>
      <c r="BQ251" s="6">
        <f t="shared" si="98"/>
        <v>20</v>
      </c>
      <c r="BR251" s="6">
        <v>20</v>
      </c>
      <c r="BS251" s="6">
        <f t="shared" si="99"/>
        <v>3.5</v>
      </c>
      <c r="BT251" s="6">
        <f t="shared" si="100"/>
        <v>1.5650000000000002</v>
      </c>
      <c r="BU251" s="6">
        <f t="shared" si="101"/>
        <v>32.532499999999999</v>
      </c>
      <c r="BV251" s="18">
        <f t="shared" si="85"/>
        <v>0.13013</v>
      </c>
      <c r="BW251" s="18">
        <f t="shared" si="86"/>
        <v>0.27847820000000001</v>
      </c>
    </row>
    <row r="252" spans="1:75" x14ac:dyDescent="0.25">
      <c r="A252" s="18" t="s">
        <v>6</v>
      </c>
      <c r="B252" s="18">
        <v>2024</v>
      </c>
      <c r="C252" s="18" t="s">
        <v>138</v>
      </c>
      <c r="D252" s="18" t="s">
        <v>130</v>
      </c>
      <c r="E252" s="18">
        <v>40</v>
      </c>
      <c r="F252" s="18" t="s">
        <v>153</v>
      </c>
      <c r="G252" s="18" t="s">
        <v>180</v>
      </c>
      <c r="H252" s="4">
        <f t="shared" si="105"/>
        <v>9</v>
      </c>
      <c r="I252" s="4">
        <v>9.5</v>
      </c>
      <c r="J252" s="4">
        <f t="shared" si="87"/>
        <v>0.5</v>
      </c>
      <c r="K252" s="5">
        <v>0.68</v>
      </c>
      <c r="L252" s="31">
        <f t="shared" si="88"/>
        <v>0.34</v>
      </c>
      <c r="M252" s="31">
        <v>2.14</v>
      </c>
      <c r="N252" s="31">
        <v>31.3</v>
      </c>
      <c r="O252" s="31">
        <f t="shared" si="83"/>
        <v>0.34</v>
      </c>
      <c r="P252" s="31">
        <v>17</v>
      </c>
      <c r="Q252" s="31">
        <v>20</v>
      </c>
      <c r="R252" s="31">
        <v>0.3</v>
      </c>
      <c r="S252" s="31">
        <v>0</v>
      </c>
      <c r="T252" s="65">
        <f t="shared" si="102"/>
        <v>0</v>
      </c>
      <c r="U252" s="31">
        <v>5</v>
      </c>
      <c r="V252" s="31"/>
      <c r="W252" s="31">
        <f t="shared" si="106"/>
        <v>5</v>
      </c>
      <c r="X252" s="31">
        <f t="shared" si="107"/>
        <v>60</v>
      </c>
      <c r="Y252" s="31">
        <f t="shared" si="89"/>
        <v>0.06</v>
      </c>
      <c r="Z252" s="18">
        <v>0</v>
      </c>
      <c r="AA252" s="18" t="s">
        <v>330</v>
      </c>
      <c r="AB252" s="18" t="s">
        <v>333</v>
      </c>
      <c r="AC252" s="18" t="s">
        <v>336</v>
      </c>
      <c r="AD252" s="18">
        <v>20</v>
      </c>
      <c r="AE252" s="18">
        <v>17</v>
      </c>
      <c r="AF252" s="18" t="s">
        <v>32</v>
      </c>
      <c r="AG252" s="18" t="s">
        <v>228</v>
      </c>
      <c r="AH252" s="18" t="s">
        <v>228</v>
      </c>
      <c r="AI252" s="18" t="s">
        <v>69</v>
      </c>
      <c r="AJ252" s="18" t="s">
        <v>79</v>
      </c>
      <c r="AK252" s="18" t="s">
        <v>100</v>
      </c>
      <c r="AL252" s="18" t="s">
        <v>107</v>
      </c>
      <c r="AM252" s="18" t="s">
        <v>120</v>
      </c>
      <c r="AN252" s="18" t="s">
        <v>247</v>
      </c>
      <c r="AO252" s="18" t="s">
        <v>249</v>
      </c>
      <c r="AP252" s="18"/>
      <c r="AQ252" s="18">
        <f>+VLOOKUP(AI252,Leyenda!$B$30:$E$34,3,FALSE)</f>
        <v>0</v>
      </c>
      <c r="AR252" s="18">
        <f>+VLOOKUP('3. Blasting'!AJ252,Meteorizacion,3,FALSE)</f>
        <v>1</v>
      </c>
      <c r="AS252" s="18">
        <f>+VLOOKUP('3. Blasting'!AK252,Apertura,3,FALSE)</f>
        <v>0</v>
      </c>
      <c r="AT252" s="18">
        <f>+VLOOKUP('3. Blasting'!AL252,Leyenda!$B$55:$D$59,3,FALSE)</f>
        <v>3</v>
      </c>
      <c r="AU252" s="18">
        <f>+VLOOKUP('3. Blasting'!AM252,Relleno,3,FALSE)</f>
        <v>2</v>
      </c>
      <c r="AV252" s="18">
        <f t="shared" si="103"/>
        <v>6</v>
      </c>
      <c r="AW252" s="49">
        <f t="shared" si="90"/>
        <v>0</v>
      </c>
      <c r="AX252" s="49">
        <f>VLOOKUP(AF252,Leyenda!$B$4:$D$10,3,FALSE)</f>
        <v>1</v>
      </c>
      <c r="AY252" s="49">
        <f t="shared" si="84"/>
        <v>4</v>
      </c>
      <c r="AZ252" s="49">
        <f t="shared" si="91"/>
        <v>6</v>
      </c>
      <c r="BA252" s="49">
        <f>VLOOKUP(AN252,Leyenda!$B$70:$D$75,3,FALSE)</f>
        <v>10</v>
      </c>
      <c r="BB252" s="67">
        <f t="shared" si="92"/>
        <v>9</v>
      </c>
      <c r="BC252" s="67">
        <f>VLOOKUP(AF252,Leyenda!$B$4:$E$10,4,FALSE)</f>
        <v>1</v>
      </c>
      <c r="BD252" s="67">
        <f t="shared" si="93"/>
        <v>5</v>
      </c>
      <c r="BE252" s="67">
        <f t="shared" si="94"/>
        <v>0</v>
      </c>
      <c r="BF252" s="67">
        <f>+VLOOKUP('3. Blasting'!AK252,Leyenda!$B$47:$E$51,4,FALSE)</f>
        <v>0</v>
      </c>
      <c r="BG252" s="67">
        <f>+VLOOKUP('3. Blasting'!AL252,Leyenda!$B$55:$E$59,4,FALSE)</f>
        <v>3</v>
      </c>
      <c r="BH252" s="67">
        <f>+VLOOKUP('3. Blasting'!AM252,Leyenda!$B$63:$E$67,3,FALSE)</f>
        <v>2</v>
      </c>
      <c r="BI252" s="67">
        <f>+VLOOKUP('3. Blasting'!AJ252,Leyenda!$B$39:$E$43,4,FALSE)</f>
        <v>1</v>
      </c>
      <c r="BJ252" s="67">
        <f>+VLOOKUP('3. Blasting'!AI252,Leyenda!$B$30:$E$34,4,FALSE)</f>
        <v>0</v>
      </c>
      <c r="BK252" s="67">
        <f>VLOOKUP(AN252,Leyenda!$B$71:$E$75,4,FALSE)</f>
        <v>7</v>
      </c>
      <c r="BL252" s="125">
        <f t="shared" si="95"/>
        <v>19</v>
      </c>
      <c r="BM252" s="85">
        <f t="shared" si="96"/>
        <v>21</v>
      </c>
      <c r="BN252" s="18" t="e">
        <f t="shared" si="104"/>
        <v>#N/A</v>
      </c>
      <c r="BO252" s="18"/>
      <c r="BP252" s="6">
        <f t="shared" si="97"/>
        <v>10</v>
      </c>
      <c r="BQ252" s="6">
        <f t="shared" si="98"/>
        <v>10</v>
      </c>
      <c r="BR252" s="6">
        <v>20</v>
      </c>
      <c r="BS252" s="6">
        <f t="shared" si="99"/>
        <v>3.5</v>
      </c>
      <c r="BT252" s="6">
        <f t="shared" si="100"/>
        <v>1.5650000000000002</v>
      </c>
      <c r="BU252" s="6">
        <f t="shared" si="101"/>
        <v>22.532499999999999</v>
      </c>
      <c r="BV252" s="18">
        <f t="shared" si="85"/>
        <v>9.0130000000000002E-2</v>
      </c>
      <c r="BW252" s="18">
        <f t="shared" si="86"/>
        <v>0.19287820000000003</v>
      </c>
    </row>
    <row r="253" spans="1:75" x14ac:dyDescent="0.25">
      <c r="A253" s="18" t="s">
        <v>6</v>
      </c>
      <c r="B253" s="18">
        <v>2024</v>
      </c>
      <c r="C253" s="18" t="s">
        <v>138</v>
      </c>
      <c r="D253" s="18" t="s">
        <v>130</v>
      </c>
      <c r="E253" s="18">
        <v>40</v>
      </c>
      <c r="F253" s="18" t="s">
        <v>153</v>
      </c>
      <c r="G253" s="18" t="s">
        <v>180</v>
      </c>
      <c r="H253" s="4">
        <f t="shared" si="105"/>
        <v>9.5</v>
      </c>
      <c r="I253" s="4">
        <v>10</v>
      </c>
      <c r="J253" s="4">
        <f t="shared" si="87"/>
        <v>0.5</v>
      </c>
      <c r="K253" s="5">
        <v>0.7</v>
      </c>
      <c r="L253" s="31">
        <f t="shared" si="88"/>
        <v>0.35</v>
      </c>
      <c r="M253" s="31">
        <v>2.14</v>
      </c>
      <c r="N253" s="31">
        <v>31.3</v>
      </c>
      <c r="O253" s="31">
        <f t="shared" si="83"/>
        <v>0.35</v>
      </c>
      <c r="P253" s="31">
        <v>17.5</v>
      </c>
      <c r="Q253" s="31">
        <v>20</v>
      </c>
      <c r="R253" s="31">
        <v>0.34</v>
      </c>
      <c r="S253" s="31">
        <v>0</v>
      </c>
      <c r="T253" s="65">
        <f t="shared" si="102"/>
        <v>0</v>
      </c>
      <c r="U253" s="31">
        <v>10</v>
      </c>
      <c r="V253" s="31"/>
      <c r="W253" s="31">
        <f t="shared" si="106"/>
        <v>10</v>
      </c>
      <c r="X253" s="31">
        <f t="shared" si="107"/>
        <v>34</v>
      </c>
      <c r="Y253" s="31">
        <f t="shared" si="89"/>
        <v>3.4000000000000002E-2</v>
      </c>
      <c r="Z253" s="18">
        <v>0</v>
      </c>
      <c r="AA253" s="18" t="s">
        <v>330</v>
      </c>
      <c r="AB253" s="18" t="s">
        <v>333</v>
      </c>
      <c r="AC253" s="18" t="s">
        <v>336</v>
      </c>
      <c r="AD253" s="18">
        <v>20</v>
      </c>
      <c r="AE253" s="18">
        <v>17.5</v>
      </c>
      <c r="AF253" s="18" t="s">
        <v>32</v>
      </c>
      <c r="AG253" s="18" t="s">
        <v>228</v>
      </c>
      <c r="AH253" s="18" t="s">
        <v>228</v>
      </c>
      <c r="AI253" s="18" t="s">
        <v>69</v>
      </c>
      <c r="AJ253" s="18" t="s">
        <v>81</v>
      </c>
      <c r="AK253" s="18" t="s">
        <v>100</v>
      </c>
      <c r="AL253" s="18" t="s">
        <v>107</v>
      </c>
      <c r="AM253" s="18" t="s">
        <v>120</v>
      </c>
      <c r="AN253" s="18" t="s">
        <v>247</v>
      </c>
      <c r="AO253" s="18" t="s">
        <v>248</v>
      </c>
      <c r="AP253" s="18"/>
      <c r="AQ253" s="18">
        <f>+VLOOKUP(AI253,Leyenda!$B$30:$E$34,3,FALSE)</f>
        <v>0</v>
      </c>
      <c r="AR253" s="18">
        <f>+VLOOKUP('3. Blasting'!AJ253,Meteorizacion,3,FALSE)</f>
        <v>0</v>
      </c>
      <c r="AS253" s="18">
        <f>+VLOOKUP('3. Blasting'!AK253,Apertura,3,FALSE)</f>
        <v>0</v>
      </c>
      <c r="AT253" s="18">
        <f>+VLOOKUP('3. Blasting'!AL253,Leyenda!$B$55:$D$59,3,FALSE)</f>
        <v>3</v>
      </c>
      <c r="AU253" s="18">
        <f>+VLOOKUP('3. Blasting'!AM253,Relleno,3,FALSE)</f>
        <v>2</v>
      </c>
      <c r="AV253" s="18">
        <f t="shared" si="103"/>
        <v>5</v>
      </c>
      <c r="AW253" s="49">
        <f t="shared" si="90"/>
        <v>0</v>
      </c>
      <c r="AX253" s="49">
        <f>VLOOKUP(AF253,Leyenda!$B$4:$D$10,3,FALSE)</f>
        <v>1</v>
      </c>
      <c r="AY253" s="49">
        <f t="shared" si="84"/>
        <v>4</v>
      </c>
      <c r="AZ253" s="49">
        <f t="shared" si="91"/>
        <v>5</v>
      </c>
      <c r="BA253" s="49">
        <f>VLOOKUP(AN253,Leyenda!$B$70:$D$75,3,FALSE)</f>
        <v>10</v>
      </c>
      <c r="BB253" s="67">
        <f t="shared" si="92"/>
        <v>7.5</v>
      </c>
      <c r="BC253" s="67">
        <f>VLOOKUP(AF253,Leyenda!$B$4:$E$10,4,FALSE)</f>
        <v>1</v>
      </c>
      <c r="BD253" s="67">
        <f t="shared" si="93"/>
        <v>5</v>
      </c>
      <c r="BE253" s="67">
        <f t="shared" si="94"/>
        <v>0</v>
      </c>
      <c r="BF253" s="67">
        <f>+VLOOKUP('3. Blasting'!AK253,Leyenda!$B$47:$E$51,4,FALSE)</f>
        <v>0</v>
      </c>
      <c r="BG253" s="67">
        <f>+VLOOKUP('3. Blasting'!AL253,Leyenda!$B$55:$E$59,4,FALSE)</f>
        <v>3</v>
      </c>
      <c r="BH253" s="67">
        <f>+VLOOKUP('3. Blasting'!AM253,Leyenda!$B$63:$E$67,3,FALSE)</f>
        <v>2</v>
      </c>
      <c r="BI253" s="67">
        <f>+VLOOKUP('3. Blasting'!AJ253,Leyenda!$B$39:$E$43,4,FALSE)</f>
        <v>0</v>
      </c>
      <c r="BJ253" s="67">
        <f>+VLOOKUP('3. Blasting'!AI253,Leyenda!$B$30:$E$34,4,FALSE)</f>
        <v>0</v>
      </c>
      <c r="BK253" s="67">
        <f>VLOOKUP(AN253,Leyenda!$B$71:$E$75,4,FALSE)</f>
        <v>7</v>
      </c>
      <c r="BL253" s="125">
        <f t="shared" si="95"/>
        <v>18</v>
      </c>
      <c r="BM253" s="85">
        <f t="shared" si="96"/>
        <v>20</v>
      </c>
      <c r="BN253" s="18" t="e">
        <f t="shared" si="104"/>
        <v>#N/A</v>
      </c>
      <c r="BO253" s="18"/>
      <c r="BP253" s="6">
        <f t="shared" si="97"/>
        <v>10</v>
      </c>
      <c r="BQ253" s="6">
        <f t="shared" si="98"/>
        <v>10</v>
      </c>
      <c r="BR253" s="6">
        <v>20</v>
      </c>
      <c r="BS253" s="6">
        <f t="shared" si="99"/>
        <v>3.5</v>
      </c>
      <c r="BT253" s="6">
        <f t="shared" si="100"/>
        <v>1.5650000000000002</v>
      </c>
      <c r="BU253" s="6">
        <f t="shared" si="101"/>
        <v>22.532499999999999</v>
      </c>
      <c r="BV253" s="18">
        <f t="shared" si="85"/>
        <v>9.0130000000000002E-2</v>
      </c>
      <c r="BW253" s="18">
        <f t="shared" si="86"/>
        <v>0.19287820000000003</v>
      </c>
    </row>
    <row r="254" spans="1:75" x14ac:dyDescent="0.25">
      <c r="A254" s="18" t="s">
        <v>6</v>
      </c>
      <c r="B254" s="18">
        <v>2024</v>
      </c>
      <c r="C254" s="18" t="s">
        <v>138</v>
      </c>
      <c r="D254" s="18" t="s">
        <v>130</v>
      </c>
      <c r="E254" s="18">
        <v>40</v>
      </c>
      <c r="F254" s="18" t="s">
        <v>153</v>
      </c>
      <c r="G254" s="18" t="s">
        <v>180</v>
      </c>
      <c r="H254" s="4">
        <f t="shared" si="105"/>
        <v>10</v>
      </c>
      <c r="I254" s="4">
        <v>10.5</v>
      </c>
      <c r="J254" s="4">
        <f t="shared" si="87"/>
        <v>0.5</v>
      </c>
      <c r="K254" s="5">
        <v>1</v>
      </c>
      <c r="L254" s="31">
        <f t="shared" si="88"/>
        <v>0.5</v>
      </c>
      <c r="M254" s="31">
        <v>2.14</v>
      </c>
      <c r="N254" s="31">
        <v>31.3</v>
      </c>
      <c r="O254" s="31">
        <f t="shared" si="83"/>
        <v>0.5</v>
      </c>
      <c r="P254" s="31">
        <v>25</v>
      </c>
      <c r="Q254" s="31">
        <v>20</v>
      </c>
      <c r="R254" s="31">
        <v>0.48</v>
      </c>
      <c r="S254" s="31">
        <v>0</v>
      </c>
      <c r="T254" s="65">
        <f t="shared" si="102"/>
        <v>0</v>
      </c>
      <c r="U254" s="31">
        <v>15</v>
      </c>
      <c r="V254" s="31"/>
      <c r="W254" s="31">
        <f t="shared" si="106"/>
        <v>15</v>
      </c>
      <c r="X254" s="31">
        <f t="shared" si="107"/>
        <v>32</v>
      </c>
      <c r="Y254" s="31">
        <f t="shared" si="89"/>
        <v>3.2000000000000001E-2</v>
      </c>
      <c r="Z254" s="18">
        <v>0</v>
      </c>
      <c r="AA254" s="18" t="s">
        <v>330</v>
      </c>
      <c r="AB254" s="18" t="s">
        <v>333</v>
      </c>
      <c r="AC254" s="18" t="s">
        <v>336</v>
      </c>
      <c r="AD254" s="18">
        <v>20</v>
      </c>
      <c r="AE254" s="18">
        <v>25</v>
      </c>
      <c r="AF254" s="18" t="s">
        <v>32</v>
      </c>
      <c r="AG254" s="18" t="s">
        <v>228</v>
      </c>
      <c r="AH254" s="18" t="s">
        <v>228</v>
      </c>
      <c r="AI254" s="18" t="s">
        <v>69</v>
      </c>
      <c r="AJ254" s="18" t="s">
        <v>81</v>
      </c>
      <c r="AK254" s="18" t="s">
        <v>100</v>
      </c>
      <c r="AL254" s="18" t="s">
        <v>107</v>
      </c>
      <c r="AM254" s="18" t="s">
        <v>120</v>
      </c>
      <c r="AN254" s="18" t="s">
        <v>247</v>
      </c>
      <c r="AO254" s="18" t="s">
        <v>248</v>
      </c>
      <c r="AP254" s="18"/>
      <c r="AQ254" s="18">
        <f>+VLOOKUP(AI254,Leyenda!$B$30:$E$34,3,FALSE)</f>
        <v>0</v>
      </c>
      <c r="AR254" s="18">
        <f>+VLOOKUP('3. Blasting'!AJ254,Meteorizacion,3,FALSE)</f>
        <v>0</v>
      </c>
      <c r="AS254" s="18">
        <f>+VLOOKUP('3. Blasting'!AK254,Apertura,3,FALSE)</f>
        <v>0</v>
      </c>
      <c r="AT254" s="18">
        <f>+VLOOKUP('3. Blasting'!AL254,Leyenda!$B$55:$D$59,3,FALSE)</f>
        <v>3</v>
      </c>
      <c r="AU254" s="18">
        <f>+VLOOKUP('3. Blasting'!AM254,Relleno,3,FALSE)</f>
        <v>2</v>
      </c>
      <c r="AV254" s="18">
        <f t="shared" si="103"/>
        <v>5</v>
      </c>
      <c r="AW254" s="49">
        <f t="shared" si="90"/>
        <v>0</v>
      </c>
      <c r="AX254" s="49">
        <f>VLOOKUP(AF254,Leyenda!$B$4:$D$10,3,FALSE)</f>
        <v>1</v>
      </c>
      <c r="AY254" s="49">
        <f t="shared" si="84"/>
        <v>5</v>
      </c>
      <c r="AZ254" s="49">
        <f t="shared" si="91"/>
        <v>5</v>
      </c>
      <c r="BA254" s="49">
        <f>VLOOKUP(AN254,Leyenda!$B$70:$D$75,3,FALSE)</f>
        <v>10</v>
      </c>
      <c r="BB254" s="67">
        <f t="shared" si="92"/>
        <v>7.5</v>
      </c>
      <c r="BC254" s="67">
        <f>VLOOKUP(AF254,Leyenda!$B$4:$E$10,4,FALSE)</f>
        <v>1</v>
      </c>
      <c r="BD254" s="67">
        <f t="shared" si="93"/>
        <v>5</v>
      </c>
      <c r="BE254" s="67">
        <f t="shared" si="94"/>
        <v>0</v>
      </c>
      <c r="BF254" s="67">
        <f>+VLOOKUP('3. Blasting'!AK254,Leyenda!$B$47:$E$51,4,FALSE)</f>
        <v>0</v>
      </c>
      <c r="BG254" s="67">
        <f>+VLOOKUP('3. Blasting'!AL254,Leyenda!$B$55:$E$59,4,FALSE)</f>
        <v>3</v>
      </c>
      <c r="BH254" s="67">
        <f>+VLOOKUP('3. Blasting'!AM254,Leyenda!$B$63:$E$67,3,FALSE)</f>
        <v>2</v>
      </c>
      <c r="BI254" s="67">
        <f>+VLOOKUP('3. Blasting'!AJ254,Leyenda!$B$39:$E$43,4,FALSE)</f>
        <v>0</v>
      </c>
      <c r="BJ254" s="67">
        <f>+VLOOKUP('3. Blasting'!AI254,Leyenda!$B$30:$E$34,4,FALSE)</f>
        <v>0</v>
      </c>
      <c r="BK254" s="67">
        <f>VLOOKUP(AN254,Leyenda!$B$71:$E$75,4,FALSE)</f>
        <v>7</v>
      </c>
      <c r="BL254" s="125">
        <f t="shared" si="95"/>
        <v>18</v>
      </c>
      <c r="BM254" s="85">
        <f t="shared" si="96"/>
        <v>21</v>
      </c>
      <c r="BN254" s="18" t="e">
        <f t="shared" si="104"/>
        <v>#N/A</v>
      </c>
      <c r="BO254" s="18"/>
      <c r="BP254" s="6">
        <f t="shared" si="97"/>
        <v>10</v>
      </c>
      <c r="BQ254" s="6">
        <f t="shared" si="98"/>
        <v>10</v>
      </c>
      <c r="BR254" s="6">
        <v>20</v>
      </c>
      <c r="BS254" s="6">
        <f t="shared" si="99"/>
        <v>3.5</v>
      </c>
      <c r="BT254" s="6">
        <f t="shared" si="100"/>
        <v>1.5650000000000002</v>
      </c>
      <c r="BU254" s="6">
        <f t="shared" si="101"/>
        <v>22.532499999999999</v>
      </c>
      <c r="BV254" s="18">
        <f t="shared" si="85"/>
        <v>9.0130000000000002E-2</v>
      </c>
      <c r="BW254" s="18">
        <f t="shared" si="86"/>
        <v>0.19287820000000003</v>
      </c>
    </row>
    <row r="255" spans="1:75" x14ac:dyDescent="0.25">
      <c r="A255" s="18" t="s">
        <v>6</v>
      </c>
      <c r="B255" s="18">
        <v>2024</v>
      </c>
      <c r="C255" s="18" t="s">
        <v>138</v>
      </c>
      <c r="D255" s="18" t="s">
        <v>130</v>
      </c>
      <c r="E255" s="18">
        <v>40</v>
      </c>
      <c r="F255" s="18" t="s">
        <v>153</v>
      </c>
      <c r="G255" s="18" t="s">
        <v>180</v>
      </c>
      <c r="H255" s="4">
        <f t="shared" si="105"/>
        <v>10.5</v>
      </c>
      <c r="I255" s="4">
        <v>11</v>
      </c>
      <c r="J255" s="4">
        <f t="shared" si="87"/>
        <v>0.5</v>
      </c>
      <c r="K255" s="5">
        <v>0.74</v>
      </c>
      <c r="L255" s="31">
        <f t="shared" si="88"/>
        <v>0.37</v>
      </c>
      <c r="M255" s="31">
        <v>2.14</v>
      </c>
      <c r="N255" s="31">
        <v>31.3</v>
      </c>
      <c r="O255" s="31">
        <f t="shared" si="83"/>
        <v>0.37</v>
      </c>
      <c r="P255" s="31">
        <v>18.5</v>
      </c>
      <c r="Q255" s="31">
        <v>20</v>
      </c>
      <c r="R255" s="31">
        <v>0.35</v>
      </c>
      <c r="S255" s="31">
        <v>0.1</v>
      </c>
      <c r="T255" s="65">
        <f t="shared" si="102"/>
        <v>20</v>
      </c>
      <c r="U255" s="31">
        <v>5</v>
      </c>
      <c r="V255" s="31"/>
      <c r="W255" s="31">
        <f t="shared" si="106"/>
        <v>5</v>
      </c>
      <c r="X255" s="31">
        <f t="shared" si="107"/>
        <v>70</v>
      </c>
      <c r="Y255" s="31">
        <f t="shared" si="89"/>
        <v>7.0000000000000007E-2</v>
      </c>
      <c r="Z255" s="18">
        <v>0</v>
      </c>
      <c r="AA255" s="18" t="s">
        <v>330</v>
      </c>
      <c r="AB255" s="18" t="s">
        <v>333</v>
      </c>
      <c r="AC255" s="18" t="s">
        <v>336</v>
      </c>
      <c r="AD255" s="18">
        <v>20</v>
      </c>
      <c r="AE255" s="18">
        <v>18.5</v>
      </c>
      <c r="AF255" s="18" t="s">
        <v>32</v>
      </c>
      <c r="AG255" s="18" t="s">
        <v>228</v>
      </c>
      <c r="AH255" s="18" t="s">
        <v>228</v>
      </c>
      <c r="AI255" s="18" t="s">
        <v>69</v>
      </c>
      <c r="AJ255" s="18" t="s">
        <v>81</v>
      </c>
      <c r="AK255" s="18" t="s">
        <v>100</v>
      </c>
      <c r="AL255" s="18" t="s">
        <v>107</v>
      </c>
      <c r="AM255" s="18" t="s">
        <v>120</v>
      </c>
      <c r="AN255" s="18" t="s">
        <v>247</v>
      </c>
      <c r="AO255" s="18" t="s">
        <v>248</v>
      </c>
      <c r="AP255" s="18"/>
      <c r="AQ255" s="18">
        <f>+VLOOKUP(AI255,Leyenda!$B$30:$E$34,3,FALSE)</f>
        <v>0</v>
      </c>
      <c r="AR255" s="18">
        <f>+VLOOKUP('3. Blasting'!AJ255,Meteorizacion,3,FALSE)</f>
        <v>0</v>
      </c>
      <c r="AS255" s="18">
        <f>+VLOOKUP('3. Blasting'!AK255,Apertura,3,FALSE)</f>
        <v>0</v>
      </c>
      <c r="AT255" s="18">
        <f>+VLOOKUP('3. Blasting'!AL255,Leyenda!$B$55:$D$59,3,FALSE)</f>
        <v>3</v>
      </c>
      <c r="AU255" s="18">
        <f>+VLOOKUP('3. Blasting'!AM255,Relleno,3,FALSE)</f>
        <v>2</v>
      </c>
      <c r="AV255" s="18">
        <f t="shared" si="103"/>
        <v>5</v>
      </c>
      <c r="AW255" s="49">
        <f t="shared" si="90"/>
        <v>0</v>
      </c>
      <c r="AX255" s="49">
        <f>VLOOKUP(AF255,Leyenda!$B$4:$D$10,3,FALSE)</f>
        <v>1</v>
      </c>
      <c r="AY255" s="49">
        <f t="shared" si="84"/>
        <v>4</v>
      </c>
      <c r="AZ255" s="49">
        <f t="shared" si="91"/>
        <v>5</v>
      </c>
      <c r="BA255" s="49">
        <f>VLOOKUP(AN255,Leyenda!$B$70:$D$75,3,FALSE)</f>
        <v>10</v>
      </c>
      <c r="BB255" s="67">
        <f t="shared" si="92"/>
        <v>17.5</v>
      </c>
      <c r="BC255" s="67">
        <f>VLOOKUP(AF255,Leyenda!$B$4:$E$10,4,FALSE)</f>
        <v>1</v>
      </c>
      <c r="BD255" s="67">
        <f t="shared" si="93"/>
        <v>6</v>
      </c>
      <c r="BE255" s="67">
        <f t="shared" si="94"/>
        <v>4</v>
      </c>
      <c r="BF255" s="67">
        <f>+VLOOKUP('3. Blasting'!AK255,Leyenda!$B$47:$E$51,4,FALSE)</f>
        <v>0</v>
      </c>
      <c r="BG255" s="67">
        <f>+VLOOKUP('3. Blasting'!AL255,Leyenda!$B$55:$E$59,4,FALSE)</f>
        <v>3</v>
      </c>
      <c r="BH255" s="67">
        <f>+VLOOKUP('3. Blasting'!AM255,Leyenda!$B$63:$E$67,3,FALSE)</f>
        <v>2</v>
      </c>
      <c r="BI255" s="67">
        <f>+VLOOKUP('3. Blasting'!AJ255,Leyenda!$B$39:$E$43,4,FALSE)</f>
        <v>0</v>
      </c>
      <c r="BJ255" s="67">
        <f>+VLOOKUP('3. Blasting'!AI255,Leyenda!$B$30:$E$34,4,FALSE)</f>
        <v>0</v>
      </c>
      <c r="BK255" s="67">
        <f>VLOOKUP(AN255,Leyenda!$B$71:$E$75,4,FALSE)</f>
        <v>7</v>
      </c>
      <c r="BL255" s="125">
        <f t="shared" si="95"/>
        <v>23</v>
      </c>
      <c r="BM255" s="85">
        <f t="shared" si="96"/>
        <v>20</v>
      </c>
      <c r="BN255" s="18" t="e">
        <f t="shared" si="104"/>
        <v>#N/A</v>
      </c>
      <c r="BO255" s="18"/>
      <c r="BP255" s="6">
        <f t="shared" si="97"/>
        <v>10</v>
      </c>
      <c r="BQ255" s="6">
        <f t="shared" si="98"/>
        <v>10</v>
      </c>
      <c r="BR255" s="6">
        <v>20</v>
      </c>
      <c r="BS255" s="6">
        <f t="shared" si="99"/>
        <v>3.5</v>
      </c>
      <c r="BT255" s="6">
        <f t="shared" si="100"/>
        <v>1.5650000000000002</v>
      </c>
      <c r="BU255" s="6">
        <f t="shared" si="101"/>
        <v>22.532499999999999</v>
      </c>
      <c r="BV255" s="18">
        <f t="shared" si="85"/>
        <v>9.0130000000000002E-2</v>
      </c>
      <c r="BW255" s="18">
        <f t="shared" si="86"/>
        <v>0.19287820000000003</v>
      </c>
    </row>
    <row r="256" spans="1:75" hidden="1" x14ac:dyDescent="0.25">
      <c r="A256" s="18" t="s">
        <v>6</v>
      </c>
      <c r="B256" s="18">
        <v>2024</v>
      </c>
      <c r="C256" s="18" t="s">
        <v>138</v>
      </c>
      <c r="D256" s="18" t="s">
        <v>130</v>
      </c>
      <c r="E256" s="18">
        <v>30</v>
      </c>
      <c r="F256" s="18" t="s">
        <v>152</v>
      </c>
      <c r="G256" s="18" t="s">
        <v>180</v>
      </c>
      <c r="H256" s="4">
        <f t="shared" si="105"/>
        <v>11</v>
      </c>
      <c r="I256" s="4">
        <v>11.5</v>
      </c>
      <c r="J256" s="4">
        <f t="shared" si="87"/>
        <v>0.5</v>
      </c>
      <c r="K256" s="5">
        <v>0.82</v>
      </c>
      <c r="L256" s="31">
        <f t="shared" si="88"/>
        <v>0.41</v>
      </c>
      <c r="M256" s="105">
        <v>1.9</v>
      </c>
      <c r="N256" s="31">
        <v>10.5</v>
      </c>
      <c r="O256" s="31">
        <f t="shared" si="83"/>
        <v>0.41</v>
      </c>
      <c r="P256" s="31">
        <v>20.5</v>
      </c>
      <c r="Q256" s="31">
        <v>20</v>
      </c>
      <c r="R256" s="31">
        <v>0.41</v>
      </c>
      <c r="S256" s="31">
        <v>0</v>
      </c>
      <c r="T256" s="65">
        <f t="shared" si="102"/>
        <v>0</v>
      </c>
      <c r="U256" s="31">
        <v>10</v>
      </c>
      <c r="V256" s="31"/>
      <c r="W256" s="31">
        <f t="shared" si="106"/>
        <v>10</v>
      </c>
      <c r="X256" s="31">
        <f t="shared" si="107"/>
        <v>41</v>
      </c>
      <c r="Y256" s="31">
        <f t="shared" si="89"/>
        <v>4.1000000000000002E-2</v>
      </c>
      <c r="Z256" s="18">
        <v>0</v>
      </c>
      <c r="AA256" s="18" t="s">
        <v>330</v>
      </c>
      <c r="AB256" s="18" t="s">
        <v>333</v>
      </c>
      <c r="AC256" s="18" t="s">
        <v>336</v>
      </c>
      <c r="AD256" s="18">
        <v>20</v>
      </c>
      <c r="AE256" s="18">
        <v>20.5</v>
      </c>
      <c r="AF256" s="18" t="s">
        <v>32</v>
      </c>
      <c r="AG256" s="18" t="s">
        <v>228</v>
      </c>
      <c r="AH256" s="18" t="s">
        <v>228</v>
      </c>
      <c r="AI256" s="18" t="s">
        <v>69</v>
      </c>
      <c r="AJ256" s="18" t="s">
        <v>81</v>
      </c>
      <c r="AK256" s="18" t="s">
        <v>100</v>
      </c>
      <c r="AL256" s="18" t="s">
        <v>107</v>
      </c>
      <c r="AM256" s="18" t="s">
        <v>120</v>
      </c>
      <c r="AN256" s="18" t="s">
        <v>247</v>
      </c>
      <c r="AO256" s="18" t="s">
        <v>248</v>
      </c>
      <c r="AP256" s="18"/>
      <c r="AQ256" s="18">
        <f>+VLOOKUP(AI256,Leyenda!$B$30:$E$34,3,FALSE)</f>
        <v>0</v>
      </c>
      <c r="AR256" s="18">
        <f>+VLOOKUP('3. Blasting'!AJ256,Meteorizacion,3,FALSE)</f>
        <v>0</v>
      </c>
      <c r="AS256" s="18">
        <f>+VLOOKUP('3. Blasting'!AK256,Apertura,3,FALSE)</f>
        <v>0</v>
      </c>
      <c r="AT256" s="18">
        <f>+VLOOKUP('3. Blasting'!AL256,Leyenda!$B$55:$D$59,3,FALSE)</f>
        <v>3</v>
      </c>
      <c r="AU256" s="18">
        <f>+VLOOKUP('3. Blasting'!AM256,Relleno,3,FALSE)</f>
        <v>2</v>
      </c>
      <c r="AV256" s="18">
        <f t="shared" si="103"/>
        <v>5</v>
      </c>
      <c r="AW256" s="49">
        <f t="shared" si="90"/>
        <v>0</v>
      </c>
      <c r="AX256" s="49">
        <f>VLOOKUP(AF256,Leyenda!$B$4:$D$10,3,FALSE)</f>
        <v>1</v>
      </c>
      <c r="AY256" s="49">
        <f t="shared" si="84"/>
        <v>4</v>
      </c>
      <c r="AZ256" s="49">
        <f t="shared" si="91"/>
        <v>5</v>
      </c>
      <c r="BA256" s="49">
        <f>VLOOKUP(AN256,Leyenda!$B$70:$D$75,3,FALSE)</f>
        <v>10</v>
      </c>
      <c r="BB256" s="67">
        <f t="shared" si="92"/>
        <v>7.5</v>
      </c>
      <c r="BC256" s="67">
        <f>VLOOKUP(AF256,Leyenda!$B$4:$E$10,4,FALSE)</f>
        <v>1</v>
      </c>
      <c r="BD256" s="67">
        <f t="shared" si="93"/>
        <v>5</v>
      </c>
      <c r="BE256" s="67">
        <f t="shared" si="94"/>
        <v>0</v>
      </c>
      <c r="BF256" s="67">
        <f>+VLOOKUP('3. Blasting'!AK256,Leyenda!$B$47:$E$51,4,FALSE)</f>
        <v>0</v>
      </c>
      <c r="BG256" s="67">
        <f>+VLOOKUP('3. Blasting'!AL256,Leyenda!$B$55:$E$59,4,FALSE)</f>
        <v>3</v>
      </c>
      <c r="BH256" s="67">
        <f>+VLOOKUP('3. Blasting'!AM256,Leyenda!$B$63:$E$67,3,FALSE)</f>
        <v>2</v>
      </c>
      <c r="BI256" s="67">
        <f>+VLOOKUP('3. Blasting'!AJ256,Leyenda!$B$39:$E$43,4,FALSE)</f>
        <v>0</v>
      </c>
      <c r="BJ256" s="67">
        <f>+VLOOKUP('3. Blasting'!AI256,Leyenda!$B$30:$E$34,4,FALSE)</f>
        <v>0</v>
      </c>
      <c r="BK256" s="67">
        <f>VLOOKUP(AN256,Leyenda!$B$71:$E$75,4,FALSE)</f>
        <v>7</v>
      </c>
      <c r="BL256" s="67">
        <f t="shared" si="95"/>
        <v>18</v>
      </c>
      <c r="BM256" s="18">
        <f t="shared" si="96"/>
        <v>20</v>
      </c>
      <c r="BN256" s="18" t="e">
        <f t="shared" si="104"/>
        <v>#N/A</v>
      </c>
      <c r="BO256" s="18"/>
      <c r="BP256" s="6">
        <f t="shared" si="97"/>
        <v>10</v>
      </c>
      <c r="BQ256" s="6">
        <f t="shared" si="98"/>
        <v>10</v>
      </c>
      <c r="BR256" s="6">
        <v>20</v>
      </c>
      <c r="BS256" s="6">
        <f t="shared" si="99"/>
        <v>-2.5</v>
      </c>
      <c r="BT256" s="6">
        <f t="shared" si="100"/>
        <v>0.52500000000000002</v>
      </c>
      <c r="BU256" s="6">
        <f t="shared" si="101"/>
        <v>19.012499999999999</v>
      </c>
      <c r="BV256" s="18">
        <f t="shared" si="85"/>
        <v>7.6049999999999993E-2</v>
      </c>
      <c r="BW256" s="18">
        <f t="shared" si="86"/>
        <v>0.14449499999999998</v>
      </c>
    </row>
    <row r="257" spans="1:75" hidden="1" x14ac:dyDescent="0.25">
      <c r="A257" s="18" t="s">
        <v>6</v>
      </c>
      <c r="B257" s="18">
        <v>2024</v>
      </c>
      <c r="C257" s="18" t="s">
        <v>138</v>
      </c>
      <c r="D257" s="18" t="s">
        <v>130</v>
      </c>
      <c r="E257" s="18">
        <v>30</v>
      </c>
      <c r="F257" s="18" t="s">
        <v>152</v>
      </c>
      <c r="G257" s="18" t="s">
        <v>180</v>
      </c>
      <c r="H257" s="4">
        <f t="shared" si="105"/>
        <v>11.5</v>
      </c>
      <c r="I257" s="4">
        <v>12</v>
      </c>
      <c r="J257" s="4">
        <f t="shared" si="87"/>
        <v>0.5</v>
      </c>
      <c r="K257" s="5">
        <v>0.96</v>
      </c>
      <c r="L257" s="31">
        <f t="shared" si="88"/>
        <v>0.48</v>
      </c>
      <c r="M257" s="105">
        <v>1.9</v>
      </c>
      <c r="N257" s="31">
        <v>10.5</v>
      </c>
      <c r="O257" s="31">
        <f t="shared" si="83"/>
        <v>0.48</v>
      </c>
      <c r="P257" s="31">
        <v>24</v>
      </c>
      <c r="Q257" s="31">
        <v>20</v>
      </c>
      <c r="R257" s="31">
        <v>0.45</v>
      </c>
      <c r="S257" s="31">
        <v>0</v>
      </c>
      <c r="T257" s="65">
        <f t="shared" si="102"/>
        <v>0</v>
      </c>
      <c r="U257" s="31">
        <v>10</v>
      </c>
      <c r="V257" s="31"/>
      <c r="W257" s="31">
        <f t="shared" si="106"/>
        <v>10</v>
      </c>
      <c r="X257" s="31">
        <f t="shared" si="107"/>
        <v>45</v>
      </c>
      <c r="Y257" s="31">
        <f t="shared" si="89"/>
        <v>4.4999999999999998E-2</v>
      </c>
      <c r="Z257" s="18">
        <v>0</v>
      </c>
      <c r="AA257" s="18" t="s">
        <v>330</v>
      </c>
      <c r="AB257" s="18" t="s">
        <v>333</v>
      </c>
      <c r="AC257" s="18" t="s">
        <v>336</v>
      </c>
      <c r="AD257" s="18">
        <v>20</v>
      </c>
      <c r="AE257" s="18">
        <v>24</v>
      </c>
      <c r="AF257" s="18" t="s">
        <v>32</v>
      </c>
      <c r="AG257" s="18" t="s">
        <v>228</v>
      </c>
      <c r="AH257" s="18" t="s">
        <v>228</v>
      </c>
      <c r="AI257" s="18" t="s">
        <v>69</v>
      </c>
      <c r="AJ257" s="18" t="s">
        <v>81</v>
      </c>
      <c r="AK257" s="18" t="s">
        <v>100</v>
      </c>
      <c r="AL257" s="18" t="s">
        <v>107</v>
      </c>
      <c r="AM257" s="18" t="s">
        <v>122</v>
      </c>
      <c r="AN257" s="18" t="s">
        <v>247</v>
      </c>
      <c r="AO257" s="18" t="s">
        <v>248</v>
      </c>
      <c r="AP257" s="18"/>
      <c r="AQ257" s="18">
        <f>+VLOOKUP(AI257,Leyenda!$B$30:$E$34,3,FALSE)</f>
        <v>0</v>
      </c>
      <c r="AR257" s="18">
        <f>+VLOOKUP('3. Blasting'!AJ257,Meteorizacion,3,FALSE)</f>
        <v>0</v>
      </c>
      <c r="AS257" s="18">
        <f>+VLOOKUP('3. Blasting'!AK257,Apertura,3,FALSE)</f>
        <v>0</v>
      </c>
      <c r="AT257" s="18">
        <f>+VLOOKUP('3. Blasting'!AL257,Leyenda!$B$55:$D$59,3,FALSE)</f>
        <v>3</v>
      </c>
      <c r="AU257" s="18">
        <f>+VLOOKUP('3. Blasting'!AM257,Relleno,3,FALSE)</f>
        <v>0</v>
      </c>
      <c r="AV257" s="18">
        <f t="shared" si="103"/>
        <v>3</v>
      </c>
      <c r="AW257" s="49">
        <f t="shared" si="90"/>
        <v>0</v>
      </c>
      <c r="AX257" s="49">
        <f>VLOOKUP(AF257,Leyenda!$B$4:$D$10,3,FALSE)</f>
        <v>1</v>
      </c>
      <c r="AY257" s="49">
        <f t="shared" si="84"/>
        <v>4</v>
      </c>
      <c r="AZ257" s="49">
        <f t="shared" si="91"/>
        <v>3</v>
      </c>
      <c r="BA257" s="49">
        <f>VLOOKUP(AN257,Leyenda!$B$70:$D$75,3,FALSE)</f>
        <v>10</v>
      </c>
      <c r="BB257" s="67">
        <f t="shared" si="92"/>
        <v>4.5</v>
      </c>
      <c r="BC257" s="67">
        <f>VLOOKUP(AF257,Leyenda!$B$4:$E$10,4,FALSE)</f>
        <v>1</v>
      </c>
      <c r="BD257" s="67">
        <f t="shared" si="93"/>
        <v>5</v>
      </c>
      <c r="BE257" s="67">
        <f t="shared" si="94"/>
        <v>0</v>
      </c>
      <c r="BF257" s="67">
        <f>+VLOOKUP('3. Blasting'!AK257,Leyenda!$B$47:$E$51,4,FALSE)</f>
        <v>0</v>
      </c>
      <c r="BG257" s="67">
        <f>+VLOOKUP('3. Blasting'!AL257,Leyenda!$B$55:$E$59,4,FALSE)</f>
        <v>3</v>
      </c>
      <c r="BH257" s="67">
        <f>+VLOOKUP('3. Blasting'!AM257,Leyenda!$B$63:$E$67,3,FALSE)</f>
        <v>0</v>
      </c>
      <c r="BI257" s="67">
        <f>+VLOOKUP('3. Blasting'!AJ257,Leyenda!$B$39:$E$43,4,FALSE)</f>
        <v>0</v>
      </c>
      <c r="BJ257" s="67">
        <f>+VLOOKUP('3. Blasting'!AI257,Leyenda!$B$30:$E$34,4,FALSE)</f>
        <v>0</v>
      </c>
      <c r="BK257" s="67">
        <f>VLOOKUP(AN257,Leyenda!$B$71:$E$75,4,FALSE)</f>
        <v>7</v>
      </c>
      <c r="BL257" s="67">
        <f t="shared" si="95"/>
        <v>16</v>
      </c>
      <c r="BM257" s="18">
        <f t="shared" si="96"/>
        <v>18</v>
      </c>
      <c r="BN257" s="18" t="e">
        <f t="shared" si="104"/>
        <v>#N/A</v>
      </c>
      <c r="BO257" s="18"/>
      <c r="BP257" s="6">
        <f t="shared" si="97"/>
        <v>10</v>
      </c>
      <c r="BQ257" s="6">
        <f t="shared" si="98"/>
        <v>10</v>
      </c>
      <c r="BR257" s="6">
        <v>20</v>
      </c>
      <c r="BS257" s="6">
        <f t="shared" si="99"/>
        <v>-2.5</v>
      </c>
      <c r="BT257" s="6">
        <f t="shared" si="100"/>
        <v>0.52500000000000002</v>
      </c>
      <c r="BU257" s="6">
        <f t="shared" si="101"/>
        <v>19.012499999999999</v>
      </c>
      <c r="BV257" s="18">
        <f t="shared" si="85"/>
        <v>7.6049999999999993E-2</v>
      </c>
      <c r="BW257" s="18">
        <f t="shared" si="86"/>
        <v>0.14449499999999998</v>
      </c>
    </row>
    <row r="258" spans="1:75" hidden="1" x14ac:dyDescent="0.25">
      <c r="A258" s="18" t="s">
        <v>6</v>
      </c>
      <c r="B258" s="18">
        <v>2024</v>
      </c>
      <c r="C258" s="18" t="s">
        <v>138</v>
      </c>
      <c r="D258" s="18" t="s">
        <v>130</v>
      </c>
      <c r="E258" s="18">
        <v>30</v>
      </c>
      <c r="F258" s="18" t="s">
        <v>152</v>
      </c>
      <c r="G258" s="18" t="s">
        <v>180</v>
      </c>
      <c r="H258" s="4">
        <f t="shared" si="105"/>
        <v>12</v>
      </c>
      <c r="I258" s="4">
        <v>12.5</v>
      </c>
      <c r="J258" s="4">
        <f t="shared" si="87"/>
        <v>0.5</v>
      </c>
      <c r="K258" s="5">
        <v>1</v>
      </c>
      <c r="L258" s="31">
        <f t="shared" si="88"/>
        <v>0.5</v>
      </c>
      <c r="M258" s="105">
        <v>1.9</v>
      </c>
      <c r="N258" s="31">
        <v>10.5</v>
      </c>
      <c r="O258" s="31">
        <f t="shared" si="83"/>
        <v>0.5</v>
      </c>
      <c r="P258" s="31">
        <v>25</v>
      </c>
      <c r="Q258" s="31">
        <v>20</v>
      </c>
      <c r="R258" s="31">
        <v>0.49</v>
      </c>
      <c r="S258" s="31">
        <v>0</v>
      </c>
      <c r="T258" s="65">
        <f t="shared" si="102"/>
        <v>0</v>
      </c>
      <c r="U258" s="31">
        <v>7</v>
      </c>
      <c r="V258" s="31"/>
      <c r="W258" s="31">
        <f t="shared" si="106"/>
        <v>7</v>
      </c>
      <c r="X258" s="31">
        <f t="shared" si="107"/>
        <v>70</v>
      </c>
      <c r="Y258" s="31">
        <f t="shared" si="89"/>
        <v>7.0000000000000007E-2</v>
      </c>
      <c r="Z258" s="18">
        <v>0</v>
      </c>
      <c r="AA258" s="18" t="s">
        <v>330</v>
      </c>
      <c r="AB258" s="18" t="s">
        <v>333</v>
      </c>
      <c r="AC258" s="18" t="s">
        <v>336</v>
      </c>
      <c r="AD258" s="18">
        <v>20</v>
      </c>
      <c r="AE258" s="18">
        <v>25</v>
      </c>
      <c r="AF258" s="18" t="s">
        <v>32</v>
      </c>
      <c r="AG258" s="18" t="s">
        <v>228</v>
      </c>
      <c r="AH258" s="18" t="s">
        <v>228</v>
      </c>
      <c r="AI258" s="18" t="s">
        <v>69</v>
      </c>
      <c r="AJ258" s="18" t="s">
        <v>81</v>
      </c>
      <c r="AK258" s="18" t="s">
        <v>100</v>
      </c>
      <c r="AL258" s="18" t="s">
        <v>107</v>
      </c>
      <c r="AM258" s="18" t="s">
        <v>122</v>
      </c>
      <c r="AN258" s="18" t="s">
        <v>247</v>
      </c>
      <c r="AO258" s="18" t="s">
        <v>248</v>
      </c>
      <c r="AP258" s="18"/>
      <c r="AQ258" s="18">
        <f>+VLOOKUP(AI258,Leyenda!$B$30:$E$34,3,FALSE)</f>
        <v>0</v>
      </c>
      <c r="AR258" s="18">
        <f>+VLOOKUP('3. Blasting'!AJ258,Meteorizacion,3,FALSE)</f>
        <v>0</v>
      </c>
      <c r="AS258" s="18">
        <f>+VLOOKUP('3. Blasting'!AK258,Apertura,3,FALSE)</f>
        <v>0</v>
      </c>
      <c r="AT258" s="18">
        <f>+VLOOKUP('3. Blasting'!AL258,Leyenda!$B$55:$D$59,3,FALSE)</f>
        <v>3</v>
      </c>
      <c r="AU258" s="18">
        <f>+VLOOKUP('3. Blasting'!AM258,Relleno,3,FALSE)</f>
        <v>0</v>
      </c>
      <c r="AV258" s="18">
        <f t="shared" si="103"/>
        <v>3</v>
      </c>
      <c r="AW258" s="49">
        <f t="shared" si="90"/>
        <v>0</v>
      </c>
      <c r="AX258" s="49">
        <f>VLOOKUP(AF258,Leyenda!$B$4:$D$10,3,FALSE)</f>
        <v>1</v>
      </c>
      <c r="AY258" s="49">
        <f t="shared" si="84"/>
        <v>5</v>
      </c>
      <c r="AZ258" s="49">
        <f t="shared" si="91"/>
        <v>3</v>
      </c>
      <c r="BA258" s="49">
        <f>VLOOKUP(AN258,Leyenda!$B$70:$D$75,3,FALSE)</f>
        <v>10</v>
      </c>
      <c r="BB258" s="67">
        <f t="shared" si="92"/>
        <v>4.5</v>
      </c>
      <c r="BC258" s="67">
        <f>VLOOKUP(AF258,Leyenda!$B$4:$E$10,4,FALSE)</f>
        <v>1</v>
      </c>
      <c r="BD258" s="67">
        <f t="shared" si="93"/>
        <v>6</v>
      </c>
      <c r="BE258" s="67">
        <f t="shared" si="94"/>
        <v>0</v>
      </c>
      <c r="BF258" s="67">
        <f>+VLOOKUP('3. Blasting'!AK258,Leyenda!$B$47:$E$51,4,FALSE)</f>
        <v>0</v>
      </c>
      <c r="BG258" s="67">
        <f>+VLOOKUP('3. Blasting'!AL258,Leyenda!$B$55:$E$59,4,FALSE)</f>
        <v>3</v>
      </c>
      <c r="BH258" s="67">
        <f>+VLOOKUP('3. Blasting'!AM258,Leyenda!$B$63:$E$67,3,FALSE)</f>
        <v>0</v>
      </c>
      <c r="BI258" s="67">
        <f>+VLOOKUP('3. Blasting'!AJ258,Leyenda!$B$39:$E$43,4,FALSE)</f>
        <v>0</v>
      </c>
      <c r="BJ258" s="67">
        <f>+VLOOKUP('3. Blasting'!AI258,Leyenda!$B$30:$E$34,4,FALSE)</f>
        <v>0</v>
      </c>
      <c r="BK258" s="67">
        <f>VLOOKUP(AN258,Leyenda!$B$71:$E$75,4,FALSE)</f>
        <v>7</v>
      </c>
      <c r="BL258" s="67">
        <f t="shared" si="95"/>
        <v>17</v>
      </c>
      <c r="BM258" s="18">
        <f t="shared" si="96"/>
        <v>19</v>
      </c>
      <c r="BN258" s="18" t="e">
        <f t="shared" si="104"/>
        <v>#N/A</v>
      </c>
      <c r="BO258" s="18"/>
      <c r="BP258" s="6">
        <f t="shared" si="97"/>
        <v>10</v>
      </c>
      <c r="BQ258" s="6">
        <f t="shared" si="98"/>
        <v>10</v>
      </c>
      <c r="BR258" s="6">
        <v>20</v>
      </c>
      <c r="BS258" s="6">
        <f t="shared" si="99"/>
        <v>-2.5</v>
      </c>
      <c r="BT258" s="6">
        <f t="shared" si="100"/>
        <v>0.52500000000000002</v>
      </c>
      <c r="BU258" s="6">
        <f t="shared" si="101"/>
        <v>19.012499999999999</v>
      </c>
      <c r="BV258" s="18">
        <f t="shared" si="85"/>
        <v>7.6049999999999993E-2</v>
      </c>
      <c r="BW258" s="18">
        <f t="shared" si="86"/>
        <v>0.14449499999999998</v>
      </c>
    </row>
    <row r="259" spans="1:75" hidden="1" x14ac:dyDescent="0.25">
      <c r="A259" s="18" t="s">
        <v>6</v>
      </c>
      <c r="B259" s="18">
        <v>2024</v>
      </c>
      <c r="C259" s="18" t="s">
        <v>138</v>
      </c>
      <c r="D259" s="18" t="s">
        <v>130</v>
      </c>
      <c r="E259" s="18">
        <v>30</v>
      </c>
      <c r="F259" s="18" t="s">
        <v>152</v>
      </c>
      <c r="G259" s="18" t="s">
        <v>180</v>
      </c>
      <c r="H259" s="4">
        <f t="shared" si="105"/>
        <v>12.5</v>
      </c>
      <c r="I259" s="4">
        <v>13</v>
      </c>
      <c r="J259" s="4">
        <f t="shared" si="87"/>
        <v>0.5</v>
      </c>
      <c r="K259" s="5">
        <v>1</v>
      </c>
      <c r="L259" s="31">
        <f t="shared" si="88"/>
        <v>0.5</v>
      </c>
      <c r="M259" s="105">
        <v>1.9</v>
      </c>
      <c r="N259" s="31">
        <v>10.5</v>
      </c>
      <c r="O259" s="31">
        <f t="shared" si="83"/>
        <v>0.5</v>
      </c>
      <c r="P259" s="31">
        <v>25</v>
      </c>
      <c r="Q259" s="31">
        <v>20</v>
      </c>
      <c r="R259" s="31">
        <v>0.47</v>
      </c>
      <c r="S259" s="31">
        <v>0</v>
      </c>
      <c r="T259" s="65">
        <f t="shared" si="102"/>
        <v>0</v>
      </c>
      <c r="U259" s="31">
        <v>8</v>
      </c>
      <c r="V259" s="31"/>
      <c r="W259" s="31">
        <f t="shared" si="106"/>
        <v>8</v>
      </c>
      <c r="X259" s="31">
        <f t="shared" si="107"/>
        <v>58.75</v>
      </c>
      <c r="Y259" s="31">
        <f t="shared" si="89"/>
        <v>5.8749999999999997E-2</v>
      </c>
      <c r="Z259" s="18">
        <v>0</v>
      </c>
      <c r="AA259" s="18" t="s">
        <v>330</v>
      </c>
      <c r="AB259" s="18" t="s">
        <v>333</v>
      </c>
      <c r="AC259" s="18" t="s">
        <v>336</v>
      </c>
      <c r="AD259" s="18">
        <v>20</v>
      </c>
      <c r="AE259" s="18">
        <v>25</v>
      </c>
      <c r="AF259" s="18" t="s">
        <v>32</v>
      </c>
      <c r="AG259" s="18" t="s">
        <v>200</v>
      </c>
      <c r="AH259" s="18" t="s">
        <v>200</v>
      </c>
      <c r="AI259" s="18" t="s">
        <v>69</v>
      </c>
      <c r="AJ259" s="18" t="s">
        <v>79</v>
      </c>
      <c r="AK259" s="18" t="s">
        <v>100</v>
      </c>
      <c r="AL259" s="18" t="s">
        <v>109</v>
      </c>
      <c r="AM259" s="18" t="s">
        <v>122</v>
      </c>
      <c r="AN259" s="18" t="s">
        <v>247</v>
      </c>
      <c r="AO259" s="18" t="s">
        <v>248</v>
      </c>
      <c r="AP259" s="18"/>
      <c r="AQ259" s="18">
        <f>+VLOOKUP(AI259,Leyenda!$B$30:$E$34,3,FALSE)</f>
        <v>0</v>
      </c>
      <c r="AR259" s="18">
        <f>+VLOOKUP('3. Blasting'!AJ259,Meteorizacion,3,FALSE)</f>
        <v>1</v>
      </c>
      <c r="AS259" s="18">
        <f>+VLOOKUP('3. Blasting'!AK259,Apertura,3,FALSE)</f>
        <v>0</v>
      </c>
      <c r="AT259" s="18">
        <f>+VLOOKUP('3. Blasting'!AL259,Leyenda!$B$55:$D$59,3,FALSE)</f>
        <v>1</v>
      </c>
      <c r="AU259" s="18">
        <f>+VLOOKUP('3. Blasting'!AM259,Relleno,3,FALSE)</f>
        <v>0</v>
      </c>
      <c r="AV259" s="18">
        <f t="shared" si="103"/>
        <v>2</v>
      </c>
      <c r="AW259" s="49">
        <f t="shared" si="90"/>
        <v>0</v>
      </c>
      <c r="AX259" s="49">
        <f>VLOOKUP(AF259,Leyenda!$B$4:$D$10,3,FALSE)</f>
        <v>1</v>
      </c>
      <c r="AY259" s="49">
        <f t="shared" si="84"/>
        <v>5</v>
      </c>
      <c r="AZ259" s="49">
        <f t="shared" si="91"/>
        <v>2</v>
      </c>
      <c r="BA259" s="49">
        <f>VLOOKUP(AN259,Leyenda!$B$70:$D$75,3,FALSE)</f>
        <v>10</v>
      </c>
      <c r="BB259" s="67">
        <f t="shared" si="92"/>
        <v>3</v>
      </c>
      <c r="BC259" s="67">
        <f>VLOOKUP(AF259,Leyenda!$B$4:$E$10,4,FALSE)</f>
        <v>1</v>
      </c>
      <c r="BD259" s="67">
        <f t="shared" si="93"/>
        <v>5</v>
      </c>
      <c r="BE259" s="67">
        <f t="shared" si="94"/>
        <v>0</v>
      </c>
      <c r="BF259" s="67">
        <f>+VLOOKUP('3. Blasting'!AK259,Leyenda!$B$47:$E$51,4,FALSE)</f>
        <v>0</v>
      </c>
      <c r="BG259" s="67">
        <f>+VLOOKUP('3. Blasting'!AL259,Leyenda!$B$55:$E$59,4,FALSE)</f>
        <v>1</v>
      </c>
      <c r="BH259" s="67">
        <f>+VLOOKUP('3. Blasting'!AM259,Leyenda!$B$63:$E$67,3,FALSE)</f>
        <v>0</v>
      </c>
      <c r="BI259" s="67">
        <f>+VLOOKUP('3. Blasting'!AJ259,Leyenda!$B$39:$E$43,4,FALSE)</f>
        <v>1</v>
      </c>
      <c r="BJ259" s="67">
        <f>+VLOOKUP('3. Blasting'!AI259,Leyenda!$B$30:$E$34,4,FALSE)</f>
        <v>0</v>
      </c>
      <c r="BK259" s="67">
        <f>VLOOKUP(AN259,Leyenda!$B$71:$E$75,4,FALSE)</f>
        <v>7</v>
      </c>
      <c r="BL259" s="67">
        <f t="shared" si="95"/>
        <v>15</v>
      </c>
      <c r="BM259" s="18">
        <f t="shared" si="96"/>
        <v>18</v>
      </c>
      <c r="BN259" s="18" t="e">
        <f t="shared" si="104"/>
        <v>#N/A</v>
      </c>
      <c r="BO259" s="18"/>
      <c r="BP259" s="6">
        <f t="shared" si="97"/>
        <v>10</v>
      </c>
      <c r="BQ259" s="6">
        <f t="shared" si="98"/>
        <v>10</v>
      </c>
      <c r="BR259" s="6">
        <v>20</v>
      </c>
      <c r="BS259" s="6">
        <f t="shared" si="99"/>
        <v>-2.5</v>
      </c>
      <c r="BT259" s="6">
        <f t="shared" si="100"/>
        <v>0.52500000000000002</v>
      </c>
      <c r="BU259" s="6">
        <f t="shared" si="101"/>
        <v>19.012499999999999</v>
      </c>
      <c r="BV259" s="18">
        <f t="shared" si="85"/>
        <v>7.6049999999999993E-2</v>
      </c>
      <c r="BW259" s="18">
        <f t="shared" si="86"/>
        <v>0.14449499999999998</v>
      </c>
    </row>
    <row r="260" spans="1:75" hidden="1" x14ac:dyDescent="0.25">
      <c r="A260" s="18" t="s">
        <v>6</v>
      </c>
      <c r="B260" s="18">
        <v>2024</v>
      </c>
      <c r="C260" s="18" t="s">
        <v>138</v>
      </c>
      <c r="D260" s="18" t="s">
        <v>130</v>
      </c>
      <c r="E260" s="18">
        <v>30</v>
      </c>
      <c r="F260" s="18" t="s">
        <v>152</v>
      </c>
      <c r="G260" s="18" t="s">
        <v>159</v>
      </c>
      <c r="H260" s="4">
        <f t="shared" si="105"/>
        <v>13</v>
      </c>
      <c r="I260" s="4">
        <v>13.5</v>
      </c>
      <c r="J260" s="4">
        <f t="shared" si="87"/>
        <v>0.5</v>
      </c>
      <c r="K260" s="5">
        <v>1</v>
      </c>
      <c r="L260" s="31">
        <f t="shared" si="88"/>
        <v>0.5</v>
      </c>
      <c r="M260" s="105">
        <v>1.9</v>
      </c>
      <c r="N260" s="31">
        <v>10.5</v>
      </c>
      <c r="O260" s="31">
        <f t="shared" ref="O260:O323" si="108">+K260*J260</f>
        <v>0.5</v>
      </c>
      <c r="P260" s="31">
        <v>25</v>
      </c>
      <c r="Q260" s="31">
        <v>20</v>
      </c>
      <c r="R260" s="31">
        <v>0.49</v>
      </c>
      <c r="S260" s="31">
        <v>0.14000000000000001</v>
      </c>
      <c r="T260" s="65">
        <f t="shared" si="102"/>
        <v>28.000000000000004</v>
      </c>
      <c r="U260" s="31">
        <v>4</v>
      </c>
      <c r="V260" s="31"/>
      <c r="W260" s="31">
        <f t="shared" si="106"/>
        <v>4</v>
      </c>
      <c r="X260" s="31">
        <f t="shared" si="107"/>
        <v>122.5</v>
      </c>
      <c r="Y260" s="31">
        <f t="shared" si="89"/>
        <v>0.1225</v>
      </c>
      <c r="Z260" s="18">
        <v>0</v>
      </c>
      <c r="AA260" s="18" t="s">
        <v>330</v>
      </c>
      <c r="AB260" s="18" t="s">
        <v>333</v>
      </c>
      <c r="AC260" s="18" t="s">
        <v>336</v>
      </c>
      <c r="AD260" s="18">
        <v>20</v>
      </c>
      <c r="AE260" s="18">
        <v>25</v>
      </c>
      <c r="AF260" s="18" t="s">
        <v>32</v>
      </c>
      <c r="AG260" s="18" t="s">
        <v>239</v>
      </c>
      <c r="AH260" s="18" t="s">
        <v>239</v>
      </c>
      <c r="AI260" s="18" t="s">
        <v>69</v>
      </c>
      <c r="AJ260" s="18" t="s">
        <v>79</v>
      </c>
      <c r="AK260" s="18" t="s">
        <v>100</v>
      </c>
      <c r="AL260" s="18" t="s">
        <v>107</v>
      </c>
      <c r="AM260" s="18" t="s">
        <v>120</v>
      </c>
      <c r="AN260" s="18" t="s">
        <v>198</v>
      </c>
      <c r="AO260" s="18" t="s">
        <v>250</v>
      </c>
      <c r="AP260" s="18"/>
      <c r="AQ260" s="18">
        <f>+VLOOKUP(AI260,Leyenda!$B$30:$E$34,3,FALSE)</f>
        <v>0</v>
      </c>
      <c r="AR260" s="18">
        <f>+VLOOKUP('3. Blasting'!AJ260,Meteorizacion,3,FALSE)</f>
        <v>1</v>
      </c>
      <c r="AS260" s="18">
        <f>+VLOOKUP('3. Blasting'!AK260,Apertura,3,FALSE)</f>
        <v>0</v>
      </c>
      <c r="AT260" s="18">
        <f>+VLOOKUP('3. Blasting'!AL260,Leyenda!$B$55:$D$59,3,FALSE)</f>
        <v>3</v>
      </c>
      <c r="AU260" s="18">
        <f>+VLOOKUP('3. Blasting'!AM260,Relleno,3,FALSE)</f>
        <v>2</v>
      </c>
      <c r="AV260" s="18">
        <f t="shared" si="103"/>
        <v>6</v>
      </c>
      <c r="AW260" s="49">
        <f t="shared" si="90"/>
        <v>0</v>
      </c>
      <c r="AX260" s="49">
        <f>VLOOKUP(AF260,Leyenda!$B$4:$D$10,3,FALSE)</f>
        <v>1</v>
      </c>
      <c r="AY260" s="49">
        <f t="shared" ref="AY260:AY323" si="109">IF(P260="",ROUND((IF(P260&lt;=400,1.5478*POWER(P260,0.3351),-2*POWER(10,-6)*POWER(P260,2)+0.0091*P260+8.1704)),0),ROUND((IF(P260&lt;=400,1.5478*POWER(P260,0.3351),-2*POWER(10,-6)*POWER(P260,2)+0.0091*P260+8.1704)),0))</f>
        <v>5</v>
      </c>
      <c r="AZ260" s="49">
        <f t="shared" si="91"/>
        <v>6</v>
      </c>
      <c r="BA260" s="49">
        <f>VLOOKUP(AN260,Leyenda!$B$70:$D$75,3,FALSE)</f>
        <v>15</v>
      </c>
      <c r="BB260" s="67">
        <f t="shared" si="92"/>
        <v>23</v>
      </c>
      <c r="BC260" s="67">
        <f>VLOOKUP(AF260,Leyenda!$B$4:$E$10,4,FALSE)</f>
        <v>1</v>
      </c>
      <c r="BD260" s="67">
        <f t="shared" si="93"/>
        <v>9</v>
      </c>
      <c r="BE260" s="67">
        <f t="shared" si="94"/>
        <v>6</v>
      </c>
      <c r="BF260" s="67">
        <f>+VLOOKUP('3. Blasting'!AK260,Leyenda!$B$47:$E$51,4,FALSE)</f>
        <v>0</v>
      </c>
      <c r="BG260" s="67">
        <f>+VLOOKUP('3. Blasting'!AL260,Leyenda!$B$55:$E$59,4,FALSE)</f>
        <v>3</v>
      </c>
      <c r="BH260" s="67">
        <f>+VLOOKUP('3. Blasting'!AM260,Leyenda!$B$63:$E$67,3,FALSE)</f>
        <v>2</v>
      </c>
      <c r="BI260" s="67">
        <f>+VLOOKUP('3. Blasting'!AJ260,Leyenda!$B$39:$E$43,4,FALSE)</f>
        <v>1</v>
      </c>
      <c r="BJ260" s="67">
        <f>+VLOOKUP('3. Blasting'!AI260,Leyenda!$B$30:$E$34,4,FALSE)</f>
        <v>0</v>
      </c>
      <c r="BK260" s="67">
        <f>VLOOKUP(AN260,Leyenda!$B$71:$E$75,4,FALSE)</f>
        <v>10</v>
      </c>
      <c r="BL260" s="67">
        <f t="shared" si="95"/>
        <v>32</v>
      </c>
      <c r="BM260" s="18">
        <f t="shared" si="96"/>
        <v>27</v>
      </c>
      <c r="BN260" s="18" t="e">
        <f t="shared" si="104"/>
        <v>#N/A</v>
      </c>
      <c r="BO260" s="18"/>
      <c r="BP260" s="6">
        <f t="shared" si="97"/>
        <v>20</v>
      </c>
      <c r="BQ260" s="6">
        <f t="shared" si="98"/>
        <v>20</v>
      </c>
      <c r="BR260" s="6">
        <v>20</v>
      </c>
      <c r="BS260" s="6">
        <f t="shared" si="99"/>
        <v>-2.5</v>
      </c>
      <c r="BT260" s="6">
        <f t="shared" si="100"/>
        <v>0.52500000000000002</v>
      </c>
      <c r="BU260" s="6">
        <f t="shared" si="101"/>
        <v>29.012499999999999</v>
      </c>
      <c r="BV260" s="18">
        <f t="shared" ref="BV260:BV323" si="110">0.004*BU260</f>
        <v>0.11605</v>
      </c>
      <c r="BW260" s="18">
        <f t="shared" ref="BW260:BW323" si="111">+BV260*M260</f>
        <v>0.220495</v>
      </c>
    </row>
    <row r="261" spans="1:75" hidden="1" x14ac:dyDescent="0.25">
      <c r="A261" s="18" t="s">
        <v>6</v>
      </c>
      <c r="B261" s="18">
        <v>2024</v>
      </c>
      <c r="C261" s="18" t="s">
        <v>138</v>
      </c>
      <c r="D261" s="18" t="s">
        <v>130</v>
      </c>
      <c r="E261" s="18">
        <v>30</v>
      </c>
      <c r="F261" s="18" t="s">
        <v>152</v>
      </c>
      <c r="G261" s="18" t="s">
        <v>159</v>
      </c>
      <c r="H261" s="4">
        <f t="shared" si="105"/>
        <v>13.5</v>
      </c>
      <c r="I261" s="4">
        <v>14</v>
      </c>
      <c r="J261" s="4">
        <f t="shared" ref="J261:J324" si="112">+I261-H261</f>
        <v>0.5</v>
      </c>
      <c r="K261" s="5">
        <v>1</v>
      </c>
      <c r="L261" s="31">
        <f t="shared" ref="L261:L324" si="113">+J261*K261</f>
        <v>0.5</v>
      </c>
      <c r="M261" s="105">
        <v>1.9</v>
      </c>
      <c r="N261" s="31">
        <v>10.5</v>
      </c>
      <c r="O261" s="31">
        <f t="shared" si="108"/>
        <v>0.5</v>
      </c>
      <c r="P261" s="31">
        <v>25</v>
      </c>
      <c r="Q261" s="31">
        <v>20</v>
      </c>
      <c r="R261" s="31">
        <v>0.45</v>
      </c>
      <c r="S261" s="31">
        <v>0.14000000000000001</v>
      </c>
      <c r="T261" s="65">
        <f t="shared" si="102"/>
        <v>28.000000000000004</v>
      </c>
      <c r="U261" s="31">
        <v>7</v>
      </c>
      <c r="V261" s="31"/>
      <c r="W261" s="31">
        <f t="shared" si="106"/>
        <v>7</v>
      </c>
      <c r="X261" s="31">
        <f t="shared" si="107"/>
        <v>64.285714285714292</v>
      </c>
      <c r="Y261" s="31">
        <f t="shared" ref="Y261:Y324" si="114">+X261/1000</f>
        <v>6.4285714285714293E-2</v>
      </c>
      <c r="Z261" s="18">
        <v>0</v>
      </c>
      <c r="AA261" s="18" t="s">
        <v>330</v>
      </c>
      <c r="AB261" s="18" t="s">
        <v>333</v>
      </c>
      <c r="AC261" s="18" t="s">
        <v>337</v>
      </c>
      <c r="AD261" s="18">
        <v>20</v>
      </c>
      <c r="AE261" s="18">
        <v>25</v>
      </c>
      <c r="AF261" s="18" t="s">
        <v>29</v>
      </c>
      <c r="AG261" s="18" t="s">
        <v>199</v>
      </c>
      <c r="AH261" s="18" t="s">
        <v>199</v>
      </c>
      <c r="AI261" s="18" t="s">
        <v>66</v>
      </c>
      <c r="AJ261" s="18" t="s">
        <v>79</v>
      </c>
      <c r="AK261" s="18" t="s">
        <v>100</v>
      </c>
      <c r="AL261" s="18" t="s">
        <v>107</v>
      </c>
      <c r="AM261" s="18" t="s">
        <v>120</v>
      </c>
      <c r="AN261" s="18" t="s">
        <v>198</v>
      </c>
      <c r="AO261" s="18" t="s">
        <v>251</v>
      </c>
      <c r="AP261" s="18"/>
      <c r="AQ261" s="18">
        <f>+VLOOKUP(AI261,Leyenda!$B$30:$E$34,3,FALSE)</f>
        <v>1</v>
      </c>
      <c r="AR261" s="18">
        <f>+VLOOKUP('3. Blasting'!AJ261,Meteorizacion,3,FALSE)</f>
        <v>1</v>
      </c>
      <c r="AS261" s="18">
        <f>+VLOOKUP('3. Blasting'!AK261,Apertura,3,FALSE)</f>
        <v>0</v>
      </c>
      <c r="AT261" s="18">
        <f>+VLOOKUP('3. Blasting'!AL261,Leyenda!$B$55:$D$59,3,FALSE)</f>
        <v>3</v>
      </c>
      <c r="AU261" s="18">
        <f>+VLOOKUP('3. Blasting'!AM261,Relleno,3,FALSE)</f>
        <v>2</v>
      </c>
      <c r="AV261" s="18">
        <f t="shared" si="103"/>
        <v>7</v>
      </c>
      <c r="AW261" s="49">
        <f t="shared" ref="AW261:AW324" si="115">ROUND(-0.0002*POWER(Z261,2)+0.2197*Z261,0)</f>
        <v>0</v>
      </c>
      <c r="AX261" s="49">
        <f>VLOOKUP(AF261,Leyenda!$B$4:$D$10,3,FALSE)</f>
        <v>2</v>
      </c>
      <c r="AY261" s="49">
        <f t="shared" si="109"/>
        <v>5</v>
      </c>
      <c r="AZ261" s="49">
        <f t="shared" ref="AZ261:AZ324" si="116">+AV261</f>
        <v>7</v>
      </c>
      <c r="BA261" s="49">
        <f>VLOOKUP(AN261,Leyenda!$B$70:$D$75,3,FALSE)</f>
        <v>15</v>
      </c>
      <c r="BB261" s="67">
        <f t="shared" ref="BB261:BB324" si="117">1.5*AV261+(T261*0.5)</f>
        <v>24.5</v>
      </c>
      <c r="BC261" s="67">
        <f>VLOOKUP(AF261,Leyenda!$B$4:$E$10,4,FALSE)</f>
        <v>2</v>
      </c>
      <c r="BD261" s="67">
        <f t="shared" ref="BD261:BD324" si="118">IF(X261="",ROUND(IF(X261&lt;=50,5,IF(X261&gt;=3000,30,6.038*LN(X261)-19.63)),0),ROUND(IF(X261&lt;=50,5,IF(X261&gt;=3000,30,6.038*LN(X261)-19.63)),0))</f>
        <v>6</v>
      </c>
      <c r="BE261" s="67">
        <f t="shared" ref="BE261:BE324" si="119">ROUND(-0.0002*POWER(T261,2)+0.2197*T261,0)</f>
        <v>6</v>
      </c>
      <c r="BF261" s="67">
        <f>+VLOOKUP('3. Blasting'!AK261,Leyenda!$B$47:$E$51,4,FALSE)</f>
        <v>0</v>
      </c>
      <c r="BG261" s="67">
        <f>+VLOOKUP('3. Blasting'!AL261,Leyenda!$B$55:$E$59,4,FALSE)</f>
        <v>3</v>
      </c>
      <c r="BH261" s="67">
        <f>+VLOOKUP('3. Blasting'!AM261,Leyenda!$B$63:$E$67,3,FALSE)</f>
        <v>2</v>
      </c>
      <c r="BI261" s="67">
        <f>+VLOOKUP('3. Blasting'!AJ261,Leyenda!$B$39:$E$43,4,FALSE)</f>
        <v>1</v>
      </c>
      <c r="BJ261" s="67">
        <f>+VLOOKUP('3. Blasting'!AI261,Leyenda!$B$30:$E$34,4,FALSE)</f>
        <v>1</v>
      </c>
      <c r="BK261" s="67">
        <f>VLOOKUP(AN261,Leyenda!$B$71:$E$75,4,FALSE)</f>
        <v>10</v>
      </c>
      <c r="BL261" s="67">
        <f t="shared" ref="BL261:BL324" si="120">+BC261+BD261+BE261+BF261+BG261+BH261+BI261+BJ261+BK261</f>
        <v>31</v>
      </c>
      <c r="BM261" s="18">
        <f t="shared" ref="BM261:BM324" si="121">+AX261+AY261+AW261+AZ261+BA261</f>
        <v>29</v>
      </c>
      <c r="BN261" s="18" t="e">
        <f t="shared" si="104"/>
        <v>#N/A</v>
      </c>
      <c r="BO261" s="18"/>
      <c r="BP261" s="6">
        <f t="shared" ref="BP261:BP324" si="122">+IF(BL261&lt;30,10,IF(BL261&lt;=41,20,30))</f>
        <v>20</v>
      </c>
      <c r="BQ261" s="6">
        <f t="shared" ref="BQ261:BQ324" si="123">+IF(Y261&lt;0.1,10,IF(AND(Y261&gt;0.1,Y261&lt;1),20,50))</f>
        <v>10</v>
      </c>
      <c r="BR261" s="6">
        <v>20</v>
      </c>
      <c r="BS261" s="6">
        <f t="shared" ref="BS261:BS324" si="124">25*M261-50</f>
        <v>-2.5</v>
      </c>
      <c r="BT261" s="6">
        <f t="shared" ref="BT261:BT324" si="125">0.05*N261</f>
        <v>0.52500000000000002</v>
      </c>
      <c r="BU261" s="6">
        <f t="shared" ref="BU261:BU324" si="126">0.5*((BP261+BQ261)+BR261+BS261+BT261)</f>
        <v>24.012499999999999</v>
      </c>
      <c r="BV261" s="18">
        <f t="shared" si="110"/>
        <v>9.6049999999999996E-2</v>
      </c>
      <c r="BW261" s="18">
        <f t="shared" si="111"/>
        <v>0.18249499999999999</v>
      </c>
    </row>
    <row r="262" spans="1:75" hidden="1" x14ac:dyDescent="0.25">
      <c r="A262" s="18" t="s">
        <v>6</v>
      </c>
      <c r="B262" s="18">
        <v>2024</v>
      </c>
      <c r="C262" s="18" t="s">
        <v>138</v>
      </c>
      <c r="D262" s="18" t="s">
        <v>130</v>
      </c>
      <c r="E262" s="18">
        <v>30</v>
      </c>
      <c r="F262" s="18" t="s">
        <v>152</v>
      </c>
      <c r="G262" s="18" t="s">
        <v>159</v>
      </c>
      <c r="H262" s="4">
        <f t="shared" si="105"/>
        <v>14</v>
      </c>
      <c r="I262" s="4">
        <v>14.5</v>
      </c>
      <c r="J262" s="4">
        <f t="shared" si="112"/>
        <v>0.5</v>
      </c>
      <c r="K262" s="5">
        <v>1</v>
      </c>
      <c r="L262" s="31">
        <f t="shared" si="113"/>
        <v>0.5</v>
      </c>
      <c r="M262" s="105">
        <v>1.9</v>
      </c>
      <c r="N262" s="31">
        <v>10.5</v>
      </c>
      <c r="O262" s="31">
        <f t="shared" si="108"/>
        <v>0.5</v>
      </c>
      <c r="P262" s="31">
        <v>25</v>
      </c>
      <c r="Q262" s="31">
        <v>20</v>
      </c>
      <c r="R262" s="31">
        <v>0.48</v>
      </c>
      <c r="S262" s="31">
        <v>0</v>
      </c>
      <c r="T262" s="65">
        <f t="shared" si="102"/>
        <v>0</v>
      </c>
      <c r="U262" s="31">
        <v>4</v>
      </c>
      <c r="V262" s="31"/>
      <c r="W262" s="31">
        <f t="shared" si="106"/>
        <v>4</v>
      </c>
      <c r="X262" s="31">
        <f t="shared" si="107"/>
        <v>120</v>
      </c>
      <c r="Y262" s="31">
        <f t="shared" si="114"/>
        <v>0.12</v>
      </c>
      <c r="Z262" s="18">
        <v>0</v>
      </c>
      <c r="AA262" s="18" t="s">
        <v>330</v>
      </c>
      <c r="AB262" s="18" t="s">
        <v>333</v>
      </c>
      <c r="AC262" s="18" t="s">
        <v>337</v>
      </c>
      <c r="AD262" s="18">
        <v>20</v>
      </c>
      <c r="AE262" s="18">
        <v>25</v>
      </c>
      <c r="AF262" s="18" t="s">
        <v>29</v>
      </c>
      <c r="AG262" s="18" t="s">
        <v>199</v>
      </c>
      <c r="AH262" s="18" t="s">
        <v>199</v>
      </c>
      <c r="AI262" s="18" t="s">
        <v>66</v>
      </c>
      <c r="AJ262" s="18" t="s">
        <v>79</v>
      </c>
      <c r="AK262" s="18" t="s">
        <v>100</v>
      </c>
      <c r="AL262" s="18" t="s">
        <v>107</v>
      </c>
      <c r="AM262" s="18" t="s">
        <v>120</v>
      </c>
      <c r="AN262" s="18" t="s">
        <v>198</v>
      </c>
      <c r="AO262" s="18" t="s">
        <v>251</v>
      </c>
      <c r="AP262" s="18"/>
      <c r="AQ262" s="18">
        <f>+VLOOKUP(AI262,Leyenda!$B$30:$E$34,3,FALSE)</f>
        <v>1</v>
      </c>
      <c r="AR262" s="18">
        <f>+VLOOKUP('3. Blasting'!AJ262,Meteorizacion,3,FALSE)</f>
        <v>1</v>
      </c>
      <c r="AS262" s="18">
        <f>+VLOOKUP('3. Blasting'!AK262,Apertura,3,FALSE)</f>
        <v>0</v>
      </c>
      <c r="AT262" s="18">
        <f>+VLOOKUP('3. Blasting'!AL262,Leyenda!$B$55:$D$59,3,FALSE)</f>
        <v>3</v>
      </c>
      <c r="AU262" s="18">
        <f>+VLOOKUP('3. Blasting'!AM262,Relleno,3,FALSE)</f>
        <v>2</v>
      </c>
      <c r="AV262" s="18">
        <f t="shared" si="103"/>
        <v>7</v>
      </c>
      <c r="AW262" s="49">
        <f t="shared" si="115"/>
        <v>0</v>
      </c>
      <c r="AX262" s="49">
        <f>VLOOKUP(AF262,Leyenda!$B$4:$D$10,3,FALSE)</f>
        <v>2</v>
      </c>
      <c r="AY262" s="49">
        <f t="shared" si="109"/>
        <v>5</v>
      </c>
      <c r="AZ262" s="49">
        <f t="shared" si="116"/>
        <v>7</v>
      </c>
      <c r="BA262" s="49">
        <f>VLOOKUP(AN262,Leyenda!$B$70:$D$75,3,FALSE)</f>
        <v>15</v>
      </c>
      <c r="BB262" s="67">
        <f t="shared" si="117"/>
        <v>10.5</v>
      </c>
      <c r="BC262" s="67">
        <f>VLOOKUP(AF262,Leyenda!$B$4:$E$10,4,FALSE)</f>
        <v>2</v>
      </c>
      <c r="BD262" s="67">
        <f t="shared" si="118"/>
        <v>9</v>
      </c>
      <c r="BE262" s="67">
        <f t="shared" si="119"/>
        <v>0</v>
      </c>
      <c r="BF262" s="67">
        <f>+VLOOKUP('3. Blasting'!AK262,Leyenda!$B$47:$E$51,4,FALSE)</f>
        <v>0</v>
      </c>
      <c r="BG262" s="67">
        <f>+VLOOKUP('3. Blasting'!AL262,Leyenda!$B$55:$E$59,4,FALSE)</f>
        <v>3</v>
      </c>
      <c r="BH262" s="67">
        <f>+VLOOKUP('3. Blasting'!AM262,Leyenda!$B$63:$E$67,3,FALSE)</f>
        <v>2</v>
      </c>
      <c r="BI262" s="67">
        <f>+VLOOKUP('3. Blasting'!AJ262,Leyenda!$B$39:$E$43,4,FALSE)</f>
        <v>1</v>
      </c>
      <c r="BJ262" s="67">
        <f>+VLOOKUP('3. Blasting'!AI262,Leyenda!$B$30:$E$34,4,FALSE)</f>
        <v>1</v>
      </c>
      <c r="BK262" s="67">
        <f>VLOOKUP(AN262,Leyenda!$B$71:$E$75,4,FALSE)</f>
        <v>10</v>
      </c>
      <c r="BL262" s="67">
        <f t="shared" si="120"/>
        <v>28</v>
      </c>
      <c r="BM262" s="18">
        <f t="shared" si="121"/>
        <v>29</v>
      </c>
      <c r="BN262" s="18" t="e">
        <f t="shared" si="104"/>
        <v>#N/A</v>
      </c>
      <c r="BO262" s="18"/>
      <c r="BP262" s="6">
        <f t="shared" si="122"/>
        <v>10</v>
      </c>
      <c r="BQ262" s="6">
        <f t="shared" si="123"/>
        <v>20</v>
      </c>
      <c r="BR262" s="6">
        <v>20</v>
      </c>
      <c r="BS262" s="6">
        <f t="shared" si="124"/>
        <v>-2.5</v>
      </c>
      <c r="BT262" s="6">
        <f t="shared" si="125"/>
        <v>0.52500000000000002</v>
      </c>
      <c r="BU262" s="6">
        <f t="shared" si="126"/>
        <v>24.012499999999999</v>
      </c>
      <c r="BV262" s="18">
        <f t="shared" si="110"/>
        <v>9.6049999999999996E-2</v>
      </c>
      <c r="BW262" s="18">
        <f t="shared" si="111"/>
        <v>0.18249499999999999</v>
      </c>
    </row>
    <row r="263" spans="1:75" hidden="1" x14ac:dyDescent="0.25">
      <c r="A263" s="18" t="s">
        <v>6</v>
      </c>
      <c r="B263" s="18">
        <v>2024</v>
      </c>
      <c r="C263" s="18" t="s">
        <v>138</v>
      </c>
      <c r="D263" s="18" t="s">
        <v>130</v>
      </c>
      <c r="E263" s="18">
        <v>30</v>
      </c>
      <c r="F263" s="18" t="s">
        <v>152</v>
      </c>
      <c r="G263" s="18" t="s">
        <v>159</v>
      </c>
      <c r="H263" s="4">
        <f t="shared" si="105"/>
        <v>14.5</v>
      </c>
      <c r="I263" s="4">
        <v>15</v>
      </c>
      <c r="J263" s="4">
        <f t="shared" si="112"/>
        <v>0.5</v>
      </c>
      <c r="K263" s="5">
        <v>1</v>
      </c>
      <c r="L263" s="31">
        <f t="shared" si="113"/>
        <v>0.5</v>
      </c>
      <c r="M263" s="105">
        <v>1.9</v>
      </c>
      <c r="N263" s="31">
        <v>10.5</v>
      </c>
      <c r="O263" s="31">
        <f t="shared" si="108"/>
        <v>0.5</v>
      </c>
      <c r="P263" s="31">
        <v>100</v>
      </c>
      <c r="Q263" s="31">
        <v>5</v>
      </c>
      <c r="R263" s="31">
        <v>0.4</v>
      </c>
      <c r="S263" s="31">
        <v>0.13</v>
      </c>
      <c r="T263" s="65">
        <f t="shared" si="102"/>
        <v>26</v>
      </c>
      <c r="U263" s="31">
        <v>6</v>
      </c>
      <c r="V263" s="31"/>
      <c r="W263" s="31">
        <f t="shared" si="106"/>
        <v>6</v>
      </c>
      <c r="X263" s="31">
        <f t="shared" si="107"/>
        <v>66.666666666666671</v>
      </c>
      <c r="Y263" s="31">
        <f t="shared" si="114"/>
        <v>6.6666666666666666E-2</v>
      </c>
      <c r="Z263" s="18">
        <v>28</v>
      </c>
      <c r="AA263" s="18" t="s">
        <v>330</v>
      </c>
      <c r="AB263" s="18" t="s">
        <v>118</v>
      </c>
      <c r="AC263" s="18" t="s">
        <v>337</v>
      </c>
      <c r="AD263" s="18">
        <v>5</v>
      </c>
      <c r="AE263" s="18">
        <v>100</v>
      </c>
      <c r="AF263" s="18" t="s">
        <v>29</v>
      </c>
      <c r="AG263" s="18" t="s">
        <v>196</v>
      </c>
      <c r="AH263" s="18" t="s">
        <v>196</v>
      </c>
      <c r="AI263" s="18" t="s">
        <v>66</v>
      </c>
      <c r="AJ263" s="18" t="s">
        <v>79</v>
      </c>
      <c r="AK263" s="18" t="s">
        <v>96</v>
      </c>
      <c r="AL263" s="18" t="s">
        <v>109</v>
      </c>
      <c r="AM263" s="18" t="s">
        <v>120</v>
      </c>
      <c r="AN263" s="18" t="s">
        <v>198</v>
      </c>
      <c r="AO263" s="18" t="s">
        <v>255</v>
      </c>
      <c r="AP263" s="18"/>
      <c r="AQ263" s="18">
        <f>+VLOOKUP(AI263,Leyenda!$B$30:$E$34,3,FALSE)</f>
        <v>1</v>
      </c>
      <c r="AR263" s="18">
        <f>+VLOOKUP('3. Blasting'!AJ263,Meteorizacion,3,FALSE)</f>
        <v>1</v>
      </c>
      <c r="AS263" s="18">
        <f>+VLOOKUP('3. Blasting'!AK263,Apertura,3,FALSE)</f>
        <v>1</v>
      </c>
      <c r="AT263" s="18">
        <f>+VLOOKUP('3. Blasting'!AL263,Leyenda!$B$55:$D$59,3,FALSE)</f>
        <v>1</v>
      </c>
      <c r="AU263" s="18">
        <f>+VLOOKUP('3. Blasting'!AM263,Relleno,3,FALSE)</f>
        <v>2</v>
      </c>
      <c r="AV263" s="18">
        <f t="shared" si="103"/>
        <v>6</v>
      </c>
      <c r="AW263" s="49">
        <f t="shared" si="115"/>
        <v>6</v>
      </c>
      <c r="AX263" s="49">
        <f>VLOOKUP(AF263,Leyenda!$B$4:$D$10,3,FALSE)</f>
        <v>2</v>
      </c>
      <c r="AY263" s="49">
        <f t="shared" si="109"/>
        <v>7</v>
      </c>
      <c r="AZ263" s="49">
        <f t="shared" si="116"/>
        <v>6</v>
      </c>
      <c r="BA263" s="49">
        <f>VLOOKUP(AN263,Leyenda!$B$70:$D$75,3,FALSE)</f>
        <v>15</v>
      </c>
      <c r="BB263" s="67">
        <f t="shared" si="117"/>
        <v>22</v>
      </c>
      <c r="BC263" s="67">
        <f>VLOOKUP(AF263,Leyenda!$B$4:$E$10,4,FALSE)</f>
        <v>2</v>
      </c>
      <c r="BD263" s="67">
        <f t="shared" si="118"/>
        <v>6</v>
      </c>
      <c r="BE263" s="67">
        <f t="shared" si="119"/>
        <v>6</v>
      </c>
      <c r="BF263" s="67">
        <f>+VLOOKUP('3. Blasting'!AK263,Leyenda!$B$47:$E$51,4,FALSE)</f>
        <v>1</v>
      </c>
      <c r="BG263" s="67">
        <f>+VLOOKUP('3. Blasting'!AL263,Leyenda!$B$55:$E$59,4,FALSE)</f>
        <v>1</v>
      </c>
      <c r="BH263" s="67">
        <f>+VLOOKUP('3. Blasting'!AM263,Leyenda!$B$63:$E$67,3,FALSE)</f>
        <v>2</v>
      </c>
      <c r="BI263" s="67">
        <f>+VLOOKUP('3. Blasting'!AJ263,Leyenda!$B$39:$E$43,4,FALSE)</f>
        <v>1</v>
      </c>
      <c r="BJ263" s="67">
        <f>+VLOOKUP('3. Blasting'!AI263,Leyenda!$B$30:$E$34,4,FALSE)</f>
        <v>1</v>
      </c>
      <c r="BK263" s="67">
        <f>VLOOKUP(AN263,Leyenda!$B$71:$E$75,4,FALSE)</f>
        <v>10</v>
      </c>
      <c r="BL263" s="67">
        <f t="shared" si="120"/>
        <v>30</v>
      </c>
      <c r="BM263" s="18">
        <f t="shared" si="121"/>
        <v>36</v>
      </c>
      <c r="BN263" s="18" t="e">
        <f t="shared" si="104"/>
        <v>#N/A</v>
      </c>
      <c r="BO263" s="18"/>
      <c r="BP263" s="6">
        <f t="shared" si="122"/>
        <v>20</v>
      </c>
      <c r="BQ263" s="6">
        <f t="shared" si="123"/>
        <v>10</v>
      </c>
      <c r="BR263" s="6">
        <v>20</v>
      </c>
      <c r="BS263" s="6">
        <f t="shared" si="124"/>
        <v>-2.5</v>
      </c>
      <c r="BT263" s="6">
        <f t="shared" si="125"/>
        <v>0.52500000000000002</v>
      </c>
      <c r="BU263" s="6">
        <f t="shared" si="126"/>
        <v>24.012499999999999</v>
      </c>
      <c r="BV263" s="18">
        <f t="shared" si="110"/>
        <v>9.6049999999999996E-2</v>
      </c>
      <c r="BW263" s="18">
        <f t="shared" si="111"/>
        <v>0.18249499999999999</v>
      </c>
    </row>
    <row r="264" spans="1:75" hidden="1" x14ac:dyDescent="0.25">
      <c r="A264" s="18" t="s">
        <v>6</v>
      </c>
      <c r="B264" s="18">
        <v>2024</v>
      </c>
      <c r="C264" s="18" t="s">
        <v>138</v>
      </c>
      <c r="D264" s="18" t="s">
        <v>130</v>
      </c>
      <c r="E264" s="18">
        <v>30</v>
      </c>
      <c r="F264" s="18" t="s">
        <v>152</v>
      </c>
      <c r="G264" s="18" t="s">
        <v>159</v>
      </c>
      <c r="H264" s="4">
        <f t="shared" si="105"/>
        <v>15</v>
      </c>
      <c r="I264" s="4">
        <v>15.5</v>
      </c>
      <c r="J264" s="4">
        <f t="shared" si="112"/>
        <v>0.5</v>
      </c>
      <c r="K264" s="5">
        <v>1</v>
      </c>
      <c r="L264" s="31">
        <f t="shared" si="113"/>
        <v>0.5</v>
      </c>
      <c r="M264" s="105">
        <v>1.9</v>
      </c>
      <c r="N264" s="31">
        <v>10.5</v>
      </c>
      <c r="O264" s="31">
        <f t="shared" si="108"/>
        <v>0.5</v>
      </c>
      <c r="P264" s="31">
        <v>25</v>
      </c>
      <c r="Q264" s="31">
        <v>20</v>
      </c>
      <c r="R264" s="31">
        <v>0.5</v>
      </c>
      <c r="S264" s="31">
        <v>0.1</v>
      </c>
      <c r="T264" s="65">
        <f t="shared" si="102"/>
        <v>20</v>
      </c>
      <c r="U264" s="31">
        <v>6</v>
      </c>
      <c r="V264" s="31"/>
      <c r="W264" s="31">
        <f t="shared" si="106"/>
        <v>6</v>
      </c>
      <c r="X264" s="31">
        <f t="shared" si="107"/>
        <v>83.333333333333329</v>
      </c>
      <c r="Y264" s="31">
        <f t="shared" si="114"/>
        <v>8.3333333333333329E-2</v>
      </c>
      <c r="Z264" s="18">
        <v>0</v>
      </c>
      <c r="AA264" s="18" t="s">
        <v>330</v>
      </c>
      <c r="AB264" s="18" t="s">
        <v>333</v>
      </c>
      <c r="AC264" s="18" t="s">
        <v>337</v>
      </c>
      <c r="AD264" s="18">
        <v>20</v>
      </c>
      <c r="AE264" s="18">
        <v>25</v>
      </c>
      <c r="AF264" s="18" t="s">
        <v>29</v>
      </c>
      <c r="AG264" s="18" t="s">
        <v>196</v>
      </c>
      <c r="AH264" s="18" t="s">
        <v>196</v>
      </c>
      <c r="AI264" s="18" t="s">
        <v>66</v>
      </c>
      <c r="AJ264" s="18" t="s">
        <v>79</v>
      </c>
      <c r="AK264" s="18" t="s">
        <v>96</v>
      </c>
      <c r="AL264" s="18" t="s">
        <v>109</v>
      </c>
      <c r="AM264" s="18" t="s">
        <v>120</v>
      </c>
      <c r="AN264" s="18" t="s">
        <v>198</v>
      </c>
      <c r="AO264" s="18" t="s">
        <v>252</v>
      </c>
      <c r="AP264" s="18"/>
      <c r="AQ264" s="18">
        <f>+VLOOKUP(AI264,Leyenda!$B$30:$E$34,3,FALSE)</f>
        <v>1</v>
      </c>
      <c r="AR264" s="18">
        <f>+VLOOKUP('3. Blasting'!AJ264,Meteorizacion,3,FALSE)</f>
        <v>1</v>
      </c>
      <c r="AS264" s="18">
        <f>+VLOOKUP('3. Blasting'!AK264,Apertura,3,FALSE)</f>
        <v>1</v>
      </c>
      <c r="AT264" s="18">
        <f>+VLOOKUP('3. Blasting'!AL264,Leyenda!$B$55:$D$59,3,FALSE)</f>
        <v>1</v>
      </c>
      <c r="AU264" s="18">
        <f>+VLOOKUP('3. Blasting'!AM264,Relleno,3,FALSE)</f>
        <v>2</v>
      </c>
      <c r="AV264" s="18">
        <f t="shared" si="103"/>
        <v>6</v>
      </c>
      <c r="AW264" s="49">
        <f t="shared" si="115"/>
        <v>0</v>
      </c>
      <c r="AX264" s="49">
        <f>VLOOKUP(AF264,Leyenda!$B$4:$D$10,3,FALSE)</f>
        <v>2</v>
      </c>
      <c r="AY264" s="49">
        <f t="shared" si="109"/>
        <v>5</v>
      </c>
      <c r="AZ264" s="49">
        <f t="shared" si="116"/>
        <v>6</v>
      </c>
      <c r="BA264" s="49">
        <f>VLOOKUP(AN264,Leyenda!$B$70:$D$75,3,FALSE)</f>
        <v>15</v>
      </c>
      <c r="BB264" s="67">
        <f t="shared" si="117"/>
        <v>19</v>
      </c>
      <c r="BC264" s="67">
        <f>VLOOKUP(AF264,Leyenda!$B$4:$E$10,4,FALSE)</f>
        <v>2</v>
      </c>
      <c r="BD264" s="67">
        <f t="shared" si="118"/>
        <v>7</v>
      </c>
      <c r="BE264" s="67">
        <f t="shared" si="119"/>
        <v>4</v>
      </c>
      <c r="BF264" s="67">
        <f>+VLOOKUP('3. Blasting'!AK264,Leyenda!$B$47:$E$51,4,FALSE)</f>
        <v>1</v>
      </c>
      <c r="BG264" s="67">
        <f>+VLOOKUP('3. Blasting'!AL264,Leyenda!$B$55:$E$59,4,FALSE)</f>
        <v>1</v>
      </c>
      <c r="BH264" s="67">
        <f>+VLOOKUP('3. Blasting'!AM264,Leyenda!$B$63:$E$67,3,FALSE)</f>
        <v>2</v>
      </c>
      <c r="BI264" s="67">
        <f>+VLOOKUP('3. Blasting'!AJ264,Leyenda!$B$39:$E$43,4,FALSE)</f>
        <v>1</v>
      </c>
      <c r="BJ264" s="67">
        <f>+VLOOKUP('3. Blasting'!AI264,Leyenda!$B$30:$E$34,4,FALSE)</f>
        <v>1</v>
      </c>
      <c r="BK264" s="67">
        <f>VLOOKUP(AN264,Leyenda!$B$71:$E$75,4,FALSE)</f>
        <v>10</v>
      </c>
      <c r="BL264" s="67">
        <f t="shared" si="120"/>
        <v>29</v>
      </c>
      <c r="BM264" s="18">
        <f t="shared" si="121"/>
        <v>28</v>
      </c>
      <c r="BN264" s="18" t="e">
        <f t="shared" si="104"/>
        <v>#N/A</v>
      </c>
      <c r="BO264" s="18"/>
      <c r="BP264" s="6">
        <f t="shared" si="122"/>
        <v>10</v>
      </c>
      <c r="BQ264" s="6">
        <f t="shared" si="123"/>
        <v>10</v>
      </c>
      <c r="BR264" s="6">
        <v>20</v>
      </c>
      <c r="BS264" s="6">
        <f t="shared" si="124"/>
        <v>-2.5</v>
      </c>
      <c r="BT264" s="6">
        <f t="shared" si="125"/>
        <v>0.52500000000000002</v>
      </c>
      <c r="BU264" s="6">
        <f t="shared" si="126"/>
        <v>19.012499999999999</v>
      </c>
      <c r="BV264" s="18">
        <f t="shared" si="110"/>
        <v>7.6049999999999993E-2</v>
      </c>
      <c r="BW264" s="18">
        <f t="shared" si="111"/>
        <v>0.14449499999999998</v>
      </c>
    </row>
    <row r="265" spans="1:75" hidden="1" x14ac:dyDescent="0.25">
      <c r="A265" s="18" t="s">
        <v>6</v>
      </c>
      <c r="B265" s="18">
        <v>2024</v>
      </c>
      <c r="C265" s="18" t="s">
        <v>138</v>
      </c>
      <c r="D265" s="18" t="s">
        <v>130</v>
      </c>
      <c r="E265" s="18">
        <v>30</v>
      </c>
      <c r="F265" s="18" t="s">
        <v>152</v>
      </c>
      <c r="G265" s="18" t="s">
        <v>159</v>
      </c>
      <c r="H265" s="4">
        <f t="shared" si="105"/>
        <v>15.5</v>
      </c>
      <c r="I265" s="4">
        <v>16</v>
      </c>
      <c r="J265" s="4">
        <f t="shared" si="112"/>
        <v>0.5</v>
      </c>
      <c r="K265" s="5">
        <v>1</v>
      </c>
      <c r="L265" s="31">
        <f t="shared" si="113"/>
        <v>0.5</v>
      </c>
      <c r="M265" s="105">
        <v>1.9</v>
      </c>
      <c r="N265" s="31">
        <v>10.5</v>
      </c>
      <c r="O265" s="31">
        <f t="shared" si="108"/>
        <v>0.5</v>
      </c>
      <c r="P265" s="31">
        <v>25</v>
      </c>
      <c r="Q265" s="31">
        <v>20</v>
      </c>
      <c r="R265" s="31">
        <v>0.37</v>
      </c>
      <c r="S265" s="31">
        <v>0</v>
      </c>
      <c r="T265" s="65">
        <f t="shared" si="102"/>
        <v>0</v>
      </c>
      <c r="U265" s="31">
        <v>8</v>
      </c>
      <c r="V265" s="31"/>
      <c r="W265" s="31">
        <f t="shared" si="106"/>
        <v>8</v>
      </c>
      <c r="X265" s="31">
        <f t="shared" si="107"/>
        <v>46.25</v>
      </c>
      <c r="Y265" s="31">
        <f t="shared" si="114"/>
        <v>4.6249999999999999E-2</v>
      </c>
      <c r="Z265" s="18">
        <v>0</v>
      </c>
      <c r="AA265" s="18" t="s">
        <v>330</v>
      </c>
      <c r="AB265" s="18" t="s">
        <v>333</v>
      </c>
      <c r="AC265" s="18" t="s">
        <v>337</v>
      </c>
      <c r="AD265" s="18">
        <v>20</v>
      </c>
      <c r="AE265" s="18">
        <v>25</v>
      </c>
      <c r="AF265" s="18" t="s">
        <v>29</v>
      </c>
      <c r="AG265" s="18" t="s">
        <v>196</v>
      </c>
      <c r="AH265" s="18" t="s">
        <v>196</v>
      </c>
      <c r="AI265" s="18" t="s">
        <v>66</v>
      </c>
      <c r="AJ265" s="18" t="s">
        <v>79</v>
      </c>
      <c r="AK265" s="18" t="s">
        <v>96</v>
      </c>
      <c r="AL265" s="18" t="s">
        <v>107</v>
      </c>
      <c r="AM265" s="18" t="s">
        <v>120</v>
      </c>
      <c r="AN265" s="18" t="s">
        <v>198</v>
      </c>
      <c r="AO265" s="18" t="s">
        <v>252</v>
      </c>
      <c r="AP265" s="18"/>
      <c r="AQ265" s="18">
        <f>+VLOOKUP(AI265,Leyenda!$B$30:$E$34,3,FALSE)</f>
        <v>1</v>
      </c>
      <c r="AR265" s="18">
        <f>+VLOOKUP('3. Blasting'!AJ265,Meteorizacion,3,FALSE)</f>
        <v>1</v>
      </c>
      <c r="AS265" s="18">
        <f>+VLOOKUP('3. Blasting'!AK265,Apertura,3,FALSE)</f>
        <v>1</v>
      </c>
      <c r="AT265" s="18">
        <f>+VLOOKUP('3. Blasting'!AL265,Leyenda!$B$55:$D$59,3,FALSE)</f>
        <v>3</v>
      </c>
      <c r="AU265" s="18">
        <f>+VLOOKUP('3. Blasting'!AM265,Relleno,3,FALSE)</f>
        <v>2</v>
      </c>
      <c r="AV265" s="18">
        <f t="shared" si="103"/>
        <v>8</v>
      </c>
      <c r="AW265" s="49">
        <f t="shared" si="115"/>
        <v>0</v>
      </c>
      <c r="AX265" s="49">
        <f>VLOOKUP(AF265,Leyenda!$B$4:$D$10,3,FALSE)</f>
        <v>2</v>
      </c>
      <c r="AY265" s="49">
        <f t="shared" si="109"/>
        <v>5</v>
      </c>
      <c r="AZ265" s="49">
        <f t="shared" si="116"/>
        <v>8</v>
      </c>
      <c r="BA265" s="49">
        <f>VLOOKUP(AN265,Leyenda!$B$70:$D$75,3,FALSE)</f>
        <v>15</v>
      </c>
      <c r="BB265" s="67">
        <f t="shared" si="117"/>
        <v>12</v>
      </c>
      <c r="BC265" s="67">
        <f>VLOOKUP(AF265,Leyenda!$B$4:$E$10,4,FALSE)</f>
        <v>2</v>
      </c>
      <c r="BD265" s="67">
        <f t="shared" si="118"/>
        <v>5</v>
      </c>
      <c r="BE265" s="67">
        <f t="shared" si="119"/>
        <v>0</v>
      </c>
      <c r="BF265" s="67">
        <f>+VLOOKUP('3. Blasting'!AK265,Leyenda!$B$47:$E$51,4,FALSE)</f>
        <v>1</v>
      </c>
      <c r="BG265" s="67">
        <f>+VLOOKUP('3. Blasting'!AL265,Leyenda!$B$55:$E$59,4,FALSE)</f>
        <v>3</v>
      </c>
      <c r="BH265" s="67">
        <f>+VLOOKUP('3. Blasting'!AM265,Leyenda!$B$63:$E$67,3,FALSE)</f>
        <v>2</v>
      </c>
      <c r="BI265" s="67">
        <f>+VLOOKUP('3. Blasting'!AJ265,Leyenda!$B$39:$E$43,4,FALSE)</f>
        <v>1</v>
      </c>
      <c r="BJ265" s="67">
        <f>+VLOOKUP('3. Blasting'!AI265,Leyenda!$B$30:$E$34,4,FALSE)</f>
        <v>1</v>
      </c>
      <c r="BK265" s="67">
        <f>VLOOKUP(AN265,Leyenda!$B$71:$E$75,4,FALSE)</f>
        <v>10</v>
      </c>
      <c r="BL265" s="67">
        <f t="shared" si="120"/>
        <v>25</v>
      </c>
      <c r="BM265" s="18">
        <f t="shared" si="121"/>
        <v>30</v>
      </c>
      <c r="BN265" s="18" t="e">
        <f t="shared" si="104"/>
        <v>#N/A</v>
      </c>
      <c r="BO265" s="18"/>
      <c r="BP265" s="6">
        <f t="shared" si="122"/>
        <v>10</v>
      </c>
      <c r="BQ265" s="6">
        <f t="shared" si="123"/>
        <v>10</v>
      </c>
      <c r="BR265" s="6">
        <v>20</v>
      </c>
      <c r="BS265" s="6">
        <f t="shared" si="124"/>
        <v>-2.5</v>
      </c>
      <c r="BT265" s="6">
        <f t="shared" si="125"/>
        <v>0.52500000000000002</v>
      </c>
      <c r="BU265" s="6">
        <f t="shared" si="126"/>
        <v>19.012499999999999</v>
      </c>
      <c r="BV265" s="18">
        <f t="shared" si="110"/>
        <v>7.6049999999999993E-2</v>
      </c>
      <c r="BW265" s="18">
        <f t="shared" si="111"/>
        <v>0.14449499999999998</v>
      </c>
    </row>
    <row r="266" spans="1:75" hidden="1" x14ac:dyDescent="0.25">
      <c r="A266" s="18" t="s">
        <v>6</v>
      </c>
      <c r="B266" s="18">
        <v>2024</v>
      </c>
      <c r="C266" s="18" t="s">
        <v>138</v>
      </c>
      <c r="D266" s="18" t="s">
        <v>130</v>
      </c>
      <c r="E266" s="18">
        <v>30</v>
      </c>
      <c r="F266" s="18" t="s">
        <v>152</v>
      </c>
      <c r="G266" s="18" t="s">
        <v>159</v>
      </c>
      <c r="H266" s="4">
        <f t="shared" si="105"/>
        <v>16</v>
      </c>
      <c r="I266" s="4">
        <v>16.5</v>
      </c>
      <c r="J266" s="4">
        <f t="shared" si="112"/>
        <v>0.5</v>
      </c>
      <c r="K266" s="5">
        <v>1</v>
      </c>
      <c r="L266" s="31">
        <f t="shared" si="113"/>
        <v>0.5</v>
      </c>
      <c r="M266" s="105">
        <v>1.9</v>
      </c>
      <c r="N266" s="31">
        <v>10.5</v>
      </c>
      <c r="O266" s="31">
        <f t="shared" si="108"/>
        <v>0.5</v>
      </c>
      <c r="P266" s="31">
        <v>25</v>
      </c>
      <c r="Q266" s="31">
        <v>20</v>
      </c>
      <c r="R266" s="31">
        <v>0.38</v>
      </c>
      <c r="S266" s="31">
        <v>0</v>
      </c>
      <c r="T266" s="65">
        <f t="shared" si="102"/>
        <v>0</v>
      </c>
      <c r="U266" s="31">
        <v>7</v>
      </c>
      <c r="V266" s="31"/>
      <c r="W266" s="31">
        <f t="shared" si="106"/>
        <v>7</v>
      </c>
      <c r="X266" s="31">
        <f t="shared" si="107"/>
        <v>54.285714285714285</v>
      </c>
      <c r="Y266" s="31">
        <f t="shared" si="114"/>
        <v>5.4285714285714284E-2</v>
      </c>
      <c r="Z266" s="18">
        <v>0</v>
      </c>
      <c r="AA266" s="18" t="s">
        <v>330</v>
      </c>
      <c r="AB266" s="18" t="s">
        <v>333</v>
      </c>
      <c r="AC266" s="18" t="s">
        <v>337</v>
      </c>
      <c r="AD266" s="18">
        <v>20</v>
      </c>
      <c r="AE266" s="18">
        <v>25</v>
      </c>
      <c r="AF266" s="18" t="s">
        <v>29</v>
      </c>
      <c r="AG266" s="18" t="s">
        <v>196</v>
      </c>
      <c r="AH266" s="18" t="s">
        <v>196</v>
      </c>
      <c r="AI266" s="18" t="s">
        <v>66</v>
      </c>
      <c r="AJ266" s="18" t="s">
        <v>79</v>
      </c>
      <c r="AK266" s="18" t="s">
        <v>96</v>
      </c>
      <c r="AL266" s="18" t="s">
        <v>107</v>
      </c>
      <c r="AM266" s="18" t="s">
        <v>120</v>
      </c>
      <c r="AN266" s="18" t="s">
        <v>198</v>
      </c>
      <c r="AO266" s="18"/>
      <c r="AP266" s="18"/>
      <c r="AQ266" s="18">
        <f>+VLOOKUP(AI266,Leyenda!$B$30:$E$34,3,FALSE)</f>
        <v>1</v>
      </c>
      <c r="AR266" s="18">
        <f>+VLOOKUP('3. Blasting'!AJ266,Meteorizacion,3,FALSE)</f>
        <v>1</v>
      </c>
      <c r="AS266" s="18">
        <f>+VLOOKUP('3. Blasting'!AK266,Apertura,3,FALSE)</f>
        <v>1</v>
      </c>
      <c r="AT266" s="18">
        <f>+VLOOKUP('3. Blasting'!AL266,Leyenda!$B$55:$D$59,3,FALSE)</f>
        <v>3</v>
      </c>
      <c r="AU266" s="18">
        <f>+VLOOKUP('3. Blasting'!AM266,Relleno,3,FALSE)</f>
        <v>2</v>
      </c>
      <c r="AV266" s="18">
        <f t="shared" si="103"/>
        <v>8</v>
      </c>
      <c r="AW266" s="49">
        <f t="shared" si="115"/>
        <v>0</v>
      </c>
      <c r="AX266" s="49">
        <f>VLOOKUP(AF266,Leyenda!$B$4:$D$10,3,FALSE)</f>
        <v>2</v>
      </c>
      <c r="AY266" s="49">
        <f t="shared" si="109"/>
        <v>5</v>
      </c>
      <c r="AZ266" s="49">
        <f t="shared" si="116"/>
        <v>8</v>
      </c>
      <c r="BA266" s="49">
        <f>VLOOKUP(AN266,Leyenda!$B$70:$D$75,3,FALSE)</f>
        <v>15</v>
      </c>
      <c r="BB266" s="67">
        <f t="shared" si="117"/>
        <v>12</v>
      </c>
      <c r="BC266" s="67">
        <f>VLOOKUP(AF266,Leyenda!$B$4:$E$10,4,FALSE)</f>
        <v>2</v>
      </c>
      <c r="BD266" s="67">
        <f t="shared" si="118"/>
        <v>4</v>
      </c>
      <c r="BE266" s="67">
        <f t="shared" si="119"/>
        <v>0</v>
      </c>
      <c r="BF266" s="67">
        <f>+VLOOKUP('3. Blasting'!AK266,Leyenda!$B$47:$E$51,4,FALSE)</f>
        <v>1</v>
      </c>
      <c r="BG266" s="67">
        <f>+VLOOKUP('3. Blasting'!AL266,Leyenda!$B$55:$E$59,4,FALSE)</f>
        <v>3</v>
      </c>
      <c r="BH266" s="67">
        <f>+VLOOKUP('3. Blasting'!AM266,Leyenda!$B$63:$E$67,3,FALSE)</f>
        <v>2</v>
      </c>
      <c r="BI266" s="67">
        <f>+VLOOKUP('3. Blasting'!AJ266,Leyenda!$B$39:$E$43,4,FALSE)</f>
        <v>1</v>
      </c>
      <c r="BJ266" s="67">
        <f>+VLOOKUP('3. Blasting'!AI266,Leyenda!$B$30:$E$34,4,FALSE)</f>
        <v>1</v>
      </c>
      <c r="BK266" s="67">
        <f>VLOOKUP(AN266,Leyenda!$B$71:$E$75,4,FALSE)</f>
        <v>10</v>
      </c>
      <c r="BL266" s="67">
        <f t="shared" si="120"/>
        <v>24</v>
      </c>
      <c r="BM266" s="18">
        <f t="shared" si="121"/>
        <v>30</v>
      </c>
      <c r="BN266" s="18" t="e">
        <f t="shared" si="104"/>
        <v>#N/A</v>
      </c>
      <c r="BO266" s="18"/>
      <c r="BP266" s="6">
        <f t="shared" si="122"/>
        <v>10</v>
      </c>
      <c r="BQ266" s="6">
        <f t="shared" si="123"/>
        <v>10</v>
      </c>
      <c r="BR266" s="6">
        <v>20</v>
      </c>
      <c r="BS266" s="6">
        <f t="shared" si="124"/>
        <v>-2.5</v>
      </c>
      <c r="BT266" s="6">
        <f t="shared" si="125"/>
        <v>0.52500000000000002</v>
      </c>
      <c r="BU266" s="6">
        <f t="shared" si="126"/>
        <v>19.012499999999999</v>
      </c>
      <c r="BV266" s="18">
        <f t="shared" si="110"/>
        <v>7.6049999999999993E-2</v>
      </c>
      <c r="BW266" s="18">
        <f t="shared" si="111"/>
        <v>0.14449499999999998</v>
      </c>
    </row>
    <row r="267" spans="1:75" hidden="1" x14ac:dyDescent="0.25">
      <c r="A267" s="18" t="s">
        <v>6</v>
      </c>
      <c r="B267" s="18">
        <v>2024</v>
      </c>
      <c r="C267" s="18" t="s">
        <v>138</v>
      </c>
      <c r="D267" s="18" t="s">
        <v>130</v>
      </c>
      <c r="E267" s="18">
        <v>30</v>
      </c>
      <c r="F267" s="18" t="s">
        <v>152</v>
      </c>
      <c r="G267" s="18" t="s">
        <v>159</v>
      </c>
      <c r="H267" s="4">
        <f t="shared" si="105"/>
        <v>16.5</v>
      </c>
      <c r="I267" s="4">
        <v>17</v>
      </c>
      <c r="J267" s="4">
        <f t="shared" si="112"/>
        <v>0.5</v>
      </c>
      <c r="K267" s="5">
        <v>1</v>
      </c>
      <c r="L267" s="31">
        <f t="shared" si="113"/>
        <v>0.5</v>
      </c>
      <c r="M267" s="105">
        <v>1.9</v>
      </c>
      <c r="N267" s="31">
        <v>10.5</v>
      </c>
      <c r="O267" s="31">
        <f t="shared" si="108"/>
        <v>0.5</v>
      </c>
      <c r="P267" s="31">
        <v>100</v>
      </c>
      <c r="Q267" s="31">
        <v>5</v>
      </c>
      <c r="R267" s="31">
        <v>0.46</v>
      </c>
      <c r="S267" s="31">
        <v>0.24</v>
      </c>
      <c r="T267" s="65">
        <f t="shared" ref="T267:T330" si="127">+S267/J267*100</f>
        <v>48</v>
      </c>
      <c r="U267" s="31">
        <v>4</v>
      </c>
      <c r="V267" s="31"/>
      <c r="W267" s="31">
        <f t="shared" si="106"/>
        <v>4</v>
      </c>
      <c r="X267" s="31">
        <f t="shared" si="107"/>
        <v>115</v>
      </c>
      <c r="Y267" s="31">
        <f t="shared" si="114"/>
        <v>0.115</v>
      </c>
      <c r="Z267" s="18">
        <v>54</v>
      </c>
      <c r="AA267" s="18" t="s">
        <v>330</v>
      </c>
      <c r="AB267" s="18" t="s">
        <v>118</v>
      </c>
      <c r="AC267" s="18" t="s">
        <v>337</v>
      </c>
      <c r="AD267" s="18">
        <v>5</v>
      </c>
      <c r="AE267" s="18">
        <v>100</v>
      </c>
      <c r="AF267" s="18" t="s">
        <v>29</v>
      </c>
      <c r="AG267" s="18" t="s">
        <v>196</v>
      </c>
      <c r="AH267" s="18" t="s">
        <v>196</v>
      </c>
      <c r="AI267" s="18" t="s">
        <v>66</v>
      </c>
      <c r="AJ267" s="18" t="s">
        <v>79</v>
      </c>
      <c r="AK267" s="18" t="s">
        <v>96</v>
      </c>
      <c r="AL267" s="18" t="s">
        <v>109</v>
      </c>
      <c r="AM267" s="18" t="s">
        <v>120</v>
      </c>
      <c r="AN267" s="18" t="s">
        <v>198</v>
      </c>
      <c r="AO267" s="18" t="s">
        <v>253</v>
      </c>
      <c r="AP267" s="18"/>
      <c r="AQ267" s="18">
        <f>+VLOOKUP(AI267,Leyenda!$B$30:$E$34,3,FALSE)</f>
        <v>1</v>
      </c>
      <c r="AR267" s="18">
        <f>+VLOOKUP('3. Blasting'!AJ267,Meteorizacion,3,FALSE)</f>
        <v>1</v>
      </c>
      <c r="AS267" s="18">
        <f>+VLOOKUP('3. Blasting'!AK267,Apertura,3,FALSE)</f>
        <v>1</v>
      </c>
      <c r="AT267" s="18">
        <f>+VLOOKUP('3. Blasting'!AL267,Leyenda!$B$55:$D$59,3,FALSE)</f>
        <v>1</v>
      </c>
      <c r="AU267" s="18">
        <f>+VLOOKUP('3. Blasting'!AM267,Relleno,3,FALSE)</f>
        <v>2</v>
      </c>
      <c r="AV267" s="18">
        <f t="shared" ref="AV267:AV330" si="128">+SUM(AQ267:AU267)</f>
        <v>6</v>
      </c>
      <c r="AW267" s="49">
        <f t="shared" si="115"/>
        <v>11</v>
      </c>
      <c r="AX267" s="49">
        <f>VLOOKUP(AF267,Leyenda!$B$4:$D$10,3,FALSE)</f>
        <v>2</v>
      </c>
      <c r="AY267" s="49">
        <f t="shared" si="109"/>
        <v>7</v>
      </c>
      <c r="AZ267" s="49">
        <f t="shared" si="116"/>
        <v>6</v>
      </c>
      <c r="BA267" s="49">
        <f>VLOOKUP(AN267,Leyenda!$B$70:$D$75,3,FALSE)</f>
        <v>15</v>
      </c>
      <c r="BB267" s="67">
        <f t="shared" si="117"/>
        <v>33</v>
      </c>
      <c r="BC267" s="67">
        <f>VLOOKUP(AF267,Leyenda!$B$4:$E$10,4,FALSE)</f>
        <v>2</v>
      </c>
      <c r="BD267" s="67">
        <f t="shared" si="118"/>
        <v>9</v>
      </c>
      <c r="BE267" s="67">
        <f t="shared" si="119"/>
        <v>10</v>
      </c>
      <c r="BF267" s="67">
        <f>+VLOOKUP('3. Blasting'!AK267,Leyenda!$B$47:$E$51,4,FALSE)</f>
        <v>1</v>
      </c>
      <c r="BG267" s="67">
        <f>+VLOOKUP('3. Blasting'!AL267,Leyenda!$B$55:$E$59,4,FALSE)</f>
        <v>1</v>
      </c>
      <c r="BH267" s="67">
        <f>+VLOOKUP('3. Blasting'!AM267,Leyenda!$B$63:$E$67,3,FALSE)</f>
        <v>2</v>
      </c>
      <c r="BI267" s="67">
        <f>+VLOOKUP('3. Blasting'!AJ267,Leyenda!$B$39:$E$43,4,FALSE)</f>
        <v>1</v>
      </c>
      <c r="BJ267" s="67">
        <f>+VLOOKUP('3. Blasting'!AI267,Leyenda!$B$30:$E$34,4,FALSE)</f>
        <v>1</v>
      </c>
      <c r="BK267" s="67">
        <f>VLOOKUP(AN267,Leyenda!$B$71:$E$75,4,FALSE)</f>
        <v>10</v>
      </c>
      <c r="BL267" s="67">
        <f t="shared" si="120"/>
        <v>37</v>
      </c>
      <c r="BM267" s="18">
        <f t="shared" si="121"/>
        <v>41</v>
      </c>
      <c r="BN267" s="18" t="e">
        <f t="shared" si="104"/>
        <v>#N/A</v>
      </c>
      <c r="BO267" s="18"/>
      <c r="BP267" s="6">
        <f t="shared" si="122"/>
        <v>20</v>
      </c>
      <c r="BQ267" s="6">
        <f t="shared" si="123"/>
        <v>20</v>
      </c>
      <c r="BR267" s="6">
        <v>20</v>
      </c>
      <c r="BS267" s="6">
        <f t="shared" si="124"/>
        <v>-2.5</v>
      </c>
      <c r="BT267" s="6">
        <f t="shared" si="125"/>
        <v>0.52500000000000002</v>
      </c>
      <c r="BU267" s="6">
        <f t="shared" si="126"/>
        <v>29.012499999999999</v>
      </c>
      <c r="BV267" s="18">
        <f t="shared" si="110"/>
        <v>0.11605</v>
      </c>
      <c r="BW267" s="18">
        <f t="shared" si="111"/>
        <v>0.220495</v>
      </c>
    </row>
    <row r="268" spans="1:75" hidden="1" x14ac:dyDescent="0.25">
      <c r="A268" s="18" t="s">
        <v>6</v>
      </c>
      <c r="B268" s="18">
        <v>2024</v>
      </c>
      <c r="C268" s="18" t="s">
        <v>138</v>
      </c>
      <c r="D268" s="18" t="s">
        <v>130</v>
      </c>
      <c r="E268" s="18">
        <v>30</v>
      </c>
      <c r="F268" s="18" t="s">
        <v>152</v>
      </c>
      <c r="G268" s="18" t="s">
        <v>159</v>
      </c>
      <c r="H268" s="4">
        <f t="shared" si="105"/>
        <v>17</v>
      </c>
      <c r="I268" s="4">
        <v>17.5</v>
      </c>
      <c r="J268" s="4">
        <f t="shared" si="112"/>
        <v>0.5</v>
      </c>
      <c r="K268" s="5">
        <v>1</v>
      </c>
      <c r="L268" s="31">
        <f t="shared" si="113"/>
        <v>0.5</v>
      </c>
      <c r="M268" s="105">
        <v>1.9</v>
      </c>
      <c r="N268" s="31">
        <v>10.5</v>
      </c>
      <c r="O268" s="31">
        <f t="shared" si="108"/>
        <v>0.5</v>
      </c>
      <c r="P268" s="31">
        <v>25</v>
      </c>
      <c r="Q268" s="31">
        <v>20</v>
      </c>
      <c r="R268" s="31">
        <v>0.37</v>
      </c>
      <c r="S268" s="31">
        <v>0</v>
      </c>
      <c r="T268" s="65">
        <f t="shared" si="127"/>
        <v>0</v>
      </c>
      <c r="U268" s="31">
        <v>6</v>
      </c>
      <c r="V268" s="31"/>
      <c r="W268" s="31">
        <f t="shared" si="106"/>
        <v>6</v>
      </c>
      <c r="X268" s="31">
        <f t="shared" si="107"/>
        <v>61.666666666666664</v>
      </c>
      <c r="Y268" s="31">
        <f t="shared" si="114"/>
        <v>6.1666666666666661E-2</v>
      </c>
      <c r="Z268" s="18">
        <v>0</v>
      </c>
      <c r="AA268" s="18" t="s">
        <v>330</v>
      </c>
      <c r="AB268" s="18" t="s">
        <v>333</v>
      </c>
      <c r="AC268" s="18" t="s">
        <v>337</v>
      </c>
      <c r="AD268" s="18">
        <v>20</v>
      </c>
      <c r="AE268" s="18">
        <v>25</v>
      </c>
      <c r="AF268" s="18" t="s">
        <v>29</v>
      </c>
      <c r="AG268" s="18" t="s">
        <v>196</v>
      </c>
      <c r="AH268" s="18" t="s">
        <v>196</v>
      </c>
      <c r="AI268" s="18" t="s">
        <v>66</v>
      </c>
      <c r="AJ268" s="18" t="s">
        <v>79</v>
      </c>
      <c r="AK268" s="18" t="s">
        <v>96</v>
      </c>
      <c r="AL268" s="18" t="s">
        <v>109</v>
      </c>
      <c r="AM268" s="18" t="s">
        <v>120</v>
      </c>
      <c r="AN268" s="18" t="s">
        <v>198</v>
      </c>
      <c r="AO268" s="18" t="s">
        <v>254</v>
      </c>
      <c r="AP268" s="18"/>
      <c r="AQ268" s="18">
        <f>+VLOOKUP(AI268,Leyenda!$B$30:$E$34,3,FALSE)</f>
        <v>1</v>
      </c>
      <c r="AR268" s="18">
        <f>+VLOOKUP('3. Blasting'!AJ268,Meteorizacion,3,FALSE)</f>
        <v>1</v>
      </c>
      <c r="AS268" s="18">
        <f>+VLOOKUP('3. Blasting'!AK268,Apertura,3,FALSE)</f>
        <v>1</v>
      </c>
      <c r="AT268" s="18">
        <f>+VLOOKUP('3. Blasting'!AL268,Leyenda!$B$55:$D$59,3,FALSE)</f>
        <v>1</v>
      </c>
      <c r="AU268" s="18">
        <f>+VLOOKUP('3. Blasting'!AM268,Relleno,3,FALSE)</f>
        <v>2</v>
      </c>
      <c r="AV268" s="18">
        <f t="shared" si="128"/>
        <v>6</v>
      </c>
      <c r="AW268" s="49">
        <f t="shared" si="115"/>
        <v>0</v>
      </c>
      <c r="AX268" s="49">
        <f>VLOOKUP(AF268,Leyenda!$B$4:$D$10,3,FALSE)</f>
        <v>2</v>
      </c>
      <c r="AY268" s="49">
        <f t="shared" si="109"/>
        <v>5</v>
      </c>
      <c r="AZ268" s="49">
        <f t="shared" si="116"/>
        <v>6</v>
      </c>
      <c r="BA268" s="49">
        <f>VLOOKUP(AN268,Leyenda!$B$70:$D$75,3,FALSE)</f>
        <v>15</v>
      </c>
      <c r="BB268" s="67">
        <f t="shared" si="117"/>
        <v>9</v>
      </c>
      <c r="BC268" s="67">
        <f>VLOOKUP(AF268,Leyenda!$B$4:$E$10,4,FALSE)</f>
        <v>2</v>
      </c>
      <c r="BD268" s="67">
        <f t="shared" si="118"/>
        <v>5</v>
      </c>
      <c r="BE268" s="67">
        <f t="shared" si="119"/>
        <v>0</v>
      </c>
      <c r="BF268" s="67">
        <f>+VLOOKUP('3. Blasting'!AK268,Leyenda!$B$47:$E$51,4,FALSE)</f>
        <v>1</v>
      </c>
      <c r="BG268" s="67">
        <f>+VLOOKUP('3. Blasting'!AL268,Leyenda!$B$55:$E$59,4,FALSE)</f>
        <v>1</v>
      </c>
      <c r="BH268" s="67">
        <f>+VLOOKUP('3. Blasting'!AM268,Leyenda!$B$63:$E$67,3,FALSE)</f>
        <v>2</v>
      </c>
      <c r="BI268" s="67">
        <f>+VLOOKUP('3. Blasting'!AJ268,Leyenda!$B$39:$E$43,4,FALSE)</f>
        <v>1</v>
      </c>
      <c r="BJ268" s="67">
        <f>+VLOOKUP('3. Blasting'!AI268,Leyenda!$B$30:$E$34,4,FALSE)</f>
        <v>1</v>
      </c>
      <c r="BK268" s="67">
        <f>VLOOKUP(AN268,Leyenda!$B$71:$E$75,4,FALSE)</f>
        <v>10</v>
      </c>
      <c r="BL268" s="67">
        <f t="shared" si="120"/>
        <v>23</v>
      </c>
      <c r="BM268" s="18">
        <f t="shared" si="121"/>
        <v>28</v>
      </c>
      <c r="BN268" s="18" t="e">
        <f t="shared" si="104"/>
        <v>#N/A</v>
      </c>
      <c r="BO268" s="18"/>
      <c r="BP268" s="6">
        <f t="shared" si="122"/>
        <v>10</v>
      </c>
      <c r="BQ268" s="6">
        <f t="shared" si="123"/>
        <v>10</v>
      </c>
      <c r="BR268" s="6">
        <v>20</v>
      </c>
      <c r="BS268" s="6">
        <f t="shared" si="124"/>
        <v>-2.5</v>
      </c>
      <c r="BT268" s="6">
        <f t="shared" si="125"/>
        <v>0.52500000000000002</v>
      </c>
      <c r="BU268" s="6">
        <f t="shared" si="126"/>
        <v>19.012499999999999</v>
      </c>
      <c r="BV268" s="18">
        <f t="shared" si="110"/>
        <v>7.6049999999999993E-2</v>
      </c>
      <c r="BW268" s="18">
        <f t="shared" si="111"/>
        <v>0.14449499999999998</v>
      </c>
    </row>
    <row r="269" spans="1:75" hidden="1" x14ac:dyDescent="0.25">
      <c r="A269" s="18" t="s">
        <v>6</v>
      </c>
      <c r="B269" s="18">
        <v>2024</v>
      </c>
      <c r="C269" s="18" t="s">
        <v>138</v>
      </c>
      <c r="D269" s="18" t="s">
        <v>130</v>
      </c>
      <c r="E269" s="18">
        <v>30</v>
      </c>
      <c r="F269" s="18" t="s">
        <v>152</v>
      </c>
      <c r="G269" s="18" t="s">
        <v>159</v>
      </c>
      <c r="H269" s="4">
        <f t="shared" si="105"/>
        <v>17.5</v>
      </c>
      <c r="I269" s="4">
        <v>18</v>
      </c>
      <c r="J269" s="4">
        <f t="shared" si="112"/>
        <v>0.5</v>
      </c>
      <c r="K269" s="5">
        <v>1</v>
      </c>
      <c r="L269" s="31">
        <f t="shared" si="113"/>
        <v>0.5</v>
      </c>
      <c r="M269" s="105">
        <v>1.9</v>
      </c>
      <c r="N269" s="31">
        <v>10.5</v>
      </c>
      <c r="O269" s="31">
        <f t="shared" si="108"/>
        <v>0.5</v>
      </c>
      <c r="P269" s="31">
        <v>100</v>
      </c>
      <c r="Q269" s="31">
        <v>5</v>
      </c>
      <c r="R269" s="31">
        <v>0.46</v>
      </c>
      <c r="S269" s="31">
        <v>0.22</v>
      </c>
      <c r="T269" s="65">
        <f t="shared" si="127"/>
        <v>44</v>
      </c>
      <c r="U269" s="31">
        <v>3</v>
      </c>
      <c r="V269" s="31"/>
      <c r="W269" s="31">
        <f t="shared" si="106"/>
        <v>3</v>
      </c>
      <c r="X269" s="31">
        <f t="shared" si="107"/>
        <v>153.33333333333334</v>
      </c>
      <c r="Y269" s="31">
        <f t="shared" si="114"/>
        <v>0.15333333333333335</v>
      </c>
      <c r="Z269" s="18">
        <v>52</v>
      </c>
      <c r="AA269" s="18" t="s">
        <v>330</v>
      </c>
      <c r="AB269" s="18" t="s">
        <v>118</v>
      </c>
      <c r="AC269" s="18" t="s">
        <v>337</v>
      </c>
      <c r="AD269" s="18">
        <v>5</v>
      </c>
      <c r="AE269" s="18">
        <v>100</v>
      </c>
      <c r="AF269" s="18" t="s">
        <v>29</v>
      </c>
      <c r="AG269" s="18" t="s">
        <v>196</v>
      </c>
      <c r="AH269" s="18" t="s">
        <v>196</v>
      </c>
      <c r="AI269" s="18" t="s">
        <v>66</v>
      </c>
      <c r="AJ269" s="18" t="s">
        <v>79</v>
      </c>
      <c r="AK269" s="18" t="s">
        <v>96</v>
      </c>
      <c r="AL269" s="18" t="s">
        <v>109</v>
      </c>
      <c r="AM269" s="18" t="s">
        <v>120</v>
      </c>
      <c r="AN269" s="18" t="s">
        <v>198</v>
      </c>
      <c r="AO269" s="18" t="s">
        <v>254</v>
      </c>
      <c r="AP269" s="18"/>
      <c r="AQ269" s="18">
        <f>+VLOOKUP(AI269,Leyenda!$B$30:$E$34,3,FALSE)</f>
        <v>1</v>
      </c>
      <c r="AR269" s="18">
        <f>+VLOOKUP('3. Blasting'!AJ269,Meteorizacion,3,FALSE)</f>
        <v>1</v>
      </c>
      <c r="AS269" s="18">
        <f>+VLOOKUP('3. Blasting'!AK269,Apertura,3,FALSE)</f>
        <v>1</v>
      </c>
      <c r="AT269" s="18">
        <f>+VLOOKUP('3. Blasting'!AL269,Leyenda!$B$55:$D$59,3,FALSE)</f>
        <v>1</v>
      </c>
      <c r="AU269" s="18">
        <f>+VLOOKUP('3. Blasting'!AM269,Relleno,3,FALSE)</f>
        <v>2</v>
      </c>
      <c r="AV269" s="18">
        <f t="shared" si="128"/>
        <v>6</v>
      </c>
      <c r="AW269" s="49">
        <f t="shared" si="115"/>
        <v>11</v>
      </c>
      <c r="AX269" s="49">
        <f>VLOOKUP(AF269,Leyenda!$B$4:$D$10,3,FALSE)</f>
        <v>2</v>
      </c>
      <c r="AY269" s="49">
        <f t="shared" si="109"/>
        <v>7</v>
      </c>
      <c r="AZ269" s="49">
        <f t="shared" si="116"/>
        <v>6</v>
      </c>
      <c r="BA269" s="49">
        <f>VLOOKUP(AN269,Leyenda!$B$70:$D$75,3,FALSE)</f>
        <v>15</v>
      </c>
      <c r="BB269" s="67">
        <f t="shared" si="117"/>
        <v>31</v>
      </c>
      <c r="BC269" s="67">
        <f>VLOOKUP(AF269,Leyenda!$B$4:$E$10,4,FALSE)</f>
        <v>2</v>
      </c>
      <c r="BD269" s="67">
        <f t="shared" si="118"/>
        <v>11</v>
      </c>
      <c r="BE269" s="67">
        <f t="shared" si="119"/>
        <v>9</v>
      </c>
      <c r="BF269" s="67">
        <f>+VLOOKUP('3. Blasting'!AK269,Leyenda!$B$47:$E$51,4,FALSE)</f>
        <v>1</v>
      </c>
      <c r="BG269" s="67">
        <f>+VLOOKUP('3. Blasting'!AL269,Leyenda!$B$55:$E$59,4,FALSE)</f>
        <v>1</v>
      </c>
      <c r="BH269" s="67">
        <f>+VLOOKUP('3. Blasting'!AM269,Leyenda!$B$63:$E$67,3,FALSE)</f>
        <v>2</v>
      </c>
      <c r="BI269" s="67">
        <f>+VLOOKUP('3. Blasting'!AJ269,Leyenda!$B$39:$E$43,4,FALSE)</f>
        <v>1</v>
      </c>
      <c r="BJ269" s="67">
        <f>+VLOOKUP('3. Blasting'!AI269,Leyenda!$B$30:$E$34,4,FALSE)</f>
        <v>1</v>
      </c>
      <c r="BK269" s="67">
        <f>VLOOKUP(AN269,Leyenda!$B$71:$E$75,4,FALSE)</f>
        <v>10</v>
      </c>
      <c r="BL269" s="67">
        <f t="shared" si="120"/>
        <v>38</v>
      </c>
      <c r="BM269" s="18">
        <f t="shared" si="121"/>
        <v>41</v>
      </c>
      <c r="BN269" s="18" t="e">
        <f t="shared" si="104"/>
        <v>#N/A</v>
      </c>
      <c r="BO269" s="18"/>
      <c r="BP269" s="6">
        <f t="shared" si="122"/>
        <v>20</v>
      </c>
      <c r="BQ269" s="6">
        <f t="shared" si="123"/>
        <v>20</v>
      </c>
      <c r="BR269" s="6">
        <v>20</v>
      </c>
      <c r="BS269" s="6">
        <f t="shared" si="124"/>
        <v>-2.5</v>
      </c>
      <c r="BT269" s="6">
        <f t="shared" si="125"/>
        <v>0.52500000000000002</v>
      </c>
      <c r="BU269" s="6">
        <f t="shared" si="126"/>
        <v>29.012499999999999</v>
      </c>
      <c r="BV269" s="18">
        <f t="shared" si="110"/>
        <v>0.11605</v>
      </c>
      <c r="BW269" s="18">
        <f t="shared" si="111"/>
        <v>0.220495</v>
      </c>
    </row>
    <row r="270" spans="1:75" hidden="1" x14ac:dyDescent="0.25">
      <c r="A270" s="18" t="s">
        <v>6</v>
      </c>
      <c r="B270" s="18">
        <v>2024</v>
      </c>
      <c r="C270" s="18" t="s">
        <v>138</v>
      </c>
      <c r="D270" s="18" t="s">
        <v>130</v>
      </c>
      <c r="E270" s="18">
        <v>30</v>
      </c>
      <c r="F270" s="18" t="s">
        <v>152</v>
      </c>
      <c r="G270" s="18" t="s">
        <v>159</v>
      </c>
      <c r="H270" s="4">
        <f t="shared" si="105"/>
        <v>18</v>
      </c>
      <c r="I270" s="4">
        <v>18.5</v>
      </c>
      <c r="J270" s="4">
        <f t="shared" si="112"/>
        <v>0.5</v>
      </c>
      <c r="K270" s="5">
        <v>1</v>
      </c>
      <c r="L270" s="31">
        <f t="shared" si="113"/>
        <v>0.5</v>
      </c>
      <c r="M270" s="105">
        <v>1.9</v>
      </c>
      <c r="N270" s="31">
        <v>10.5</v>
      </c>
      <c r="O270" s="31">
        <f t="shared" si="108"/>
        <v>0.5</v>
      </c>
      <c r="P270" s="31">
        <v>25</v>
      </c>
      <c r="Q270" s="31">
        <v>20</v>
      </c>
      <c r="R270" s="31">
        <v>0.4</v>
      </c>
      <c r="S270" s="31">
        <v>0</v>
      </c>
      <c r="T270" s="65">
        <f t="shared" si="127"/>
        <v>0</v>
      </c>
      <c r="U270" s="31">
        <v>9</v>
      </c>
      <c r="V270" s="31"/>
      <c r="W270" s="31">
        <f t="shared" si="106"/>
        <v>9</v>
      </c>
      <c r="X270" s="31">
        <f t="shared" si="107"/>
        <v>44.444444444444443</v>
      </c>
      <c r="Y270" s="31">
        <f t="shared" si="114"/>
        <v>4.4444444444444446E-2</v>
      </c>
      <c r="Z270" s="18">
        <v>0</v>
      </c>
      <c r="AA270" s="18" t="s">
        <v>330</v>
      </c>
      <c r="AB270" s="18" t="s">
        <v>333</v>
      </c>
      <c r="AC270" s="18" t="s">
        <v>337</v>
      </c>
      <c r="AD270" s="18">
        <v>20</v>
      </c>
      <c r="AE270" s="18">
        <v>25</v>
      </c>
      <c r="AF270" s="18" t="s">
        <v>29</v>
      </c>
      <c r="AG270" s="18" t="s">
        <v>196</v>
      </c>
      <c r="AH270" s="18" t="s">
        <v>196</v>
      </c>
      <c r="AI270" s="18" t="s">
        <v>69</v>
      </c>
      <c r="AJ270" s="18" t="s">
        <v>79</v>
      </c>
      <c r="AK270" s="18" t="s">
        <v>96</v>
      </c>
      <c r="AL270" s="18" t="s">
        <v>109</v>
      </c>
      <c r="AM270" s="18" t="s">
        <v>120</v>
      </c>
      <c r="AN270" s="18" t="s">
        <v>198</v>
      </c>
      <c r="AO270" s="18"/>
      <c r="AP270" s="18"/>
      <c r="AQ270" s="18">
        <f>+VLOOKUP(AI270,Leyenda!$B$30:$E$34,3,FALSE)</f>
        <v>0</v>
      </c>
      <c r="AR270" s="18">
        <f>+VLOOKUP('3. Blasting'!AJ270,Meteorizacion,3,FALSE)</f>
        <v>1</v>
      </c>
      <c r="AS270" s="18">
        <f>+VLOOKUP('3. Blasting'!AK270,Apertura,3,FALSE)</f>
        <v>1</v>
      </c>
      <c r="AT270" s="18">
        <f>+VLOOKUP('3. Blasting'!AL270,Leyenda!$B$55:$D$59,3,FALSE)</f>
        <v>1</v>
      </c>
      <c r="AU270" s="18">
        <f>+VLOOKUP('3. Blasting'!AM270,Relleno,3,FALSE)</f>
        <v>2</v>
      </c>
      <c r="AV270" s="18">
        <f t="shared" si="128"/>
        <v>5</v>
      </c>
      <c r="AW270" s="49">
        <f t="shared" si="115"/>
        <v>0</v>
      </c>
      <c r="AX270" s="49">
        <f>VLOOKUP(AF270,Leyenda!$B$4:$D$10,3,FALSE)</f>
        <v>2</v>
      </c>
      <c r="AY270" s="49">
        <f t="shared" si="109"/>
        <v>5</v>
      </c>
      <c r="AZ270" s="49">
        <f t="shared" si="116"/>
        <v>5</v>
      </c>
      <c r="BA270" s="49">
        <f>VLOOKUP(AN270,Leyenda!$B$70:$D$75,3,FALSE)</f>
        <v>15</v>
      </c>
      <c r="BB270" s="67">
        <f t="shared" si="117"/>
        <v>7.5</v>
      </c>
      <c r="BC270" s="67">
        <f>VLOOKUP(AF270,Leyenda!$B$4:$E$10,4,FALSE)</f>
        <v>2</v>
      </c>
      <c r="BD270" s="67">
        <f t="shared" si="118"/>
        <v>5</v>
      </c>
      <c r="BE270" s="67">
        <f t="shared" si="119"/>
        <v>0</v>
      </c>
      <c r="BF270" s="67">
        <f>+VLOOKUP('3. Blasting'!AK270,Leyenda!$B$47:$E$51,4,FALSE)</f>
        <v>1</v>
      </c>
      <c r="BG270" s="67">
        <f>+VLOOKUP('3. Blasting'!AL270,Leyenda!$B$55:$E$59,4,FALSE)</f>
        <v>1</v>
      </c>
      <c r="BH270" s="67">
        <f>+VLOOKUP('3. Blasting'!AM270,Leyenda!$B$63:$E$67,3,FALSE)</f>
        <v>2</v>
      </c>
      <c r="BI270" s="67">
        <f>+VLOOKUP('3. Blasting'!AJ270,Leyenda!$B$39:$E$43,4,FALSE)</f>
        <v>1</v>
      </c>
      <c r="BJ270" s="67">
        <f>+VLOOKUP('3. Blasting'!AI270,Leyenda!$B$30:$E$34,4,FALSE)</f>
        <v>0</v>
      </c>
      <c r="BK270" s="67">
        <f>VLOOKUP(AN270,Leyenda!$B$71:$E$75,4,FALSE)</f>
        <v>10</v>
      </c>
      <c r="BL270" s="67">
        <f t="shared" si="120"/>
        <v>22</v>
      </c>
      <c r="BM270" s="18">
        <f t="shared" si="121"/>
        <v>27</v>
      </c>
      <c r="BN270" s="18" t="e">
        <f t="shared" si="104"/>
        <v>#N/A</v>
      </c>
      <c r="BO270" s="18"/>
      <c r="BP270" s="6">
        <f t="shared" si="122"/>
        <v>10</v>
      </c>
      <c r="BQ270" s="6">
        <f t="shared" si="123"/>
        <v>10</v>
      </c>
      <c r="BR270" s="6">
        <v>20</v>
      </c>
      <c r="BS270" s="6">
        <f t="shared" si="124"/>
        <v>-2.5</v>
      </c>
      <c r="BT270" s="6">
        <f t="shared" si="125"/>
        <v>0.52500000000000002</v>
      </c>
      <c r="BU270" s="6">
        <f t="shared" si="126"/>
        <v>19.012499999999999</v>
      </c>
      <c r="BV270" s="18">
        <f t="shared" si="110"/>
        <v>7.6049999999999993E-2</v>
      </c>
      <c r="BW270" s="18">
        <f t="shared" si="111"/>
        <v>0.14449499999999998</v>
      </c>
    </row>
    <row r="271" spans="1:75" hidden="1" x14ac:dyDescent="0.25">
      <c r="A271" s="18" t="s">
        <v>6</v>
      </c>
      <c r="B271" s="18">
        <v>2024</v>
      </c>
      <c r="C271" s="18" t="s">
        <v>138</v>
      </c>
      <c r="D271" s="18" t="s">
        <v>130</v>
      </c>
      <c r="E271" s="18">
        <v>30</v>
      </c>
      <c r="F271" s="18" t="s">
        <v>152</v>
      </c>
      <c r="G271" s="18" t="s">
        <v>159</v>
      </c>
      <c r="H271" s="4">
        <f t="shared" si="105"/>
        <v>18.5</v>
      </c>
      <c r="I271" s="4">
        <v>19</v>
      </c>
      <c r="J271" s="4">
        <f t="shared" si="112"/>
        <v>0.5</v>
      </c>
      <c r="K271" s="5">
        <v>1</v>
      </c>
      <c r="L271" s="31">
        <f t="shared" si="113"/>
        <v>0.5</v>
      </c>
      <c r="M271" s="105">
        <v>1.9</v>
      </c>
      <c r="N271" s="31">
        <v>10.5</v>
      </c>
      <c r="O271" s="31">
        <f t="shared" si="108"/>
        <v>0.5</v>
      </c>
      <c r="P271" s="31">
        <v>25</v>
      </c>
      <c r="Q271" s="31">
        <v>20</v>
      </c>
      <c r="R271" s="31">
        <v>0.48</v>
      </c>
      <c r="S271" s="31">
        <v>0.15</v>
      </c>
      <c r="T271" s="65">
        <f t="shared" si="127"/>
        <v>30</v>
      </c>
      <c r="U271" s="31">
        <v>8</v>
      </c>
      <c r="V271" s="31"/>
      <c r="W271" s="31">
        <f t="shared" si="106"/>
        <v>8</v>
      </c>
      <c r="X271" s="31">
        <f t="shared" si="107"/>
        <v>60</v>
      </c>
      <c r="Y271" s="31">
        <f t="shared" si="114"/>
        <v>0.06</v>
      </c>
      <c r="Z271" s="18">
        <v>0</v>
      </c>
      <c r="AA271" s="18" t="s">
        <v>330</v>
      </c>
      <c r="AB271" s="18" t="s">
        <v>333</v>
      </c>
      <c r="AC271" s="18" t="s">
        <v>337</v>
      </c>
      <c r="AD271" s="18">
        <v>20</v>
      </c>
      <c r="AE271" s="18">
        <v>25</v>
      </c>
      <c r="AF271" s="18" t="s">
        <v>29</v>
      </c>
      <c r="AG271" s="18" t="s">
        <v>199</v>
      </c>
      <c r="AH271" s="18" t="s">
        <v>199</v>
      </c>
      <c r="AI271" s="18" t="s">
        <v>66</v>
      </c>
      <c r="AJ271" s="18" t="s">
        <v>79</v>
      </c>
      <c r="AK271" s="18" t="s">
        <v>96</v>
      </c>
      <c r="AL271" s="18" t="s">
        <v>107</v>
      </c>
      <c r="AM271" s="18" t="s">
        <v>120</v>
      </c>
      <c r="AN271" s="18" t="s">
        <v>198</v>
      </c>
      <c r="AO271" s="18" t="s">
        <v>256</v>
      </c>
      <c r="AP271" s="18"/>
      <c r="AQ271" s="18">
        <f>+VLOOKUP(AI271,Leyenda!$B$30:$E$34,3,FALSE)</f>
        <v>1</v>
      </c>
      <c r="AR271" s="18">
        <f>+VLOOKUP('3. Blasting'!AJ271,Meteorizacion,3,FALSE)</f>
        <v>1</v>
      </c>
      <c r="AS271" s="18">
        <f>+VLOOKUP('3. Blasting'!AK271,Apertura,3,FALSE)</f>
        <v>1</v>
      </c>
      <c r="AT271" s="18">
        <f>+VLOOKUP('3. Blasting'!AL271,Leyenda!$B$55:$D$59,3,FALSE)</f>
        <v>3</v>
      </c>
      <c r="AU271" s="18">
        <f>+VLOOKUP('3. Blasting'!AM271,Relleno,3,FALSE)</f>
        <v>2</v>
      </c>
      <c r="AV271" s="18">
        <f t="shared" si="128"/>
        <v>8</v>
      </c>
      <c r="AW271" s="49">
        <f t="shared" si="115"/>
        <v>0</v>
      </c>
      <c r="AX271" s="49">
        <f>VLOOKUP(AF271,Leyenda!$B$4:$D$10,3,FALSE)</f>
        <v>2</v>
      </c>
      <c r="AY271" s="49">
        <f t="shared" si="109"/>
        <v>5</v>
      </c>
      <c r="AZ271" s="49">
        <f t="shared" si="116"/>
        <v>8</v>
      </c>
      <c r="BA271" s="49">
        <f>VLOOKUP(AN271,Leyenda!$B$70:$D$75,3,FALSE)</f>
        <v>15</v>
      </c>
      <c r="BB271" s="67">
        <f t="shared" si="117"/>
        <v>27</v>
      </c>
      <c r="BC271" s="67">
        <f>VLOOKUP(AF271,Leyenda!$B$4:$E$10,4,FALSE)</f>
        <v>2</v>
      </c>
      <c r="BD271" s="67">
        <f t="shared" si="118"/>
        <v>5</v>
      </c>
      <c r="BE271" s="67">
        <f t="shared" si="119"/>
        <v>6</v>
      </c>
      <c r="BF271" s="67">
        <f>+VLOOKUP('3. Blasting'!AK271,Leyenda!$B$47:$E$51,4,FALSE)</f>
        <v>1</v>
      </c>
      <c r="BG271" s="67">
        <f>+VLOOKUP('3. Blasting'!AL271,Leyenda!$B$55:$E$59,4,FALSE)</f>
        <v>3</v>
      </c>
      <c r="BH271" s="67">
        <f>+VLOOKUP('3. Blasting'!AM271,Leyenda!$B$63:$E$67,3,FALSE)</f>
        <v>2</v>
      </c>
      <c r="BI271" s="67">
        <f>+VLOOKUP('3. Blasting'!AJ271,Leyenda!$B$39:$E$43,4,FALSE)</f>
        <v>1</v>
      </c>
      <c r="BJ271" s="67">
        <f>+VLOOKUP('3. Blasting'!AI271,Leyenda!$B$30:$E$34,4,FALSE)</f>
        <v>1</v>
      </c>
      <c r="BK271" s="67">
        <f>VLOOKUP(AN271,Leyenda!$B$71:$E$75,4,FALSE)</f>
        <v>10</v>
      </c>
      <c r="BL271" s="67">
        <f t="shared" si="120"/>
        <v>31</v>
      </c>
      <c r="BM271" s="18">
        <f t="shared" si="121"/>
        <v>30</v>
      </c>
      <c r="BN271" s="18" t="e">
        <f t="shared" si="104"/>
        <v>#N/A</v>
      </c>
      <c r="BO271" s="18"/>
      <c r="BP271" s="6">
        <f t="shared" si="122"/>
        <v>20</v>
      </c>
      <c r="BQ271" s="6">
        <f t="shared" si="123"/>
        <v>10</v>
      </c>
      <c r="BR271" s="6">
        <v>20</v>
      </c>
      <c r="BS271" s="6">
        <f t="shared" si="124"/>
        <v>-2.5</v>
      </c>
      <c r="BT271" s="6">
        <f t="shared" si="125"/>
        <v>0.52500000000000002</v>
      </c>
      <c r="BU271" s="6">
        <f t="shared" si="126"/>
        <v>24.012499999999999</v>
      </c>
      <c r="BV271" s="18">
        <f t="shared" si="110"/>
        <v>9.6049999999999996E-2</v>
      </c>
      <c r="BW271" s="18">
        <f t="shared" si="111"/>
        <v>0.18249499999999999</v>
      </c>
    </row>
    <row r="272" spans="1:75" hidden="1" x14ac:dyDescent="0.25">
      <c r="A272" s="18" t="s">
        <v>6</v>
      </c>
      <c r="B272" s="18">
        <v>2024</v>
      </c>
      <c r="C272" s="18" t="s">
        <v>138</v>
      </c>
      <c r="D272" s="18" t="s">
        <v>130</v>
      </c>
      <c r="E272" s="18">
        <v>30</v>
      </c>
      <c r="F272" s="18" t="s">
        <v>152</v>
      </c>
      <c r="G272" s="18" t="s">
        <v>159</v>
      </c>
      <c r="H272" s="4">
        <f t="shared" si="105"/>
        <v>19</v>
      </c>
      <c r="I272" s="4">
        <v>19.5</v>
      </c>
      <c r="J272" s="4">
        <f t="shared" si="112"/>
        <v>0.5</v>
      </c>
      <c r="K272" s="5">
        <v>1</v>
      </c>
      <c r="L272" s="31">
        <f t="shared" si="113"/>
        <v>0.5</v>
      </c>
      <c r="M272" s="105">
        <v>1.9</v>
      </c>
      <c r="N272" s="31">
        <v>10.5</v>
      </c>
      <c r="O272" s="31">
        <f t="shared" si="108"/>
        <v>0.5</v>
      </c>
      <c r="P272" s="31">
        <v>25</v>
      </c>
      <c r="Q272" s="31">
        <v>20</v>
      </c>
      <c r="R272" s="31">
        <v>0.5</v>
      </c>
      <c r="S272" s="31">
        <v>0.13</v>
      </c>
      <c r="T272" s="65">
        <f t="shared" si="127"/>
        <v>26</v>
      </c>
      <c r="U272" s="31">
        <v>6</v>
      </c>
      <c r="V272" s="31"/>
      <c r="W272" s="31">
        <f t="shared" si="106"/>
        <v>6</v>
      </c>
      <c r="X272" s="31">
        <f t="shared" si="107"/>
        <v>83.333333333333329</v>
      </c>
      <c r="Y272" s="31">
        <f t="shared" si="114"/>
        <v>8.3333333333333329E-2</v>
      </c>
      <c r="Z272" s="18">
        <v>0</v>
      </c>
      <c r="AA272" s="18" t="s">
        <v>330</v>
      </c>
      <c r="AB272" s="18" t="s">
        <v>333</v>
      </c>
      <c r="AC272" s="18" t="s">
        <v>337</v>
      </c>
      <c r="AD272" s="18">
        <v>20</v>
      </c>
      <c r="AE272" s="18">
        <v>25</v>
      </c>
      <c r="AF272" s="18" t="s">
        <v>29</v>
      </c>
      <c r="AG272" s="18" t="s">
        <v>199</v>
      </c>
      <c r="AH272" s="18" t="s">
        <v>199</v>
      </c>
      <c r="AI272" s="18" t="s">
        <v>66</v>
      </c>
      <c r="AJ272" s="18" t="s">
        <v>79</v>
      </c>
      <c r="AK272" s="18" t="s">
        <v>96</v>
      </c>
      <c r="AL272" s="18" t="s">
        <v>109</v>
      </c>
      <c r="AM272" s="18" t="s">
        <v>120</v>
      </c>
      <c r="AN272" s="18" t="s">
        <v>198</v>
      </c>
      <c r="AO272" s="18"/>
      <c r="AP272" s="18"/>
      <c r="AQ272" s="18">
        <f>+VLOOKUP(AI272,Leyenda!$B$30:$E$34,3,FALSE)</f>
        <v>1</v>
      </c>
      <c r="AR272" s="18">
        <f>+VLOOKUP('3. Blasting'!AJ272,Meteorizacion,3,FALSE)</f>
        <v>1</v>
      </c>
      <c r="AS272" s="18">
        <f>+VLOOKUP('3. Blasting'!AK272,Apertura,3,FALSE)</f>
        <v>1</v>
      </c>
      <c r="AT272" s="18">
        <f>+VLOOKUP('3. Blasting'!AL272,Leyenda!$B$55:$D$59,3,FALSE)</f>
        <v>1</v>
      </c>
      <c r="AU272" s="18">
        <f>+VLOOKUP('3. Blasting'!AM272,Relleno,3,FALSE)</f>
        <v>2</v>
      </c>
      <c r="AV272" s="18">
        <f t="shared" si="128"/>
        <v>6</v>
      </c>
      <c r="AW272" s="49">
        <f t="shared" si="115"/>
        <v>0</v>
      </c>
      <c r="AX272" s="49">
        <f>VLOOKUP(AF272,Leyenda!$B$4:$D$10,3,FALSE)</f>
        <v>2</v>
      </c>
      <c r="AY272" s="49">
        <f t="shared" si="109"/>
        <v>5</v>
      </c>
      <c r="AZ272" s="49">
        <f t="shared" si="116"/>
        <v>6</v>
      </c>
      <c r="BA272" s="49">
        <f>VLOOKUP(AN272,Leyenda!$B$70:$D$75,3,FALSE)</f>
        <v>15</v>
      </c>
      <c r="BB272" s="67">
        <f t="shared" si="117"/>
        <v>22</v>
      </c>
      <c r="BC272" s="67">
        <f>VLOOKUP(AF272,Leyenda!$B$4:$E$10,4,FALSE)</f>
        <v>2</v>
      </c>
      <c r="BD272" s="67">
        <f t="shared" si="118"/>
        <v>7</v>
      </c>
      <c r="BE272" s="67">
        <f t="shared" si="119"/>
        <v>6</v>
      </c>
      <c r="BF272" s="67">
        <f>+VLOOKUP('3. Blasting'!AK272,Leyenda!$B$47:$E$51,4,FALSE)</f>
        <v>1</v>
      </c>
      <c r="BG272" s="67">
        <f>+VLOOKUP('3. Blasting'!AL272,Leyenda!$B$55:$E$59,4,FALSE)</f>
        <v>1</v>
      </c>
      <c r="BH272" s="67">
        <f>+VLOOKUP('3. Blasting'!AM272,Leyenda!$B$63:$E$67,3,FALSE)</f>
        <v>2</v>
      </c>
      <c r="BI272" s="67">
        <f>+VLOOKUP('3. Blasting'!AJ272,Leyenda!$B$39:$E$43,4,FALSE)</f>
        <v>1</v>
      </c>
      <c r="BJ272" s="67">
        <f>+VLOOKUP('3. Blasting'!AI272,Leyenda!$B$30:$E$34,4,FALSE)</f>
        <v>1</v>
      </c>
      <c r="BK272" s="67">
        <f>VLOOKUP(AN272,Leyenda!$B$71:$E$75,4,FALSE)</f>
        <v>10</v>
      </c>
      <c r="BL272" s="67">
        <f t="shared" si="120"/>
        <v>31</v>
      </c>
      <c r="BM272" s="18">
        <f t="shared" si="121"/>
        <v>28</v>
      </c>
      <c r="BN272" s="18" t="e">
        <f t="shared" si="104"/>
        <v>#N/A</v>
      </c>
      <c r="BO272" s="18"/>
      <c r="BP272" s="6">
        <f t="shared" si="122"/>
        <v>20</v>
      </c>
      <c r="BQ272" s="6">
        <f t="shared" si="123"/>
        <v>10</v>
      </c>
      <c r="BR272" s="6">
        <v>20</v>
      </c>
      <c r="BS272" s="6">
        <f t="shared" si="124"/>
        <v>-2.5</v>
      </c>
      <c r="BT272" s="6">
        <f t="shared" si="125"/>
        <v>0.52500000000000002</v>
      </c>
      <c r="BU272" s="6">
        <f t="shared" si="126"/>
        <v>24.012499999999999</v>
      </c>
      <c r="BV272" s="18">
        <f t="shared" si="110"/>
        <v>9.6049999999999996E-2</v>
      </c>
      <c r="BW272" s="18">
        <f t="shared" si="111"/>
        <v>0.18249499999999999</v>
      </c>
    </row>
    <row r="273" spans="1:75" hidden="1" x14ac:dyDescent="0.25">
      <c r="A273" s="18" t="s">
        <v>6</v>
      </c>
      <c r="B273" s="18">
        <v>2024</v>
      </c>
      <c r="C273" s="18" t="s">
        <v>138</v>
      </c>
      <c r="D273" s="18" t="s">
        <v>130</v>
      </c>
      <c r="E273" s="18">
        <v>30</v>
      </c>
      <c r="F273" s="18" t="s">
        <v>152</v>
      </c>
      <c r="G273" s="18" t="s">
        <v>159</v>
      </c>
      <c r="H273" s="4">
        <f t="shared" si="105"/>
        <v>19.5</v>
      </c>
      <c r="I273" s="4">
        <v>20</v>
      </c>
      <c r="J273" s="4">
        <f t="shared" si="112"/>
        <v>0.5</v>
      </c>
      <c r="K273" s="5">
        <v>1</v>
      </c>
      <c r="L273" s="31">
        <f t="shared" si="113"/>
        <v>0.5</v>
      </c>
      <c r="M273" s="105">
        <v>1.9</v>
      </c>
      <c r="N273" s="31">
        <v>10.5</v>
      </c>
      <c r="O273" s="31">
        <f t="shared" si="108"/>
        <v>0.5</v>
      </c>
      <c r="P273" s="31">
        <v>25</v>
      </c>
      <c r="Q273" s="31">
        <v>20</v>
      </c>
      <c r="R273" s="31">
        <f>0.28+0.14</f>
        <v>0.42000000000000004</v>
      </c>
      <c r="S273" s="31">
        <v>0</v>
      </c>
      <c r="T273" s="65">
        <f t="shared" si="127"/>
        <v>0</v>
      </c>
      <c r="U273" s="31">
        <v>10</v>
      </c>
      <c r="V273" s="31"/>
      <c r="W273" s="31">
        <f t="shared" si="106"/>
        <v>10</v>
      </c>
      <c r="X273" s="31">
        <f t="shared" si="107"/>
        <v>42.000000000000007</v>
      </c>
      <c r="Y273" s="31">
        <f t="shared" si="114"/>
        <v>4.200000000000001E-2</v>
      </c>
      <c r="Z273" s="18">
        <v>0</v>
      </c>
      <c r="AA273" s="18" t="s">
        <v>330</v>
      </c>
      <c r="AB273" s="18" t="s">
        <v>333</v>
      </c>
      <c r="AC273" s="18" t="s">
        <v>337</v>
      </c>
      <c r="AD273" s="18">
        <v>20</v>
      </c>
      <c r="AE273" s="18">
        <v>25</v>
      </c>
      <c r="AF273" s="18" t="s">
        <v>29</v>
      </c>
      <c r="AG273" s="18" t="s">
        <v>196</v>
      </c>
      <c r="AH273" s="18" t="s">
        <v>196</v>
      </c>
      <c r="AI273" s="18" t="s">
        <v>66</v>
      </c>
      <c r="AJ273" s="18" t="s">
        <v>81</v>
      </c>
      <c r="AK273" s="18" t="s">
        <v>96</v>
      </c>
      <c r="AL273" s="18" t="s">
        <v>109</v>
      </c>
      <c r="AM273" s="18" t="s">
        <v>120</v>
      </c>
      <c r="AN273" s="18" t="s">
        <v>198</v>
      </c>
      <c r="AO273" s="18"/>
      <c r="AP273" s="18"/>
      <c r="AQ273" s="18">
        <f>+VLOOKUP(AI273,Leyenda!$B$30:$E$34,3,FALSE)</f>
        <v>1</v>
      </c>
      <c r="AR273" s="18">
        <f>+VLOOKUP('3. Blasting'!AJ273,Meteorizacion,3,FALSE)</f>
        <v>0</v>
      </c>
      <c r="AS273" s="18">
        <f>+VLOOKUP('3. Blasting'!AK273,Apertura,3,FALSE)</f>
        <v>1</v>
      </c>
      <c r="AT273" s="18">
        <f>+VLOOKUP('3. Blasting'!AL273,Leyenda!$B$55:$D$59,3,FALSE)</f>
        <v>1</v>
      </c>
      <c r="AU273" s="18">
        <f>+VLOOKUP('3. Blasting'!AM273,Relleno,3,FALSE)</f>
        <v>2</v>
      </c>
      <c r="AV273" s="18">
        <f t="shared" si="128"/>
        <v>5</v>
      </c>
      <c r="AW273" s="49">
        <f t="shared" si="115"/>
        <v>0</v>
      </c>
      <c r="AX273" s="49">
        <f>VLOOKUP(AF273,Leyenda!$B$4:$D$10,3,FALSE)</f>
        <v>2</v>
      </c>
      <c r="AY273" s="49">
        <f t="shared" si="109"/>
        <v>5</v>
      </c>
      <c r="AZ273" s="49">
        <f t="shared" si="116"/>
        <v>5</v>
      </c>
      <c r="BA273" s="49">
        <f>VLOOKUP(AN273,Leyenda!$B$70:$D$75,3,FALSE)</f>
        <v>15</v>
      </c>
      <c r="BB273" s="67">
        <f t="shared" si="117"/>
        <v>7.5</v>
      </c>
      <c r="BC273" s="67">
        <f>VLOOKUP(AF273,Leyenda!$B$4:$E$10,4,FALSE)</f>
        <v>2</v>
      </c>
      <c r="BD273" s="67">
        <f t="shared" si="118"/>
        <v>5</v>
      </c>
      <c r="BE273" s="67">
        <f t="shared" si="119"/>
        <v>0</v>
      </c>
      <c r="BF273" s="67">
        <f>+VLOOKUP('3. Blasting'!AK273,Leyenda!$B$47:$E$51,4,FALSE)</f>
        <v>1</v>
      </c>
      <c r="BG273" s="67">
        <f>+VLOOKUP('3. Blasting'!AL273,Leyenda!$B$55:$E$59,4,FALSE)</f>
        <v>1</v>
      </c>
      <c r="BH273" s="67">
        <f>+VLOOKUP('3. Blasting'!AM273,Leyenda!$B$63:$E$67,3,FALSE)</f>
        <v>2</v>
      </c>
      <c r="BI273" s="67">
        <f>+VLOOKUP('3. Blasting'!AJ273,Leyenda!$B$39:$E$43,4,FALSE)</f>
        <v>0</v>
      </c>
      <c r="BJ273" s="67">
        <f>+VLOOKUP('3. Blasting'!AI273,Leyenda!$B$30:$E$34,4,FALSE)</f>
        <v>1</v>
      </c>
      <c r="BK273" s="67">
        <f>VLOOKUP(AN273,Leyenda!$B$71:$E$75,4,FALSE)</f>
        <v>10</v>
      </c>
      <c r="BL273" s="67">
        <f t="shared" si="120"/>
        <v>22</v>
      </c>
      <c r="BM273" s="18">
        <f t="shared" si="121"/>
        <v>27</v>
      </c>
      <c r="BN273" s="18" t="e">
        <f t="shared" si="104"/>
        <v>#N/A</v>
      </c>
      <c r="BO273" s="18"/>
      <c r="BP273" s="6">
        <f t="shared" si="122"/>
        <v>10</v>
      </c>
      <c r="BQ273" s="6">
        <f t="shared" si="123"/>
        <v>10</v>
      </c>
      <c r="BR273" s="6">
        <v>20</v>
      </c>
      <c r="BS273" s="6">
        <f t="shared" si="124"/>
        <v>-2.5</v>
      </c>
      <c r="BT273" s="6">
        <f t="shared" si="125"/>
        <v>0.52500000000000002</v>
      </c>
      <c r="BU273" s="6">
        <f t="shared" si="126"/>
        <v>19.012499999999999</v>
      </c>
      <c r="BV273" s="18">
        <f t="shared" si="110"/>
        <v>7.6049999999999993E-2</v>
      </c>
      <c r="BW273" s="18">
        <f t="shared" si="111"/>
        <v>0.14449499999999998</v>
      </c>
    </row>
    <row r="274" spans="1:75" hidden="1" x14ac:dyDescent="0.25">
      <c r="A274" s="18" t="s">
        <v>6</v>
      </c>
      <c r="B274" s="18">
        <v>2024</v>
      </c>
      <c r="C274" s="18" t="s">
        <v>138</v>
      </c>
      <c r="D274" s="18" t="s">
        <v>130</v>
      </c>
      <c r="E274" s="18">
        <v>30</v>
      </c>
      <c r="F274" s="18" t="s">
        <v>152</v>
      </c>
      <c r="G274" s="18" t="s">
        <v>159</v>
      </c>
      <c r="H274" s="4">
        <f t="shared" si="105"/>
        <v>20</v>
      </c>
      <c r="I274" s="4">
        <v>20.5</v>
      </c>
      <c r="J274" s="4">
        <f t="shared" si="112"/>
        <v>0.5</v>
      </c>
      <c r="K274" s="5">
        <v>1</v>
      </c>
      <c r="L274" s="31">
        <f t="shared" si="113"/>
        <v>0.5</v>
      </c>
      <c r="M274" s="105">
        <v>1.9</v>
      </c>
      <c r="N274" s="31">
        <v>10.5</v>
      </c>
      <c r="O274" s="31">
        <f t="shared" si="108"/>
        <v>0.5</v>
      </c>
      <c r="P274" s="31">
        <v>25</v>
      </c>
      <c r="Q274" s="31">
        <v>20</v>
      </c>
      <c r="R274" s="31">
        <v>0.5</v>
      </c>
      <c r="S274" s="31">
        <v>0</v>
      </c>
      <c r="T274" s="65">
        <f t="shared" si="127"/>
        <v>0</v>
      </c>
      <c r="U274" s="31">
        <v>6</v>
      </c>
      <c r="V274" s="31"/>
      <c r="W274" s="31">
        <f t="shared" si="106"/>
        <v>6</v>
      </c>
      <c r="X274" s="31">
        <f t="shared" si="107"/>
        <v>83.333333333333329</v>
      </c>
      <c r="Y274" s="31">
        <f t="shared" si="114"/>
        <v>8.3333333333333329E-2</v>
      </c>
      <c r="Z274" s="18">
        <v>0</v>
      </c>
      <c r="AA274" s="18" t="s">
        <v>330</v>
      </c>
      <c r="AB274" s="18" t="s">
        <v>333</v>
      </c>
      <c r="AC274" s="18" t="s">
        <v>337</v>
      </c>
      <c r="AD274" s="18">
        <v>20</v>
      </c>
      <c r="AE274" s="18">
        <v>25</v>
      </c>
      <c r="AF274" s="18" t="s">
        <v>29</v>
      </c>
      <c r="AG274" s="18" t="s">
        <v>196</v>
      </c>
      <c r="AH274" s="18" t="s">
        <v>196</v>
      </c>
      <c r="AI274" s="18" t="s">
        <v>66</v>
      </c>
      <c r="AJ274" s="18" t="s">
        <v>79</v>
      </c>
      <c r="AK274" s="18" t="s">
        <v>96</v>
      </c>
      <c r="AL274" s="18" t="s">
        <v>109</v>
      </c>
      <c r="AM274" s="18" t="s">
        <v>120</v>
      </c>
      <c r="AN274" s="18" t="s">
        <v>198</v>
      </c>
      <c r="AO274" s="18"/>
      <c r="AP274" s="18"/>
      <c r="AQ274" s="18">
        <f>+VLOOKUP(AI274,Leyenda!$B$30:$E$34,3,FALSE)</f>
        <v>1</v>
      </c>
      <c r="AR274" s="18">
        <f>+VLOOKUP('3. Blasting'!AJ274,Meteorizacion,3,FALSE)</f>
        <v>1</v>
      </c>
      <c r="AS274" s="18">
        <f>+VLOOKUP('3. Blasting'!AK274,Apertura,3,FALSE)</f>
        <v>1</v>
      </c>
      <c r="AT274" s="18">
        <f>+VLOOKUP('3. Blasting'!AL274,Leyenda!$B$55:$D$59,3,FALSE)</f>
        <v>1</v>
      </c>
      <c r="AU274" s="18">
        <f>+VLOOKUP('3. Blasting'!AM274,Relleno,3,FALSE)</f>
        <v>2</v>
      </c>
      <c r="AV274" s="18">
        <f t="shared" si="128"/>
        <v>6</v>
      </c>
      <c r="AW274" s="49">
        <f t="shared" si="115"/>
        <v>0</v>
      </c>
      <c r="AX274" s="49">
        <f>VLOOKUP(AF274,Leyenda!$B$4:$D$10,3,FALSE)</f>
        <v>2</v>
      </c>
      <c r="AY274" s="49">
        <f t="shared" si="109"/>
        <v>5</v>
      </c>
      <c r="AZ274" s="49">
        <f t="shared" si="116"/>
        <v>6</v>
      </c>
      <c r="BA274" s="49">
        <f>VLOOKUP(AN274,Leyenda!$B$70:$D$75,3,FALSE)</f>
        <v>15</v>
      </c>
      <c r="BB274" s="67">
        <f t="shared" si="117"/>
        <v>9</v>
      </c>
      <c r="BC274" s="67">
        <f>VLOOKUP(AF274,Leyenda!$B$4:$E$10,4,FALSE)</f>
        <v>2</v>
      </c>
      <c r="BD274" s="67">
        <f t="shared" si="118"/>
        <v>7</v>
      </c>
      <c r="BE274" s="67">
        <f t="shared" si="119"/>
        <v>0</v>
      </c>
      <c r="BF274" s="67">
        <f>+VLOOKUP('3. Blasting'!AK274,Leyenda!$B$47:$E$51,4,FALSE)</f>
        <v>1</v>
      </c>
      <c r="BG274" s="67">
        <f>+VLOOKUP('3. Blasting'!AL274,Leyenda!$B$55:$E$59,4,FALSE)</f>
        <v>1</v>
      </c>
      <c r="BH274" s="67">
        <f>+VLOOKUP('3. Blasting'!AM274,Leyenda!$B$63:$E$67,3,FALSE)</f>
        <v>2</v>
      </c>
      <c r="BI274" s="67">
        <f>+VLOOKUP('3. Blasting'!AJ274,Leyenda!$B$39:$E$43,4,FALSE)</f>
        <v>1</v>
      </c>
      <c r="BJ274" s="67">
        <f>+VLOOKUP('3. Blasting'!AI274,Leyenda!$B$30:$E$34,4,FALSE)</f>
        <v>1</v>
      </c>
      <c r="BK274" s="67">
        <f>VLOOKUP(AN274,Leyenda!$B$71:$E$75,4,FALSE)</f>
        <v>10</v>
      </c>
      <c r="BL274" s="67">
        <f t="shared" si="120"/>
        <v>25</v>
      </c>
      <c r="BM274" s="18">
        <f t="shared" si="121"/>
        <v>28</v>
      </c>
      <c r="BN274" s="18" t="e">
        <f t="shared" si="104"/>
        <v>#N/A</v>
      </c>
      <c r="BO274" s="18"/>
      <c r="BP274" s="6">
        <f t="shared" si="122"/>
        <v>10</v>
      </c>
      <c r="BQ274" s="6">
        <f t="shared" si="123"/>
        <v>10</v>
      </c>
      <c r="BR274" s="6">
        <v>20</v>
      </c>
      <c r="BS274" s="6">
        <f t="shared" si="124"/>
        <v>-2.5</v>
      </c>
      <c r="BT274" s="6">
        <f t="shared" si="125"/>
        <v>0.52500000000000002</v>
      </c>
      <c r="BU274" s="6">
        <f t="shared" si="126"/>
        <v>19.012499999999999</v>
      </c>
      <c r="BV274" s="18">
        <f t="shared" si="110"/>
        <v>7.6049999999999993E-2</v>
      </c>
      <c r="BW274" s="18">
        <f t="shared" si="111"/>
        <v>0.14449499999999998</v>
      </c>
    </row>
    <row r="275" spans="1:75" hidden="1" x14ac:dyDescent="0.25">
      <c r="A275" s="18" t="s">
        <v>6</v>
      </c>
      <c r="B275" s="18">
        <v>2024</v>
      </c>
      <c r="C275" s="18" t="s">
        <v>138</v>
      </c>
      <c r="D275" s="18" t="s">
        <v>130</v>
      </c>
      <c r="E275" s="18">
        <v>30</v>
      </c>
      <c r="F275" s="18" t="s">
        <v>152</v>
      </c>
      <c r="G275" s="18" t="s">
        <v>159</v>
      </c>
      <c r="H275" s="4">
        <f t="shared" si="105"/>
        <v>20.5</v>
      </c>
      <c r="I275" s="4">
        <v>21</v>
      </c>
      <c r="J275" s="4">
        <f t="shared" si="112"/>
        <v>0.5</v>
      </c>
      <c r="K275" s="5">
        <v>1</v>
      </c>
      <c r="L275" s="31">
        <f t="shared" si="113"/>
        <v>0.5</v>
      </c>
      <c r="M275" s="105">
        <v>1.9</v>
      </c>
      <c r="N275" s="31">
        <v>10.5</v>
      </c>
      <c r="O275" s="31">
        <f t="shared" si="108"/>
        <v>0.5</v>
      </c>
      <c r="P275" s="31">
        <v>25</v>
      </c>
      <c r="Q275" s="31">
        <v>20</v>
      </c>
      <c r="R275" s="31">
        <v>0.44</v>
      </c>
      <c r="S275" s="31">
        <v>0.14000000000000001</v>
      </c>
      <c r="T275" s="65">
        <f t="shared" si="127"/>
        <v>28.000000000000004</v>
      </c>
      <c r="U275" s="31">
        <v>3</v>
      </c>
      <c r="V275" s="31"/>
      <c r="W275" s="31">
        <f t="shared" si="106"/>
        <v>3</v>
      </c>
      <c r="X275" s="31">
        <f t="shared" si="107"/>
        <v>146.66666666666666</v>
      </c>
      <c r="Y275" s="31">
        <f t="shared" si="114"/>
        <v>0.14666666666666667</v>
      </c>
      <c r="Z275" s="18">
        <v>0</v>
      </c>
      <c r="AA275" s="18" t="s">
        <v>330</v>
      </c>
      <c r="AB275" s="18" t="s">
        <v>333</v>
      </c>
      <c r="AC275" s="18" t="s">
        <v>337</v>
      </c>
      <c r="AD275" s="18">
        <v>20</v>
      </c>
      <c r="AE275" s="18">
        <v>25</v>
      </c>
      <c r="AF275" s="18" t="s">
        <v>29</v>
      </c>
      <c r="AG275" s="18" t="s">
        <v>196</v>
      </c>
      <c r="AH275" s="18" t="s">
        <v>196</v>
      </c>
      <c r="AI275" s="18" t="s">
        <v>66</v>
      </c>
      <c r="AJ275" s="18" t="s">
        <v>79</v>
      </c>
      <c r="AK275" s="18" t="s">
        <v>96</v>
      </c>
      <c r="AL275" s="18" t="s">
        <v>109</v>
      </c>
      <c r="AM275" s="18" t="s">
        <v>120</v>
      </c>
      <c r="AN275" s="18" t="s">
        <v>198</v>
      </c>
      <c r="AO275" s="18"/>
      <c r="AP275" s="18"/>
      <c r="AQ275" s="18">
        <f>+VLOOKUP(AI275,Leyenda!$B$30:$E$34,3,FALSE)</f>
        <v>1</v>
      </c>
      <c r="AR275" s="18">
        <f>+VLOOKUP('3. Blasting'!AJ275,Meteorizacion,3,FALSE)</f>
        <v>1</v>
      </c>
      <c r="AS275" s="18">
        <f>+VLOOKUP('3. Blasting'!AK275,Apertura,3,FALSE)</f>
        <v>1</v>
      </c>
      <c r="AT275" s="18">
        <f>+VLOOKUP('3. Blasting'!AL275,Leyenda!$B$55:$D$59,3,FALSE)</f>
        <v>1</v>
      </c>
      <c r="AU275" s="18">
        <f>+VLOOKUP('3. Blasting'!AM275,Relleno,3,FALSE)</f>
        <v>2</v>
      </c>
      <c r="AV275" s="18">
        <f t="shared" si="128"/>
        <v>6</v>
      </c>
      <c r="AW275" s="49">
        <f t="shared" si="115"/>
        <v>0</v>
      </c>
      <c r="AX275" s="49">
        <f>VLOOKUP(AF275,Leyenda!$B$4:$D$10,3,FALSE)</f>
        <v>2</v>
      </c>
      <c r="AY275" s="49">
        <f t="shared" si="109"/>
        <v>5</v>
      </c>
      <c r="AZ275" s="49">
        <f t="shared" si="116"/>
        <v>6</v>
      </c>
      <c r="BA275" s="49">
        <f>VLOOKUP(AN275,Leyenda!$B$70:$D$75,3,FALSE)</f>
        <v>15</v>
      </c>
      <c r="BB275" s="67">
        <f t="shared" si="117"/>
        <v>23</v>
      </c>
      <c r="BC275" s="67">
        <f>VLOOKUP(AF275,Leyenda!$B$4:$E$10,4,FALSE)</f>
        <v>2</v>
      </c>
      <c r="BD275" s="67">
        <f t="shared" si="118"/>
        <v>10</v>
      </c>
      <c r="BE275" s="67">
        <f t="shared" si="119"/>
        <v>6</v>
      </c>
      <c r="BF275" s="67">
        <f>+VLOOKUP('3. Blasting'!AK275,Leyenda!$B$47:$E$51,4,FALSE)</f>
        <v>1</v>
      </c>
      <c r="BG275" s="67">
        <f>+VLOOKUP('3. Blasting'!AL275,Leyenda!$B$55:$E$59,4,FALSE)</f>
        <v>1</v>
      </c>
      <c r="BH275" s="67">
        <f>+VLOOKUP('3. Blasting'!AM275,Leyenda!$B$63:$E$67,3,FALSE)</f>
        <v>2</v>
      </c>
      <c r="BI275" s="67">
        <f>+VLOOKUP('3. Blasting'!AJ275,Leyenda!$B$39:$E$43,4,FALSE)</f>
        <v>1</v>
      </c>
      <c r="BJ275" s="67">
        <f>+VLOOKUP('3. Blasting'!AI275,Leyenda!$B$30:$E$34,4,FALSE)</f>
        <v>1</v>
      </c>
      <c r="BK275" s="67">
        <f>VLOOKUP(AN275,Leyenda!$B$71:$E$75,4,FALSE)</f>
        <v>10</v>
      </c>
      <c r="BL275" s="67">
        <f t="shared" si="120"/>
        <v>34</v>
      </c>
      <c r="BM275" s="18">
        <f t="shared" si="121"/>
        <v>28</v>
      </c>
      <c r="BN275" s="18" t="e">
        <f t="shared" si="104"/>
        <v>#N/A</v>
      </c>
      <c r="BO275" s="18"/>
      <c r="BP275" s="6">
        <f t="shared" si="122"/>
        <v>20</v>
      </c>
      <c r="BQ275" s="6">
        <f t="shared" si="123"/>
        <v>20</v>
      </c>
      <c r="BR275" s="6">
        <v>20</v>
      </c>
      <c r="BS275" s="6">
        <f t="shared" si="124"/>
        <v>-2.5</v>
      </c>
      <c r="BT275" s="6">
        <f t="shared" si="125"/>
        <v>0.52500000000000002</v>
      </c>
      <c r="BU275" s="6">
        <f t="shared" si="126"/>
        <v>29.012499999999999</v>
      </c>
      <c r="BV275" s="18">
        <f t="shared" si="110"/>
        <v>0.11605</v>
      </c>
      <c r="BW275" s="18">
        <f t="shared" si="111"/>
        <v>0.220495</v>
      </c>
    </row>
    <row r="276" spans="1:75" hidden="1" x14ac:dyDescent="0.25">
      <c r="A276" s="18" t="s">
        <v>6</v>
      </c>
      <c r="B276" s="18">
        <v>2024</v>
      </c>
      <c r="C276" s="18" t="s">
        <v>138</v>
      </c>
      <c r="D276" s="18" t="s">
        <v>130</v>
      </c>
      <c r="E276" s="18">
        <v>30</v>
      </c>
      <c r="F276" s="18" t="s">
        <v>152</v>
      </c>
      <c r="G276" s="18" t="s">
        <v>159</v>
      </c>
      <c r="H276" s="4">
        <f t="shared" si="105"/>
        <v>21</v>
      </c>
      <c r="I276" s="4">
        <v>21.5</v>
      </c>
      <c r="J276" s="4">
        <f t="shared" si="112"/>
        <v>0.5</v>
      </c>
      <c r="K276" s="5">
        <v>1</v>
      </c>
      <c r="L276" s="31">
        <f t="shared" si="113"/>
        <v>0.5</v>
      </c>
      <c r="M276" s="105">
        <v>1.9</v>
      </c>
      <c r="N276" s="31">
        <v>10.5</v>
      </c>
      <c r="O276" s="31">
        <f t="shared" si="108"/>
        <v>0.5</v>
      </c>
      <c r="P276" s="31">
        <v>25</v>
      </c>
      <c r="Q276" s="31">
        <v>20</v>
      </c>
      <c r="R276" s="31">
        <v>0.48</v>
      </c>
      <c r="S276" s="31">
        <v>0.25</v>
      </c>
      <c r="T276" s="65">
        <f t="shared" si="127"/>
        <v>50</v>
      </c>
      <c r="U276" s="31">
        <v>3</v>
      </c>
      <c r="V276" s="31"/>
      <c r="W276" s="31">
        <f t="shared" si="106"/>
        <v>3</v>
      </c>
      <c r="X276" s="31">
        <f t="shared" si="107"/>
        <v>160</v>
      </c>
      <c r="Y276" s="31">
        <f t="shared" si="114"/>
        <v>0.16</v>
      </c>
      <c r="Z276" s="18">
        <v>0</v>
      </c>
      <c r="AA276" s="18" t="s">
        <v>330</v>
      </c>
      <c r="AB276" s="18" t="s">
        <v>333</v>
      </c>
      <c r="AC276" s="18" t="s">
        <v>337</v>
      </c>
      <c r="AD276" s="18">
        <v>20</v>
      </c>
      <c r="AE276" s="18">
        <v>25</v>
      </c>
      <c r="AF276" s="18" t="s">
        <v>29</v>
      </c>
      <c r="AG276" s="18" t="s">
        <v>199</v>
      </c>
      <c r="AH276" s="18" t="s">
        <v>199</v>
      </c>
      <c r="AI276" s="18" t="s">
        <v>66</v>
      </c>
      <c r="AJ276" s="18" t="s">
        <v>81</v>
      </c>
      <c r="AK276" s="18" t="s">
        <v>96</v>
      </c>
      <c r="AL276" s="18" t="s">
        <v>109</v>
      </c>
      <c r="AM276" s="18" t="s">
        <v>120</v>
      </c>
      <c r="AN276" s="18" t="s">
        <v>198</v>
      </c>
      <c r="AO276" s="18"/>
      <c r="AP276" s="18"/>
      <c r="AQ276" s="18">
        <f>+VLOOKUP(AI276,Leyenda!$B$30:$E$34,3,FALSE)</f>
        <v>1</v>
      </c>
      <c r="AR276" s="18">
        <f>+VLOOKUP('3. Blasting'!AJ276,Meteorizacion,3,FALSE)</f>
        <v>0</v>
      </c>
      <c r="AS276" s="18">
        <f>+VLOOKUP('3. Blasting'!AK276,Apertura,3,FALSE)</f>
        <v>1</v>
      </c>
      <c r="AT276" s="18">
        <f>+VLOOKUP('3. Blasting'!AL276,Leyenda!$B$55:$D$59,3,FALSE)</f>
        <v>1</v>
      </c>
      <c r="AU276" s="18">
        <f>+VLOOKUP('3. Blasting'!AM276,Relleno,3,FALSE)</f>
        <v>2</v>
      </c>
      <c r="AV276" s="18">
        <f t="shared" si="128"/>
        <v>5</v>
      </c>
      <c r="AW276" s="49">
        <f t="shared" si="115"/>
        <v>0</v>
      </c>
      <c r="AX276" s="49">
        <f>VLOOKUP(AF276,Leyenda!$B$4:$D$10,3,FALSE)</f>
        <v>2</v>
      </c>
      <c r="AY276" s="49">
        <f t="shared" si="109"/>
        <v>5</v>
      </c>
      <c r="AZ276" s="49">
        <f t="shared" si="116"/>
        <v>5</v>
      </c>
      <c r="BA276" s="49">
        <f>VLOOKUP(AN276,Leyenda!$B$70:$D$75,3,FALSE)</f>
        <v>15</v>
      </c>
      <c r="BB276" s="67">
        <f t="shared" si="117"/>
        <v>32.5</v>
      </c>
      <c r="BC276" s="67">
        <f>VLOOKUP(AF276,Leyenda!$B$4:$E$10,4,FALSE)</f>
        <v>2</v>
      </c>
      <c r="BD276" s="67">
        <f t="shared" si="118"/>
        <v>11</v>
      </c>
      <c r="BE276" s="67">
        <f t="shared" si="119"/>
        <v>10</v>
      </c>
      <c r="BF276" s="67">
        <f>+VLOOKUP('3. Blasting'!AK276,Leyenda!$B$47:$E$51,4,FALSE)</f>
        <v>1</v>
      </c>
      <c r="BG276" s="67">
        <f>+VLOOKUP('3. Blasting'!AL276,Leyenda!$B$55:$E$59,4,FALSE)</f>
        <v>1</v>
      </c>
      <c r="BH276" s="67">
        <f>+VLOOKUP('3. Blasting'!AM276,Leyenda!$B$63:$E$67,3,FALSE)</f>
        <v>2</v>
      </c>
      <c r="BI276" s="67">
        <f>+VLOOKUP('3. Blasting'!AJ276,Leyenda!$B$39:$E$43,4,FALSE)</f>
        <v>0</v>
      </c>
      <c r="BJ276" s="67">
        <f>+VLOOKUP('3. Blasting'!AI276,Leyenda!$B$30:$E$34,4,FALSE)</f>
        <v>1</v>
      </c>
      <c r="BK276" s="67">
        <f>VLOOKUP(AN276,Leyenda!$B$71:$E$75,4,FALSE)</f>
        <v>10</v>
      </c>
      <c r="BL276" s="67">
        <f t="shared" si="120"/>
        <v>38</v>
      </c>
      <c r="BM276" s="18">
        <f t="shared" si="121"/>
        <v>27</v>
      </c>
      <c r="BN276" s="18" t="e">
        <f t="shared" si="104"/>
        <v>#N/A</v>
      </c>
      <c r="BO276" s="18"/>
      <c r="BP276" s="6">
        <f t="shared" si="122"/>
        <v>20</v>
      </c>
      <c r="BQ276" s="6">
        <f t="shared" si="123"/>
        <v>20</v>
      </c>
      <c r="BR276" s="6">
        <v>20</v>
      </c>
      <c r="BS276" s="6">
        <f t="shared" si="124"/>
        <v>-2.5</v>
      </c>
      <c r="BT276" s="6">
        <f t="shared" si="125"/>
        <v>0.52500000000000002</v>
      </c>
      <c r="BU276" s="6">
        <f t="shared" si="126"/>
        <v>29.012499999999999</v>
      </c>
      <c r="BV276" s="18">
        <f t="shared" si="110"/>
        <v>0.11605</v>
      </c>
      <c r="BW276" s="18">
        <f t="shared" si="111"/>
        <v>0.220495</v>
      </c>
    </row>
    <row r="277" spans="1:75" hidden="1" x14ac:dyDescent="0.25">
      <c r="A277" s="18" t="s">
        <v>6</v>
      </c>
      <c r="B277" s="18">
        <v>2024</v>
      </c>
      <c r="C277" s="18" t="s">
        <v>138</v>
      </c>
      <c r="D277" s="18" t="s">
        <v>130</v>
      </c>
      <c r="E277" s="18">
        <v>30</v>
      </c>
      <c r="F277" s="18" t="s">
        <v>152</v>
      </c>
      <c r="G277" s="18" t="s">
        <v>159</v>
      </c>
      <c r="H277" s="4">
        <f t="shared" si="105"/>
        <v>21.5</v>
      </c>
      <c r="I277" s="4">
        <v>22</v>
      </c>
      <c r="J277" s="4">
        <f t="shared" si="112"/>
        <v>0.5</v>
      </c>
      <c r="K277" s="5">
        <v>1</v>
      </c>
      <c r="L277" s="31">
        <f t="shared" si="113"/>
        <v>0.5</v>
      </c>
      <c r="M277" s="105">
        <v>1.9</v>
      </c>
      <c r="N277" s="31">
        <v>10.5</v>
      </c>
      <c r="O277" s="31">
        <f t="shared" si="108"/>
        <v>0.5</v>
      </c>
      <c r="P277" s="31">
        <v>25</v>
      </c>
      <c r="Q277" s="31">
        <v>20</v>
      </c>
      <c r="R277" s="31">
        <v>0.5</v>
      </c>
      <c r="S277" s="31">
        <v>0</v>
      </c>
      <c r="T277" s="65">
        <f t="shared" si="127"/>
        <v>0</v>
      </c>
      <c r="U277" s="31">
        <v>10</v>
      </c>
      <c r="V277" s="31"/>
      <c r="W277" s="31">
        <f t="shared" si="106"/>
        <v>10</v>
      </c>
      <c r="X277" s="31">
        <f t="shared" si="107"/>
        <v>50</v>
      </c>
      <c r="Y277" s="31">
        <f t="shared" si="114"/>
        <v>0.05</v>
      </c>
      <c r="Z277" s="18">
        <v>0</v>
      </c>
      <c r="AA277" s="18" t="s">
        <v>330</v>
      </c>
      <c r="AB277" s="18" t="s">
        <v>333</v>
      </c>
      <c r="AC277" s="18" t="s">
        <v>337</v>
      </c>
      <c r="AD277" s="18">
        <v>20</v>
      </c>
      <c r="AE277" s="18">
        <v>25</v>
      </c>
      <c r="AF277" s="18" t="s">
        <v>29</v>
      </c>
      <c r="AG277" s="18" t="s">
        <v>199</v>
      </c>
      <c r="AH277" s="18" t="s">
        <v>199</v>
      </c>
      <c r="AI277" s="18" t="s">
        <v>66</v>
      </c>
      <c r="AJ277" s="18" t="s">
        <v>81</v>
      </c>
      <c r="AK277" s="18" t="s">
        <v>96</v>
      </c>
      <c r="AL277" s="18" t="s">
        <v>109</v>
      </c>
      <c r="AM277" s="18" t="s">
        <v>120</v>
      </c>
      <c r="AN277" s="18" t="s">
        <v>198</v>
      </c>
      <c r="AO277" s="18"/>
      <c r="AP277" s="18"/>
      <c r="AQ277" s="18">
        <f>+VLOOKUP(AI277,Leyenda!$B$30:$E$34,3,FALSE)</f>
        <v>1</v>
      </c>
      <c r="AR277" s="18">
        <f>+VLOOKUP('3. Blasting'!AJ277,Meteorizacion,3,FALSE)</f>
        <v>0</v>
      </c>
      <c r="AS277" s="18">
        <f>+VLOOKUP('3. Blasting'!AK277,Apertura,3,FALSE)</f>
        <v>1</v>
      </c>
      <c r="AT277" s="18">
        <f>+VLOOKUP('3. Blasting'!AL277,Leyenda!$B$55:$D$59,3,FALSE)</f>
        <v>1</v>
      </c>
      <c r="AU277" s="18">
        <f>+VLOOKUP('3. Blasting'!AM277,Relleno,3,FALSE)</f>
        <v>2</v>
      </c>
      <c r="AV277" s="18">
        <f t="shared" si="128"/>
        <v>5</v>
      </c>
      <c r="AW277" s="49">
        <f t="shared" si="115"/>
        <v>0</v>
      </c>
      <c r="AX277" s="49">
        <f>VLOOKUP(AF277,Leyenda!$B$4:$D$10,3,FALSE)</f>
        <v>2</v>
      </c>
      <c r="AY277" s="49">
        <f t="shared" si="109"/>
        <v>5</v>
      </c>
      <c r="AZ277" s="49">
        <f t="shared" si="116"/>
        <v>5</v>
      </c>
      <c r="BA277" s="49">
        <f>VLOOKUP(AN277,Leyenda!$B$70:$D$75,3,FALSE)</f>
        <v>15</v>
      </c>
      <c r="BB277" s="67">
        <f t="shared" si="117"/>
        <v>7.5</v>
      </c>
      <c r="BC277" s="67">
        <f>VLOOKUP(AF277,Leyenda!$B$4:$E$10,4,FALSE)</f>
        <v>2</v>
      </c>
      <c r="BD277" s="67">
        <f t="shared" si="118"/>
        <v>5</v>
      </c>
      <c r="BE277" s="67">
        <f t="shared" si="119"/>
        <v>0</v>
      </c>
      <c r="BF277" s="67">
        <f>+VLOOKUP('3. Blasting'!AK277,Leyenda!$B$47:$E$51,4,FALSE)</f>
        <v>1</v>
      </c>
      <c r="BG277" s="67">
        <f>+VLOOKUP('3. Blasting'!AL277,Leyenda!$B$55:$E$59,4,FALSE)</f>
        <v>1</v>
      </c>
      <c r="BH277" s="67">
        <f>+VLOOKUP('3. Blasting'!AM277,Leyenda!$B$63:$E$67,3,FALSE)</f>
        <v>2</v>
      </c>
      <c r="BI277" s="67">
        <f>+VLOOKUP('3. Blasting'!AJ277,Leyenda!$B$39:$E$43,4,FALSE)</f>
        <v>0</v>
      </c>
      <c r="BJ277" s="67">
        <f>+VLOOKUP('3. Blasting'!AI277,Leyenda!$B$30:$E$34,4,FALSE)</f>
        <v>1</v>
      </c>
      <c r="BK277" s="67">
        <f>VLOOKUP(AN277,Leyenda!$B$71:$E$75,4,FALSE)</f>
        <v>10</v>
      </c>
      <c r="BL277" s="67">
        <f t="shared" si="120"/>
        <v>22</v>
      </c>
      <c r="BM277" s="18">
        <f t="shared" si="121"/>
        <v>27</v>
      </c>
      <c r="BN277" s="18" t="e">
        <f t="shared" si="104"/>
        <v>#N/A</v>
      </c>
      <c r="BO277" s="18"/>
      <c r="BP277" s="6">
        <f t="shared" si="122"/>
        <v>10</v>
      </c>
      <c r="BQ277" s="6">
        <f t="shared" si="123"/>
        <v>10</v>
      </c>
      <c r="BR277" s="6">
        <v>20</v>
      </c>
      <c r="BS277" s="6">
        <f t="shared" si="124"/>
        <v>-2.5</v>
      </c>
      <c r="BT277" s="6">
        <f t="shared" si="125"/>
        <v>0.52500000000000002</v>
      </c>
      <c r="BU277" s="6">
        <f t="shared" si="126"/>
        <v>19.012499999999999</v>
      </c>
      <c r="BV277" s="18">
        <f t="shared" si="110"/>
        <v>7.6049999999999993E-2</v>
      </c>
      <c r="BW277" s="18">
        <f t="shared" si="111"/>
        <v>0.14449499999999998</v>
      </c>
    </row>
    <row r="278" spans="1:75" hidden="1" x14ac:dyDescent="0.25">
      <c r="A278" s="18" t="s">
        <v>6</v>
      </c>
      <c r="B278" s="18">
        <v>2024</v>
      </c>
      <c r="C278" s="18" t="s">
        <v>138</v>
      </c>
      <c r="D278" s="18" t="s">
        <v>130</v>
      </c>
      <c r="E278" s="18">
        <v>30</v>
      </c>
      <c r="F278" s="18" t="s">
        <v>152</v>
      </c>
      <c r="G278" s="18" t="s">
        <v>181</v>
      </c>
      <c r="H278" s="4">
        <f t="shared" si="105"/>
        <v>22</v>
      </c>
      <c r="I278" s="4">
        <v>22.5</v>
      </c>
      <c r="J278" s="4">
        <f t="shared" si="112"/>
        <v>0.5</v>
      </c>
      <c r="K278" s="5">
        <v>1</v>
      </c>
      <c r="L278" s="31">
        <f t="shared" si="113"/>
        <v>0.5</v>
      </c>
      <c r="M278" s="105">
        <v>1.9</v>
      </c>
      <c r="N278" s="31">
        <v>10.5</v>
      </c>
      <c r="O278" s="31">
        <f t="shared" si="108"/>
        <v>0.5</v>
      </c>
      <c r="P278" s="31">
        <v>100</v>
      </c>
      <c r="Q278" s="31">
        <v>5</v>
      </c>
      <c r="R278" s="31">
        <v>0.5</v>
      </c>
      <c r="S278" s="31">
        <v>0.44</v>
      </c>
      <c r="T278" s="65">
        <f t="shared" si="127"/>
        <v>88</v>
      </c>
      <c r="U278" s="31">
        <v>3</v>
      </c>
      <c r="V278" s="31"/>
      <c r="W278" s="31">
        <f t="shared" si="106"/>
        <v>3</v>
      </c>
      <c r="X278" s="31">
        <f t="shared" si="107"/>
        <v>166.66666666666666</v>
      </c>
      <c r="Y278" s="31">
        <f t="shared" si="114"/>
        <v>0.16666666666666666</v>
      </c>
      <c r="Z278" s="18">
        <v>90</v>
      </c>
      <c r="AA278" s="18" t="s">
        <v>96</v>
      </c>
      <c r="AB278" s="18" t="s">
        <v>118</v>
      </c>
      <c r="AC278" s="18" t="s">
        <v>334</v>
      </c>
      <c r="AD278" s="18">
        <v>5</v>
      </c>
      <c r="AE278" s="18">
        <v>100</v>
      </c>
      <c r="AF278" s="18" t="s">
        <v>27</v>
      </c>
      <c r="AG278" s="18" t="s">
        <v>199</v>
      </c>
      <c r="AH278" s="18" t="s">
        <v>199</v>
      </c>
      <c r="AI278" s="18" t="s">
        <v>66</v>
      </c>
      <c r="AJ278" s="18" t="s">
        <v>81</v>
      </c>
      <c r="AK278" s="18" t="s">
        <v>96</v>
      </c>
      <c r="AL278" s="18" t="s">
        <v>109</v>
      </c>
      <c r="AM278" s="18" t="s">
        <v>120</v>
      </c>
      <c r="AN278" s="18" t="s">
        <v>198</v>
      </c>
      <c r="AO278" s="18" t="s">
        <v>257</v>
      </c>
      <c r="AP278" s="18"/>
      <c r="AQ278" s="18">
        <f>+VLOOKUP(AI278,Leyenda!$B$30:$E$34,3,FALSE)</f>
        <v>1</v>
      </c>
      <c r="AR278" s="18">
        <f>+VLOOKUP('3. Blasting'!AJ278,Meteorizacion,3,FALSE)</f>
        <v>0</v>
      </c>
      <c r="AS278" s="18">
        <f>+VLOOKUP('3. Blasting'!AK278,Apertura,3,FALSE)</f>
        <v>1</v>
      </c>
      <c r="AT278" s="18">
        <f>+VLOOKUP('3. Blasting'!AL278,Leyenda!$B$55:$D$59,3,FALSE)</f>
        <v>1</v>
      </c>
      <c r="AU278" s="18">
        <f>+VLOOKUP('3. Blasting'!AM278,Relleno,3,FALSE)</f>
        <v>2</v>
      </c>
      <c r="AV278" s="18">
        <f t="shared" si="128"/>
        <v>5</v>
      </c>
      <c r="AW278" s="49">
        <f t="shared" si="115"/>
        <v>18</v>
      </c>
      <c r="AX278" s="49">
        <f>VLOOKUP(AF278,Leyenda!$B$4:$D$10,3,FALSE)</f>
        <v>4</v>
      </c>
      <c r="AY278" s="49">
        <f t="shared" si="109"/>
        <v>7</v>
      </c>
      <c r="AZ278" s="49">
        <f t="shared" si="116"/>
        <v>5</v>
      </c>
      <c r="BA278" s="49">
        <f>VLOOKUP(AN278,Leyenda!$B$70:$D$75,3,FALSE)</f>
        <v>15</v>
      </c>
      <c r="BB278" s="67">
        <f t="shared" si="117"/>
        <v>51.5</v>
      </c>
      <c r="BC278" s="67">
        <f>VLOOKUP(AF278,Leyenda!$B$4:$E$10,4,FALSE)</f>
        <v>4</v>
      </c>
      <c r="BD278" s="67">
        <f t="shared" si="118"/>
        <v>11</v>
      </c>
      <c r="BE278" s="67">
        <f t="shared" si="119"/>
        <v>18</v>
      </c>
      <c r="BF278" s="67">
        <f>+VLOOKUP('3. Blasting'!AK278,Leyenda!$B$47:$E$51,4,FALSE)</f>
        <v>1</v>
      </c>
      <c r="BG278" s="67">
        <f>+VLOOKUP('3. Blasting'!AL278,Leyenda!$B$55:$E$59,4,FALSE)</f>
        <v>1</v>
      </c>
      <c r="BH278" s="67">
        <f>+VLOOKUP('3. Blasting'!AM278,Leyenda!$B$63:$E$67,3,FALSE)</f>
        <v>2</v>
      </c>
      <c r="BI278" s="67">
        <f>+VLOOKUP('3. Blasting'!AJ278,Leyenda!$B$39:$E$43,4,FALSE)</f>
        <v>0</v>
      </c>
      <c r="BJ278" s="67">
        <f>+VLOOKUP('3. Blasting'!AI278,Leyenda!$B$30:$E$34,4,FALSE)</f>
        <v>1</v>
      </c>
      <c r="BK278" s="67">
        <f>VLOOKUP(AN278,Leyenda!$B$71:$E$75,4,FALSE)</f>
        <v>10</v>
      </c>
      <c r="BL278" s="67">
        <f t="shared" si="120"/>
        <v>48</v>
      </c>
      <c r="BM278" s="18">
        <f t="shared" si="121"/>
        <v>49</v>
      </c>
      <c r="BN278" s="18" t="e">
        <f t="shared" si="104"/>
        <v>#N/A</v>
      </c>
      <c r="BO278" s="18"/>
      <c r="BP278" s="6">
        <f t="shared" si="122"/>
        <v>30</v>
      </c>
      <c r="BQ278" s="6">
        <f t="shared" si="123"/>
        <v>20</v>
      </c>
      <c r="BR278" s="6">
        <v>20</v>
      </c>
      <c r="BS278" s="6">
        <f t="shared" si="124"/>
        <v>-2.5</v>
      </c>
      <c r="BT278" s="6">
        <f t="shared" si="125"/>
        <v>0.52500000000000002</v>
      </c>
      <c r="BU278" s="6">
        <f t="shared" si="126"/>
        <v>34.012500000000003</v>
      </c>
      <c r="BV278" s="18">
        <f t="shared" si="110"/>
        <v>0.13605</v>
      </c>
      <c r="BW278" s="18">
        <f t="shared" si="111"/>
        <v>0.25849499999999997</v>
      </c>
    </row>
    <row r="279" spans="1:75" hidden="1" x14ac:dyDescent="0.25">
      <c r="A279" s="18" t="s">
        <v>6</v>
      </c>
      <c r="B279" s="18">
        <v>2024</v>
      </c>
      <c r="C279" s="18" t="s">
        <v>138</v>
      </c>
      <c r="D279" s="18" t="s">
        <v>130</v>
      </c>
      <c r="E279" s="18">
        <v>30</v>
      </c>
      <c r="F279" s="18" t="s">
        <v>152</v>
      </c>
      <c r="G279" s="18" t="s">
        <v>181</v>
      </c>
      <c r="H279" s="4">
        <f t="shared" si="105"/>
        <v>22.5</v>
      </c>
      <c r="I279" s="4">
        <v>23</v>
      </c>
      <c r="J279" s="4">
        <f t="shared" si="112"/>
        <v>0.5</v>
      </c>
      <c r="K279" s="5">
        <v>1</v>
      </c>
      <c r="L279" s="31">
        <f t="shared" si="113"/>
        <v>0.5</v>
      </c>
      <c r="M279" s="105">
        <v>1.9</v>
      </c>
      <c r="N279" s="31">
        <v>10.5</v>
      </c>
      <c r="O279" s="31">
        <f t="shared" si="108"/>
        <v>0.5</v>
      </c>
      <c r="P279" s="31">
        <v>500</v>
      </c>
      <c r="Q279" s="31">
        <v>1</v>
      </c>
      <c r="R279" s="31">
        <v>0.5</v>
      </c>
      <c r="S279" s="31">
        <v>0.27</v>
      </c>
      <c r="T279" s="65">
        <f t="shared" si="127"/>
        <v>54</v>
      </c>
      <c r="U279" s="31">
        <v>4</v>
      </c>
      <c r="V279" s="31"/>
      <c r="W279" s="31">
        <f t="shared" si="106"/>
        <v>4</v>
      </c>
      <c r="X279" s="31">
        <f t="shared" si="107"/>
        <v>125</v>
      </c>
      <c r="Y279" s="31">
        <f t="shared" si="114"/>
        <v>0.125</v>
      </c>
      <c r="Z279" s="18">
        <v>56</v>
      </c>
      <c r="AA279" s="18" t="s">
        <v>96</v>
      </c>
      <c r="AB279" s="18" t="s">
        <v>116</v>
      </c>
      <c r="AC279" s="18" t="s">
        <v>334</v>
      </c>
      <c r="AD279" s="18">
        <v>1</v>
      </c>
      <c r="AE279" s="18">
        <v>500</v>
      </c>
      <c r="AF279" s="18" t="s">
        <v>27</v>
      </c>
      <c r="AG279" s="18" t="s">
        <v>29</v>
      </c>
      <c r="AH279" s="18" t="s">
        <v>29</v>
      </c>
      <c r="AI279" s="18" t="s">
        <v>64</v>
      </c>
      <c r="AJ279" s="18" t="s">
        <v>81</v>
      </c>
      <c r="AK279" s="18" t="s">
        <v>96</v>
      </c>
      <c r="AL279" s="18" t="s">
        <v>107</v>
      </c>
      <c r="AM279" s="18" t="s">
        <v>120</v>
      </c>
      <c r="AN279" s="18" t="s">
        <v>198</v>
      </c>
      <c r="AO279" s="18" t="s">
        <v>258</v>
      </c>
      <c r="AP279" s="18"/>
      <c r="AQ279" s="18">
        <f>+VLOOKUP(AI279,Leyenda!$B$30:$E$34,3,FALSE)</f>
        <v>2</v>
      </c>
      <c r="AR279" s="18">
        <f>+VLOOKUP('3. Blasting'!AJ279,Meteorizacion,3,FALSE)</f>
        <v>0</v>
      </c>
      <c r="AS279" s="18">
        <f>+VLOOKUP('3. Blasting'!AK279,Apertura,3,FALSE)</f>
        <v>1</v>
      </c>
      <c r="AT279" s="18">
        <f>+VLOOKUP('3. Blasting'!AL279,Leyenda!$B$55:$D$59,3,FALSE)</f>
        <v>3</v>
      </c>
      <c r="AU279" s="18">
        <f>+VLOOKUP('3. Blasting'!AM279,Relleno,3,FALSE)</f>
        <v>2</v>
      </c>
      <c r="AV279" s="18">
        <f t="shared" si="128"/>
        <v>8</v>
      </c>
      <c r="AW279" s="49">
        <f t="shared" si="115"/>
        <v>12</v>
      </c>
      <c r="AX279" s="49">
        <f>VLOOKUP(AF279,Leyenda!$B$4:$D$10,3,FALSE)</f>
        <v>4</v>
      </c>
      <c r="AY279" s="49">
        <f t="shared" si="109"/>
        <v>12</v>
      </c>
      <c r="AZ279" s="49">
        <f t="shared" si="116"/>
        <v>8</v>
      </c>
      <c r="BA279" s="49">
        <f>VLOOKUP(AN279,Leyenda!$B$70:$D$75,3,FALSE)</f>
        <v>15</v>
      </c>
      <c r="BB279" s="67">
        <f t="shared" si="117"/>
        <v>39</v>
      </c>
      <c r="BC279" s="67">
        <f>VLOOKUP(AF279,Leyenda!$B$4:$E$10,4,FALSE)</f>
        <v>4</v>
      </c>
      <c r="BD279" s="67">
        <f t="shared" si="118"/>
        <v>10</v>
      </c>
      <c r="BE279" s="67">
        <f t="shared" si="119"/>
        <v>11</v>
      </c>
      <c r="BF279" s="67">
        <f>+VLOOKUP('3. Blasting'!AK279,Leyenda!$B$47:$E$51,4,FALSE)</f>
        <v>1</v>
      </c>
      <c r="BG279" s="67">
        <f>+VLOOKUP('3. Blasting'!AL279,Leyenda!$B$55:$E$59,4,FALSE)</f>
        <v>3</v>
      </c>
      <c r="BH279" s="67">
        <f>+VLOOKUP('3. Blasting'!AM279,Leyenda!$B$63:$E$67,3,FALSE)</f>
        <v>2</v>
      </c>
      <c r="BI279" s="67">
        <f>+VLOOKUP('3. Blasting'!AJ279,Leyenda!$B$39:$E$43,4,FALSE)</f>
        <v>0</v>
      </c>
      <c r="BJ279" s="67">
        <f>+VLOOKUP('3. Blasting'!AI279,Leyenda!$B$30:$E$34,4,FALSE)</f>
        <v>3</v>
      </c>
      <c r="BK279" s="67">
        <f>VLOOKUP(AN279,Leyenda!$B$71:$E$75,4,FALSE)</f>
        <v>10</v>
      </c>
      <c r="BL279" s="67">
        <f t="shared" si="120"/>
        <v>44</v>
      </c>
      <c r="BM279" s="18">
        <f t="shared" si="121"/>
        <v>51</v>
      </c>
      <c r="BN279" s="18" t="e">
        <f t="shared" si="104"/>
        <v>#N/A</v>
      </c>
      <c r="BO279" s="18"/>
      <c r="BP279" s="6">
        <f t="shared" si="122"/>
        <v>30</v>
      </c>
      <c r="BQ279" s="6">
        <f t="shared" si="123"/>
        <v>20</v>
      </c>
      <c r="BR279" s="6">
        <v>20</v>
      </c>
      <c r="BS279" s="6">
        <f t="shared" si="124"/>
        <v>-2.5</v>
      </c>
      <c r="BT279" s="6">
        <f t="shared" si="125"/>
        <v>0.52500000000000002</v>
      </c>
      <c r="BU279" s="6">
        <f t="shared" si="126"/>
        <v>34.012500000000003</v>
      </c>
      <c r="BV279" s="18">
        <f t="shared" si="110"/>
        <v>0.13605</v>
      </c>
      <c r="BW279" s="18">
        <f t="shared" si="111"/>
        <v>0.25849499999999997</v>
      </c>
    </row>
    <row r="280" spans="1:75" hidden="1" x14ac:dyDescent="0.25">
      <c r="A280" s="18" t="s">
        <v>6</v>
      </c>
      <c r="B280" s="18">
        <v>2024</v>
      </c>
      <c r="C280" s="18" t="s">
        <v>138</v>
      </c>
      <c r="D280" s="18" t="s">
        <v>130</v>
      </c>
      <c r="E280" s="18">
        <v>30</v>
      </c>
      <c r="F280" s="18" t="s">
        <v>152</v>
      </c>
      <c r="G280" s="18" t="s">
        <v>181</v>
      </c>
      <c r="H280" s="4">
        <f t="shared" si="105"/>
        <v>23</v>
      </c>
      <c r="I280" s="4">
        <v>23.5</v>
      </c>
      <c r="J280" s="4">
        <f t="shared" si="112"/>
        <v>0.5</v>
      </c>
      <c r="K280" s="5">
        <v>1</v>
      </c>
      <c r="L280" s="31">
        <f t="shared" si="113"/>
        <v>0.5</v>
      </c>
      <c r="M280" s="105">
        <v>1.9</v>
      </c>
      <c r="N280" s="31">
        <v>10.5</v>
      </c>
      <c r="O280" s="31">
        <f t="shared" si="108"/>
        <v>0.5</v>
      </c>
      <c r="P280" s="31">
        <v>100</v>
      </c>
      <c r="Q280" s="31">
        <v>5</v>
      </c>
      <c r="R280" s="31">
        <v>0.5</v>
      </c>
      <c r="S280" s="31">
        <v>0.46</v>
      </c>
      <c r="T280" s="65">
        <f t="shared" si="127"/>
        <v>92</v>
      </c>
      <c r="U280" s="31">
        <v>2</v>
      </c>
      <c r="V280" s="31"/>
      <c r="W280" s="31">
        <f t="shared" si="106"/>
        <v>2</v>
      </c>
      <c r="X280" s="31">
        <f t="shared" si="107"/>
        <v>250</v>
      </c>
      <c r="Y280" s="31">
        <f t="shared" si="114"/>
        <v>0.25</v>
      </c>
      <c r="Z280" s="18">
        <v>98</v>
      </c>
      <c r="AA280" s="18" t="s">
        <v>96</v>
      </c>
      <c r="AB280" s="18" t="s">
        <v>118</v>
      </c>
      <c r="AC280" s="18" t="s">
        <v>334</v>
      </c>
      <c r="AD280" s="18">
        <v>5</v>
      </c>
      <c r="AE280" s="18">
        <v>100</v>
      </c>
      <c r="AF280" s="18" t="s">
        <v>27</v>
      </c>
      <c r="AG280" s="18" t="s">
        <v>29</v>
      </c>
      <c r="AH280" s="18" t="s">
        <v>29</v>
      </c>
      <c r="AI280" s="18" t="s">
        <v>64</v>
      </c>
      <c r="AJ280" s="18" t="s">
        <v>79</v>
      </c>
      <c r="AK280" s="18" t="s">
        <v>92</v>
      </c>
      <c r="AL280" s="18" t="s">
        <v>107</v>
      </c>
      <c r="AM280" s="18" t="s">
        <v>120</v>
      </c>
      <c r="AN280" s="18" t="s">
        <v>198</v>
      </c>
      <c r="AO280" s="18" t="s">
        <v>259</v>
      </c>
      <c r="AP280" s="18"/>
      <c r="AQ280" s="18">
        <f>+VLOOKUP(AI280,Leyenda!$B$30:$E$34,3,FALSE)</f>
        <v>2</v>
      </c>
      <c r="AR280" s="18">
        <f>+VLOOKUP('3. Blasting'!AJ280,Meteorizacion,3,FALSE)</f>
        <v>1</v>
      </c>
      <c r="AS280" s="18">
        <f>+VLOOKUP('3. Blasting'!AK280,Apertura,3,FALSE)</f>
        <v>3</v>
      </c>
      <c r="AT280" s="18">
        <f>+VLOOKUP('3. Blasting'!AL280,Leyenda!$B$55:$D$59,3,FALSE)</f>
        <v>3</v>
      </c>
      <c r="AU280" s="18">
        <f>+VLOOKUP('3. Blasting'!AM280,Relleno,3,FALSE)</f>
        <v>2</v>
      </c>
      <c r="AV280" s="18">
        <f t="shared" si="128"/>
        <v>11</v>
      </c>
      <c r="AW280" s="49">
        <f t="shared" si="115"/>
        <v>20</v>
      </c>
      <c r="AX280" s="49">
        <f>VLOOKUP(AF280,Leyenda!$B$4:$D$10,3,FALSE)</f>
        <v>4</v>
      </c>
      <c r="AY280" s="49">
        <f t="shared" si="109"/>
        <v>7</v>
      </c>
      <c r="AZ280" s="49">
        <f t="shared" si="116"/>
        <v>11</v>
      </c>
      <c r="BA280" s="49">
        <f>VLOOKUP(AN280,Leyenda!$B$70:$D$75,3,FALSE)</f>
        <v>15</v>
      </c>
      <c r="BB280" s="67">
        <f t="shared" si="117"/>
        <v>62.5</v>
      </c>
      <c r="BC280" s="67">
        <f>VLOOKUP(AF280,Leyenda!$B$4:$E$10,4,FALSE)</f>
        <v>4</v>
      </c>
      <c r="BD280" s="67">
        <f t="shared" si="118"/>
        <v>14</v>
      </c>
      <c r="BE280" s="67">
        <f t="shared" si="119"/>
        <v>19</v>
      </c>
      <c r="BF280" s="67">
        <f>+VLOOKUP('3. Blasting'!AK280,Leyenda!$B$47:$E$51,4,FALSE)</f>
        <v>3</v>
      </c>
      <c r="BG280" s="67">
        <f>+VLOOKUP('3. Blasting'!AL280,Leyenda!$B$55:$E$59,4,FALSE)</f>
        <v>3</v>
      </c>
      <c r="BH280" s="67">
        <f>+VLOOKUP('3. Blasting'!AM280,Leyenda!$B$63:$E$67,3,FALSE)</f>
        <v>2</v>
      </c>
      <c r="BI280" s="67">
        <f>+VLOOKUP('3. Blasting'!AJ280,Leyenda!$B$39:$E$43,4,FALSE)</f>
        <v>1</v>
      </c>
      <c r="BJ280" s="67">
        <f>+VLOOKUP('3. Blasting'!AI280,Leyenda!$B$30:$E$34,4,FALSE)</f>
        <v>3</v>
      </c>
      <c r="BK280" s="67">
        <f>VLOOKUP(AN280,Leyenda!$B$71:$E$75,4,FALSE)</f>
        <v>10</v>
      </c>
      <c r="BL280" s="67">
        <f t="shared" si="120"/>
        <v>59</v>
      </c>
      <c r="BM280" s="18">
        <f t="shared" si="121"/>
        <v>57</v>
      </c>
      <c r="BN280" s="18" t="e">
        <f t="shared" si="104"/>
        <v>#N/A</v>
      </c>
      <c r="BO280" s="18"/>
      <c r="BP280" s="6">
        <f t="shared" si="122"/>
        <v>30</v>
      </c>
      <c r="BQ280" s="6">
        <f t="shared" si="123"/>
        <v>20</v>
      </c>
      <c r="BR280" s="6">
        <v>20</v>
      </c>
      <c r="BS280" s="6">
        <f t="shared" si="124"/>
        <v>-2.5</v>
      </c>
      <c r="BT280" s="6">
        <f t="shared" si="125"/>
        <v>0.52500000000000002</v>
      </c>
      <c r="BU280" s="6">
        <f t="shared" si="126"/>
        <v>34.012500000000003</v>
      </c>
      <c r="BV280" s="18">
        <f t="shared" si="110"/>
        <v>0.13605</v>
      </c>
      <c r="BW280" s="18">
        <f t="shared" si="111"/>
        <v>0.25849499999999997</v>
      </c>
    </row>
    <row r="281" spans="1:75" hidden="1" x14ac:dyDescent="0.25">
      <c r="A281" s="18" t="s">
        <v>6</v>
      </c>
      <c r="B281" s="18">
        <v>2024</v>
      </c>
      <c r="C281" s="18" t="s">
        <v>138</v>
      </c>
      <c r="D281" s="18" t="s">
        <v>130</v>
      </c>
      <c r="E281" s="18">
        <v>30</v>
      </c>
      <c r="F281" s="18" t="s">
        <v>152</v>
      </c>
      <c r="G281" s="18" t="s">
        <v>181</v>
      </c>
      <c r="H281" s="4">
        <f t="shared" si="105"/>
        <v>23.5</v>
      </c>
      <c r="I281" s="4">
        <v>24</v>
      </c>
      <c r="J281" s="4">
        <f t="shared" si="112"/>
        <v>0.5</v>
      </c>
      <c r="K281" s="5">
        <v>1</v>
      </c>
      <c r="L281" s="31">
        <f t="shared" si="113"/>
        <v>0.5</v>
      </c>
      <c r="M281" s="105">
        <v>1.9</v>
      </c>
      <c r="N281" s="31">
        <v>10.5</v>
      </c>
      <c r="O281" s="31">
        <f t="shared" si="108"/>
        <v>0.5</v>
      </c>
      <c r="P281" s="31">
        <v>500</v>
      </c>
      <c r="Q281" s="31">
        <v>1</v>
      </c>
      <c r="R281" s="31">
        <v>0.5</v>
      </c>
      <c r="S281" s="31">
        <v>0.28999999999999998</v>
      </c>
      <c r="T281" s="65">
        <f t="shared" si="127"/>
        <v>57.999999999999993</v>
      </c>
      <c r="U281" s="31">
        <v>4</v>
      </c>
      <c r="V281" s="31"/>
      <c r="W281" s="31">
        <f t="shared" si="106"/>
        <v>4</v>
      </c>
      <c r="X281" s="31">
        <f t="shared" si="107"/>
        <v>125</v>
      </c>
      <c r="Y281" s="31">
        <f t="shared" si="114"/>
        <v>0.125</v>
      </c>
      <c r="Z281" s="18">
        <v>66</v>
      </c>
      <c r="AA281" s="18" t="s">
        <v>96</v>
      </c>
      <c r="AB281" s="18" t="s">
        <v>116</v>
      </c>
      <c r="AC281" s="18" t="s">
        <v>334</v>
      </c>
      <c r="AD281" s="18">
        <v>1</v>
      </c>
      <c r="AE281" s="18">
        <v>500</v>
      </c>
      <c r="AF281" s="18" t="s">
        <v>27</v>
      </c>
      <c r="AG281" s="18" t="s">
        <v>29</v>
      </c>
      <c r="AH281" s="18" t="s">
        <v>29</v>
      </c>
      <c r="AI281" s="18" t="s">
        <v>64</v>
      </c>
      <c r="AJ281" s="18" t="s">
        <v>79</v>
      </c>
      <c r="AK281" s="18" t="s">
        <v>92</v>
      </c>
      <c r="AL281" s="18" t="s">
        <v>107</v>
      </c>
      <c r="AM281" s="18" t="s">
        <v>120</v>
      </c>
      <c r="AN281" s="18" t="s">
        <v>198</v>
      </c>
      <c r="AO281" s="18"/>
      <c r="AP281" s="18"/>
      <c r="AQ281" s="18">
        <f>+VLOOKUP(AI281,Leyenda!$B$30:$E$34,3,FALSE)</f>
        <v>2</v>
      </c>
      <c r="AR281" s="18">
        <f>+VLOOKUP('3. Blasting'!AJ281,Meteorizacion,3,FALSE)</f>
        <v>1</v>
      </c>
      <c r="AS281" s="18">
        <f>+VLOOKUP('3. Blasting'!AK281,Apertura,3,FALSE)</f>
        <v>3</v>
      </c>
      <c r="AT281" s="18">
        <f>+VLOOKUP('3. Blasting'!AL281,Leyenda!$B$55:$D$59,3,FALSE)</f>
        <v>3</v>
      </c>
      <c r="AU281" s="18">
        <f>+VLOOKUP('3. Blasting'!AM281,Relleno,3,FALSE)</f>
        <v>2</v>
      </c>
      <c r="AV281" s="18">
        <f t="shared" si="128"/>
        <v>11</v>
      </c>
      <c r="AW281" s="49">
        <f t="shared" si="115"/>
        <v>14</v>
      </c>
      <c r="AX281" s="49">
        <f>VLOOKUP(AF281,Leyenda!$B$4:$D$10,3,FALSE)</f>
        <v>4</v>
      </c>
      <c r="AY281" s="49">
        <f t="shared" si="109"/>
        <v>12</v>
      </c>
      <c r="AZ281" s="49">
        <f t="shared" si="116"/>
        <v>11</v>
      </c>
      <c r="BA281" s="49">
        <f>VLOOKUP(AN281,Leyenda!$B$70:$D$75,3,FALSE)</f>
        <v>15</v>
      </c>
      <c r="BB281" s="67">
        <f t="shared" si="117"/>
        <v>45.5</v>
      </c>
      <c r="BC281" s="67">
        <f>VLOOKUP(AF281,Leyenda!$B$4:$E$10,4,FALSE)</f>
        <v>4</v>
      </c>
      <c r="BD281" s="67">
        <f t="shared" si="118"/>
        <v>10</v>
      </c>
      <c r="BE281" s="67">
        <f t="shared" si="119"/>
        <v>12</v>
      </c>
      <c r="BF281" s="67">
        <f>+VLOOKUP('3. Blasting'!AK281,Leyenda!$B$47:$E$51,4,FALSE)</f>
        <v>3</v>
      </c>
      <c r="BG281" s="67">
        <f>+VLOOKUP('3. Blasting'!AL281,Leyenda!$B$55:$E$59,4,FALSE)</f>
        <v>3</v>
      </c>
      <c r="BH281" s="67">
        <f>+VLOOKUP('3. Blasting'!AM281,Leyenda!$B$63:$E$67,3,FALSE)</f>
        <v>2</v>
      </c>
      <c r="BI281" s="67">
        <f>+VLOOKUP('3. Blasting'!AJ281,Leyenda!$B$39:$E$43,4,FALSE)</f>
        <v>1</v>
      </c>
      <c r="BJ281" s="67">
        <f>+VLOOKUP('3. Blasting'!AI281,Leyenda!$B$30:$E$34,4,FALSE)</f>
        <v>3</v>
      </c>
      <c r="BK281" s="67">
        <f>VLOOKUP(AN281,Leyenda!$B$71:$E$75,4,FALSE)</f>
        <v>10</v>
      </c>
      <c r="BL281" s="67">
        <f t="shared" si="120"/>
        <v>48</v>
      </c>
      <c r="BM281" s="18">
        <f t="shared" si="121"/>
        <v>56</v>
      </c>
      <c r="BN281" s="18" t="e">
        <f t="shared" si="104"/>
        <v>#N/A</v>
      </c>
      <c r="BO281" s="18"/>
      <c r="BP281" s="6">
        <f t="shared" si="122"/>
        <v>30</v>
      </c>
      <c r="BQ281" s="6">
        <f t="shared" si="123"/>
        <v>20</v>
      </c>
      <c r="BR281" s="6">
        <v>20</v>
      </c>
      <c r="BS281" s="6">
        <f t="shared" si="124"/>
        <v>-2.5</v>
      </c>
      <c r="BT281" s="6">
        <f t="shared" si="125"/>
        <v>0.52500000000000002</v>
      </c>
      <c r="BU281" s="6">
        <f t="shared" si="126"/>
        <v>34.012500000000003</v>
      </c>
      <c r="BV281" s="18">
        <f t="shared" si="110"/>
        <v>0.13605</v>
      </c>
      <c r="BW281" s="18">
        <f t="shared" si="111"/>
        <v>0.25849499999999997</v>
      </c>
    </row>
    <row r="282" spans="1:75" hidden="1" x14ac:dyDescent="0.25">
      <c r="A282" s="18" t="s">
        <v>6</v>
      </c>
      <c r="B282" s="18">
        <v>2024</v>
      </c>
      <c r="C282" s="18" t="s">
        <v>138</v>
      </c>
      <c r="D282" s="18" t="s">
        <v>130</v>
      </c>
      <c r="E282" s="18">
        <v>30</v>
      </c>
      <c r="F282" s="18" t="s">
        <v>152</v>
      </c>
      <c r="G282" s="18" t="s">
        <v>181</v>
      </c>
      <c r="H282" s="4">
        <f t="shared" si="105"/>
        <v>24</v>
      </c>
      <c r="I282" s="4">
        <v>24.5</v>
      </c>
      <c r="J282" s="4">
        <f t="shared" si="112"/>
        <v>0.5</v>
      </c>
      <c r="K282" s="5">
        <v>1</v>
      </c>
      <c r="L282" s="31">
        <f t="shared" si="113"/>
        <v>0.5</v>
      </c>
      <c r="M282" s="105">
        <v>1.9</v>
      </c>
      <c r="N282" s="31">
        <v>10.5</v>
      </c>
      <c r="O282" s="31">
        <f t="shared" si="108"/>
        <v>0.5</v>
      </c>
      <c r="P282" s="31">
        <v>100</v>
      </c>
      <c r="Q282" s="31">
        <v>5</v>
      </c>
      <c r="R282" s="31">
        <v>0.41</v>
      </c>
      <c r="S282" s="31">
        <v>0.28000000000000003</v>
      </c>
      <c r="T282" s="65">
        <f t="shared" si="127"/>
        <v>56.000000000000007</v>
      </c>
      <c r="U282" s="31">
        <v>4</v>
      </c>
      <c r="V282" s="31"/>
      <c r="W282" s="31">
        <f t="shared" si="106"/>
        <v>4</v>
      </c>
      <c r="X282" s="31">
        <f t="shared" si="107"/>
        <v>102.5</v>
      </c>
      <c r="Y282" s="31">
        <f t="shared" si="114"/>
        <v>0.10249999999999999</v>
      </c>
      <c r="Z282" s="18">
        <v>20</v>
      </c>
      <c r="AA282" s="18" t="s">
        <v>96</v>
      </c>
      <c r="AB282" s="18" t="s">
        <v>118</v>
      </c>
      <c r="AC282" s="18" t="s">
        <v>334</v>
      </c>
      <c r="AD282" s="18">
        <v>5</v>
      </c>
      <c r="AE282" s="18">
        <v>100</v>
      </c>
      <c r="AF282" s="18" t="s">
        <v>27</v>
      </c>
      <c r="AG282" s="18" t="s">
        <v>29</v>
      </c>
      <c r="AH282" s="18" t="s">
        <v>29</v>
      </c>
      <c r="AI282" s="18" t="s">
        <v>64</v>
      </c>
      <c r="AJ282" s="18" t="s">
        <v>79</v>
      </c>
      <c r="AK282" s="18" t="s">
        <v>92</v>
      </c>
      <c r="AL282" s="18" t="s">
        <v>107</v>
      </c>
      <c r="AM282" s="18" t="s">
        <v>120</v>
      </c>
      <c r="AN282" s="18" t="s">
        <v>198</v>
      </c>
      <c r="AO282" s="18"/>
      <c r="AP282" s="18"/>
      <c r="AQ282" s="18">
        <f>+VLOOKUP(AI282,Leyenda!$B$30:$E$34,3,FALSE)</f>
        <v>2</v>
      </c>
      <c r="AR282" s="18">
        <f>+VLOOKUP('3. Blasting'!AJ282,Meteorizacion,3,FALSE)</f>
        <v>1</v>
      </c>
      <c r="AS282" s="18">
        <f>+VLOOKUP('3. Blasting'!AK282,Apertura,3,FALSE)</f>
        <v>3</v>
      </c>
      <c r="AT282" s="18">
        <f>+VLOOKUP('3. Blasting'!AL282,Leyenda!$B$55:$D$59,3,FALSE)</f>
        <v>3</v>
      </c>
      <c r="AU282" s="18">
        <f>+VLOOKUP('3. Blasting'!AM282,Relleno,3,FALSE)</f>
        <v>2</v>
      </c>
      <c r="AV282" s="18">
        <f t="shared" si="128"/>
        <v>11</v>
      </c>
      <c r="AW282" s="49">
        <f t="shared" si="115"/>
        <v>4</v>
      </c>
      <c r="AX282" s="49">
        <f>VLOOKUP(AF282,Leyenda!$B$4:$D$10,3,FALSE)</f>
        <v>4</v>
      </c>
      <c r="AY282" s="49">
        <f t="shared" si="109"/>
        <v>7</v>
      </c>
      <c r="AZ282" s="49">
        <f t="shared" si="116"/>
        <v>11</v>
      </c>
      <c r="BA282" s="49">
        <f>VLOOKUP(AN282,Leyenda!$B$70:$D$75,3,FALSE)</f>
        <v>15</v>
      </c>
      <c r="BB282" s="67">
        <f t="shared" si="117"/>
        <v>44.5</v>
      </c>
      <c r="BC282" s="67">
        <f>VLOOKUP(AF282,Leyenda!$B$4:$E$10,4,FALSE)</f>
        <v>4</v>
      </c>
      <c r="BD282" s="67">
        <f t="shared" si="118"/>
        <v>8</v>
      </c>
      <c r="BE282" s="67">
        <f t="shared" si="119"/>
        <v>12</v>
      </c>
      <c r="BF282" s="67">
        <f>+VLOOKUP('3. Blasting'!AK282,Leyenda!$B$47:$E$51,4,FALSE)</f>
        <v>3</v>
      </c>
      <c r="BG282" s="67">
        <f>+VLOOKUP('3. Blasting'!AL282,Leyenda!$B$55:$E$59,4,FALSE)</f>
        <v>3</v>
      </c>
      <c r="BH282" s="67">
        <f>+VLOOKUP('3. Blasting'!AM282,Leyenda!$B$63:$E$67,3,FALSE)</f>
        <v>2</v>
      </c>
      <c r="BI282" s="67">
        <f>+VLOOKUP('3. Blasting'!AJ282,Leyenda!$B$39:$E$43,4,FALSE)</f>
        <v>1</v>
      </c>
      <c r="BJ282" s="67">
        <f>+VLOOKUP('3. Blasting'!AI282,Leyenda!$B$30:$E$34,4,FALSE)</f>
        <v>3</v>
      </c>
      <c r="BK282" s="67">
        <f>VLOOKUP(AN282,Leyenda!$B$71:$E$75,4,FALSE)</f>
        <v>10</v>
      </c>
      <c r="BL282" s="67">
        <f t="shared" si="120"/>
        <v>46</v>
      </c>
      <c r="BM282" s="18">
        <f t="shared" si="121"/>
        <v>41</v>
      </c>
      <c r="BN282" s="18" t="e">
        <f t="shared" si="104"/>
        <v>#N/A</v>
      </c>
      <c r="BO282" s="18"/>
      <c r="BP282" s="6">
        <f t="shared" si="122"/>
        <v>30</v>
      </c>
      <c r="BQ282" s="6">
        <f t="shared" si="123"/>
        <v>20</v>
      </c>
      <c r="BR282" s="6">
        <v>20</v>
      </c>
      <c r="BS282" s="6">
        <f t="shared" si="124"/>
        <v>-2.5</v>
      </c>
      <c r="BT282" s="6">
        <f t="shared" si="125"/>
        <v>0.52500000000000002</v>
      </c>
      <c r="BU282" s="6">
        <f t="shared" si="126"/>
        <v>34.012500000000003</v>
      </c>
      <c r="BV282" s="18">
        <f t="shared" si="110"/>
        <v>0.13605</v>
      </c>
      <c r="BW282" s="18">
        <f t="shared" si="111"/>
        <v>0.25849499999999997</v>
      </c>
    </row>
    <row r="283" spans="1:75" hidden="1" x14ac:dyDescent="0.25">
      <c r="A283" s="18" t="s">
        <v>6</v>
      </c>
      <c r="B283" s="18">
        <v>2024</v>
      </c>
      <c r="C283" s="18" t="s">
        <v>138</v>
      </c>
      <c r="D283" s="18" t="s">
        <v>130</v>
      </c>
      <c r="E283" s="18">
        <v>30</v>
      </c>
      <c r="F283" s="18" t="s">
        <v>152</v>
      </c>
      <c r="G283" s="18" t="s">
        <v>181</v>
      </c>
      <c r="H283" s="4">
        <f t="shared" si="105"/>
        <v>24.5</v>
      </c>
      <c r="I283" s="4">
        <v>25</v>
      </c>
      <c r="J283" s="4">
        <f t="shared" si="112"/>
        <v>0.5</v>
      </c>
      <c r="K283" s="5">
        <v>1</v>
      </c>
      <c r="L283" s="31">
        <f t="shared" si="113"/>
        <v>0.5</v>
      </c>
      <c r="M283" s="105">
        <v>1.9</v>
      </c>
      <c r="N283" s="31">
        <v>10.5</v>
      </c>
      <c r="O283" s="31">
        <f t="shared" si="108"/>
        <v>0.5</v>
      </c>
      <c r="P283" s="31">
        <v>100</v>
      </c>
      <c r="Q283" s="31">
        <v>5</v>
      </c>
      <c r="R283" s="31">
        <v>0.5</v>
      </c>
      <c r="S283" s="31">
        <v>0.28999999999999998</v>
      </c>
      <c r="T283" s="65">
        <f t="shared" si="127"/>
        <v>57.999999999999993</v>
      </c>
      <c r="U283" s="31">
        <v>5</v>
      </c>
      <c r="V283" s="31"/>
      <c r="W283" s="31">
        <f t="shared" si="106"/>
        <v>5</v>
      </c>
      <c r="X283" s="31">
        <f t="shared" si="107"/>
        <v>100</v>
      </c>
      <c r="Y283" s="31">
        <f t="shared" si="114"/>
        <v>0.1</v>
      </c>
      <c r="Z283" s="18">
        <v>64</v>
      </c>
      <c r="AA283" s="18" t="s">
        <v>96</v>
      </c>
      <c r="AB283" s="18" t="s">
        <v>118</v>
      </c>
      <c r="AC283" s="18" t="s">
        <v>334</v>
      </c>
      <c r="AD283" s="18">
        <v>5</v>
      </c>
      <c r="AE283" s="18">
        <v>100</v>
      </c>
      <c r="AF283" s="18" t="s">
        <v>27</v>
      </c>
      <c r="AG283" s="18" t="s">
        <v>29</v>
      </c>
      <c r="AH283" s="18" t="s">
        <v>29</v>
      </c>
      <c r="AI283" s="18" t="s">
        <v>64</v>
      </c>
      <c r="AJ283" s="18" t="s">
        <v>79</v>
      </c>
      <c r="AK283" s="18" t="s">
        <v>92</v>
      </c>
      <c r="AL283" s="18" t="s">
        <v>107</v>
      </c>
      <c r="AM283" s="18" t="s">
        <v>120</v>
      </c>
      <c r="AN283" s="18" t="s">
        <v>198</v>
      </c>
      <c r="AO283" s="18"/>
      <c r="AP283" s="18"/>
      <c r="AQ283" s="18">
        <f>+VLOOKUP(AI283,Leyenda!$B$30:$E$34,3,FALSE)</f>
        <v>2</v>
      </c>
      <c r="AR283" s="18">
        <f>+VLOOKUP('3. Blasting'!AJ283,Meteorizacion,3,FALSE)</f>
        <v>1</v>
      </c>
      <c r="AS283" s="18">
        <f>+VLOOKUP('3. Blasting'!AK283,Apertura,3,FALSE)</f>
        <v>3</v>
      </c>
      <c r="AT283" s="18">
        <f>+VLOOKUP('3. Blasting'!AL283,Leyenda!$B$55:$D$59,3,FALSE)</f>
        <v>3</v>
      </c>
      <c r="AU283" s="18">
        <f>+VLOOKUP('3. Blasting'!AM283,Relleno,3,FALSE)</f>
        <v>2</v>
      </c>
      <c r="AV283" s="18">
        <f t="shared" si="128"/>
        <v>11</v>
      </c>
      <c r="AW283" s="49">
        <f t="shared" si="115"/>
        <v>13</v>
      </c>
      <c r="AX283" s="49">
        <f>VLOOKUP(AF283,Leyenda!$B$4:$D$10,3,FALSE)</f>
        <v>4</v>
      </c>
      <c r="AY283" s="49">
        <f t="shared" si="109"/>
        <v>7</v>
      </c>
      <c r="AZ283" s="49">
        <f t="shared" si="116"/>
        <v>11</v>
      </c>
      <c r="BA283" s="49">
        <f>VLOOKUP(AN283,Leyenda!$B$70:$D$75,3,FALSE)</f>
        <v>15</v>
      </c>
      <c r="BB283" s="67">
        <f t="shared" si="117"/>
        <v>45.5</v>
      </c>
      <c r="BC283" s="67">
        <f>VLOOKUP(AF283,Leyenda!$B$4:$E$10,4,FALSE)</f>
        <v>4</v>
      </c>
      <c r="BD283" s="67">
        <f t="shared" si="118"/>
        <v>8</v>
      </c>
      <c r="BE283" s="67">
        <f t="shared" si="119"/>
        <v>12</v>
      </c>
      <c r="BF283" s="67">
        <f>+VLOOKUP('3. Blasting'!AK283,Leyenda!$B$47:$E$51,4,FALSE)</f>
        <v>3</v>
      </c>
      <c r="BG283" s="67">
        <f>+VLOOKUP('3. Blasting'!AL283,Leyenda!$B$55:$E$59,4,FALSE)</f>
        <v>3</v>
      </c>
      <c r="BH283" s="67">
        <f>+VLOOKUP('3. Blasting'!AM283,Leyenda!$B$63:$E$67,3,FALSE)</f>
        <v>2</v>
      </c>
      <c r="BI283" s="67">
        <f>+VLOOKUP('3. Blasting'!AJ283,Leyenda!$B$39:$E$43,4,FALSE)</f>
        <v>1</v>
      </c>
      <c r="BJ283" s="67">
        <f>+VLOOKUP('3. Blasting'!AI283,Leyenda!$B$30:$E$34,4,FALSE)</f>
        <v>3</v>
      </c>
      <c r="BK283" s="67">
        <f>VLOOKUP(AN283,Leyenda!$B$71:$E$75,4,FALSE)</f>
        <v>10</v>
      </c>
      <c r="BL283" s="67">
        <f t="shared" si="120"/>
        <v>46</v>
      </c>
      <c r="BM283" s="18">
        <f t="shared" si="121"/>
        <v>50</v>
      </c>
      <c r="BN283" s="18" t="e">
        <f t="shared" si="104"/>
        <v>#N/A</v>
      </c>
      <c r="BO283" s="18"/>
      <c r="BP283" s="6">
        <f t="shared" si="122"/>
        <v>30</v>
      </c>
      <c r="BQ283" s="6">
        <f t="shared" si="123"/>
        <v>50</v>
      </c>
      <c r="BR283" s="6">
        <v>20</v>
      </c>
      <c r="BS283" s="6">
        <f t="shared" si="124"/>
        <v>-2.5</v>
      </c>
      <c r="BT283" s="6">
        <f t="shared" si="125"/>
        <v>0.52500000000000002</v>
      </c>
      <c r="BU283" s="6">
        <f t="shared" si="126"/>
        <v>49.012500000000003</v>
      </c>
      <c r="BV283" s="18">
        <f t="shared" si="110"/>
        <v>0.19605</v>
      </c>
      <c r="BW283" s="18">
        <f t="shared" si="111"/>
        <v>0.37249499999999997</v>
      </c>
    </row>
    <row r="284" spans="1:75" hidden="1" x14ac:dyDescent="0.25">
      <c r="A284" s="18" t="s">
        <v>6</v>
      </c>
      <c r="B284" s="18">
        <v>2024</v>
      </c>
      <c r="C284" s="18" t="s">
        <v>138</v>
      </c>
      <c r="D284" s="18" t="s">
        <v>130</v>
      </c>
      <c r="E284" s="18">
        <v>30</v>
      </c>
      <c r="F284" s="18" t="s">
        <v>152</v>
      </c>
      <c r="G284" s="18" t="s">
        <v>181</v>
      </c>
      <c r="H284" s="4">
        <f t="shared" si="105"/>
        <v>25</v>
      </c>
      <c r="I284" s="4">
        <v>25.5</v>
      </c>
      <c r="J284" s="4">
        <f t="shared" si="112"/>
        <v>0.5</v>
      </c>
      <c r="K284" s="5">
        <v>1</v>
      </c>
      <c r="L284" s="31">
        <f t="shared" si="113"/>
        <v>0.5</v>
      </c>
      <c r="M284" s="105">
        <v>1.9</v>
      </c>
      <c r="N284" s="31">
        <v>10.5</v>
      </c>
      <c r="O284" s="31">
        <f t="shared" si="108"/>
        <v>0.5</v>
      </c>
      <c r="P284" s="31">
        <v>100</v>
      </c>
      <c r="Q284" s="31">
        <v>5</v>
      </c>
      <c r="R284" s="31">
        <v>0.49</v>
      </c>
      <c r="S284" s="31">
        <v>0.28999999999999998</v>
      </c>
      <c r="T284" s="65">
        <f t="shared" si="127"/>
        <v>57.999999999999993</v>
      </c>
      <c r="U284" s="31">
        <v>3</v>
      </c>
      <c r="V284" s="31"/>
      <c r="W284" s="31">
        <f t="shared" si="106"/>
        <v>3</v>
      </c>
      <c r="X284" s="31">
        <f t="shared" si="107"/>
        <v>163.33333333333334</v>
      </c>
      <c r="Y284" s="31">
        <f t="shared" si="114"/>
        <v>0.16333333333333333</v>
      </c>
      <c r="Z284" s="18">
        <v>60</v>
      </c>
      <c r="AA284" s="18" t="s">
        <v>96</v>
      </c>
      <c r="AB284" s="18" t="s">
        <v>118</v>
      </c>
      <c r="AC284" s="18" t="s">
        <v>334</v>
      </c>
      <c r="AD284" s="18">
        <v>5</v>
      </c>
      <c r="AE284" s="18">
        <v>100</v>
      </c>
      <c r="AF284" s="18" t="s">
        <v>27</v>
      </c>
      <c r="AG284" s="18" t="s">
        <v>29</v>
      </c>
      <c r="AH284" s="18" t="s">
        <v>29</v>
      </c>
      <c r="AI284" s="18" t="s">
        <v>64</v>
      </c>
      <c r="AJ284" s="18" t="s">
        <v>79</v>
      </c>
      <c r="AK284" s="18" t="s">
        <v>92</v>
      </c>
      <c r="AL284" s="18" t="s">
        <v>109</v>
      </c>
      <c r="AM284" s="18" t="s">
        <v>120</v>
      </c>
      <c r="AN284" s="18" t="s">
        <v>198</v>
      </c>
      <c r="AO284" s="18"/>
      <c r="AP284" s="18"/>
      <c r="AQ284" s="18">
        <f>+VLOOKUP(AI284,Leyenda!$B$30:$E$34,3,FALSE)</f>
        <v>2</v>
      </c>
      <c r="AR284" s="18">
        <f>+VLOOKUP('3. Blasting'!AJ284,Meteorizacion,3,FALSE)</f>
        <v>1</v>
      </c>
      <c r="AS284" s="18">
        <f>+VLOOKUP('3. Blasting'!AK284,Apertura,3,FALSE)</f>
        <v>3</v>
      </c>
      <c r="AT284" s="18">
        <f>+VLOOKUP('3. Blasting'!AL284,Leyenda!$B$55:$D$59,3,FALSE)</f>
        <v>1</v>
      </c>
      <c r="AU284" s="18">
        <f>+VLOOKUP('3. Blasting'!AM284,Relleno,3,FALSE)</f>
        <v>2</v>
      </c>
      <c r="AV284" s="18">
        <f t="shared" si="128"/>
        <v>9</v>
      </c>
      <c r="AW284" s="49">
        <f t="shared" si="115"/>
        <v>12</v>
      </c>
      <c r="AX284" s="49">
        <f>VLOOKUP(AF284,Leyenda!$B$4:$D$10,3,FALSE)</f>
        <v>4</v>
      </c>
      <c r="AY284" s="49">
        <f t="shared" si="109"/>
        <v>7</v>
      </c>
      <c r="AZ284" s="49">
        <f t="shared" si="116"/>
        <v>9</v>
      </c>
      <c r="BA284" s="49">
        <f>VLOOKUP(AN284,Leyenda!$B$70:$D$75,3,FALSE)</f>
        <v>15</v>
      </c>
      <c r="BB284" s="67">
        <f t="shared" si="117"/>
        <v>42.5</v>
      </c>
      <c r="BC284" s="67">
        <f>VLOOKUP(AF284,Leyenda!$B$4:$E$10,4,FALSE)</f>
        <v>4</v>
      </c>
      <c r="BD284" s="67">
        <f t="shared" si="118"/>
        <v>11</v>
      </c>
      <c r="BE284" s="67">
        <f t="shared" si="119"/>
        <v>12</v>
      </c>
      <c r="BF284" s="67">
        <f>+VLOOKUP('3. Blasting'!AK284,Leyenda!$B$47:$E$51,4,FALSE)</f>
        <v>3</v>
      </c>
      <c r="BG284" s="67">
        <f>+VLOOKUP('3. Blasting'!AL284,Leyenda!$B$55:$E$59,4,FALSE)</f>
        <v>1</v>
      </c>
      <c r="BH284" s="67">
        <f>+VLOOKUP('3. Blasting'!AM284,Leyenda!$B$63:$E$67,3,FALSE)</f>
        <v>2</v>
      </c>
      <c r="BI284" s="67">
        <f>+VLOOKUP('3. Blasting'!AJ284,Leyenda!$B$39:$E$43,4,FALSE)</f>
        <v>1</v>
      </c>
      <c r="BJ284" s="67">
        <f>+VLOOKUP('3. Blasting'!AI284,Leyenda!$B$30:$E$34,4,FALSE)</f>
        <v>3</v>
      </c>
      <c r="BK284" s="67">
        <f>VLOOKUP(AN284,Leyenda!$B$71:$E$75,4,FALSE)</f>
        <v>10</v>
      </c>
      <c r="BL284" s="67">
        <f t="shared" si="120"/>
        <v>47</v>
      </c>
      <c r="BM284" s="18">
        <f t="shared" si="121"/>
        <v>47</v>
      </c>
      <c r="BN284" s="18" t="e">
        <f t="shared" si="104"/>
        <v>#N/A</v>
      </c>
      <c r="BO284" s="18"/>
      <c r="BP284" s="6">
        <f t="shared" si="122"/>
        <v>30</v>
      </c>
      <c r="BQ284" s="6">
        <f t="shared" si="123"/>
        <v>20</v>
      </c>
      <c r="BR284" s="6">
        <v>20</v>
      </c>
      <c r="BS284" s="6">
        <f t="shared" si="124"/>
        <v>-2.5</v>
      </c>
      <c r="BT284" s="6">
        <f t="shared" si="125"/>
        <v>0.52500000000000002</v>
      </c>
      <c r="BU284" s="6">
        <f t="shared" si="126"/>
        <v>34.012500000000003</v>
      </c>
      <c r="BV284" s="18">
        <f t="shared" si="110"/>
        <v>0.13605</v>
      </c>
      <c r="BW284" s="18">
        <f t="shared" si="111"/>
        <v>0.25849499999999997</v>
      </c>
    </row>
    <row r="285" spans="1:75" hidden="1" x14ac:dyDescent="0.25">
      <c r="A285" s="18" t="s">
        <v>6</v>
      </c>
      <c r="B285" s="18">
        <v>2024</v>
      </c>
      <c r="C285" s="18" t="s">
        <v>138</v>
      </c>
      <c r="D285" s="18" t="s">
        <v>130</v>
      </c>
      <c r="E285" s="18">
        <v>30</v>
      </c>
      <c r="F285" s="18" t="s">
        <v>152</v>
      </c>
      <c r="G285" s="18" t="s">
        <v>181</v>
      </c>
      <c r="H285" s="4">
        <f t="shared" si="105"/>
        <v>25.5</v>
      </c>
      <c r="I285" s="4">
        <v>26</v>
      </c>
      <c r="J285" s="4">
        <f t="shared" si="112"/>
        <v>0.5</v>
      </c>
      <c r="K285" s="5">
        <v>1</v>
      </c>
      <c r="L285" s="31">
        <f t="shared" si="113"/>
        <v>0.5</v>
      </c>
      <c r="M285" s="105">
        <v>1.9</v>
      </c>
      <c r="N285" s="31">
        <v>10.5</v>
      </c>
      <c r="O285" s="31">
        <f t="shared" si="108"/>
        <v>0.5</v>
      </c>
      <c r="P285" s="31">
        <v>100</v>
      </c>
      <c r="Q285" s="31">
        <v>5</v>
      </c>
      <c r="R285" s="31">
        <v>0.41</v>
      </c>
      <c r="S285" s="31">
        <v>0.3</v>
      </c>
      <c r="T285" s="65">
        <f t="shared" si="127"/>
        <v>60</v>
      </c>
      <c r="U285" s="31">
        <v>2</v>
      </c>
      <c r="V285" s="31"/>
      <c r="W285" s="31">
        <f t="shared" si="106"/>
        <v>2</v>
      </c>
      <c r="X285" s="31">
        <f t="shared" si="107"/>
        <v>205</v>
      </c>
      <c r="Y285" s="31">
        <f t="shared" si="114"/>
        <v>0.20499999999999999</v>
      </c>
      <c r="Z285" s="18">
        <v>68</v>
      </c>
      <c r="AA285" s="18" t="s">
        <v>96</v>
      </c>
      <c r="AB285" s="18" t="s">
        <v>118</v>
      </c>
      <c r="AC285" s="18" t="s">
        <v>334</v>
      </c>
      <c r="AD285" s="18">
        <v>5</v>
      </c>
      <c r="AE285" s="18">
        <v>100</v>
      </c>
      <c r="AF285" s="18" t="s">
        <v>27</v>
      </c>
      <c r="AG285" s="18" t="s">
        <v>29</v>
      </c>
      <c r="AH285" s="18" t="s">
        <v>29</v>
      </c>
      <c r="AI285" s="18" t="s">
        <v>64</v>
      </c>
      <c r="AJ285" s="18" t="s">
        <v>79</v>
      </c>
      <c r="AK285" s="18" t="s">
        <v>92</v>
      </c>
      <c r="AL285" s="18" t="s">
        <v>109</v>
      </c>
      <c r="AM285" s="18" t="s">
        <v>120</v>
      </c>
      <c r="AN285" s="18" t="s">
        <v>198</v>
      </c>
      <c r="AO285" s="18"/>
      <c r="AP285" s="18"/>
      <c r="AQ285" s="18">
        <f>+VLOOKUP(AI285,Leyenda!$B$30:$E$34,3,FALSE)</f>
        <v>2</v>
      </c>
      <c r="AR285" s="18">
        <f>+VLOOKUP('3. Blasting'!AJ285,Meteorizacion,3,FALSE)</f>
        <v>1</v>
      </c>
      <c r="AS285" s="18">
        <f>+VLOOKUP('3. Blasting'!AK285,Apertura,3,FALSE)</f>
        <v>3</v>
      </c>
      <c r="AT285" s="18">
        <f>+VLOOKUP('3. Blasting'!AL285,Leyenda!$B$55:$D$59,3,FALSE)</f>
        <v>1</v>
      </c>
      <c r="AU285" s="18">
        <f>+VLOOKUP('3. Blasting'!AM285,Relleno,3,FALSE)</f>
        <v>2</v>
      </c>
      <c r="AV285" s="18">
        <f t="shared" si="128"/>
        <v>9</v>
      </c>
      <c r="AW285" s="49">
        <f t="shared" si="115"/>
        <v>14</v>
      </c>
      <c r="AX285" s="49">
        <f>VLOOKUP(AF285,Leyenda!$B$4:$D$10,3,FALSE)</f>
        <v>4</v>
      </c>
      <c r="AY285" s="49">
        <f t="shared" si="109"/>
        <v>7</v>
      </c>
      <c r="AZ285" s="49">
        <f t="shared" si="116"/>
        <v>9</v>
      </c>
      <c r="BA285" s="49">
        <f>VLOOKUP(AN285,Leyenda!$B$70:$D$75,3,FALSE)</f>
        <v>15</v>
      </c>
      <c r="BB285" s="67">
        <f t="shared" si="117"/>
        <v>43.5</v>
      </c>
      <c r="BC285" s="67">
        <f>VLOOKUP(AF285,Leyenda!$B$4:$E$10,4,FALSE)</f>
        <v>4</v>
      </c>
      <c r="BD285" s="67">
        <f t="shared" si="118"/>
        <v>13</v>
      </c>
      <c r="BE285" s="67">
        <f t="shared" si="119"/>
        <v>12</v>
      </c>
      <c r="BF285" s="67">
        <f>+VLOOKUP('3. Blasting'!AK285,Leyenda!$B$47:$E$51,4,FALSE)</f>
        <v>3</v>
      </c>
      <c r="BG285" s="67">
        <f>+VLOOKUP('3. Blasting'!AL285,Leyenda!$B$55:$E$59,4,FALSE)</f>
        <v>1</v>
      </c>
      <c r="BH285" s="67">
        <f>+VLOOKUP('3. Blasting'!AM285,Leyenda!$B$63:$E$67,3,FALSE)</f>
        <v>2</v>
      </c>
      <c r="BI285" s="67">
        <f>+VLOOKUP('3. Blasting'!AJ285,Leyenda!$B$39:$E$43,4,FALSE)</f>
        <v>1</v>
      </c>
      <c r="BJ285" s="67">
        <f>+VLOOKUP('3. Blasting'!AI285,Leyenda!$B$30:$E$34,4,FALSE)</f>
        <v>3</v>
      </c>
      <c r="BK285" s="67">
        <f>VLOOKUP(AN285,Leyenda!$B$71:$E$75,4,FALSE)</f>
        <v>10</v>
      </c>
      <c r="BL285" s="67">
        <f t="shared" si="120"/>
        <v>49</v>
      </c>
      <c r="BM285" s="18">
        <f t="shared" si="121"/>
        <v>49</v>
      </c>
      <c r="BN285" s="18" t="e">
        <f t="shared" si="104"/>
        <v>#N/A</v>
      </c>
      <c r="BO285" s="18"/>
      <c r="BP285" s="6">
        <f t="shared" si="122"/>
        <v>30</v>
      </c>
      <c r="BQ285" s="6">
        <f t="shared" si="123"/>
        <v>20</v>
      </c>
      <c r="BR285" s="6">
        <v>20</v>
      </c>
      <c r="BS285" s="6">
        <f t="shared" si="124"/>
        <v>-2.5</v>
      </c>
      <c r="BT285" s="6">
        <f t="shared" si="125"/>
        <v>0.52500000000000002</v>
      </c>
      <c r="BU285" s="6">
        <f t="shared" si="126"/>
        <v>34.012500000000003</v>
      </c>
      <c r="BV285" s="18">
        <f t="shared" si="110"/>
        <v>0.13605</v>
      </c>
      <c r="BW285" s="18">
        <f t="shared" si="111"/>
        <v>0.25849499999999997</v>
      </c>
    </row>
    <row r="286" spans="1:75" hidden="1" x14ac:dyDescent="0.25">
      <c r="A286" s="35" t="s">
        <v>6</v>
      </c>
      <c r="B286" s="35">
        <v>2024</v>
      </c>
      <c r="C286" s="35" t="s">
        <v>138</v>
      </c>
      <c r="D286" s="35" t="s">
        <v>130</v>
      </c>
      <c r="E286" s="35">
        <v>20</v>
      </c>
      <c r="F286" s="35" t="s">
        <v>156</v>
      </c>
      <c r="G286" s="35" t="s">
        <v>181</v>
      </c>
      <c r="H286" s="115">
        <f t="shared" si="105"/>
        <v>26</v>
      </c>
      <c r="I286" s="115">
        <v>26.5</v>
      </c>
      <c r="J286" s="115">
        <f t="shared" si="112"/>
        <v>0.5</v>
      </c>
      <c r="K286" s="116">
        <v>1</v>
      </c>
      <c r="L286" s="114">
        <f t="shared" si="113"/>
        <v>0.5</v>
      </c>
      <c r="M286" s="114"/>
      <c r="N286" s="114"/>
      <c r="O286" s="114">
        <f t="shared" si="108"/>
        <v>0.5</v>
      </c>
      <c r="P286" s="114">
        <v>500</v>
      </c>
      <c r="Q286" s="114">
        <v>1</v>
      </c>
      <c r="R286" s="114">
        <v>0.46</v>
      </c>
      <c r="S286" s="114">
        <v>0.42</v>
      </c>
      <c r="T286" s="122">
        <f t="shared" si="127"/>
        <v>84</v>
      </c>
      <c r="U286" s="114">
        <v>2</v>
      </c>
      <c r="V286" s="114"/>
      <c r="W286" s="114">
        <f t="shared" si="106"/>
        <v>2</v>
      </c>
      <c r="X286" s="114">
        <f t="shared" si="107"/>
        <v>230</v>
      </c>
      <c r="Y286" s="114">
        <f t="shared" si="114"/>
        <v>0.23</v>
      </c>
      <c r="Z286" s="35">
        <v>100</v>
      </c>
      <c r="AA286" s="35" t="s">
        <v>96</v>
      </c>
      <c r="AB286" s="35" t="s">
        <v>116</v>
      </c>
      <c r="AC286" s="35" t="s">
        <v>334</v>
      </c>
      <c r="AD286" s="35">
        <v>1</v>
      </c>
      <c r="AE286" s="35">
        <v>500</v>
      </c>
      <c r="AF286" s="35" t="s">
        <v>27</v>
      </c>
      <c r="AG286" s="35" t="s">
        <v>29</v>
      </c>
      <c r="AH286" s="35" t="s">
        <v>29</v>
      </c>
      <c r="AI286" s="35" t="s">
        <v>64</v>
      </c>
      <c r="AJ286" s="35" t="s">
        <v>79</v>
      </c>
      <c r="AK286" s="35" t="s">
        <v>92</v>
      </c>
      <c r="AL286" s="35" t="s">
        <v>107</v>
      </c>
      <c r="AM286" s="35" t="s">
        <v>120</v>
      </c>
      <c r="AN286" s="35" t="s">
        <v>198</v>
      </c>
      <c r="AO286" s="35"/>
      <c r="AP286" s="35"/>
      <c r="AQ286" s="35">
        <f>+VLOOKUP(AI286,Leyenda!$B$30:$E$34,3,FALSE)</f>
        <v>2</v>
      </c>
      <c r="AR286" s="35">
        <f>+VLOOKUP('3. Blasting'!AJ286,Meteorizacion,3,FALSE)</f>
        <v>1</v>
      </c>
      <c r="AS286" s="35">
        <f>+VLOOKUP('3. Blasting'!AK286,Apertura,3,FALSE)</f>
        <v>3</v>
      </c>
      <c r="AT286" s="35">
        <f>+VLOOKUP('3. Blasting'!AL286,Leyenda!$B$55:$D$59,3,FALSE)</f>
        <v>3</v>
      </c>
      <c r="AU286" s="35">
        <f>+VLOOKUP('3. Blasting'!AM286,Relleno,3,FALSE)</f>
        <v>2</v>
      </c>
      <c r="AV286" s="35">
        <f t="shared" si="128"/>
        <v>11</v>
      </c>
      <c r="AW286" s="118">
        <f t="shared" si="115"/>
        <v>20</v>
      </c>
      <c r="AX286" s="118">
        <f>VLOOKUP(AF286,Leyenda!$B$4:$D$10,3,FALSE)</f>
        <v>4</v>
      </c>
      <c r="AY286" s="119">
        <f t="shared" si="109"/>
        <v>12</v>
      </c>
      <c r="AZ286" s="118">
        <f t="shared" si="116"/>
        <v>11</v>
      </c>
      <c r="BA286" s="118">
        <f>VLOOKUP(AN286,Leyenda!$B$70:$D$75,3,FALSE)</f>
        <v>15</v>
      </c>
      <c r="BB286" s="120">
        <f t="shared" si="117"/>
        <v>58.5</v>
      </c>
      <c r="BC286" s="120">
        <f>VLOOKUP(AF286,Leyenda!$B$4:$E$10,4,FALSE)</f>
        <v>4</v>
      </c>
      <c r="BD286" s="120">
        <f t="shared" si="118"/>
        <v>13</v>
      </c>
      <c r="BE286" s="120">
        <f t="shared" si="119"/>
        <v>17</v>
      </c>
      <c r="BF286" s="120">
        <f>+VLOOKUP('3. Blasting'!AK286,Leyenda!$B$47:$E$51,4,FALSE)</f>
        <v>3</v>
      </c>
      <c r="BG286" s="120">
        <f>+VLOOKUP('3. Blasting'!AL286,Leyenda!$B$55:$E$59,4,FALSE)</f>
        <v>3</v>
      </c>
      <c r="BH286" s="120">
        <f>+VLOOKUP('3. Blasting'!AM286,Leyenda!$B$63:$E$67,3,FALSE)</f>
        <v>2</v>
      </c>
      <c r="BI286" s="120">
        <f>+VLOOKUP('3. Blasting'!AJ286,Leyenda!$B$39:$E$43,4,FALSE)</f>
        <v>1</v>
      </c>
      <c r="BJ286" s="120">
        <f>+VLOOKUP('3. Blasting'!AI286,Leyenda!$B$30:$E$34,4,FALSE)</f>
        <v>3</v>
      </c>
      <c r="BK286" s="120">
        <f>VLOOKUP(AN286,Leyenda!$B$71:$E$75,4,FALSE)</f>
        <v>10</v>
      </c>
      <c r="BL286" s="120">
        <f t="shared" si="120"/>
        <v>56</v>
      </c>
      <c r="BM286" s="35">
        <f t="shared" si="121"/>
        <v>62</v>
      </c>
      <c r="BN286" s="35"/>
      <c r="BO286" s="35"/>
      <c r="BP286">
        <f t="shared" si="122"/>
        <v>30</v>
      </c>
      <c r="BQ286">
        <f t="shared" si="123"/>
        <v>20</v>
      </c>
      <c r="BR286">
        <v>20</v>
      </c>
      <c r="BS286">
        <f t="shared" si="124"/>
        <v>-50</v>
      </c>
      <c r="BT286">
        <f t="shared" si="125"/>
        <v>0</v>
      </c>
      <c r="BU286">
        <f t="shared" si="126"/>
        <v>10</v>
      </c>
      <c r="BV286" s="1">
        <f t="shared" si="110"/>
        <v>0.04</v>
      </c>
      <c r="BW286" s="1">
        <f t="shared" si="111"/>
        <v>0</v>
      </c>
    </row>
    <row r="287" spans="1:75" hidden="1" x14ac:dyDescent="0.25">
      <c r="A287" s="18" t="s">
        <v>6</v>
      </c>
      <c r="B287" s="18">
        <v>2024</v>
      </c>
      <c r="C287" s="18" t="s">
        <v>138</v>
      </c>
      <c r="D287" s="18" t="s">
        <v>130</v>
      </c>
      <c r="E287" s="18">
        <v>20</v>
      </c>
      <c r="F287" s="18" t="s">
        <v>156</v>
      </c>
      <c r="G287" s="18" t="s">
        <v>181</v>
      </c>
      <c r="H287" s="4">
        <f t="shared" si="105"/>
        <v>26.5</v>
      </c>
      <c r="I287" s="4">
        <v>27</v>
      </c>
      <c r="J287" s="4">
        <f t="shared" si="112"/>
        <v>0.5</v>
      </c>
      <c r="K287" s="5">
        <v>1</v>
      </c>
      <c r="L287" s="31">
        <f t="shared" si="113"/>
        <v>0.5</v>
      </c>
      <c r="M287" s="31"/>
      <c r="N287" s="31"/>
      <c r="O287" s="31">
        <f t="shared" si="108"/>
        <v>0.5</v>
      </c>
      <c r="P287" s="31">
        <v>500</v>
      </c>
      <c r="Q287" s="31">
        <v>1</v>
      </c>
      <c r="R287" s="31">
        <v>0.47</v>
      </c>
      <c r="S287" s="31">
        <v>0.37</v>
      </c>
      <c r="T287" s="65">
        <f t="shared" si="127"/>
        <v>74</v>
      </c>
      <c r="U287" s="31">
        <v>3</v>
      </c>
      <c r="V287" s="31"/>
      <c r="W287" s="31">
        <f t="shared" si="106"/>
        <v>3</v>
      </c>
      <c r="X287" s="31">
        <f t="shared" si="107"/>
        <v>156.66666666666666</v>
      </c>
      <c r="Y287" s="31">
        <f t="shared" si="114"/>
        <v>0.15666666666666665</v>
      </c>
      <c r="Z287" s="18">
        <v>54</v>
      </c>
      <c r="AA287" s="18" t="s">
        <v>96</v>
      </c>
      <c r="AB287" s="18" t="s">
        <v>116</v>
      </c>
      <c r="AC287" s="18" t="s">
        <v>334</v>
      </c>
      <c r="AD287" s="18">
        <v>1</v>
      </c>
      <c r="AE287" s="18">
        <v>500</v>
      </c>
      <c r="AF287" s="18" t="s">
        <v>27</v>
      </c>
      <c r="AG287" s="18" t="s">
        <v>29</v>
      </c>
      <c r="AH287" s="18" t="s">
        <v>29</v>
      </c>
      <c r="AI287" s="18" t="s">
        <v>64</v>
      </c>
      <c r="AJ287" s="18" t="s">
        <v>79</v>
      </c>
      <c r="AK287" s="18" t="s">
        <v>92</v>
      </c>
      <c r="AL287" s="18" t="s">
        <v>107</v>
      </c>
      <c r="AM287" s="18" t="s">
        <v>120</v>
      </c>
      <c r="AN287" s="18" t="s">
        <v>198</v>
      </c>
      <c r="AO287" s="18"/>
      <c r="AP287" s="18"/>
      <c r="AQ287" s="18">
        <f>+VLOOKUP(AI287,Leyenda!$B$30:$E$34,3,FALSE)</f>
        <v>2</v>
      </c>
      <c r="AR287" s="18">
        <f>+VLOOKUP('3. Blasting'!AJ287,Meteorizacion,3,FALSE)</f>
        <v>1</v>
      </c>
      <c r="AS287" s="18">
        <f>+VLOOKUP('3. Blasting'!AK287,Apertura,3,FALSE)</f>
        <v>3</v>
      </c>
      <c r="AT287" s="18">
        <f>+VLOOKUP('3. Blasting'!AL287,Leyenda!$B$55:$D$59,3,FALSE)</f>
        <v>3</v>
      </c>
      <c r="AU287" s="18">
        <f>+VLOOKUP('3. Blasting'!AM287,Relleno,3,FALSE)</f>
        <v>2</v>
      </c>
      <c r="AV287" s="18">
        <f t="shared" si="128"/>
        <v>11</v>
      </c>
      <c r="AW287" s="49">
        <f t="shared" si="115"/>
        <v>11</v>
      </c>
      <c r="AX287" s="49">
        <f>VLOOKUP(AF287,Leyenda!$B$4:$D$10,3,FALSE)</f>
        <v>4</v>
      </c>
      <c r="AY287" s="50">
        <f t="shared" si="109"/>
        <v>12</v>
      </c>
      <c r="AZ287" s="49">
        <f t="shared" si="116"/>
        <v>11</v>
      </c>
      <c r="BA287" s="49">
        <f>VLOOKUP(AN287,Leyenda!$B$70:$D$75,3,FALSE)</f>
        <v>15</v>
      </c>
      <c r="BB287" s="67">
        <f t="shared" si="117"/>
        <v>53.5</v>
      </c>
      <c r="BC287" s="67">
        <f>VLOOKUP(AF287,Leyenda!$B$4:$E$10,4,FALSE)</f>
        <v>4</v>
      </c>
      <c r="BD287" s="67">
        <f t="shared" si="118"/>
        <v>11</v>
      </c>
      <c r="BE287" s="67">
        <f t="shared" si="119"/>
        <v>15</v>
      </c>
      <c r="BF287" s="67">
        <f>+VLOOKUP('3. Blasting'!AK287,Leyenda!$B$47:$E$51,4,FALSE)</f>
        <v>3</v>
      </c>
      <c r="BG287" s="67">
        <f>+VLOOKUP('3. Blasting'!AL287,Leyenda!$B$55:$E$59,4,FALSE)</f>
        <v>3</v>
      </c>
      <c r="BH287" s="67">
        <f>+VLOOKUP('3. Blasting'!AM287,Leyenda!$B$63:$E$67,3,FALSE)</f>
        <v>2</v>
      </c>
      <c r="BI287" s="67">
        <f>+VLOOKUP('3. Blasting'!AJ287,Leyenda!$B$39:$E$43,4,FALSE)</f>
        <v>1</v>
      </c>
      <c r="BJ287" s="67">
        <f>+VLOOKUP('3. Blasting'!AI287,Leyenda!$B$30:$E$34,4,FALSE)</f>
        <v>3</v>
      </c>
      <c r="BK287" s="67">
        <f>VLOOKUP(AN287,Leyenda!$B$71:$E$75,4,FALSE)</f>
        <v>10</v>
      </c>
      <c r="BL287" s="67">
        <f t="shared" si="120"/>
        <v>52</v>
      </c>
      <c r="BM287" s="18">
        <f t="shared" si="121"/>
        <v>53</v>
      </c>
      <c r="BN287" s="18"/>
      <c r="BO287" s="18"/>
      <c r="BP287">
        <f t="shared" si="122"/>
        <v>30</v>
      </c>
      <c r="BQ287">
        <f t="shared" si="123"/>
        <v>20</v>
      </c>
      <c r="BR287">
        <v>20</v>
      </c>
      <c r="BS287">
        <f t="shared" si="124"/>
        <v>-50</v>
      </c>
      <c r="BT287">
        <f t="shared" si="125"/>
        <v>0</v>
      </c>
      <c r="BU287">
        <f t="shared" si="126"/>
        <v>10</v>
      </c>
      <c r="BV287" s="1">
        <f t="shared" si="110"/>
        <v>0.04</v>
      </c>
      <c r="BW287" s="1">
        <f t="shared" si="111"/>
        <v>0</v>
      </c>
    </row>
    <row r="288" spans="1:75" hidden="1" x14ac:dyDescent="0.25">
      <c r="A288" s="18" t="s">
        <v>6</v>
      </c>
      <c r="B288" s="18">
        <v>2024</v>
      </c>
      <c r="C288" s="18" t="s">
        <v>138</v>
      </c>
      <c r="D288" s="18" t="s">
        <v>130</v>
      </c>
      <c r="E288" s="18">
        <v>20</v>
      </c>
      <c r="F288" s="18" t="s">
        <v>156</v>
      </c>
      <c r="G288" s="18" t="s">
        <v>181</v>
      </c>
      <c r="H288" s="4">
        <f t="shared" si="105"/>
        <v>27</v>
      </c>
      <c r="I288" s="4">
        <v>27.5</v>
      </c>
      <c r="J288" s="4">
        <f t="shared" si="112"/>
        <v>0.5</v>
      </c>
      <c r="K288" s="5">
        <v>1</v>
      </c>
      <c r="L288" s="31">
        <f t="shared" si="113"/>
        <v>0.5</v>
      </c>
      <c r="M288" s="31"/>
      <c r="N288" s="31"/>
      <c r="O288" s="31">
        <f t="shared" si="108"/>
        <v>0.5</v>
      </c>
      <c r="P288" s="31">
        <v>500</v>
      </c>
      <c r="Q288" s="31">
        <v>1</v>
      </c>
      <c r="R288" s="31">
        <v>0.43</v>
      </c>
      <c r="S288" s="31">
        <v>0.42</v>
      </c>
      <c r="T288" s="65">
        <f t="shared" si="127"/>
        <v>84</v>
      </c>
      <c r="U288" s="31">
        <v>2</v>
      </c>
      <c r="V288" s="31"/>
      <c r="W288" s="31">
        <f t="shared" si="106"/>
        <v>2</v>
      </c>
      <c r="X288" s="31">
        <f t="shared" si="107"/>
        <v>215</v>
      </c>
      <c r="Y288" s="31">
        <f t="shared" si="114"/>
        <v>0.215</v>
      </c>
      <c r="Z288" s="18">
        <v>92</v>
      </c>
      <c r="AA288" s="18" t="s">
        <v>96</v>
      </c>
      <c r="AB288" s="18" t="s">
        <v>116</v>
      </c>
      <c r="AC288" s="18" t="s">
        <v>334</v>
      </c>
      <c r="AD288" s="18">
        <v>1</v>
      </c>
      <c r="AE288" s="18">
        <v>500</v>
      </c>
      <c r="AF288" s="18" t="s">
        <v>27</v>
      </c>
      <c r="AG288" s="18" t="s">
        <v>29</v>
      </c>
      <c r="AH288" s="18" t="s">
        <v>29</v>
      </c>
      <c r="AI288" s="18" t="s">
        <v>64</v>
      </c>
      <c r="AJ288" s="18" t="s">
        <v>79</v>
      </c>
      <c r="AK288" s="18" t="s">
        <v>92</v>
      </c>
      <c r="AL288" s="18" t="s">
        <v>107</v>
      </c>
      <c r="AM288" s="18" t="s">
        <v>120</v>
      </c>
      <c r="AN288" s="18" t="s">
        <v>198</v>
      </c>
      <c r="AO288" s="18" t="s">
        <v>259</v>
      </c>
      <c r="AP288" s="18"/>
      <c r="AQ288" s="18">
        <f>+VLOOKUP(AI288,Leyenda!$B$30:$E$34,3,FALSE)</f>
        <v>2</v>
      </c>
      <c r="AR288" s="18">
        <f>+VLOOKUP('3. Blasting'!AJ288,Meteorizacion,3,FALSE)</f>
        <v>1</v>
      </c>
      <c r="AS288" s="18">
        <f>+VLOOKUP('3. Blasting'!AK288,Apertura,3,FALSE)</f>
        <v>3</v>
      </c>
      <c r="AT288" s="18">
        <f>+VLOOKUP('3. Blasting'!AL288,Leyenda!$B$55:$D$59,3,FALSE)</f>
        <v>3</v>
      </c>
      <c r="AU288" s="18">
        <f>+VLOOKUP('3. Blasting'!AM288,Relleno,3,FALSE)</f>
        <v>2</v>
      </c>
      <c r="AV288" s="18">
        <f t="shared" si="128"/>
        <v>11</v>
      </c>
      <c r="AW288" s="49">
        <f t="shared" si="115"/>
        <v>19</v>
      </c>
      <c r="AX288" s="49">
        <f>VLOOKUP(AF288,Leyenda!$B$4:$D$10,3,FALSE)</f>
        <v>4</v>
      </c>
      <c r="AY288" s="50">
        <f t="shared" si="109"/>
        <v>12</v>
      </c>
      <c r="AZ288" s="49">
        <f t="shared" si="116"/>
        <v>11</v>
      </c>
      <c r="BA288" s="49">
        <f>VLOOKUP(AN288,Leyenda!$B$70:$D$75,3,FALSE)</f>
        <v>15</v>
      </c>
      <c r="BB288" s="67">
        <f t="shared" si="117"/>
        <v>58.5</v>
      </c>
      <c r="BC288" s="67">
        <f>VLOOKUP(AF288,Leyenda!$B$4:$E$10,4,FALSE)</f>
        <v>4</v>
      </c>
      <c r="BD288" s="67">
        <f t="shared" si="118"/>
        <v>13</v>
      </c>
      <c r="BE288" s="67">
        <f t="shared" si="119"/>
        <v>17</v>
      </c>
      <c r="BF288" s="67">
        <f>+VLOOKUP('3. Blasting'!AK288,Leyenda!$B$47:$E$51,4,FALSE)</f>
        <v>3</v>
      </c>
      <c r="BG288" s="67">
        <f>+VLOOKUP('3. Blasting'!AL288,Leyenda!$B$55:$E$59,4,FALSE)</f>
        <v>3</v>
      </c>
      <c r="BH288" s="67">
        <f>+VLOOKUP('3. Blasting'!AM288,Leyenda!$B$63:$E$67,3,FALSE)</f>
        <v>2</v>
      </c>
      <c r="BI288" s="67">
        <f>+VLOOKUP('3. Blasting'!AJ288,Leyenda!$B$39:$E$43,4,FALSE)</f>
        <v>1</v>
      </c>
      <c r="BJ288" s="67">
        <f>+VLOOKUP('3. Blasting'!AI288,Leyenda!$B$30:$E$34,4,FALSE)</f>
        <v>3</v>
      </c>
      <c r="BK288" s="67">
        <f>VLOOKUP(AN288,Leyenda!$B$71:$E$75,4,FALSE)</f>
        <v>10</v>
      </c>
      <c r="BL288" s="67">
        <f t="shared" si="120"/>
        <v>56</v>
      </c>
      <c r="BM288" s="18">
        <f t="shared" si="121"/>
        <v>61</v>
      </c>
      <c r="BN288" s="18"/>
      <c r="BO288" s="18"/>
      <c r="BP288">
        <f t="shared" si="122"/>
        <v>30</v>
      </c>
      <c r="BQ288">
        <f t="shared" si="123"/>
        <v>20</v>
      </c>
      <c r="BR288">
        <v>20</v>
      </c>
      <c r="BS288">
        <f t="shared" si="124"/>
        <v>-50</v>
      </c>
      <c r="BT288">
        <f t="shared" si="125"/>
        <v>0</v>
      </c>
      <c r="BU288">
        <f t="shared" si="126"/>
        <v>10</v>
      </c>
      <c r="BV288" s="1">
        <f t="shared" si="110"/>
        <v>0.04</v>
      </c>
      <c r="BW288" s="1">
        <f t="shared" si="111"/>
        <v>0</v>
      </c>
    </row>
    <row r="289" spans="1:75" hidden="1" x14ac:dyDescent="0.25">
      <c r="A289" s="18" t="s">
        <v>6</v>
      </c>
      <c r="B289" s="18">
        <v>2024</v>
      </c>
      <c r="C289" s="18" t="s">
        <v>138</v>
      </c>
      <c r="D289" s="18" t="s">
        <v>130</v>
      </c>
      <c r="E289" s="18">
        <v>20</v>
      </c>
      <c r="F289" s="18" t="s">
        <v>156</v>
      </c>
      <c r="G289" s="18" t="s">
        <v>181</v>
      </c>
      <c r="H289" s="4">
        <f t="shared" si="105"/>
        <v>27.5</v>
      </c>
      <c r="I289" s="4">
        <v>28</v>
      </c>
      <c r="J289" s="4">
        <f t="shared" si="112"/>
        <v>0.5</v>
      </c>
      <c r="K289" s="5">
        <v>1</v>
      </c>
      <c r="L289" s="31">
        <f t="shared" si="113"/>
        <v>0.5</v>
      </c>
      <c r="M289" s="31"/>
      <c r="N289" s="31"/>
      <c r="O289" s="31">
        <f t="shared" si="108"/>
        <v>0.5</v>
      </c>
      <c r="P289" s="31">
        <v>500</v>
      </c>
      <c r="Q289" s="31">
        <v>1</v>
      </c>
      <c r="R289" s="31">
        <v>0.48</v>
      </c>
      <c r="S289" s="31">
        <v>0.48</v>
      </c>
      <c r="T289" s="65">
        <f t="shared" si="127"/>
        <v>96</v>
      </c>
      <c r="U289" s="31">
        <v>1</v>
      </c>
      <c r="V289" s="31"/>
      <c r="W289" s="31">
        <f t="shared" si="106"/>
        <v>1</v>
      </c>
      <c r="X289" s="31">
        <f t="shared" si="107"/>
        <v>480</v>
      </c>
      <c r="Y289" s="31">
        <f t="shared" si="114"/>
        <v>0.48</v>
      </c>
      <c r="Z289" s="18">
        <v>100</v>
      </c>
      <c r="AA289" s="18" t="s">
        <v>96</v>
      </c>
      <c r="AB289" s="18" t="s">
        <v>116</v>
      </c>
      <c r="AC289" s="18" t="s">
        <v>334</v>
      </c>
      <c r="AD289" s="18">
        <v>1</v>
      </c>
      <c r="AE289" s="18">
        <v>500</v>
      </c>
      <c r="AF289" s="18" t="s">
        <v>27</v>
      </c>
      <c r="AG289" s="18" t="s">
        <v>29</v>
      </c>
      <c r="AH289" s="18" t="s">
        <v>29</v>
      </c>
      <c r="AI289" s="18" t="s">
        <v>64</v>
      </c>
      <c r="AJ289" s="18" t="s">
        <v>79</v>
      </c>
      <c r="AK289" s="18" t="s">
        <v>96</v>
      </c>
      <c r="AL289" s="18" t="s">
        <v>107</v>
      </c>
      <c r="AM289" s="18" t="s">
        <v>120</v>
      </c>
      <c r="AN289" s="18" t="s">
        <v>198</v>
      </c>
      <c r="AO289" s="18"/>
      <c r="AP289" s="18"/>
      <c r="AQ289" s="18">
        <f>+VLOOKUP(AI289,Leyenda!$B$30:$E$34,3,FALSE)</f>
        <v>2</v>
      </c>
      <c r="AR289" s="18">
        <f>+VLOOKUP('3. Blasting'!AJ289,Meteorizacion,3,FALSE)</f>
        <v>1</v>
      </c>
      <c r="AS289" s="18">
        <f>+VLOOKUP('3. Blasting'!AK289,Apertura,3,FALSE)</f>
        <v>1</v>
      </c>
      <c r="AT289" s="18">
        <f>+VLOOKUP('3. Blasting'!AL289,Leyenda!$B$55:$D$59,3,FALSE)</f>
        <v>3</v>
      </c>
      <c r="AU289" s="18">
        <f>+VLOOKUP('3. Blasting'!AM289,Relleno,3,FALSE)</f>
        <v>2</v>
      </c>
      <c r="AV289" s="18">
        <f t="shared" si="128"/>
        <v>9</v>
      </c>
      <c r="AW289" s="49">
        <f t="shared" si="115"/>
        <v>20</v>
      </c>
      <c r="AX289" s="49">
        <f>VLOOKUP(AF289,Leyenda!$B$4:$D$10,3,FALSE)</f>
        <v>4</v>
      </c>
      <c r="AY289" s="50">
        <f t="shared" si="109"/>
        <v>12</v>
      </c>
      <c r="AZ289" s="49">
        <f t="shared" si="116"/>
        <v>9</v>
      </c>
      <c r="BA289" s="49">
        <f>VLOOKUP(AN289,Leyenda!$B$70:$D$75,3,FALSE)</f>
        <v>15</v>
      </c>
      <c r="BB289" s="67">
        <f t="shared" si="117"/>
        <v>61.5</v>
      </c>
      <c r="BC289" s="67">
        <f>VLOOKUP(AF289,Leyenda!$B$4:$E$10,4,FALSE)</f>
        <v>4</v>
      </c>
      <c r="BD289" s="67">
        <f t="shared" si="118"/>
        <v>18</v>
      </c>
      <c r="BE289" s="67">
        <f t="shared" si="119"/>
        <v>19</v>
      </c>
      <c r="BF289" s="67">
        <f>+VLOOKUP('3. Blasting'!AK289,Leyenda!$B$47:$E$51,4,FALSE)</f>
        <v>1</v>
      </c>
      <c r="BG289" s="67">
        <f>+VLOOKUP('3. Blasting'!AL289,Leyenda!$B$55:$E$59,4,FALSE)</f>
        <v>3</v>
      </c>
      <c r="BH289" s="67">
        <f>+VLOOKUP('3. Blasting'!AM289,Leyenda!$B$63:$E$67,3,FALSE)</f>
        <v>2</v>
      </c>
      <c r="BI289" s="67">
        <f>+VLOOKUP('3. Blasting'!AJ289,Leyenda!$B$39:$E$43,4,FALSE)</f>
        <v>1</v>
      </c>
      <c r="BJ289" s="67">
        <f>+VLOOKUP('3. Blasting'!AI289,Leyenda!$B$30:$E$34,4,FALSE)</f>
        <v>3</v>
      </c>
      <c r="BK289" s="67">
        <f>VLOOKUP(AN289,Leyenda!$B$71:$E$75,4,FALSE)</f>
        <v>10</v>
      </c>
      <c r="BL289" s="67">
        <f t="shared" si="120"/>
        <v>61</v>
      </c>
      <c r="BM289" s="18">
        <f t="shared" si="121"/>
        <v>60</v>
      </c>
      <c r="BN289" s="18"/>
      <c r="BO289" s="18"/>
      <c r="BP289">
        <f t="shared" si="122"/>
        <v>30</v>
      </c>
      <c r="BQ289">
        <f t="shared" si="123"/>
        <v>20</v>
      </c>
      <c r="BR289">
        <v>20</v>
      </c>
      <c r="BS289">
        <f t="shared" si="124"/>
        <v>-50</v>
      </c>
      <c r="BT289">
        <f t="shared" si="125"/>
        <v>0</v>
      </c>
      <c r="BU289">
        <f t="shared" si="126"/>
        <v>10</v>
      </c>
      <c r="BV289" s="1">
        <f t="shared" si="110"/>
        <v>0.04</v>
      </c>
      <c r="BW289" s="1">
        <f t="shared" si="111"/>
        <v>0</v>
      </c>
    </row>
    <row r="290" spans="1:75" hidden="1" x14ac:dyDescent="0.25">
      <c r="A290" s="18" t="s">
        <v>6</v>
      </c>
      <c r="B290" s="18">
        <v>2024</v>
      </c>
      <c r="C290" s="18" t="s">
        <v>138</v>
      </c>
      <c r="D290" s="18" t="s">
        <v>130</v>
      </c>
      <c r="E290" s="18">
        <v>20</v>
      </c>
      <c r="F290" s="18" t="s">
        <v>156</v>
      </c>
      <c r="G290" s="18" t="s">
        <v>181</v>
      </c>
      <c r="H290" s="4">
        <f t="shared" si="105"/>
        <v>28</v>
      </c>
      <c r="I290" s="4">
        <v>28.5</v>
      </c>
      <c r="J290" s="4">
        <f t="shared" si="112"/>
        <v>0.5</v>
      </c>
      <c r="K290" s="5">
        <v>1</v>
      </c>
      <c r="L290" s="31">
        <f t="shared" si="113"/>
        <v>0.5</v>
      </c>
      <c r="M290" s="31"/>
      <c r="N290" s="31"/>
      <c r="O290" s="31">
        <f t="shared" si="108"/>
        <v>0.5</v>
      </c>
      <c r="P290" s="31">
        <v>500</v>
      </c>
      <c r="Q290" s="31">
        <v>1</v>
      </c>
      <c r="R290" s="31">
        <v>0.47</v>
      </c>
      <c r="S290" s="31">
        <v>0.46</v>
      </c>
      <c r="T290" s="65">
        <f t="shared" si="127"/>
        <v>92</v>
      </c>
      <c r="U290" s="31">
        <v>2</v>
      </c>
      <c r="V290" s="31"/>
      <c r="W290" s="31">
        <f t="shared" si="106"/>
        <v>2</v>
      </c>
      <c r="X290" s="31">
        <f t="shared" si="107"/>
        <v>235</v>
      </c>
      <c r="Y290" s="31">
        <f t="shared" si="114"/>
        <v>0.23499999999999999</v>
      </c>
      <c r="Z290" s="18">
        <v>98</v>
      </c>
      <c r="AA290" s="18" t="s">
        <v>96</v>
      </c>
      <c r="AB290" s="18" t="s">
        <v>116</v>
      </c>
      <c r="AC290" s="18" t="s">
        <v>334</v>
      </c>
      <c r="AD290" s="18">
        <v>1</v>
      </c>
      <c r="AE290" s="18">
        <v>500</v>
      </c>
      <c r="AF290" s="18" t="s">
        <v>27</v>
      </c>
      <c r="AG290" s="18" t="s">
        <v>29</v>
      </c>
      <c r="AH290" s="18" t="s">
        <v>29</v>
      </c>
      <c r="AI290" s="18" t="s">
        <v>64</v>
      </c>
      <c r="AJ290" s="18" t="s">
        <v>79</v>
      </c>
      <c r="AK290" s="18" t="s">
        <v>96</v>
      </c>
      <c r="AL290" s="18" t="s">
        <v>107</v>
      </c>
      <c r="AM290" s="18" t="s">
        <v>120</v>
      </c>
      <c r="AN290" s="18" t="s">
        <v>198</v>
      </c>
      <c r="AO290" s="18"/>
      <c r="AP290" s="18"/>
      <c r="AQ290" s="18">
        <f>+VLOOKUP(AI290,Leyenda!$B$30:$E$34,3,FALSE)</f>
        <v>2</v>
      </c>
      <c r="AR290" s="18">
        <f>+VLOOKUP('3. Blasting'!AJ290,Meteorizacion,3,FALSE)</f>
        <v>1</v>
      </c>
      <c r="AS290" s="18">
        <f>+VLOOKUP('3. Blasting'!AK290,Apertura,3,FALSE)</f>
        <v>1</v>
      </c>
      <c r="AT290" s="18">
        <f>+VLOOKUP('3. Blasting'!AL290,Leyenda!$B$55:$D$59,3,FALSE)</f>
        <v>3</v>
      </c>
      <c r="AU290" s="18">
        <f>+VLOOKUP('3. Blasting'!AM290,Relleno,3,FALSE)</f>
        <v>2</v>
      </c>
      <c r="AV290" s="18">
        <f t="shared" si="128"/>
        <v>9</v>
      </c>
      <c r="AW290" s="49">
        <f t="shared" si="115"/>
        <v>20</v>
      </c>
      <c r="AX290" s="49">
        <f>VLOOKUP(AF290,Leyenda!$B$4:$D$10,3,FALSE)</f>
        <v>4</v>
      </c>
      <c r="AY290" s="50">
        <f t="shared" si="109"/>
        <v>12</v>
      </c>
      <c r="AZ290" s="49">
        <f t="shared" si="116"/>
        <v>9</v>
      </c>
      <c r="BA290" s="49">
        <f>VLOOKUP(AN290,Leyenda!$B$70:$D$75,3,FALSE)</f>
        <v>15</v>
      </c>
      <c r="BB290" s="67">
        <f t="shared" si="117"/>
        <v>59.5</v>
      </c>
      <c r="BC290" s="67">
        <f>VLOOKUP(AF290,Leyenda!$B$4:$E$10,4,FALSE)</f>
        <v>4</v>
      </c>
      <c r="BD290" s="67">
        <f t="shared" si="118"/>
        <v>13</v>
      </c>
      <c r="BE290" s="67">
        <f t="shared" si="119"/>
        <v>19</v>
      </c>
      <c r="BF290" s="67">
        <f>+VLOOKUP('3. Blasting'!AK290,Leyenda!$B$47:$E$51,4,FALSE)</f>
        <v>1</v>
      </c>
      <c r="BG290" s="67">
        <f>+VLOOKUP('3. Blasting'!AL290,Leyenda!$B$55:$E$59,4,FALSE)</f>
        <v>3</v>
      </c>
      <c r="BH290" s="67">
        <f>+VLOOKUP('3. Blasting'!AM290,Leyenda!$B$63:$E$67,3,FALSE)</f>
        <v>2</v>
      </c>
      <c r="BI290" s="67">
        <f>+VLOOKUP('3. Blasting'!AJ290,Leyenda!$B$39:$E$43,4,FALSE)</f>
        <v>1</v>
      </c>
      <c r="BJ290" s="67">
        <f>+VLOOKUP('3. Blasting'!AI290,Leyenda!$B$30:$E$34,4,FALSE)</f>
        <v>3</v>
      </c>
      <c r="BK290" s="67">
        <f>VLOOKUP(AN290,Leyenda!$B$71:$E$75,4,FALSE)</f>
        <v>10</v>
      </c>
      <c r="BL290" s="67">
        <f t="shared" si="120"/>
        <v>56</v>
      </c>
      <c r="BM290" s="18">
        <f t="shared" si="121"/>
        <v>60</v>
      </c>
      <c r="BN290" s="18"/>
      <c r="BO290" s="18"/>
      <c r="BP290">
        <f t="shared" si="122"/>
        <v>30</v>
      </c>
      <c r="BQ290">
        <f t="shared" si="123"/>
        <v>20</v>
      </c>
      <c r="BR290">
        <v>20</v>
      </c>
      <c r="BS290">
        <f t="shared" si="124"/>
        <v>-50</v>
      </c>
      <c r="BT290">
        <f t="shared" si="125"/>
        <v>0</v>
      </c>
      <c r="BU290">
        <f t="shared" si="126"/>
        <v>10</v>
      </c>
      <c r="BV290" s="1">
        <f t="shared" si="110"/>
        <v>0.04</v>
      </c>
      <c r="BW290" s="1">
        <f t="shared" si="111"/>
        <v>0</v>
      </c>
    </row>
    <row r="291" spans="1:75" hidden="1" x14ac:dyDescent="0.25">
      <c r="A291" s="18" t="s">
        <v>6</v>
      </c>
      <c r="B291" s="18">
        <v>2024</v>
      </c>
      <c r="C291" s="18" t="s">
        <v>138</v>
      </c>
      <c r="D291" s="18" t="s">
        <v>130</v>
      </c>
      <c r="E291" s="18">
        <v>20</v>
      </c>
      <c r="F291" s="18" t="s">
        <v>156</v>
      </c>
      <c r="G291" s="18" t="s">
        <v>181</v>
      </c>
      <c r="H291" s="4">
        <f t="shared" si="105"/>
        <v>28.5</v>
      </c>
      <c r="I291" s="4">
        <v>29</v>
      </c>
      <c r="J291" s="4">
        <f t="shared" si="112"/>
        <v>0.5</v>
      </c>
      <c r="K291" s="5">
        <v>1</v>
      </c>
      <c r="L291" s="31">
        <f t="shared" si="113"/>
        <v>0.5</v>
      </c>
      <c r="M291" s="31"/>
      <c r="N291" s="31"/>
      <c r="O291" s="31">
        <f t="shared" si="108"/>
        <v>0.5</v>
      </c>
      <c r="P291" s="31">
        <v>100</v>
      </c>
      <c r="Q291" s="31">
        <v>5</v>
      </c>
      <c r="R291" s="31">
        <v>0.47</v>
      </c>
      <c r="S291" s="31">
        <v>0.31</v>
      </c>
      <c r="T291" s="65">
        <f t="shared" si="127"/>
        <v>62</v>
      </c>
      <c r="U291" s="31">
        <v>3</v>
      </c>
      <c r="V291" s="31"/>
      <c r="W291" s="31">
        <f t="shared" si="106"/>
        <v>3</v>
      </c>
      <c r="X291" s="31">
        <f t="shared" si="107"/>
        <v>156.66666666666666</v>
      </c>
      <c r="Y291" s="31">
        <f t="shared" si="114"/>
        <v>0.15666666666666665</v>
      </c>
      <c r="Z291" s="18">
        <v>74</v>
      </c>
      <c r="AA291" s="18" t="s">
        <v>96</v>
      </c>
      <c r="AB291" s="18" t="s">
        <v>118</v>
      </c>
      <c r="AC291" s="18" t="s">
        <v>334</v>
      </c>
      <c r="AD291" s="18">
        <v>5</v>
      </c>
      <c r="AE291" s="18">
        <v>100</v>
      </c>
      <c r="AF291" s="18" t="s">
        <v>27</v>
      </c>
      <c r="AG291" s="18" t="s">
        <v>29</v>
      </c>
      <c r="AH291" s="18" t="s">
        <v>29</v>
      </c>
      <c r="AI291" s="18" t="s">
        <v>64</v>
      </c>
      <c r="AJ291" s="18" t="s">
        <v>79</v>
      </c>
      <c r="AK291" s="18" t="s">
        <v>96</v>
      </c>
      <c r="AL291" s="18" t="s">
        <v>107</v>
      </c>
      <c r="AM291" s="18" t="s">
        <v>120</v>
      </c>
      <c r="AN291" s="18" t="s">
        <v>198</v>
      </c>
      <c r="AO291" s="18"/>
      <c r="AP291" s="18"/>
      <c r="AQ291" s="18">
        <f>+VLOOKUP(AI291,Leyenda!$B$30:$E$34,3,FALSE)</f>
        <v>2</v>
      </c>
      <c r="AR291" s="18">
        <f>+VLOOKUP('3. Blasting'!AJ291,Meteorizacion,3,FALSE)</f>
        <v>1</v>
      </c>
      <c r="AS291" s="18">
        <f>+VLOOKUP('3. Blasting'!AK291,Apertura,3,FALSE)</f>
        <v>1</v>
      </c>
      <c r="AT291" s="18">
        <f>+VLOOKUP('3. Blasting'!AL291,Leyenda!$B$55:$D$59,3,FALSE)</f>
        <v>3</v>
      </c>
      <c r="AU291" s="18">
        <f>+VLOOKUP('3. Blasting'!AM291,Relleno,3,FALSE)</f>
        <v>2</v>
      </c>
      <c r="AV291" s="18">
        <f t="shared" si="128"/>
        <v>9</v>
      </c>
      <c r="AW291" s="49">
        <f t="shared" si="115"/>
        <v>15</v>
      </c>
      <c r="AX291" s="49">
        <f>VLOOKUP(AF291,Leyenda!$B$4:$D$10,3,FALSE)</f>
        <v>4</v>
      </c>
      <c r="AY291" s="50">
        <f t="shared" si="109"/>
        <v>7</v>
      </c>
      <c r="AZ291" s="49">
        <f t="shared" si="116"/>
        <v>9</v>
      </c>
      <c r="BA291" s="49">
        <f>VLOOKUP(AN291,Leyenda!$B$70:$D$75,3,FALSE)</f>
        <v>15</v>
      </c>
      <c r="BB291" s="67">
        <f t="shared" si="117"/>
        <v>44.5</v>
      </c>
      <c r="BC291" s="67">
        <f>VLOOKUP(AF291,Leyenda!$B$4:$E$10,4,FALSE)</f>
        <v>4</v>
      </c>
      <c r="BD291" s="67">
        <f t="shared" si="118"/>
        <v>11</v>
      </c>
      <c r="BE291" s="67">
        <f t="shared" si="119"/>
        <v>13</v>
      </c>
      <c r="BF291" s="67">
        <f>+VLOOKUP('3. Blasting'!AK291,Leyenda!$B$47:$E$51,4,FALSE)</f>
        <v>1</v>
      </c>
      <c r="BG291" s="67">
        <f>+VLOOKUP('3. Blasting'!AL291,Leyenda!$B$55:$E$59,4,FALSE)</f>
        <v>3</v>
      </c>
      <c r="BH291" s="67">
        <f>+VLOOKUP('3. Blasting'!AM291,Leyenda!$B$63:$E$67,3,FALSE)</f>
        <v>2</v>
      </c>
      <c r="BI291" s="67">
        <f>+VLOOKUP('3. Blasting'!AJ291,Leyenda!$B$39:$E$43,4,FALSE)</f>
        <v>1</v>
      </c>
      <c r="BJ291" s="67">
        <f>+VLOOKUP('3. Blasting'!AI291,Leyenda!$B$30:$E$34,4,FALSE)</f>
        <v>3</v>
      </c>
      <c r="BK291" s="67">
        <f>VLOOKUP(AN291,Leyenda!$B$71:$E$75,4,FALSE)</f>
        <v>10</v>
      </c>
      <c r="BL291" s="67">
        <f t="shared" si="120"/>
        <v>48</v>
      </c>
      <c r="BM291" s="18">
        <f t="shared" si="121"/>
        <v>50</v>
      </c>
      <c r="BN291" s="18"/>
      <c r="BO291" s="18"/>
      <c r="BP291">
        <f t="shared" si="122"/>
        <v>30</v>
      </c>
      <c r="BQ291">
        <f t="shared" si="123"/>
        <v>20</v>
      </c>
      <c r="BR291">
        <v>20</v>
      </c>
      <c r="BS291">
        <f t="shared" si="124"/>
        <v>-50</v>
      </c>
      <c r="BT291">
        <f t="shared" si="125"/>
        <v>0</v>
      </c>
      <c r="BU291">
        <f t="shared" si="126"/>
        <v>10</v>
      </c>
      <c r="BV291" s="1">
        <f t="shared" si="110"/>
        <v>0.04</v>
      </c>
      <c r="BW291" s="1">
        <f t="shared" si="111"/>
        <v>0</v>
      </c>
    </row>
    <row r="292" spans="1:75" hidden="1" x14ac:dyDescent="0.25">
      <c r="A292" s="18" t="s">
        <v>6</v>
      </c>
      <c r="B292" s="18">
        <v>2024</v>
      </c>
      <c r="C292" s="18" t="s">
        <v>138</v>
      </c>
      <c r="D292" s="18" t="s">
        <v>130</v>
      </c>
      <c r="E292" s="18">
        <v>20</v>
      </c>
      <c r="F292" s="18" t="s">
        <v>156</v>
      </c>
      <c r="G292" s="18" t="s">
        <v>181</v>
      </c>
      <c r="H292" s="4">
        <f t="shared" si="105"/>
        <v>29</v>
      </c>
      <c r="I292" s="4">
        <v>29.5</v>
      </c>
      <c r="J292" s="4">
        <f t="shared" si="112"/>
        <v>0.5</v>
      </c>
      <c r="K292" s="5">
        <v>1</v>
      </c>
      <c r="L292" s="31">
        <f t="shared" si="113"/>
        <v>0.5</v>
      </c>
      <c r="M292" s="31"/>
      <c r="N292" s="31"/>
      <c r="O292" s="31">
        <f t="shared" si="108"/>
        <v>0.5</v>
      </c>
      <c r="P292" s="31">
        <v>500</v>
      </c>
      <c r="Q292" s="31">
        <v>1</v>
      </c>
      <c r="R292" s="31">
        <v>0.45</v>
      </c>
      <c r="S292" s="31">
        <v>0.24</v>
      </c>
      <c r="T292" s="65">
        <f t="shared" si="127"/>
        <v>48</v>
      </c>
      <c r="U292" s="31">
        <v>6</v>
      </c>
      <c r="V292" s="31"/>
      <c r="W292" s="31">
        <f t="shared" si="106"/>
        <v>6</v>
      </c>
      <c r="X292" s="31">
        <f t="shared" si="107"/>
        <v>75</v>
      </c>
      <c r="Y292" s="31">
        <f t="shared" si="114"/>
        <v>7.4999999999999997E-2</v>
      </c>
      <c r="Z292" s="18">
        <v>50</v>
      </c>
      <c r="AA292" s="18" t="s">
        <v>96</v>
      </c>
      <c r="AB292" s="18" t="s">
        <v>116</v>
      </c>
      <c r="AC292" s="18" t="s">
        <v>334</v>
      </c>
      <c r="AD292" s="18">
        <v>1</v>
      </c>
      <c r="AE292" s="18">
        <v>500</v>
      </c>
      <c r="AF292" s="18" t="s">
        <v>27</v>
      </c>
      <c r="AG292" s="18" t="s">
        <v>32</v>
      </c>
      <c r="AH292" s="18" t="s">
        <v>32</v>
      </c>
      <c r="AI292" s="18" t="s">
        <v>66</v>
      </c>
      <c r="AJ292" s="18" t="s">
        <v>81</v>
      </c>
      <c r="AK292" s="18" t="s">
        <v>96</v>
      </c>
      <c r="AL292" s="18" t="s">
        <v>109</v>
      </c>
      <c r="AM292" s="18" t="s">
        <v>122</v>
      </c>
      <c r="AN292" s="18" t="s">
        <v>198</v>
      </c>
      <c r="AO292" s="18" t="s">
        <v>231</v>
      </c>
      <c r="AP292" s="18"/>
      <c r="AQ292" s="18">
        <f>+VLOOKUP(AI292,Leyenda!$B$30:$E$34,3,FALSE)</f>
        <v>1</v>
      </c>
      <c r="AR292" s="18">
        <f>+VLOOKUP('3. Blasting'!AJ292,Meteorizacion,3,FALSE)</f>
        <v>0</v>
      </c>
      <c r="AS292" s="18">
        <f>+VLOOKUP('3. Blasting'!AK292,Apertura,3,FALSE)</f>
        <v>1</v>
      </c>
      <c r="AT292" s="18">
        <f>+VLOOKUP('3. Blasting'!AL292,Leyenda!$B$55:$D$59,3,FALSE)</f>
        <v>1</v>
      </c>
      <c r="AU292" s="18">
        <f>+VLOOKUP('3. Blasting'!AM292,Relleno,3,FALSE)</f>
        <v>0</v>
      </c>
      <c r="AV292" s="18">
        <f t="shared" si="128"/>
        <v>3</v>
      </c>
      <c r="AW292" s="49">
        <f t="shared" si="115"/>
        <v>10</v>
      </c>
      <c r="AX292" s="49">
        <f>VLOOKUP(AF292,Leyenda!$B$4:$D$10,3,FALSE)</f>
        <v>4</v>
      </c>
      <c r="AY292" s="50">
        <f t="shared" si="109"/>
        <v>12</v>
      </c>
      <c r="AZ292" s="49">
        <f t="shared" si="116"/>
        <v>3</v>
      </c>
      <c r="BA292" s="49">
        <f>VLOOKUP(AN292,Leyenda!$B$70:$D$75,3,FALSE)</f>
        <v>15</v>
      </c>
      <c r="BB292" s="67">
        <f t="shared" si="117"/>
        <v>28.5</v>
      </c>
      <c r="BC292" s="67">
        <f>VLOOKUP(AF292,Leyenda!$B$4:$E$10,4,FALSE)</f>
        <v>4</v>
      </c>
      <c r="BD292" s="67">
        <f t="shared" si="118"/>
        <v>6</v>
      </c>
      <c r="BE292" s="67">
        <f t="shared" si="119"/>
        <v>10</v>
      </c>
      <c r="BF292" s="67">
        <f>+VLOOKUP('3. Blasting'!AK292,Leyenda!$B$47:$E$51,4,FALSE)</f>
        <v>1</v>
      </c>
      <c r="BG292" s="67">
        <f>+VLOOKUP('3. Blasting'!AL292,Leyenda!$B$55:$E$59,4,FALSE)</f>
        <v>1</v>
      </c>
      <c r="BH292" s="67">
        <f>+VLOOKUP('3. Blasting'!AM292,Leyenda!$B$63:$E$67,3,FALSE)</f>
        <v>0</v>
      </c>
      <c r="BI292" s="67">
        <f>+VLOOKUP('3. Blasting'!AJ292,Leyenda!$B$39:$E$43,4,FALSE)</f>
        <v>0</v>
      </c>
      <c r="BJ292" s="67">
        <f>+VLOOKUP('3. Blasting'!AI292,Leyenda!$B$30:$E$34,4,FALSE)</f>
        <v>1</v>
      </c>
      <c r="BK292" s="67">
        <f>VLOOKUP(AN292,Leyenda!$B$71:$E$75,4,FALSE)</f>
        <v>10</v>
      </c>
      <c r="BL292" s="67">
        <f t="shared" si="120"/>
        <v>33</v>
      </c>
      <c r="BM292" s="18">
        <f t="shared" si="121"/>
        <v>44</v>
      </c>
      <c r="BN292" s="18"/>
      <c r="BO292" s="18"/>
      <c r="BP292">
        <f t="shared" si="122"/>
        <v>20</v>
      </c>
      <c r="BQ292">
        <f t="shared" si="123"/>
        <v>10</v>
      </c>
      <c r="BR292">
        <v>20</v>
      </c>
      <c r="BS292">
        <f t="shared" si="124"/>
        <v>-50</v>
      </c>
      <c r="BT292">
        <f t="shared" si="125"/>
        <v>0</v>
      </c>
      <c r="BU292">
        <f t="shared" si="126"/>
        <v>0</v>
      </c>
      <c r="BV292" s="1">
        <f t="shared" si="110"/>
        <v>0</v>
      </c>
      <c r="BW292" s="1">
        <f t="shared" si="111"/>
        <v>0</v>
      </c>
    </row>
    <row r="293" spans="1:75" hidden="1" x14ac:dyDescent="0.25">
      <c r="A293" s="18" t="s">
        <v>6</v>
      </c>
      <c r="B293" s="18">
        <v>2024</v>
      </c>
      <c r="C293" s="18" t="s">
        <v>138</v>
      </c>
      <c r="D293" s="18" t="s">
        <v>130</v>
      </c>
      <c r="E293" s="18">
        <v>20</v>
      </c>
      <c r="F293" s="18" t="s">
        <v>156</v>
      </c>
      <c r="G293" s="18" t="s">
        <v>181</v>
      </c>
      <c r="H293" s="4">
        <f t="shared" si="105"/>
        <v>29.5</v>
      </c>
      <c r="I293" s="4">
        <v>30</v>
      </c>
      <c r="J293" s="4">
        <f t="shared" si="112"/>
        <v>0.5</v>
      </c>
      <c r="K293" s="5">
        <v>1</v>
      </c>
      <c r="L293" s="31">
        <f t="shared" si="113"/>
        <v>0.5</v>
      </c>
      <c r="M293" s="31"/>
      <c r="N293" s="31"/>
      <c r="O293" s="31">
        <f t="shared" si="108"/>
        <v>0.5</v>
      </c>
      <c r="P293" s="31">
        <v>100</v>
      </c>
      <c r="Q293" s="31">
        <v>5</v>
      </c>
      <c r="R293" s="31">
        <v>0.32</v>
      </c>
      <c r="S293" s="31">
        <v>0.24</v>
      </c>
      <c r="T293" s="65">
        <f t="shared" si="127"/>
        <v>48</v>
      </c>
      <c r="U293" s="31">
        <v>3</v>
      </c>
      <c r="V293" s="31"/>
      <c r="W293" s="31">
        <f t="shared" si="106"/>
        <v>3</v>
      </c>
      <c r="X293" s="31">
        <f t="shared" si="107"/>
        <v>106.66666666666667</v>
      </c>
      <c r="Y293" s="31">
        <f t="shared" si="114"/>
        <v>0.10666666666666667</v>
      </c>
      <c r="Z293" s="18">
        <v>34</v>
      </c>
      <c r="AA293" s="18" t="s">
        <v>96</v>
      </c>
      <c r="AB293" s="18" t="s">
        <v>118</v>
      </c>
      <c r="AC293" s="18" t="s">
        <v>334</v>
      </c>
      <c r="AD293" s="18">
        <v>5</v>
      </c>
      <c r="AE293" s="18">
        <v>100</v>
      </c>
      <c r="AF293" s="18" t="s">
        <v>27</v>
      </c>
      <c r="AG293" s="18" t="s">
        <v>32</v>
      </c>
      <c r="AH293" s="18" t="s">
        <v>32</v>
      </c>
      <c r="AI293" s="18" t="s">
        <v>66</v>
      </c>
      <c r="AJ293" s="18" t="s">
        <v>81</v>
      </c>
      <c r="AK293" s="18" t="s">
        <v>96</v>
      </c>
      <c r="AL293" s="18" t="s">
        <v>107</v>
      </c>
      <c r="AM293" s="18" t="s">
        <v>122</v>
      </c>
      <c r="AN293" s="18" t="s">
        <v>198</v>
      </c>
      <c r="AO293" s="18"/>
      <c r="AP293" s="18"/>
      <c r="AQ293" s="18">
        <f>+VLOOKUP(AI293,Leyenda!$B$30:$E$34,3,FALSE)</f>
        <v>1</v>
      </c>
      <c r="AR293" s="18">
        <f>+VLOOKUP('3. Blasting'!AJ293,Meteorizacion,3,FALSE)</f>
        <v>0</v>
      </c>
      <c r="AS293" s="18">
        <f>+VLOOKUP('3. Blasting'!AK293,Apertura,3,FALSE)</f>
        <v>1</v>
      </c>
      <c r="AT293" s="18">
        <f>+VLOOKUP('3. Blasting'!AL293,Leyenda!$B$55:$D$59,3,FALSE)</f>
        <v>3</v>
      </c>
      <c r="AU293" s="18">
        <f>+VLOOKUP('3. Blasting'!AM293,Relleno,3,FALSE)</f>
        <v>0</v>
      </c>
      <c r="AV293" s="18">
        <f t="shared" si="128"/>
        <v>5</v>
      </c>
      <c r="AW293" s="49">
        <f t="shared" si="115"/>
        <v>7</v>
      </c>
      <c r="AX293" s="49">
        <f>VLOOKUP(AF293,Leyenda!$B$4:$D$10,3,FALSE)</f>
        <v>4</v>
      </c>
      <c r="AY293" s="50">
        <f t="shared" si="109"/>
        <v>7</v>
      </c>
      <c r="AZ293" s="49">
        <f t="shared" si="116"/>
        <v>5</v>
      </c>
      <c r="BA293" s="49">
        <f>VLOOKUP(AN293,Leyenda!$B$70:$D$75,3,FALSE)</f>
        <v>15</v>
      </c>
      <c r="BB293" s="67">
        <f t="shared" si="117"/>
        <v>31.5</v>
      </c>
      <c r="BC293" s="67">
        <f>VLOOKUP(AF293,Leyenda!$B$4:$E$10,4,FALSE)</f>
        <v>4</v>
      </c>
      <c r="BD293" s="67">
        <f t="shared" si="118"/>
        <v>9</v>
      </c>
      <c r="BE293" s="67">
        <f t="shared" si="119"/>
        <v>10</v>
      </c>
      <c r="BF293" s="67">
        <f>+VLOOKUP('3. Blasting'!AK293,Leyenda!$B$47:$E$51,4,FALSE)</f>
        <v>1</v>
      </c>
      <c r="BG293" s="67">
        <f>+VLOOKUP('3. Blasting'!AL293,Leyenda!$B$55:$E$59,4,FALSE)</f>
        <v>3</v>
      </c>
      <c r="BH293" s="67">
        <f>+VLOOKUP('3. Blasting'!AM293,Leyenda!$B$63:$E$67,3,FALSE)</f>
        <v>0</v>
      </c>
      <c r="BI293" s="67">
        <f>+VLOOKUP('3. Blasting'!AJ293,Leyenda!$B$39:$E$43,4,FALSE)</f>
        <v>0</v>
      </c>
      <c r="BJ293" s="67">
        <f>+VLOOKUP('3. Blasting'!AI293,Leyenda!$B$30:$E$34,4,FALSE)</f>
        <v>1</v>
      </c>
      <c r="BK293" s="67">
        <f>VLOOKUP(AN293,Leyenda!$B$71:$E$75,4,FALSE)</f>
        <v>10</v>
      </c>
      <c r="BL293" s="67">
        <f t="shared" si="120"/>
        <v>38</v>
      </c>
      <c r="BM293" s="18">
        <f t="shared" si="121"/>
        <v>38</v>
      </c>
      <c r="BN293" s="18"/>
      <c r="BO293" s="18"/>
      <c r="BP293">
        <f t="shared" si="122"/>
        <v>20</v>
      </c>
      <c r="BQ293">
        <f t="shared" si="123"/>
        <v>20</v>
      </c>
      <c r="BR293">
        <v>20</v>
      </c>
      <c r="BS293">
        <f t="shared" si="124"/>
        <v>-50</v>
      </c>
      <c r="BT293">
        <f t="shared" si="125"/>
        <v>0</v>
      </c>
      <c r="BU293">
        <f t="shared" si="126"/>
        <v>5</v>
      </c>
      <c r="BV293" s="1">
        <f t="shared" si="110"/>
        <v>0.02</v>
      </c>
      <c r="BW293" s="1">
        <f t="shared" si="111"/>
        <v>0</v>
      </c>
    </row>
    <row r="294" spans="1:75" hidden="1" x14ac:dyDescent="0.25">
      <c r="A294" s="18" t="s">
        <v>6</v>
      </c>
      <c r="B294" s="18">
        <v>2024</v>
      </c>
      <c r="C294" s="18" t="s">
        <v>138</v>
      </c>
      <c r="D294" s="18" t="s">
        <v>130</v>
      </c>
      <c r="E294" s="18">
        <v>20</v>
      </c>
      <c r="F294" s="18" t="s">
        <v>156</v>
      </c>
      <c r="G294" s="18" t="s">
        <v>181</v>
      </c>
      <c r="H294" s="4">
        <f t="shared" si="105"/>
        <v>30</v>
      </c>
      <c r="I294" s="4">
        <v>30.5</v>
      </c>
      <c r="J294" s="4">
        <f t="shared" si="112"/>
        <v>0.5</v>
      </c>
      <c r="K294" s="5">
        <v>1</v>
      </c>
      <c r="L294" s="31">
        <f t="shared" si="113"/>
        <v>0.5</v>
      </c>
      <c r="M294" s="31"/>
      <c r="N294" s="31"/>
      <c r="O294" s="31">
        <f t="shared" si="108"/>
        <v>0.5</v>
      </c>
      <c r="P294" s="31">
        <v>25</v>
      </c>
      <c r="Q294" s="31">
        <v>20</v>
      </c>
      <c r="R294" s="31">
        <f>0.16+0.28</f>
        <v>0.44000000000000006</v>
      </c>
      <c r="S294" s="31">
        <v>0.42</v>
      </c>
      <c r="T294" s="65">
        <f t="shared" si="127"/>
        <v>84</v>
      </c>
      <c r="U294" s="31">
        <v>4</v>
      </c>
      <c r="V294" s="31"/>
      <c r="W294" s="31">
        <f t="shared" si="106"/>
        <v>4</v>
      </c>
      <c r="X294" s="31">
        <f t="shared" si="107"/>
        <v>110.00000000000001</v>
      </c>
      <c r="Y294" s="31">
        <f t="shared" si="114"/>
        <v>0.11000000000000001</v>
      </c>
      <c r="Z294" s="18">
        <v>0</v>
      </c>
      <c r="AA294" s="18" t="s">
        <v>96</v>
      </c>
      <c r="AB294" s="18" t="s">
        <v>333</v>
      </c>
      <c r="AC294" s="18" t="s">
        <v>337</v>
      </c>
      <c r="AD294" s="18">
        <v>20</v>
      </c>
      <c r="AE294" s="18">
        <v>25</v>
      </c>
      <c r="AF294" s="18" t="s">
        <v>29</v>
      </c>
      <c r="AG294" s="18" t="s">
        <v>196</v>
      </c>
      <c r="AH294" s="18" t="s">
        <v>196</v>
      </c>
      <c r="AI294" s="18" t="s">
        <v>66</v>
      </c>
      <c r="AJ294" s="18" t="s">
        <v>81</v>
      </c>
      <c r="AK294" s="18" t="s">
        <v>96</v>
      </c>
      <c r="AL294" s="18" t="s">
        <v>109</v>
      </c>
      <c r="AM294" s="18" t="s">
        <v>122</v>
      </c>
      <c r="AN294" s="18" t="s">
        <v>198</v>
      </c>
      <c r="AO294" s="18" t="s">
        <v>260</v>
      </c>
      <c r="AP294" s="18"/>
      <c r="AQ294" s="18">
        <f>+VLOOKUP(AI294,Leyenda!$B$30:$E$34,3,FALSE)</f>
        <v>1</v>
      </c>
      <c r="AR294" s="18">
        <f>+VLOOKUP('3. Blasting'!AJ294,Meteorizacion,3,FALSE)</f>
        <v>0</v>
      </c>
      <c r="AS294" s="18">
        <f>+VLOOKUP('3. Blasting'!AK294,Apertura,3,FALSE)</f>
        <v>1</v>
      </c>
      <c r="AT294" s="18">
        <f>+VLOOKUP('3. Blasting'!AL294,Leyenda!$B$55:$D$59,3,FALSE)</f>
        <v>1</v>
      </c>
      <c r="AU294" s="18">
        <f>+VLOOKUP('3. Blasting'!AM294,Relleno,3,FALSE)</f>
        <v>0</v>
      </c>
      <c r="AV294" s="18">
        <f t="shared" si="128"/>
        <v>3</v>
      </c>
      <c r="AW294" s="49">
        <f t="shared" si="115"/>
        <v>0</v>
      </c>
      <c r="AX294" s="49">
        <f>VLOOKUP(AF294,Leyenda!$B$4:$D$10,3,FALSE)</f>
        <v>2</v>
      </c>
      <c r="AY294" s="50">
        <f t="shared" si="109"/>
        <v>5</v>
      </c>
      <c r="AZ294" s="49">
        <f t="shared" si="116"/>
        <v>3</v>
      </c>
      <c r="BA294" s="49">
        <f>VLOOKUP(AN294,Leyenda!$B$70:$D$75,3,FALSE)</f>
        <v>15</v>
      </c>
      <c r="BB294" s="67">
        <f t="shared" si="117"/>
        <v>46.5</v>
      </c>
      <c r="BC294" s="67">
        <f>VLOOKUP(AF294,Leyenda!$B$4:$E$10,4,FALSE)</f>
        <v>2</v>
      </c>
      <c r="BD294" s="67">
        <f t="shared" si="118"/>
        <v>9</v>
      </c>
      <c r="BE294" s="67">
        <f t="shared" si="119"/>
        <v>17</v>
      </c>
      <c r="BF294" s="67">
        <f>+VLOOKUP('3. Blasting'!AK294,Leyenda!$B$47:$E$51,4,FALSE)</f>
        <v>1</v>
      </c>
      <c r="BG294" s="67">
        <f>+VLOOKUP('3. Blasting'!AL294,Leyenda!$B$55:$E$59,4,FALSE)</f>
        <v>1</v>
      </c>
      <c r="BH294" s="67">
        <f>+VLOOKUP('3. Blasting'!AM294,Leyenda!$B$63:$E$67,3,FALSE)</f>
        <v>0</v>
      </c>
      <c r="BI294" s="67">
        <f>+VLOOKUP('3. Blasting'!AJ294,Leyenda!$B$39:$E$43,4,FALSE)</f>
        <v>0</v>
      </c>
      <c r="BJ294" s="67">
        <f>+VLOOKUP('3. Blasting'!AI294,Leyenda!$B$30:$E$34,4,FALSE)</f>
        <v>1</v>
      </c>
      <c r="BK294" s="67">
        <f>VLOOKUP(AN294,Leyenda!$B$71:$E$75,4,FALSE)</f>
        <v>10</v>
      </c>
      <c r="BL294" s="67">
        <f t="shared" si="120"/>
        <v>41</v>
      </c>
      <c r="BM294" s="18">
        <f t="shared" si="121"/>
        <v>25</v>
      </c>
      <c r="BN294" s="18"/>
      <c r="BO294" s="18"/>
      <c r="BP294">
        <f t="shared" si="122"/>
        <v>20</v>
      </c>
      <c r="BQ294">
        <f t="shared" si="123"/>
        <v>20</v>
      </c>
      <c r="BR294">
        <v>20</v>
      </c>
      <c r="BS294">
        <f t="shared" si="124"/>
        <v>-50</v>
      </c>
      <c r="BT294">
        <f t="shared" si="125"/>
        <v>0</v>
      </c>
      <c r="BU294">
        <f t="shared" si="126"/>
        <v>5</v>
      </c>
      <c r="BV294" s="1">
        <f t="shared" si="110"/>
        <v>0.02</v>
      </c>
      <c r="BW294" s="1">
        <f t="shared" si="111"/>
        <v>0</v>
      </c>
    </row>
    <row r="295" spans="1:75" hidden="1" x14ac:dyDescent="0.25">
      <c r="A295" s="18" t="s">
        <v>6</v>
      </c>
      <c r="B295" s="18">
        <v>2024</v>
      </c>
      <c r="C295" s="18" t="s">
        <v>138</v>
      </c>
      <c r="D295" s="18" t="s">
        <v>130</v>
      </c>
      <c r="E295" s="18">
        <v>20</v>
      </c>
      <c r="F295" s="18" t="s">
        <v>156</v>
      </c>
      <c r="G295" s="18" t="s">
        <v>181</v>
      </c>
      <c r="H295" s="4">
        <f t="shared" si="105"/>
        <v>30.5</v>
      </c>
      <c r="I295" s="4">
        <v>31</v>
      </c>
      <c r="J295" s="4">
        <f t="shared" si="112"/>
        <v>0.5</v>
      </c>
      <c r="K295" s="5">
        <v>1</v>
      </c>
      <c r="L295" s="31">
        <f t="shared" si="113"/>
        <v>0.5</v>
      </c>
      <c r="M295" s="31"/>
      <c r="N295" s="31"/>
      <c r="O295" s="31">
        <f t="shared" si="108"/>
        <v>0.5</v>
      </c>
      <c r="P295" s="31">
        <v>25</v>
      </c>
      <c r="Q295" s="31">
        <v>20</v>
      </c>
      <c r="R295" s="31">
        <v>0.48</v>
      </c>
      <c r="S295" s="31">
        <v>0</v>
      </c>
      <c r="T295" s="65">
        <f t="shared" si="127"/>
        <v>0</v>
      </c>
      <c r="U295" s="31">
        <v>5</v>
      </c>
      <c r="V295" s="31"/>
      <c r="W295" s="31">
        <f t="shared" si="106"/>
        <v>5</v>
      </c>
      <c r="X295" s="31">
        <f t="shared" si="107"/>
        <v>96</v>
      </c>
      <c r="Y295" s="31">
        <f t="shared" si="114"/>
        <v>9.6000000000000002E-2</v>
      </c>
      <c r="Z295" s="18">
        <v>0</v>
      </c>
      <c r="AA295" s="18" t="s">
        <v>96</v>
      </c>
      <c r="AB295" s="18" t="s">
        <v>333</v>
      </c>
      <c r="AC295" s="18" t="s">
        <v>337</v>
      </c>
      <c r="AD295" s="18">
        <v>20</v>
      </c>
      <c r="AE295" s="18">
        <v>25</v>
      </c>
      <c r="AF295" s="18" t="s">
        <v>29</v>
      </c>
      <c r="AG295" s="18" t="s">
        <v>199</v>
      </c>
      <c r="AH295" s="18" t="s">
        <v>199</v>
      </c>
      <c r="AI295" s="18" t="s">
        <v>64</v>
      </c>
      <c r="AJ295" s="18" t="s">
        <v>79</v>
      </c>
      <c r="AK295" s="18" t="s">
        <v>96</v>
      </c>
      <c r="AL295" s="18" t="s">
        <v>107</v>
      </c>
      <c r="AM295" s="18" t="s">
        <v>120</v>
      </c>
      <c r="AN295" s="18" t="s">
        <v>198</v>
      </c>
      <c r="AO295" s="18"/>
      <c r="AP295" s="18"/>
      <c r="AQ295" s="18">
        <f>+VLOOKUP(AI295,Leyenda!$B$30:$E$34,3,FALSE)</f>
        <v>2</v>
      </c>
      <c r="AR295" s="18">
        <f>+VLOOKUP('3. Blasting'!AJ295,Meteorizacion,3,FALSE)</f>
        <v>1</v>
      </c>
      <c r="AS295" s="18">
        <f>+VLOOKUP('3. Blasting'!AK295,Apertura,3,FALSE)</f>
        <v>1</v>
      </c>
      <c r="AT295" s="18">
        <f>+VLOOKUP('3. Blasting'!AL295,Leyenda!$B$55:$D$59,3,FALSE)</f>
        <v>3</v>
      </c>
      <c r="AU295" s="18">
        <f>+VLOOKUP('3. Blasting'!AM295,Relleno,3,FALSE)</f>
        <v>2</v>
      </c>
      <c r="AV295" s="18">
        <f t="shared" si="128"/>
        <v>9</v>
      </c>
      <c r="AW295" s="49">
        <f t="shared" si="115"/>
        <v>0</v>
      </c>
      <c r="AX295" s="49">
        <f>VLOOKUP(AF295,Leyenda!$B$4:$D$10,3,FALSE)</f>
        <v>2</v>
      </c>
      <c r="AY295" s="50">
        <f t="shared" si="109"/>
        <v>5</v>
      </c>
      <c r="AZ295" s="49">
        <f t="shared" si="116"/>
        <v>9</v>
      </c>
      <c r="BA295" s="49">
        <f>VLOOKUP(AN295,Leyenda!$B$70:$D$75,3,FALSE)</f>
        <v>15</v>
      </c>
      <c r="BB295" s="67">
        <f t="shared" si="117"/>
        <v>13.5</v>
      </c>
      <c r="BC295" s="67">
        <f>VLOOKUP(AF295,Leyenda!$B$4:$E$10,4,FALSE)</f>
        <v>2</v>
      </c>
      <c r="BD295" s="67">
        <f t="shared" si="118"/>
        <v>8</v>
      </c>
      <c r="BE295" s="67">
        <f t="shared" si="119"/>
        <v>0</v>
      </c>
      <c r="BF295" s="67">
        <f>+VLOOKUP('3. Blasting'!AK295,Leyenda!$B$47:$E$51,4,FALSE)</f>
        <v>1</v>
      </c>
      <c r="BG295" s="67">
        <f>+VLOOKUP('3. Blasting'!AL295,Leyenda!$B$55:$E$59,4,FALSE)</f>
        <v>3</v>
      </c>
      <c r="BH295" s="67">
        <f>+VLOOKUP('3. Blasting'!AM295,Leyenda!$B$63:$E$67,3,FALSE)</f>
        <v>2</v>
      </c>
      <c r="BI295" s="67">
        <f>+VLOOKUP('3. Blasting'!AJ295,Leyenda!$B$39:$E$43,4,FALSE)</f>
        <v>1</v>
      </c>
      <c r="BJ295" s="67">
        <f>+VLOOKUP('3. Blasting'!AI295,Leyenda!$B$30:$E$34,4,FALSE)</f>
        <v>3</v>
      </c>
      <c r="BK295" s="67">
        <f>VLOOKUP(AN295,Leyenda!$B$71:$E$75,4,FALSE)</f>
        <v>10</v>
      </c>
      <c r="BL295" s="67">
        <f t="shared" si="120"/>
        <v>30</v>
      </c>
      <c r="BM295" s="18">
        <f t="shared" si="121"/>
        <v>31</v>
      </c>
      <c r="BN295" s="18"/>
      <c r="BO295" s="18"/>
      <c r="BP295">
        <f t="shared" si="122"/>
        <v>20</v>
      </c>
      <c r="BQ295">
        <f t="shared" si="123"/>
        <v>10</v>
      </c>
      <c r="BR295">
        <v>20</v>
      </c>
      <c r="BS295">
        <f t="shared" si="124"/>
        <v>-50</v>
      </c>
      <c r="BT295">
        <f t="shared" si="125"/>
        <v>0</v>
      </c>
      <c r="BU295">
        <f t="shared" si="126"/>
        <v>0</v>
      </c>
      <c r="BV295" s="1">
        <f t="shared" si="110"/>
        <v>0</v>
      </c>
      <c r="BW295" s="1">
        <f t="shared" si="111"/>
        <v>0</v>
      </c>
    </row>
    <row r="296" spans="1:75" hidden="1" x14ac:dyDescent="0.25">
      <c r="A296" s="18" t="s">
        <v>6</v>
      </c>
      <c r="B296" s="18">
        <v>2024</v>
      </c>
      <c r="C296" s="18" t="s">
        <v>138</v>
      </c>
      <c r="D296" s="18" t="s">
        <v>130</v>
      </c>
      <c r="E296" s="18">
        <v>20</v>
      </c>
      <c r="F296" s="18" t="s">
        <v>156</v>
      </c>
      <c r="G296" s="18" t="s">
        <v>181</v>
      </c>
      <c r="H296" s="4">
        <f t="shared" si="105"/>
        <v>31</v>
      </c>
      <c r="I296" s="4">
        <v>31.5</v>
      </c>
      <c r="J296" s="4">
        <f t="shared" si="112"/>
        <v>0.5</v>
      </c>
      <c r="K296" s="5">
        <v>1</v>
      </c>
      <c r="L296" s="31">
        <f t="shared" si="113"/>
        <v>0.5</v>
      </c>
      <c r="M296" s="31"/>
      <c r="N296" s="31"/>
      <c r="O296" s="31">
        <f t="shared" si="108"/>
        <v>0.5</v>
      </c>
      <c r="P296" s="31">
        <v>25</v>
      </c>
      <c r="Q296" s="31">
        <v>20</v>
      </c>
      <c r="R296" s="31">
        <v>0.5</v>
      </c>
      <c r="S296" s="31">
        <v>0.14000000000000001</v>
      </c>
      <c r="T296" s="65">
        <f t="shared" si="127"/>
        <v>28.000000000000004</v>
      </c>
      <c r="U296" s="31">
        <v>7</v>
      </c>
      <c r="V296" s="31"/>
      <c r="W296" s="31">
        <f t="shared" si="106"/>
        <v>7</v>
      </c>
      <c r="X296" s="31">
        <f t="shared" si="107"/>
        <v>71.428571428571431</v>
      </c>
      <c r="Y296" s="31">
        <f t="shared" si="114"/>
        <v>7.1428571428571425E-2</v>
      </c>
      <c r="Z296" s="18">
        <v>0</v>
      </c>
      <c r="AA296" s="18" t="s">
        <v>96</v>
      </c>
      <c r="AB296" s="18" t="s">
        <v>333</v>
      </c>
      <c r="AC296" s="18" t="s">
        <v>337</v>
      </c>
      <c r="AD296" s="18">
        <v>20</v>
      </c>
      <c r="AE296" s="18">
        <v>25</v>
      </c>
      <c r="AF296" s="18" t="s">
        <v>29</v>
      </c>
      <c r="AG296" s="18" t="s">
        <v>196</v>
      </c>
      <c r="AH296" s="18" t="s">
        <v>196</v>
      </c>
      <c r="AI296" s="18" t="s">
        <v>64</v>
      </c>
      <c r="AJ296" s="18" t="s">
        <v>79</v>
      </c>
      <c r="AK296" s="18" t="s">
        <v>100</v>
      </c>
      <c r="AL296" s="18" t="s">
        <v>109</v>
      </c>
      <c r="AM296" s="18" t="s">
        <v>118</v>
      </c>
      <c r="AN296" s="18" t="s">
        <v>198</v>
      </c>
      <c r="AO296" s="18"/>
      <c r="AP296" s="18"/>
      <c r="AQ296" s="18">
        <f>+VLOOKUP(AI296,Leyenda!$B$30:$E$34,3,FALSE)</f>
        <v>2</v>
      </c>
      <c r="AR296" s="18">
        <f>+VLOOKUP('3. Blasting'!AJ296,Meteorizacion,3,FALSE)</f>
        <v>1</v>
      </c>
      <c r="AS296" s="18">
        <f>+VLOOKUP('3. Blasting'!AK296,Apertura,3,FALSE)</f>
        <v>0</v>
      </c>
      <c r="AT296" s="18">
        <f>+VLOOKUP('3. Blasting'!AL296,Leyenda!$B$55:$D$59,3,FALSE)</f>
        <v>1</v>
      </c>
      <c r="AU296" s="18">
        <f>+VLOOKUP('3. Blasting'!AM296,Relleno,3,FALSE)</f>
        <v>2</v>
      </c>
      <c r="AV296" s="18">
        <f t="shared" si="128"/>
        <v>6</v>
      </c>
      <c r="AW296" s="49">
        <f t="shared" si="115"/>
        <v>0</v>
      </c>
      <c r="AX296" s="49">
        <f>VLOOKUP(AF296,Leyenda!$B$4:$D$10,3,FALSE)</f>
        <v>2</v>
      </c>
      <c r="AY296" s="50">
        <f t="shared" si="109"/>
        <v>5</v>
      </c>
      <c r="AZ296" s="49">
        <f t="shared" si="116"/>
        <v>6</v>
      </c>
      <c r="BA296" s="49">
        <f>VLOOKUP(AN296,Leyenda!$B$70:$D$75,3,FALSE)</f>
        <v>15</v>
      </c>
      <c r="BB296" s="67">
        <f t="shared" si="117"/>
        <v>23</v>
      </c>
      <c r="BC296" s="67">
        <f>VLOOKUP(AF296,Leyenda!$B$4:$E$10,4,FALSE)</f>
        <v>2</v>
      </c>
      <c r="BD296" s="67">
        <f t="shared" si="118"/>
        <v>6</v>
      </c>
      <c r="BE296" s="67">
        <f t="shared" si="119"/>
        <v>6</v>
      </c>
      <c r="BF296" s="67">
        <f>+VLOOKUP('3. Blasting'!AK296,Leyenda!$B$47:$E$51,4,FALSE)</f>
        <v>0</v>
      </c>
      <c r="BG296" s="67">
        <f>+VLOOKUP('3. Blasting'!AL296,Leyenda!$B$55:$E$59,4,FALSE)</f>
        <v>1</v>
      </c>
      <c r="BH296" s="67">
        <f>+VLOOKUP('3. Blasting'!AM296,Leyenda!$B$63:$E$67,3,FALSE)</f>
        <v>2</v>
      </c>
      <c r="BI296" s="67">
        <f>+VLOOKUP('3. Blasting'!AJ296,Leyenda!$B$39:$E$43,4,FALSE)</f>
        <v>1</v>
      </c>
      <c r="BJ296" s="67">
        <f>+VLOOKUP('3. Blasting'!AI296,Leyenda!$B$30:$E$34,4,FALSE)</f>
        <v>3</v>
      </c>
      <c r="BK296" s="67">
        <f>VLOOKUP(AN296,Leyenda!$B$71:$E$75,4,FALSE)</f>
        <v>10</v>
      </c>
      <c r="BL296" s="67">
        <f t="shared" si="120"/>
        <v>31</v>
      </c>
      <c r="BM296" s="18">
        <f t="shared" si="121"/>
        <v>28</v>
      </c>
      <c r="BN296" s="18"/>
      <c r="BO296" s="18"/>
      <c r="BP296">
        <f t="shared" si="122"/>
        <v>20</v>
      </c>
      <c r="BQ296">
        <f t="shared" si="123"/>
        <v>10</v>
      </c>
      <c r="BR296">
        <v>20</v>
      </c>
      <c r="BS296">
        <f t="shared" si="124"/>
        <v>-50</v>
      </c>
      <c r="BT296">
        <f t="shared" si="125"/>
        <v>0</v>
      </c>
      <c r="BU296">
        <f t="shared" si="126"/>
        <v>0</v>
      </c>
      <c r="BV296" s="1">
        <f t="shared" si="110"/>
        <v>0</v>
      </c>
      <c r="BW296" s="1">
        <f t="shared" si="111"/>
        <v>0</v>
      </c>
    </row>
    <row r="297" spans="1:75" hidden="1" x14ac:dyDescent="0.25">
      <c r="A297" s="18" t="s">
        <v>6</v>
      </c>
      <c r="B297" s="18">
        <v>2024</v>
      </c>
      <c r="C297" s="18" t="s">
        <v>138</v>
      </c>
      <c r="D297" s="18" t="s">
        <v>130</v>
      </c>
      <c r="E297" s="18">
        <v>20</v>
      </c>
      <c r="F297" s="18" t="s">
        <v>156</v>
      </c>
      <c r="G297" s="18" t="s">
        <v>181</v>
      </c>
      <c r="H297" s="4">
        <f t="shared" si="105"/>
        <v>31.5</v>
      </c>
      <c r="I297" s="4">
        <v>32</v>
      </c>
      <c r="J297" s="4">
        <f t="shared" si="112"/>
        <v>0.5</v>
      </c>
      <c r="K297" s="5">
        <v>1</v>
      </c>
      <c r="L297" s="31">
        <f t="shared" si="113"/>
        <v>0.5</v>
      </c>
      <c r="M297" s="31"/>
      <c r="N297" s="31"/>
      <c r="O297" s="31">
        <f t="shared" si="108"/>
        <v>0.5</v>
      </c>
      <c r="P297" s="31">
        <v>25</v>
      </c>
      <c r="Q297" s="31">
        <v>20</v>
      </c>
      <c r="R297" s="31">
        <v>0.41</v>
      </c>
      <c r="S297" s="31">
        <v>0.13</v>
      </c>
      <c r="T297" s="65">
        <f t="shared" si="127"/>
        <v>26</v>
      </c>
      <c r="U297" s="31">
        <v>6</v>
      </c>
      <c r="V297" s="31"/>
      <c r="W297" s="31">
        <f t="shared" si="106"/>
        <v>6</v>
      </c>
      <c r="X297" s="31">
        <f t="shared" si="107"/>
        <v>68.333333333333329</v>
      </c>
      <c r="Y297" s="31">
        <f t="shared" si="114"/>
        <v>6.8333333333333329E-2</v>
      </c>
      <c r="Z297" s="18">
        <v>0</v>
      </c>
      <c r="AA297" s="18" t="s">
        <v>96</v>
      </c>
      <c r="AB297" s="18" t="s">
        <v>333</v>
      </c>
      <c r="AC297" s="18" t="s">
        <v>337</v>
      </c>
      <c r="AD297" s="18">
        <v>20</v>
      </c>
      <c r="AE297" s="18">
        <v>25</v>
      </c>
      <c r="AF297" s="18" t="s">
        <v>29</v>
      </c>
      <c r="AG297" s="18" t="s">
        <v>27</v>
      </c>
      <c r="AH297" s="18" t="s">
        <v>27</v>
      </c>
      <c r="AI297" s="18" t="s">
        <v>66</v>
      </c>
      <c r="AJ297" s="18" t="s">
        <v>81</v>
      </c>
      <c r="AK297" s="18" t="s">
        <v>100</v>
      </c>
      <c r="AL297" s="18" t="s">
        <v>109</v>
      </c>
      <c r="AM297" s="18" t="s">
        <v>118</v>
      </c>
      <c r="AN297" s="18" t="s">
        <v>198</v>
      </c>
      <c r="AO297" s="18"/>
      <c r="AP297" s="18"/>
      <c r="AQ297" s="18">
        <f>+VLOOKUP(AI297,Leyenda!$B$30:$E$34,3,FALSE)</f>
        <v>1</v>
      </c>
      <c r="AR297" s="18">
        <f>+VLOOKUP('3. Blasting'!AJ297,Meteorizacion,3,FALSE)</f>
        <v>0</v>
      </c>
      <c r="AS297" s="18">
        <f>+VLOOKUP('3. Blasting'!AK297,Apertura,3,FALSE)</f>
        <v>0</v>
      </c>
      <c r="AT297" s="18">
        <f>+VLOOKUP('3. Blasting'!AL297,Leyenda!$B$55:$D$59,3,FALSE)</f>
        <v>1</v>
      </c>
      <c r="AU297" s="18">
        <f>+VLOOKUP('3. Blasting'!AM297,Relleno,3,FALSE)</f>
        <v>2</v>
      </c>
      <c r="AV297" s="18">
        <f t="shared" si="128"/>
        <v>4</v>
      </c>
      <c r="AW297" s="49">
        <f t="shared" si="115"/>
        <v>0</v>
      </c>
      <c r="AX297" s="49">
        <f>VLOOKUP(AF297,Leyenda!$B$4:$D$10,3,FALSE)</f>
        <v>2</v>
      </c>
      <c r="AY297" s="50">
        <f t="shared" si="109"/>
        <v>5</v>
      </c>
      <c r="AZ297" s="49">
        <f t="shared" si="116"/>
        <v>4</v>
      </c>
      <c r="BA297" s="49">
        <f>VLOOKUP(AN297,Leyenda!$B$70:$D$75,3,FALSE)</f>
        <v>15</v>
      </c>
      <c r="BB297" s="67">
        <f t="shared" si="117"/>
        <v>19</v>
      </c>
      <c r="BC297" s="67">
        <f>VLOOKUP(AF297,Leyenda!$B$4:$E$10,4,FALSE)</f>
        <v>2</v>
      </c>
      <c r="BD297" s="67">
        <f t="shared" si="118"/>
        <v>6</v>
      </c>
      <c r="BE297" s="67">
        <f t="shared" si="119"/>
        <v>6</v>
      </c>
      <c r="BF297" s="67">
        <f>+VLOOKUP('3. Blasting'!AK297,Leyenda!$B$47:$E$51,4,FALSE)</f>
        <v>0</v>
      </c>
      <c r="BG297" s="67">
        <f>+VLOOKUP('3. Blasting'!AL297,Leyenda!$B$55:$E$59,4,FALSE)</f>
        <v>1</v>
      </c>
      <c r="BH297" s="67">
        <f>+VLOOKUP('3. Blasting'!AM297,Leyenda!$B$63:$E$67,3,FALSE)</f>
        <v>2</v>
      </c>
      <c r="BI297" s="67">
        <f>+VLOOKUP('3. Blasting'!AJ297,Leyenda!$B$39:$E$43,4,FALSE)</f>
        <v>0</v>
      </c>
      <c r="BJ297" s="67">
        <f>+VLOOKUP('3. Blasting'!AI297,Leyenda!$B$30:$E$34,4,FALSE)</f>
        <v>1</v>
      </c>
      <c r="BK297" s="67">
        <f>VLOOKUP(AN297,Leyenda!$B$71:$E$75,4,FALSE)</f>
        <v>10</v>
      </c>
      <c r="BL297" s="67">
        <f t="shared" si="120"/>
        <v>28</v>
      </c>
      <c r="BM297" s="18">
        <f t="shared" si="121"/>
        <v>26</v>
      </c>
      <c r="BN297" s="18"/>
      <c r="BO297" s="18"/>
      <c r="BP297">
        <f t="shared" si="122"/>
        <v>10</v>
      </c>
      <c r="BQ297">
        <f t="shared" si="123"/>
        <v>10</v>
      </c>
      <c r="BR297">
        <v>20</v>
      </c>
      <c r="BS297">
        <f t="shared" si="124"/>
        <v>-50</v>
      </c>
      <c r="BT297">
        <f t="shared" si="125"/>
        <v>0</v>
      </c>
      <c r="BU297">
        <f t="shared" si="126"/>
        <v>-5</v>
      </c>
      <c r="BV297" s="1">
        <f t="shared" si="110"/>
        <v>-0.02</v>
      </c>
      <c r="BW297" s="1">
        <f t="shared" si="111"/>
        <v>0</v>
      </c>
    </row>
    <row r="298" spans="1:75" hidden="1" x14ac:dyDescent="0.25">
      <c r="A298" s="18" t="s">
        <v>6</v>
      </c>
      <c r="B298" s="18">
        <v>2024</v>
      </c>
      <c r="C298" s="18" t="s">
        <v>138</v>
      </c>
      <c r="D298" s="18" t="s">
        <v>130</v>
      </c>
      <c r="E298" s="18">
        <v>20</v>
      </c>
      <c r="F298" s="18" t="s">
        <v>156</v>
      </c>
      <c r="G298" s="18" t="s">
        <v>181</v>
      </c>
      <c r="H298" s="4">
        <f t="shared" si="105"/>
        <v>32</v>
      </c>
      <c r="I298" s="4">
        <v>32.5</v>
      </c>
      <c r="J298" s="4">
        <f t="shared" si="112"/>
        <v>0.5</v>
      </c>
      <c r="K298" s="5">
        <v>1</v>
      </c>
      <c r="L298" s="31">
        <f t="shared" si="113"/>
        <v>0.5</v>
      </c>
      <c r="M298" s="31"/>
      <c r="N298" s="31"/>
      <c r="O298" s="31">
        <f t="shared" si="108"/>
        <v>0.5</v>
      </c>
      <c r="P298" s="31">
        <v>25</v>
      </c>
      <c r="Q298" s="31">
        <v>20</v>
      </c>
      <c r="R298" s="31">
        <v>0.49</v>
      </c>
      <c r="S298" s="31">
        <v>0.1</v>
      </c>
      <c r="T298" s="65">
        <f t="shared" si="127"/>
        <v>20</v>
      </c>
      <c r="U298" s="31">
        <v>4</v>
      </c>
      <c r="V298" s="31"/>
      <c r="W298" s="31">
        <f t="shared" si="106"/>
        <v>4</v>
      </c>
      <c r="X298" s="31">
        <f t="shared" si="107"/>
        <v>122.5</v>
      </c>
      <c r="Y298" s="31">
        <f t="shared" si="114"/>
        <v>0.1225</v>
      </c>
      <c r="Z298" s="18">
        <v>0</v>
      </c>
      <c r="AA298" s="18" t="s">
        <v>96</v>
      </c>
      <c r="AB298" s="18" t="s">
        <v>333</v>
      </c>
      <c r="AC298" s="18" t="s">
        <v>337</v>
      </c>
      <c r="AD298" s="18">
        <v>20</v>
      </c>
      <c r="AE298" s="18">
        <v>25</v>
      </c>
      <c r="AF298" s="18" t="s">
        <v>29</v>
      </c>
      <c r="AG298" s="18" t="s">
        <v>27</v>
      </c>
      <c r="AH298" s="18" t="s">
        <v>27</v>
      </c>
      <c r="AI298" s="18" t="s">
        <v>66</v>
      </c>
      <c r="AJ298" s="18" t="s">
        <v>79</v>
      </c>
      <c r="AK298" s="18" t="s">
        <v>96</v>
      </c>
      <c r="AL298" s="18" t="s">
        <v>107</v>
      </c>
      <c r="AM298" s="18" t="s">
        <v>118</v>
      </c>
      <c r="AN298" s="18" t="s">
        <v>198</v>
      </c>
      <c r="AO298" s="18"/>
      <c r="AP298" s="18"/>
      <c r="AQ298" s="18">
        <f>+VLOOKUP(AI298,Leyenda!$B$30:$E$34,3,FALSE)</f>
        <v>1</v>
      </c>
      <c r="AR298" s="18">
        <f>+VLOOKUP('3. Blasting'!AJ298,Meteorizacion,3,FALSE)</f>
        <v>1</v>
      </c>
      <c r="AS298" s="18">
        <f>+VLOOKUP('3. Blasting'!AK298,Apertura,3,FALSE)</f>
        <v>1</v>
      </c>
      <c r="AT298" s="18">
        <f>+VLOOKUP('3. Blasting'!AL298,Leyenda!$B$55:$D$59,3,FALSE)</f>
        <v>3</v>
      </c>
      <c r="AU298" s="18">
        <f>+VLOOKUP('3. Blasting'!AM298,Relleno,3,FALSE)</f>
        <v>2</v>
      </c>
      <c r="AV298" s="18">
        <f t="shared" si="128"/>
        <v>8</v>
      </c>
      <c r="AW298" s="49">
        <f t="shared" si="115"/>
        <v>0</v>
      </c>
      <c r="AX298" s="49">
        <f>VLOOKUP(AF298,Leyenda!$B$4:$D$10,3,FALSE)</f>
        <v>2</v>
      </c>
      <c r="AY298" s="50">
        <f t="shared" si="109"/>
        <v>5</v>
      </c>
      <c r="AZ298" s="49">
        <f t="shared" si="116"/>
        <v>8</v>
      </c>
      <c r="BA298" s="49">
        <f>VLOOKUP(AN298,Leyenda!$B$70:$D$75,3,FALSE)</f>
        <v>15</v>
      </c>
      <c r="BB298" s="67">
        <f t="shared" si="117"/>
        <v>22</v>
      </c>
      <c r="BC298" s="67">
        <f>VLOOKUP(AF298,Leyenda!$B$4:$E$10,4,FALSE)</f>
        <v>2</v>
      </c>
      <c r="BD298" s="67">
        <f t="shared" si="118"/>
        <v>9</v>
      </c>
      <c r="BE298" s="67">
        <f t="shared" si="119"/>
        <v>4</v>
      </c>
      <c r="BF298" s="67">
        <f>+VLOOKUP('3. Blasting'!AK298,Leyenda!$B$47:$E$51,4,FALSE)</f>
        <v>1</v>
      </c>
      <c r="BG298" s="67">
        <f>+VLOOKUP('3. Blasting'!AL298,Leyenda!$B$55:$E$59,4,FALSE)</f>
        <v>3</v>
      </c>
      <c r="BH298" s="67">
        <f>+VLOOKUP('3. Blasting'!AM298,Leyenda!$B$63:$E$67,3,FALSE)</f>
        <v>2</v>
      </c>
      <c r="BI298" s="67">
        <f>+VLOOKUP('3. Blasting'!AJ298,Leyenda!$B$39:$E$43,4,FALSE)</f>
        <v>1</v>
      </c>
      <c r="BJ298" s="67">
        <f>+VLOOKUP('3. Blasting'!AI298,Leyenda!$B$30:$E$34,4,FALSE)</f>
        <v>1</v>
      </c>
      <c r="BK298" s="67">
        <f>VLOOKUP(AN298,Leyenda!$B$71:$E$75,4,FALSE)</f>
        <v>10</v>
      </c>
      <c r="BL298" s="67">
        <f t="shared" si="120"/>
        <v>33</v>
      </c>
      <c r="BM298" s="18">
        <f t="shared" si="121"/>
        <v>30</v>
      </c>
      <c r="BN298" s="18"/>
      <c r="BO298" s="18"/>
      <c r="BP298">
        <f t="shared" si="122"/>
        <v>20</v>
      </c>
      <c r="BQ298">
        <f t="shared" si="123"/>
        <v>20</v>
      </c>
      <c r="BR298">
        <v>20</v>
      </c>
      <c r="BS298">
        <f t="shared" si="124"/>
        <v>-50</v>
      </c>
      <c r="BT298">
        <f t="shared" si="125"/>
        <v>0</v>
      </c>
      <c r="BU298">
        <f t="shared" si="126"/>
        <v>5</v>
      </c>
      <c r="BV298" s="1">
        <f t="shared" si="110"/>
        <v>0.02</v>
      </c>
      <c r="BW298" s="1">
        <f t="shared" si="111"/>
        <v>0</v>
      </c>
    </row>
    <row r="299" spans="1:75" hidden="1" x14ac:dyDescent="0.25">
      <c r="A299" s="18" t="s">
        <v>6</v>
      </c>
      <c r="B299" s="18">
        <v>2024</v>
      </c>
      <c r="C299" s="18" t="s">
        <v>138</v>
      </c>
      <c r="D299" s="18" t="s">
        <v>130</v>
      </c>
      <c r="E299" s="18">
        <v>20</v>
      </c>
      <c r="F299" s="18" t="s">
        <v>156</v>
      </c>
      <c r="G299" s="18" t="s">
        <v>181</v>
      </c>
      <c r="H299" s="4">
        <f t="shared" si="105"/>
        <v>32.5</v>
      </c>
      <c r="I299" s="4">
        <v>33</v>
      </c>
      <c r="J299" s="4">
        <f t="shared" si="112"/>
        <v>0.5</v>
      </c>
      <c r="K299" s="5">
        <v>1</v>
      </c>
      <c r="L299" s="31">
        <f t="shared" si="113"/>
        <v>0.5</v>
      </c>
      <c r="M299" s="31"/>
      <c r="N299" s="31"/>
      <c r="O299" s="31">
        <f t="shared" si="108"/>
        <v>0.5</v>
      </c>
      <c r="P299" s="31">
        <v>500</v>
      </c>
      <c r="Q299" s="31">
        <v>1</v>
      </c>
      <c r="R299" s="31">
        <v>0.44</v>
      </c>
      <c r="S299" s="31">
        <v>0.22</v>
      </c>
      <c r="T299" s="65">
        <f t="shared" si="127"/>
        <v>44</v>
      </c>
      <c r="U299" s="31">
        <v>3</v>
      </c>
      <c r="V299" s="31"/>
      <c r="W299" s="31">
        <f t="shared" si="106"/>
        <v>3</v>
      </c>
      <c r="X299" s="31">
        <f t="shared" si="107"/>
        <v>146.66666666666666</v>
      </c>
      <c r="Y299" s="31">
        <f t="shared" si="114"/>
        <v>0.14666666666666667</v>
      </c>
      <c r="Z299" s="18">
        <v>30</v>
      </c>
      <c r="AA299" s="18" t="s">
        <v>96</v>
      </c>
      <c r="AB299" s="18" t="s">
        <v>116</v>
      </c>
      <c r="AC299" s="18" t="s">
        <v>337</v>
      </c>
      <c r="AD299" s="18">
        <v>1</v>
      </c>
      <c r="AE299" s="18">
        <v>500</v>
      </c>
      <c r="AF299" s="18" t="s">
        <v>29</v>
      </c>
      <c r="AG299" s="18" t="s">
        <v>27</v>
      </c>
      <c r="AH299" s="18" t="s">
        <v>27</v>
      </c>
      <c r="AI299" s="18" t="s">
        <v>66</v>
      </c>
      <c r="AJ299" s="18" t="s">
        <v>79</v>
      </c>
      <c r="AK299" s="18" t="s">
        <v>96</v>
      </c>
      <c r="AL299" s="18" t="s">
        <v>109</v>
      </c>
      <c r="AM299" s="18" t="s">
        <v>120</v>
      </c>
      <c r="AN299" s="18" t="s">
        <v>198</v>
      </c>
      <c r="AO299" s="18"/>
      <c r="AP299" s="18"/>
      <c r="AQ299" s="18">
        <f>+VLOOKUP(AI299,Leyenda!$B$30:$E$34,3,FALSE)</f>
        <v>1</v>
      </c>
      <c r="AR299" s="18">
        <f>+VLOOKUP('3. Blasting'!AJ299,Meteorizacion,3,FALSE)</f>
        <v>1</v>
      </c>
      <c r="AS299" s="18">
        <f>+VLOOKUP('3. Blasting'!AK299,Apertura,3,FALSE)</f>
        <v>1</v>
      </c>
      <c r="AT299" s="18">
        <f>+VLOOKUP('3. Blasting'!AL299,Leyenda!$B$55:$D$59,3,FALSE)</f>
        <v>1</v>
      </c>
      <c r="AU299" s="18">
        <f>+VLOOKUP('3. Blasting'!AM299,Relleno,3,FALSE)</f>
        <v>2</v>
      </c>
      <c r="AV299" s="18">
        <f t="shared" si="128"/>
        <v>6</v>
      </c>
      <c r="AW299" s="49">
        <f t="shared" si="115"/>
        <v>6</v>
      </c>
      <c r="AX299" s="49">
        <f>VLOOKUP(AF299,Leyenda!$B$4:$D$10,3,FALSE)</f>
        <v>2</v>
      </c>
      <c r="AY299" s="50">
        <f t="shared" si="109"/>
        <v>12</v>
      </c>
      <c r="AZ299" s="49">
        <f t="shared" si="116"/>
        <v>6</v>
      </c>
      <c r="BA299" s="49">
        <f>VLOOKUP(AN299,Leyenda!$B$70:$D$75,3,FALSE)</f>
        <v>15</v>
      </c>
      <c r="BB299" s="67">
        <f t="shared" si="117"/>
        <v>31</v>
      </c>
      <c r="BC299" s="67">
        <f>VLOOKUP(AF299,Leyenda!$B$4:$E$10,4,FALSE)</f>
        <v>2</v>
      </c>
      <c r="BD299" s="67">
        <f t="shared" si="118"/>
        <v>10</v>
      </c>
      <c r="BE299" s="67">
        <f t="shared" si="119"/>
        <v>9</v>
      </c>
      <c r="BF299" s="67">
        <f>+VLOOKUP('3. Blasting'!AK299,Leyenda!$B$47:$E$51,4,FALSE)</f>
        <v>1</v>
      </c>
      <c r="BG299" s="67">
        <f>+VLOOKUP('3. Blasting'!AL299,Leyenda!$B$55:$E$59,4,FALSE)</f>
        <v>1</v>
      </c>
      <c r="BH299" s="67">
        <f>+VLOOKUP('3. Blasting'!AM299,Leyenda!$B$63:$E$67,3,FALSE)</f>
        <v>2</v>
      </c>
      <c r="BI299" s="67">
        <f>+VLOOKUP('3. Blasting'!AJ299,Leyenda!$B$39:$E$43,4,FALSE)</f>
        <v>1</v>
      </c>
      <c r="BJ299" s="67">
        <f>+VLOOKUP('3. Blasting'!AI299,Leyenda!$B$30:$E$34,4,FALSE)</f>
        <v>1</v>
      </c>
      <c r="BK299" s="67">
        <f>VLOOKUP(AN299,Leyenda!$B$71:$E$75,4,FALSE)</f>
        <v>10</v>
      </c>
      <c r="BL299" s="67">
        <f t="shared" si="120"/>
        <v>37</v>
      </c>
      <c r="BM299" s="18">
        <f t="shared" si="121"/>
        <v>41</v>
      </c>
      <c r="BN299" s="18"/>
      <c r="BO299" s="18"/>
      <c r="BP299">
        <f t="shared" si="122"/>
        <v>20</v>
      </c>
      <c r="BQ299">
        <f t="shared" si="123"/>
        <v>20</v>
      </c>
      <c r="BR299">
        <v>20</v>
      </c>
      <c r="BS299">
        <f t="shared" si="124"/>
        <v>-50</v>
      </c>
      <c r="BT299">
        <f t="shared" si="125"/>
        <v>0</v>
      </c>
      <c r="BU299">
        <f t="shared" si="126"/>
        <v>5</v>
      </c>
      <c r="BV299" s="1">
        <f t="shared" si="110"/>
        <v>0.02</v>
      </c>
      <c r="BW299" s="1">
        <f t="shared" si="111"/>
        <v>0</v>
      </c>
    </row>
    <row r="300" spans="1:75" hidden="1" x14ac:dyDescent="0.25">
      <c r="A300" s="18" t="s">
        <v>6</v>
      </c>
      <c r="B300" s="18">
        <v>2024</v>
      </c>
      <c r="C300" s="18" t="s">
        <v>138</v>
      </c>
      <c r="D300" s="18" t="s">
        <v>130</v>
      </c>
      <c r="E300" s="18">
        <v>20</v>
      </c>
      <c r="F300" s="18" t="s">
        <v>156</v>
      </c>
      <c r="G300" s="18" t="s">
        <v>181</v>
      </c>
      <c r="H300" s="4">
        <f t="shared" si="105"/>
        <v>33</v>
      </c>
      <c r="I300" s="4">
        <v>33.5</v>
      </c>
      <c r="J300" s="4">
        <f t="shared" si="112"/>
        <v>0.5</v>
      </c>
      <c r="K300" s="5">
        <v>1</v>
      </c>
      <c r="L300" s="31">
        <f t="shared" si="113"/>
        <v>0.5</v>
      </c>
      <c r="M300" s="31"/>
      <c r="N300" s="31"/>
      <c r="O300" s="31">
        <f t="shared" si="108"/>
        <v>0.5</v>
      </c>
      <c r="P300" s="31">
        <v>500</v>
      </c>
      <c r="Q300" s="31">
        <v>1</v>
      </c>
      <c r="R300" s="31">
        <v>0.5</v>
      </c>
      <c r="S300" s="31">
        <v>0.5</v>
      </c>
      <c r="T300" s="65">
        <f t="shared" si="127"/>
        <v>100</v>
      </c>
      <c r="U300" s="31">
        <v>1</v>
      </c>
      <c r="V300" s="31"/>
      <c r="W300" s="31">
        <f t="shared" si="106"/>
        <v>1</v>
      </c>
      <c r="X300" s="31">
        <f t="shared" si="107"/>
        <v>500</v>
      </c>
      <c r="Y300" s="31">
        <f t="shared" si="114"/>
        <v>0.5</v>
      </c>
      <c r="Z300" s="18">
        <v>70</v>
      </c>
      <c r="AA300" s="18" t="s">
        <v>100</v>
      </c>
      <c r="AB300" s="18" t="s">
        <v>116</v>
      </c>
      <c r="AC300" s="18" t="s">
        <v>337</v>
      </c>
      <c r="AD300" s="18">
        <v>1</v>
      </c>
      <c r="AE300" s="18">
        <v>500</v>
      </c>
      <c r="AF300" s="18" t="s">
        <v>29</v>
      </c>
      <c r="AG300" s="18" t="s">
        <v>27</v>
      </c>
      <c r="AH300" s="18" t="s">
        <v>27</v>
      </c>
      <c r="AI300" s="18" t="s">
        <v>66</v>
      </c>
      <c r="AJ300" s="18" t="s">
        <v>77</v>
      </c>
      <c r="AK300" s="18" t="s">
        <v>96</v>
      </c>
      <c r="AL300" s="18" t="s">
        <v>109</v>
      </c>
      <c r="AM300" s="18" t="s">
        <v>118</v>
      </c>
      <c r="AN300" s="18" t="s">
        <v>198</v>
      </c>
      <c r="AO300" s="18"/>
      <c r="AP300" s="18"/>
      <c r="AQ300" s="18">
        <f>+VLOOKUP(AI300,Leyenda!$B$30:$E$34,3,FALSE)</f>
        <v>1</v>
      </c>
      <c r="AR300" s="18">
        <f>+VLOOKUP('3. Blasting'!AJ300,Meteorizacion,3,FALSE)</f>
        <v>3</v>
      </c>
      <c r="AS300" s="18">
        <f>+VLOOKUP('3. Blasting'!AK300,Apertura,3,FALSE)</f>
        <v>1</v>
      </c>
      <c r="AT300" s="18">
        <f>+VLOOKUP('3. Blasting'!AL300,Leyenda!$B$55:$D$59,3,FALSE)</f>
        <v>1</v>
      </c>
      <c r="AU300" s="18">
        <f>+VLOOKUP('3. Blasting'!AM300,Relleno,3,FALSE)</f>
        <v>2</v>
      </c>
      <c r="AV300" s="18">
        <f t="shared" si="128"/>
        <v>8</v>
      </c>
      <c r="AW300" s="49">
        <f t="shared" si="115"/>
        <v>14</v>
      </c>
      <c r="AX300" s="49">
        <f>VLOOKUP(AF300,Leyenda!$B$4:$D$10,3,FALSE)</f>
        <v>2</v>
      </c>
      <c r="AY300" s="50">
        <f t="shared" si="109"/>
        <v>12</v>
      </c>
      <c r="AZ300" s="49">
        <f t="shared" si="116"/>
        <v>8</v>
      </c>
      <c r="BA300" s="49">
        <f>VLOOKUP(AN300,Leyenda!$B$70:$D$75,3,FALSE)</f>
        <v>15</v>
      </c>
      <c r="BB300" s="67">
        <f t="shared" si="117"/>
        <v>62</v>
      </c>
      <c r="BC300" s="67">
        <f>VLOOKUP(AF300,Leyenda!$B$4:$E$10,4,FALSE)</f>
        <v>2</v>
      </c>
      <c r="BD300" s="67">
        <f t="shared" si="118"/>
        <v>18</v>
      </c>
      <c r="BE300" s="67">
        <f t="shared" si="119"/>
        <v>20</v>
      </c>
      <c r="BF300" s="67">
        <f>+VLOOKUP('3. Blasting'!AK300,Leyenda!$B$47:$E$51,4,FALSE)</f>
        <v>1</v>
      </c>
      <c r="BG300" s="67">
        <f>+VLOOKUP('3. Blasting'!AL300,Leyenda!$B$55:$E$59,4,FALSE)</f>
        <v>1</v>
      </c>
      <c r="BH300" s="67">
        <f>+VLOOKUP('3. Blasting'!AM300,Leyenda!$B$63:$E$67,3,FALSE)</f>
        <v>2</v>
      </c>
      <c r="BI300" s="67">
        <f>+VLOOKUP('3. Blasting'!AJ300,Leyenda!$B$39:$E$43,4,FALSE)</f>
        <v>3</v>
      </c>
      <c r="BJ300" s="67">
        <f>+VLOOKUP('3. Blasting'!AI300,Leyenda!$B$30:$E$34,4,FALSE)</f>
        <v>1</v>
      </c>
      <c r="BK300" s="67">
        <f>VLOOKUP(AN300,Leyenda!$B$71:$E$75,4,FALSE)</f>
        <v>10</v>
      </c>
      <c r="BL300" s="67">
        <f t="shared" si="120"/>
        <v>58</v>
      </c>
      <c r="BM300" s="18">
        <f t="shared" si="121"/>
        <v>51</v>
      </c>
      <c r="BN300" s="18"/>
      <c r="BO300" s="18"/>
      <c r="BP300">
        <f t="shared" si="122"/>
        <v>30</v>
      </c>
      <c r="BQ300">
        <f t="shared" si="123"/>
        <v>20</v>
      </c>
      <c r="BR300">
        <v>20</v>
      </c>
      <c r="BS300">
        <f t="shared" si="124"/>
        <v>-50</v>
      </c>
      <c r="BT300">
        <f t="shared" si="125"/>
        <v>0</v>
      </c>
      <c r="BU300">
        <f t="shared" si="126"/>
        <v>10</v>
      </c>
      <c r="BV300" s="1">
        <f t="shared" si="110"/>
        <v>0.04</v>
      </c>
      <c r="BW300" s="1">
        <f t="shared" si="111"/>
        <v>0</v>
      </c>
    </row>
    <row r="301" spans="1:75" hidden="1" x14ac:dyDescent="0.25">
      <c r="A301" s="18" t="s">
        <v>6</v>
      </c>
      <c r="B301" s="18">
        <v>2024</v>
      </c>
      <c r="C301" s="18" t="s">
        <v>138</v>
      </c>
      <c r="D301" s="18" t="s">
        <v>130</v>
      </c>
      <c r="E301" s="18">
        <v>20</v>
      </c>
      <c r="F301" s="18" t="s">
        <v>156</v>
      </c>
      <c r="G301" s="18" t="s">
        <v>181</v>
      </c>
      <c r="H301" s="4">
        <f t="shared" si="105"/>
        <v>33.5</v>
      </c>
      <c r="I301" s="4">
        <v>34</v>
      </c>
      <c r="J301" s="4">
        <f t="shared" si="112"/>
        <v>0.5</v>
      </c>
      <c r="K301" s="5">
        <v>1</v>
      </c>
      <c r="L301" s="31">
        <f t="shared" si="113"/>
        <v>0.5</v>
      </c>
      <c r="M301" s="31"/>
      <c r="N301" s="31"/>
      <c r="O301" s="31">
        <f t="shared" si="108"/>
        <v>0.5</v>
      </c>
      <c r="P301" s="31">
        <v>100</v>
      </c>
      <c r="Q301" s="31">
        <v>5</v>
      </c>
      <c r="R301" s="31">
        <v>0.47</v>
      </c>
      <c r="S301" s="31">
        <v>0.27</v>
      </c>
      <c r="T301" s="65">
        <f t="shared" si="127"/>
        <v>54</v>
      </c>
      <c r="U301" s="31">
        <v>3</v>
      </c>
      <c r="V301" s="31"/>
      <c r="W301" s="31">
        <f t="shared" si="106"/>
        <v>3</v>
      </c>
      <c r="X301" s="31">
        <f t="shared" si="107"/>
        <v>156.66666666666666</v>
      </c>
      <c r="Y301" s="31">
        <f t="shared" si="114"/>
        <v>0.15666666666666665</v>
      </c>
      <c r="Z301" s="18">
        <v>72</v>
      </c>
      <c r="AA301" s="18" t="s">
        <v>100</v>
      </c>
      <c r="AB301" s="18" t="s">
        <v>118</v>
      </c>
      <c r="AC301" s="18" t="s">
        <v>337</v>
      </c>
      <c r="AD301" s="18">
        <v>5</v>
      </c>
      <c r="AE301" s="18">
        <v>100</v>
      </c>
      <c r="AF301" s="18" t="s">
        <v>29</v>
      </c>
      <c r="AG301" s="18" t="s">
        <v>27</v>
      </c>
      <c r="AH301" s="18" t="s">
        <v>27</v>
      </c>
      <c r="AI301" s="18" t="s">
        <v>66</v>
      </c>
      <c r="AJ301" s="18" t="s">
        <v>77</v>
      </c>
      <c r="AK301" s="18" t="s">
        <v>96</v>
      </c>
      <c r="AL301" s="18" t="s">
        <v>109</v>
      </c>
      <c r="AM301" s="18" t="s">
        <v>118</v>
      </c>
      <c r="AN301" s="18" t="s">
        <v>198</v>
      </c>
      <c r="AO301" s="18"/>
      <c r="AP301" s="18"/>
      <c r="AQ301" s="18">
        <f>+VLOOKUP(AI301,Leyenda!$B$30:$E$34,3,FALSE)</f>
        <v>1</v>
      </c>
      <c r="AR301" s="18">
        <f>+VLOOKUP('3. Blasting'!AJ301,Meteorizacion,3,FALSE)</f>
        <v>3</v>
      </c>
      <c r="AS301" s="18">
        <f>+VLOOKUP('3. Blasting'!AK301,Apertura,3,FALSE)</f>
        <v>1</v>
      </c>
      <c r="AT301" s="18">
        <f>+VLOOKUP('3. Blasting'!AL301,Leyenda!$B$55:$D$59,3,FALSE)</f>
        <v>1</v>
      </c>
      <c r="AU301" s="18">
        <f>+VLOOKUP('3. Blasting'!AM301,Relleno,3,FALSE)</f>
        <v>2</v>
      </c>
      <c r="AV301" s="18">
        <f t="shared" si="128"/>
        <v>8</v>
      </c>
      <c r="AW301" s="49">
        <f t="shared" si="115"/>
        <v>15</v>
      </c>
      <c r="AX301" s="49">
        <f>VLOOKUP(AF301,Leyenda!$B$4:$D$10,3,FALSE)</f>
        <v>2</v>
      </c>
      <c r="AY301" s="50">
        <f t="shared" si="109"/>
        <v>7</v>
      </c>
      <c r="AZ301" s="49">
        <f t="shared" si="116"/>
        <v>8</v>
      </c>
      <c r="BA301" s="49">
        <f>VLOOKUP(AN301,Leyenda!$B$70:$D$75,3,FALSE)</f>
        <v>15</v>
      </c>
      <c r="BB301" s="67">
        <f t="shared" si="117"/>
        <v>39</v>
      </c>
      <c r="BC301" s="67">
        <f>VLOOKUP(AF301,Leyenda!$B$4:$E$10,4,FALSE)</f>
        <v>2</v>
      </c>
      <c r="BD301" s="67">
        <f t="shared" si="118"/>
        <v>11</v>
      </c>
      <c r="BE301" s="67">
        <f t="shared" si="119"/>
        <v>11</v>
      </c>
      <c r="BF301" s="67">
        <f>+VLOOKUP('3. Blasting'!AK301,Leyenda!$B$47:$E$51,4,FALSE)</f>
        <v>1</v>
      </c>
      <c r="BG301" s="67">
        <f>+VLOOKUP('3. Blasting'!AL301,Leyenda!$B$55:$E$59,4,FALSE)</f>
        <v>1</v>
      </c>
      <c r="BH301" s="67">
        <f>+VLOOKUP('3. Blasting'!AM301,Leyenda!$B$63:$E$67,3,FALSE)</f>
        <v>2</v>
      </c>
      <c r="BI301" s="67">
        <f>+VLOOKUP('3. Blasting'!AJ301,Leyenda!$B$39:$E$43,4,FALSE)</f>
        <v>3</v>
      </c>
      <c r="BJ301" s="67">
        <f>+VLOOKUP('3. Blasting'!AI301,Leyenda!$B$30:$E$34,4,FALSE)</f>
        <v>1</v>
      </c>
      <c r="BK301" s="67">
        <f>VLOOKUP(AN301,Leyenda!$B$71:$E$75,4,FALSE)</f>
        <v>10</v>
      </c>
      <c r="BL301" s="67">
        <f t="shared" si="120"/>
        <v>42</v>
      </c>
      <c r="BM301" s="18">
        <f t="shared" si="121"/>
        <v>47</v>
      </c>
      <c r="BN301" s="18"/>
      <c r="BO301" s="18"/>
      <c r="BP301">
        <f t="shared" si="122"/>
        <v>30</v>
      </c>
      <c r="BQ301">
        <f t="shared" si="123"/>
        <v>20</v>
      </c>
      <c r="BR301">
        <v>20</v>
      </c>
      <c r="BS301">
        <f t="shared" si="124"/>
        <v>-50</v>
      </c>
      <c r="BT301">
        <f t="shared" si="125"/>
        <v>0</v>
      </c>
      <c r="BU301">
        <f t="shared" si="126"/>
        <v>10</v>
      </c>
      <c r="BV301" s="1">
        <f t="shared" si="110"/>
        <v>0.04</v>
      </c>
      <c r="BW301" s="1">
        <f t="shared" si="111"/>
        <v>0</v>
      </c>
    </row>
    <row r="302" spans="1:75" hidden="1" x14ac:dyDescent="0.25">
      <c r="A302" s="18" t="s">
        <v>6</v>
      </c>
      <c r="B302" s="18">
        <v>2024</v>
      </c>
      <c r="C302" s="18" t="s">
        <v>138</v>
      </c>
      <c r="D302" s="18" t="s">
        <v>130</v>
      </c>
      <c r="E302" s="18">
        <v>20</v>
      </c>
      <c r="F302" s="18" t="s">
        <v>156</v>
      </c>
      <c r="G302" s="18" t="s">
        <v>181</v>
      </c>
      <c r="H302" s="4">
        <f t="shared" si="105"/>
        <v>34</v>
      </c>
      <c r="I302" s="4">
        <v>34.5</v>
      </c>
      <c r="J302" s="4">
        <f t="shared" si="112"/>
        <v>0.5</v>
      </c>
      <c r="K302" s="5">
        <v>1</v>
      </c>
      <c r="L302" s="31">
        <f t="shared" si="113"/>
        <v>0.5</v>
      </c>
      <c r="M302" s="31"/>
      <c r="N302" s="31"/>
      <c r="O302" s="31">
        <f t="shared" si="108"/>
        <v>0.5</v>
      </c>
      <c r="P302" s="31">
        <v>25</v>
      </c>
      <c r="Q302" s="31">
        <v>20</v>
      </c>
      <c r="R302" s="31">
        <v>0.48</v>
      </c>
      <c r="S302" s="31">
        <v>0</v>
      </c>
      <c r="T302" s="65">
        <f t="shared" si="127"/>
        <v>0</v>
      </c>
      <c r="U302" s="31">
        <v>8</v>
      </c>
      <c r="V302" s="31"/>
      <c r="W302" s="31">
        <f t="shared" si="106"/>
        <v>8</v>
      </c>
      <c r="X302" s="31">
        <f t="shared" si="107"/>
        <v>60</v>
      </c>
      <c r="Y302" s="31">
        <f t="shared" si="114"/>
        <v>0.06</v>
      </c>
      <c r="Z302" s="18">
        <v>0</v>
      </c>
      <c r="AA302" s="18" t="s">
        <v>100</v>
      </c>
      <c r="AB302" s="18" t="s">
        <v>333</v>
      </c>
      <c r="AC302" s="18" t="s">
        <v>337</v>
      </c>
      <c r="AD302" s="18">
        <v>20</v>
      </c>
      <c r="AE302" s="18">
        <v>25</v>
      </c>
      <c r="AF302" s="18" t="s">
        <v>29</v>
      </c>
      <c r="AG302" s="18" t="s">
        <v>27</v>
      </c>
      <c r="AH302" s="18" t="s">
        <v>27</v>
      </c>
      <c r="AI302" s="18" t="s">
        <v>66</v>
      </c>
      <c r="AJ302" s="18" t="s">
        <v>79</v>
      </c>
      <c r="AK302" s="18" t="s">
        <v>96</v>
      </c>
      <c r="AL302" s="18" t="s">
        <v>109</v>
      </c>
      <c r="AM302" s="18" t="s">
        <v>118</v>
      </c>
      <c r="AN302" s="18" t="s">
        <v>198</v>
      </c>
      <c r="AO302" s="18"/>
      <c r="AP302" s="18"/>
      <c r="AQ302" s="18">
        <f>+VLOOKUP(AI302,Leyenda!$B$30:$E$34,3,FALSE)</f>
        <v>1</v>
      </c>
      <c r="AR302" s="18">
        <f>+VLOOKUP('3. Blasting'!AJ302,Meteorizacion,3,FALSE)</f>
        <v>1</v>
      </c>
      <c r="AS302" s="18">
        <f>+VLOOKUP('3. Blasting'!AK302,Apertura,3,FALSE)</f>
        <v>1</v>
      </c>
      <c r="AT302" s="18">
        <f>+VLOOKUP('3. Blasting'!AL302,Leyenda!$B$55:$D$59,3,FALSE)</f>
        <v>1</v>
      </c>
      <c r="AU302" s="18">
        <f>+VLOOKUP('3. Blasting'!AM302,Relleno,3,FALSE)</f>
        <v>2</v>
      </c>
      <c r="AV302" s="18">
        <f t="shared" si="128"/>
        <v>6</v>
      </c>
      <c r="AW302" s="49">
        <f t="shared" si="115"/>
        <v>0</v>
      </c>
      <c r="AX302" s="49">
        <f>VLOOKUP(AF302,Leyenda!$B$4:$D$10,3,FALSE)</f>
        <v>2</v>
      </c>
      <c r="AY302" s="50">
        <f t="shared" si="109"/>
        <v>5</v>
      </c>
      <c r="AZ302" s="49">
        <f t="shared" si="116"/>
        <v>6</v>
      </c>
      <c r="BA302" s="49">
        <f>VLOOKUP(AN302,Leyenda!$B$70:$D$75,3,FALSE)</f>
        <v>15</v>
      </c>
      <c r="BB302" s="67">
        <f t="shared" si="117"/>
        <v>9</v>
      </c>
      <c r="BC302" s="67">
        <f>VLOOKUP(AF302,Leyenda!$B$4:$E$10,4,FALSE)</f>
        <v>2</v>
      </c>
      <c r="BD302" s="67">
        <f t="shared" si="118"/>
        <v>5</v>
      </c>
      <c r="BE302" s="67">
        <f t="shared" si="119"/>
        <v>0</v>
      </c>
      <c r="BF302" s="67">
        <f>+VLOOKUP('3. Blasting'!AK302,Leyenda!$B$47:$E$51,4,FALSE)</f>
        <v>1</v>
      </c>
      <c r="BG302" s="67">
        <f>+VLOOKUP('3. Blasting'!AL302,Leyenda!$B$55:$E$59,4,FALSE)</f>
        <v>1</v>
      </c>
      <c r="BH302" s="67">
        <f>+VLOOKUP('3. Blasting'!AM302,Leyenda!$B$63:$E$67,3,FALSE)</f>
        <v>2</v>
      </c>
      <c r="BI302" s="67">
        <f>+VLOOKUP('3. Blasting'!AJ302,Leyenda!$B$39:$E$43,4,FALSE)</f>
        <v>1</v>
      </c>
      <c r="BJ302" s="67">
        <f>+VLOOKUP('3. Blasting'!AI302,Leyenda!$B$30:$E$34,4,FALSE)</f>
        <v>1</v>
      </c>
      <c r="BK302" s="67">
        <f>VLOOKUP(AN302,Leyenda!$B$71:$E$75,4,FALSE)</f>
        <v>10</v>
      </c>
      <c r="BL302" s="67">
        <f t="shared" si="120"/>
        <v>23</v>
      </c>
      <c r="BM302" s="18">
        <f t="shared" si="121"/>
        <v>28</v>
      </c>
      <c r="BN302" s="18"/>
      <c r="BO302" s="18"/>
      <c r="BP302">
        <f t="shared" si="122"/>
        <v>10</v>
      </c>
      <c r="BQ302">
        <f t="shared" si="123"/>
        <v>10</v>
      </c>
      <c r="BR302">
        <v>20</v>
      </c>
      <c r="BS302">
        <f t="shared" si="124"/>
        <v>-50</v>
      </c>
      <c r="BT302">
        <f t="shared" si="125"/>
        <v>0</v>
      </c>
      <c r="BU302">
        <f t="shared" si="126"/>
        <v>-5</v>
      </c>
      <c r="BV302" s="1">
        <f t="shared" si="110"/>
        <v>-0.02</v>
      </c>
      <c r="BW302" s="1">
        <f t="shared" si="111"/>
        <v>0</v>
      </c>
    </row>
    <row r="303" spans="1:75" hidden="1" x14ac:dyDescent="0.25">
      <c r="A303" s="18" t="s">
        <v>6</v>
      </c>
      <c r="B303" s="18">
        <v>2024</v>
      </c>
      <c r="C303" s="18" t="s">
        <v>138</v>
      </c>
      <c r="D303" s="18" t="s">
        <v>130</v>
      </c>
      <c r="E303" s="18">
        <v>20</v>
      </c>
      <c r="F303" s="18" t="s">
        <v>156</v>
      </c>
      <c r="G303" s="18" t="s">
        <v>181</v>
      </c>
      <c r="H303" s="4">
        <f t="shared" ref="H303:H353" si="129">+I302</f>
        <v>34.5</v>
      </c>
      <c r="I303" s="4">
        <v>35</v>
      </c>
      <c r="J303" s="4">
        <f t="shared" si="112"/>
        <v>0.5</v>
      </c>
      <c r="K303" s="5">
        <v>1</v>
      </c>
      <c r="L303" s="31">
        <f t="shared" si="113"/>
        <v>0.5</v>
      </c>
      <c r="M303" s="31"/>
      <c r="N303" s="31"/>
      <c r="O303" s="31">
        <f t="shared" si="108"/>
        <v>0.5</v>
      </c>
      <c r="P303" s="31">
        <v>500</v>
      </c>
      <c r="Q303" s="31">
        <v>1</v>
      </c>
      <c r="R303" s="31">
        <v>0.4</v>
      </c>
      <c r="S303" s="31">
        <v>0.25</v>
      </c>
      <c r="T303" s="65">
        <f t="shared" si="127"/>
        <v>50</v>
      </c>
      <c r="U303" s="31">
        <v>3</v>
      </c>
      <c r="V303" s="31"/>
      <c r="W303" s="31">
        <f t="shared" si="106"/>
        <v>3</v>
      </c>
      <c r="X303" s="31">
        <f t="shared" si="107"/>
        <v>133.33333333333334</v>
      </c>
      <c r="Y303" s="31">
        <f t="shared" si="114"/>
        <v>0.13333333333333333</v>
      </c>
      <c r="Z303" s="18">
        <v>52</v>
      </c>
      <c r="AA303" s="18" t="s">
        <v>100</v>
      </c>
      <c r="AB303" s="18" t="s">
        <v>116</v>
      </c>
      <c r="AC303" s="18" t="s">
        <v>337</v>
      </c>
      <c r="AD303" s="18">
        <v>1</v>
      </c>
      <c r="AE303" s="18">
        <v>500</v>
      </c>
      <c r="AF303" s="18" t="s">
        <v>29</v>
      </c>
      <c r="AG303" s="18" t="s">
        <v>29</v>
      </c>
      <c r="AH303" s="18" t="s">
        <v>29</v>
      </c>
      <c r="AI303" s="18" t="s">
        <v>66</v>
      </c>
      <c r="AJ303" s="18" t="s">
        <v>79</v>
      </c>
      <c r="AK303" s="18" t="s">
        <v>96</v>
      </c>
      <c r="AL303" s="18" t="s">
        <v>109</v>
      </c>
      <c r="AM303" s="18" t="s">
        <v>120</v>
      </c>
      <c r="AN303" s="18" t="s">
        <v>198</v>
      </c>
      <c r="AO303" s="18"/>
      <c r="AP303" s="18"/>
      <c r="AQ303" s="18">
        <f>+VLOOKUP(AI303,Leyenda!$B$30:$E$34,3,FALSE)</f>
        <v>1</v>
      </c>
      <c r="AR303" s="18">
        <f>+VLOOKUP('3. Blasting'!AJ303,Meteorizacion,3,FALSE)</f>
        <v>1</v>
      </c>
      <c r="AS303" s="18">
        <f>+VLOOKUP('3. Blasting'!AK303,Apertura,3,FALSE)</f>
        <v>1</v>
      </c>
      <c r="AT303" s="18">
        <f>+VLOOKUP('3. Blasting'!AL303,Leyenda!$B$55:$D$59,3,FALSE)</f>
        <v>1</v>
      </c>
      <c r="AU303" s="18">
        <f>+VLOOKUP('3. Blasting'!AM303,Relleno,3,FALSE)</f>
        <v>2</v>
      </c>
      <c r="AV303" s="18">
        <f t="shared" si="128"/>
        <v>6</v>
      </c>
      <c r="AW303" s="49">
        <f t="shared" si="115"/>
        <v>11</v>
      </c>
      <c r="AX303" s="49">
        <f>VLOOKUP(AF303,Leyenda!$B$4:$D$10,3,FALSE)</f>
        <v>2</v>
      </c>
      <c r="AY303" s="50">
        <f t="shared" si="109"/>
        <v>12</v>
      </c>
      <c r="AZ303" s="49">
        <f t="shared" si="116"/>
        <v>6</v>
      </c>
      <c r="BA303" s="49">
        <f>VLOOKUP(AN303,Leyenda!$B$70:$D$75,3,FALSE)</f>
        <v>15</v>
      </c>
      <c r="BB303" s="67">
        <f t="shared" si="117"/>
        <v>34</v>
      </c>
      <c r="BC303" s="67">
        <f>VLOOKUP(AF303,Leyenda!$B$4:$E$10,4,FALSE)</f>
        <v>2</v>
      </c>
      <c r="BD303" s="67">
        <f t="shared" si="118"/>
        <v>10</v>
      </c>
      <c r="BE303" s="67">
        <f t="shared" si="119"/>
        <v>10</v>
      </c>
      <c r="BF303" s="67">
        <f>+VLOOKUP('3. Blasting'!AK303,Leyenda!$B$47:$E$51,4,FALSE)</f>
        <v>1</v>
      </c>
      <c r="BG303" s="67">
        <f>+VLOOKUP('3. Blasting'!AL303,Leyenda!$B$55:$E$59,4,FALSE)</f>
        <v>1</v>
      </c>
      <c r="BH303" s="67">
        <f>+VLOOKUP('3. Blasting'!AM303,Leyenda!$B$63:$E$67,3,FALSE)</f>
        <v>2</v>
      </c>
      <c r="BI303" s="67">
        <f>+VLOOKUP('3. Blasting'!AJ303,Leyenda!$B$39:$E$43,4,FALSE)</f>
        <v>1</v>
      </c>
      <c r="BJ303" s="67">
        <f>+VLOOKUP('3. Blasting'!AI303,Leyenda!$B$30:$E$34,4,FALSE)</f>
        <v>1</v>
      </c>
      <c r="BK303" s="67">
        <f>VLOOKUP(AN303,Leyenda!$B$71:$E$75,4,FALSE)</f>
        <v>10</v>
      </c>
      <c r="BL303" s="67">
        <f t="shared" si="120"/>
        <v>38</v>
      </c>
      <c r="BM303" s="18">
        <f t="shared" si="121"/>
        <v>46</v>
      </c>
      <c r="BN303" s="18"/>
      <c r="BO303" s="18"/>
      <c r="BP303">
        <f t="shared" si="122"/>
        <v>20</v>
      </c>
      <c r="BQ303">
        <f t="shared" si="123"/>
        <v>20</v>
      </c>
      <c r="BR303">
        <v>20</v>
      </c>
      <c r="BS303">
        <f t="shared" si="124"/>
        <v>-50</v>
      </c>
      <c r="BT303">
        <f t="shared" si="125"/>
        <v>0</v>
      </c>
      <c r="BU303">
        <f t="shared" si="126"/>
        <v>5</v>
      </c>
      <c r="BV303" s="1">
        <f t="shared" si="110"/>
        <v>0.02</v>
      </c>
      <c r="BW303" s="1">
        <f t="shared" si="111"/>
        <v>0</v>
      </c>
    </row>
    <row r="304" spans="1:75" hidden="1" x14ac:dyDescent="0.25">
      <c r="A304" s="18" t="s">
        <v>6</v>
      </c>
      <c r="B304" s="18">
        <v>2024</v>
      </c>
      <c r="C304" s="18" t="s">
        <v>138</v>
      </c>
      <c r="D304" s="18" t="s">
        <v>130</v>
      </c>
      <c r="E304" s="18">
        <v>20</v>
      </c>
      <c r="F304" s="18" t="s">
        <v>156</v>
      </c>
      <c r="G304" s="18" t="s">
        <v>181</v>
      </c>
      <c r="H304" s="4">
        <f t="shared" si="129"/>
        <v>35</v>
      </c>
      <c r="I304" s="4">
        <v>35.5</v>
      </c>
      <c r="J304" s="4">
        <f t="shared" si="112"/>
        <v>0.5</v>
      </c>
      <c r="K304" s="5">
        <v>1</v>
      </c>
      <c r="L304" s="31">
        <f t="shared" si="113"/>
        <v>0.5</v>
      </c>
      <c r="M304" s="31"/>
      <c r="N304" s="31"/>
      <c r="O304" s="31">
        <f t="shared" si="108"/>
        <v>0.5</v>
      </c>
      <c r="P304" s="31">
        <v>25</v>
      </c>
      <c r="Q304" s="31">
        <v>20</v>
      </c>
      <c r="R304" s="31">
        <f>0.28+0.15</f>
        <v>0.43000000000000005</v>
      </c>
      <c r="S304" s="31">
        <v>0</v>
      </c>
      <c r="T304" s="65">
        <f t="shared" si="127"/>
        <v>0</v>
      </c>
      <c r="U304" s="31">
        <v>5</v>
      </c>
      <c r="V304" s="31"/>
      <c r="W304" s="31">
        <f t="shared" si="106"/>
        <v>5</v>
      </c>
      <c r="X304" s="31">
        <f t="shared" si="107"/>
        <v>86.000000000000014</v>
      </c>
      <c r="Y304" s="31">
        <f t="shared" si="114"/>
        <v>8.6000000000000021E-2</v>
      </c>
      <c r="Z304" s="18">
        <v>0</v>
      </c>
      <c r="AA304" s="18" t="s">
        <v>100</v>
      </c>
      <c r="AB304" s="18" t="s">
        <v>333</v>
      </c>
      <c r="AC304" s="18" t="s">
        <v>337</v>
      </c>
      <c r="AD304" s="18">
        <v>20</v>
      </c>
      <c r="AE304" s="18">
        <v>25</v>
      </c>
      <c r="AF304" s="18" t="s">
        <v>29</v>
      </c>
      <c r="AG304" s="18" t="s">
        <v>29</v>
      </c>
      <c r="AH304" s="18" t="s">
        <v>29</v>
      </c>
      <c r="AI304" s="18" t="s">
        <v>66</v>
      </c>
      <c r="AJ304" s="18" t="s">
        <v>79</v>
      </c>
      <c r="AK304" s="18" t="s">
        <v>96</v>
      </c>
      <c r="AL304" s="18" t="s">
        <v>107</v>
      </c>
      <c r="AM304" s="18" t="s">
        <v>580</v>
      </c>
      <c r="AN304" s="18" t="s">
        <v>198</v>
      </c>
      <c r="AO304" s="18"/>
      <c r="AP304" s="18"/>
      <c r="AQ304" s="18">
        <f>+VLOOKUP(AI304,Leyenda!$B$30:$E$34,3,FALSE)</f>
        <v>1</v>
      </c>
      <c r="AR304" s="18">
        <f>+VLOOKUP('3. Blasting'!AJ304,Meteorizacion,3,FALSE)</f>
        <v>1</v>
      </c>
      <c r="AS304" s="18">
        <f>+VLOOKUP('3. Blasting'!AK304,Apertura,3,FALSE)</f>
        <v>1</v>
      </c>
      <c r="AT304" s="18">
        <f>+VLOOKUP('3. Blasting'!AL304,Leyenda!$B$55:$D$59,3,FALSE)</f>
        <v>3</v>
      </c>
      <c r="AU304" s="18">
        <f>+VLOOKUP('3. Blasting'!AM304,Relleno,3,FALSE)</f>
        <v>2</v>
      </c>
      <c r="AV304" s="18">
        <f t="shared" si="128"/>
        <v>8</v>
      </c>
      <c r="AW304" s="49">
        <f t="shared" si="115"/>
        <v>0</v>
      </c>
      <c r="AX304" s="49">
        <f>VLOOKUP(AF304,Leyenda!$B$4:$D$10,3,FALSE)</f>
        <v>2</v>
      </c>
      <c r="AY304" s="50">
        <f t="shared" si="109"/>
        <v>5</v>
      </c>
      <c r="AZ304" s="49">
        <f t="shared" si="116"/>
        <v>8</v>
      </c>
      <c r="BA304" s="49">
        <f>VLOOKUP(AN304,Leyenda!$B$70:$D$75,3,FALSE)</f>
        <v>15</v>
      </c>
      <c r="BB304" s="67">
        <f t="shared" si="117"/>
        <v>12</v>
      </c>
      <c r="BC304" s="67">
        <f>VLOOKUP(AF304,Leyenda!$B$4:$E$10,4,FALSE)</f>
        <v>2</v>
      </c>
      <c r="BD304" s="67">
        <f t="shared" si="118"/>
        <v>7</v>
      </c>
      <c r="BE304" s="67">
        <f t="shared" si="119"/>
        <v>0</v>
      </c>
      <c r="BF304" s="67">
        <f>+VLOOKUP('3. Blasting'!AK304,Leyenda!$B$47:$E$51,4,FALSE)</f>
        <v>1</v>
      </c>
      <c r="BG304" s="67">
        <f>+VLOOKUP('3. Blasting'!AL304,Leyenda!$B$55:$E$59,4,FALSE)</f>
        <v>3</v>
      </c>
      <c r="BH304" s="67">
        <f>+VLOOKUP('3. Blasting'!AM304,Leyenda!$B$63:$E$67,3,FALSE)</f>
        <v>2</v>
      </c>
      <c r="BI304" s="67">
        <f>+VLOOKUP('3. Blasting'!AJ304,Leyenda!$B$39:$E$43,4,FALSE)</f>
        <v>1</v>
      </c>
      <c r="BJ304" s="67">
        <f>+VLOOKUP('3. Blasting'!AI304,Leyenda!$B$30:$E$34,4,FALSE)</f>
        <v>1</v>
      </c>
      <c r="BK304" s="67">
        <f>VLOOKUP(AN304,Leyenda!$B$71:$E$75,4,FALSE)</f>
        <v>10</v>
      </c>
      <c r="BL304" s="67">
        <f t="shared" si="120"/>
        <v>27</v>
      </c>
      <c r="BM304" s="18">
        <f t="shared" si="121"/>
        <v>30</v>
      </c>
      <c r="BN304" s="18"/>
      <c r="BO304" s="18"/>
      <c r="BP304">
        <f t="shared" si="122"/>
        <v>10</v>
      </c>
      <c r="BQ304">
        <f t="shared" si="123"/>
        <v>10</v>
      </c>
      <c r="BR304">
        <v>20</v>
      </c>
      <c r="BS304">
        <f t="shared" si="124"/>
        <v>-50</v>
      </c>
      <c r="BT304">
        <f t="shared" si="125"/>
        <v>0</v>
      </c>
      <c r="BU304">
        <f t="shared" si="126"/>
        <v>-5</v>
      </c>
      <c r="BV304" s="1">
        <f t="shared" si="110"/>
        <v>-0.02</v>
      </c>
      <c r="BW304" s="1">
        <f t="shared" si="111"/>
        <v>0</v>
      </c>
    </row>
    <row r="305" spans="1:75" hidden="1" x14ac:dyDescent="0.25">
      <c r="A305" s="18" t="s">
        <v>6</v>
      </c>
      <c r="B305" s="18">
        <v>2024</v>
      </c>
      <c r="C305" s="18" t="s">
        <v>138</v>
      </c>
      <c r="D305" s="18" t="s">
        <v>130</v>
      </c>
      <c r="E305" s="18">
        <v>20</v>
      </c>
      <c r="F305" s="18" t="s">
        <v>156</v>
      </c>
      <c r="G305" s="18" t="s">
        <v>181</v>
      </c>
      <c r="H305" s="4">
        <f t="shared" si="129"/>
        <v>35.5</v>
      </c>
      <c r="I305" s="4">
        <v>36</v>
      </c>
      <c r="J305" s="4">
        <f t="shared" si="112"/>
        <v>0.5</v>
      </c>
      <c r="K305" s="5">
        <v>1</v>
      </c>
      <c r="L305" s="31">
        <f t="shared" si="113"/>
        <v>0.5</v>
      </c>
      <c r="M305" s="31"/>
      <c r="N305" s="31"/>
      <c r="O305" s="31">
        <f t="shared" si="108"/>
        <v>0.5</v>
      </c>
      <c r="P305" s="31">
        <v>25</v>
      </c>
      <c r="Q305" s="31">
        <v>20</v>
      </c>
      <c r="R305" s="31">
        <v>0.5</v>
      </c>
      <c r="S305" s="31">
        <v>0</v>
      </c>
      <c r="T305" s="65">
        <f t="shared" si="127"/>
        <v>0</v>
      </c>
      <c r="U305" s="31">
        <v>8</v>
      </c>
      <c r="V305" s="31"/>
      <c r="W305" s="31">
        <f t="shared" si="106"/>
        <v>8</v>
      </c>
      <c r="X305" s="31">
        <f t="shared" si="107"/>
        <v>62.5</v>
      </c>
      <c r="Y305" s="31">
        <f t="shared" si="114"/>
        <v>6.25E-2</v>
      </c>
      <c r="Z305" s="18">
        <v>0</v>
      </c>
      <c r="AA305" s="18" t="s">
        <v>100</v>
      </c>
      <c r="AB305" s="18" t="s">
        <v>333</v>
      </c>
      <c r="AC305" s="18" t="s">
        <v>337</v>
      </c>
      <c r="AD305" s="18">
        <v>20</v>
      </c>
      <c r="AE305" s="18">
        <v>25</v>
      </c>
      <c r="AF305" s="18" t="s">
        <v>29</v>
      </c>
      <c r="AG305" s="18" t="s">
        <v>196</v>
      </c>
      <c r="AH305" s="18" t="s">
        <v>196</v>
      </c>
      <c r="AI305" s="18" t="s">
        <v>66</v>
      </c>
      <c r="AJ305" s="18" t="s">
        <v>79</v>
      </c>
      <c r="AK305" s="18" t="s">
        <v>96</v>
      </c>
      <c r="AL305" s="18" t="s">
        <v>109</v>
      </c>
      <c r="AM305" s="18" t="s">
        <v>118</v>
      </c>
      <c r="AN305" s="18" t="s">
        <v>198</v>
      </c>
      <c r="AO305" s="18"/>
      <c r="AP305" s="18"/>
      <c r="AQ305" s="18">
        <f>+VLOOKUP(AI305,Leyenda!$B$30:$E$34,3,FALSE)</f>
        <v>1</v>
      </c>
      <c r="AR305" s="18">
        <f>+VLOOKUP('3. Blasting'!AJ305,Meteorizacion,3,FALSE)</f>
        <v>1</v>
      </c>
      <c r="AS305" s="18">
        <f>+VLOOKUP('3. Blasting'!AK305,Apertura,3,FALSE)</f>
        <v>1</v>
      </c>
      <c r="AT305" s="18">
        <f>+VLOOKUP('3. Blasting'!AL305,Leyenda!$B$55:$D$59,3,FALSE)</f>
        <v>1</v>
      </c>
      <c r="AU305" s="18">
        <f>+VLOOKUP('3. Blasting'!AM305,Relleno,3,FALSE)</f>
        <v>2</v>
      </c>
      <c r="AV305" s="18">
        <f t="shared" si="128"/>
        <v>6</v>
      </c>
      <c r="AW305" s="49">
        <f t="shared" si="115"/>
        <v>0</v>
      </c>
      <c r="AX305" s="49">
        <f>VLOOKUP(AF305,Leyenda!$B$4:$D$10,3,FALSE)</f>
        <v>2</v>
      </c>
      <c r="AY305" s="50">
        <f t="shared" si="109"/>
        <v>5</v>
      </c>
      <c r="AZ305" s="49">
        <f t="shared" si="116"/>
        <v>6</v>
      </c>
      <c r="BA305" s="49">
        <f>VLOOKUP(AN305,Leyenda!$B$70:$D$75,3,FALSE)</f>
        <v>15</v>
      </c>
      <c r="BB305" s="67">
        <f t="shared" si="117"/>
        <v>9</v>
      </c>
      <c r="BC305" s="67">
        <f>VLOOKUP(AF305,Leyenda!$B$4:$E$10,4,FALSE)</f>
        <v>2</v>
      </c>
      <c r="BD305" s="67">
        <f t="shared" si="118"/>
        <v>5</v>
      </c>
      <c r="BE305" s="67">
        <f t="shared" si="119"/>
        <v>0</v>
      </c>
      <c r="BF305" s="67">
        <f>+VLOOKUP('3. Blasting'!AK305,Leyenda!$B$47:$E$51,4,FALSE)</f>
        <v>1</v>
      </c>
      <c r="BG305" s="67">
        <f>+VLOOKUP('3. Blasting'!AL305,Leyenda!$B$55:$E$59,4,FALSE)</f>
        <v>1</v>
      </c>
      <c r="BH305" s="67">
        <f>+VLOOKUP('3. Blasting'!AM305,Leyenda!$B$63:$E$67,3,FALSE)</f>
        <v>2</v>
      </c>
      <c r="BI305" s="67">
        <f>+VLOOKUP('3. Blasting'!AJ305,Leyenda!$B$39:$E$43,4,FALSE)</f>
        <v>1</v>
      </c>
      <c r="BJ305" s="67">
        <f>+VLOOKUP('3. Blasting'!AI305,Leyenda!$B$30:$E$34,4,FALSE)</f>
        <v>1</v>
      </c>
      <c r="BK305" s="67">
        <f>VLOOKUP(AN305,Leyenda!$B$71:$E$75,4,FALSE)</f>
        <v>10</v>
      </c>
      <c r="BL305" s="67">
        <f t="shared" si="120"/>
        <v>23</v>
      </c>
      <c r="BM305" s="18">
        <f t="shared" si="121"/>
        <v>28</v>
      </c>
      <c r="BN305" s="18"/>
      <c r="BO305" s="18"/>
      <c r="BP305">
        <f t="shared" si="122"/>
        <v>10</v>
      </c>
      <c r="BQ305">
        <f t="shared" si="123"/>
        <v>10</v>
      </c>
      <c r="BR305">
        <v>20</v>
      </c>
      <c r="BS305">
        <f t="shared" si="124"/>
        <v>-50</v>
      </c>
      <c r="BT305">
        <f t="shared" si="125"/>
        <v>0</v>
      </c>
      <c r="BU305">
        <f t="shared" si="126"/>
        <v>-5</v>
      </c>
      <c r="BV305" s="1">
        <f t="shared" si="110"/>
        <v>-0.02</v>
      </c>
      <c r="BW305" s="1">
        <f t="shared" si="111"/>
        <v>0</v>
      </c>
    </row>
    <row r="306" spans="1:75" hidden="1" x14ac:dyDescent="0.25">
      <c r="A306" s="18" t="s">
        <v>6</v>
      </c>
      <c r="B306" s="18">
        <v>2024</v>
      </c>
      <c r="C306" s="18" t="s">
        <v>138</v>
      </c>
      <c r="D306" s="18" t="s">
        <v>130</v>
      </c>
      <c r="E306" s="18">
        <v>20</v>
      </c>
      <c r="F306" s="18" t="s">
        <v>156</v>
      </c>
      <c r="G306" s="18" t="s">
        <v>181</v>
      </c>
      <c r="H306" s="4">
        <f t="shared" si="129"/>
        <v>36</v>
      </c>
      <c r="I306" s="4">
        <v>36.5</v>
      </c>
      <c r="J306" s="4">
        <f t="shared" si="112"/>
        <v>0.5</v>
      </c>
      <c r="K306" s="5">
        <v>1</v>
      </c>
      <c r="L306" s="31">
        <f t="shared" si="113"/>
        <v>0.5</v>
      </c>
      <c r="M306" s="31"/>
      <c r="N306" s="31"/>
      <c r="O306" s="31">
        <f t="shared" si="108"/>
        <v>0.5</v>
      </c>
      <c r="P306" s="31">
        <v>25</v>
      </c>
      <c r="Q306" s="31">
        <v>20</v>
      </c>
      <c r="R306" s="31">
        <v>0.48</v>
      </c>
      <c r="S306" s="31">
        <v>0</v>
      </c>
      <c r="T306" s="65">
        <f t="shared" si="127"/>
        <v>0</v>
      </c>
      <c r="U306" s="31">
        <v>7</v>
      </c>
      <c r="V306" s="31"/>
      <c r="W306" s="31">
        <f t="shared" si="106"/>
        <v>7</v>
      </c>
      <c r="X306" s="31">
        <f t="shared" si="107"/>
        <v>68.571428571428569</v>
      </c>
      <c r="Y306" s="31">
        <f t="shared" si="114"/>
        <v>6.8571428571428575E-2</v>
      </c>
      <c r="Z306" s="18">
        <v>0</v>
      </c>
      <c r="AA306" s="18" t="s">
        <v>100</v>
      </c>
      <c r="AB306" s="18" t="s">
        <v>333</v>
      </c>
      <c r="AC306" s="18" t="s">
        <v>337</v>
      </c>
      <c r="AD306" s="18">
        <v>20</v>
      </c>
      <c r="AE306" s="18">
        <v>25</v>
      </c>
      <c r="AF306" s="18" t="s">
        <v>29</v>
      </c>
      <c r="AG306" s="18" t="s">
        <v>199</v>
      </c>
      <c r="AH306" s="18" t="s">
        <v>199</v>
      </c>
      <c r="AI306" s="18" t="s">
        <v>66</v>
      </c>
      <c r="AJ306" s="18" t="s">
        <v>81</v>
      </c>
      <c r="AK306" s="18" t="s">
        <v>96</v>
      </c>
      <c r="AL306" s="18" t="s">
        <v>109</v>
      </c>
      <c r="AM306" s="18" t="s">
        <v>120</v>
      </c>
      <c r="AN306" s="18" t="s">
        <v>198</v>
      </c>
      <c r="AO306" s="18"/>
      <c r="AP306" s="18"/>
      <c r="AQ306" s="18">
        <f>+VLOOKUP(AI306,Leyenda!$B$30:$E$34,3,FALSE)</f>
        <v>1</v>
      </c>
      <c r="AR306" s="18">
        <f>+VLOOKUP('3. Blasting'!AJ306,Meteorizacion,3,FALSE)</f>
        <v>0</v>
      </c>
      <c r="AS306" s="18">
        <f>+VLOOKUP('3. Blasting'!AK306,Apertura,3,FALSE)</f>
        <v>1</v>
      </c>
      <c r="AT306" s="18">
        <f>+VLOOKUP('3. Blasting'!AL306,Leyenda!$B$55:$D$59,3,FALSE)</f>
        <v>1</v>
      </c>
      <c r="AU306" s="18">
        <f>+VLOOKUP('3. Blasting'!AM306,Relleno,3,FALSE)</f>
        <v>2</v>
      </c>
      <c r="AV306" s="18">
        <f t="shared" si="128"/>
        <v>5</v>
      </c>
      <c r="AW306" s="49">
        <f t="shared" si="115"/>
        <v>0</v>
      </c>
      <c r="AX306" s="49">
        <f>VLOOKUP(AF306,Leyenda!$B$4:$D$10,3,FALSE)</f>
        <v>2</v>
      </c>
      <c r="AY306" s="50">
        <f t="shared" si="109"/>
        <v>5</v>
      </c>
      <c r="AZ306" s="49">
        <f t="shared" si="116"/>
        <v>5</v>
      </c>
      <c r="BA306" s="49">
        <f>VLOOKUP(AN306,Leyenda!$B$70:$D$75,3,FALSE)</f>
        <v>15</v>
      </c>
      <c r="BB306" s="67">
        <f t="shared" si="117"/>
        <v>7.5</v>
      </c>
      <c r="BC306" s="67">
        <f>VLOOKUP(AF306,Leyenda!$B$4:$E$10,4,FALSE)</f>
        <v>2</v>
      </c>
      <c r="BD306" s="67">
        <f t="shared" si="118"/>
        <v>6</v>
      </c>
      <c r="BE306" s="67">
        <f t="shared" si="119"/>
        <v>0</v>
      </c>
      <c r="BF306" s="67">
        <f>+VLOOKUP('3. Blasting'!AK306,Leyenda!$B$47:$E$51,4,FALSE)</f>
        <v>1</v>
      </c>
      <c r="BG306" s="67">
        <f>+VLOOKUP('3. Blasting'!AL306,Leyenda!$B$55:$E$59,4,FALSE)</f>
        <v>1</v>
      </c>
      <c r="BH306" s="67">
        <f>+VLOOKUP('3. Blasting'!AM306,Leyenda!$B$63:$E$67,3,FALSE)</f>
        <v>2</v>
      </c>
      <c r="BI306" s="67">
        <f>+VLOOKUP('3. Blasting'!AJ306,Leyenda!$B$39:$E$43,4,FALSE)</f>
        <v>0</v>
      </c>
      <c r="BJ306" s="67">
        <f>+VLOOKUP('3. Blasting'!AI306,Leyenda!$B$30:$E$34,4,FALSE)</f>
        <v>1</v>
      </c>
      <c r="BK306" s="67">
        <f>VLOOKUP(AN306,Leyenda!$B$71:$E$75,4,FALSE)</f>
        <v>10</v>
      </c>
      <c r="BL306" s="67">
        <f t="shared" si="120"/>
        <v>23</v>
      </c>
      <c r="BM306" s="18">
        <f t="shared" si="121"/>
        <v>27</v>
      </c>
      <c r="BN306" s="18"/>
      <c r="BO306" s="18"/>
      <c r="BP306">
        <f t="shared" si="122"/>
        <v>10</v>
      </c>
      <c r="BQ306">
        <f t="shared" si="123"/>
        <v>10</v>
      </c>
      <c r="BR306">
        <v>20</v>
      </c>
      <c r="BS306">
        <f t="shared" si="124"/>
        <v>-50</v>
      </c>
      <c r="BT306">
        <f t="shared" si="125"/>
        <v>0</v>
      </c>
      <c r="BU306">
        <f t="shared" si="126"/>
        <v>-5</v>
      </c>
      <c r="BV306" s="1">
        <f t="shared" si="110"/>
        <v>-0.02</v>
      </c>
      <c r="BW306" s="1">
        <f t="shared" si="111"/>
        <v>0</v>
      </c>
    </row>
    <row r="307" spans="1:75" hidden="1" x14ac:dyDescent="0.25">
      <c r="A307" s="18" t="s">
        <v>6</v>
      </c>
      <c r="B307" s="18">
        <v>2024</v>
      </c>
      <c r="C307" s="18" t="s">
        <v>138</v>
      </c>
      <c r="D307" s="18" t="s">
        <v>130</v>
      </c>
      <c r="E307" s="18">
        <v>20</v>
      </c>
      <c r="F307" s="18" t="s">
        <v>156</v>
      </c>
      <c r="G307" s="18" t="s">
        <v>181</v>
      </c>
      <c r="H307" s="4">
        <f t="shared" si="129"/>
        <v>36.5</v>
      </c>
      <c r="I307" s="4">
        <v>37</v>
      </c>
      <c r="J307" s="4">
        <f t="shared" si="112"/>
        <v>0.5</v>
      </c>
      <c r="K307" s="5">
        <v>1</v>
      </c>
      <c r="L307" s="31">
        <f t="shared" si="113"/>
        <v>0.5</v>
      </c>
      <c r="M307" s="31"/>
      <c r="N307" s="31"/>
      <c r="O307" s="31">
        <f t="shared" si="108"/>
        <v>0.5</v>
      </c>
      <c r="P307" s="31">
        <v>25</v>
      </c>
      <c r="Q307" s="31">
        <v>20</v>
      </c>
      <c r="R307" s="31">
        <v>0.42</v>
      </c>
      <c r="S307" s="31">
        <v>0.33</v>
      </c>
      <c r="T307" s="65">
        <f t="shared" si="127"/>
        <v>66</v>
      </c>
      <c r="U307" s="31">
        <v>3</v>
      </c>
      <c r="V307" s="31"/>
      <c r="W307" s="31">
        <f t="shared" si="106"/>
        <v>3</v>
      </c>
      <c r="X307" s="31">
        <f t="shared" si="107"/>
        <v>140</v>
      </c>
      <c r="Y307" s="31">
        <f t="shared" si="114"/>
        <v>0.14000000000000001</v>
      </c>
      <c r="Z307" s="18">
        <v>0</v>
      </c>
      <c r="AA307" s="18" t="s">
        <v>100</v>
      </c>
      <c r="AB307" s="18" t="s">
        <v>333</v>
      </c>
      <c r="AC307" s="18" t="s">
        <v>337</v>
      </c>
      <c r="AD307" s="18">
        <v>20</v>
      </c>
      <c r="AE307" s="18">
        <v>25</v>
      </c>
      <c r="AF307" s="18" t="s">
        <v>29</v>
      </c>
      <c r="AG307" s="18" t="s">
        <v>199</v>
      </c>
      <c r="AH307" s="18" t="s">
        <v>199</v>
      </c>
      <c r="AI307" s="18" t="s">
        <v>64</v>
      </c>
      <c r="AJ307" s="18" t="s">
        <v>77</v>
      </c>
      <c r="AK307" s="18" t="s">
        <v>96</v>
      </c>
      <c r="AL307" s="18" t="s">
        <v>109</v>
      </c>
      <c r="AM307" s="18" t="s">
        <v>120</v>
      </c>
      <c r="AN307" s="18" t="s">
        <v>198</v>
      </c>
      <c r="AO307" s="18"/>
      <c r="AP307" s="18"/>
      <c r="AQ307" s="18">
        <f>+VLOOKUP(AI307,Leyenda!$B$30:$E$34,3,FALSE)</f>
        <v>2</v>
      </c>
      <c r="AR307" s="18">
        <f>+VLOOKUP('3. Blasting'!AJ307,Meteorizacion,3,FALSE)</f>
        <v>3</v>
      </c>
      <c r="AS307" s="18">
        <f>+VLOOKUP('3. Blasting'!AK307,Apertura,3,FALSE)</f>
        <v>1</v>
      </c>
      <c r="AT307" s="18">
        <f>+VLOOKUP('3. Blasting'!AL307,Leyenda!$B$55:$D$59,3,FALSE)</f>
        <v>1</v>
      </c>
      <c r="AU307" s="18">
        <f>+VLOOKUP('3. Blasting'!AM307,Relleno,3,FALSE)</f>
        <v>2</v>
      </c>
      <c r="AV307" s="18">
        <f t="shared" si="128"/>
        <v>9</v>
      </c>
      <c r="AW307" s="49">
        <f t="shared" si="115"/>
        <v>0</v>
      </c>
      <c r="AX307" s="49">
        <f>VLOOKUP(AF307,Leyenda!$B$4:$D$10,3,FALSE)</f>
        <v>2</v>
      </c>
      <c r="AY307" s="50">
        <f t="shared" si="109"/>
        <v>5</v>
      </c>
      <c r="AZ307" s="49">
        <f t="shared" si="116"/>
        <v>9</v>
      </c>
      <c r="BA307" s="49">
        <f>VLOOKUP(AN307,Leyenda!$B$70:$D$75,3,FALSE)</f>
        <v>15</v>
      </c>
      <c r="BB307" s="67">
        <f t="shared" si="117"/>
        <v>46.5</v>
      </c>
      <c r="BC307" s="67">
        <f>VLOOKUP(AF307,Leyenda!$B$4:$E$10,4,FALSE)</f>
        <v>2</v>
      </c>
      <c r="BD307" s="67">
        <f t="shared" si="118"/>
        <v>10</v>
      </c>
      <c r="BE307" s="67">
        <f t="shared" si="119"/>
        <v>14</v>
      </c>
      <c r="BF307" s="67">
        <f>+VLOOKUP('3. Blasting'!AK307,Leyenda!$B$47:$E$51,4,FALSE)</f>
        <v>1</v>
      </c>
      <c r="BG307" s="67">
        <f>+VLOOKUP('3. Blasting'!AL307,Leyenda!$B$55:$E$59,4,FALSE)</f>
        <v>1</v>
      </c>
      <c r="BH307" s="67">
        <f>+VLOOKUP('3. Blasting'!AM307,Leyenda!$B$63:$E$67,3,FALSE)</f>
        <v>2</v>
      </c>
      <c r="BI307" s="67">
        <f>+VLOOKUP('3. Blasting'!AJ307,Leyenda!$B$39:$E$43,4,FALSE)</f>
        <v>3</v>
      </c>
      <c r="BJ307" s="67">
        <f>+VLOOKUP('3. Blasting'!AI307,Leyenda!$B$30:$E$34,4,FALSE)</f>
        <v>3</v>
      </c>
      <c r="BK307" s="67">
        <f>VLOOKUP(AN307,Leyenda!$B$71:$E$75,4,FALSE)</f>
        <v>10</v>
      </c>
      <c r="BL307" s="67">
        <f t="shared" si="120"/>
        <v>46</v>
      </c>
      <c r="BM307" s="18">
        <f t="shared" si="121"/>
        <v>31</v>
      </c>
      <c r="BN307" s="18"/>
      <c r="BO307" s="18"/>
      <c r="BP307">
        <f t="shared" si="122"/>
        <v>30</v>
      </c>
      <c r="BQ307">
        <f t="shared" si="123"/>
        <v>20</v>
      </c>
      <c r="BR307">
        <v>20</v>
      </c>
      <c r="BS307">
        <f t="shared" si="124"/>
        <v>-50</v>
      </c>
      <c r="BT307">
        <f t="shared" si="125"/>
        <v>0</v>
      </c>
      <c r="BU307">
        <f t="shared" si="126"/>
        <v>10</v>
      </c>
      <c r="BV307" s="1">
        <f t="shared" si="110"/>
        <v>0.04</v>
      </c>
      <c r="BW307" s="1">
        <f t="shared" si="111"/>
        <v>0</v>
      </c>
    </row>
    <row r="308" spans="1:75" hidden="1" x14ac:dyDescent="0.25">
      <c r="A308" s="18" t="s">
        <v>6</v>
      </c>
      <c r="B308" s="18">
        <v>2024</v>
      </c>
      <c r="C308" s="18" t="s">
        <v>138</v>
      </c>
      <c r="D308" s="18" t="s">
        <v>130</v>
      </c>
      <c r="E308" s="18">
        <v>20</v>
      </c>
      <c r="F308" s="18" t="s">
        <v>156</v>
      </c>
      <c r="G308" s="18" t="s">
        <v>181</v>
      </c>
      <c r="H308" s="4">
        <f t="shared" si="129"/>
        <v>37</v>
      </c>
      <c r="I308" s="4">
        <v>37.5</v>
      </c>
      <c r="J308" s="4">
        <f t="shared" si="112"/>
        <v>0.5</v>
      </c>
      <c r="K308" s="5">
        <v>1</v>
      </c>
      <c r="L308" s="31">
        <f t="shared" si="113"/>
        <v>0.5</v>
      </c>
      <c r="M308" s="31"/>
      <c r="N308" s="31"/>
      <c r="O308" s="31">
        <f t="shared" si="108"/>
        <v>0.5</v>
      </c>
      <c r="P308" s="31">
        <v>100</v>
      </c>
      <c r="Q308" s="31">
        <v>5</v>
      </c>
      <c r="R308" s="31">
        <v>0.46</v>
      </c>
      <c r="S308" s="31">
        <v>0.1</v>
      </c>
      <c r="T308" s="65">
        <f t="shared" si="127"/>
        <v>20</v>
      </c>
      <c r="U308" s="31">
        <v>7</v>
      </c>
      <c r="V308" s="31"/>
      <c r="W308" s="31">
        <f t="shared" si="106"/>
        <v>7</v>
      </c>
      <c r="X308" s="31">
        <f t="shared" si="107"/>
        <v>65.714285714285708</v>
      </c>
      <c r="Y308" s="31">
        <f t="shared" si="114"/>
        <v>6.5714285714285711E-2</v>
      </c>
      <c r="Z308" s="18">
        <v>22</v>
      </c>
      <c r="AA308" s="18" t="s">
        <v>100</v>
      </c>
      <c r="AB308" s="18" t="s">
        <v>118</v>
      </c>
      <c r="AC308" s="18" t="s">
        <v>337</v>
      </c>
      <c r="AD308" s="18">
        <v>5</v>
      </c>
      <c r="AE308" s="18">
        <v>100</v>
      </c>
      <c r="AF308" s="18" t="s">
        <v>29</v>
      </c>
      <c r="AG308" s="18" t="s">
        <v>196</v>
      </c>
      <c r="AH308" s="18" t="s">
        <v>196</v>
      </c>
      <c r="AI308" s="18" t="s">
        <v>66</v>
      </c>
      <c r="AJ308" s="18" t="s">
        <v>79</v>
      </c>
      <c r="AK308" s="18" t="s">
        <v>96</v>
      </c>
      <c r="AL308" s="18" t="s">
        <v>109</v>
      </c>
      <c r="AM308" s="18" t="s">
        <v>120</v>
      </c>
      <c r="AN308" s="18" t="s">
        <v>198</v>
      </c>
      <c r="AO308" s="18"/>
      <c r="AP308" s="18"/>
      <c r="AQ308" s="18">
        <f>+VLOOKUP(AI308,Leyenda!$B$30:$E$34,3,FALSE)</f>
        <v>1</v>
      </c>
      <c r="AR308" s="18">
        <f>+VLOOKUP('3. Blasting'!AJ308,Meteorizacion,3,FALSE)</f>
        <v>1</v>
      </c>
      <c r="AS308" s="18">
        <f>+VLOOKUP('3. Blasting'!AK308,Apertura,3,FALSE)</f>
        <v>1</v>
      </c>
      <c r="AT308" s="18">
        <f>+VLOOKUP('3. Blasting'!AL308,Leyenda!$B$55:$D$59,3,FALSE)</f>
        <v>1</v>
      </c>
      <c r="AU308" s="18">
        <f>+VLOOKUP('3. Blasting'!AM308,Relleno,3,FALSE)</f>
        <v>2</v>
      </c>
      <c r="AV308" s="18">
        <f t="shared" si="128"/>
        <v>6</v>
      </c>
      <c r="AW308" s="49">
        <f t="shared" si="115"/>
        <v>5</v>
      </c>
      <c r="AX308" s="49">
        <f>VLOOKUP(AF308,Leyenda!$B$4:$D$10,3,FALSE)</f>
        <v>2</v>
      </c>
      <c r="AY308" s="50">
        <f t="shared" si="109"/>
        <v>7</v>
      </c>
      <c r="AZ308" s="49">
        <f t="shared" si="116"/>
        <v>6</v>
      </c>
      <c r="BA308" s="49">
        <f>VLOOKUP(AN308,Leyenda!$B$70:$D$75,3,FALSE)</f>
        <v>15</v>
      </c>
      <c r="BB308" s="67">
        <f t="shared" si="117"/>
        <v>19</v>
      </c>
      <c r="BC308" s="67">
        <f>VLOOKUP(AF308,Leyenda!$B$4:$E$10,4,FALSE)</f>
        <v>2</v>
      </c>
      <c r="BD308" s="67">
        <f t="shared" si="118"/>
        <v>6</v>
      </c>
      <c r="BE308" s="67">
        <f t="shared" si="119"/>
        <v>4</v>
      </c>
      <c r="BF308" s="67">
        <f>+VLOOKUP('3. Blasting'!AK308,Leyenda!$B$47:$E$51,4,FALSE)</f>
        <v>1</v>
      </c>
      <c r="BG308" s="67">
        <f>+VLOOKUP('3. Blasting'!AL308,Leyenda!$B$55:$E$59,4,FALSE)</f>
        <v>1</v>
      </c>
      <c r="BH308" s="67">
        <f>+VLOOKUP('3. Blasting'!AM308,Leyenda!$B$63:$E$67,3,FALSE)</f>
        <v>2</v>
      </c>
      <c r="BI308" s="67">
        <f>+VLOOKUP('3. Blasting'!AJ308,Leyenda!$B$39:$E$43,4,FALSE)</f>
        <v>1</v>
      </c>
      <c r="BJ308" s="67">
        <f>+VLOOKUP('3. Blasting'!AI308,Leyenda!$B$30:$E$34,4,FALSE)</f>
        <v>1</v>
      </c>
      <c r="BK308" s="67">
        <f>VLOOKUP(AN308,Leyenda!$B$71:$E$75,4,FALSE)</f>
        <v>10</v>
      </c>
      <c r="BL308" s="67">
        <f t="shared" si="120"/>
        <v>28</v>
      </c>
      <c r="BM308" s="18">
        <f t="shared" si="121"/>
        <v>35</v>
      </c>
      <c r="BN308" s="18"/>
      <c r="BO308" s="18"/>
      <c r="BP308">
        <f t="shared" si="122"/>
        <v>10</v>
      </c>
      <c r="BQ308">
        <f t="shared" si="123"/>
        <v>10</v>
      </c>
      <c r="BR308">
        <v>20</v>
      </c>
      <c r="BS308">
        <f t="shared" si="124"/>
        <v>-50</v>
      </c>
      <c r="BT308">
        <f t="shared" si="125"/>
        <v>0</v>
      </c>
      <c r="BU308">
        <f t="shared" si="126"/>
        <v>-5</v>
      </c>
      <c r="BV308" s="1">
        <f t="shared" si="110"/>
        <v>-0.02</v>
      </c>
      <c r="BW308" s="1">
        <f t="shared" si="111"/>
        <v>0</v>
      </c>
    </row>
    <row r="309" spans="1:75" hidden="1" x14ac:dyDescent="0.25">
      <c r="A309" s="18" t="s">
        <v>6</v>
      </c>
      <c r="B309" s="18">
        <v>2024</v>
      </c>
      <c r="C309" s="18" t="s">
        <v>138</v>
      </c>
      <c r="D309" s="18" t="s">
        <v>130</v>
      </c>
      <c r="E309" s="18">
        <v>20</v>
      </c>
      <c r="F309" s="18" t="s">
        <v>156</v>
      </c>
      <c r="G309" s="18" t="s">
        <v>181</v>
      </c>
      <c r="H309" s="4">
        <f t="shared" si="129"/>
        <v>37.5</v>
      </c>
      <c r="I309" s="4">
        <v>38</v>
      </c>
      <c r="J309" s="4">
        <f t="shared" si="112"/>
        <v>0.5</v>
      </c>
      <c r="K309" s="5">
        <v>1</v>
      </c>
      <c r="L309" s="31">
        <f t="shared" si="113"/>
        <v>0.5</v>
      </c>
      <c r="M309" s="31"/>
      <c r="N309" s="31"/>
      <c r="O309" s="31">
        <f t="shared" si="108"/>
        <v>0.5</v>
      </c>
      <c r="P309" s="31">
        <v>100</v>
      </c>
      <c r="Q309" s="31">
        <v>5</v>
      </c>
      <c r="R309" s="31">
        <v>0.37</v>
      </c>
      <c r="S309" s="31">
        <v>0.1</v>
      </c>
      <c r="T309" s="65">
        <f t="shared" si="127"/>
        <v>20</v>
      </c>
      <c r="U309" s="31">
        <v>10</v>
      </c>
      <c r="V309" s="31"/>
      <c r="W309" s="31">
        <f t="shared" si="106"/>
        <v>10</v>
      </c>
      <c r="X309" s="31">
        <f t="shared" si="107"/>
        <v>37</v>
      </c>
      <c r="Y309" s="31">
        <f t="shared" si="114"/>
        <v>3.6999999999999998E-2</v>
      </c>
      <c r="Z309" s="18">
        <v>26</v>
      </c>
      <c r="AA309" s="18" t="s">
        <v>100</v>
      </c>
      <c r="AB309" s="18" t="s">
        <v>118</v>
      </c>
      <c r="AC309" s="18" t="s">
        <v>337</v>
      </c>
      <c r="AD309" s="18">
        <v>5</v>
      </c>
      <c r="AE309" s="18">
        <v>100</v>
      </c>
      <c r="AF309" s="18" t="s">
        <v>29</v>
      </c>
      <c r="AG309" s="18" t="s">
        <v>199</v>
      </c>
      <c r="AH309" s="18" t="s">
        <v>199</v>
      </c>
      <c r="AI309" s="18" t="s">
        <v>227</v>
      </c>
      <c r="AJ309" s="18" t="s">
        <v>79</v>
      </c>
      <c r="AK309" s="18" t="s">
        <v>96</v>
      </c>
      <c r="AL309" s="18" t="s">
        <v>109</v>
      </c>
      <c r="AM309" s="18" t="s">
        <v>120</v>
      </c>
      <c r="AN309" s="18" t="s">
        <v>198</v>
      </c>
      <c r="AO309" s="18"/>
      <c r="AP309" s="18"/>
      <c r="AQ309" s="18">
        <f>+VLOOKUP(AI309,Leyenda!$B$30:$E$34,3,FALSE)</f>
        <v>1</v>
      </c>
      <c r="AR309" s="18">
        <f>+VLOOKUP('3. Blasting'!AJ309,Meteorizacion,3,FALSE)</f>
        <v>1</v>
      </c>
      <c r="AS309" s="18">
        <f>+VLOOKUP('3. Blasting'!AK309,Apertura,3,FALSE)</f>
        <v>1</v>
      </c>
      <c r="AT309" s="18">
        <f>+VLOOKUP('3. Blasting'!AL309,Leyenda!$B$55:$D$59,3,FALSE)</f>
        <v>1</v>
      </c>
      <c r="AU309" s="18">
        <f>+VLOOKUP('3. Blasting'!AM309,Relleno,3,FALSE)</f>
        <v>2</v>
      </c>
      <c r="AV309" s="18">
        <f t="shared" si="128"/>
        <v>6</v>
      </c>
      <c r="AW309" s="49">
        <f t="shared" si="115"/>
        <v>6</v>
      </c>
      <c r="AX309" s="49">
        <f>VLOOKUP(AF309,Leyenda!$B$4:$D$10,3,FALSE)</f>
        <v>2</v>
      </c>
      <c r="AY309" s="50">
        <f t="shared" si="109"/>
        <v>7</v>
      </c>
      <c r="AZ309" s="49">
        <f t="shared" si="116"/>
        <v>6</v>
      </c>
      <c r="BA309" s="49">
        <f>VLOOKUP(AN309,Leyenda!$B$70:$D$75,3,FALSE)</f>
        <v>15</v>
      </c>
      <c r="BB309" s="67">
        <f t="shared" si="117"/>
        <v>19</v>
      </c>
      <c r="BC309" s="67">
        <f>VLOOKUP(AF309,Leyenda!$B$4:$E$10,4,FALSE)</f>
        <v>2</v>
      </c>
      <c r="BD309" s="67">
        <f t="shared" si="118"/>
        <v>5</v>
      </c>
      <c r="BE309" s="67">
        <f t="shared" si="119"/>
        <v>4</v>
      </c>
      <c r="BF309" s="67">
        <f>+VLOOKUP('3. Blasting'!AK309,Leyenda!$B$47:$E$51,4,FALSE)</f>
        <v>1</v>
      </c>
      <c r="BG309" s="67">
        <f>+VLOOKUP('3. Blasting'!AL309,Leyenda!$B$55:$E$59,4,FALSE)</f>
        <v>1</v>
      </c>
      <c r="BH309" s="67">
        <f>+VLOOKUP('3. Blasting'!AM309,Leyenda!$B$63:$E$67,3,FALSE)</f>
        <v>2</v>
      </c>
      <c r="BI309" s="67">
        <f>+VLOOKUP('3. Blasting'!AJ309,Leyenda!$B$39:$E$43,4,FALSE)</f>
        <v>1</v>
      </c>
      <c r="BJ309" s="67">
        <f>+VLOOKUP('3. Blasting'!AI309,Leyenda!$B$30:$E$34,4,FALSE)</f>
        <v>1</v>
      </c>
      <c r="BK309" s="67">
        <f>VLOOKUP(AN309,Leyenda!$B$71:$E$75,4,FALSE)</f>
        <v>10</v>
      </c>
      <c r="BL309" s="67">
        <f t="shared" si="120"/>
        <v>27</v>
      </c>
      <c r="BM309" s="18">
        <f t="shared" si="121"/>
        <v>36</v>
      </c>
      <c r="BN309" s="18"/>
      <c r="BO309" s="18"/>
      <c r="BP309">
        <f t="shared" si="122"/>
        <v>10</v>
      </c>
      <c r="BQ309">
        <f t="shared" si="123"/>
        <v>10</v>
      </c>
      <c r="BR309">
        <v>20</v>
      </c>
      <c r="BS309">
        <f t="shared" si="124"/>
        <v>-50</v>
      </c>
      <c r="BT309">
        <f t="shared" si="125"/>
        <v>0</v>
      </c>
      <c r="BU309">
        <f t="shared" si="126"/>
        <v>-5</v>
      </c>
      <c r="BV309" s="1">
        <f t="shared" si="110"/>
        <v>-0.02</v>
      </c>
      <c r="BW309" s="1">
        <f t="shared" si="111"/>
        <v>0</v>
      </c>
    </row>
    <row r="310" spans="1:75" hidden="1" x14ac:dyDescent="0.25">
      <c r="A310" s="18" t="s">
        <v>6</v>
      </c>
      <c r="B310" s="18">
        <v>2024</v>
      </c>
      <c r="C310" s="18" t="s">
        <v>138</v>
      </c>
      <c r="D310" s="18" t="s">
        <v>130</v>
      </c>
      <c r="E310" s="18">
        <v>20</v>
      </c>
      <c r="F310" s="18" t="s">
        <v>156</v>
      </c>
      <c r="G310" s="18" t="s">
        <v>181</v>
      </c>
      <c r="H310" s="4">
        <f t="shared" si="129"/>
        <v>38</v>
      </c>
      <c r="I310" s="4">
        <v>38.5</v>
      </c>
      <c r="J310" s="4">
        <f t="shared" si="112"/>
        <v>0.5</v>
      </c>
      <c r="K310" s="5">
        <v>1</v>
      </c>
      <c r="L310" s="31">
        <f t="shared" si="113"/>
        <v>0.5</v>
      </c>
      <c r="M310" s="31"/>
      <c r="N310" s="31"/>
      <c r="O310" s="31">
        <f t="shared" si="108"/>
        <v>0.5</v>
      </c>
      <c r="P310" s="31">
        <v>500</v>
      </c>
      <c r="Q310" s="31">
        <v>1</v>
      </c>
      <c r="R310" s="31">
        <v>0.46</v>
      </c>
      <c r="S310" s="31">
        <v>0.27</v>
      </c>
      <c r="T310" s="65">
        <f t="shared" si="127"/>
        <v>54</v>
      </c>
      <c r="U310" s="31">
        <v>3</v>
      </c>
      <c r="V310" s="31"/>
      <c r="W310" s="31">
        <f t="shared" si="106"/>
        <v>3</v>
      </c>
      <c r="X310" s="31">
        <f t="shared" si="107"/>
        <v>153.33333333333334</v>
      </c>
      <c r="Y310" s="31">
        <f t="shared" si="114"/>
        <v>0.15333333333333335</v>
      </c>
      <c r="Z310" s="18">
        <v>46</v>
      </c>
      <c r="AA310" s="18" t="s">
        <v>100</v>
      </c>
      <c r="AB310" s="18" t="s">
        <v>116</v>
      </c>
      <c r="AC310" s="18" t="s">
        <v>337</v>
      </c>
      <c r="AD310" s="18">
        <v>1</v>
      </c>
      <c r="AE310" s="18">
        <v>500</v>
      </c>
      <c r="AF310" s="18" t="s">
        <v>29</v>
      </c>
      <c r="AG310" s="18" t="s">
        <v>29</v>
      </c>
      <c r="AH310" s="18" t="s">
        <v>29</v>
      </c>
      <c r="AI310" s="18" t="s">
        <v>64</v>
      </c>
      <c r="AJ310" s="18" t="s">
        <v>79</v>
      </c>
      <c r="AK310" s="18" t="s">
        <v>92</v>
      </c>
      <c r="AL310" s="18" t="s">
        <v>105</v>
      </c>
      <c r="AM310" s="18" t="s">
        <v>118</v>
      </c>
      <c r="AN310" s="18" t="s">
        <v>198</v>
      </c>
      <c r="AO310" s="18"/>
      <c r="AP310" s="18"/>
      <c r="AQ310" s="18">
        <f>+VLOOKUP(AI310,Leyenda!$B$30:$E$34,3,FALSE)</f>
        <v>2</v>
      </c>
      <c r="AR310" s="18">
        <f>+VLOOKUP('3. Blasting'!AJ310,Meteorizacion,3,FALSE)</f>
        <v>1</v>
      </c>
      <c r="AS310" s="18">
        <f>+VLOOKUP('3. Blasting'!AK310,Apertura,3,FALSE)</f>
        <v>3</v>
      </c>
      <c r="AT310" s="18">
        <f>+VLOOKUP('3. Blasting'!AL310,Leyenda!$B$55:$D$59,3,FALSE)</f>
        <v>4</v>
      </c>
      <c r="AU310" s="18">
        <f>+VLOOKUP('3. Blasting'!AM310,Relleno,3,FALSE)</f>
        <v>2</v>
      </c>
      <c r="AV310" s="18">
        <f t="shared" si="128"/>
        <v>12</v>
      </c>
      <c r="AW310" s="49">
        <f t="shared" si="115"/>
        <v>10</v>
      </c>
      <c r="AX310" s="49">
        <f>VLOOKUP(AF310,Leyenda!$B$4:$D$10,3,FALSE)</f>
        <v>2</v>
      </c>
      <c r="AY310" s="50">
        <f t="shared" si="109"/>
        <v>12</v>
      </c>
      <c r="AZ310" s="49">
        <f t="shared" si="116"/>
        <v>12</v>
      </c>
      <c r="BA310" s="49">
        <f>VLOOKUP(AN310,Leyenda!$B$70:$D$75,3,FALSE)</f>
        <v>15</v>
      </c>
      <c r="BB310" s="67">
        <f t="shared" si="117"/>
        <v>45</v>
      </c>
      <c r="BC310" s="67">
        <f>VLOOKUP(AF310,Leyenda!$B$4:$E$10,4,FALSE)</f>
        <v>2</v>
      </c>
      <c r="BD310" s="67">
        <f t="shared" si="118"/>
        <v>11</v>
      </c>
      <c r="BE310" s="67">
        <f t="shared" si="119"/>
        <v>11</v>
      </c>
      <c r="BF310" s="67">
        <f>+VLOOKUP('3. Blasting'!AK310,Leyenda!$B$47:$E$51,4,FALSE)</f>
        <v>3</v>
      </c>
      <c r="BG310" s="67">
        <f>+VLOOKUP('3. Blasting'!AL310,Leyenda!$B$55:$E$59,4,FALSE)</f>
        <v>4</v>
      </c>
      <c r="BH310" s="67">
        <f>+VLOOKUP('3. Blasting'!AM310,Leyenda!$B$63:$E$67,3,FALSE)</f>
        <v>2</v>
      </c>
      <c r="BI310" s="67">
        <f>+VLOOKUP('3. Blasting'!AJ310,Leyenda!$B$39:$E$43,4,FALSE)</f>
        <v>1</v>
      </c>
      <c r="BJ310" s="67">
        <f>+VLOOKUP('3. Blasting'!AI310,Leyenda!$B$30:$E$34,4,FALSE)</f>
        <v>3</v>
      </c>
      <c r="BK310" s="67">
        <f>VLOOKUP(AN310,Leyenda!$B$71:$E$75,4,FALSE)</f>
        <v>10</v>
      </c>
      <c r="BL310" s="67">
        <f t="shared" si="120"/>
        <v>47</v>
      </c>
      <c r="BM310" s="18">
        <f t="shared" si="121"/>
        <v>51</v>
      </c>
      <c r="BN310" s="18"/>
      <c r="BO310" s="18"/>
      <c r="BP310">
        <f t="shared" si="122"/>
        <v>30</v>
      </c>
      <c r="BQ310">
        <f t="shared" si="123"/>
        <v>20</v>
      </c>
      <c r="BR310">
        <v>20</v>
      </c>
      <c r="BS310">
        <f t="shared" si="124"/>
        <v>-50</v>
      </c>
      <c r="BT310">
        <f t="shared" si="125"/>
        <v>0</v>
      </c>
      <c r="BU310">
        <f t="shared" si="126"/>
        <v>10</v>
      </c>
      <c r="BV310" s="1">
        <f t="shared" si="110"/>
        <v>0.04</v>
      </c>
      <c r="BW310" s="1">
        <f t="shared" si="111"/>
        <v>0</v>
      </c>
    </row>
    <row r="311" spans="1:75" hidden="1" x14ac:dyDescent="0.25">
      <c r="A311" s="18" t="s">
        <v>6</v>
      </c>
      <c r="B311" s="18">
        <v>2024</v>
      </c>
      <c r="C311" s="18" t="s">
        <v>138</v>
      </c>
      <c r="D311" s="18" t="s">
        <v>130</v>
      </c>
      <c r="E311" s="18">
        <v>20</v>
      </c>
      <c r="F311" s="18" t="s">
        <v>156</v>
      </c>
      <c r="G311" s="18" t="s">
        <v>182</v>
      </c>
      <c r="H311" s="4">
        <f t="shared" si="129"/>
        <v>38.5</v>
      </c>
      <c r="I311" s="4">
        <v>39</v>
      </c>
      <c r="J311" s="4">
        <f t="shared" si="112"/>
        <v>0.5</v>
      </c>
      <c r="K311" s="5">
        <v>1</v>
      </c>
      <c r="L311" s="31">
        <f t="shared" si="113"/>
        <v>0.5</v>
      </c>
      <c r="M311" s="31"/>
      <c r="N311" s="31"/>
      <c r="O311" s="31">
        <f t="shared" si="108"/>
        <v>0.5</v>
      </c>
      <c r="P311" s="31">
        <v>100</v>
      </c>
      <c r="Q311" s="31">
        <v>5</v>
      </c>
      <c r="R311" s="31">
        <v>0.43</v>
      </c>
      <c r="S311" s="31">
        <v>0.35</v>
      </c>
      <c r="T311" s="65">
        <f t="shared" si="127"/>
        <v>70</v>
      </c>
      <c r="U311" s="31">
        <v>4</v>
      </c>
      <c r="V311" s="31"/>
      <c r="W311" s="31">
        <f t="shared" si="106"/>
        <v>4</v>
      </c>
      <c r="X311" s="31">
        <f t="shared" si="107"/>
        <v>107.5</v>
      </c>
      <c r="Y311" s="31">
        <f t="shared" si="114"/>
        <v>0.1075</v>
      </c>
      <c r="Z311" s="18">
        <v>78</v>
      </c>
      <c r="AA311" s="18" t="s">
        <v>330</v>
      </c>
      <c r="AB311" s="18" t="s">
        <v>118</v>
      </c>
      <c r="AC311" s="18" t="s">
        <v>334</v>
      </c>
      <c r="AD311" s="18">
        <v>5</v>
      </c>
      <c r="AE311" s="18">
        <v>100</v>
      </c>
      <c r="AF311" s="18" t="s">
        <v>27</v>
      </c>
      <c r="AG311" s="18" t="s">
        <v>196</v>
      </c>
      <c r="AH311" s="18" t="s">
        <v>196</v>
      </c>
      <c r="AI311" s="18" t="s">
        <v>64</v>
      </c>
      <c r="AJ311" s="18" t="s">
        <v>79</v>
      </c>
      <c r="AK311" s="18" t="s">
        <v>96</v>
      </c>
      <c r="AL311" s="18" t="s">
        <v>107</v>
      </c>
      <c r="AM311" s="18" t="s">
        <v>118</v>
      </c>
      <c r="AN311" s="18" t="s">
        <v>198</v>
      </c>
      <c r="AO311" s="18" t="s">
        <v>262</v>
      </c>
      <c r="AP311" s="18"/>
      <c r="AQ311" s="18">
        <f>+VLOOKUP(AI311,Leyenda!$B$30:$E$34,3,FALSE)</f>
        <v>2</v>
      </c>
      <c r="AR311" s="18">
        <f>+VLOOKUP('3. Blasting'!AJ311,Meteorizacion,3,FALSE)</f>
        <v>1</v>
      </c>
      <c r="AS311" s="18">
        <f>+VLOOKUP('3. Blasting'!AK311,Apertura,3,FALSE)</f>
        <v>1</v>
      </c>
      <c r="AT311" s="18">
        <f>+VLOOKUP('3. Blasting'!AL311,Leyenda!$B$55:$D$59,3,FALSE)</f>
        <v>3</v>
      </c>
      <c r="AU311" s="18">
        <f>+VLOOKUP('3. Blasting'!AM311,Relleno,3,FALSE)</f>
        <v>2</v>
      </c>
      <c r="AV311" s="18">
        <f t="shared" si="128"/>
        <v>9</v>
      </c>
      <c r="AW311" s="49">
        <f t="shared" si="115"/>
        <v>16</v>
      </c>
      <c r="AX311" s="49">
        <f>VLOOKUP(AF311,Leyenda!$B$4:$D$10,3,FALSE)</f>
        <v>4</v>
      </c>
      <c r="AY311" s="50">
        <f t="shared" si="109"/>
        <v>7</v>
      </c>
      <c r="AZ311" s="49">
        <f t="shared" si="116"/>
        <v>9</v>
      </c>
      <c r="BA311" s="49">
        <f>VLOOKUP(AN311,Leyenda!$B$70:$D$75,3,FALSE)</f>
        <v>15</v>
      </c>
      <c r="BB311" s="67">
        <f t="shared" si="117"/>
        <v>48.5</v>
      </c>
      <c r="BC311" s="67">
        <f>VLOOKUP(AF311,Leyenda!$B$4:$E$10,4,FALSE)</f>
        <v>4</v>
      </c>
      <c r="BD311" s="67">
        <f t="shared" si="118"/>
        <v>9</v>
      </c>
      <c r="BE311" s="67">
        <f t="shared" si="119"/>
        <v>14</v>
      </c>
      <c r="BF311" s="67">
        <f>+VLOOKUP('3. Blasting'!AK311,Leyenda!$B$47:$E$51,4,FALSE)</f>
        <v>1</v>
      </c>
      <c r="BG311" s="67">
        <f>+VLOOKUP('3. Blasting'!AL311,Leyenda!$B$55:$E$59,4,FALSE)</f>
        <v>3</v>
      </c>
      <c r="BH311" s="67">
        <f>+VLOOKUP('3. Blasting'!AM311,Leyenda!$B$63:$E$67,3,FALSE)</f>
        <v>2</v>
      </c>
      <c r="BI311" s="67">
        <f>+VLOOKUP('3. Blasting'!AJ311,Leyenda!$B$39:$E$43,4,FALSE)</f>
        <v>1</v>
      </c>
      <c r="BJ311" s="67">
        <f>+VLOOKUP('3. Blasting'!AI311,Leyenda!$B$30:$E$34,4,FALSE)</f>
        <v>3</v>
      </c>
      <c r="BK311" s="67">
        <f>VLOOKUP(AN311,Leyenda!$B$71:$E$75,4,FALSE)</f>
        <v>10</v>
      </c>
      <c r="BL311" s="67">
        <f t="shared" si="120"/>
        <v>47</v>
      </c>
      <c r="BM311" s="18">
        <f t="shared" si="121"/>
        <v>51</v>
      </c>
      <c r="BN311" s="18"/>
      <c r="BO311" s="18"/>
      <c r="BP311">
        <f t="shared" si="122"/>
        <v>30</v>
      </c>
      <c r="BQ311">
        <f t="shared" si="123"/>
        <v>20</v>
      </c>
      <c r="BR311">
        <v>20</v>
      </c>
      <c r="BS311">
        <f t="shared" si="124"/>
        <v>-50</v>
      </c>
      <c r="BT311">
        <f t="shared" si="125"/>
        <v>0</v>
      </c>
      <c r="BU311">
        <f t="shared" si="126"/>
        <v>10</v>
      </c>
      <c r="BV311" s="1">
        <f t="shared" si="110"/>
        <v>0.04</v>
      </c>
      <c r="BW311" s="1">
        <f t="shared" si="111"/>
        <v>0</v>
      </c>
    </row>
    <row r="312" spans="1:75" hidden="1" x14ac:dyDescent="0.25">
      <c r="A312" s="18" t="s">
        <v>6</v>
      </c>
      <c r="B312" s="18">
        <v>2024</v>
      </c>
      <c r="C312" s="18" t="s">
        <v>138</v>
      </c>
      <c r="D312" s="18" t="s">
        <v>130</v>
      </c>
      <c r="E312" s="18">
        <v>20</v>
      </c>
      <c r="F312" s="18" t="s">
        <v>156</v>
      </c>
      <c r="G312" s="18" t="s">
        <v>182</v>
      </c>
      <c r="H312" s="4">
        <f t="shared" si="129"/>
        <v>39</v>
      </c>
      <c r="I312" s="4">
        <v>39.5</v>
      </c>
      <c r="J312" s="4">
        <f t="shared" si="112"/>
        <v>0.5</v>
      </c>
      <c r="K312" s="5">
        <v>1</v>
      </c>
      <c r="L312" s="31">
        <f t="shared" si="113"/>
        <v>0.5</v>
      </c>
      <c r="M312" s="31"/>
      <c r="N312" s="31"/>
      <c r="O312" s="31">
        <f t="shared" si="108"/>
        <v>0.5</v>
      </c>
      <c r="P312" s="31">
        <v>500</v>
      </c>
      <c r="Q312" s="31">
        <v>1</v>
      </c>
      <c r="R312" s="31">
        <v>0.46</v>
      </c>
      <c r="S312" s="31">
        <v>0.18</v>
      </c>
      <c r="T312" s="65">
        <f t="shared" si="127"/>
        <v>36</v>
      </c>
      <c r="U312" s="31">
        <v>4</v>
      </c>
      <c r="V312" s="31"/>
      <c r="W312" s="31">
        <f t="shared" si="106"/>
        <v>4</v>
      </c>
      <c r="X312" s="31">
        <f t="shared" si="107"/>
        <v>115</v>
      </c>
      <c r="Y312" s="31">
        <f t="shared" si="114"/>
        <v>0.115</v>
      </c>
      <c r="Z312" s="18">
        <v>26</v>
      </c>
      <c r="AA312" s="18" t="s">
        <v>330</v>
      </c>
      <c r="AB312" s="18" t="s">
        <v>116</v>
      </c>
      <c r="AC312" s="18" t="s">
        <v>334</v>
      </c>
      <c r="AD312" s="18">
        <v>1</v>
      </c>
      <c r="AE312" s="18">
        <v>500</v>
      </c>
      <c r="AF312" s="18" t="s">
        <v>27</v>
      </c>
      <c r="AG312" s="18" t="s">
        <v>29</v>
      </c>
      <c r="AH312" s="18" t="s">
        <v>29</v>
      </c>
      <c r="AI312" s="18" t="s">
        <v>64</v>
      </c>
      <c r="AJ312" s="18" t="s">
        <v>77</v>
      </c>
      <c r="AK312" s="18" t="s">
        <v>96</v>
      </c>
      <c r="AL312" s="18" t="s">
        <v>107</v>
      </c>
      <c r="AM312" s="18" t="s">
        <v>118</v>
      </c>
      <c r="AN312" s="18" t="s">
        <v>198</v>
      </c>
      <c r="AO312" s="18"/>
      <c r="AP312" s="18"/>
      <c r="AQ312" s="18">
        <f>+VLOOKUP(AI312,Leyenda!$B$30:$E$34,3,FALSE)</f>
        <v>2</v>
      </c>
      <c r="AR312" s="18">
        <f>+VLOOKUP('3. Blasting'!AJ312,Meteorizacion,3,FALSE)</f>
        <v>3</v>
      </c>
      <c r="AS312" s="18">
        <f>+VLOOKUP('3. Blasting'!AK312,Apertura,3,FALSE)</f>
        <v>1</v>
      </c>
      <c r="AT312" s="18">
        <f>+VLOOKUP('3. Blasting'!AL312,Leyenda!$B$55:$D$59,3,FALSE)</f>
        <v>3</v>
      </c>
      <c r="AU312" s="18">
        <f>+VLOOKUP('3. Blasting'!AM312,Relleno,3,FALSE)</f>
        <v>2</v>
      </c>
      <c r="AV312" s="18">
        <f t="shared" si="128"/>
        <v>11</v>
      </c>
      <c r="AW312" s="49">
        <f t="shared" si="115"/>
        <v>6</v>
      </c>
      <c r="AX312" s="49">
        <f>VLOOKUP(AF312,Leyenda!$B$4:$D$10,3,FALSE)</f>
        <v>4</v>
      </c>
      <c r="AY312" s="50">
        <f t="shared" si="109"/>
        <v>12</v>
      </c>
      <c r="AZ312" s="49">
        <f t="shared" si="116"/>
        <v>11</v>
      </c>
      <c r="BA312" s="49">
        <f>VLOOKUP(AN312,Leyenda!$B$70:$D$75,3,FALSE)</f>
        <v>15</v>
      </c>
      <c r="BB312" s="67">
        <f t="shared" si="117"/>
        <v>34.5</v>
      </c>
      <c r="BC312" s="67">
        <f>VLOOKUP(AF312,Leyenda!$B$4:$E$10,4,FALSE)</f>
        <v>4</v>
      </c>
      <c r="BD312" s="67">
        <f t="shared" si="118"/>
        <v>9</v>
      </c>
      <c r="BE312" s="67">
        <f t="shared" si="119"/>
        <v>8</v>
      </c>
      <c r="BF312" s="67">
        <f>+VLOOKUP('3. Blasting'!AK312,Leyenda!$B$47:$E$51,4,FALSE)</f>
        <v>1</v>
      </c>
      <c r="BG312" s="67">
        <f>+VLOOKUP('3. Blasting'!AL312,Leyenda!$B$55:$E$59,4,FALSE)</f>
        <v>3</v>
      </c>
      <c r="BH312" s="67">
        <f>+VLOOKUP('3. Blasting'!AM312,Leyenda!$B$63:$E$67,3,FALSE)</f>
        <v>2</v>
      </c>
      <c r="BI312" s="67">
        <f>+VLOOKUP('3. Blasting'!AJ312,Leyenda!$B$39:$E$43,4,FALSE)</f>
        <v>3</v>
      </c>
      <c r="BJ312" s="67">
        <f>+VLOOKUP('3. Blasting'!AI312,Leyenda!$B$30:$E$34,4,FALSE)</f>
        <v>3</v>
      </c>
      <c r="BK312" s="67">
        <f>VLOOKUP(AN312,Leyenda!$B$71:$E$75,4,FALSE)</f>
        <v>10</v>
      </c>
      <c r="BL312" s="67">
        <f t="shared" si="120"/>
        <v>43</v>
      </c>
      <c r="BM312" s="18">
        <f t="shared" si="121"/>
        <v>48</v>
      </c>
      <c r="BN312" s="18"/>
      <c r="BO312" s="18"/>
      <c r="BP312">
        <f t="shared" si="122"/>
        <v>30</v>
      </c>
      <c r="BQ312">
        <f t="shared" si="123"/>
        <v>20</v>
      </c>
      <c r="BR312">
        <v>20</v>
      </c>
      <c r="BS312">
        <f t="shared" si="124"/>
        <v>-50</v>
      </c>
      <c r="BT312">
        <f t="shared" si="125"/>
        <v>0</v>
      </c>
      <c r="BU312">
        <f t="shared" si="126"/>
        <v>10</v>
      </c>
      <c r="BV312" s="1">
        <f t="shared" si="110"/>
        <v>0.04</v>
      </c>
      <c r="BW312" s="1">
        <f t="shared" si="111"/>
        <v>0</v>
      </c>
    </row>
    <row r="313" spans="1:75" hidden="1" x14ac:dyDescent="0.25">
      <c r="A313" s="18" t="s">
        <v>6</v>
      </c>
      <c r="B313" s="18">
        <v>2024</v>
      </c>
      <c r="C313" s="18" t="s">
        <v>138</v>
      </c>
      <c r="D313" s="18" t="s">
        <v>130</v>
      </c>
      <c r="E313" s="18">
        <v>20</v>
      </c>
      <c r="F313" s="18" t="s">
        <v>156</v>
      </c>
      <c r="G313" s="18" t="s">
        <v>182</v>
      </c>
      <c r="H313" s="4">
        <f t="shared" si="129"/>
        <v>39.5</v>
      </c>
      <c r="I313" s="4">
        <v>40</v>
      </c>
      <c r="J313" s="4">
        <f t="shared" si="112"/>
        <v>0.5</v>
      </c>
      <c r="K313" s="5">
        <v>1</v>
      </c>
      <c r="L313" s="31">
        <f t="shared" si="113"/>
        <v>0.5</v>
      </c>
      <c r="M313" s="31"/>
      <c r="N313" s="31"/>
      <c r="O313" s="31">
        <f t="shared" si="108"/>
        <v>0.5</v>
      </c>
      <c r="P313" s="31">
        <v>100</v>
      </c>
      <c r="Q313" s="31">
        <v>5</v>
      </c>
      <c r="R313" s="31">
        <v>0.47</v>
      </c>
      <c r="S313" s="31">
        <v>0.33</v>
      </c>
      <c r="T313" s="65">
        <f t="shared" si="127"/>
        <v>66</v>
      </c>
      <c r="U313" s="31">
        <v>2</v>
      </c>
      <c r="V313" s="31"/>
      <c r="W313" s="31">
        <f t="shared" si="106"/>
        <v>2</v>
      </c>
      <c r="X313" s="31">
        <f t="shared" si="107"/>
        <v>235</v>
      </c>
      <c r="Y313" s="31">
        <f t="shared" si="114"/>
        <v>0.23499999999999999</v>
      </c>
      <c r="Z313" s="18">
        <v>88</v>
      </c>
      <c r="AA313" s="18" t="s">
        <v>330</v>
      </c>
      <c r="AB313" s="18" t="s">
        <v>118</v>
      </c>
      <c r="AC313" s="18" t="s">
        <v>334</v>
      </c>
      <c r="AD313" s="18">
        <v>5</v>
      </c>
      <c r="AE313" s="18">
        <v>100</v>
      </c>
      <c r="AF313" s="18" t="s">
        <v>27</v>
      </c>
      <c r="AG313" s="18" t="s">
        <v>29</v>
      </c>
      <c r="AH313" s="18" t="s">
        <v>29</v>
      </c>
      <c r="AI313" s="18" t="s">
        <v>64</v>
      </c>
      <c r="AJ313" s="18" t="s">
        <v>77</v>
      </c>
      <c r="AK313" s="18" t="s">
        <v>96</v>
      </c>
      <c r="AL313" s="18" t="s">
        <v>107</v>
      </c>
      <c r="AM313" s="18" t="s">
        <v>118</v>
      </c>
      <c r="AN313" s="18" t="s">
        <v>198</v>
      </c>
      <c r="AO313" s="18"/>
      <c r="AP313" s="18"/>
      <c r="AQ313" s="18">
        <f>+VLOOKUP(AI313,Leyenda!$B$30:$E$34,3,FALSE)</f>
        <v>2</v>
      </c>
      <c r="AR313" s="18">
        <f>+VLOOKUP('3. Blasting'!AJ313,Meteorizacion,3,FALSE)</f>
        <v>3</v>
      </c>
      <c r="AS313" s="18">
        <f>+VLOOKUP('3. Blasting'!AK313,Apertura,3,FALSE)</f>
        <v>1</v>
      </c>
      <c r="AT313" s="18">
        <f>+VLOOKUP('3. Blasting'!AL313,Leyenda!$B$55:$D$59,3,FALSE)</f>
        <v>3</v>
      </c>
      <c r="AU313" s="18">
        <f>+VLOOKUP('3. Blasting'!AM313,Relleno,3,FALSE)</f>
        <v>2</v>
      </c>
      <c r="AV313" s="18">
        <f t="shared" si="128"/>
        <v>11</v>
      </c>
      <c r="AW313" s="49">
        <f t="shared" si="115"/>
        <v>18</v>
      </c>
      <c r="AX313" s="49">
        <f>VLOOKUP(AF313,Leyenda!$B$4:$D$10,3,FALSE)</f>
        <v>4</v>
      </c>
      <c r="AY313" s="50">
        <f t="shared" si="109"/>
        <v>7</v>
      </c>
      <c r="AZ313" s="49">
        <f t="shared" si="116"/>
        <v>11</v>
      </c>
      <c r="BA313" s="49">
        <f>VLOOKUP(AN313,Leyenda!$B$70:$D$75,3,FALSE)</f>
        <v>15</v>
      </c>
      <c r="BB313" s="67">
        <f t="shared" si="117"/>
        <v>49.5</v>
      </c>
      <c r="BC313" s="67">
        <f>VLOOKUP(AF313,Leyenda!$B$4:$E$10,4,FALSE)</f>
        <v>4</v>
      </c>
      <c r="BD313" s="67">
        <f t="shared" si="118"/>
        <v>13</v>
      </c>
      <c r="BE313" s="67">
        <f t="shared" si="119"/>
        <v>14</v>
      </c>
      <c r="BF313" s="67">
        <f>+VLOOKUP('3. Blasting'!AK313,Leyenda!$B$47:$E$51,4,FALSE)</f>
        <v>1</v>
      </c>
      <c r="BG313" s="67">
        <f>+VLOOKUP('3. Blasting'!AL313,Leyenda!$B$55:$E$59,4,FALSE)</f>
        <v>3</v>
      </c>
      <c r="BH313" s="67">
        <f>+VLOOKUP('3. Blasting'!AM313,Leyenda!$B$63:$E$67,3,FALSE)</f>
        <v>2</v>
      </c>
      <c r="BI313" s="67">
        <f>+VLOOKUP('3. Blasting'!AJ313,Leyenda!$B$39:$E$43,4,FALSE)</f>
        <v>3</v>
      </c>
      <c r="BJ313" s="67">
        <f>+VLOOKUP('3. Blasting'!AI313,Leyenda!$B$30:$E$34,4,FALSE)</f>
        <v>3</v>
      </c>
      <c r="BK313" s="67">
        <f>VLOOKUP(AN313,Leyenda!$B$71:$E$75,4,FALSE)</f>
        <v>10</v>
      </c>
      <c r="BL313" s="67">
        <f t="shared" si="120"/>
        <v>53</v>
      </c>
      <c r="BM313" s="18">
        <f t="shared" si="121"/>
        <v>55</v>
      </c>
      <c r="BN313" s="18"/>
      <c r="BO313" s="18"/>
      <c r="BP313">
        <f t="shared" si="122"/>
        <v>30</v>
      </c>
      <c r="BQ313">
        <f t="shared" si="123"/>
        <v>20</v>
      </c>
      <c r="BR313">
        <v>20</v>
      </c>
      <c r="BS313">
        <f t="shared" si="124"/>
        <v>-50</v>
      </c>
      <c r="BT313">
        <f t="shared" si="125"/>
        <v>0</v>
      </c>
      <c r="BU313">
        <f t="shared" si="126"/>
        <v>10</v>
      </c>
      <c r="BV313" s="1">
        <f t="shared" si="110"/>
        <v>0.04</v>
      </c>
      <c r="BW313" s="1">
        <f t="shared" si="111"/>
        <v>0</v>
      </c>
    </row>
    <row r="314" spans="1:75" hidden="1" x14ac:dyDescent="0.25">
      <c r="A314" s="18" t="s">
        <v>6</v>
      </c>
      <c r="B314" s="18">
        <v>2024</v>
      </c>
      <c r="C314" s="18" t="s">
        <v>138</v>
      </c>
      <c r="D314" s="18" t="s">
        <v>130</v>
      </c>
      <c r="E314" s="18">
        <v>20</v>
      </c>
      <c r="F314" s="18" t="s">
        <v>156</v>
      </c>
      <c r="G314" s="18" t="s">
        <v>182</v>
      </c>
      <c r="H314" s="4">
        <f t="shared" si="129"/>
        <v>40</v>
      </c>
      <c r="I314" s="4">
        <v>40.5</v>
      </c>
      <c r="J314" s="4">
        <f t="shared" si="112"/>
        <v>0.5</v>
      </c>
      <c r="K314" s="5">
        <v>1</v>
      </c>
      <c r="L314" s="31">
        <f t="shared" si="113"/>
        <v>0.5</v>
      </c>
      <c r="M314" s="31"/>
      <c r="N314" s="31"/>
      <c r="O314" s="31">
        <f t="shared" si="108"/>
        <v>0.5</v>
      </c>
      <c r="P314" s="31">
        <v>500</v>
      </c>
      <c r="Q314" s="31">
        <v>1</v>
      </c>
      <c r="R314" s="31">
        <v>0.46</v>
      </c>
      <c r="S314" s="31">
        <v>0.14000000000000001</v>
      </c>
      <c r="T314" s="65">
        <f t="shared" si="127"/>
        <v>28.000000000000004</v>
      </c>
      <c r="U314" s="31">
        <v>6</v>
      </c>
      <c r="V314" s="31"/>
      <c r="W314" s="31">
        <f t="shared" si="106"/>
        <v>6</v>
      </c>
      <c r="X314" s="31">
        <f t="shared" ref="X314:X377" si="130">+IF(R314=0,"",(R314*1000)/W314)</f>
        <v>76.666666666666671</v>
      </c>
      <c r="Y314" s="31">
        <f t="shared" si="114"/>
        <v>7.6666666666666675E-2</v>
      </c>
      <c r="Z314" s="18">
        <v>30</v>
      </c>
      <c r="AA314" s="18" t="s">
        <v>330</v>
      </c>
      <c r="AB314" s="18" t="s">
        <v>116</v>
      </c>
      <c r="AC314" s="18" t="s">
        <v>334</v>
      </c>
      <c r="AD314" s="18">
        <v>1</v>
      </c>
      <c r="AE314" s="18">
        <v>500</v>
      </c>
      <c r="AF314" s="18" t="s">
        <v>27</v>
      </c>
      <c r="AG314" s="18" t="s">
        <v>29</v>
      </c>
      <c r="AH314" s="18" t="s">
        <v>29</v>
      </c>
      <c r="AI314" s="18" t="s">
        <v>64</v>
      </c>
      <c r="AJ314" s="18" t="s">
        <v>77</v>
      </c>
      <c r="AK314" s="18" t="s">
        <v>96</v>
      </c>
      <c r="AL314" s="18" t="s">
        <v>107</v>
      </c>
      <c r="AM314" s="18" t="s">
        <v>118</v>
      </c>
      <c r="AN314" s="18" t="s">
        <v>198</v>
      </c>
      <c r="AO314" s="18"/>
      <c r="AP314" s="18"/>
      <c r="AQ314" s="18">
        <f>+VLOOKUP(AI314,Leyenda!$B$30:$E$34,3,FALSE)</f>
        <v>2</v>
      </c>
      <c r="AR314" s="18">
        <f>+VLOOKUP('3. Blasting'!AJ314,Meteorizacion,3,FALSE)</f>
        <v>3</v>
      </c>
      <c r="AS314" s="18">
        <f>+VLOOKUP('3. Blasting'!AK314,Apertura,3,FALSE)</f>
        <v>1</v>
      </c>
      <c r="AT314" s="18">
        <f>+VLOOKUP('3. Blasting'!AL314,Leyenda!$B$55:$D$59,3,FALSE)</f>
        <v>3</v>
      </c>
      <c r="AU314" s="18">
        <f>+VLOOKUP('3. Blasting'!AM314,Relleno,3,FALSE)</f>
        <v>2</v>
      </c>
      <c r="AV314" s="18">
        <f t="shared" si="128"/>
        <v>11</v>
      </c>
      <c r="AW314" s="49">
        <f t="shared" si="115"/>
        <v>6</v>
      </c>
      <c r="AX314" s="49">
        <f>VLOOKUP(AF314,Leyenda!$B$4:$D$10,3,FALSE)</f>
        <v>4</v>
      </c>
      <c r="AY314" s="50">
        <f t="shared" si="109"/>
        <v>12</v>
      </c>
      <c r="AZ314" s="49">
        <f t="shared" si="116"/>
        <v>11</v>
      </c>
      <c r="BA314" s="49">
        <f>VLOOKUP(AN314,Leyenda!$B$70:$D$75,3,FALSE)</f>
        <v>15</v>
      </c>
      <c r="BB314" s="67">
        <f t="shared" si="117"/>
        <v>30.5</v>
      </c>
      <c r="BC314" s="67">
        <f>VLOOKUP(AF314,Leyenda!$B$4:$E$10,4,FALSE)</f>
        <v>4</v>
      </c>
      <c r="BD314" s="67">
        <f t="shared" si="118"/>
        <v>7</v>
      </c>
      <c r="BE314" s="67">
        <f t="shared" si="119"/>
        <v>6</v>
      </c>
      <c r="BF314" s="67">
        <f>+VLOOKUP('3. Blasting'!AK314,Leyenda!$B$47:$E$51,4,FALSE)</f>
        <v>1</v>
      </c>
      <c r="BG314" s="67">
        <f>+VLOOKUP('3. Blasting'!AL314,Leyenda!$B$55:$E$59,4,FALSE)</f>
        <v>3</v>
      </c>
      <c r="BH314" s="67">
        <f>+VLOOKUP('3. Blasting'!AM314,Leyenda!$B$63:$E$67,3,FALSE)</f>
        <v>2</v>
      </c>
      <c r="BI314" s="67">
        <f>+VLOOKUP('3. Blasting'!AJ314,Leyenda!$B$39:$E$43,4,FALSE)</f>
        <v>3</v>
      </c>
      <c r="BJ314" s="67">
        <f>+VLOOKUP('3. Blasting'!AI314,Leyenda!$B$30:$E$34,4,FALSE)</f>
        <v>3</v>
      </c>
      <c r="BK314" s="67">
        <f>VLOOKUP(AN314,Leyenda!$B$71:$E$75,4,FALSE)</f>
        <v>10</v>
      </c>
      <c r="BL314" s="67">
        <f t="shared" si="120"/>
        <v>39</v>
      </c>
      <c r="BM314" s="18">
        <f t="shared" si="121"/>
        <v>48</v>
      </c>
      <c r="BN314" s="18"/>
      <c r="BO314" s="18"/>
      <c r="BP314">
        <f t="shared" si="122"/>
        <v>20</v>
      </c>
      <c r="BQ314">
        <f t="shared" si="123"/>
        <v>10</v>
      </c>
      <c r="BR314">
        <v>20</v>
      </c>
      <c r="BS314">
        <f t="shared" si="124"/>
        <v>-50</v>
      </c>
      <c r="BT314">
        <f t="shared" si="125"/>
        <v>0</v>
      </c>
      <c r="BU314">
        <f t="shared" si="126"/>
        <v>0</v>
      </c>
      <c r="BV314" s="1">
        <f t="shared" si="110"/>
        <v>0</v>
      </c>
      <c r="BW314" s="1">
        <f t="shared" si="111"/>
        <v>0</v>
      </c>
    </row>
    <row r="315" spans="1:75" hidden="1" x14ac:dyDescent="0.25">
      <c r="A315" s="18" t="s">
        <v>6</v>
      </c>
      <c r="B315" s="18">
        <v>2024</v>
      </c>
      <c r="C315" s="18" t="s">
        <v>138</v>
      </c>
      <c r="D315" s="18" t="s">
        <v>130</v>
      </c>
      <c r="E315" s="18">
        <v>20</v>
      </c>
      <c r="F315" s="18" t="s">
        <v>156</v>
      </c>
      <c r="G315" s="18" t="s">
        <v>182</v>
      </c>
      <c r="H315" s="4">
        <f t="shared" si="129"/>
        <v>40.5</v>
      </c>
      <c r="I315" s="4">
        <v>41</v>
      </c>
      <c r="J315" s="4">
        <f t="shared" si="112"/>
        <v>0.5</v>
      </c>
      <c r="K315" s="5">
        <v>1</v>
      </c>
      <c r="L315" s="31">
        <f t="shared" si="113"/>
        <v>0.5</v>
      </c>
      <c r="M315" s="31"/>
      <c r="N315" s="31"/>
      <c r="O315" s="31">
        <f t="shared" si="108"/>
        <v>0.5</v>
      </c>
      <c r="P315" s="31">
        <v>25</v>
      </c>
      <c r="Q315" s="31">
        <v>20</v>
      </c>
      <c r="R315" s="31">
        <v>0.5</v>
      </c>
      <c r="S315" s="31">
        <v>0</v>
      </c>
      <c r="T315" s="65">
        <f t="shared" si="127"/>
        <v>0</v>
      </c>
      <c r="U315" s="31">
        <v>8</v>
      </c>
      <c r="V315" s="31"/>
      <c r="W315" s="31">
        <f t="shared" si="106"/>
        <v>8</v>
      </c>
      <c r="X315" s="31">
        <f t="shared" si="130"/>
        <v>62.5</v>
      </c>
      <c r="Y315" s="31">
        <f t="shared" si="114"/>
        <v>6.25E-2</v>
      </c>
      <c r="Z315" s="18">
        <v>0</v>
      </c>
      <c r="AA315" s="18" t="s">
        <v>330</v>
      </c>
      <c r="AB315" s="18" t="s">
        <v>333</v>
      </c>
      <c r="AC315" s="18" t="s">
        <v>334</v>
      </c>
      <c r="AD315" s="18">
        <v>20</v>
      </c>
      <c r="AE315" s="18">
        <v>25</v>
      </c>
      <c r="AF315" s="18" t="s">
        <v>27</v>
      </c>
      <c r="AG315" s="18" t="s">
        <v>29</v>
      </c>
      <c r="AH315" s="18" t="s">
        <v>29</v>
      </c>
      <c r="AI315" s="18" t="s">
        <v>64</v>
      </c>
      <c r="AJ315" s="18" t="s">
        <v>77</v>
      </c>
      <c r="AK315" s="18" t="s">
        <v>96</v>
      </c>
      <c r="AL315" s="18" t="s">
        <v>107</v>
      </c>
      <c r="AM315" s="18" t="s">
        <v>118</v>
      </c>
      <c r="AN315" s="18" t="s">
        <v>198</v>
      </c>
      <c r="AO315" s="18"/>
      <c r="AP315" s="18"/>
      <c r="AQ315" s="18">
        <f>+VLOOKUP(AI315,Leyenda!$B$30:$E$34,3,FALSE)</f>
        <v>2</v>
      </c>
      <c r="AR315" s="18">
        <f>+VLOOKUP('3. Blasting'!AJ315,Meteorizacion,3,FALSE)</f>
        <v>3</v>
      </c>
      <c r="AS315" s="18">
        <f>+VLOOKUP('3. Blasting'!AK315,Apertura,3,FALSE)</f>
        <v>1</v>
      </c>
      <c r="AT315" s="18">
        <f>+VLOOKUP('3. Blasting'!AL315,Leyenda!$B$55:$D$59,3,FALSE)</f>
        <v>3</v>
      </c>
      <c r="AU315" s="18">
        <f>+VLOOKUP('3. Blasting'!AM315,Relleno,3,FALSE)</f>
        <v>2</v>
      </c>
      <c r="AV315" s="18">
        <f t="shared" si="128"/>
        <v>11</v>
      </c>
      <c r="AW315" s="49">
        <f t="shared" si="115"/>
        <v>0</v>
      </c>
      <c r="AX315" s="49">
        <f>VLOOKUP(AF315,Leyenda!$B$4:$D$10,3,FALSE)</f>
        <v>4</v>
      </c>
      <c r="AY315" s="50">
        <f t="shared" si="109"/>
        <v>5</v>
      </c>
      <c r="AZ315" s="49">
        <f t="shared" si="116"/>
        <v>11</v>
      </c>
      <c r="BA315" s="49">
        <f>VLOOKUP(AN315,Leyenda!$B$70:$D$75,3,FALSE)</f>
        <v>15</v>
      </c>
      <c r="BB315" s="67">
        <f t="shared" si="117"/>
        <v>16.5</v>
      </c>
      <c r="BC315" s="67">
        <f>VLOOKUP(AF315,Leyenda!$B$4:$E$10,4,FALSE)</f>
        <v>4</v>
      </c>
      <c r="BD315" s="67">
        <f t="shared" si="118"/>
        <v>5</v>
      </c>
      <c r="BE315" s="67">
        <f t="shared" si="119"/>
        <v>0</v>
      </c>
      <c r="BF315" s="67">
        <f>+VLOOKUP('3. Blasting'!AK315,Leyenda!$B$47:$E$51,4,FALSE)</f>
        <v>1</v>
      </c>
      <c r="BG315" s="67">
        <f>+VLOOKUP('3. Blasting'!AL315,Leyenda!$B$55:$E$59,4,FALSE)</f>
        <v>3</v>
      </c>
      <c r="BH315" s="67">
        <f>+VLOOKUP('3. Blasting'!AM315,Leyenda!$B$63:$E$67,3,FALSE)</f>
        <v>2</v>
      </c>
      <c r="BI315" s="67">
        <f>+VLOOKUP('3. Blasting'!AJ315,Leyenda!$B$39:$E$43,4,FALSE)</f>
        <v>3</v>
      </c>
      <c r="BJ315" s="67">
        <f>+VLOOKUP('3. Blasting'!AI315,Leyenda!$B$30:$E$34,4,FALSE)</f>
        <v>3</v>
      </c>
      <c r="BK315" s="67">
        <f>VLOOKUP(AN315,Leyenda!$B$71:$E$75,4,FALSE)</f>
        <v>10</v>
      </c>
      <c r="BL315" s="67">
        <f t="shared" si="120"/>
        <v>31</v>
      </c>
      <c r="BM315" s="18">
        <f t="shared" si="121"/>
        <v>35</v>
      </c>
      <c r="BN315" s="18"/>
      <c r="BO315" s="18"/>
      <c r="BP315">
        <f t="shared" si="122"/>
        <v>20</v>
      </c>
      <c r="BQ315">
        <f t="shared" si="123"/>
        <v>10</v>
      </c>
      <c r="BR315">
        <v>20</v>
      </c>
      <c r="BS315">
        <f t="shared" si="124"/>
        <v>-50</v>
      </c>
      <c r="BT315">
        <f t="shared" si="125"/>
        <v>0</v>
      </c>
      <c r="BU315">
        <f t="shared" si="126"/>
        <v>0</v>
      </c>
      <c r="BV315" s="1">
        <f t="shared" si="110"/>
        <v>0</v>
      </c>
      <c r="BW315" s="1">
        <f t="shared" si="111"/>
        <v>0</v>
      </c>
    </row>
    <row r="316" spans="1:75" hidden="1" x14ac:dyDescent="0.25">
      <c r="A316" s="18" t="s">
        <v>6</v>
      </c>
      <c r="B316" s="18">
        <v>2024</v>
      </c>
      <c r="C316" s="18" t="s">
        <v>138</v>
      </c>
      <c r="D316" s="18" t="s">
        <v>130</v>
      </c>
      <c r="E316" s="18">
        <v>20</v>
      </c>
      <c r="F316" s="18" t="s">
        <v>156</v>
      </c>
      <c r="G316" s="18" t="s">
        <v>182</v>
      </c>
      <c r="H316" s="4">
        <f t="shared" si="129"/>
        <v>41</v>
      </c>
      <c r="I316" s="4">
        <v>41.5</v>
      </c>
      <c r="J316" s="4">
        <f t="shared" si="112"/>
        <v>0.5</v>
      </c>
      <c r="K316" s="5">
        <v>1</v>
      </c>
      <c r="L316" s="31">
        <f t="shared" si="113"/>
        <v>0.5</v>
      </c>
      <c r="M316" s="31"/>
      <c r="N316" s="31"/>
      <c r="O316" s="31">
        <f t="shared" si="108"/>
        <v>0.5</v>
      </c>
      <c r="P316" s="31">
        <v>100</v>
      </c>
      <c r="Q316" s="31">
        <v>5</v>
      </c>
      <c r="R316" s="31">
        <v>0.45</v>
      </c>
      <c r="S316" s="31">
        <v>0.37</v>
      </c>
      <c r="T316" s="65">
        <f t="shared" si="127"/>
        <v>74</v>
      </c>
      <c r="U316" s="31">
        <v>3</v>
      </c>
      <c r="V316" s="31"/>
      <c r="W316" s="31">
        <f t="shared" si="106"/>
        <v>3</v>
      </c>
      <c r="X316" s="31">
        <f t="shared" si="130"/>
        <v>150</v>
      </c>
      <c r="Y316" s="31">
        <f t="shared" si="114"/>
        <v>0.15</v>
      </c>
      <c r="Z316" s="18">
        <v>86</v>
      </c>
      <c r="AA316" s="18" t="s">
        <v>330</v>
      </c>
      <c r="AB316" s="18" t="s">
        <v>118</v>
      </c>
      <c r="AC316" s="18" t="s">
        <v>334</v>
      </c>
      <c r="AD316" s="18">
        <v>5</v>
      </c>
      <c r="AE316" s="18">
        <v>100</v>
      </c>
      <c r="AF316" s="18" t="s">
        <v>27</v>
      </c>
      <c r="AG316" s="18" t="s">
        <v>29</v>
      </c>
      <c r="AH316" s="18" t="s">
        <v>29</v>
      </c>
      <c r="AI316" s="18" t="s">
        <v>64</v>
      </c>
      <c r="AJ316" s="18" t="s">
        <v>77</v>
      </c>
      <c r="AK316" s="18" t="s">
        <v>96</v>
      </c>
      <c r="AL316" s="18" t="s">
        <v>107</v>
      </c>
      <c r="AM316" s="18" t="s">
        <v>118</v>
      </c>
      <c r="AN316" s="18" t="s">
        <v>198</v>
      </c>
      <c r="AO316" s="18" t="s">
        <v>262</v>
      </c>
      <c r="AP316" s="18"/>
      <c r="AQ316" s="18">
        <f>+VLOOKUP(AI316,Leyenda!$B$30:$E$34,3,FALSE)</f>
        <v>2</v>
      </c>
      <c r="AR316" s="18">
        <f>+VLOOKUP('3. Blasting'!AJ316,Meteorizacion,3,FALSE)</f>
        <v>3</v>
      </c>
      <c r="AS316" s="18">
        <f>+VLOOKUP('3. Blasting'!AK316,Apertura,3,FALSE)</f>
        <v>1</v>
      </c>
      <c r="AT316" s="18">
        <f>+VLOOKUP('3. Blasting'!AL316,Leyenda!$B$55:$D$59,3,FALSE)</f>
        <v>3</v>
      </c>
      <c r="AU316" s="18">
        <f>+VLOOKUP('3. Blasting'!AM316,Relleno,3,FALSE)</f>
        <v>2</v>
      </c>
      <c r="AV316" s="18">
        <f t="shared" si="128"/>
        <v>11</v>
      </c>
      <c r="AW316" s="49">
        <f t="shared" si="115"/>
        <v>17</v>
      </c>
      <c r="AX316" s="49">
        <f>VLOOKUP(AF316,Leyenda!$B$4:$D$10,3,FALSE)</f>
        <v>4</v>
      </c>
      <c r="AY316" s="50">
        <f t="shared" si="109"/>
        <v>7</v>
      </c>
      <c r="AZ316" s="49">
        <f t="shared" si="116"/>
        <v>11</v>
      </c>
      <c r="BA316" s="49">
        <f>VLOOKUP(AN316,Leyenda!$B$70:$D$75,3,FALSE)</f>
        <v>15</v>
      </c>
      <c r="BB316" s="67">
        <f t="shared" si="117"/>
        <v>53.5</v>
      </c>
      <c r="BC316" s="67">
        <f>VLOOKUP(AF316,Leyenda!$B$4:$E$10,4,FALSE)</f>
        <v>4</v>
      </c>
      <c r="BD316" s="67">
        <f t="shared" si="118"/>
        <v>11</v>
      </c>
      <c r="BE316" s="67">
        <f t="shared" si="119"/>
        <v>15</v>
      </c>
      <c r="BF316" s="67">
        <f>+VLOOKUP('3. Blasting'!AK316,Leyenda!$B$47:$E$51,4,FALSE)</f>
        <v>1</v>
      </c>
      <c r="BG316" s="67">
        <f>+VLOOKUP('3. Blasting'!AL316,Leyenda!$B$55:$E$59,4,FALSE)</f>
        <v>3</v>
      </c>
      <c r="BH316" s="67">
        <f>+VLOOKUP('3. Blasting'!AM316,Leyenda!$B$63:$E$67,3,FALSE)</f>
        <v>2</v>
      </c>
      <c r="BI316" s="67">
        <f>+VLOOKUP('3. Blasting'!AJ316,Leyenda!$B$39:$E$43,4,FALSE)</f>
        <v>3</v>
      </c>
      <c r="BJ316" s="67">
        <f>+VLOOKUP('3. Blasting'!AI316,Leyenda!$B$30:$E$34,4,FALSE)</f>
        <v>3</v>
      </c>
      <c r="BK316" s="67">
        <f>VLOOKUP(AN316,Leyenda!$B$71:$E$75,4,FALSE)</f>
        <v>10</v>
      </c>
      <c r="BL316" s="67">
        <f t="shared" si="120"/>
        <v>52</v>
      </c>
      <c r="BM316" s="18">
        <f t="shared" si="121"/>
        <v>54</v>
      </c>
      <c r="BN316" s="18"/>
      <c r="BO316" s="18"/>
      <c r="BP316">
        <f t="shared" si="122"/>
        <v>30</v>
      </c>
      <c r="BQ316">
        <f t="shared" si="123"/>
        <v>20</v>
      </c>
      <c r="BR316">
        <v>20</v>
      </c>
      <c r="BS316">
        <f t="shared" si="124"/>
        <v>-50</v>
      </c>
      <c r="BT316">
        <f t="shared" si="125"/>
        <v>0</v>
      </c>
      <c r="BU316">
        <f t="shared" si="126"/>
        <v>10</v>
      </c>
      <c r="BV316" s="1">
        <f t="shared" si="110"/>
        <v>0.04</v>
      </c>
      <c r="BW316" s="1">
        <f t="shared" si="111"/>
        <v>0</v>
      </c>
    </row>
    <row r="317" spans="1:75" hidden="1" x14ac:dyDescent="0.25">
      <c r="A317" s="18" t="s">
        <v>6</v>
      </c>
      <c r="B317" s="18">
        <v>2024</v>
      </c>
      <c r="C317" s="18" t="s">
        <v>138</v>
      </c>
      <c r="D317" s="18" t="s">
        <v>130</v>
      </c>
      <c r="E317" s="18">
        <v>20</v>
      </c>
      <c r="F317" s="18" t="s">
        <v>156</v>
      </c>
      <c r="G317" s="18" t="s">
        <v>182</v>
      </c>
      <c r="H317" s="4">
        <f t="shared" si="129"/>
        <v>41.5</v>
      </c>
      <c r="I317" s="4">
        <v>42</v>
      </c>
      <c r="J317" s="4">
        <f t="shared" si="112"/>
        <v>0.5</v>
      </c>
      <c r="K317" s="5">
        <v>1</v>
      </c>
      <c r="L317" s="31">
        <f t="shared" si="113"/>
        <v>0.5</v>
      </c>
      <c r="M317" s="31"/>
      <c r="N317" s="31"/>
      <c r="O317" s="31">
        <f t="shared" si="108"/>
        <v>0.5</v>
      </c>
      <c r="P317" s="31">
        <v>500</v>
      </c>
      <c r="Q317" s="31">
        <v>1</v>
      </c>
      <c r="R317" s="31">
        <v>0.47</v>
      </c>
      <c r="S317" s="31">
        <v>0.27</v>
      </c>
      <c r="T317" s="65">
        <f t="shared" si="127"/>
        <v>54</v>
      </c>
      <c r="U317" s="31">
        <v>3</v>
      </c>
      <c r="V317" s="31"/>
      <c r="W317" s="31">
        <f t="shared" si="106"/>
        <v>3</v>
      </c>
      <c r="X317" s="31">
        <f t="shared" si="130"/>
        <v>156.66666666666666</v>
      </c>
      <c r="Y317" s="31">
        <f t="shared" si="114"/>
        <v>0.15666666666666665</v>
      </c>
      <c r="Z317" s="18">
        <v>76</v>
      </c>
      <c r="AA317" s="18" t="s">
        <v>330</v>
      </c>
      <c r="AB317" s="18" t="s">
        <v>116</v>
      </c>
      <c r="AC317" s="18" t="s">
        <v>334</v>
      </c>
      <c r="AD317" s="18">
        <v>1</v>
      </c>
      <c r="AE317" s="18">
        <v>500</v>
      </c>
      <c r="AF317" s="18" t="s">
        <v>27</v>
      </c>
      <c r="AG317" s="18" t="s">
        <v>29</v>
      </c>
      <c r="AH317" s="18" t="s">
        <v>29</v>
      </c>
      <c r="AI317" s="18" t="s">
        <v>64</v>
      </c>
      <c r="AJ317" s="18" t="s">
        <v>77</v>
      </c>
      <c r="AK317" s="18" t="s">
        <v>96</v>
      </c>
      <c r="AL317" s="18" t="s">
        <v>107</v>
      </c>
      <c r="AM317" s="18" t="s">
        <v>118</v>
      </c>
      <c r="AN317" s="18" t="s">
        <v>198</v>
      </c>
      <c r="AO317" s="18"/>
      <c r="AP317" s="18"/>
      <c r="AQ317" s="18">
        <f>+VLOOKUP(AI317,Leyenda!$B$30:$E$34,3,FALSE)</f>
        <v>2</v>
      </c>
      <c r="AR317" s="18">
        <f>+VLOOKUP('3. Blasting'!AJ317,Meteorizacion,3,FALSE)</f>
        <v>3</v>
      </c>
      <c r="AS317" s="18">
        <f>+VLOOKUP('3. Blasting'!AK317,Apertura,3,FALSE)</f>
        <v>1</v>
      </c>
      <c r="AT317" s="18">
        <f>+VLOOKUP('3. Blasting'!AL317,Leyenda!$B$55:$D$59,3,FALSE)</f>
        <v>3</v>
      </c>
      <c r="AU317" s="18">
        <f>+VLOOKUP('3. Blasting'!AM317,Relleno,3,FALSE)</f>
        <v>2</v>
      </c>
      <c r="AV317" s="18">
        <f t="shared" si="128"/>
        <v>11</v>
      </c>
      <c r="AW317" s="49">
        <f t="shared" si="115"/>
        <v>16</v>
      </c>
      <c r="AX317" s="49">
        <f>VLOOKUP(AF317,Leyenda!$B$4:$D$10,3,FALSE)</f>
        <v>4</v>
      </c>
      <c r="AY317" s="50">
        <f t="shared" si="109"/>
        <v>12</v>
      </c>
      <c r="AZ317" s="49">
        <f t="shared" si="116"/>
        <v>11</v>
      </c>
      <c r="BA317" s="49">
        <f>VLOOKUP(AN317,Leyenda!$B$70:$D$75,3,FALSE)</f>
        <v>15</v>
      </c>
      <c r="BB317" s="67">
        <f t="shared" si="117"/>
        <v>43.5</v>
      </c>
      <c r="BC317" s="67">
        <f>VLOOKUP(AF317,Leyenda!$B$4:$E$10,4,FALSE)</f>
        <v>4</v>
      </c>
      <c r="BD317" s="67">
        <f t="shared" si="118"/>
        <v>11</v>
      </c>
      <c r="BE317" s="67">
        <f t="shared" si="119"/>
        <v>11</v>
      </c>
      <c r="BF317" s="67">
        <f>+VLOOKUP('3. Blasting'!AK317,Leyenda!$B$47:$E$51,4,FALSE)</f>
        <v>1</v>
      </c>
      <c r="BG317" s="67">
        <f>+VLOOKUP('3. Blasting'!AL317,Leyenda!$B$55:$E$59,4,FALSE)</f>
        <v>3</v>
      </c>
      <c r="BH317" s="67">
        <f>+VLOOKUP('3. Blasting'!AM317,Leyenda!$B$63:$E$67,3,FALSE)</f>
        <v>2</v>
      </c>
      <c r="BI317" s="67">
        <f>+VLOOKUP('3. Blasting'!AJ317,Leyenda!$B$39:$E$43,4,FALSE)</f>
        <v>3</v>
      </c>
      <c r="BJ317" s="67">
        <f>+VLOOKUP('3. Blasting'!AI317,Leyenda!$B$30:$E$34,4,FALSE)</f>
        <v>3</v>
      </c>
      <c r="BK317" s="67">
        <f>VLOOKUP(AN317,Leyenda!$B$71:$E$75,4,FALSE)</f>
        <v>10</v>
      </c>
      <c r="BL317" s="67">
        <f t="shared" si="120"/>
        <v>48</v>
      </c>
      <c r="BM317" s="18">
        <f t="shared" si="121"/>
        <v>58</v>
      </c>
      <c r="BN317" s="18"/>
      <c r="BO317" s="18"/>
      <c r="BP317">
        <f t="shared" si="122"/>
        <v>30</v>
      </c>
      <c r="BQ317">
        <f t="shared" si="123"/>
        <v>20</v>
      </c>
      <c r="BR317">
        <v>20</v>
      </c>
      <c r="BS317">
        <f t="shared" si="124"/>
        <v>-50</v>
      </c>
      <c r="BT317">
        <f t="shared" si="125"/>
        <v>0</v>
      </c>
      <c r="BU317">
        <f t="shared" si="126"/>
        <v>10</v>
      </c>
      <c r="BV317" s="1">
        <f t="shared" si="110"/>
        <v>0.04</v>
      </c>
      <c r="BW317" s="1">
        <f t="shared" si="111"/>
        <v>0</v>
      </c>
    </row>
    <row r="318" spans="1:75" hidden="1" x14ac:dyDescent="0.25">
      <c r="A318" s="18" t="s">
        <v>6</v>
      </c>
      <c r="B318" s="18">
        <v>2024</v>
      </c>
      <c r="C318" s="18" t="s">
        <v>138</v>
      </c>
      <c r="D318" s="18" t="s">
        <v>130</v>
      </c>
      <c r="E318" s="18">
        <v>20</v>
      </c>
      <c r="F318" s="18" t="s">
        <v>156</v>
      </c>
      <c r="G318" s="18" t="s">
        <v>182</v>
      </c>
      <c r="H318" s="4">
        <f t="shared" si="129"/>
        <v>42</v>
      </c>
      <c r="I318" s="4">
        <v>42.5</v>
      </c>
      <c r="J318" s="4">
        <f t="shared" si="112"/>
        <v>0.5</v>
      </c>
      <c r="K318" s="5">
        <v>1</v>
      </c>
      <c r="L318" s="31">
        <f t="shared" si="113"/>
        <v>0.5</v>
      </c>
      <c r="M318" s="31"/>
      <c r="N318" s="31"/>
      <c r="O318" s="31">
        <f t="shared" si="108"/>
        <v>0.5</v>
      </c>
      <c r="P318" s="31">
        <v>500</v>
      </c>
      <c r="Q318" s="31">
        <v>1</v>
      </c>
      <c r="R318" s="31">
        <v>0.33</v>
      </c>
      <c r="S318" s="31">
        <v>0.21</v>
      </c>
      <c r="T318" s="65">
        <f t="shared" si="127"/>
        <v>42</v>
      </c>
      <c r="U318" s="31">
        <v>3</v>
      </c>
      <c r="V318" s="31"/>
      <c r="W318" s="31">
        <f t="shared" si="106"/>
        <v>3</v>
      </c>
      <c r="X318" s="31">
        <f t="shared" si="130"/>
        <v>110</v>
      </c>
      <c r="Y318" s="31">
        <f t="shared" si="114"/>
        <v>0.11</v>
      </c>
      <c r="Z318" s="18">
        <v>42</v>
      </c>
      <c r="AA318" s="18" t="s">
        <v>330</v>
      </c>
      <c r="AB318" s="18" t="s">
        <v>116</v>
      </c>
      <c r="AC318" s="18" t="s">
        <v>334</v>
      </c>
      <c r="AD318" s="18">
        <v>1</v>
      </c>
      <c r="AE318" s="18">
        <v>500</v>
      </c>
      <c r="AF318" s="18" t="s">
        <v>27</v>
      </c>
      <c r="AG318" s="18" t="s">
        <v>32</v>
      </c>
      <c r="AH318" s="18" t="s">
        <v>32</v>
      </c>
      <c r="AI318" s="18" t="s">
        <v>64</v>
      </c>
      <c r="AJ318" s="18" t="s">
        <v>79</v>
      </c>
      <c r="AK318" s="18" t="s">
        <v>96</v>
      </c>
      <c r="AL318" s="18" t="s">
        <v>107</v>
      </c>
      <c r="AM318" s="18" t="s">
        <v>120</v>
      </c>
      <c r="AN318" s="18" t="s">
        <v>198</v>
      </c>
      <c r="AO318" s="18"/>
      <c r="AP318" s="18"/>
      <c r="AQ318" s="18">
        <f>+VLOOKUP(AI318,Leyenda!$B$30:$E$34,3,FALSE)</f>
        <v>2</v>
      </c>
      <c r="AR318" s="18">
        <f>+VLOOKUP('3. Blasting'!AJ318,Meteorizacion,3,FALSE)</f>
        <v>1</v>
      </c>
      <c r="AS318" s="18">
        <f>+VLOOKUP('3. Blasting'!AK318,Apertura,3,FALSE)</f>
        <v>1</v>
      </c>
      <c r="AT318" s="18">
        <f>+VLOOKUP('3. Blasting'!AL318,Leyenda!$B$55:$D$59,3,FALSE)</f>
        <v>3</v>
      </c>
      <c r="AU318" s="18">
        <f>+VLOOKUP('3. Blasting'!AM318,Relleno,3,FALSE)</f>
        <v>2</v>
      </c>
      <c r="AV318" s="18">
        <f t="shared" si="128"/>
        <v>9</v>
      </c>
      <c r="AW318" s="49">
        <f t="shared" si="115"/>
        <v>9</v>
      </c>
      <c r="AX318" s="49">
        <f>VLOOKUP(AF318,Leyenda!$B$4:$D$10,3,FALSE)</f>
        <v>4</v>
      </c>
      <c r="AY318" s="50">
        <f t="shared" si="109"/>
        <v>12</v>
      </c>
      <c r="AZ318" s="49">
        <f t="shared" si="116"/>
        <v>9</v>
      </c>
      <c r="BA318" s="49">
        <f>VLOOKUP(AN318,Leyenda!$B$70:$D$75,3,FALSE)</f>
        <v>15</v>
      </c>
      <c r="BB318" s="67">
        <f t="shared" si="117"/>
        <v>34.5</v>
      </c>
      <c r="BC318" s="67">
        <f>VLOOKUP(AF318,Leyenda!$B$4:$E$10,4,FALSE)</f>
        <v>4</v>
      </c>
      <c r="BD318" s="67">
        <f t="shared" si="118"/>
        <v>9</v>
      </c>
      <c r="BE318" s="67">
        <f t="shared" si="119"/>
        <v>9</v>
      </c>
      <c r="BF318" s="67">
        <f>+VLOOKUP('3. Blasting'!AK318,Leyenda!$B$47:$E$51,4,FALSE)</f>
        <v>1</v>
      </c>
      <c r="BG318" s="67">
        <f>+VLOOKUP('3. Blasting'!AL318,Leyenda!$B$55:$E$59,4,FALSE)</f>
        <v>3</v>
      </c>
      <c r="BH318" s="67">
        <f>+VLOOKUP('3. Blasting'!AM318,Leyenda!$B$63:$E$67,3,FALSE)</f>
        <v>2</v>
      </c>
      <c r="BI318" s="67">
        <f>+VLOOKUP('3. Blasting'!AJ318,Leyenda!$B$39:$E$43,4,FALSE)</f>
        <v>1</v>
      </c>
      <c r="BJ318" s="67">
        <f>+VLOOKUP('3. Blasting'!AI318,Leyenda!$B$30:$E$34,4,FALSE)</f>
        <v>3</v>
      </c>
      <c r="BK318" s="67">
        <f>VLOOKUP(AN318,Leyenda!$B$71:$E$75,4,FALSE)</f>
        <v>10</v>
      </c>
      <c r="BL318" s="67">
        <f t="shared" si="120"/>
        <v>42</v>
      </c>
      <c r="BM318" s="18">
        <f t="shared" si="121"/>
        <v>49</v>
      </c>
      <c r="BN318" s="18"/>
      <c r="BO318" s="18"/>
      <c r="BP318">
        <f t="shared" si="122"/>
        <v>30</v>
      </c>
      <c r="BQ318">
        <f t="shared" si="123"/>
        <v>20</v>
      </c>
      <c r="BR318">
        <v>20</v>
      </c>
      <c r="BS318">
        <f t="shared" si="124"/>
        <v>-50</v>
      </c>
      <c r="BT318">
        <f t="shared" si="125"/>
        <v>0</v>
      </c>
      <c r="BU318">
        <f t="shared" si="126"/>
        <v>10</v>
      </c>
      <c r="BV318" s="1">
        <f t="shared" si="110"/>
        <v>0.04</v>
      </c>
      <c r="BW318" s="1">
        <f t="shared" si="111"/>
        <v>0</v>
      </c>
    </row>
    <row r="319" spans="1:75" hidden="1" x14ac:dyDescent="0.25">
      <c r="A319" s="18" t="s">
        <v>6</v>
      </c>
      <c r="B319" s="18">
        <v>2024</v>
      </c>
      <c r="C319" s="18" t="s">
        <v>138</v>
      </c>
      <c r="D319" s="18" t="s">
        <v>130</v>
      </c>
      <c r="E319" s="18">
        <v>20</v>
      </c>
      <c r="F319" s="18" t="s">
        <v>156</v>
      </c>
      <c r="G319" s="18" t="s">
        <v>183</v>
      </c>
      <c r="H319" s="4">
        <f t="shared" si="129"/>
        <v>42.5</v>
      </c>
      <c r="I319" s="4">
        <v>43</v>
      </c>
      <c r="J319" s="4">
        <f t="shared" si="112"/>
        <v>0.5</v>
      </c>
      <c r="K319" s="5">
        <v>1</v>
      </c>
      <c r="L319" s="31">
        <f t="shared" si="113"/>
        <v>0.5</v>
      </c>
      <c r="M319" s="31"/>
      <c r="N319" s="31"/>
      <c r="O319" s="31">
        <f t="shared" si="108"/>
        <v>0.5</v>
      </c>
      <c r="P319" s="31">
        <v>25</v>
      </c>
      <c r="Q319" s="31">
        <v>20</v>
      </c>
      <c r="R319" s="31">
        <v>0.46</v>
      </c>
      <c r="S319" s="31">
        <v>0.12</v>
      </c>
      <c r="T319" s="65">
        <f t="shared" si="127"/>
        <v>24</v>
      </c>
      <c r="U319" s="31">
        <v>8</v>
      </c>
      <c r="V319" s="31"/>
      <c r="W319" s="31">
        <f t="shared" si="106"/>
        <v>8</v>
      </c>
      <c r="X319" s="31">
        <f t="shared" si="130"/>
        <v>57.5</v>
      </c>
      <c r="Y319" s="31">
        <f t="shared" si="114"/>
        <v>5.7500000000000002E-2</v>
      </c>
      <c r="Z319" s="18">
        <v>0</v>
      </c>
      <c r="AA319" s="18" t="s">
        <v>330</v>
      </c>
      <c r="AB319" s="18" t="s">
        <v>333</v>
      </c>
      <c r="AC319" s="18" t="s">
        <v>335</v>
      </c>
      <c r="AD319" s="18">
        <v>20</v>
      </c>
      <c r="AE319" s="18">
        <v>25</v>
      </c>
      <c r="AF319" s="18" t="s">
        <v>34</v>
      </c>
      <c r="AG319" s="18" t="s">
        <v>34</v>
      </c>
      <c r="AH319" s="18" t="s">
        <v>34</v>
      </c>
      <c r="AI319" s="18" t="s">
        <v>66</v>
      </c>
      <c r="AJ319" s="18" t="s">
        <v>79</v>
      </c>
      <c r="AK319" s="18" t="s">
        <v>96</v>
      </c>
      <c r="AL319" s="18" t="s">
        <v>109</v>
      </c>
      <c r="AM319" s="18" t="s">
        <v>122</v>
      </c>
      <c r="AN319" s="18" t="s">
        <v>198</v>
      </c>
      <c r="AO319" s="18" t="s">
        <v>263</v>
      </c>
      <c r="AP319" s="18"/>
      <c r="AQ319" s="18">
        <f>+VLOOKUP(AI319,Leyenda!$B$30:$E$34,3,FALSE)</f>
        <v>1</v>
      </c>
      <c r="AR319" s="18">
        <f>+VLOOKUP('3. Blasting'!AJ319,Meteorizacion,3,FALSE)</f>
        <v>1</v>
      </c>
      <c r="AS319" s="18">
        <f>+VLOOKUP('3. Blasting'!AK319,Apertura,3,FALSE)</f>
        <v>1</v>
      </c>
      <c r="AT319" s="18">
        <f>+VLOOKUP('3. Blasting'!AL319,Leyenda!$B$55:$D$59,3,FALSE)</f>
        <v>1</v>
      </c>
      <c r="AU319" s="18">
        <f>+VLOOKUP('3. Blasting'!AM319,Relleno,3,FALSE)</f>
        <v>0</v>
      </c>
      <c r="AV319" s="18">
        <f t="shared" si="128"/>
        <v>4</v>
      </c>
      <c r="AW319" s="49">
        <f t="shared" si="115"/>
        <v>0</v>
      </c>
      <c r="AX319" s="49">
        <f>VLOOKUP(AF319,Leyenda!$B$4:$D$10,3,FALSE)</f>
        <v>0</v>
      </c>
      <c r="AY319" s="50">
        <f t="shared" si="109"/>
        <v>5</v>
      </c>
      <c r="AZ319" s="49">
        <f t="shared" si="116"/>
        <v>4</v>
      </c>
      <c r="BA319" s="49">
        <f>VLOOKUP(AN319,Leyenda!$B$70:$D$75,3,FALSE)</f>
        <v>15</v>
      </c>
      <c r="BB319" s="67">
        <f t="shared" si="117"/>
        <v>18</v>
      </c>
      <c r="BC319" s="67">
        <f>VLOOKUP(AF319,Leyenda!$B$4:$E$10,4,FALSE)</f>
        <v>0</v>
      </c>
      <c r="BD319" s="67">
        <f t="shared" si="118"/>
        <v>5</v>
      </c>
      <c r="BE319" s="67">
        <f t="shared" si="119"/>
        <v>5</v>
      </c>
      <c r="BF319" s="67">
        <f>+VLOOKUP('3. Blasting'!AK319,Leyenda!$B$47:$E$51,4,FALSE)</f>
        <v>1</v>
      </c>
      <c r="BG319" s="67">
        <f>+VLOOKUP('3. Blasting'!AL319,Leyenda!$B$55:$E$59,4,FALSE)</f>
        <v>1</v>
      </c>
      <c r="BH319" s="67">
        <f>+VLOOKUP('3. Blasting'!AM319,Leyenda!$B$63:$E$67,3,FALSE)</f>
        <v>0</v>
      </c>
      <c r="BI319" s="67">
        <f>+VLOOKUP('3. Blasting'!AJ319,Leyenda!$B$39:$E$43,4,FALSE)</f>
        <v>1</v>
      </c>
      <c r="BJ319" s="67">
        <f>+VLOOKUP('3. Blasting'!AI319,Leyenda!$B$30:$E$34,4,FALSE)</f>
        <v>1</v>
      </c>
      <c r="BK319" s="67">
        <f>VLOOKUP(AN319,Leyenda!$B$71:$E$75,4,FALSE)</f>
        <v>10</v>
      </c>
      <c r="BL319" s="67">
        <f t="shared" si="120"/>
        <v>24</v>
      </c>
      <c r="BM319" s="18">
        <f t="shared" si="121"/>
        <v>24</v>
      </c>
      <c r="BN319" s="18"/>
      <c r="BO319" s="18"/>
      <c r="BP319">
        <f t="shared" si="122"/>
        <v>10</v>
      </c>
      <c r="BQ319">
        <f t="shared" si="123"/>
        <v>10</v>
      </c>
      <c r="BR319">
        <v>20</v>
      </c>
      <c r="BS319">
        <f t="shared" si="124"/>
        <v>-50</v>
      </c>
      <c r="BT319">
        <f t="shared" si="125"/>
        <v>0</v>
      </c>
      <c r="BU319">
        <f t="shared" si="126"/>
        <v>-5</v>
      </c>
      <c r="BV319" s="1">
        <f t="shared" si="110"/>
        <v>-0.02</v>
      </c>
      <c r="BW319" s="1">
        <f t="shared" si="111"/>
        <v>0</v>
      </c>
    </row>
    <row r="320" spans="1:75" hidden="1" x14ac:dyDescent="0.25">
      <c r="A320" s="18" t="s">
        <v>6</v>
      </c>
      <c r="B320" s="18">
        <v>2024</v>
      </c>
      <c r="C320" s="18" t="s">
        <v>138</v>
      </c>
      <c r="D320" s="18" t="s">
        <v>130</v>
      </c>
      <c r="E320" s="18">
        <v>20</v>
      </c>
      <c r="F320" s="18" t="s">
        <v>156</v>
      </c>
      <c r="G320" s="18" t="s">
        <v>183</v>
      </c>
      <c r="H320" s="4">
        <f t="shared" si="129"/>
        <v>43</v>
      </c>
      <c r="I320" s="4">
        <v>43.5</v>
      </c>
      <c r="J320" s="4">
        <f t="shared" si="112"/>
        <v>0.5</v>
      </c>
      <c r="K320" s="5">
        <v>1</v>
      </c>
      <c r="L320" s="31">
        <f t="shared" si="113"/>
        <v>0.5</v>
      </c>
      <c r="M320" s="31"/>
      <c r="N320" s="31"/>
      <c r="O320" s="31">
        <f t="shared" si="108"/>
        <v>0.5</v>
      </c>
      <c r="P320" s="31">
        <v>25</v>
      </c>
      <c r="Q320" s="31">
        <v>20</v>
      </c>
      <c r="R320" s="31">
        <v>0.43</v>
      </c>
      <c r="S320" s="31">
        <v>0.11</v>
      </c>
      <c r="T320" s="65">
        <f t="shared" si="127"/>
        <v>22</v>
      </c>
      <c r="U320" s="31">
        <v>7</v>
      </c>
      <c r="V320" s="31"/>
      <c r="W320" s="31">
        <f t="shared" si="106"/>
        <v>7</v>
      </c>
      <c r="X320" s="31">
        <f t="shared" si="130"/>
        <v>61.428571428571431</v>
      </c>
      <c r="Y320" s="31">
        <f t="shared" si="114"/>
        <v>6.142857142857143E-2</v>
      </c>
      <c r="Z320" s="18">
        <v>0</v>
      </c>
      <c r="AA320" s="18" t="s">
        <v>330</v>
      </c>
      <c r="AB320" s="18" t="s">
        <v>333</v>
      </c>
      <c r="AC320" s="18" t="s">
        <v>335</v>
      </c>
      <c r="AD320" s="18">
        <v>20</v>
      </c>
      <c r="AE320" s="18">
        <v>25</v>
      </c>
      <c r="AF320" s="18" t="s">
        <v>34</v>
      </c>
      <c r="AG320" s="18" t="s">
        <v>34</v>
      </c>
      <c r="AH320" s="18" t="s">
        <v>34</v>
      </c>
      <c r="AI320" s="18" t="s">
        <v>66</v>
      </c>
      <c r="AJ320" s="18" t="s">
        <v>79</v>
      </c>
      <c r="AK320" s="18" t="s">
        <v>100</v>
      </c>
      <c r="AL320" s="18" t="s">
        <v>109</v>
      </c>
      <c r="AM320" s="18" t="s">
        <v>122</v>
      </c>
      <c r="AN320" s="18" t="s">
        <v>198</v>
      </c>
      <c r="AO320" s="18"/>
      <c r="AP320" s="18"/>
      <c r="AQ320" s="18">
        <f>+VLOOKUP(AI320,Leyenda!$B$30:$E$34,3,FALSE)</f>
        <v>1</v>
      </c>
      <c r="AR320" s="18">
        <f>+VLOOKUP('3. Blasting'!AJ320,Meteorizacion,3,FALSE)</f>
        <v>1</v>
      </c>
      <c r="AS320" s="18">
        <f>+VLOOKUP('3. Blasting'!AK320,Apertura,3,FALSE)</f>
        <v>0</v>
      </c>
      <c r="AT320" s="18">
        <f>+VLOOKUP('3. Blasting'!AL320,Leyenda!$B$55:$D$59,3,FALSE)</f>
        <v>1</v>
      </c>
      <c r="AU320" s="18">
        <f>+VLOOKUP('3. Blasting'!AM320,Relleno,3,FALSE)</f>
        <v>0</v>
      </c>
      <c r="AV320" s="18">
        <f t="shared" si="128"/>
        <v>3</v>
      </c>
      <c r="AW320" s="49">
        <f t="shared" si="115"/>
        <v>0</v>
      </c>
      <c r="AX320" s="49">
        <f>VLOOKUP(AF320,Leyenda!$B$4:$D$10,3,FALSE)</f>
        <v>0</v>
      </c>
      <c r="AY320" s="50">
        <f t="shared" si="109"/>
        <v>5</v>
      </c>
      <c r="AZ320" s="49">
        <f t="shared" si="116"/>
        <v>3</v>
      </c>
      <c r="BA320" s="49">
        <f>VLOOKUP(AN320,Leyenda!$B$70:$D$75,3,FALSE)</f>
        <v>15</v>
      </c>
      <c r="BB320" s="67">
        <f t="shared" si="117"/>
        <v>15.5</v>
      </c>
      <c r="BC320" s="67">
        <f>VLOOKUP(AF320,Leyenda!$B$4:$E$10,4,FALSE)</f>
        <v>0</v>
      </c>
      <c r="BD320" s="67">
        <f t="shared" si="118"/>
        <v>5</v>
      </c>
      <c r="BE320" s="67">
        <f t="shared" si="119"/>
        <v>5</v>
      </c>
      <c r="BF320" s="67">
        <f>+VLOOKUP('3. Blasting'!AK320,Leyenda!$B$47:$E$51,4,FALSE)</f>
        <v>0</v>
      </c>
      <c r="BG320" s="67">
        <f>+VLOOKUP('3. Blasting'!AL320,Leyenda!$B$55:$E$59,4,FALSE)</f>
        <v>1</v>
      </c>
      <c r="BH320" s="67">
        <f>+VLOOKUP('3. Blasting'!AM320,Leyenda!$B$63:$E$67,3,FALSE)</f>
        <v>0</v>
      </c>
      <c r="BI320" s="67">
        <f>+VLOOKUP('3. Blasting'!AJ320,Leyenda!$B$39:$E$43,4,FALSE)</f>
        <v>1</v>
      </c>
      <c r="BJ320" s="67">
        <f>+VLOOKUP('3. Blasting'!AI320,Leyenda!$B$30:$E$34,4,FALSE)</f>
        <v>1</v>
      </c>
      <c r="BK320" s="67">
        <f>VLOOKUP(AN320,Leyenda!$B$71:$E$75,4,FALSE)</f>
        <v>10</v>
      </c>
      <c r="BL320" s="67">
        <f t="shared" si="120"/>
        <v>23</v>
      </c>
      <c r="BM320" s="18">
        <f t="shared" si="121"/>
        <v>23</v>
      </c>
      <c r="BN320" s="18"/>
      <c r="BO320" s="18"/>
      <c r="BP320">
        <f t="shared" si="122"/>
        <v>10</v>
      </c>
      <c r="BQ320">
        <f t="shared" si="123"/>
        <v>10</v>
      </c>
      <c r="BR320">
        <v>20</v>
      </c>
      <c r="BS320">
        <f t="shared" si="124"/>
        <v>-50</v>
      </c>
      <c r="BT320">
        <f t="shared" si="125"/>
        <v>0</v>
      </c>
      <c r="BU320">
        <f t="shared" si="126"/>
        <v>-5</v>
      </c>
      <c r="BV320" s="1">
        <f t="shared" si="110"/>
        <v>-0.02</v>
      </c>
      <c r="BW320" s="1">
        <f t="shared" si="111"/>
        <v>0</v>
      </c>
    </row>
    <row r="321" spans="1:75" hidden="1" x14ac:dyDescent="0.25">
      <c r="A321" s="18" t="s">
        <v>6</v>
      </c>
      <c r="B321" s="18">
        <v>2024</v>
      </c>
      <c r="C321" s="18" t="s">
        <v>138</v>
      </c>
      <c r="D321" s="18" t="s">
        <v>130</v>
      </c>
      <c r="E321" s="18">
        <v>20</v>
      </c>
      <c r="F321" s="18" t="s">
        <v>156</v>
      </c>
      <c r="G321" s="18" t="s">
        <v>184</v>
      </c>
      <c r="H321" s="4">
        <f t="shared" si="129"/>
        <v>43.5</v>
      </c>
      <c r="I321" s="4">
        <v>44</v>
      </c>
      <c r="J321" s="4">
        <f t="shared" si="112"/>
        <v>0.5</v>
      </c>
      <c r="K321" s="5">
        <v>0.6</v>
      </c>
      <c r="L321" s="31">
        <f t="shared" si="113"/>
        <v>0.3</v>
      </c>
      <c r="M321" s="31"/>
      <c r="N321" s="31"/>
      <c r="O321" s="31">
        <f t="shared" si="108"/>
        <v>0.3</v>
      </c>
      <c r="P321" s="31">
        <v>15</v>
      </c>
      <c r="Q321" s="31">
        <v>20</v>
      </c>
      <c r="R321" s="31">
        <v>0.28999999999999998</v>
      </c>
      <c r="S321" s="31">
        <v>0</v>
      </c>
      <c r="T321" s="65">
        <f t="shared" si="127"/>
        <v>0</v>
      </c>
      <c r="U321" s="31">
        <v>7</v>
      </c>
      <c r="V321" s="31"/>
      <c r="W321" s="31">
        <f t="shared" si="106"/>
        <v>7</v>
      </c>
      <c r="X321" s="31">
        <f t="shared" si="130"/>
        <v>41.428571428571431</v>
      </c>
      <c r="Y321" s="31">
        <f t="shared" si="114"/>
        <v>4.1428571428571433E-2</v>
      </c>
      <c r="Z321" s="18">
        <v>0</v>
      </c>
      <c r="AA321" s="18" t="s">
        <v>330</v>
      </c>
      <c r="AB321" s="18" t="s">
        <v>333</v>
      </c>
      <c r="AC321" s="18" t="s">
        <v>335</v>
      </c>
      <c r="AD321" s="18">
        <v>20</v>
      </c>
      <c r="AE321" s="18">
        <v>15</v>
      </c>
      <c r="AF321" s="18" t="s">
        <v>34</v>
      </c>
      <c r="AG321" s="18" t="s">
        <v>34</v>
      </c>
      <c r="AH321" s="18" t="s">
        <v>34</v>
      </c>
      <c r="AI321" s="18" t="s">
        <v>69</v>
      </c>
      <c r="AJ321" s="18" t="s">
        <v>81</v>
      </c>
      <c r="AK321" s="18" t="s">
        <v>100</v>
      </c>
      <c r="AL321" s="18" t="s">
        <v>109</v>
      </c>
      <c r="AM321" s="18" t="s">
        <v>120</v>
      </c>
      <c r="AN321" s="18" t="s">
        <v>198</v>
      </c>
      <c r="AO321" s="18" t="s">
        <v>231</v>
      </c>
      <c r="AP321" s="18"/>
      <c r="AQ321" s="18">
        <f>+VLOOKUP(AI321,Leyenda!$B$30:$E$34,3,FALSE)</f>
        <v>0</v>
      </c>
      <c r="AR321" s="18">
        <f>+VLOOKUP('3. Blasting'!AJ321,Meteorizacion,3,FALSE)</f>
        <v>0</v>
      </c>
      <c r="AS321" s="18">
        <f>+VLOOKUP('3. Blasting'!AK321,Apertura,3,FALSE)</f>
        <v>0</v>
      </c>
      <c r="AT321" s="18">
        <f>+VLOOKUP('3. Blasting'!AL321,Leyenda!$B$55:$D$59,3,FALSE)</f>
        <v>1</v>
      </c>
      <c r="AU321" s="18">
        <f>+VLOOKUP('3. Blasting'!AM321,Relleno,3,FALSE)</f>
        <v>2</v>
      </c>
      <c r="AV321" s="18">
        <f t="shared" si="128"/>
        <v>3</v>
      </c>
      <c r="AW321" s="49">
        <f t="shared" si="115"/>
        <v>0</v>
      </c>
      <c r="AX321" s="49">
        <f>VLOOKUP(AF321,Leyenda!$B$4:$D$10,3,FALSE)</f>
        <v>0</v>
      </c>
      <c r="AY321" s="50">
        <f t="shared" si="109"/>
        <v>4</v>
      </c>
      <c r="AZ321" s="49">
        <f t="shared" si="116"/>
        <v>3</v>
      </c>
      <c r="BA321" s="49">
        <f>VLOOKUP(AN321,Leyenda!$B$70:$D$75,3,FALSE)</f>
        <v>15</v>
      </c>
      <c r="BB321" s="67">
        <f t="shared" si="117"/>
        <v>4.5</v>
      </c>
      <c r="BC321" s="67">
        <f>VLOOKUP(AF321,Leyenda!$B$4:$E$10,4,FALSE)</f>
        <v>0</v>
      </c>
      <c r="BD321" s="67">
        <f t="shared" si="118"/>
        <v>5</v>
      </c>
      <c r="BE321" s="67">
        <f t="shared" si="119"/>
        <v>0</v>
      </c>
      <c r="BF321" s="67">
        <f>+VLOOKUP('3. Blasting'!AK321,Leyenda!$B$47:$E$51,4,FALSE)</f>
        <v>0</v>
      </c>
      <c r="BG321" s="67">
        <f>+VLOOKUP('3. Blasting'!AL321,Leyenda!$B$55:$E$59,4,FALSE)</f>
        <v>1</v>
      </c>
      <c r="BH321" s="67">
        <f>+VLOOKUP('3. Blasting'!AM321,Leyenda!$B$63:$E$67,3,FALSE)</f>
        <v>2</v>
      </c>
      <c r="BI321" s="67">
        <f>+VLOOKUP('3. Blasting'!AJ321,Leyenda!$B$39:$E$43,4,FALSE)</f>
        <v>0</v>
      </c>
      <c r="BJ321" s="67">
        <f>+VLOOKUP('3. Blasting'!AI321,Leyenda!$B$30:$E$34,4,FALSE)</f>
        <v>0</v>
      </c>
      <c r="BK321" s="67">
        <f>VLOOKUP(AN321,Leyenda!$B$71:$E$75,4,FALSE)</f>
        <v>10</v>
      </c>
      <c r="BL321" s="67">
        <f t="shared" si="120"/>
        <v>18</v>
      </c>
      <c r="BM321" s="18">
        <f t="shared" si="121"/>
        <v>22</v>
      </c>
      <c r="BN321" s="18"/>
      <c r="BO321" s="18"/>
      <c r="BP321">
        <f t="shared" si="122"/>
        <v>10</v>
      </c>
      <c r="BQ321">
        <f t="shared" si="123"/>
        <v>10</v>
      </c>
      <c r="BR321">
        <v>20</v>
      </c>
      <c r="BS321">
        <f t="shared" si="124"/>
        <v>-50</v>
      </c>
      <c r="BT321">
        <f t="shared" si="125"/>
        <v>0</v>
      </c>
      <c r="BU321">
        <f t="shared" si="126"/>
        <v>-5</v>
      </c>
      <c r="BV321" s="1">
        <f t="shared" si="110"/>
        <v>-0.02</v>
      </c>
      <c r="BW321" s="1">
        <f t="shared" si="111"/>
        <v>0</v>
      </c>
    </row>
    <row r="322" spans="1:75" hidden="1" x14ac:dyDescent="0.25">
      <c r="A322" s="18" t="s">
        <v>6</v>
      </c>
      <c r="B322" s="18">
        <v>2024</v>
      </c>
      <c r="C322" s="18" t="s">
        <v>138</v>
      </c>
      <c r="D322" s="18" t="s">
        <v>130</v>
      </c>
      <c r="E322" s="18">
        <v>20</v>
      </c>
      <c r="F322" s="18" t="s">
        <v>156</v>
      </c>
      <c r="G322" s="18" t="s">
        <v>184</v>
      </c>
      <c r="H322" s="4">
        <f t="shared" si="129"/>
        <v>44</v>
      </c>
      <c r="I322" s="4">
        <v>44.5</v>
      </c>
      <c r="J322" s="4">
        <f t="shared" si="112"/>
        <v>0.5</v>
      </c>
      <c r="K322" s="5">
        <v>0.78</v>
      </c>
      <c r="L322" s="31">
        <f t="shared" si="113"/>
        <v>0.39</v>
      </c>
      <c r="M322" s="31"/>
      <c r="N322" s="31"/>
      <c r="O322" s="31">
        <f t="shared" si="108"/>
        <v>0.39</v>
      </c>
      <c r="P322" s="31">
        <v>19.5</v>
      </c>
      <c r="Q322" s="31">
        <v>20</v>
      </c>
      <c r="R322" s="31">
        <v>0.39</v>
      </c>
      <c r="S322" s="31">
        <v>0</v>
      </c>
      <c r="T322" s="65">
        <f t="shared" si="127"/>
        <v>0</v>
      </c>
      <c r="U322" s="31">
        <v>7</v>
      </c>
      <c r="V322" s="31"/>
      <c r="W322" s="31">
        <f t="shared" si="106"/>
        <v>7</v>
      </c>
      <c r="X322" s="31">
        <f t="shared" si="130"/>
        <v>55.714285714285715</v>
      </c>
      <c r="Y322" s="31">
        <f t="shared" si="114"/>
        <v>5.5714285714285716E-2</v>
      </c>
      <c r="Z322" s="18">
        <v>0</v>
      </c>
      <c r="AA322" s="18" t="s">
        <v>330</v>
      </c>
      <c r="AB322" s="18" t="s">
        <v>333</v>
      </c>
      <c r="AC322" s="18" t="s">
        <v>335</v>
      </c>
      <c r="AD322" s="18">
        <v>20</v>
      </c>
      <c r="AE322" s="18">
        <v>19.5</v>
      </c>
      <c r="AF322" s="18" t="s">
        <v>34</v>
      </c>
      <c r="AG322" s="18" t="s">
        <v>34</v>
      </c>
      <c r="AH322" s="18" t="s">
        <v>34</v>
      </c>
      <c r="AI322" s="18" t="s">
        <v>69</v>
      </c>
      <c r="AJ322" s="18" t="s">
        <v>81</v>
      </c>
      <c r="AK322" s="18" t="s">
        <v>100</v>
      </c>
      <c r="AL322" s="18" t="s">
        <v>109</v>
      </c>
      <c r="AM322" s="18" t="s">
        <v>120</v>
      </c>
      <c r="AN322" s="18" t="s">
        <v>198</v>
      </c>
      <c r="AO322" s="18" t="s">
        <v>231</v>
      </c>
      <c r="AP322" s="18"/>
      <c r="AQ322" s="18">
        <f>+VLOOKUP(AI322,Leyenda!$B$30:$E$34,3,FALSE)</f>
        <v>0</v>
      </c>
      <c r="AR322" s="18">
        <f>+VLOOKUP('3. Blasting'!AJ322,Meteorizacion,3,FALSE)</f>
        <v>0</v>
      </c>
      <c r="AS322" s="18">
        <f>+VLOOKUP('3. Blasting'!AK322,Apertura,3,FALSE)</f>
        <v>0</v>
      </c>
      <c r="AT322" s="18">
        <f>+VLOOKUP('3. Blasting'!AL322,Leyenda!$B$55:$D$59,3,FALSE)</f>
        <v>1</v>
      </c>
      <c r="AU322" s="18">
        <f>+VLOOKUP('3. Blasting'!AM322,Relleno,3,FALSE)</f>
        <v>2</v>
      </c>
      <c r="AV322" s="18">
        <f t="shared" si="128"/>
        <v>3</v>
      </c>
      <c r="AW322" s="49">
        <f t="shared" si="115"/>
        <v>0</v>
      </c>
      <c r="AX322" s="49">
        <f>VLOOKUP(AF322,Leyenda!$B$4:$D$10,3,FALSE)</f>
        <v>0</v>
      </c>
      <c r="AY322" s="50">
        <f t="shared" si="109"/>
        <v>4</v>
      </c>
      <c r="AZ322" s="49">
        <f t="shared" si="116"/>
        <v>3</v>
      </c>
      <c r="BA322" s="49">
        <f>VLOOKUP(AN322,Leyenda!$B$70:$D$75,3,FALSE)</f>
        <v>15</v>
      </c>
      <c r="BB322" s="67">
        <f t="shared" si="117"/>
        <v>4.5</v>
      </c>
      <c r="BC322" s="67">
        <f>VLOOKUP(AF322,Leyenda!$B$4:$E$10,4,FALSE)</f>
        <v>0</v>
      </c>
      <c r="BD322" s="67">
        <f t="shared" si="118"/>
        <v>5</v>
      </c>
      <c r="BE322" s="67">
        <f t="shared" si="119"/>
        <v>0</v>
      </c>
      <c r="BF322" s="67">
        <f>+VLOOKUP('3. Blasting'!AK322,Leyenda!$B$47:$E$51,4,FALSE)</f>
        <v>0</v>
      </c>
      <c r="BG322" s="67">
        <f>+VLOOKUP('3. Blasting'!AL322,Leyenda!$B$55:$E$59,4,FALSE)</f>
        <v>1</v>
      </c>
      <c r="BH322" s="67">
        <f>+VLOOKUP('3. Blasting'!AM322,Leyenda!$B$63:$E$67,3,FALSE)</f>
        <v>2</v>
      </c>
      <c r="BI322" s="67">
        <f>+VLOOKUP('3. Blasting'!AJ322,Leyenda!$B$39:$E$43,4,FALSE)</f>
        <v>0</v>
      </c>
      <c r="BJ322" s="67">
        <f>+VLOOKUP('3. Blasting'!AI322,Leyenda!$B$30:$E$34,4,FALSE)</f>
        <v>0</v>
      </c>
      <c r="BK322" s="67">
        <f>VLOOKUP(AN322,Leyenda!$B$71:$E$75,4,FALSE)</f>
        <v>10</v>
      </c>
      <c r="BL322" s="67">
        <f t="shared" si="120"/>
        <v>18</v>
      </c>
      <c r="BM322" s="18">
        <f t="shared" si="121"/>
        <v>22</v>
      </c>
      <c r="BN322" s="18"/>
      <c r="BO322" s="18"/>
      <c r="BP322">
        <f t="shared" si="122"/>
        <v>10</v>
      </c>
      <c r="BQ322">
        <f t="shared" si="123"/>
        <v>10</v>
      </c>
      <c r="BR322">
        <v>20</v>
      </c>
      <c r="BS322">
        <f t="shared" si="124"/>
        <v>-50</v>
      </c>
      <c r="BT322">
        <f t="shared" si="125"/>
        <v>0</v>
      </c>
      <c r="BU322">
        <f t="shared" si="126"/>
        <v>-5</v>
      </c>
      <c r="BV322" s="1">
        <f t="shared" si="110"/>
        <v>-0.02</v>
      </c>
      <c r="BW322" s="1">
        <f t="shared" si="111"/>
        <v>0</v>
      </c>
    </row>
    <row r="323" spans="1:75" hidden="1" x14ac:dyDescent="0.25">
      <c r="A323" s="18" t="s">
        <v>6</v>
      </c>
      <c r="B323" s="18">
        <v>2024</v>
      </c>
      <c r="C323" s="18" t="s">
        <v>138</v>
      </c>
      <c r="D323" s="18" t="s">
        <v>130</v>
      </c>
      <c r="E323" s="18">
        <v>20</v>
      </c>
      <c r="F323" s="18" t="s">
        <v>156</v>
      </c>
      <c r="G323" s="18" t="s">
        <v>184</v>
      </c>
      <c r="H323" s="4">
        <f t="shared" si="129"/>
        <v>44.5</v>
      </c>
      <c r="I323" s="4">
        <v>45</v>
      </c>
      <c r="J323" s="4">
        <f t="shared" si="112"/>
        <v>0.5</v>
      </c>
      <c r="K323" s="5">
        <v>0.74</v>
      </c>
      <c r="L323" s="31">
        <f t="shared" si="113"/>
        <v>0.37</v>
      </c>
      <c r="M323" s="31"/>
      <c r="N323" s="31"/>
      <c r="O323" s="31">
        <f t="shared" si="108"/>
        <v>0.37</v>
      </c>
      <c r="P323" s="31">
        <v>18.5</v>
      </c>
      <c r="Q323" s="31">
        <v>20</v>
      </c>
      <c r="R323" s="31">
        <v>0.35</v>
      </c>
      <c r="S323" s="31">
        <v>0</v>
      </c>
      <c r="T323" s="65">
        <f t="shared" si="127"/>
        <v>0</v>
      </c>
      <c r="U323" s="31">
        <v>5</v>
      </c>
      <c r="V323" s="31"/>
      <c r="W323" s="31">
        <f t="shared" si="106"/>
        <v>5</v>
      </c>
      <c r="X323" s="31">
        <f t="shared" si="130"/>
        <v>70</v>
      </c>
      <c r="Y323" s="31">
        <f t="shared" si="114"/>
        <v>7.0000000000000007E-2</v>
      </c>
      <c r="Z323" s="18">
        <v>0</v>
      </c>
      <c r="AA323" s="18" t="s">
        <v>330</v>
      </c>
      <c r="AB323" s="18" t="s">
        <v>333</v>
      </c>
      <c r="AC323" s="18" t="s">
        <v>335</v>
      </c>
      <c r="AD323" s="18">
        <v>20</v>
      </c>
      <c r="AE323" s="18">
        <v>18.5</v>
      </c>
      <c r="AF323" s="18" t="s">
        <v>34</v>
      </c>
      <c r="AG323" s="18" t="s">
        <v>34</v>
      </c>
      <c r="AH323" s="18" t="s">
        <v>34</v>
      </c>
      <c r="AI323" s="18" t="s">
        <v>69</v>
      </c>
      <c r="AJ323" s="18" t="s">
        <v>81</v>
      </c>
      <c r="AK323" s="18" t="s">
        <v>100</v>
      </c>
      <c r="AL323" s="18" t="s">
        <v>109</v>
      </c>
      <c r="AM323" s="18" t="s">
        <v>120</v>
      </c>
      <c r="AN323" s="18" t="s">
        <v>198</v>
      </c>
      <c r="AO323" s="18" t="s">
        <v>231</v>
      </c>
      <c r="AP323" s="18"/>
      <c r="AQ323" s="18">
        <f>+VLOOKUP(AI323,Leyenda!$B$30:$E$34,3,FALSE)</f>
        <v>0</v>
      </c>
      <c r="AR323" s="18">
        <f>+VLOOKUP('3. Blasting'!AJ323,Meteorizacion,3,FALSE)</f>
        <v>0</v>
      </c>
      <c r="AS323" s="18">
        <f>+VLOOKUP('3. Blasting'!AK323,Apertura,3,FALSE)</f>
        <v>0</v>
      </c>
      <c r="AT323" s="18">
        <f>+VLOOKUP('3. Blasting'!AL323,Leyenda!$B$55:$D$59,3,FALSE)</f>
        <v>1</v>
      </c>
      <c r="AU323" s="18">
        <f>+VLOOKUP('3. Blasting'!AM323,Relleno,3,FALSE)</f>
        <v>2</v>
      </c>
      <c r="AV323" s="18">
        <f t="shared" si="128"/>
        <v>3</v>
      </c>
      <c r="AW323" s="49">
        <f t="shared" si="115"/>
        <v>0</v>
      </c>
      <c r="AX323" s="49">
        <f>VLOOKUP(AF323,Leyenda!$B$4:$D$10,3,FALSE)</f>
        <v>0</v>
      </c>
      <c r="AY323" s="50">
        <f t="shared" si="109"/>
        <v>4</v>
      </c>
      <c r="AZ323" s="49">
        <f t="shared" si="116"/>
        <v>3</v>
      </c>
      <c r="BA323" s="49">
        <f>VLOOKUP(AN323,Leyenda!$B$70:$D$75,3,FALSE)</f>
        <v>15</v>
      </c>
      <c r="BB323" s="67">
        <f t="shared" si="117"/>
        <v>4.5</v>
      </c>
      <c r="BC323" s="67">
        <f>VLOOKUP(AF323,Leyenda!$B$4:$E$10,4,FALSE)</f>
        <v>0</v>
      </c>
      <c r="BD323" s="67">
        <f t="shared" si="118"/>
        <v>6</v>
      </c>
      <c r="BE323" s="67">
        <f t="shared" si="119"/>
        <v>0</v>
      </c>
      <c r="BF323" s="67">
        <f>+VLOOKUP('3. Blasting'!AK323,Leyenda!$B$47:$E$51,4,FALSE)</f>
        <v>0</v>
      </c>
      <c r="BG323" s="67">
        <f>+VLOOKUP('3. Blasting'!AL323,Leyenda!$B$55:$E$59,4,FALSE)</f>
        <v>1</v>
      </c>
      <c r="BH323" s="67">
        <f>+VLOOKUP('3. Blasting'!AM323,Leyenda!$B$63:$E$67,3,FALSE)</f>
        <v>2</v>
      </c>
      <c r="BI323" s="67">
        <f>+VLOOKUP('3. Blasting'!AJ323,Leyenda!$B$39:$E$43,4,FALSE)</f>
        <v>0</v>
      </c>
      <c r="BJ323" s="67">
        <f>+VLOOKUP('3. Blasting'!AI323,Leyenda!$B$30:$E$34,4,FALSE)</f>
        <v>0</v>
      </c>
      <c r="BK323" s="67">
        <f>VLOOKUP(AN323,Leyenda!$B$71:$E$75,4,FALSE)</f>
        <v>10</v>
      </c>
      <c r="BL323" s="67">
        <f t="shared" si="120"/>
        <v>19</v>
      </c>
      <c r="BM323" s="18">
        <f t="shared" si="121"/>
        <v>22</v>
      </c>
      <c r="BN323" s="18"/>
      <c r="BO323" s="18"/>
      <c r="BP323">
        <f t="shared" si="122"/>
        <v>10</v>
      </c>
      <c r="BQ323">
        <f t="shared" si="123"/>
        <v>10</v>
      </c>
      <c r="BR323">
        <v>20</v>
      </c>
      <c r="BS323">
        <f t="shared" si="124"/>
        <v>-50</v>
      </c>
      <c r="BT323">
        <f t="shared" si="125"/>
        <v>0</v>
      </c>
      <c r="BU323">
        <f t="shared" si="126"/>
        <v>-5</v>
      </c>
      <c r="BV323" s="1">
        <f t="shared" si="110"/>
        <v>-0.02</v>
      </c>
      <c r="BW323" s="1">
        <f t="shared" si="111"/>
        <v>0</v>
      </c>
    </row>
    <row r="324" spans="1:75" hidden="1" x14ac:dyDescent="0.25">
      <c r="A324" s="18" t="s">
        <v>6</v>
      </c>
      <c r="B324" s="18">
        <v>2024</v>
      </c>
      <c r="C324" s="18" t="s">
        <v>138</v>
      </c>
      <c r="D324" s="18" t="s">
        <v>130</v>
      </c>
      <c r="E324" s="18">
        <v>20</v>
      </c>
      <c r="F324" s="18" t="s">
        <v>156</v>
      </c>
      <c r="G324" s="18" t="s">
        <v>185</v>
      </c>
      <c r="H324" s="4">
        <f t="shared" si="129"/>
        <v>45</v>
      </c>
      <c r="I324" s="4">
        <v>45.5</v>
      </c>
      <c r="J324" s="4">
        <f t="shared" si="112"/>
        <v>0.5</v>
      </c>
      <c r="K324" s="5">
        <v>0.36</v>
      </c>
      <c r="L324" s="31">
        <f t="shared" si="113"/>
        <v>0.18</v>
      </c>
      <c r="M324" s="31"/>
      <c r="N324" s="31"/>
      <c r="O324" s="31">
        <f t="shared" ref="O324:O353" si="131">+K324*J324</f>
        <v>0.18</v>
      </c>
      <c r="P324" s="31">
        <v>9</v>
      </c>
      <c r="Q324" s="31">
        <v>20</v>
      </c>
      <c r="R324" s="31">
        <v>0.18</v>
      </c>
      <c r="S324" s="31">
        <v>0</v>
      </c>
      <c r="T324" s="65">
        <f t="shared" si="127"/>
        <v>0</v>
      </c>
      <c r="U324" s="31">
        <v>5</v>
      </c>
      <c r="V324" s="31"/>
      <c r="W324" s="31">
        <f t="shared" si="106"/>
        <v>5</v>
      </c>
      <c r="X324" s="31">
        <f t="shared" si="130"/>
        <v>36</v>
      </c>
      <c r="Y324" s="31">
        <f t="shared" si="114"/>
        <v>3.5999999999999997E-2</v>
      </c>
      <c r="Z324" s="18">
        <v>0</v>
      </c>
      <c r="AA324" s="18" t="s">
        <v>330</v>
      </c>
      <c r="AB324" s="18" t="s">
        <v>333</v>
      </c>
      <c r="AC324" s="18" t="s">
        <v>337</v>
      </c>
      <c r="AD324" s="18">
        <v>20</v>
      </c>
      <c r="AE324" s="18">
        <v>9</v>
      </c>
      <c r="AF324" s="18" t="s">
        <v>29</v>
      </c>
      <c r="AG324" s="18" t="s">
        <v>32</v>
      </c>
      <c r="AH324" s="18" t="s">
        <v>32</v>
      </c>
      <c r="AI324" s="18" t="s">
        <v>66</v>
      </c>
      <c r="AJ324" s="18" t="s">
        <v>79</v>
      </c>
      <c r="AK324" s="18" t="s">
        <v>96</v>
      </c>
      <c r="AL324" s="18" t="s">
        <v>109</v>
      </c>
      <c r="AM324" s="18" t="s">
        <v>120</v>
      </c>
      <c r="AN324" s="18" t="s">
        <v>198</v>
      </c>
      <c r="AO324" s="18" t="s">
        <v>264</v>
      </c>
      <c r="AP324" s="18"/>
      <c r="AQ324" s="18">
        <f>+VLOOKUP(AI324,Leyenda!$B$30:$E$34,3,FALSE)</f>
        <v>1</v>
      </c>
      <c r="AR324" s="18">
        <f>+VLOOKUP('3. Blasting'!AJ324,Meteorizacion,3,FALSE)</f>
        <v>1</v>
      </c>
      <c r="AS324" s="18">
        <f>+VLOOKUP('3. Blasting'!AK324,Apertura,3,FALSE)</f>
        <v>1</v>
      </c>
      <c r="AT324" s="18">
        <f>+VLOOKUP('3. Blasting'!AL324,Leyenda!$B$55:$D$59,3,FALSE)</f>
        <v>1</v>
      </c>
      <c r="AU324" s="18">
        <f>+VLOOKUP('3. Blasting'!AM324,Relleno,3,FALSE)</f>
        <v>2</v>
      </c>
      <c r="AV324" s="18">
        <f t="shared" si="128"/>
        <v>6</v>
      </c>
      <c r="AW324" s="49">
        <f t="shared" si="115"/>
        <v>0</v>
      </c>
      <c r="AX324" s="49">
        <f>VLOOKUP(AF324,Leyenda!$B$4:$D$10,3,FALSE)</f>
        <v>2</v>
      </c>
      <c r="AY324" s="50">
        <f t="shared" ref="AY324:AY388" si="132">IF(P324="",ROUND((IF(P324&lt;=400,1.5478*POWER(P324,0.3351),-2*POWER(10,-6)*POWER(P324,2)+0.0091*P324+8.1704)),0),ROUND((IF(P324&lt;=400,1.5478*POWER(P324,0.3351),-2*POWER(10,-6)*POWER(P324,2)+0.0091*P324+8.1704)),0))</f>
        <v>3</v>
      </c>
      <c r="AZ324" s="49">
        <f t="shared" si="116"/>
        <v>6</v>
      </c>
      <c r="BA324" s="49">
        <f>VLOOKUP(AN324,Leyenda!$B$70:$D$75,3,FALSE)</f>
        <v>15</v>
      </c>
      <c r="BB324" s="67">
        <f t="shared" si="117"/>
        <v>9</v>
      </c>
      <c r="BC324" s="67">
        <f>VLOOKUP(AF324,Leyenda!$B$4:$E$10,4,FALSE)</f>
        <v>2</v>
      </c>
      <c r="BD324" s="67">
        <f t="shared" si="118"/>
        <v>5</v>
      </c>
      <c r="BE324" s="67">
        <f t="shared" si="119"/>
        <v>0</v>
      </c>
      <c r="BF324" s="67">
        <f>+VLOOKUP('3. Blasting'!AK324,Leyenda!$B$47:$E$51,4,FALSE)</f>
        <v>1</v>
      </c>
      <c r="BG324" s="67">
        <f>+VLOOKUP('3. Blasting'!AL324,Leyenda!$B$55:$E$59,4,FALSE)</f>
        <v>1</v>
      </c>
      <c r="BH324" s="67">
        <f>+VLOOKUP('3. Blasting'!AM324,Leyenda!$B$63:$E$67,3,FALSE)</f>
        <v>2</v>
      </c>
      <c r="BI324" s="67">
        <f>+VLOOKUP('3. Blasting'!AJ324,Leyenda!$B$39:$E$43,4,FALSE)</f>
        <v>1</v>
      </c>
      <c r="BJ324" s="67">
        <f>+VLOOKUP('3. Blasting'!AI324,Leyenda!$B$30:$E$34,4,FALSE)</f>
        <v>1</v>
      </c>
      <c r="BK324" s="67">
        <f>VLOOKUP(AN324,Leyenda!$B$71:$E$75,4,FALSE)</f>
        <v>10</v>
      </c>
      <c r="BL324" s="67">
        <f t="shared" si="120"/>
        <v>23</v>
      </c>
      <c r="BM324" s="18">
        <f t="shared" si="121"/>
        <v>26</v>
      </c>
      <c r="BN324" s="18"/>
      <c r="BO324" s="18"/>
      <c r="BP324">
        <f t="shared" si="122"/>
        <v>10</v>
      </c>
      <c r="BQ324">
        <f t="shared" si="123"/>
        <v>10</v>
      </c>
      <c r="BR324">
        <v>20</v>
      </c>
      <c r="BS324">
        <f t="shared" si="124"/>
        <v>-50</v>
      </c>
      <c r="BT324">
        <f t="shared" si="125"/>
        <v>0</v>
      </c>
      <c r="BU324">
        <f t="shared" si="126"/>
        <v>-5</v>
      </c>
      <c r="BV324" s="1">
        <f t="shared" ref="BV324:BV387" si="133">0.004*BU324</f>
        <v>-0.02</v>
      </c>
      <c r="BW324" s="1">
        <f t="shared" ref="BW324:BW387" si="134">+BV324*M324</f>
        <v>0</v>
      </c>
    </row>
    <row r="325" spans="1:75" hidden="1" x14ac:dyDescent="0.25">
      <c r="A325" s="18" t="s">
        <v>6</v>
      </c>
      <c r="B325" s="18">
        <v>2024</v>
      </c>
      <c r="C325" s="18" t="s">
        <v>138</v>
      </c>
      <c r="D325" s="18" t="s">
        <v>130</v>
      </c>
      <c r="E325" s="18">
        <v>20</v>
      </c>
      <c r="F325" s="18" t="s">
        <v>156</v>
      </c>
      <c r="G325" s="18" t="s">
        <v>185</v>
      </c>
      <c r="H325" s="4">
        <f t="shared" si="129"/>
        <v>45.5</v>
      </c>
      <c r="I325" s="4">
        <v>46</v>
      </c>
      <c r="J325" s="4">
        <f t="shared" ref="J325:J389" si="135">+I325-H325</f>
        <v>0.5</v>
      </c>
      <c r="K325" s="5">
        <v>0</v>
      </c>
      <c r="L325" s="31">
        <f t="shared" ref="L325:L389" si="136">+J325*K325</f>
        <v>0</v>
      </c>
      <c r="M325" s="31"/>
      <c r="N325" s="31"/>
      <c r="O325" s="31">
        <f t="shared" si="131"/>
        <v>0</v>
      </c>
      <c r="P325" s="31" t="s">
        <v>348</v>
      </c>
      <c r="Q325" s="31">
        <v>20</v>
      </c>
      <c r="R325" s="31">
        <v>0.5</v>
      </c>
      <c r="S325" s="31">
        <v>0</v>
      </c>
      <c r="T325" s="65">
        <f t="shared" si="127"/>
        <v>0</v>
      </c>
      <c r="U325" s="31">
        <v>10</v>
      </c>
      <c r="V325" s="31"/>
      <c r="W325" s="31">
        <f t="shared" si="106"/>
        <v>10</v>
      </c>
      <c r="X325" s="31">
        <f t="shared" si="130"/>
        <v>50</v>
      </c>
      <c r="Y325" s="31">
        <f t="shared" ref="Y325:Y388" si="137">+X325/1000</f>
        <v>0.05</v>
      </c>
      <c r="Z325" s="18">
        <v>0</v>
      </c>
      <c r="AA325" s="18" t="s">
        <v>330</v>
      </c>
      <c r="AB325" s="18" t="s">
        <v>333</v>
      </c>
      <c r="AC325" s="18" t="s">
        <v>337</v>
      </c>
      <c r="AD325" s="18">
        <v>20</v>
      </c>
      <c r="AE325" s="18" t="s">
        <v>348</v>
      </c>
      <c r="AF325" s="18" t="s">
        <v>29</v>
      </c>
      <c r="AG325" s="18" t="s">
        <v>32</v>
      </c>
      <c r="AH325" s="18" t="s">
        <v>32</v>
      </c>
      <c r="AI325" s="18" t="s">
        <v>66</v>
      </c>
      <c r="AJ325" s="18" t="s">
        <v>79</v>
      </c>
      <c r="AK325" s="18" t="s">
        <v>96</v>
      </c>
      <c r="AL325" s="18" t="s">
        <v>109</v>
      </c>
      <c r="AM325" s="18" t="s">
        <v>120</v>
      </c>
      <c r="AN325" s="18" t="s">
        <v>198</v>
      </c>
      <c r="AO325" s="18"/>
      <c r="AP325" s="18"/>
      <c r="AQ325" s="18">
        <f>+VLOOKUP(AI325,Leyenda!$B$30:$E$34,3,FALSE)</f>
        <v>1</v>
      </c>
      <c r="AR325" s="18">
        <f>+VLOOKUP('3. Blasting'!AJ325,Meteorizacion,3,FALSE)</f>
        <v>1</v>
      </c>
      <c r="AS325" s="18">
        <f>+VLOOKUP('3. Blasting'!AK325,Apertura,3,FALSE)</f>
        <v>1</v>
      </c>
      <c r="AT325" s="18">
        <f>+VLOOKUP('3. Blasting'!AL325,Leyenda!$B$55:$D$59,3,FALSE)</f>
        <v>1</v>
      </c>
      <c r="AU325" s="18">
        <f>+VLOOKUP('3. Blasting'!AM325,Relleno,3,FALSE)</f>
        <v>2</v>
      </c>
      <c r="AV325" s="18">
        <f t="shared" si="128"/>
        <v>6</v>
      </c>
      <c r="AW325" s="49">
        <f t="shared" ref="AW325:AW389" si="138">ROUND(-0.0002*POWER(Z325,2)+0.2197*Z325,0)</f>
        <v>0</v>
      </c>
      <c r="AX325" s="49">
        <f>VLOOKUP(AF325,Leyenda!$B$4:$D$10,3,FALSE)</f>
        <v>2</v>
      </c>
      <c r="AY325" s="50" t="e">
        <f t="shared" si="132"/>
        <v>#VALUE!</v>
      </c>
      <c r="AZ325" s="49">
        <f t="shared" ref="AZ325:AZ389" si="139">+AV325</f>
        <v>6</v>
      </c>
      <c r="BA325" s="49">
        <f>VLOOKUP(AN325,Leyenda!$B$70:$D$75,3,FALSE)</f>
        <v>15</v>
      </c>
      <c r="BB325" s="67">
        <f t="shared" ref="BB325:BB389" si="140">1.5*AV325+(T325*0.5)</f>
        <v>9</v>
      </c>
      <c r="BC325" s="67">
        <f>VLOOKUP(AF325,Leyenda!$B$4:$E$10,4,FALSE)</f>
        <v>2</v>
      </c>
      <c r="BD325" s="67">
        <f t="shared" ref="BD325:BD389" si="141">IF(X325="",ROUND(IF(X325&lt;=50,5,IF(X325&gt;=3000,30,6.038*LN(X325)-19.63)),0),ROUND(IF(X325&lt;=50,5,IF(X325&gt;=3000,30,6.038*LN(X325)-19.63)),0))</f>
        <v>5</v>
      </c>
      <c r="BE325" s="67">
        <f t="shared" ref="BE325:BE389" si="142">ROUND(-0.0002*POWER(T325,2)+0.2197*T325,0)</f>
        <v>0</v>
      </c>
      <c r="BF325" s="67">
        <f>+VLOOKUP('3. Blasting'!AK325,Leyenda!$B$47:$E$51,4,FALSE)</f>
        <v>1</v>
      </c>
      <c r="BG325" s="67">
        <f>+VLOOKUP('3. Blasting'!AL325,Leyenda!$B$55:$E$59,4,FALSE)</f>
        <v>1</v>
      </c>
      <c r="BH325" s="67">
        <f>+VLOOKUP('3. Blasting'!AM325,Leyenda!$B$63:$E$67,3,FALSE)</f>
        <v>2</v>
      </c>
      <c r="BI325" s="67">
        <f>+VLOOKUP('3. Blasting'!AJ325,Leyenda!$B$39:$E$43,4,FALSE)</f>
        <v>1</v>
      </c>
      <c r="BJ325" s="67">
        <f>+VLOOKUP('3. Blasting'!AI325,Leyenda!$B$30:$E$34,4,FALSE)</f>
        <v>1</v>
      </c>
      <c r="BK325" s="67">
        <f>VLOOKUP(AN325,Leyenda!$B$71:$E$75,4,FALSE)</f>
        <v>10</v>
      </c>
      <c r="BL325" s="67">
        <f t="shared" ref="BL325:BL389" si="143">+BC325+BD325+BE325+BF325+BG325+BH325+BI325+BJ325+BK325</f>
        <v>23</v>
      </c>
      <c r="BM325" s="18" t="e">
        <f t="shared" ref="BM325:BM389" si="144">+AX325+AY325+AW325+AZ325+BA325</f>
        <v>#VALUE!</v>
      </c>
      <c r="BN325" s="18"/>
      <c r="BO325" s="18"/>
      <c r="BP325">
        <f t="shared" ref="BP325:BP377" si="145">+IF(BL325&lt;30,10,IF(BL325&lt;=41,20,30))</f>
        <v>10</v>
      </c>
      <c r="BQ325">
        <f t="shared" ref="BQ325:BQ377" si="146">+IF(Y325&lt;0.1,10,IF(AND(Y325&gt;0.1,Y325&lt;1),20,50))</f>
        <v>10</v>
      </c>
      <c r="BR325">
        <v>20</v>
      </c>
      <c r="BS325">
        <f t="shared" ref="BS325:BS388" si="147">25*M325-50</f>
        <v>-50</v>
      </c>
      <c r="BT325">
        <f t="shared" ref="BT325:BT388" si="148">0.05*N325</f>
        <v>0</v>
      </c>
      <c r="BU325">
        <f t="shared" ref="BU325:BU388" si="149">0.5*((BP325+BQ325)+BR325+BS325+BT325)</f>
        <v>-5</v>
      </c>
      <c r="BV325" s="1">
        <f t="shared" si="133"/>
        <v>-0.02</v>
      </c>
      <c r="BW325" s="1">
        <f t="shared" si="134"/>
        <v>0</v>
      </c>
    </row>
    <row r="326" spans="1:75" hidden="1" x14ac:dyDescent="0.25">
      <c r="A326" s="18" t="s">
        <v>6</v>
      </c>
      <c r="B326" s="18">
        <v>2024</v>
      </c>
      <c r="C326" s="18" t="s">
        <v>138</v>
      </c>
      <c r="D326" s="18" t="s">
        <v>130</v>
      </c>
      <c r="E326" s="18">
        <v>20</v>
      </c>
      <c r="F326" s="18" t="s">
        <v>156</v>
      </c>
      <c r="G326" s="18" t="s">
        <v>186</v>
      </c>
      <c r="H326" s="4">
        <f t="shared" si="129"/>
        <v>46</v>
      </c>
      <c r="I326" s="4">
        <v>46.5</v>
      </c>
      <c r="J326" s="4">
        <f t="shared" si="135"/>
        <v>0.5</v>
      </c>
      <c r="K326" s="5">
        <v>0.46</v>
      </c>
      <c r="L326" s="31">
        <f t="shared" si="136"/>
        <v>0.23</v>
      </c>
      <c r="M326" s="31"/>
      <c r="N326" s="31"/>
      <c r="O326" s="31">
        <f t="shared" si="131"/>
        <v>0.23</v>
      </c>
      <c r="P326" s="31">
        <v>11.5</v>
      </c>
      <c r="Q326" s="31">
        <v>20</v>
      </c>
      <c r="R326" s="31">
        <v>0.23</v>
      </c>
      <c r="S326" s="31">
        <v>0</v>
      </c>
      <c r="T326" s="65">
        <f t="shared" si="127"/>
        <v>0</v>
      </c>
      <c r="U326" s="31">
        <v>7</v>
      </c>
      <c r="V326" s="31"/>
      <c r="W326" s="31">
        <f t="shared" si="106"/>
        <v>7</v>
      </c>
      <c r="X326" s="31">
        <f t="shared" si="130"/>
        <v>32.857142857142854</v>
      </c>
      <c r="Y326" s="31">
        <f t="shared" si="137"/>
        <v>3.2857142857142856E-2</v>
      </c>
      <c r="Z326" s="18">
        <v>0</v>
      </c>
      <c r="AA326" s="18" t="s">
        <v>330</v>
      </c>
      <c r="AB326" s="18" t="s">
        <v>333</v>
      </c>
      <c r="AC326" s="18" t="s">
        <v>337</v>
      </c>
      <c r="AD326" s="18">
        <v>20</v>
      </c>
      <c r="AE326" s="18">
        <v>11.5</v>
      </c>
      <c r="AF326" s="18" t="s">
        <v>29</v>
      </c>
      <c r="AG326" s="18" t="s">
        <v>29</v>
      </c>
      <c r="AH326" s="18" t="s">
        <v>29</v>
      </c>
      <c r="AI326" s="18" t="s">
        <v>66</v>
      </c>
      <c r="AJ326" s="18" t="s">
        <v>79</v>
      </c>
      <c r="AK326" s="18" t="s">
        <v>96</v>
      </c>
      <c r="AL326" s="18" t="s">
        <v>107</v>
      </c>
      <c r="AM326" s="18" t="s">
        <v>118</v>
      </c>
      <c r="AN326" s="18" t="s">
        <v>198</v>
      </c>
      <c r="AO326" s="18" t="s">
        <v>235</v>
      </c>
      <c r="AP326" s="18"/>
      <c r="AQ326" s="18">
        <f>+VLOOKUP(AI326,Leyenda!$B$30:$E$34,3,FALSE)</f>
        <v>1</v>
      </c>
      <c r="AR326" s="18">
        <f>+VLOOKUP('3. Blasting'!AJ326,Meteorizacion,3,FALSE)</f>
        <v>1</v>
      </c>
      <c r="AS326" s="18">
        <f>+VLOOKUP('3. Blasting'!AK326,Apertura,3,FALSE)</f>
        <v>1</v>
      </c>
      <c r="AT326" s="18">
        <f>+VLOOKUP('3. Blasting'!AL326,Leyenda!$B$55:$D$59,3,FALSE)</f>
        <v>3</v>
      </c>
      <c r="AU326" s="18">
        <f>+VLOOKUP('3. Blasting'!AM326,Relleno,3,FALSE)</f>
        <v>2</v>
      </c>
      <c r="AV326" s="18">
        <f t="shared" si="128"/>
        <v>8</v>
      </c>
      <c r="AW326" s="49">
        <f t="shared" si="138"/>
        <v>0</v>
      </c>
      <c r="AX326" s="49">
        <f>VLOOKUP(AF326,Leyenda!$B$4:$D$10,3,FALSE)</f>
        <v>2</v>
      </c>
      <c r="AY326" s="50">
        <f t="shared" si="132"/>
        <v>4</v>
      </c>
      <c r="AZ326" s="49">
        <f t="shared" si="139"/>
        <v>8</v>
      </c>
      <c r="BA326" s="49">
        <f>VLOOKUP(AN326,Leyenda!$B$70:$D$75,3,FALSE)</f>
        <v>15</v>
      </c>
      <c r="BB326" s="67">
        <f t="shared" si="140"/>
        <v>12</v>
      </c>
      <c r="BC326" s="67">
        <f>VLOOKUP(AF326,Leyenda!$B$4:$E$10,4,FALSE)</f>
        <v>2</v>
      </c>
      <c r="BD326" s="67">
        <f t="shared" si="141"/>
        <v>5</v>
      </c>
      <c r="BE326" s="67">
        <f t="shared" si="142"/>
        <v>0</v>
      </c>
      <c r="BF326" s="67">
        <f>+VLOOKUP('3. Blasting'!AK326,Leyenda!$B$47:$E$51,4,FALSE)</f>
        <v>1</v>
      </c>
      <c r="BG326" s="67">
        <f>+VLOOKUP('3. Blasting'!AL326,Leyenda!$B$55:$E$59,4,FALSE)</f>
        <v>3</v>
      </c>
      <c r="BH326" s="67">
        <f>+VLOOKUP('3. Blasting'!AM326,Leyenda!$B$63:$E$67,3,FALSE)</f>
        <v>2</v>
      </c>
      <c r="BI326" s="67">
        <f>+VLOOKUP('3. Blasting'!AJ326,Leyenda!$B$39:$E$43,4,FALSE)</f>
        <v>1</v>
      </c>
      <c r="BJ326" s="67">
        <f>+VLOOKUP('3. Blasting'!AI326,Leyenda!$B$30:$E$34,4,FALSE)</f>
        <v>1</v>
      </c>
      <c r="BK326" s="67">
        <f>VLOOKUP(AN326,Leyenda!$B$71:$E$75,4,FALSE)</f>
        <v>10</v>
      </c>
      <c r="BL326" s="67">
        <f t="shared" si="143"/>
        <v>25</v>
      </c>
      <c r="BM326" s="18">
        <f t="shared" si="144"/>
        <v>29</v>
      </c>
      <c r="BN326" s="18"/>
      <c r="BO326" s="18"/>
      <c r="BP326">
        <f t="shared" si="145"/>
        <v>10</v>
      </c>
      <c r="BQ326">
        <f t="shared" si="146"/>
        <v>10</v>
      </c>
      <c r="BR326">
        <v>20</v>
      </c>
      <c r="BS326">
        <f t="shared" si="147"/>
        <v>-50</v>
      </c>
      <c r="BT326">
        <f t="shared" si="148"/>
        <v>0</v>
      </c>
      <c r="BU326">
        <f t="shared" si="149"/>
        <v>-5</v>
      </c>
      <c r="BV326" s="1">
        <f t="shared" si="133"/>
        <v>-0.02</v>
      </c>
      <c r="BW326" s="1">
        <f t="shared" si="134"/>
        <v>0</v>
      </c>
    </row>
    <row r="327" spans="1:75" hidden="1" x14ac:dyDescent="0.25">
      <c r="A327" s="18" t="s">
        <v>6</v>
      </c>
      <c r="B327" s="18">
        <v>2024</v>
      </c>
      <c r="C327" s="18" t="s">
        <v>138</v>
      </c>
      <c r="D327" s="18" t="s">
        <v>130</v>
      </c>
      <c r="E327" s="18">
        <v>20</v>
      </c>
      <c r="F327" s="18" t="s">
        <v>156</v>
      </c>
      <c r="G327" s="18" t="s">
        <v>186</v>
      </c>
      <c r="H327" s="4">
        <f t="shared" si="129"/>
        <v>46.5</v>
      </c>
      <c r="I327" s="4">
        <v>47</v>
      </c>
      <c r="J327" s="4">
        <f t="shared" si="135"/>
        <v>0.5</v>
      </c>
      <c r="K327" s="5">
        <v>0.2</v>
      </c>
      <c r="L327" s="31">
        <f t="shared" si="136"/>
        <v>0.1</v>
      </c>
      <c r="M327" s="31"/>
      <c r="N327" s="31"/>
      <c r="O327" s="31">
        <f t="shared" si="131"/>
        <v>0.1</v>
      </c>
      <c r="P327" s="31">
        <v>5</v>
      </c>
      <c r="Q327" s="31">
        <v>20</v>
      </c>
      <c r="R327" s="31">
        <v>7.0000000000000007E-2</v>
      </c>
      <c r="S327" s="31">
        <v>0</v>
      </c>
      <c r="T327" s="65">
        <f t="shared" si="127"/>
        <v>0</v>
      </c>
      <c r="U327" s="31">
        <v>5</v>
      </c>
      <c r="V327" s="31"/>
      <c r="W327" s="31">
        <f t="shared" si="106"/>
        <v>5</v>
      </c>
      <c r="X327" s="31">
        <f t="shared" si="130"/>
        <v>14</v>
      </c>
      <c r="Y327" s="31">
        <f t="shared" si="137"/>
        <v>1.4E-2</v>
      </c>
      <c r="Z327" s="18">
        <v>0</v>
      </c>
      <c r="AA327" s="18" t="s">
        <v>330</v>
      </c>
      <c r="AB327" s="18" t="s">
        <v>333</v>
      </c>
      <c r="AC327" s="18" t="s">
        <v>337</v>
      </c>
      <c r="AD327" s="18">
        <v>20</v>
      </c>
      <c r="AE327" s="18">
        <v>5</v>
      </c>
      <c r="AF327" s="18" t="s">
        <v>29</v>
      </c>
      <c r="AG327" s="18" t="s">
        <v>29</v>
      </c>
      <c r="AH327" s="18" t="s">
        <v>29</v>
      </c>
      <c r="AI327" s="18" t="s">
        <v>66</v>
      </c>
      <c r="AJ327" s="18" t="s">
        <v>79</v>
      </c>
      <c r="AK327" s="18" t="s">
        <v>96</v>
      </c>
      <c r="AL327" s="18" t="s">
        <v>107</v>
      </c>
      <c r="AM327" s="18" t="s">
        <v>118</v>
      </c>
      <c r="AN327" s="18" t="s">
        <v>198</v>
      </c>
      <c r="AO327" s="18" t="s">
        <v>235</v>
      </c>
      <c r="AP327" s="18"/>
      <c r="AQ327" s="18">
        <f>+VLOOKUP(AI327,Leyenda!$B$30:$E$34,3,FALSE)</f>
        <v>1</v>
      </c>
      <c r="AR327" s="18">
        <f>+VLOOKUP('3. Blasting'!AJ327,Meteorizacion,3,FALSE)</f>
        <v>1</v>
      </c>
      <c r="AS327" s="18">
        <f>+VLOOKUP('3. Blasting'!AK327,Apertura,3,FALSE)</f>
        <v>1</v>
      </c>
      <c r="AT327" s="18">
        <f>+VLOOKUP('3. Blasting'!AL327,Leyenda!$B$55:$D$59,3,FALSE)</f>
        <v>3</v>
      </c>
      <c r="AU327" s="18">
        <f>+VLOOKUP('3. Blasting'!AM327,Relleno,3,FALSE)</f>
        <v>2</v>
      </c>
      <c r="AV327" s="18">
        <f t="shared" si="128"/>
        <v>8</v>
      </c>
      <c r="AW327" s="49">
        <f t="shared" si="138"/>
        <v>0</v>
      </c>
      <c r="AX327" s="49">
        <f>VLOOKUP(AF327,Leyenda!$B$4:$D$10,3,FALSE)</f>
        <v>2</v>
      </c>
      <c r="AY327" s="50">
        <f t="shared" si="132"/>
        <v>3</v>
      </c>
      <c r="AZ327" s="49">
        <f t="shared" si="139"/>
        <v>8</v>
      </c>
      <c r="BA327" s="49">
        <f>VLOOKUP(AN327,Leyenda!$B$70:$D$75,3,FALSE)</f>
        <v>15</v>
      </c>
      <c r="BB327" s="67">
        <f t="shared" si="140"/>
        <v>12</v>
      </c>
      <c r="BC327" s="67">
        <f>VLOOKUP(AF327,Leyenda!$B$4:$E$10,4,FALSE)</f>
        <v>2</v>
      </c>
      <c r="BD327" s="67">
        <f t="shared" si="141"/>
        <v>5</v>
      </c>
      <c r="BE327" s="67">
        <f t="shared" si="142"/>
        <v>0</v>
      </c>
      <c r="BF327" s="67">
        <f>+VLOOKUP('3. Blasting'!AK327,Leyenda!$B$47:$E$51,4,FALSE)</f>
        <v>1</v>
      </c>
      <c r="BG327" s="67">
        <f>+VLOOKUP('3. Blasting'!AL327,Leyenda!$B$55:$E$59,4,FALSE)</f>
        <v>3</v>
      </c>
      <c r="BH327" s="67">
        <f>+VLOOKUP('3. Blasting'!AM327,Leyenda!$B$63:$E$67,3,FALSE)</f>
        <v>2</v>
      </c>
      <c r="BI327" s="67">
        <f>+VLOOKUP('3. Blasting'!AJ327,Leyenda!$B$39:$E$43,4,FALSE)</f>
        <v>1</v>
      </c>
      <c r="BJ327" s="67">
        <f>+VLOOKUP('3. Blasting'!AI327,Leyenda!$B$30:$E$34,4,FALSE)</f>
        <v>1</v>
      </c>
      <c r="BK327" s="67">
        <f>VLOOKUP(AN327,Leyenda!$B$71:$E$75,4,FALSE)</f>
        <v>10</v>
      </c>
      <c r="BL327" s="67">
        <f t="shared" si="143"/>
        <v>25</v>
      </c>
      <c r="BM327" s="18">
        <f t="shared" si="144"/>
        <v>28</v>
      </c>
      <c r="BN327" s="18"/>
      <c r="BO327" s="18"/>
      <c r="BP327">
        <f t="shared" si="145"/>
        <v>10</v>
      </c>
      <c r="BQ327">
        <f t="shared" si="146"/>
        <v>10</v>
      </c>
      <c r="BR327">
        <v>20</v>
      </c>
      <c r="BS327">
        <f t="shared" si="147"/>
        <v>-50</v>
      </c>
      <c r="BT327">
        <f t="shared" si="148"/>
        <v>0</v>
      </c>
      <c r="BU327">
        <f t="shared" si="149"/>
        <v>-5</v>
      </c>
      <c r="BV327" s="1">
        <f t="shared" si="133"/>
        <v>-0.02</v>
      </c>
      <c r="BW327" s="1">
        <f t="shared" si="134"/>
        <v>0</v>
      </c>
    </row>
    <row r="328" spans="1:75" hidden="1" x14ac:dyDescent="0.25">
      <c r="A328" s="18" t="s">
        <v>6</v>
      </c>
      <c r="B328" s="18">
        <v>2024</v>
      </c>
      <c r="C328" s="18" t="s">
        <v>138</v>
      </c>
      <c r="D328" s="18" t="s">
        <v>130</v>
      </c>
      <c r="E328" s="18">
        <v>20</v>
      </c>
      <c r="F328" s="18" t="s">
        <v>156</v>
      </c>
      <c r="G328" s="18" t="s">
        <v>186</v>
      </c>
      <c r="H328" s="4">
        <f t="shared" si="129"/>
        <v>47</v>
      </c>
      <c r="I328" s="4">
        <v>47.5</v>
      </c>
      <c r="J328" s="4">
        <f t="shared" si="135"/>
        <v>0.5</v>
      </c>
      <c r="K328" s="5">
        <v>0.24</v>
      </c>
      <c r="L328" s="31">
        <f t="shared" si="136"/>
        <v>0.12</v>
      </c>
      <c r="M328" s="31"/>
      <c r="N328" s="31"/>
      <c r="O328" s="31">
        <f t="shared" si="131"/>
        <v>0.12</v>
      </c>
      <c r="P328" s="31">
        <v>6</v>
      </c>
      <c r="Q328" s="31">
        <v>20</v>
      </c>
      <c r="R328" s="31">
        <v>0.1</v>
      </c>
      <c r="S328" s="31">
        <v>0</v>
      </c>
      <c r="T328" s="65">
        <f t="shared" si="127"/>
        <v>0</v>
      </c>
      <c r="U328" s="31">
        <v>5</v>
      </c>
      <c r="V328" s="31"/>
      <c r="W328" s="31">
        <f t="shared" si="106"/>
        <v>5</v>
      </c>
      <c r="X328" s="31">
        <f t="shared" si="130"/>
        <v>20</v>
      </c>
      <c r="Y328" s="31">
        <f t="shared" si="137"/>
        <v>0.02</v>
      </c>
      <c r="Z328" s="18">
        <v>0</v>
      </c>
      <c r="AA328" s="18" t="s">
        <v>330</v>
      </c>
      <c r="AB328" s="18" t="s">
        <v>333</v>
      </c>
      <c r="AC328" s="18" t="s">
        <v>337</v>
      </c>
      <c r="AD328" s="18">
        <v>20</v>
      </c>
      <c r="AE328" s="18">
        <v>6</v>
      </c>
      <c r="AF328" s="18" t="s">
        <v>29</v>
      </c>
      <c r="AG328" s="18" t="s">
        <v>29</v>
      </c>
      <c r="AH328" s="18" t="s">
        <v>29</v>
      </c>
      <c r="AI328" s="18" t="s">
        <v>66</v>
      </c>
      <c r="AJ328" s="18" t="s">
        <v>79</v>
      </c>
      <c r="AK328" s="18" t="s">
        <v>96</v>
      </c>
      <c r="AL328" s="18" t="s">
        <v>107</v>
      </c>
      <c r="AM328" s="18" t="s">
        <v>118</v>
      </c>
      <c r="AN328" s="18" t="s">
        <v>198</v>
      </c>
      <c r="AO328" s="18" t="s">
        <v>235</v>
      </c>
      <c r="AP328" s="18"/>
      <c r="AQ328" s="18">
        <f>+VLOOKUP(AI328,Leyenda!$B$30:$E$34,3,FALSE)</f>
        <v>1</v>
      </c>
      <c r="AR328" s="18">
        <f>+VLOOKUP('3. Blasting'!AJ328,Meteorizacion,3,FALSE)</f>
        <v>1</v>
      </c>
      <c r="AS328" s="18">
        <f>+VLOOKUP('3. Blasting'!AK328,Apertura,3,FALSE)</f>
        <v>1</v>
      </c>
      <c r="AT328" s="18">
        <f>+VLOOKUP('3. Blasting'!AL328,Leyenda!$B$55:$D$59,3,FALSE)</f>
        <v>3</v>
      </c>
      <c r="AU328" s="18">
        <f>+VLOOKUP('3. Blasting'!AM328,Relleno,3,FALSE)</f>
        <v>2</v>
      </c>
      <c r="AV328" s="18">
        <f t="shared" si="128"/>
        <v>8</v>
      </c>
      <c r="AW328" s="49">
        <f t="shared" si="138"/>
        <v>0</v>
      </c>
      <c r="AX328" s="49">
        <f>VLOOKUP(AF328,Leyenda!$B$4:$D$10,3,FALSE)</f>
        <v>2</v>
      </c>
      <c r="AY328" s="50">
        <f t="shared" si="132"/>
        <v>3</v>
      </c>
      <c r="AZ328" s="49">
        <f t="shared" si="139"/>
        <v>8</v>
      </c>
      <c r="BA328" s="49">
        <f>VLOOKUP(AN328,Leyenda!$B$70:$D$75,3,FALSE)</f>
        <v>15</v>
      </c>
      <c r="BB328" s="67">
        <f t="shared" si="140"/>
        <v>12</v>
      </c>
      <c r="BC328" s="67">
        <f>VLOOKUP(AF328,Leyenda!$B$4:$E$10,4,FALSE)</f>
        <v>2</v>
      </c>
      <c r="BD328" s="67">
        <f t="shared" si="141"/>
        <v>5</v>
      </c>
      <c r="BE328" s="67">
        <f t="shared" si="142"/>
        <v>0</v>
      </c>
      <c r="BF328" s="67">
        <f>+VLOOKUP('3. Blasting'!AK328,Leyenda!$B$47:$E$51,4,FALSE)</f>
        <v>1</v>
      </c>
      <c r="BG328" s="67">
        <f>+VLOOKUP('3. Blasting'!AL328,Leyenda!$B$55:$E$59,4,FALSE)</f>
        <v>3</v>
      </c>
      <c r="BH328" s="67">
        <f>+VLOOKUP('3. Blasting'!AM328,Leyenda!$B$63:$E$67,3,FALSE)</f>
        <v>2</v>
      </c>
      <c r="BI328" s="67">
        <f>+VLOOKUP('3. Blasting'!AJ328,Leyenda!$B$39:$E$43,4,FALSE)</f>
        <v>1</v>
      </c>
      <c r="BJ328" s="67">
        <f>+VLOOKUP('3. Blasting'!AI328,Leyenda!$B$30:$E$34,4,FALSE)</f>
        <v>1</v>
      </c>
      <c r="BK328" s="67">
        <f>VLOOKUP(AN328,Leyenda!$B$71:$E$75,4,FALSE)</f>
        <v>10</v>
      </c>
      <c r="BL328" s="67">
        <f t="shared" si="143"/>
        <v>25</v>
      </c>
      <c r="BM328" s="18">
        <f t="shared" si="144"/>
        <v>28</v>
      </c>
      <c r="BN328" s="18"/>
      <c r="BO328" s="18"/>
      <c r="BP328">
        <f t="shared" si="145"/>
        <v>10</v>
      </c>
      <c r="BQ328">
        <f t="shared" si="146"/>
        <v>10</v>
      </c>
      <c r="BR328">
        <v>20</v>
      </c>
      <c r="BS328">
        <f t="shared" si="147"/>
        <v>-50</v>
      </c>
      <c r="BT328">
        <f t="shared" si="148"/>
        <v>0</v>
      </c>
      <c r="BU328">
        <f t="shared" si="149"/>
        <v>-5</v>
      </c>
      <c r="BV328" s="1">
        <f t="shared" si="133"/>
        <v>-0.02</v>
      </c>
      <c r="BW328" s="1">
        <f t="shared" si="134"/>
        <v>0</v>
      </c>
    </row>
    <row r="329" spans="1:75" hidden="1" x14ac:dyDescent="0.25">
      <c r="A329" s="18" t="s">
        <v>6</v>
      </c>
      <c r="B329" s="18">
        <v>2024</v>
      </c>
      <c r="C329" s="18" t="s">
        <v>138</v>
      </c>
      <c r="D329" s="18" t="s">
        <v>130</v>
      </c>
      <c r="E329" s="18">
        <v>20</v>
      </c>
      <c r="F329" s="18" t="s">
        <v>156</v>
      </c>
      <c r="G329" s="18" t="s">
        <v>186</v>
      </c>
      <c r="H329" s="4">
        <f t="shared" si="129"/>
        <v>47.5</v>
      </c>
      <c r="I329" s="4">
        <v>48</v>
      </c>
      <c r="J329" s="4">
        <f t="shared" si="135"/>
        <v>0.5</v>
      </c>
      <c r="K329" s="5">
        <v>0.22</v>
      </c>
      <c r="L329" s="31">
        <f t="shared" si="136"/>
        <v>0.11</v>
      </c>
      <c r="M329" s="31"/>
      <c r="N329" s="31"/>
      <c r="O329" s="31">
        <f t="shared" si="131"/>
        <v>0.11</v>
      </c>
      <c r="P329" s="31">
        <v>5.5</v>
      </c>
      <c r="Q329" s="31">
        <v>20</v>
      </c>
      <c r="R329" s="31">
        <v>0.1</v>
      </c>
      <c r="S329" s="31">
        <v>0</v>
      </c>
      <c r="T329" s="65">
        <f t="shared" si="127"/>
        <v>0</v>
      </c>
      <c r="U329" s="31">
        <v>5</v>
      </c>
      <c r="V329" s="31"/>
      <c r="W329" s="31">
        <f t="shared" si="106"/>
        <v>5</v>
      </c>
      <c r="X329" s="31">
        <f t="shared" si="130"/>
        <v>20</v>
      </c>
      <c r="Y329" s="31">
        <f t="shared" si="137"/>
        <v>0.02</v>
      </c>
      <c r="Z329" s="18">
        <v>0</v>
      </c>
      <c r="AA329" s="18" t="s">
        <v>330</v>
      </c>
      <c r="AB329" s="18" t="s">
        <v>333</v>
      </c>
      <c r="AC329" s="18" t="s">
        <v>337</v>
      </c>
      <c r="AD329" s="18">
        <v>20</v>
      </c>
      <c r="AE329" s="18">
        <v>5.5</v>
      </c>
      <c r="AF329" s="18" t="s">
        <v>29</v>
      </c>
      <c r="AG329" s="18" t="s">
        <v>29</v>
      </c>
      <c r="AH329" s="18" t="s">
        <v>29</v>
      </c>
      <c r="AI329" s="18" t="s">
        <v>66</v>
      </c>
      <c r="AJ329" s="18" t="s">
        <v>79</v>
      </c>
      <c r="AK329" s="18" t="s">
        <v>96</v>
      </c>
      <c r="AL329" s="18" t="s">
        <v>107</v>
      </c>
      <c r="AM329" s="18" t="s">
        <v>118</v>
      </c>
      <c r="AN329" s="18" t="s">
        <v>198</v>
      </c>
      <c r="AO329" s="18" t="s">
        <v>235</v>
      </c>
      <c r="AP329" s="18"/>
      <c r="AQ329" s="18">
        <f>+VLOOKUP(AI329,Leyenda!$B$30:$E$34,3,FALSE)</f>
        <v>1</v>
      </c>
      <c r="AR329" s="18">
        <f>+VLOOKUP('3. Blasting'!AJ329,Meteorizacion,3,FALSE)</f>
        <v>1</v>
      </c>
      <c r="AS329" s="18">
        <f>+VLOOKUP('3. Blasting'!AK329,Apertura,3,FALSE)</f>
        <v>1</v>
      </c>
      <c r="AT329" s="18">
        <f>+VLOOKUP('3. Blasting'!AL329,Leyenda!$B$55:$D$59,3,FALSE)</f>
        <v>3</v>
      </c>
      <c r="AU329" s="18">
        <f>+VLOOKUP('3. Blasting'!AM329,Relleno,3,FALSE)</f>
        <v>2</v>
      </c>
      <c r="AV329" s="18">
        <f t="shared" si="128"/>
        <v>8</v>
      </c>
      <c r="AW329" s="49">
        <f t="shared" si="138"/>
        <v>0</v>
      </c>
      <c r="AX329" s="49">
        <f>VLOOKUP(AF329,Leyenda!$B$4:$D$10,3,FALSE)</f>
        <v>2</v>
      </c>
      <c r="AY329" s="50">
        <f t="shared" si="132"/>
        <v>3</v>
      </c>
      <c r="AZ329" s="49">
        <f t="shared" si="139"/>
        <v>8</v>
      </c>
      <c r="BA329" s="49">
        <f>VLOOKUP(AN329,Leyenda!$B$70:$D$75,3,FALSE)</f>
        <v>15</v>
      </c>
      <c r="BB329" s="67">
        <f t="shared" si="140"/>
        <v>12</v>
      </c>
      <c r="BC329" s="67">
        <f>VLOOKUP(AF329,Leyenda!$B$4:$E$10,4,FALSE)</f>
        <v>2</v>
      </c>
      <c r="BD329" s="67">
        <f t="shared" si="141"/>
        <v>5</v>
      </c>
      <c r="BE329" s="67">
        <f t="shared" si="142"/>
        <v>0</v>
      </c>
      <c r="BF329" s="67">
        <f>+VLOOKUP('3. Blasting'!AK329,Leyenda!$B$47:$E$51,4,FALSE)</f>
        <v>1</v>
      </c>
      <c r="BG329" s="67">
        <f>+VLOOKUP('3. Blasting'!AL329,Leyenda!$B$55:$E$59,4,FALSE)</f>
        <v>3</v>
      </c>
      <c r="BH329" s="67">
        <f>+VLOOKUP('3. Blasting'!AM329,Leyenda!$B$63:$E$67,3,FALSE)</f>
        <v>2</v>
      </c>
      <c r="BI329" s="67">
        <f>+VLOOKUP('3. Blasting'!AJ329,Leyenda!$B$39:$E$43,4,FALSE)</f>
        <v>1</v>
      </c>
      <c r="BJ329" s="67">
        <f>+VLOOKUP('3. Blasting'!AI329,Leyenda!$B$30:$E$34,4,FALSE)</f>
        <v>1</v>
      </c>
      <c r="BK329" s="67">
        <f>VLOOKUP(AN329,Leyenda!$B$71:$E$75,4,FALSE)</f>
        <v>10</v>
      </c>
      <c r="BL329" s="67">
        <f t="shared" si="143"/>
        <v>25</v>
      </c>
      <c r="BM329" s="18">
        <f t="shared" si="144"/>
        <v>28</v>
      </c>
      <c r="BN329" s="18"/>
      <c r="BO329" s="18"/>
      <c r="BP329">
        <f t="shared" si="145"/>
        <v>10</v>
      </c>
      <c r="BQ329">
        <f t="shared" si="146"/>
        <v>10</v>
      </c>
      <c r="BR329">
        <v>20</v>
      </c>
      <c r="BS329">
        <f t="shared" si="147"/>
        <v>-50</v>
      </c>
      <c r="BT329">
        <f t="shared" si="148"/>
        <v>0</v>
      </c>
      <c r="BU329">
        <f t="shared" si="149"/>
        <v>-5</v>
      </c>
      <c r="BV329" s="1">
        <f t="shared" si="133"/>
        <v>-0.02</v>
      </c>
      <c r="BW329" s="1">
        <f t="shared" si="134"/>
        <v>0</v>
      </c>
    </row>
    <row r="330" spans="1:75" hidden="1" x14ac:dyDescent="0.25">
      <c r="A330" s="18" t="s">
        <v>6</v>
      </c>
      <c r="B330" s="18">
        <v>2024</v>
      </c>
      <c r="C330" s="18" t="s">
        <v>138</v>
      </c>
      <c r="D330" s="18" t="s">
        <v>130</v>
      </c>
      <c r="E330" s="18">
        <v>20</v>
      </c>
      <c r="F330" s="18" t="s">
        <v>156</v>
      </c>
      <c r="G330" s="18" t="s">
        <v>186</v>
      </c>
      <c r="H330" s="4">
        <f t="shared" si="129"/>
        <v>48</v>
      </c>
      <c r="I330" s="4">
        <v>48.5</v>
      </c>
      <c r="J330" s="4">
        <f t="shared" si="135"/>
        <v>0.5</v>
      </c>
      <c r="K330" s="5">
        <v>0.38</v>
      </c>
      <c r="L330" s="31">
        <f t="shared" si="136"/>
        <v>0.19</v>
      </c>
      <c r="M330" s="31"/>
      <c r="N330" s="31"/>
      <c r="O330" s="31">
        <f t="shared" si="131"/>
        <v>0.19</v>
      </c>
      <c r="P330" s="31">
        <v>9.5</v>
      </c>
      <c r="Q330" s="31">
        <v>20</v>
      </c>
      <c r="R330" s="31">
        <v>0.18</v>
      </c>
      <c r="S330" s="31">
        <v>0</v>
      </c>
      <c r="T330" s="65">
        <f t="shared" si="127"/>
        <v>0</v>
      </c>
      <c r="U330" s="31">
        <v>7</v>
      </c>
      <c r="V330" s="31"/>
      <c r="W330" s="31">
        <f t="shared" si="106"/>
        <v>7</v>
      </c>
      <c r="X330" s="31">
        <f t="shared" si="130"/>
        <v>25.714285714285715</v>
      </c>
      <c r="Y330" s="31">
        <f t="shared" si="137"/>
        <v>2.5714285714285714E-2</v>
      </c>
      <c r="Z330" s="18">
        <v>0</v>
      </c>
      <c r="AA330" s="18" t="s">
        <v>330</v>
      </c>
      <c r="AB330" s="18" t="s">
        <v>333</v>
      </c>
      <c r="AC330" s="18" t="s">
        <v>337</v>
      </c>
      <c r="AD330" s="18">
        <v>20</v>
      </c>
      <c r="AE330" s="18">
        <v>9.5</v>
      </c>
      <c r="AF330" s="18" t="s">
        <v>29</v>
      </c>
      <c r="AG330" s="18" t="s">
        <v>29</v>
      </c>
      <c r="AH330" s="18" t="s">
        <v>29</v>
      </c>
      <c r="AI330" s="18" t="s">
        <v>66</v>
      </c>
      <c r="AJ330" s="18" t="s">
        <v>79</v>
      </c>
      <c r="AK330" s="18" t="s">
        <v>96</v>
      </c>
      <c r="AL330" s="18" t="s">
        <v>107</v>
      </c>
      <c r="AM330" s="18" t="s">
        <v>118</v>
      </c>
      <c r="AN330" s="18" t="s">
        <v>198</v>
      </c>
      <c r="AO330" s="18" t="s">
        <v>235</v>
      </c>
      <c r="AP330" s="18"/>
      <c r="AQ330" s="18">
        <f>+VLOOKUP(AI330,Leyenda!$B$30:$E$34,3,FALSE)</f>
        <v>1</v>
      </c>
      <c r="AR330" s="18">
        <f>+VLOOKUP('3. Blasting'!AJ330,Meteorizacion,3,FALSE)</f>
        <v>1</v>
      </c>
      <c r="AS330" s="18">
        <f>+VLOOKUP('3. Blasting'!AK330,Apertura,3,FALSE)</f>
        <v>1</v>
      </c>
      <c r="AT330" s="18">
        <f>+VLOOKUP('3. Blasting'!AL330,Leyenda!$B$55:$D$59,3,FALSE)</f>
        <v>3</v>
      </c>
      <c r="AU330" s="18">
        <f>+VLOOKUP('3. Blasting'!AM330,Relleno,3,FALSE)</f>
        <v>2</v>
      </c>
      <c r="AV330" s="18">
        <f t="shared" si="128"/>
        <v>8</v>
      </c>
      <c r="AW330" s="49">
        <f t="shared" si="138"/>
        <v>0</v>
      </c>
      <c r="AX330" s="49">
        <f>VLOOKUP(AF330,Leyenda!$B$4:$D$10,3,FALSE)</f>
        <v>2</v>
      </c>
      <c r="AY330" s="50">
        <f t="shared" si="132"/>
        <v>3</v>
      </c>
      <c r="AZ330" s="49">
        <f t="shared" si="139"/>
        <v>8</v>
      </c>
      <c r="BA330" s="49">
        <f>VLOOKUP(AN330,Leyenda!$B$70:$D$75,3,FALSE)</f>
        <v>15</v>
      </c>
      <c r="BB330" s="67">
        <f t="shared" si="140"/>
        <v>12</v>
      </c>
      <c r="BC330" s="67">
        <f>VLOOKUP(AF330,Leyenda!$B$4:$E$10,4,FALSE)</f>
        <v>2</v>
      </c>
      <c r="BD330" s="67">
        <f t="shared" si="141"/>
        <v>5</v>
      </c>
      <c r="BE330" s="67">
        <f t="shared" si="142"/>
        <v>0</v>
      </c>
      <c r="BF330" s="67">
        <f>+VLOOKUP('3. Blasting'!AK330,Leyenda!$B$47:$E$51,4,FALSE)</f>
        <v>1</v>
      </c>
      <c r="BG330" s="67">
        <f>+VLOOKUP('3. Blasting'!AL330,Leyenda!$B$55:$E$59,4,FALSE)</f>
        <v>3</v>
      </c>
      <c r="BH330" s="67">
        <f>+VLOOKUP('3. Blasting'!AM330,Leyenda!$B$63:$E$67,3,FALSE)</f>
        <v>2</v>
      </c>
      <c r="BI330" s="67">
        <f>+VLOOKUP('3. Blasting'!AJ330,Leyenda!$B$39:$E$43,4,FALSE)</f>
        <v>1</v>
      </c>
      <c r="BJ330" s="67">
        <f>+VLOOKUP('3. Blasting'!AI330,Leyenda!$B$30:$E$34,4,FALSE)</f>
        <v>1</v>
      </c>
      <c r="BK330" s="67">
        <f>VLOOKUP(AN330,Leyenda!$B$71:$E$75,4,FALSE)</f>
        <v>10</v>
      </c>
      <c r="BL330" s="67">
        <f t="shared" si="143"/>
        <v>25</v>
      </c>
      <c r="BM330" s="18">
        <f t="shared" si="144"/>
        <v>28</v>
      </c>
      <c r="BN330" s="18"/>
      <c r="BO330" s="18"/>
      <c r="BP330">
        <f t="shared" si="145"/>
        <v>10</v>
      </c>
      <c r="BQ330">
        <f t="shared" si="146"/>
        <v>10</v>
      </c>
      <c r="BR330">
        <v>20</v>
      </c>
      <c r="BS330">
        <f t="shared" si="147"/>
        <v>-50</v>
      </c>
      <c r="BT330">
        <f t="shared" si="148"/>
        <v>0</v>
      </c>
      <c r="BU330">
        <f t="shared" si="149"/>
        <v>-5</v>
      </c>
      <c r="BV330" s="1">
        <f t="shared" si="133"/>
        <v>-0.02</v>
      </c>
      <c r="BW330" s="1">
        <f t="shared" si="134"/>
        <v>0</v>
      </c>
    </row>
    <row r="331" spans="1:75" hidden="1" x14ac:dyDescent="0.25">
      <c r="A331" s="18" t="s">
        <v>6</v>
      </c>
      <c r="B331" s="18">
        <v>2024</v>
      </c>
      <c r="C331" s="18" t="s">
        <v>138</v>
      </c>
      <c r="D331" s="18" t="s">
        <v>130</v>
      </c>
      <c r="E331" s="18">
        <v>20</v>
      </c>
      <c r="F331" s="18" t="s">
        <v>156</v>
      </c>
      <c r="G331" s="18" t="s">
        <v>186</v>
      </c>
      <c r="H331" s="4">
        <f t="shared" si="129"/>
        <v>48.5</v>
      </c>
      <c r="I331" s="4">
        <v>49</v>
      </c>
      <c r="J331" s="4">
        <f t="shared" si="135"/>
        <v>0.5</v>
      </c>
      <c r="K331" s="5">
        <v>0.46</v>
      </c>
      <c r="L331" s="31">
        <f t="shared" si="136"/>
        <v>0.23</v>
      </c>
      <c r="M331" s="31"/>
      <c r="N331" s="31"/>
      <c r="O331" s="31">
        <f t="shared" si="131"/>
        <v>0.23</v>
      </c>
      <c r="P331" s="31">
        <v>11.5</v>
      </c>
      <c r="Q331" s="31">
        <v>20</v>
      </c>
      <c r="R331" s="31">
        <v>0.23</v>
      </c>
      <c r="S331" s="31">
        <v>0</v>
      </c>
      <c r="T331" s="65">
        <f t="shared" ref="T331:T395" si="150">+S331/J331*100</f>
        <v>0</v>
      </c>
      <c r="U331" s="31">
        <v>8</v>
      </c>
      <c r="V331" s="31"/>
      <c r="W331" s="31">
        <f t="shared" si="106"/>
        <v>8</v>
      </c>
      <c r="X331" s="31">
        <f t="shared" si="130"/>
        <v>28.75</v>
      </c>
      <c r="Y331" s="31">
        <f t="shared" si="137"/>
        <v>2.8750000000000001E-2</v>
      </c>
      <c r="Z331" s="18">
        <v>0</v>
      </c>
      <c r="AA331" s="18" t="s">
        <v>330</v>
      </c>
      <c r="AB331" s="18" t="s">
        <v>333</v>
      </c>
      <c r="AC331" s="18" t="s">
        <v>337</v>
      </c>
      <c r="AD331" s="18">
        <v>20</v>
      </c>
      <c r="AE331" s="18">
        <v>11.5</v>
      </c>
      <c r="AF331" s="18" t="s">
        <v>29</v>
      </c>
      <c r="AG331" s="18" t="s">
        <v>29</v>
      </c>
      <c r="AH331" s="18" t="s">
        <v>29</v>
      </c>
      <c r="AI331" s="18" t="s">
        <v>66</v>
      </c>
      <c r="AJ331" s="18" t="s">
        <v>79</v>
      </c>
      <c r="AK331" s="18" t="s">
        <v>96</v>
      </c>
      <c r="AL331" s="18" t="s">
        <v>107</v>
      </c>
      <c r="AM331" s="18" t="s">
        <v>118</v>
      </c>
      <c r="AN331" s="18" t="s">
        <v>198</v>
      </c>
      <c r="AO331" s="18" t="s">
        <v>235</v>
      </c>
      <c r="AP331" s="18"/>
      <c r="AQ331" s="18">
        <f>+VLOOKUP(AI331,Leyenda!$B$30:$E$34,3,FALSE)</f>
        <v>1</v>
      </c>
      <c r="AR331" s="18">
        <f>+VLOOKUP('3. Blasting'!AJ331,Meteorizacion,3,FALSE)</f>
        <v>1</v>
      </c>
      <c r="AS331" s="18">
        <f>+VLOOKUP('3. Blasting'!AK331,Apertura,3,FALSE)</f>
        <v>1</v>
      </c>
      <c r="AT331" s="18">
        <f>+VLOOKUP('3. Blasting'!AL331,Leyenda!$B$55:$D$59,3,FALSE)</f>
        <v>3</v>
      </c>
      <c r="AU331" s="18">
        <f>+VLOOKUP('3. Blasting'!AM331,Relleno,3,FALSE)</f>
        <v>2</v>
      </c>
      <c r="AV331" s="18">
        <f t="shared" ref="AV331:AV395" si="151">+SUM(AQ331:AU331)</f>
        <v>8</v>
      </c>
      <c r="AW331" s="49">
        <f t="shared" si="138"/>
        <v>0</v>
      </c>
      <c r="AX331" s="49">
        <f>VLOOKUP(AF331,Leyenda!$B$4:$D$10,3,FALSE)</f>
        <v>2</v>
      </c>
      <c r="AY331" s="50">
        <f t="shared" si="132"/>
        <v>4</v>
      </c>
      <c r="AZ331" s="49">
        <f t="shared" si="139"/>
        <v>8</v>
      </c>
      <c r="BA331" s="49">
        <f>VLOOKUP(AN331,Leyenda!$B$70:$D$75,3,FALSE)</f>
        <v>15</v>
      </c>
      <c r="BB331" s="67">
        <f t="shared" si="140"/>
        <v>12</v>
      </c>
      <c r="BC331" s="67">
        <f>VLOOKUP(AF331,Leyenda!$B$4:$E$10,4,FALSE)</f>
        <v>2</v>
      </c>
      <c r="BD331" s="67">
        <f t="shared" si="141"/>
        <v>5</v>
      </c>
      <c r="BE331" s="67">
        <f t="shared" si="142"/>
        <v>0</v>
      </c>
      <c r="BF331" s="67">
        <f>+VLOOKUP('3. Blasting'!AK331,Leyenda!$B$47:$E$51,4,FALSE)</f>
        <v>1</v>
      </c>
      <c r="BG331" s="67">
        <f>+VLOOKUP('3. Blasting'!AL331,Leyenda!$B$55:$E$59,4,FALSE)</f>
        <v>3</v>
      </c>
      <c r="BH331" s="67">
        <f>+VLOOKUP('3. Blasting'!AM331,Leyenda!$B$63:$E$67,3,FALSE)</f>
        <v>2</v>
      </c>
      <c r="BI331" s="67">
        <f>+VLOOKUP('3. Blasting'!AJ331,Leyenda!$B$39:$E$43,4,FALSE)</f>
        <v>1</v>
      </c>
      <c r="BJ331" s="67">
        <f>+VLOOKUP('3. Blasting'!AI331,Leyenda!$B$30:$E$34,4,FALSE)</f>
        <v>1</v>
      </c>
      <c r="BK331" s="67">
        <f>VLOOKUP(AN331,Leyenda!$B$71:$E$75,4,FALSE)</f>
        <v>10</v>
      </c>
      <c r="BL331" s="67">
        <f t="shared" si="143"/>
        <v>25</v>
      </c>
      <c r="BM331" s="18">
        <f t="shared" si="144"/>
        <v>29</v>
      </c>
      <c r="BN331" s="18"/>
      <c r="BO331" s="18"/>
      <c r="BP331">
        <f t="shared" si="145"/>
        <v>10</v>
      </c>
      <c r="BQ331">
        <f t="shared" si="146"/>
        <v>10</v>
      </c>
      <c r="BR331">
        <v>20</v>
      </c>
      <c r="BS331">
        <f t="shared" si="147"/>
        <v>-50</v>
      </c>
      <c r="BT331">
        <f t="shared" si="148"/>
        <v>0</v>
      </c>
      <c r="BU331">
        <f t="shared" si="149"/>
        <v>-5</v>
      </c>
      <c r="BV331" s="1">
        <f t="shared" si="133"/>
        <v>-0.02</v>
      </c>
      <c r="BW331" s="1">
        <f t="shared" si="134"/>
        <v>0</v>
      </c>
    </row>
    <row r="332" spans="1:75" hidden="1" x14ac:dyDescent="0.25">
      <c r="A332" s="18" t="s">
        <v>6</v>
      </c>
      <c r="B332" s="18">
        <v>2024</v>
      </c>
      <c r="C332" s="18" t="s">
        <v>138</v>
      </c>
      <c r="D332" s="18" t="s">
        <v>130</v>
      </c>
      <c r="E332" s="18">
        <v>20</v>
      </c>
      <c r="F332" s="18" t="s">
        <v>156</v>
      </c>
      <c r="G332" s="18" t="s">
        <v>186</v>
      </c>
      <c r="H332" s="4">
        <f t="shared" si="129"/>
        <v>49</v>
      </c>
      <c r="I332" s="4">
        <v>49.5</v>
      </c>
      <c r="J332" s="4">
        <f t="shared" si="135"/>
        <v>0.5</v>
      </c>
      <c r="K332" s="5">
        <v>0.34</v>
      </c>
      <c r="L332" s="31">
        <f t="shared" si="136"/>
        <v>0.17</v>
      </c>
      <c r="M332" s="31"/>
      <c r="N332" s="31"/>
      <c r="O332" s="31">
        <f t="shared" si="131"/>
        <v>0.17</v>
      </c>
      <c r="P332" s="31">
        <v>8.5</v>
      </c>
      <c r="Q332" s="31">
        <v>20</v>
      </c>
      <c r="R332" s="31">
        <v>0.1</v>
      </c>
      <c r="S332" s="31">
        <v>0</v>
      </c>
      <c r="T332" s="65">
        <f t="shared" si="150"/>
        <v>0</v>
      </c>
      <c r="U332" s="31">
        <v>7</v>
      </c>
      <c r="V332" s="31"/>
      <c r="W332" s="31">
        <f t="shared" si="106"/>
        <v>7</v>
      </c>
      <c r="X332" s="31">
        <f t="shared" si="130"/>
        <v>14.285714285714286</v>
      </c>
      <c r="Y332" s="31">
        <f t="shared" si="137"/>
        <v>1.4285714285714287E-2</v>
      </c>
      <c r="Z332" s="18">
        <v>0</v>
      </c>
      <c r="AA332" s="18" t="s">
        <v>330</v>
      </c>
      <c r="AB332" s="18" t="s">
        <v>333</v>
      </c>
      <c r="AC332" s="18" t="s">
        <v>337</v>
      </c>
      <c r="AD332" s="18">
        <v>20</v>
      </c>
      <c r="AE332" s="18">
        <v>8.5</v>
      </c>
      <c r="AF332" s="18" t="s">
        <v>29</v>
      </c>
      <c r="AG332" s="18" t="s">
        <v>29</v>
      </c>
      <c r="AH332" s="18" t="s">
        <v>29</v>
      </c>
      <c r="AI332" s="18" t="s">
        <v>66</v>
      </c>
      <c r="AJ332" s="18" t="s">
        <v>79</v>
      </c>
      <c r="AK332" s="18" t="s">
        <v>96</v>
      </c>
      <c r="AL332" s="18" t="s">
        <v>107</v>
      </c>
      <c r="AM332" s="18" t="s">
        <v>118</v>
      </c>
      <c r="AN332" s="18" t="s">
        <v>198</v>
      </c>
      <c r="AO332" s="18" t="s">
        <v>235</v>
      </c>
      <c r="AP332" s="18"/>
      <c r="AQ332" s="18">
        <f>+VLOOKUP(AI332,Leyenda!$B$30:$E$34,3,FALSE)</f>
        <v>1</v>
      </c>
      <c r="AR332" s="18">
        <f>+VLOOKUP('3. Blasting'!AJ332,Meteorizacion,3,FALSE)</f>
        <v>1</v>
      </c>
      <c r="AS332" s="18">
        <f>+VLOOKUP('3. Blasting'!AK332,Apertura,3,FALSE)</f>
        <v>1</v>
      </c>
      <c r="AT332" s="18">
        <f>+VLOOKUP('3. Blasting'!AL332,Leyenda!$B$55:$D$59,3,FALSE)</f>
        <v>3</v>
      </c>
      <c r="AU332" s="18">
        <f>+VLOOKUP('3. Blasting'!AM332,Relleno,3,FALSE)</f>
        <v>2</v>
      </c>
      <c r="AV332" s="18">
        <f t="shared" si="151"/>
        <v>8</v>
      </c>
      <c r="AW332" s="49">
        <f t="shared" si="138"/>
        <v>0</v>
      </c>
      <c r="AX332" s="49">
        <f>VLOOKUP(AF332,Leyenda!$B$4:$D$10,3,FALSE)</f>
        <v>2</v>
      </c>
      <c r="AY332" s="50">
        <f t="shared" si="132"/>
        <v>3</v>
      </c>
      <c r="AZ332" s="49">
        <f t="shared" si="139"/>
        <v>8</v>
      </c>
      <c r="BA332" s="49">
        <f>VLOOKUP(AN332,Leyenda!$B$70:$D$75,3,FALSE)</f>
        <v>15</v>
      </c>
      <c r="BB332" s="67">
        <f t="shared" si="140"/>
        <v>12</v>
      </c>
      <c r="BC332" s="67">
        <f>VLOOKUP(AF332,Leyenda!$B$4:$E$10,4,FALSE)</f>
        <v>2</v>
      </c>
      <c r="BD332" s="67">
        <f t="shared" si="141"/>
        <v>5</v>
      </c>
      <c r="BE332" s="67">
        <f t="shared" si="142"/>
        <v>0</v>
      </c>
      <c r="BF332" s="67">
        <f>+VLOOKUP('3. Blasting'!AK332,Leyenda!$B$47:$E$51,4,FALSE)</f>
        <v>1</v>
      </c>
      <c r="BG332" s="67">
        <f>+VLOOKUP('3. Blasting'!AL332,Leyenda!$B$55:$E$59,4,FALSE)</f>
        <v>3</v>
      </c>
      <c r="BH332" s="67">
        <f>+VLOOKUP('3. Blasting'!AM332,Leyenda!$B$63:$E$67,3,FALSE)</f>
        <v>2</v>
      </c>
      <c r="BI332" s="67">
        <f>+VLOOKUP('3. Blasting'!AJ332,Leyenda!$B$39:$E$43,4,FALSE)</f>
        <v>1</v>
      </c>
      <c r="BJ332" s="67">
        <f>+VLOOKUP('3. Blasting'!AI332,Leyenda!$B$30:$E$34,4,FALSE)</f>
        <v>1</v>
      </c>
      <c r="BK332" s="67">
        <f>VLOOKUP(AN332,Leyenda!$B$71:$E$75,4,FALSE)</f>
        <v>10</v>
      </c>
      <c r="BL332" s="67">
        <f t="shared" si="143"/>
        <v>25</v>
      </c>
      <c r="BM332" s="18">
        <f t="shared" si="144"/>
        <v>28</v>
      </c>
      <c r="BN332" s="18"/>
      <c r="BO332" s="18"/>
      <c r="BP332">
        <f t="shared" si="145"/>
        <v>10</v>
      </c>
      <c r="BQ332">
        <f t="shared" si="146"/>
        <v>10</v>
      </c>
      <c r="BR332">
        <v>20</v>
      </c>
      <c r="BS332">
        <f t="shared" si="147"/>
        <v>-50</v>
      </c>
      <c r="BT332">
        <f t="shared" si="148"/>
        <v>0</v>
      </c>
      <c r="BU332">
        <f t="shared" si="149"/>
        <v>-5</v>
      </c>
      <c r="BV332" s="1">
        <f t="shared" si="133"/>
        <v>-0.02</v>
      </c>
      <c r="BW332" s="1">
        <f t="shared" si="134"/>
        <v>0</v>
      </c>
    </row>
    <row r="333" spans="1:75" hidden="1" x14ac:dyDescent="0.25">
      <c r="A333" s="18" t="s">
        <v>6</v>
      </c>
      <c r="B333" s="18">
        <v>2024</v>
      </c>
      <c r="C333" s="18" t="s">
        <v>138</v>
      </c>
      <c r="D333" s="18" t="s">
        <v>130</v>
      </c>
      <c r="E333" s="18">
        <v>20</v>
      </c>
      <c r="F333" s="18" t="s">
        <v>156</v>
      </c>
      <c r="G333" s="18"/>
      <c r="H333" s="4">
        <f t="shared" si="129"/>
        <v>49.5</v>
      </c>
      <c r="I333" s="4">
        <v>50</v>
      </c>
      <c r="J333" s="4">
        <f t="shared" si="135"/>
        <v>0.5</v>
      </c>
      <c r="K333" s="5">
        <v>0</v>
      </c>
      <c r="L333" s="31">
        <f t="shared" si="136"/>
        <v>0</v>
      </c>
      <c r="M333" s="31"/>
      <c r="N333" s="31"/>
      <c r="O333" s="31">
        <f t="shared" si="131"/>
        <v>0</v>
      </c>
      <c r="P333" s="31" t="s">
        <v>348</v>
      </c>
      <c r="Q333" s="31">
        <v>20</v>
      </c>
      <c r="R333" s="31">
        <v>0.5</v>
      </c>
      <c r="S333" s="31">
        <v>0</v>
      </c>
      <c r="T333" s="65">
        <f t="shared" si="150"/>
        <v>0</v>
      </c>
      <c r="U333" s="31">
        <v>10</v>
      </c>
      <c r="V333" s="31"/>
      <c r="W333" s="31">
        <f t="shared" si="106"/>
        <v>10</v>
      </c>
      <c r="X333" s="31">
        <f t="shared" si="130"/>
        <v>50</v>
      </c>
      <c r="Y333" s="31">
        <f t="shared" si="137"/>
        <v>0.05</v>
      </c>
      <c r="Z333" s="18">
        <v>0</v>
      </c>
      <c r="AA333" s="18" t="s">
        <v>330</v>
      </c>
      <c r="AB333" s="18" t="s">
        <v>333</v>
      </c>
      <c r="AC333" s="18" t="s">
        <v>337</v>
      </c>
      <c r="AD333" s="18">
        <v>20</v>
      </c>
      <c r="AE333" s="18" t="s">
        <v>348</v>
      </c>
      <c r="AF333" s="18" t="s">
        <v>29</v>
      </c>
      <c r="AG333" s="18" t="s">
        <v>29</v>
      </c>
      <c r="AH333" s="18" t="s">
        <v>29</v>
      </c>
      <c r="AI333" s="18" t="s">
        <v>66</v>
      </c>
      <c r="AJ333" s="18" t="s">
        <v>79</v>
      </c>
      <c r="AK333" s="18" t="s">
        <v>96</v>
      </c>
      <c r="AL333" s="18" t="s">
        <v>107</v>
      </c>
      <c r="AM333" s="18" t="s">
        <v>118</v>
      </c>
      <c r="AN333" s="18" t="s">
        <v>198</v>
      </c>
      <c r="AO333" s="18" t="s">
        <v>235</v>
      </c>
      <c r="AP333" s="18"/>
      <c r="AQ333" s="18">
        <f>+VLOOKUP(AI333,Leyenda!$B$30:$E$34,3,FALSE)</f>
        <v>1</v>
      </c>
      <c r="AR333" s="18">
        <f>+VLOOKUP('3. Blasting'!AJ333,Meteorizacion,3,FALSE)</f>
        <v>1</v>
      </c>
      <c r="AS333" s="18">
        <f>+VLOOKUP('3. Blasting'!AK333,Apertura,3,FALSE)</f>
        <v>1</v>
      </c>
      <c r="AT333" s="18">
        <f>+VLOOKUP('3. Blasting'!AL333,Leyenda!$B$55:$D$59,3,FALSE)</f>
        <v>3</v>
      </c>
      <c r="AU333" s="18">
        <f>+VLOOKUP('3. Blasting'!AM333,Relleno,3,FALSE)</f>
        <v>2</v>
      </c>
      <c r="AV333" s="18">
        <f t="shared" si="151"/>
        <v>8</v>
      </c>
      <c r="AW333" s="49">
        <f t="shared" si="138"/>
        <v>0</v>
      </c>
      <c r="AX333" s="49">
        <f>VLOOKUP(AF333,Leyenda!$B$4:$D$10,3,FALSE)</f>
        <v>2</v>
      </c>
      <c r="AY333" s="50" t="e">
        <f t="shared" si="132"/>
        <v>#VALUE!</v>
      </c>
      <c r="AZ333" s="49">
        <f t="shared" si="139"/>
        <v>8</v>
      </c>
      <c r="BA333" s="49">
        <f>VLOOKUP(AN333,Leyenda!$B$70:$D$75,3,FALSE)</f>
        <v>15</v>
      </c>
      <c r="BB333" s="67">
        <f t="shared" si="140"/>
        <v>12</v>
      </c>
      <c r="BC333" s="67">
        <f>VLOOKUP(AF333,Leyenda!$B$4:$E$10,4,FALSE)</f>
        <v>2</v>
      </c>
      <c r="BD333" s="67">
        <f t="shared" si="141"/>
        <v>5</v>
      </c>
      <c r="BE333" s="67">
        <f t="shared" si="142"/>
        <v>0</v>
      </c>
      <c r="BF333" s="67">
        <f>+VLOOKUP('3. Blasting'!AK333,Leyenda!$B$47:$E$51,4,FALSE)</f>
        <v>1</v>
      </c>
      <c r="BG333" s="67">
        <f>+VLOOKUP('3. Blasting'!AL333,Leyenda!$B$55:$E$59,4,FALSE)</f>
        <v>3</v>
      </c>
      <c r="BH333" s="67">
        <f>+VLOOKUP('3. Blasting'!AM333,Leyenda!$B$63:$E$67,3,FALSE)</f>
        <v>2</v>
      </c>
      <c r="BI333" s="67">
        <f>+VLOOKUP('3. Blasting'!AJ333,Leyenda!$B$39:$E$43,4,FALSE)</f>
        <v>1</v>
      </c>
      <c r="BJ333" s="67">
        <f>+VLOOKUP('3. Blasting'!AI333,Leyenda!$B$30:$E$34,4,FALSE)</f>
        <v>1</v>
      </c>
      <c r="BK333" s="67">
        <f>VLOOKUP(AN333,Leyenda!$B$71:$E$75,4,FALSE)</f>
        <v>10</v>
      </c>
      <c r="BL333" s="67">
        <f t="shared" si="143"/>
        <v>25</v>
      </c>
      <c r="BM333" s="18" t="e">
        <f t="shared" si="144"/>
        <v>#VALUE!</v>
      </c>
      <c r="BN333" s="18"/>
      <c r="BO333" s="18"/>
      <c r="BP333">
        <f t="shared" si="145"/>
        <v>10</v>
      </c>
      <c r="BQ333">
        <f t="shared" si="146"/>
        <v>10</v>
      </c>
      <c r="BR333">
        <v>20</v>
      </c>
      <c r="BS333">
        <f t="shared" si="147"/>
        <v>-50</v>
      </c>
      <c r="BT333">
        <f t="shared" si="148"/>
        <v>0</v>
      </c>
      <c r="BU333">
        <f t="shared" si="149"/>
        <v>-5</v>
      </c>
      <c r="BV333" s="1">
        <f t="shared" si="133"/>
        <v>-0.02</v>
      </c>
      <c r="BW333" s="1">
        <f t="shared" si="134"/>
        <v>0</v>
      </c>
    </row>
    <row r="334" spans="1:75" hidden="1" x14ac:dyDescent="0.25">
      <c r="A334" s="18" t="s">
        <v>6</v>
      </c>
      <c r="B334" s="18">
        <v>2024</v>
      </c>
      <c r="C334" s="18" t="s">
        <v>138</v>
      </c>
      <c r="D334" s="18" t="s">
        <v>130</v>
      </c>
      <c r="E334" s="18">
        <v>20</v>
      </c>
      <c r="F334" s="18" t="s">
        <v>156</v>
      </c>
      <c r="G334" s="18" t="s">
        <v>185</v>
      </c>
      <c r="H334" s="4">
        <f t="shared" si="129"/>
        <v>50</v>
      </c>
      <c r="I334" s="4">
        <v>50.5</v>
      </c>
      <c r="J334" s="4">
        <f t="shared" si="135"/>
        <v>0.5</v>
      </c>
      <c r="K334" s="5">
        <v>0.18</v>
      </c>
      <c r="L334" s="31">
        <f t="shared" si="136"/>
        <v>0.09</v>
      </c>
      <c r="M334" s="31"/>
      <c r="N334" s="31"/>
      <c r="O334" s="31">
        <f t="shared" si="131"/>
        <v>0.09</v>
      </c>
      <c r="P334" s="31">
        <v>4.5</v>
      </c>
      <c r="Q334" s="31">
        <v>20</v>
      </c>
      <c r="R334" s="31">
        <v>0.1</v>
      </c>
      <c r="S334" s="31">
        <v>0</v>
      </c>
      <c r="T334" s="65">
        <f t="shared" si="150"/>
        <v>0</v>
      </c>
      <c r="U334" s="31">
        <v>10</v>
      </c>
      <c r="V334" s="31"/>
      <c r="W334" s="31">
        <f t="shared" si="106"/>
        <v>10</v>
      </c>
      <c r="X334" s="31">
        <f t="shared" si="130"/>
        <v>10</v>
      </c>
      <c r="Y334" s="31">
        <f t="shared" si="137"/>
        <v>0.01</v>
      </c>
      <c r="Z334" s="18">
        <v>0</v>
      </c>
      <c r="AA334" s="18" t="s">
        <v>330</v>
      </c>
      <c r="AB334" s="18" t="s">
        <v>333</v>
      </c>
      <c r="AC334" s="18" t="s">
        <v>337</v>
      </c>
      <c r="AD334" s="18">
        <v>20</v>
      </c>
      <c r="AE334" s="18">
        <v>4.5</v>
      </c>
      <c r="AF334" s="18" t="s">
        <v>29</v>
      </c>
      <c r="AG334" s="18" t="s">
        <v>29</v>
      </c>
      <c r="AH334" s="18" t="s">
        <v>29</v>
      </c>
      <c r="AI334" s="18" t="s">
        <v>66</v>
      </c>
      <c r="AJ334" s="18" t="s">
        <v>79</v>
      </c>
      <c r="AK334" s="18" t="s">
        <v>96</v>
      </c>
      <c r="AL334" s="18" t="s">
        <v>107</v>
      </c>
      <c r="AM334" s="18" t="s">
        <v>118</v>
      </c>
      <c r="AN334" s="18" t="s">
        <v>198</v>
      </c>
      <c r="AO334" s="18" t="s">
        <v>235</v>
      </c>
      <c r="AP334" s="18"/>
      <c r="AQ334" s="18">
        <f>+VLOOKUP(AI334,Leyenda!$B$30:$E$34,3,FALSE)</f>
        <v>1</v>
      </c>
      <c r="AR334" s="18">
        <f>+VLOOKUP('3. Blasting'!AJ334,Meteorizacion,3,FALSE)</f>
        <v>1</v>
      </c>
      <c r="AS334" s="18">
        <f>+VLOOKUP('3. Blasting'!AK334,Apertura,3,FALSE)</f>
        <v>1</v>
      </c>
      <c r="AT334" s="18">
        <f>+VLOOKUP('3. Blasting'!AL334,Leyenda!$B$55:$D$59,3,FALSE)</f>
        <v>3</v>
      </c>
      <c r="AU334" s="18">
        <f>+VLOOKUP('3. Blasting'!AM334,Relleno,3,FALSE)</f>
        <v>2</v>
      </c>
      <c r="AV334" s="18">
        <f t="shared" si="151"/>
        <v>8</v>
      </c>
      <c r="AW334" s="49">
        <f t="shared" si="138"/>
        <v>0</v>
      </c>
      <c r="AX334" s="49">
        <f>VLOOKUP(AF334,Leyenda!$B$4:$D$10,3,FALSE)</f>
        <v>2</v>
      </c>
      <c r="AY334" s="50">
        <f t="shared" si="132"/>
        <v>3</v>
      </c>
      <c r="AZ334" s="49">
        <f t="shared" si="139"/>
        <v>8</v>
      </c>
      <c r="BA334" s="49">
        <f>VLOOKUP(AN334,Leyenda!$B$70:$D$75,3,FALSE)</f>
        <v>15</v>
      </c>
      <c r="BB334" s="67">
        <f t="shared" si="140"/>
        <v>12</v>
      </c>
      <c r="BC334" s="67">
        <f>VLOOKUP(AF334,Leyenda!$B$4:$E$10,4,FALSE)</f>
        <v>2</v>
      </c>
      <c r="BD334" s="67">
        <f t="shared" si="141"/>
        <v>5</v>
      </c>
      <c r="BE334" s="67">
        <f t="shared" si="142"/>
        <v>0</v>
      </c>
      <c r="BF334" s="67">
        <f>+VLOOKUP('3. Blasting'!AK334,Leyenda!$B$47:$E$51,4,FALSE)</f>
        <v>1</v>
      </c>
      <c r="BG334" s="67">
        <f>+VLOOKUP('3. Blasting'!AL334,Leyenda!$B$55:$E$59,4,FALSE)</f>
        <v>3</v>
      </c>
      <c r="BH334" s="67">
        <f>+VLOOKUP('3. Blasting'!AM334,Leyenda!$B$63:$E$67,3,FALSE)</f>
        <v>2</v>
      </c>
      <c r="BI334" s="67">
        <f>+VLOOKUP('3. Blasting'!AJ334,Leyenda!$B$39:$E$43,4,FALSE)</f>
        <v>1</v>
      </c>
      <c r="BJ334" s="67">
        <f>+VLOOKUP('3. Blasting'!AI334,Leyenda!$B$30:$E$34,4,FALSE)</f>
        <v>1</v>
      </c>
      <c r="BK334" s="67">
        <f>VLOOKUP(AN334,Leyenda!$B$71:$E$75,4,FALSE)</f>
        <v>10</v>
      </c>
      <c r="BL334" s="67">
        <f t="shared" si="143"/>
        <v>25</v>
      </c>
      <c r="BM334" s="18">
        <f t="shared" si="144"/>
        <v>28</v>
      </c>
      <c r="BN334" s="18"/>
      <c r="BO334" s="18"/>
      <c r="BP334">
        <f t="shared" si="145"/>
        <v>10</v>
      </c>
      <c r="BQ334">
        <f t="shared" si="146"/>
        <v>10</v>
      </c>
      <c r="BR334">
        <v>20</v>
      </c>
      <c r="BS334">
        <f t="shared" si="147"/>
        <v>-50</v>
      </c>
      <c r="BT334">
        <f t="shared" si="148"/>
        <v>0</v>
      </c>
      <c r="BU334">
        <f t="shared" si="149"/>
        <v>-5</v>
      </c>
      <c r="BV334" s="1">
        <f t="shared" si="133"/>
        <v>-0.02</v>
      </c>
      <c r="BW334" s="1">
        <f t="shared" si="134"/>
        <v>0</v>
      </c>
    </row>
    <row r="335" spans="1:75" hidden="1" x14ac:dyDescent="0.25">
      <c r="A335" s="18" t="s">
        <v>6</v>
      </c>
      <c r="B335" s="18">
        <v>2024</v>
      </c>
      <c r="C335" s="18" t="s">
        <v>138</v>
      </c>
      <c r="D335" s="18" t="s">
        <v>130</v>
      </c>
      <c r="E335" s="18">
        <v>20</v>
      </c>
      <c r="F335" s="18" t="s">
        <v>156</v>
      </c>
      <c r="G335" s="18" t="s">
        <v>185</v>
      </c>
      <c r="H335" s="4">
        <f t="shared" si="129"/>
        <v>50.5</v>
      </c>
      <c r="I335" s="4">
        <v>51</v>
      </c>
      <c r="J335" s="4">
        <f t="shared" si="135"/>
        <v>0.5</v>
      </c>
      <c r="K335" s="5">
        <v>0.26</v>
      </c>
      <c r="L335" s="31">
        <f t="shared" si="136"/>
        <v>0.13</v>
      </c>
      <c r="M335" s="31"/>
      <c r="N335" s="31"/>
      <c r="O335" s="31">
        <f t="shared" si="131"/>
        <v>0.13</v>
      </c>
      <c r="P335" s="31">
        <v>6.5</v>
      </c>
      <c r="Q335" s="31">
        <v>20</v>
      </c>
      <c r="R335" s="31">
        <v>0.12</v>
      </c>
      <c r="S335" s="31">
        <v>0</v>
      </c>
      <c r="T335" s="65">
        <f t="shared" si="150"/>
        <v>0</v>
      </c>
      <c r="U335" s="31">
        <v>10</v>
      </c>
      <c r="V335" s="31"/>
      <c r="W335" s="31">
        <f t="shared" si="106"/>
        <v>10</v>
      </c>
      <c r="X335" s="31">
        <f t="shared" si="130"/>
        <v>12</v>
      </c>
      <c r="Y335" s="31">
        <f t="shared" si="137"/>
        <v>1.2E-2</v>
      </c>
      <c r="Z335" s="18">
        <v>0</v>
      </c>
      <c r="AA335" s="18" t="s">
        <v>330</v>
      </c>
      <c r="AB335" s="18" t="s">
        <v>333</v>
      </c>
      <c r="AC335" s="18" t="s">
        <v>337</v>
      </c>
      <c r="AD335" s="18">
        <v>20</v>
      </c>
      <c r="AE335" s="18">
        <v>6.5</v>
      </c>
      <c r="AF335" s="18" t="s">
        <v>29</v>
      </c>
      <c r="AG335" s="18" t="s">
        <v>29</v>
      </c>
      <c r="AH335" s="18" t="s">
        <v>29</v>
      </c>
      <c r="AI335" s="18" t="s">
        <v>66</v>
      </c>
      <c r="AJ335" s="18" t="s">
        <v>79</v>
      </c>
      <c r="AK335" s="18" t="s">
        <v>96</v>
      </c>
      <c r="AL335" s="18" t="s">
        <v>107</v>
      </c>
      <c r="AM335" s="18" t="s">
        <v>118</v>
      </c>
      <c r="AN335" s="18" t="s">
        <v>198</v>
      </c>
      <c r="AO335" s="18" t="s">
        <v>235</v>
      </c>
      <c r="AP335" s="18"/>
      <c r="AQ335" s="18">
        <f>+VLOOKUP(AI335,Leyenda!$B$30:$E$34,3,FALSE)</f>
        <v>1</v>
      </c>
      <c r="AR335" s="18">
        <f>+VLOOKUP('3. Blasting'!AJ335,Meteorizacion,3,FALSE)</f>
        <v>1</v>
      </c>
      <c r="AS335" s="18">
        <f>+VLOOKUP('3. Blasting'!AK335,Apertura,3,FALSE)</f>
        <v>1</v>
      </c>
      <c r="AT335" s="18">
        <f>+VLOOKUP('3. Blasting'!AL335,Leyenda!$B$55:$D$59,3,FALSE)</f>
        <v>3</v>
      </c>
      <c r="AU335" s="18">
        <f>+VLOOKUP('3. Blasting'!AM335,Relleno,3,FALSE)</f>
        <v>2</v>
      </c>
      <c r="AV335" s="18">
        <f t="shared" si="151"/>
        <v>8</v>
      </c>
      <c r="AW335" s="49">
        <f t="shared" si="138"/>
        <v>0</v>
      </c>
      <c r="AX335" s="49">
        <f>VLOOKUP(AF335,Leyenda!$B$4:$D$10,3,FALSE)</f>
        <v>2</v>
      </c>
      <c r="AY335" s="50">
        <f t="shared" si="132"/>
        <v>3</v>
      </c>
      <c r="AZ335" s="49">
        <f t="shared" si="139"/>
        <v>8</v>
      </c>
      <c r="BA335" s="49">
        <f>VLOOKUP(AN335,Leyenda!$B$70:$D$75,3,FALSE)</f>
        <v>15</v>
      </c>
      <c r="BB335" s="67">
        <f t="shared" si="140"/>
        <v>12</v>
      </c>
      <c r="BC335" s="67">
        <f>VLOOKUP(AF335,Leyenda!$B$4:$E$10,4,FALSE)</f>
        <v>2</v>
      </c>
      <c r="BD335" s="67">
        <f t="shared" si="141"/>
        <v>5</v>
      </c>
      <c r="BE335" s="67">
        <f t="shared" si="142"/>
        <v>0</v>
      </c>
      <c r="BF335" s="67">
        <f>+VLOOKUP('3. Blasting'!AK335,Leyenda!$B$47:$E$51,4,FALSE)</f>
        <v>1</v>
      </c>
      <c r="BG335" s="67">
        <f>+VLOOKUP('3. Blasting'!AL335,Leyenda!$B$55:$E$59,4,FALSE)</f>
        <v>3</v>
      </c>
      <c r="BH335" s="67">
        <f>+VLOOKUP('3. Blasting'!AM335,Leyenda!$B$63:$E$67,3,FALSE)</f>
        <v>2</v>
      </c>
      <c r="BI335" s="67">
        <f>+VLOOKUP('3. Blasting'!AJ335,Leyenda!$B$39:$E$43,4,FALSE)</f>
        <v>1</v>
      </c>
      <c r="BJ335" s="67">
        <f>+VLOOKUP('3. Blasting'!AI335,Leyenda!$B$30:$E$34,4,FALSE)</f>
        <v>1</v>
      </c>
      <c r="BK335" s="67">
        <f>VLOOKUP(AN335,Leyenda!$B$71:$E$75,4,FALSE)</f>
        <v>10</v>
      </c>
      <c r="BL335" s="67">
        <f t="shared" si="143"/>
        <v>25</v>
      </c>
      <c r="BM335" s="18">
        <f t="shared" si="144"/>
        <v>28</v>
      </c>
      <c r="BN335" s="18"/>
      <c r="BO335" s="18"/>
      <c r="BP335">
        <f t="shared" si="145"/>
        <v>10</v>
      </c>
      <c r="BQ335">
        <f t="shared" si="146"/>
        <v>10</v>
      </c>
      <c r="BR335">
        <v>20</v>
      </c>
      <c r="BS335">
        <f t="shared" si="147"/>
        <v>-50</v>
      </c>
      <c r="BT335">
        <f t="shared" si="148"/>
        <v>0</v>
      </c>
      <c r="BU335">
        <f t="shared" si="149"/>
        <v>-5</v>
      </c>
      <c r="BV335" s="1">
        <f t="shared" si="133"/>
        <v>-0.02</v>
      </c>
      <c r="BW335" s="1">
        <f t="shared" si="134"/>
        <v>0</v>
      </c>
    </row>
    <row r="336" spans="1:75" hidden="1" x14ac:dyDescent="0.25">
      <c r="A336" s="18" t="s">
        <v>6</v>
      </c>
      <c r="B336" s="18">
        <v>2024</v>
      </c>
      <c r="C336" s="18" t="s">
        <v>138</v>
      </c>
      <c r="D336" s="18" t="s">
        <v>130</v>
      </c>
      <c r="E336" s="18">
        <v>20</v>
      </c>
      <c r="F336" s="18" t="s">
        <v>156</v>
      </c>
      <c r="G336" s="18" t="s">
        <v>185</v>
      </c>
      <c r="H336" s="4">
        <f t="shared" si="129"/>
        <v>51</v>
      </c>
      <c r="I336" s="4">
        <v>51.5</v>
      </c>
      <c r="J336" s="4">
        <f t="shared" si="135"/>
        <v>0.5</v>
      </c>
      <c r="K336" s="5">
        <v>0.16</v>
      </c>
      <c r="L336" s="31">
        <f t="shared" si="136"/>
        <v>0.08</v>
      </c>
      <c r="M336" s="31"/>
      <c r="N336" s="31"/>
      <c r="O336" s="31">
        <f t="shared" si="131"/>
        <v>0.08</v>
      </c>
      <c r="P336" s="31">
        <v>4</v>
      </c>
      <c r="Q336" s="31">
        <v>20</v>
      </c>
      <c r="R336" s="31">
        <v>0.06</v>
      </c>
      <c r="S336" s="31">
        <v>0</v>
      </c>
      <c r="T336" s="65">
        <f t="shared" si="150"/>
        <v>0</v>
      </c>
      <c r="U336" s="31">
        <v>10</v>
      </c>
      <c r="V336" s="31"/>
      <c r="W336" s="31">
        <f t="shared" si="106"/>
        <v>10</v>
      </c>
      <c r="X336" s="31">
        <f t="shared" si="130"/>
        <v>6</v>
      </c>
      <c r="Y336" s="31">
        <f t="shared" si="137"/>
        <v>6.0000000000000001E-3</v>
      </c>
      <c r="Z336" s="18">
        <v>0</v>
      </c>
      <c r="AA336" s="18" t="s">
        <v>330</v>
      </c>
      <c r="AB336" s="18" t="s">
        <v>333</v>
      </c>
      <c r="AC336" s="18" t="s">
        <v>337</v>
      </c>
      <c r="AD336" s="18">
        <v>20</v>
      </c>
      <c r="AE336" s="18">
        <v>4</v>
      </c>
      <c r="AF336" s="18" t="s">
        <v>29</v>
      </c>
      <c r="AG336" s="18" t="s">
        <v>29</v>
      </c>
      <c r="AH336" s="18" t="s">
        <v>29</v>
      </c>
      <c r="AI336" s="18" t="s">
        <v>66</v>
      </c>
      <c r="AJ336" s="18" t="s">
        <v>79</v>
      </c>
      <c r="AK336" s="18" t="s">
        <v>96</v>
      </c>
      <c r="AL336" s="18" t="s">
        <v>107</v>
      </c>
      <c r="AM336" s="18" t="s">
        <v>118</v>
      </c>
      <c r="AN336" s="18" t="s">
        <v>198</v>
      </c>
      <c r="AO336" s="18" t="s">
        <v>235</v>
      </c>
      <c r="AP336" s="18"/>
      <c r="AQ336" s="18">
        <f>+VLOOKUP(AI336,Leyenda!$B$30:$E$34,3,FALSE)</f>
        <v>1</v>
      </c>
      <c r="AR336" s="18">
        <f>+VLOOKUP('3. Blasting'!AJ336,Meteorizacion,3,FALSE)</f>
        <v>1</v>
      </c>
      <c r="AS336" s="18">
        <f>+VLOOKUP('3. Blasting'!AK336,Apertura,3,FALSE)</f>
        <v>1</v>
      </c>
      <c r="AT336" s="18">
        <f>+VLOOKUP('3. Blasting'!AL336,Leyenda!$B$55:$D$59,3,FALSE)</f>
        <v>3</v>
      </c>
      <c r="AU336" s="18">
        <f>+VLOOKUP('3. Blasting'!AM336,Relleno,3,FALSE)</f>
        <v>2</v>
      </c>
      <c r="AV336" s="18">
        <f t="shared" si="151"/>
        <v>8</v>
      </c>
      <c r="AW336" s="49">
        <f t="shared" si="138"/>
        <v>0</v>
      </c>
      <c r="AX336" s="49">
        <f>VLOOKUP(AF336,Leyenda!$B$4:$D$10,3,FALSE)</f>
        <v>2</v>
      </c>
      <c r="AY336" s="50">
        <f t="shared" si="132"/>
        <v>2</v>
      </c>
      <c r="AZ336" s="49">
        <f t="shared" si="139"/>
        <v>8</v>
      </c>
      <c r="BA336" s="49">
        <f>VLOOKUP(AN336,Leyenda!$B$70:$D$75,3,FALSE)</f>
        <v>15</v>
      </c>
      <c r="BB336" s="67">
        <f t="shared" si="140"/>
        <v>12</v>
      </c>
      <c r="BC336" s="67">
        <f>VLOOKUP(AF336,Leyenda!$B$4:$E$10,4,FALSE)</f>
        <v>2</v>
      </c>
      <c r="BD336" s="67">
        <f t="shared" si="141"/>
        <v>5</v>
      </c>
      <c r="BE336" s="67">
        <f t="shared" si="142"/>
        <v>0</v>
      </c>
      <c r="BF336" s="67">
        <f>+VLOOKUP('3. Blasting'!AK336,Leyenda!$B$47:$E$51,4,FALSE)</f>
        <v>1</v>
      </c>
      <c r="BG336" s="67">
        <f>+VLOOKUP('3. Blasting'!AL336,Leyenda!$B$55:$E$59,4,FALSE)</f>
        <v>3</v>
      </c>
      <c r="BH336" s="67">
        <f>+VLOOKUP('3. Blasting'!AM336,Leyenda!$B$63:$E$67,3,FALSE)</f>
        <v>2</v>
      </c>
      <c r="BI336" s="67">
        <f>+VLOOKUP('3. Blasting'!AJ336,Leyenda!$B$39:$E$43,4,FALSE)</f>
        <v>1</v>
      </c>
      <c r="BJ336" s="67">
        <f>+VLOOKUP('3. Blasting'!AI336,Leyenda!$B$30:$E$34,4,FALSE)</f>
        <v>1</v>
      </c>
      <c r="BK336" s="67">
        <f>VLOOKUP(AN336,Leyenda!$B$71:$E$75,4,FALSE)</f>
        <v>10</v>
      </c>
      <c r="BL336" s="67">
        <f t="shared" si="143"/>
        <v>25</v>
      </c>
      <c r="BM336" s="18">
        <f t="shared" si="144"/>
        <v>27</v>
      </c>
      <c r="BN336" s="18"/>
      <c r="BO336" s="18"/>
      <c r="BP336">
        <f t="shared" si="145"/>
        <v>10</v>
      </c>
      <c r="BQ336">
        <f t="shared" si="146"/>
        <v>10</v>
      </c>
      <c r="BR336">
        <v>20</v>
      </c>
      <c r="BS336">
        <f t="shared" si="147"/>
        <v>-50</v>
      </c>
      <c r="BT336">
        <f t="shared" si="148"/>
        <v>0</v>
      </c>
      <c r="BU336">
        <f t="shared" si="149"/>
        <v>-5</v>
      </c>
      <c r="BV336" s="1">
        <f t="shared" si="133"/>
        <v>-0.02</v>
      </c>
      <c r="BW336" s="1">
        <f t="shared" si="134"/>
        <v>0</v>
      </c>
    </row>
    <row r="337" spans="1:75" hidden="1" x14ac:dyDescent="0.25">
      <c r="A337" s="18" t="s">
        <v>6</v>
      </c>
      <c r="B337" s="18">
        <v>2024</v>
      </c>
      <c r="C337" s="18" t="s">
        <v>138</v>
      </c>
      <c r="D337" s="18" t="s">
        <v>130</v>
      </c>
      <c r="E337" s="18">
        <v>20</v>
      </c>
      <c r="F337" s="18" t="s">
        <v>156</v>
      </c>
      <c r="G337" s="18" t="s">
        <v>185</v>
      </c>
      <c r="H337" s="4">
        <f t="shared" si="129"/>
        <v>51.5</v>
      </c>
      <c r="I337" s="4">
        <v>52</v>
      </c>
      <c r="J337" s="4">
        <f t="shared" si="135"/>
        <v>0.5</v>
      </c>
      <c r="K337" s="5">
        <v>0.62</v>
      </c>
      <c r="L337" s="31">
        <f t="shared" si="136"/>
        <v>0.31</v>
      </c>
      <c r="M337" s="31"/>
      <c r="N337" s="31"/>
      <c r="O337" s="31">
        <f t="shared" si="131"/>
        <v>0.31</v>
      </c>
      <c r="P337" s="31">
        <v>15.5</v>
      </c>
      <c r="Q337" s="31">
        <v>20</v>
      </c>
      <c r="R337" s="31">
        <v>0.28999999999999998</v>
      </c>
      <c r="S337" s="31">
        <v>0</v>
      </c>
      <c r="T337" s="65">
        <f t="shared" si="150"/>
        <v>0</v>
      </c>
      <c r="U337" s="31">
        <v>10</v>
      </c>
      <c r="V337" s="31"/>
      <c r="W337" s="31">
        <f t="shared" si="106"/>
        <v>10</v>
      </c>
      <c r="X337" s="31">
        <f t="shared" si="130"/>
        <v>29</v>
      </c>
      <c r="Y337" s="31">
        <f t="shared" si="137"/>
        <v>2.9000000000000001E-2</v>
      </c>
      <c r="Z337" s="18">
        <v>0</v>
      </c>
      <c r="AA337" s="18" t="s">
        <v>330</v>
      </c>
      <c r="AB337" s="18" t="s">
        <v>333</v>
      </c>
      <c r="AC337" s="18" t="s">
        <v>337</v>
      </c>
      <c r="AD337" s="18">
        <v>20</v>
      </c>
      <c r="AE337" s="18">
        <v>15.5</v>
      </c>
      <c r="AF337" s="18" t="s">
        <v>29</v>
      </c>
      <c r="AG337" s="18" t="s">
        <v>29</v>
      </c>
      <c r="AH337" s="18" t="s">
        <v>29</v>
      </c>
      <c r="AI337" s="18" t="s">
        <v>66</v>
      </c>
      <c r="AJ337" s="18" t="s">
        <v>79</v>
      </c>
      <c r="AK337" s="18" t="s">
        <v>96</v>
      </c>
      <c r="AL337" s="18" t="s">
        <v>107</v>
      </c>
      <c r="AM337" s="18" t="s">
        <v>118</v>
      </c>
      <c r="AN337" s="18" t="s">
        <v>198</v>
      </c>
      <c r="AO337" s="18" t="s">
        <v>235</v>
      </c>
      <c r="AP337" s="18"/>
      <c r="AQ337" s="18">
        <f>+VLOOKUP(AI337,Leyenda!$B$30:$E$34,3,FALSE)</f>
        <v>1</v>
      </c>
      <c r="AR337" s="18">
        <f>+VLOOKUP('3. Blasting'!AJ337,Meteorizacion,3,FALSE)</f>
        <v>1</v>
      </c>
      <c r="AS337" s="18">
        <f>+VLOOKUP('3. Blasting'!AK337,Apertura,3,FALSE)</f>
        <v>1</v>
      </c>
      <c r="AT337" s="18">
        <f>+VLOOKUP('3. Blasting'!AL337,Leyenda!$B$55:$D$59,3,FALSE)</f>
        <v>3</v>
      </c>
      <c r="AU337" s="18">
        <f>+VLOOKUP('3. Blasting'!AM337,Relleno,3,FALSE)</f>
        <v>2</v>
      </c>
      <c r="AV337" s="18">
        <f t="shared" si="151"/>
        <v>8</v>
      </c>
      <c r="AW337" s="49">
        <f t="shared" si="138"/>
        <v>0</v>
      </c>
      <c r="AX337" s="49">
        <f>VLOOKUP(AF337,Leyenda!$B$4:$D$10,3,FALSE)</f>
        <v>2</v>
      </c>
      <c r="AY337" s="50">
        <f t="shared" si="132"/>
        <v>4</v>
      </c>
      <c r="AZ337" s="49">
        <f t="shared" si="139"/>
        <v>8</v>
      </c>
      <c r="BA337" s="49">
        <f>VLOOKUP(AN337,Leyenda!$B$70:$D$75,3,FALSE)</f>
        <v>15</v>
      </c>
      <c r="BB337" s="67">
        <f t="shared" si="140"/>
        <v>12</v>
      </c>
      <c r="BC337" s="67">
        <f>VLOOKUP(AF337,Leyenda!$B$4:$E$10,4,FALSE)</f>
        <v>2</v>
      </c>
      <c r="BD337" s="67">
        <f t="shared" si="141"/>
        <v>5</v>
      </c>
      <c r="BE337" s="67">
        <f t="shared" si="142"/>
        <v>0</v>
      </c>
      <c r="BF337" s="67">
        <f>+VLOOKUP('3. Blasting'!AK337,Leyenda!$B$47:$E$51,4,FALSE)</f>
        <v>1</v>
      </c>
      <c r="BG337" s="67">
        <f>+VLOOKUP('3. Blasting'!AL337,Leyenda!$B$55:$E$59,4,FALSE)</f>
        <v>3</v>
      </c>
      <c r="BH337" s="67">
        <f>+VLOOKUP('3. Blasting'!AM337,Leyenda!$B$63:$E$67,3,FALSE)</f>
        <v>2</v>
      </c>
      <c r="BI337" s="67">
        <f>+VLOOKUP('3. Blasting'!AJ337,Leyenda!$B$39:$E$43,4,FALSE)</f>
        <v>1</v>
      </c>
      <c r="BJ337" s="67">
        <f>+VLOOKUP('3. Blasting'!AI337,Leyenda!$B$30:$E$34,4,FALSE)</f>
        <v>1</v>
      </c>
      <c r="BK337" s="67">
        <f>VLOOKUP(AN337,Leyenda!$B$71:$E$75,4,FALSE)</f>
        <v>10</v>
      </c>
      <c r="BL337" s="67">
        <f t="shared" si="143"/>
        <v>25</v>
      </c>
      <c r="BM337" s="18">
        <f t="shared" si="144"/>
        <v>29</v>
      </c>
      <c r="BN337" s="18"/>
      <c r="BO337" s="18"/>
      <c r="BP337">
        <f t="shared" si="145"/>
        <v>10</v>
      </c>
      <c r="BQ337">
        <f t="shared" si="146"/>
        <v>10</v>
      </c>
      <c r="BR337">
        <v>20</v>
      </c>
      <c r="BS337">
        <f t="shared" si="147"/>
        <v>-50</v>
      </c>
      <c r="BT337">
        <f t="shared" si="148"/>
        <v>0</v>
      </c>
      <c r="BU337">
        <f t="shared" si="149"/>
        <v>-5</v>
      </c>
      <c r="BV337" s="1">
        <f t="shared" si="133"/>
        <v>-0.02</v>
      </c>
      <c r="BW337" s="1">
        <f t="shared" si="134"/>
        <v>0</v>
      </c>
    </row>
    <row r="338" spans="1:75" hidden="1" x14ac:dyDescent="0.25">
      <c r="A338" s="18" t="s">
        <v>6</v>
      </c>
      <c r="B338" s="18">
        <v>2024</v>
      </c>
      <c r="C338" s="18" t="s">
        <v>138</v>
      </c>
      <c r="D338" s="18" t="s">
        <v>130</v>
      </c>
      <c r="E338" s="18">
        <v>20</v>
      </c>
      <c r="F338" s="18" t="s">
        <v>156</v>
      </c>
      <c r="G338" s="18" t="s">
        <v>185</v>
      </c>
      <c r="H338" s="4">
        <f t="shared" si="129"/>
        <v>52</v>
      </c>
      <c r="I338" s="4">
        <v>52.5</v>
      </c>
      <c r="J338" s="4">
        <f t="shared" si="135"/>
        <v>0.5</v>
      </c>
      <c r="K338" s="5">
        <v>0.57999999999999996</v>
      </c>
      <c r="L338" s="31">
        <f t="shared" si="136"/>
        <v>0.28999999999999998</v>
      </c>
      <c r="M338" s="31"/>
      <c r="N338" s="31"/>
      <c r="O338" s="31">
        <f t="shared" si="131"/>
        <v>0.28999999999999998</v>
      </c>
      <c r="P338" s="31">
        <v>14.5</v>
      </c>
      <c r="Q338" s="31">
        <v>20</v>
      </c>
      <c r="R338" s="31">
        <v>0.22</v>
      </c>
      <c r="S338" s="31">
        <v>0</v>
      </c>
      <c r="T338" s="65">
        <f t="shared" si="150"/>
        <v>0</v>
      </c>
      <c r="U338" s="31">
        <v>10</v>
      </c>
      <c r="V338" s="31"/>
      <c r="W338" s="31">
        <f t="shared" si="106"/>
        <v>10</v>
      </c>
      <c r="X338" s="31">
        <f t="shared" si="130"/>
        <v>22</v>
      </c>
      <c r="Y338" s="31">
        <f t="shared" si="137"/>
        <v>2.1999999999999999E-2</v>
      </c>
      <c r="Z338" s="18">
        <v>0</v>
      </c>
      <c r="AA338" s="18" t="s">
        <v>330</v>
      </c>
      <c r="AB338" s="18" t="s">
        <v>333</v>
      </c>
      <c r="AC338" s="18" t="s">
        <v>337</v>
      </c>
      <c r="AD338" s="18">
        <v>20</v>
      </c>
      <c r="AE338" s="18">
        <v>14.5</v>
      </c>
      <c r="AF338" s="18" t="s">
        <v>29</v>
      </c>
      <c r="AG338" s="18" t="s">
        <v>29</v>
      </c>
      <c r="AH338" s="18" t="s">
        <v>29</v>
      </c>
      <c r="AI338" s="18" t="s">
        <v>66</v>
      </c>
      <c r="AJ338" s="18" t="s">
        <v>79</v>
      </c>
      <c r="AK338" s="18" t="s">
        <v>96</v>
      </c>
      <c r="AL338" s="18" t="s">
        <v>107</v>
      </c>
      <c r="AM338" s="18" t="s">
        <v>118</v>
      </c>
      <c r="AN338" s="18" t="s">
        <v>198</v>
      </c>
      <c r="AO338" s="18" t="s">
        <v>235</v>
      </c>
      <c r="AP338" s="18"/>
      <c r="AQ338" s="18">
        <f>+VLOOKUP(AI338,Leyenda!$B$30:$E$34,3,FALSE)</f>
        <v>1</v>
      </c>
      <c r="AR338" s="18">
        <f>+VLOOKUP('3. Blasting'!AJ338,Meteorizacion,3,FALSE)</f>
        <v>1</v>
      </c>
      <c r="AS338" s="18">
        <f>+VLOOKUP('3. Blasting'!AK338,Apertura,3,FALSE)</f>
        <v>1</v>
      </c>
      <c r="AT338" s="18">
        <f>+VLOOKUP('3. Blasting'!AL338,Leyenda!$B$55:$D$59,3,FALSE)</f>
        <v>3</v>
      </c>
      <c r="AU338" s="18">
        <f>+VLOOKUP('3. Blasting'!AM338,Relleno,3,FALSE)</f>
        <v>2</v>
      </c>
      <c r="AV338" s="18">
        <f t="shared" si="151"/>
        <v>8</v>
      </c>
      <c r="AW338" s="49">
        <f t="shared" si="138"/>
        <v>0</v>
      </c>
      <c r="AX338" s="49">
        <f>VLOOKUP(AF338,Leyenda!$B$4:$D$10,3,FALSE)</f>
        <v>2</v>
      </c>
      <c r="AY338" s="50">
        <f t="shared" si="132"/>
        <v>4</v>
      </c>
      <c r="AZ338" s="49">
        <f t="shared" si="139"/>
        <v>8</v>
      </c>
      <c r="BA338" s="49">
        <f>VLOOKUP(AN338,Leyenda!$B$70:$D$75,3,FALSE)</f>
        <v>15</v>
      </c>
      <c r="BB338" s="67">
        <f t="shared" si="140"/>
        <v>12</v>
      </c>
      <c r="BC338" s="67">
        <f>VLOOKUP(AF338,Leyenda!$B$4:$E$10,4,FALSE)</f>
        <v>2</v>
      </c>
      <c r="BD338" s="67">
        <f t="shared" si="141"/>
        <v>5</v>
      </c>
      <c r="BE338" s="67">
        <f t="shared" si="142"/>
        <v>0</v>
      </c>
      <c r="BF338" s="67">
        <f>+VLOOKUP('3. Blasting'!AK338,Leyenda!$B$47:$E$51,4,FALSE)</f>
        <v>1</v>
      </c>
      <c r="BG338" s="67">
        <f>+VLOOKUP('3. Blasting'!AL338,Leyenda!$B$55:$E$59,4,FALSE)</f>
        <v>3</v>
      </c>
      <c r="BH338" s="67">
        <f>+VLOOKUP('3. Blasting'!AM338,Leyenda!$B$63:$E$67,3,FALSE)</f>
        <v>2</v>
      </c>
      <c r="BI338" s="67">
        <f>+VLOOKUP('3. Blasting'!AJ338,Leyenda!$B$39:$E$43,4,FALSE)</f>
        <v>1</v>
      </c>
      <c r="BJ338" s="67">
        <f>+VLOOKUP('3. Blasting'!AI338,Leyenda!$B$30:$E$34,4,FALSE)</f>
        <v>1</v>
      </c>
      <c r="BK338" s="67">
        <f>VLOOKUP(AN338,Leyenda!$B$71:$E$75,4,FALSE)</f>
        <v>10</v>
      </c>
      <c r="BL338" s="67">
        <f t="shared" si="143"/>
        <v>25</v>
      </c>
      <c r="BM338" s="18">
        <f t="shared" si="144"/>
        <v>29</v>
      </c>
      <c r="BN338" s="18"/>
      <c r="BO338" s="18"/>
      <c r="BP338">
        <f t="shared" si="145"/>
        <v>10</v>
      </c>
      <c r="BQ338">
        <f t="shared" si="146"/>
        <v>10</v>
      </c>
      <c r="BR338">
        <v>20</v>
      </c>
      <c r="BS338">
        <f t="shared" si="147"/>
        <v>-50</v>
      </c>
      <c r="BT338">
        <f t="shared" si="148"/>
        <v>0</v>
      </c>
      <c r="BU338">
        <f t="shared" si="149"/>
        <v>-5</v>
      </c>
      <c r="BV338" s="1">
        <f t="shared" si="133"/>
        <v>-0.02</v>
      </c>
      <c r="BW338" s="1">
        <f t="shared" si="134"/>
        <v>0</v>
      </c>
    </row>
    <row r="339" spans="1:75" hidden="1" x14ac:dyDescent="0.25">
      <c r="A339" s="18" t="s">
        <v>6</v>
      </c>
      <c r="B339" s="18">
        <v>2024</v>
      </c>
      <c r="C339" s="18" t="s">
        <v>138</v>
      </c>
      <c r="D339" s="18" t="s">
        <v>130</v>
      </c>
      <c r="E339" s="18">
        <v>20</v>
      </c>
      <c r="F339" s="18" t="s">
        <v>156</v>
      </c>
      <c r="G339" s="18" t="s">
        <v>185</v>
      </c>
      <c r="H339" s="4">
        <f t="shared" si="129"/>
        <v>52.5</v>
      </c>
      <c r="I339" s="4">
        <v>53</v>
      </c>
      <c r="J339" s="4">
        <f t="shared" si="135"/>
        <v>0.5</v>
      </c>
      <c r="K339" s="5">
        <v>0.46</v>
      </c>
      <c r="L339" s="31">
        <f t="shared" si="136"/>
        <v>0.23</v>
      </c>
      <c r="M339" s="31"/>
      <c r="N339" s="31"/>
      <c r="O339" s="31">
        <f t="shared" si="131"/>
        <v>0.23</v>
      </c>
      <c r="P339" s="31">
        <v>11.5</v>
      </c>
      <c r="Q339" s="31">
        <v>20</v>
      </c>
      <c r="R339" s="31">
        <v>0.21</v>
      </c>
      <c r="S339" s="31">
        <v>0</v>
      </c>
      <c r="T339" s="65">
        <f t="shared" si="150"/>
        <v>0</v>
      </c>
      <c r="U339" s="31">
        <v>10</v>
      </c>
      <c r="V339" s="31"/>
      <c r="W339" s="31">
        <f t="shared" si="106"/>
        <v>10</v>
      </c>
      <c r="X339" s="31">
        <f t="shared" si="130"/>
        <v>21</v>
      </c>
      <c r="Y339" s="31">
        <f t="shared" si="137"/>
        <v>2.1000000000000001E-2</v>
      </c>
      <c r="Z339" s="18">
        <v>0</v>
      </c>
      <c r="AA339" s="18" t="s">
        <v>330</v>
      </c>
      <c r="AB339" s="18" t="s">
        <v>333</v>
      </c>
      <c r="AC339" s="18" t="s">
        <v>337</v>
      </c>
      <c r="AD339" s="18">
        <v>20</v>
      </c>
      <c r="AE339" s="18">
        <v>11.5</v>
      </c>
      <c r="AF339" s="18" t="s">
        <v>29</v>
      </c>
      <c r="AG339" s="18" t="s">
        <v>29</v>
      </c>
      <c r="AH339" s="18" t="s">
        <v>29</v>
      </c>
      <c r="AI339" s="18" t="s">
        <v>66</v>
      </c>
      <c r="AJ339" s="18" t="s">
        <v>79</v>
      </c>
      <c r="AK339" s="18" t="s">
        <v>96</v>
      </c>
      <c r="AL339" s="18" t="s">
        <v>107</v>
      </c>
      <c r="AM339" s="18" t="s">
        <v>118</v>
      </c>
      <c r="AN339" s="18" t="s">
        <v>198</v>
      </c>
      <c r="AO339" s="18" t="s">
        <v>235</v>
      </c>
      <c r="AP339" s="18"/>
      <c r="AQ339" s="18">
        <f>+VLOOKUP(AI339,Leyenda!$B$30:$E$34,3,FALSE)</f>
        <v>1</v>
      </c>
      <c r="AR339" s="18">
        <f>+VLOOKUP('3. Blasting'!AJ339,Meteorizacion,3,FALSE)</f>
        <v>1</v>
      </c>
      <c r="AS339" s="18">
        <f>+VLOOKUP('3. Blasting'!AK339,Apertura,3,FALSE)</f>
        <v>1</v>
      </c>
      <c r="AT339" s="18">
        <f>+VLOOKUP('3. Blasting'!AL339,Leyenda!$B$55:$D$59,3,FALSE)</f>
        <v>3</v>
      </c>
      <c r="AU339" s="18">
        <f>+VLOOKUP('3. Blasting'!AM339,Relleno,3,FALSE)</f>
        <v>2</v>
      </c>
      <c r="AV339" s="18">
        <f t="shared" si="151"/>
        <v>8</v>
      </c>
      <c r="AW339" s="49">
        <f t="shared" si="138"/>
        <v>0</v>
      </c>
      <c r="AX339" s="49">
        <f>VLOOKUP(AF339,Leyenda!$B$4:$D$10,3,FALSE)</f>
        <v>2</v>
      </c>
      <c r="AY339" s="50">
        <f t="shared" si="132"/>
        <v>4</v>
      </c>
      <c r="AZ339" s="49">
        <f t="shared" si="139"/>
        <v>8</v>
      </c>
      <c r="BA339" s="49">
        <f>VLOOKUP(AN339,Leyenda!$B$70:$D$75,3,FALSE)</f>
        <v>15</v>
      </c>
      <c r="BB339" s="67">
        <f t="shared" si="140"/>
        <v>12</v>
      </c>
      <c r="BC339" s="67">
        <f>VLOOKUP(AF339,Leyenda!$B$4:$E$10,4,FALSE)</f>
        <v>2</v>
      </c>
      <c r="BD339" s="67">
        <f t="shared" si="141"/>
        <v>5</v>
      </c>
      <c r="BE339" s="67">
        <f t="shared" si="142"/>
        <v>0</v>
      </c>
      <c r="BF339" s="67">
        <f>+VLOOKUP('3. Blasting'!AK339,Leyenda!$B$47:$E$51,4,FALSE)</f>
        <v>1</v>
      </c>
      <c r="BG339" s="67">
        <f>+VLOOKUP('3. Blasting'!AL339,Leyenda!$B$55:$E$59,4,FALSE)</f>
        <v>3</v>
      </c>
      <c r="BH339" s="67">
        <f>+VLOOKUP('3. Blasting'!AM339,Leyenda!$B$63:$E$67,3,FALSE)</f>
        <v>2</v>
      </c>
      <c r="BI339" s="67">
        <f>+VLOOKUP('3. Blasting'!AJ339,Leyenda!$B$39:$E$43,4,FALSE)</f>
        <v>1</v>
      </c>
      <c r="BJ339" s="67">
        <f>+VLOOKUP('3. Blasting'!AI339,Leyenda!$B$30:$E$34,4,FALSE)</f>
        <v>1</v>
      </c>
      <c r="BK339" s="67">
        <f>VLOOKUP(AN339,Leyenda!$B$71:$E$75,4,FALSE)</f>
        <v>10</v>
      </c>
      <c r="BL339" s="67">
        <f t="shared" si="143"/>
        <v>25</v>
      </c>
      <c r="BM339" s="18">
        <f t="shared" si="144"/>
        <v>29</v>
      </c>
      <c r="BN339" s="18"/>
      <c r="BO339" s="18"/>
      <c r="BP339">
        <f t="shared" si="145"/>
        <v>10</v>
      </c>
      <c r="BQ339">
        <f t="shared" si="146"/>
        <v>10</v>
      </c>
      <c r="BR339">
        <v>20</v>
      </c>
      <c r="BS339">
        <f t="shared" si="147"/>
        <v>-50</v>
      </c>
      <c r="BT339">
        <f t="shared" si="148"/>
        <v>0</v>
      </c>
      <c r="BU339">
        <f t="shared" si="149"/>
        <v>-5</v>
      </c>
      <c r="BV339" s="1">
        <f t="shared" si="133"/>
        <v>-0.02</v>
      </c>
      <c r="BW339" s="1">
        <f t="shared" si="134"/>
        <v>0</v>
      </c>
    </row>
    <row r="340" spans="1:75" hidden="1" x14ac:dyDescent="0.25">
      <c r="A340" s="18" t="s">
        <v>6</v>
      </c>
      <c r="B340" s="18">
        <v>2024</v>
      </c>
      <c r="C340" s="18" t="s">
        <v>138</v>
      </c>
      <c r="D340" s="18" t="s">
        <v>130</v>
      </c>
      <c r="E340" s="18">
        <v>20</v>
      </c>
      <c r="F340" s="18" t="s">
        <v>156</v>
      </c>
      <c r="G340" s="18" t="s">
        <v>185</v>
      </c>
      <c r="H340" s="4">
        <f t="shared" si="129"/>
        <v>53</v>
      </c>
      <c r="I340" s="4">
        <v>53.5</v>
      </c>
      <c r="J340" s="4">
        <f t="shared" si="135"/>
        <v>0.5</v>
      </c>
      <c r="K340" s="5">
        <v>0.18</v>
      </c>
      <c r="L340" s="31">
        <f t="shared" si="136"/>
        <v>0.09</v>
      </c>
      <c r="M340" s="31"/>
      <c r="N340" s="31"/>
      <c r="O340" s="31">
        <f t="shared" si="131"/>
        <v>0.09</v>
      </c>
      <c r="P340" s="31">
        <v>4.5</v>
      </c>
      <c r="Q340" s="31">
        <v>20</v>
      </c>
      <c r="R340" s="31">
        <v>0.08</v>
      </c>
      <c r="S340" s="31">
        <v>0</v>
      </c>
      <c r="T340" s="65">
        <f t="shared" si="150"/>
        <v>0</v>
      </c>
      <c r="U340" s="31">
        <v>10</v>
      </c>
      <c r="V340" s="31"/>
      <c r="W340" s="31">
        <f t="shared" si="106"/>
        <v>10</v>
      </c>
      <c r="X340" s="31">
        <f t="shared" si="130"/>
        <v>8</v>
      </c>
      <c r="Y340" s="31">
        <f t="shared" si="137"/>
        <v>8.0000000000000002E-3</v>
      </c>
      <c r="Z340" s="18">
        <v>0</v>
      </c>
      <c r="AA340" s="18" t="s">
        <v>330</v>
      </c>
      <c r="AB340" s="18" t="s">
        <v>333</v>
      </c>
      <c r="AC340" s="18" t="s">
        <v>337</v>
      </c>
      <c r="AD340" s="18">
        <v>20</v>
      </c>
      <c r="AE340" s="18">
        <v>4.5</v>
      </c>
      <c r="AF340" s="18" t="s">
        <v>29</v>
      </c>
      <c r="AG340" s="18" t="s">
        <v>29</v>
      </c>
      <c r="AH340" s="18" t="s">
        <v>29</v>
      </c>
      <c r="AI340" s="18" t="s">
        <v>66</v>
      </c>
      <c r="AJ340" s="18" t="s">
        <v>79</v>
      </c>
      <c r="AK340" s="18" t="s">
        <v>96</v>
      </c>
      <c r="AL340" s="18" t="s">
        <v>107</v>
      </c>
      <c r="AM340" s="18" t="s">
        <v>118</v>
      </c>
      <c r="AN340" s="18" t="s">
        <v>198</v>
      </c>
      <c r="AO340" s="18" t="s">
        <v>235</v>
      </c>
      <c r="AP340" s="18"/>
      <c r="AQ340" s="18">
        <f>+VLOOKUP(AI340,Leyenda!$B$30:$E$34,3,FALSE)</f>
        <v>1</v>
      </c>
      <c r="AR340" s="18">
        <f>+VLOOKUP('3. Blasting'!AJ340,Meteorizacion,3,FALSE)</f>
        <v>1</v>
      </c>
      <c r="AS340" s="18">
        <f>+VLOOKUP('3. Blasting'!AK340,Apertura,3,FALSE)</f>
        <v>1</v>
      </c>
      <c r="AT340" s="18">
        <f>+VLOOKUP('3. Blasting'!AL340,Leyenda!$B$55:$D$59,3,FALSE)</f>
        <v>3</v>
      </c>
      <c r="AU340" s="18">
        <f>+VLOOKUP('3. Blasting'!AM340,Relleno,3,FALSE)</f>
        <v>2</v>
      </c>
      <c r="AV340" s="18">
        <f t="shared" si="151"/>
        <v>8</v>
      </c>
      <c r="AW340" s="49">
        <f t="shared" si="138"/>
        <v>0</v>
      </c>
      <c r="AX340" s="49">
        <f>VLOOKUP(AF340,Leyenda!$B$4:$D$10,3,FALSE)</f>
        <v>2</v>
      </c>
      <c r="AY340" s="50">
        <f t="shared" si="132"/>
        <v>3</v>
      </c>
      <c r="AZ340" s="49">
        <f t="shared" si="139"/>
        <v>8</v>
      </c>
      <c r="BA340" s="49">
        <f>VLOOKUP(AN340,Leyenda!$B$70:$D$75,3,FALSE)</f>
        <v>15</v>
      </c>
      <c r="BB340" s="67">
        <f t="shared" si="140"/>
        <v>12</v>
      </c>
      <c r="BC340" s="67">
        <f>VLOOKUP(AF340,Leyenda!$B$4:$E$10,4,FALSE)</f>
        <v>2</v>
      </c>
      <c r="BD340" s="67">
        <f t="shared" si="141"/>
        <v>5</v>
      </c>
      <c r="BE340" s="67">
        <f t="shared" si="142"/>
        <v>0</v>
      </c>
      <c r="BF340" s="67">
        <f>+VLOOKUP('3. Blasting'!AK340,Leyenda!$B$47:$E$51,4,FALSE)</f>
        <v>1</v>
      </c>
      <c r="BG340" s="67">
        <f>+VLOOKUP('3. Blasting'!AL340,Leyenda!$B$55:$E$59,4,FALSE)</f>
        <v>3</v>
      </c>
      <c r="BH340" s="67">
        <f>+VLOOKUP('3. Blasting'!AM340,Leyenda!$B$63:$E$67,3,FALSE)</f>
        <v>2</v>
      </c>
      <c r="BI340" s="67">
        <f>+VLOOKUP('3. Blasting'!AJ340,Leyenda!$B$39:$E$43,4,FALSE)</f>
        <v>1</v>
      </c>
      <c r="BJ340" s="67">
        <f>+VLOOKUP('3. Blasting'!AI340,Leyenda!$B$30:$E$34,4,FALSE)</f>
        <v>1</v>
      </c>
      <c r="BK340" s="67">
        <f>VLOOKUP(AN340,Leyenda!$B$71:$E$75,4,FALSE)</f>
        <v>10</v>
      </c>
      <c r="BL340" s="67">
        <f t="shared" si="143"/>
        <v>25</v>
      </c>
      <c r="BM340" s="18">
        <f t="shared" si="144"/>
        <v>28</v>
      </c>
      <c r="BN340" s="18"/>
      <c r="BO340" s="18"/>
      <c r="BP340">
        <f t="shared" si="145"/>
        <v>10</v>
      </c>
      <c r="BQ340">
        <f t="shared" si="146"/>
        <v>10</v>
      </c>
      <c r="BR340">
        <v>20</v>
      </c>
      <c r="BS340">
        <f t="shared" si="147"/>
        <v>-50</v>
      </c>
      <c r="BT340">
        <f t="shared" si="148"/>
        <v>0</v>
      </c>
      <c r="BU340">
        <f t="shared" si="149"/>
        <v>-5</v>
      </c>
      <c r="BV340" s="1">
        <f t="shared" si="133"/>
        <v>-0.02</v>
      </c>
      <c r="BW340" s="1">
        <f t="shared" si="134"/>
        <v>0</v>
      </c>
    </row>
    <row r="341" spans="1:75" hidden="1" x14ac:dyDescent="0.25">
      <c r="A341" s="18" t="s">
        <v>6</v>
      </c>
      <c r="B341" s="18">
        <v>2024</v>
      </c>
      <c r="C341" s="18" t="s">
        <v>138</v>
      </c>
      <c r="D341" s="18" t="s">
        <v>130</v>
      </c>
      <c r="E341" s="18">
        <v>20</v>
      </c>
      <c r="F341" s="18" t="s">
        <v>156</v>
      </c>
      <c r="G341" s="18" t="s">
        <v>185</v>
      </c>
      <c r="H341" s="4">
        <f t="shared" si="129"/>
        <v>53.5</v>
      </c>
      <c r="I341" s="4">
        <v>54</v>
      </c>
      <c r="J341" s="4">
        <f t="shared" si="135"/>
        <v>0.5</v>
      </c>
      <c r="K341" s="5">
        <v>0.14000000000000001</v>
      </c>
      <c r="L341" s="31">
        <f t="shared" si="136"/>
        <v>7.0000000000000007E-2</v>
      </c>
      <c r="M341" s="31"/>
      <c r="N341" s="31"/>
      <c r="O341" s="31">
        <f t="shared" si="131"/>
        <v>7.0000000000000007E-2</v>
      </c>
      <c r="P341" s="31">
        <v>3.5</v>
      </c>
      <c r="Q341" s="31">
        <v>20</v>
      </c>
      <c r="R341" s="31">
        <v>0.05</v>
      </c>
      <c r="S341" s="31">
        <v>0</v>
      </c>
      <c r="T341" s="65">
        <f t="shared" si="150"/>
        <v>0</v>
      </c>
      <c r="U341" s="31">
        <v>10</v>
      </c>
      <c r="V341" s="31"/>
      <c r="W341" s="31">
        <f t="shared" si="106"/>
        <v>10</v>
      </c>
      <c r="X341" s="31">
        <f t="shared" si="130"/>
        <v>5</v>
      </c>
      <c r="Y341" s="31">
        <f t="shared" si="137"/>
        <v>5.0000000000000001E-3</v>
      </c>
      <c r="Z341" s="18">
        <v>0</v>
      </c>
      <c r="AA341" s="18" t="s">
        <v>330</v>
      </c>
      <c r="AB341" s="18" t="s">
        <v>333</v>
      </c>
      <c r="AC341" s="18" t="s">
        <v>337</v>
      </c>
      <c r="AD341" s="18">
        <v>20</v>
      </c>
      <c r="AE341" s="18">
        <v>3.5</v>
      </c>
      <c r="AF341" s="18" t="s">
        <v>29</v>
      </c>
      <c r="AG341" s="18" t="s">
        <v>29</v>
      </c>
      <c r="AH341" s="18" t="s">
        <v>29</v>
      </c>
      <c r="AI341" s="18" t="s">
        <v>66</v>
      </c>
      <c r="AJ341" s="18" t="s">
        <v>79</v>
      </c>
      <c r="AK341" s="18" t="s">
        <v>96</v>
      </c>
      <c r="AL341" s="18" t="s">
        <v>107</v>
      </c>
      <c r="AM341" s="18" t="s">
        <v>118</v>
      </c>
      <c r="AN341" s="18" t="s">
        <v>198</v>
      </c>
      <c r="AO341" s="18" t="s">
        <v>235</v>
      </c>
      <c r="AP341" s="18"/>
      <c r="AQ341" s="18">
        <f>+VLOOKUP(AI341,Leyenda!$B$30:$E$34,3,FALSE)</f>
        <v>1</v>
      </c>
      <c r="AR341" s="18">
        <f>+VLOOKUP('3. Blasting'!AJ341,Meteorizacion,3,FALSE)</f>
        <v>1</v>
      </c>
      <c r="AS341" s="18">
        <f>+VLOOKUP('3. Blasting'!AK341,Apertura,3,FALSE)</f>
        <v>1</v>
      </c>
      <c r="AT341" s="18">
        <f>+VLOOKUP('3. Blasting'!AL341,Leyenda!$B$55:$D$59,3,FALSE)</f>
        <v>3</v>
      </c>
      <c r="AU341" s="18">
        <f>+VLOOKUP('3. Blasting'!AM341,Relleno,3,FALSE)</f>
        <v>2</v>
      </c>
      <c r="AV341" s="18">
        <f t="shared" si="151"/>
        <v>8</v>
      </c>
      <c r="AW341" s="49">
        <f t="shared" si="138"/>
        <v>0</v>
      </c>
      <c r="AX341" s="49">
        <f>VLOOKUP(AF341,Leyenda!$B$4:$D$10,3,FALSE)</f>
        <v>2</v>
      </c>
      <c r="AY341" s="50">
        <f t="shared" si="132"/>
        <v>2</v>
      </c>
      <c r="AZ341" s="49">
        <f t="shared" si="139"/>
        <v>8</v>
      </c>
      <c r="BA341" s="49">
        <f>VLOOKUP(AN341,Leyenda!$B$70:$D$75,3,FALSE)</f>
        <v>15</v>
      </c>
      <c r="BB341" s="67">
        <f t="shared" si="140"/>
        <v>12</v>
      </c>
      <c r="BC341" s="67">
        <f>VLOOKUP(AF341,Leyenda!$B$4:$E$10,4,FALSE)</f>
        <v>2</v>
      </c>
      <c r="BD341" s="67">
        <f t="shared" si="141"/>
        <v>5</v>
      </c>
      <c r="BE341" s="67">
        <f t="shared" si="142"/>
        <v>0</v>
      </c>
      <c r="BF341" s="67">
        <f>+VLOOKUP('3. Blasting'!AK341,Leyenda!$B$47:$E$51,4,FALSE)</f>
        <v>1</v>
      </c>
      <c r="BG341" s="67">
        <f>+VLOOKUP('3. Blasting'!AL341,Leyenda!$B$55:$E$59,4,FALSE)</f>
        <v>3</v>
      </c>
      <c r="BH341" s="67">
        <f>+VLOOKUP('3. Blasting'!AM341,Leyenda!$B$63:$E$67,3,FALSE)</f>
        <v>2</v>
      </c>
      <c r="BI341" s="67">
        <f>+VLOOKUP('3. Blasting'!AJ341,Leyenda!$B$39:$E$43,4,FALSE)</f>
        <v>1</v>
      </c>
      <c r="BJ341" s="67">
        <f>+VLOOKUP('3. Blasting'!AI341,Leyenda!$B$30:$E$34,4,FALSE)</f>
        <v>1</v>
      </c>
      <c r="BK341" s="67">
        <f>VLOOKUP(AN341,Leyenda!$B$71:$E$75,4,FALSE)</f>
        <v>10</v>
      </c>
      <c r="BL341" s="67">
        <f t="shared" si="143"/>
        <v>25</v>
      </c>
      <c r="BM341" s="18">
        <f t="shared" si="144"/>
        <v>27</v>
      </c>
      <c r="BN341" s="18"/>
      <c r="BO341" s="18"/>
      <c r="BP341">
        <f t="shared" si="145"/>
        <v>10</v>
      </c>
      <c r="BQ341">
        <f t="shared" si="146"/>
        <v>10</v>
      </c>
      <c r="BR341">
        <v>20</v>
      </c>
      <c r="BS341">
        <f t="shared" si="147"/>
        <v>-50</v>
      </c>
      <c r="BT341">
        <f t="shared" si="148"/>
        <v>0</v>
      </c>
      <c r="BU341">
        <f t="shared" si="149"/>
        <v>-5</v>
      </c>
      <c r="BV341" s="1">
        <f t="shared" si="133"/>
        <v>-0.02</v>
      </c>
      <c r="BW341" s="1">
        <f t="shared" si="134"/>
        <v>0</v>
      </c>
    </row>
    <row r="342" spans="1:75" hidden="1" x14ac:dyDescent="0.25">
      <c r="A342" s="18" t="s">
        <v>6</v>
      </c>
      <c r="B342" s="18">
        <v>2024</v>
      </c>
      <c r="C342" s="18" t="s">
        <v>138</v>
      </c>
      <c r="D342" s="18" t="s">
        <v>130</v>
      </c>
      <c r="E342" s="18">
        <v>20</v>
      </c>
      <c r="F342" s="18" t="s">
        <v>156</v>
      </c>
      <c r="G342" s="18" t="s">
        <v>185</v>
      </c>
      <c r="H342" s="4">
        <f t="shared" si="129"/>
        <v>54</v>
      </c>
      <c r="I342" s="4">
        <v>54.5</v>
      </c>
      <c r="J342" s="4">
        <f t="shared" si="135"/>
        <v>0.5</v>
      </c>
      <c r="K342" s="5">
        <v>0.18</v>
      </c>
      <c r="L342" s="31">
        <f t="shared" si="136"/>
        <v>0.09</v>
      </c>
      <c r="M342" s="31"/>
      <c r="N342" s="31"/>
      <c r="O342" s="31">
        <f t="shared" si="131"/>
        <v>0.09</v>
      </c>
      <c r="P342" s="31">
        <v>4.5</v>
      </c>
      <c r="Q342" s="31">
        <v>20</v>
      </c>
      <c r="R342" s="31">
        <v>7.0000000000000007E-2</v>
      </c>
      <c r="S342" s="31">
        <v>0</v>
      </c>
      <c r="T342" s="65">
        <f t="shared" si="150"/>
        <v>0</v>
      </c>
      <c r="U342" s="31">
        <v>10</v>
      </c>
      <c r="V342" s="31"/>
      <c r="W342" s="31">
        <f t="shared" si="106"/>
        <v>10</v>
      </c>
      <c r="X342" s="31">
        <f t="shared" si="130"/>
        <v>7</v>
      </c>
      <c r="Y342" s="31">
        <f t="shared" si="137"/>
        <v>7.0000000000000001E-3</v>
      </c>
      <c r="Z342" s="18">
        <v>0</v>
      </c>
      <c r="AA342" s="18" t="s">
        <v>330</v>
      </c>
      <c r="AB342" s="18" t="s">
        <v>333</v>
      </c>
      <c r="AC342" s="18" t="s">
        <v>337</v>
      </c>
      <c r="AD342" s="18">
        <v>20</v>
      </c>
      <c r="AE342" s="18">
        <v>4.5</v>
      </c>
      <c r="AF342" s="18" t="s">
        <v>29</v>
      </c>
      <c r="AG342" s="18" t="s">
        <v>29</v>
      </c>
      <c r="AH342" s="18" t="s">
        <v>29</v>
      </c>
      <c r="AI342" s="18" t="s">
        <v>66</v>
      </c>
      <c r="AJ342" s="18" t="s">
        <v>79</v>
      </c>
      <c r="AK342" s="18" t="s">
        <v>96</v>
      </c>
      <c r="AL342" s="18" t="s">
        <v>107</v>
      </c>
      <c r="AM342" s="18" t="s">
        <v>118</v>
      </c>
      <c r="AN342" s="18" t="s">
        <v>198</v>
      </c>
      <c r="AO342" s="18" t="s">
        <v>235</v>
      </c>
      <c r="AP342" s="18"/>
      <c r="AQ342" s="18">
        <f>+VLOOKUP(AI342,Leyenda!$B$30:$E$34,3,FALSE)</f>
        <v>1</v>
      </c>
      <c r="AR342" s="18">
        <f>+VLOOKUP('3. Blasting'!AJ342,Meteorizacion,3,FALSE)</f>
        <v>1</v>
      </c>
      <c r="AS342" s="18">
        <f>+VLOOKUP('3. Blasting'!AK342,Apertura,3,FALSE)</f>
        <v>1</v>
      </c>
      <c r="AT342" s="18">
        <f>+VLOOKUP('3. Blasting'!AL342,Leyenda!$B$55:$D$59,3,FALSE)</f>
        <v>3</v>
      </c>
      <c r="AU342" s="18">
        <f>+VLOOKUP('3. Blasting'!AM342,Relleno,3,FALSE)</f>
        <v>2</v>
      </c>
      <c r="AV342" s="18">
        <f t="shared" si="151"/>
        <v>8</v>
      </c>
      <c r="AW342" s="49">
        <f t="shared" si="138"/>
        <v>0</v>
      </c>
      <c r="AX342" s="49">
        <f>VLOOKUP(AF342,Leyenda!$B$4:$D$10,3,FALSE)</f>
        <v>2</v>
      </c>
      <c r="AY342" s="50">
        <f t="shared" si="132"/>
        <v>3</v>
      </c>
      <c r="AZ342" s="49">
        <f t="shared" si="139"/>
        <v>8</v>
      </c>
      <c r="BA342" s="49">
        <f>VLOOKUP(AN342,Leyenda!$B$70:$D$75,3,FALSE)</f>
        <v>15</v>
      </c>
      <c r="BB342" s="67">
        <f t="shared" si="140"/>
        <v>12</v>
      </c>
      <c r="BC342" s="67">
        <f>VLOOKUP(AF342,Leyenda!$B$4:$E$10,4,FALSE)</f>
        <v>2</v>
      </c>
      <c r="BD342" s="67">
        <f t="shared" si="141"/>
        <v>5</v>
      </c>
      <c r="BE342" s="67">
        <f t="shared" si="142"/>
        <v>0</v>
      </c>
      <c r="BF342" s="67">
        <f>+VLOOKUP('3. Blasting'!AK342,Leyenda!$B$47:$E$51,4,FALSE)</f>
        <v>1</v>
      </c>
      <c r="BG342" s="67">
        <f>+VLOOKUP('3. Blasting'!AL342,Leyenda!$B$55:$E$59,4,FALSE)</f>
        <v>3</v>
      </c>
      <c r="BH342" s="67">
        <f>+VLOOKUP('3. Blasting'!AM342,Leyenda!$B$63:$E$67,3,FALSE)</f>
        <v>2</v>
      </c>
      <c r="BI342" s="67">
        <f>+VLOOKUP('3. Blasting'!AJ342,Leyenda!$B$39:$E$43,4,FALSE)</f>
        <v>1</v>
      </c>
      <c r="BJ342" s="67">
        <f>+VLOOKUP('3. Blasting'!AI342,Leyenda!$B$30:$E$34,4,FALSE)</f>
        <v>1</v>
      </c>
      <c r="BK342" s="67">
        <f>VLOOKUP(AN342,Leyenda!$B$71:$E$75,4,FALSE)</f>
        <v>10</v>
      </c>
      <c r="BL342" s="67">
        <f t="shared" si="143"/>
        <v>25</v>
      </c>
      <c r="BM342" s="18">
        <f t="shared" si="144"/>
        <v>28</v>
      </c>
      <c r="BN342" s="18"/>
      <c r="BO342" s="18"/>
      <c r="BP342">
        <f t="shared" si="145"/>
        <v>10</v>
      </c>
      <c r="BQ342">
        <f t="shared" si="146"/>
        <v>10</v>
      </c>
      <c r="BR342">
        <v>20</v>
      </c>
      <c r="BS342">
        <f t="shared" si="147"/>
        <v>-50</v>
      </c>
      <c r="BT342">
        <f t="shared" si="148"/>
        <v>0</v>
      </c>
      <c r="BU342">
        <f t="shared" si="149"/>
        <v>-5</v>
      </c>
      <c r="BV342" s="1">
        <f t="shared" si="133"/>
        <v>-0.02</v>
      </c>
      <c r="BW342" s="1">
        <f t="shared" si="134"/>
        <v>0</v>
      </c>
    </row>
    <row r="343" spans="1:75" hidden="1" x14ac:dyDescent="0.25">
      <c r="A343" s="18" t="s">
        <v>6</v>
      </c>
      <c r="B343" s="18">
        <v>2024</v>
      </c>
      <c r="C343" s="18" t="s">
        <v>138</v>
      </c>
      <c r="D343" s="18" t="s">
        <v>130</v>
      </c>
      <c r="E343" s="18">
        <v>20</v>
      </c>
      <c r="F343" s="18" t="s">
        <v>156</v>
      </c>
      <c r="G343" s="18" t="s">
        <v>185</v>
      </c>
      <c r="H343" s="4">
        <f t="shared" si="129"/>
        <v>54.5</v>
      </c>
      <c r="I343" s="4">
        <v>55</v>
      </c>
      <c r="J343" s="4">
        <f t="shared" si="135"/>
        <v>0.5</v>
      </c>
      <c r="K343" s="5">
        <v>0.16</v>
      </c>
      <c r="L343" s="31">
        <f t="shared" si="136"/>
        <v>0.08</v>
      </c>
      <c r="M343" s="31"/>
      <c r="N343" s="31"/>
      <c r="O343" s="31">
        <f t="shared" si="131"/>
        <v>0.08</v>
      </c>
      <c r="P343" s="31">
        <v>4</v>
      </c>
      <c r="Q343" s="31">
        <v>20</v>
      </c>
      <c r="R343" s="31">
        <v>7.0000000000000007E-2</v>
      </c>
      <c r="S343" s="31">
        <v>0</v>
      </c>
      <c r="T343" s="65">
        <f t="shared" si="150"/>
        <v>0</v>
      </c>
      <c r="U343" s="31">
        <v>10</v>
      </c>
      <c r="V343" s="31"/>
      <c r="W343" s="31">
        <f t="shared" si="106"/>
        <v>10</v>
      </c>
      <c r="X343" s="31">
        <f t="shared" si="130"/>
        <v>7</v>
      </c>
      <c r="Y343" s="31">
        <f t="shared" si="137"/>
        <v>7.0000000000000001E-3</v>
      </c>
      <c r="Z343" s="18">
        <v>0</v>
      </c>
      <c r="AA343" s="18" t="s">
        <v>330</v>
      </c>
      <c r="AB343" s="18" t="s">
        <v>333</v>
      </c>
      <c r="AC343" s="18" t="s">
        <v>337</v>
      </c>
      <c r="AD343" s="18">
        <v>20</v>
      </c>
      <c r="AE343" s="18">
        <v>4</v>
      </c>
      <c r="AF343" s="18" t="s">
        <v>29</v>
      </c>
      <c r="AG343" s="18" t="s">
        <v>29</v>
      </c>
      <c r="AH343" s="18" t="s">
        <v>29</v>
      </c>
      <c r="AI343" s="18" t="s">
        <v>66</v>
      </c>
      <c r="AJ343" s="18" t="s">
        <v>79</v>
      </c>
      <c r="AK343" s="18" t="s">
        <v>96</v>
      </c>
      <c r="AL343" s="18" t="s">
        <v>107</v>
      </c>
      <c r="AM343" s="18" t="s">
        <v>118</v>
      </c>
      <c r="AN343" s="18" t="s">
        <v>198</v>
      </c>
      <c r="AO343" s="18" t="s">
        <v>235</v>
      </c>
      <c r="AP343" s="18"/>
      <c r="AQ343" s="18">
        <f>+VLOOKUP(AI343,Leyenda!$B$30:$E$34,3,FALSE)</f>
        <v>1</v>
      </c>
      <c r="AR343" s="18">
        <f>+VLOOKUP('3. Blasting'!AJ343,Meteorizacion,3,FALSE)</f>
        <v>1</v>
      </c>
      <c r="AS343" s="18">
        <f>+VLOOKUP('3. Blasting'!AK343,Apertura,3,FALSE)</f>
        <v>1</v>
      </c>
      <c r="AT343" s="18">
        <f>+VLOOKUP('3. Blasting'!AL343,Leyenda!$B$55:$D$59,3,FALSE)</f>
        <v>3</v>
      </c>
      <c r="AU343" s="18">
        <f>+VLOOKUP('3. Blasting'!AM343,Relleno,3,FALSE)</f>
        <v>2</v>
      </c>
      <c r="AV343" s="18">
        <f t="shared" si="151"/>
        <v>8</v>
      </c>
      <c r="AW343" s="49">
        <f t="shared" si="138"/>
        <v>0</v>
      </c>
      <c r="AX343" s="49">
        <f>VLOOKUP(AF343,Leyenda!$B$4:$D$10,3,FALSE)</f>
        <v>2</v>
      </c>
      <c r="AY343" s="50">
        <f t="shared" si="132"/>
        <v>2</v>
      </c>
      <c r="AZ343" s="49">
        <f t="shared" si="139"/>
        <v>8</v>
      </c>
      <c r="BA343" s="49">
        <f>VLOOKUP(AN343,Leyenda!$B$70:$D$75,3,FALSE)</f>
        <v>15</v>
      </c>
      <c r="BB343" s="67">
        <f t="shared" si="140"/>
        <v>12</v>
      </c>
      <c r="BC343" s="67">
        <f>VLOOKUP(AF343,Leyenda!$B$4:$E$10,4,FALSE)</f>
        <v>2</v>
      </c>
      <c r="BD343" s="67">
        <f t="shared" si="141"/>
        <v>5</v>
      </c>
      <c r="BE343" s="67">
        <f t="shared" si="142"/>
        <v>0</v>
      </c>
      <c r="BF343" s="67">
        <f>+VLOOKUP('3. Blasting'!AK343,Leyenda!$B$47:$E$51,4,FALSE)</f>
        <v>1</v>
      </c>
      <c r="BG343" s="67">
        <f>+VLOOKUP('3. Blasting'!AL343,Leyenda!$B$55:$E$59,4,FALSE)</f>
        <v>3</v>
      </c>
      <c r="BH343" s="67">
        <f>+VLOOKUP('3. Blasting'!AM343,Leyenda!$B$63:$E$67,3,FALSE)</f>
        <v>2</v>
      </c>
      <c r="BI343" s="67">
        <f>+VLOOKUP('3. Blasting'!AJ343,Leyenda!$B$39:$E$43,4,FALSE)</f>
        <v>1</v>
      </c>
      <c r="BJ343" s="67">
        <f>+VLOOKUP('3. Blasting'!AI343,Leyenda!$B$30:$E$34,4,FALSE)</f>
        <v>1</v>
      </c>
      <c r="BK343" s="67">
        <f>VLOOKUP(AN343,Leyenda!$B$71:$E$75,4,FALSE)</f>
        <v>10</v>
      </c>
      <c r="BL343" s="67">
        <f t="shared" si="143"/>
        <v>25</v>
      </c>
      <c r="BM343" s="18">
        <f t="shared" si="144"/>
        <v>27</v>
      </c>
      <c r="BN343" s="18"/>
      <c r="BO343" s="18"/>
      <c r="BP343">
        <f t="shared" si="145"/>
        <v>10</v>
      </c>
      <c r="BQ343">
        <f t="shared" si="146"/>
        <v>10</v>
      </c>
      <c r="BR343">
        <v>20</v>
      </c>
      <c r="BS343">
        <f t="shared" si="147"/>
        <v>-50</v>
      </c>
      <c r="BT343">
        <f t="shared" si="148"/>
        <v>0</v>
      </c>
      <c r="BU343">
        <f t="shared" si="149"/>
        <v>-5</v>
      </c>
      <c r="BV343" s="1">
        <f t="shared" si="133"/>
        <v>-0.02</v>
      </c>
      <c r="BW343" s="1">
        <f t="shared" si="134"/>
        <v>0</v>
      </c>
    </row>
    <row r="344" spans="1:75" hidden="1" x14ac:dyDescent="0.25">
      <c r="A344" s="18" t="s">
        <v>6</v>
      </c>
      <c r="B344" s="18">
        <v>2024</v>
      </c>
      <c r="C344" s="18" t="s">
        <v>138</v>
      </c>
      <c r="D344" s="18" t="s">
        <v>130</v>
      </c>
      <c r="E344" s="18">
        <v>20</v>
      </c>
      <c r="F344" s="18" t="s">
        <v>156</v>
      </c>
      <c r="G344" s="18" t="s">
        <v>185</v>
      </c>
      <c r="H344" s="4">
        <f t="shared" si="129"/>
        <v>55</v>
      </c>
      <c r="I344" s="4">
        <v>55.5</v>
      </c>
      <c r="J344" s="4">
        <f t="shared" si="135"/>
        <v>0.5</v>
      </c>
      <c r="K344" s="5">
        <v>0.14000000000000001</v>
      </c>
      <c r="L344" s="31">
        <f t="shared" si="136"/>
        <v>7.0000000000000007E-2</v>
      </c>
      <c r="M344" s="31"/>
      <c r="N344" s="31"/>
      <c r="O344" s="31">
        <f t="shared" si="131"/>
        <v>7.0000000000000007E-2</v>
      </c>
      <c r="P344" s="31">
        <v>3.5</v>
      </c>
      <c r="Q344" s="31">
        <v>20</v>
      </c>
      <c r="R344" s="31">
        <v>0.5</v>
      </c>
      <c r="S344" s="31">
        <v>0</v>
      </c>
      <c r="T344" s="65">
        <f t="shared" si="150"/>
        <v>0</v>
      </c>
      <c r="U344" s="31">
        <v>10</v>
      </c>
      <c r="V344" s="31"/>
      <c r="W344" s="31">
        <f t="shared" si="106"/>
        <v>10</v>
      </c>
      <c r="X344" s="31">
        <f t="shared" si="130"/>
        <v>50</v>
      </c>
      <c r="Y344" s="31">
        <f t="shared" si="137"/>
        <v>0.05</v>
      </c>
      <c r="Z344" s="18">
        <v>0</v>
      </c>
      <c r="AA344" s="18" t="s">
        <v>330</v>
      </c>
      <c r="AB344" s="18" t="s">
        <v>333</v>
      </c>
      <c r="AC344" s="18" t="s">
        <v>337</v>
      </c>
      <c r="AD344" s="18">
        <v>20</v>
      </c>
      <c r="AE344" s="18">
        <v>3.5</v>
      </c>
      <c r="AF344" s="18" t="s">
        <v>29</v>
      </c>
      <c r="AG344" s="18" t="s">
        <v>29</v>
      </c>
      <c r="AH344" s="18" t="s">
        <v>29</v>
      </c>
      <c r="AI344" s="18" t="s">
        <v>66</v>
      </c>
      <c r="AJ344" s="18" t="s">
        <v>79</v>
      </c>
      <c r="AK344" s="18" t="s">
        <v>96</v>
      </c>
      <c r="AL344" s="18" t="s">
        <v>107</v>
      </c>
      <c r="AM344" s="18" t="s">
        <v>118</v>
      </c>
      <c r="AN344" s="18" t="s">
        <v>198</v>
      </c>
      <c r="AO344" s="18" t="s">
        <v>235</v>
      </c>
      <c r="AP344" s="18"/>
      <c r="AQ344" s="18">
        <f>+VLOOKUP(AI344,Leyenda!$B$30:$E$34,3,FALSE)</f>
        <v>1</v>
      </c>
      <c r="AR344" s="18">
        <f>+VLOOKUP('3. Blasting'!AJ344,Meteorizacion,3,FALSE)</f>
        <v>1</v>
      </c>
      <c r="AS344" s="18">
        <f>+VLOOKUP('3. Blasting'!AK344,Apertura,3,FALSE)</f>
        <v>1</v>
      </c>
      <c r="AT344" s="18">
        <f>+VLOOKUP('3. Blasting'!AL344,Leyenda!$B$55:$D$59,3,FALSE)</f>
        <v>3</v>
      </c>
      <c r="AU344" s="18">
        <f>+VLOOKUP('3. Blasting'!AM344,Relleno,3,FALSE)</f>
        <v>2</v>
      </c>
      <c r="AV344" s="18">
        <f t="shared" si="151"/>
        <v>8</v>
      </c>
      <c r="AW344" s="49">
        <f t="shared" si="138"/>
        <v>0</v>
      </c>
      <c r="AX344" s="49">
        <f>VLOOKUP(AF344,Leyenda!$B$4:$D$10,3,FALSE)</f>
        <v>2</v>
      </c>
      <c r="AY344" s="50">
        <f t="shared" si="132"/>
        <v>2</v>
      </c>
      <c r="AZ344" s="49">
        <f t="shared" si="139"/>
        <v>8</v>
      </c>
      <c r="BA344" s="49">
        <f>VLOOKUP(AN344,Leyenda!$B$70:$D$75,3,FALSE)</f>
        <v>15</v>
      </c>
      <c r="BB344" s="67">
        <f t="shared" si="140"/>
        <v>12</v>
      </c>
      <c r="BC344" s="67">
        <f>VLOOKUP(AF344,Leyenda!$B$4:$E$10,4,FALSE)</f>
        <v>2</v>
      </c>
      <c r="BD344" s="67">
        <f t="shared" si="141"/>
        <v>5</v>
      </c>
      <c r="BE344" s="67">
        <f t="shared" si="142"/>
        <v>0</v>
      </c>
      <c r="BF344" s="67">
        <f>+VLOOKUP('3. Blasting'!AK344,Leyenda!$B$47:$E$51,4,FALSE)</f>
        <v>1</v>
      </c>
      <c r="BG344" s="67">
        <f>+VLOOKUP('3. Blasting'!AL344,Leyenda!$B$55:$E$59,4,FALSE)</f>
        <v>3</v>
      </c>
      <c r="BH344" s="67">
        <f>+VLOOKUP('3. Blasting'!AM344,Leyenda!$B$63:$E$67,3,FALSE)</f>
        <v>2</v>
      </c>
      <c r="BI344" s="67">
        <f>+VLOOKUP('3. Blasting'!AJ344,Leyenda!$B$39:$E$43,4,FALSE)</f>
        <v>1</v>
      </c>
      <c r="BJ344" s="67">
        <f>+VLOOKUP('3. Blasting'!AI344,Leyenda!$B$30:$E$34,4,FALSE)</f>
        <v>1</v>
      </c>
      <c r="BK344" s="67">
        <f>VLOOKUP(AN344,Leyenda!$B$71:$E$75,4,FALSE)</f>
        <v>10</v>
      </c>
      <c r="BL344" s="67">
        <f t="shared" si="143"/>
        <v>25</v>
      </c>
      <c r="BM344" s="18">
        <f t="shared" si="144"/>
        <v>27</v>
      </c>
      <c r="BN344" s="18"/>
      <c r="BO344" s="18"/>
      <c r="BP344">
        <f t="shared" si="145"/>
        <v>10</v>
      </c>
      <c r="BQ344">
        <f t="shared" si="146"/>
        <v>10</v>
      </c>
      <c r="BR344">
        <v>20</v>
      </c>
      <c r="BS344">
        <f t="shared" si="147"/>
        <v>-50</v>
      </c>
      <c r="BT344">
        <f t="shared" si="148"/>
        <v>0</v>
      </c>
      <c r="BU344">
        <f t="shared" si="149"/>
        <v>-5</v>
      </c>
      <c r="BV344" s="1">
        <f t="shared" si="133"/>
        <v>-0.02</v>
      </c>
      <c r="BW344" s="1">
        <f t="shared" si="134"/>
        <v>0</v>
      </c>
    </row>
    <row r="345" spans="1:75" hidden="1" x14ac:dyDescent="0.25">
      <c r="A345" s="18" t="s">
        <v>6</v>
      </c>
      <c r="B345" s="18">
        <v>2024</v>
      </c>
      <c r="C345" s="18" t="s">
        <v>138</v>
      </c>
      <c r="D345" s="18" t="s">
        <v>130</v>
      </c>
      <c r="E345" s="18">
        <v>20</v>
      </c>
      <c r="F345" s="18" t="s">
        <v>156</v>
      </c>
      <c r="G345" s="18"/>
      <c r="H345" s="4">
        <f t="shared" si="129"/>
        <v>55.5</v>
      </c>
      <c r="I345" s="4">
        <v>56</v>
      </c>
      <c r="J345" s="4">
        <f t="shared" si="135"/>
        <v>0.5</v>
      </c>
      <c r="K345" s="5">
        <v>0</v>
      </c>
      <c r="L345" s="31">
        <f t="shared" si="136"/>
        <v>0</v>
      </c>
      <c r="M345" s="31"/>
      <c r="N345" s="31"/>
      <c r="O345" s="31">
        <f t="shared" si="131"/>
        <v>0</v>
      </c>
      <c r="P345" s="31" t="s">
        <v>348</v>
      </c>
      <c r="Q345" s="31">
        <v>20</v>
      </c>
      <c r="R345" s="31">
        <v>0.5</v>
      </c>
      <c r="S345" s="31">
        <v>0</v>
      </c>
      <c r="T345" s="65">
        <f t="shared" si="150"/>
        <v>0</v>
      </c>
      <c r="U345" s="31">
        <v>10</v>
      </c>
      <c r="V345" s="31"/>
      <c r="W345" s="31">
        <f t="shared" si="106"/>
        <v>10</v>
      </c>
      <c r="X345" s="31">
        <f t="shared" si="130"/>
        <v>50</v>
      </c>
      <c r="Y345" s="31">
        <f t="shared" si="137"/>
        <v>0.05</v>
      </c>
      <c r="Z345" s="18">
        <v>0</v>
      </c>
      <c r="AA345" s="18" t="s">
        <v>330</v>
      </c>
      <c r="AB345" s="18" t="s">
        <v>333</v>
      </c>
      <c r="AC345" s="18" t="s">
        <v>337</v>
      </c>
      <c r="AD345" s="18">
        <v>20</v>
      </c>
      <c r="AE345" s="18" t="s">
        <v>348</v>
      </c>
      <c r="AF345" s="18" t="s">
        <v>29</v>
      </c>
      <c r="AG345" s="18" t="s">
        <v>29</v>
      </c>
      <c r="AH345" s="18" t="s">
        <v>29</v>
      </c>
      <c r="AI345" s="18" t="s">
        <v>66</v>
      </c>
      <c r="AJ345" s="18" t="s">
        <v>79</v>
      </c>
      <c r="AK345" s="18" t="s">
        <v>96</v>
      </c>
      <c r="AL345" s="18" t="s">
        <v>107</v>
      </c>
      <c r="AM345" s="18" t="s">
        <v>118</v>
      </c>
      <c r="AN345" s="18" t="s">
        <v>198</v>
      </c>
      <c r="AO345" s="18" t="s">
        <v>235</v>
      </c>
      <c r="AP345" s="18"/>
      <c r="AQ345" s="18">
        <f>+VLOOKUP(AI345,Leyenda!$B$30:$E$34,3,FALSE)</f>
        <v>1</v>
      </c>
      <c r="AR345" s="18">
        <f>+VLOOKUP('3. Blasting'!AJ345,Meteorizacion,3,FALSE)</f>
        <v>1</v>
      </c>
      <c r="AS345" s="18">
        <f>+VLOOKUP('3. Blasting'!AK345,Apertura,3,FALSE)</f>
        <v>1</v>
      </c>
      <c r="AT345" s="18">
        <f>+VLOOKUP('3. Blasting'!AL345,Leyenda!$B$55:$D$59,3,FALSE)</f>
        <v>3</v>
      </c>
      <c r="AU345" s="18">
        <f>+VLOOKUP('3. Blasting'!AM345,Relleno,3,FALSE)</f>
        <v>2</v>
      </c>
      <c r="AV345" s="18">
        <f t="shared" si="151"/>
        <v>8</v>
      </c>
      <c r="AW345" s="49">
        <f t="shared" si="138"/>
        <v>0</v>
      </c>
      <c r="AX345" s="49">
        <f>VLOOKUP(AF345,Leyenda!$B$4:$D$10,3,FALSE)</f>
        <v>2</v>
      </c>
      <c r="AY345" s="50" t="e">
        <f t="shared" si="132"/>
        <v>#VALUE!</v>
      </c>
      <c r="AZ345" s="49">
        <f t="shared" si="139"/>
        <v>8</v>
      </c>
      <c r="BA345" s="49">
        <f>VLOOKUP(AN345,Leyenda!$B$70:$D$75,3,FALSE)</f>
        <v>15</v>
      </c>
      <c r="BB345" s="67">
        <f t="shared" si="140"/>
        <v>12</v>
      </c>
      <c r="BC345" s="67">
        <f>VLOOKUP(AF345,Leyenda!$B$4:$E$10,4,FALSE)</f>
        <v>2</v>
      </c>
      <c r="BD345" s="67">
        <f t="shared" si="141"/>
        <v>5</v>
      </c>
      <c r="BE345" s="67">
        <f t="shared" si="142"/>
        <v>0</v>
      </c>
      <c r="BF345" s="67">
        <f>+VLOOKUP('3. Blasting'!AK345,Leyenda!$B$47:$E$51,4,FALSE)</f>
        <v>1</v>
      </c>
      <c r="BG345" s="67">
        <f>+VLOOKUP('3. Blasting'!AL345,Leyenda!$B$55:$E$59,4,FALSE)</f>
        <v>3</v>
      </c>
      <c r="BH345" s="67">
        <f>+VLOOKUP('3. Blasting'!AM345,Leyenda!$B$63:$E$67,3,FALSE)</f>
        <v>2</v>
      </c>
      <c r="BI345" s="67">
        <f>+VLOOKUP('3. Blasting'!AJ345,Leyenda!$B$39:$E$43,4,FALSE)</f>
        <v>1</v>
      </c>
      <c r="BJ345" s="67">
        <f>+VLOOKUP('3. Blasting'!AI345,Leyenda!$B$30:$E$34,4,FALSE)</f>
        <v>1</v>
      </c>
      <c r="BK345" s="67">
        <f>VLOOKUP(AN345,Leyenda!$B$71:$E$75,4,FALSE)</f>
        <v>10</v>
      </c>
      <c r="BL345" s="67">
        <f t="shared" si="143"/>
        <v>25</v>
      </c>
      <c r="BM345" s="18" t="e">
        <f t="shared" si="144"/>
        <v>#VALUE!</v>
      </c>
      <c r="BN345" s="18"/>
      <c r="BO345" s="18"/>
      <c r="BP345">
        <f t="shared" si="145"/>
        <v>10</v>
      </c>
      <c r="BQ345">
        <f t="shared" si="146"/>
        <v>10</v>
      </c>
      <c r="BR345">
        <v>20</v>
      </c>
      <c r="BS345">
        <f t="shared" si="147"/>
        <v>-50</v>
      </c>
      <c r="BT345">
        <f t="shared" si="148"/>
        <v>0</v>
      </c>
      <c r="BU345">
        <f t="shared" si="149"/>
        <v>-5</v>
      </c>
      <c r="BV345" s="1">
        <f t="shared" si="133"/>
        <v>-0.02</v>
      </c>
      <c r="BW345" s="1">
        <f t="shared" si="134"/>
        <v>0</v>
      </c>
    </row>
    <row r="346" spans="1:75" hidden="1" x14ac:dyDescent="0.25">
      <c r="A346" s="18" t="s">
        <v>6</v>
      </c>
      <c r="B346" s="18">
        <v>2024</v>
      </c>
      <c r="C346" s="18" t="s">
        <v>138</v>
      </c>
      <c r="D346" s="18" t="s">
        <v>130</v>
      </c>
      <c r="E346" s="18">
        <v>20</v>
      </c>
      <c r="F346" s="18" t="s">
        <v>156</v>
      </c>
      <c r="G346" s="18" t="s">
        <v>185</v>
      </c>
      <c r="H346" s="4">
        <f t="shared" si="129"/>
        <v>56</v>
      </c>
      <c r="I346" s="4">
        <v>56.5</v>
      </c>
      <c r="J346" s="4">
        <f t="shared" si="135"/>
        <v>0.5</v>
      </c>
      <c r="K346" s="5">
        <v>0.18</v>
      </c>
      <c r="L346" s="31">
        <f t="shared" si="136"/>
        <v>0.09</v>
      </c>
      <c r="M346" s="31"/>
      <c r="N346" s="31"/>
      <c r="O346" s="31">
        <f t="shared" si="131"/>
        <v>0.09</v>
      </c>
      <c r="P346" s="31">
        <v>4.5</v>
      </c>
      <c r="Q346" s="31">
        <v>20</v>
      </c>
      <c r="R346" s="31">
        <v>7.0000000000000007E-2</v>
      </c>
      <c r="S346" s="31">
        <v>0</v>
      </c>
      <c r="T346" s="65">
        <f t="shared" si="150"/>
        <v>0</v>
      </c>
      <c r="U346" s="31">
        <v>10</v>
      </c>
      <c r="V346" s="31"/>
      <c r="W346" s="31">
        <f t="shared" si="106"/>
        <v>10</v>
      </c>
      <c r="X346" s="31">
        <f t="shared" si="130"/>
        <v>7</v>
      </c>
      <c r="Y346" s="31">
        <f t="shared" si="137"/>
        <v>7.0000000000000001E-3</v>
      </c>
      <c r="Z346" s="18">
        <v>0</v>
      </c>
      <c r="AA346" s="18" t="s">
        <v>330</v>
      </c>
      <c r="AB346" s="18" t="s">
        <v>333</v>
      </c>
      <c r="AC346" s="18" t="s">
        <v>337</v>
      </c>
      <c r="AD346" s="18">
        <v>20</v>
      </c>
      <c r="AE346" s="18">
        <v>4.5</v>
      </c>
      <c r="AF346" s="18" t="s">
        <v>29</v>
      </c>
      <c r="AG346" s="18" t="s">
        <v>29</v>
      </c>
      <c r="AH346" s="18" t="s">
        <v>29</v>
      </c>
      <c r="AI346" s="18" t="s">
        <v>66</v>
      </c>
      <c r="AJ346" s="18" t="s">
        <v>79</v>
      </c>
      <c r="AK346" s="18" t="s">
        <v>96</v>
      </c>
      <c r="AL346" s="18" t="s">
        <v>107</v>
      </c>
      <c r="AM346" s="18" t="s">
        <v>118</v>
      </c>
      <c r="AN346" s="18" t="s">
        <v>198</v>
      </c>
      <c r="AO346" s="18" t="s">
        <v>235</v>
      </c>
      <c r="AP346" s="18"/>
      <c r="AQ346" s="18">
        <f>+VLOOKUP(AI346,Leyenda!$B$30:$E$34,3,FALSE)</f>
        <v>1</v>
      </c>
      <c r="AR346" s="18">
        <f>+VLOOKUP('3. Blasting'!AJ346,Meteorizacion,3,FALSE)</f>
        <v>1</v>
      </c>
      <c r="AS346" s="18">
        <f>+VLOOKUP('3. Blasting'!AK346,Apertura,3,FALSE)</f>
        <v>1</v>
      </c>
      <c r="AT346" s="18">
        <f>+VLOOKUP('3. Blasting'!AL346,Leyenda!$B$55:$D$59,3,FALSE)</f>
        <v>3</v>
      </c>
      <c r="AU346" s="18">
        <f>+VLOOKUP('3. Blasting'!AM346,Relleno,3,FALSE)</f>
        <v>2</v>
      </c>
      <c r="AV346" s="18">
        <f t="shared" si="151"/>
        <v>8</v>
      </c>
      <c r="AW346" s="49">
        <f t="shared" si="138"/>
        <v>0</v>
      </c>
      <c r="AX346" s="49">
        <f>VLOOKUP(AF346,Leyenda!$B$4:$D$10,3,FALSE)</f>
        <v>2</v>
      </c>
      <c r="AY346" s="50">
        <f t="shared" si="132"/>
        <v>3</v>
      </c>
      <c r="AZ346" s="49">
        <f t="shared" si="139"/>
        <v>8</v>
      </c>
      <c r="BA346" s="49">
        <f>VLOOKUP(AN346,Leyenda!$B$70:$D$75,3,FALSE)</f>
        <v>15</v>
      </c>
      <c r="BB346" s="67">
        <f t="shared" si="140"/>
        <v>12</v>
      </c>
      <c r="BC346" s="67">
        <f>VLOOKUP(AF346,Leyenda!$B$4:$E$10,4,FALSE)</f>
        <v>2</v>
      </c>
      <c r="BD346" s="67">
        <f t="shared" si="141"/>
        <v>5</v>
      </c>
      <c r="BE346" s="67">
        <f t="shared" si="142"/>
        <v>0</v>
      </c>
      <c r="BF346" s="67">
        <f>+VLOOKUP('3. Blasting'!AK346,Leyenda!$B$47:$E$51,4,FALSE)</f>
        <v>1</v>
      </c>
      <c r="BG346" s="67">
        <f>+VLOOKUP('3. Blasting'!AL346,Leyenda!$B$55:$E$59,4,FALSE)</f>
        <v>3</v>
      </c>
      <c r="BH346" s="67">
        <f>+VLOOKUP('3. Blasting'!AM346,Leyenda!$B$63:$E$67,3,FALSE)</f>
        <v>2</v>
      </c>
      <c r="BI346" s="67">
        <f>+VLOOKUP('3. Blasting'!AJ346,Leyenda!$B$39:$E$43,4,FALSE)</f>
        <v>1</v>
      </c>
      <c r="BJ346" s="67">
        <f>+VLOOKUP('3. Blasting'!AI346,Leyenda!$B$30:$E$34,4,FALSE)</f>
        <v>1</v>
      </c>
      <c r="BK346" s="67">
        <f>VLOOKUP(AN346,Leyenda!$B$71:$E$75,4,FALSE)</f>
        <v>10</v>
      </c>
      <c r="BL346" s="67">
        <f t="shared" si="143"/>
        <v>25</v>
      </c>
      <c r="BM346" s="18">
        <f t="shared" si="144"/>
        <v>28</v>
      </c>
      <c r="BN346" s="18"/>
      <c r="BO346" s="18"/>
      <c r="BP346">
        <f t="shared" si="145"/>
        <v>10</v>
      </c>
      <c r="BQ346">
        <f t="shared" si="146"/>
        <v>10</v>
      </c>
      <c r="BR346">
        <v>20</v>
      </c>
      <c r="BS346">
        <f t="shared" si="147"/>
        <v>-50</v>
      </c>
      <c r="BT346">
        <f t="shared" si="148"/>
        <v>0</v>
      </c>
      <c r="BU346">
        <f t="shared" si="149"/>
        <v>-5</v>
      </c>
      <c r="BV346" s="1">
        <f t="shared" si="133"/>
        <v>-0.02</v>
      </c>
      <c r="BW346" s="1">
        <f t="shared" si="134"/>
        <v>0</v>
      </c>
    </row>
    <row r="347" spans="1:75" hidden="1" x14ac:dyDescent="0.25">
      <c r="A347" s="18" t="s">
        <v>6</v>
      </c>
      <c r="B347" s="18">
        <v>2024</v>
      </c>
      <c r="C347" s="18" t="s">
        <v>138</v>
      </c>
      <c r="D347" s="18" t="s">
        <v>130</v>
      </c>
      <c r="E347" s="18">
        <v>20</v>
      </c>
      <c r="F347" s="18" t="s">
        <v>156</v>
      </c>
      <c r="G347" s="18" t="s">
        <v>185</v>
      </c>
      <c r="H347" s="4">
        <f t="shared" si="129"/>
        <v>56.5</v>
      </c>
      <c r="I347" s="4">
        <v>57</v>
      </c>
      <c r="J347" s="4">
        <f t="shared" si="135"/>
        <v>0.5</v>
      </c>
      <c r="K347" s="5">
        <v>0</v>
      </c>
      <c r="L347" s="31">
        <f t="shared" si="136"/>
        <v>0</v>
      </c>
      <c r="M347" s="31"/>
      <c r="N347" s="31"/>
      <c r="O347" s="31">
        <f t="shared" si="131"/>
        <v>0</v>
      </c>
      <c r="P347" s="31" t="s">
        <v>348</v>
      </c>
      <c r="Q347" s="31">
        <v>20</v>
      </c>
      <c r="R347" s="31">
        <v>0.5</v>
      </c>
      <c r="S347" s="31">
        <v>0</v>
      </c>
      <c r="T347" s="65">
        <f t="shared" si="150"/>
        <v>0</v>
      </c>
      <c r="U347" s="31">
        <v>10</v>
      </c>
      <c r="V347" s="31"/>
      <c r="W347" s="31">
        <f t="shared" si="106"/>
        <v>10</v>
      </c>
      <c r="X347" s="31">
        <f t="shared" si="130"/>
        <v>50</v>
      </c>
      <c r="Y347" s="31">
        <f t="shared" si="137"/>
        <v>0.05</v>
      </c>
      <c r="Z347" s="18">
        <v>0</v>
      </c>
      <c r="AA347" s="18" t="s">
        <v>330</v>
      </c>
      <c r="AB347" s="18" t="s">
        <v>333</v>
      </c>
      <c r="AC347" s="18" t="s">
        <v>337</v>
      </c>
      <c r="AD347" s="18">
        <v>20</v>
      </c>
      <c r="AE347" s="18" t="s">
        <v>348</v>
      </c>
      <c r="AF347" s="18" t="s">
        <v>29</v>
      </c>
      <c r="AG347" s="18" t="s">
        <v>29</v>
      </c>
      <c r="AH347" s="18" t="s">
        <v>29</v>
      </c>
      <c r="AI347" s="18" t="s">
        <v>66</v>
      </c>
      <c r="AJ347" s="18" t="s">
        <v>79</v>
      </c>
      <c r="AK347" s="18" t="s">
        <v>96</v>
      </c>
      <c r="AL347" s="18" t="s">
        <v>107</v>
      </c>
      <c r="AM347" s="18" t="s">
        <v>118</v>
      </c>
      <c r="AN347" s="18" t="s">
        <v>198</v>
      </c>
      <c r="AO347" s="18" t="s">
        <v>235</v>
      </c>
      <c r="AP347" s="18"/>
      <c r="AQ347" s="18">
        <f>+VLOOKUP(AI347,Leyenda!$B$30:$E$34,3,FALSE)</f>
        <v>1</v>
      </c>
      <c r="AR347" s="18">
        <f>+VLOOKUP('3. Blasting'!AJ347,Meteorizacion,3,FALSE)</f>
        <v>1</v>
      </c>
      <c r="AS347" s="18">
        <f>+VLOOKUP('3. Blasting'!AK347,Apertura,3,FALSE)</f>
        <v>1</v>
      </c>
      <c r="AT347" s="18">
        <f>+VLOOKUP('3. Blasting'!AL347,Leyenda!$B$55:$D$59,3,FALSE)</f>
        <v>3</v>
      </c>
      <c r="AU347" s="18">
        <f>+VLOOKUP('3. Blasting'!AM347,Relleno,3,FALSE)</f>
        <v>2</v>
      </c>
      <c r="AV347" s="18">
        <f t="shared" si="151"/>
        <v>8</v>
      </c>
      <c r="AW347" s="49">
        <f t="shared" si="138"/>
        <v>0</v>
      </c>
      <c r="AX347" s="49">
        <f>VLOOKUP(AF347,Leyenda!$B$4:$D$10,3,FALSE)</f>
        <v>2</v>
      </c>
      <c r="AY347" s="50" t="e">
        <f t="shared" si="132"/>
        <v>#VALUE!</v>
      </c>
      <c r="AZ347" s="49">
        <f t="shared" si="139"/>
        <v>8</v>
      </c>
      <c r="BA347" s="49">
        <f>VLOOKUP(AN347,Leyenda!$B$70:$D$75,3,FALSE)</f>
        <v>15</v>
      </c>
      <c r="BB347" s="67">
        <f t="shared" si="140"/>
        <v>12</v>
      </c>
      <c r="BC347" s="67">
        <f>VLOOKUP(AF347,Leyenda!$B$4:$E$10,4,FALSE)</f>
        <v>2</v>
      </c>
      <c r="BD347" s="67">
        <f t="shared" si="141"/>
        <v>5</v>
      </c>
      <c r="BE347" s="67">
        <f t="shared" si="142"/>
        <v>0</v>
      </c>
      <c r="BF347" s="67">
        <f>+VLOOKUP('3. Blasting'!AK347,Leyenda!$B$47:$E$51,4,FALSE)</f>
        <v>1</v>
      </c>
      <c r="BG347" s="67">
        <f>+VLOOKUP('3. Blasting'!AL347,Leyenda!$B$55:$E$59,4,FALSE)</f>
        <v>3</v>
      </c>
      <c r="BH347" s="67">
        <f>+VLOOKUP('3. Blasting'!AM347,Leyenda!$B$63:$E$67,3,FALSE)</f>
        <v>2</v>
      </c>
      <c r="BI347" s="67">
        <f>+VLOOKUP('3. Blasting'!AJ347,Leyenda!$B$39:$E$43,4,FALSE)</f>
        <v>1</v>
      </c>
      <c r="BJ347" s="67">
        <f>+VLOOKUP('3. Blasting'!AI347,Leyenda!$B$30:$E$34,4,FALSE)</f>
        <v>1</v>
      </c>
      <c r="BK347" s="67">
        <f>VLOOKUP(AN347,Leyenda!$B$71:$E$75,4,FALSE)</f>
        <v>10</v>
      </c>
      <c r="BL347" s="67">
        <f t="shared" si="143"/>
        <v>25</v>
      </c>
      <c r="BM347" s="18" t="e">
        <f t="shared" si="144"/>
        <v>#VALUE!</v>
      </c>
      <c r="BN347" s="18"/>
      <c r="BO347" s="18"/>
      <c r="BP347">
        <f t="shared" si="145"/>
        <v>10</v>
      </c>
      <c r="BQ347">
        <f t="shared" si="146"/>
        <v>10</v>
      </c>
      <c r="BR347">
        <v>20</v>
      </c>
      <c r="BS347">
        <f t="shared" si="147"/>
        <v>-50</v>
      </c>
      <c r="BT347">
        <f t="shared" si="148"/>
        <v>0</v>
      </c>
      <c r="BU347">
        <f t="shared" si="149"/>
        <v>-5</v>
      </c>
      <c r="BV347" s="1">
        <f t="shared" si="133"/>
        <v>-0.02</v>
      </c>
      <c r="BW347" s="1">
        <f t="shared" si="134"/>
        <v>0</v>
      </c>
    </row>
    <row r="348" spans="1:75" hidden="1" x14ac:dyDescent="0.25">
      <c r="A348" s="18" t="s">
        <v>6</v>
      </c>
      <c r="B348" s="18">
        <v>2024</v>
      </c>
      <c r="C348" s="18" t="s">
        <v>138</v>
      </c>
      <c r="D348" s="18" t="s">
        <v>130</v>
      </c>
      <c r="E348" s="18">
        <v>20</v>
      </c>
      <c r="F348" s="18" t="s">
        <v>156</v>
      </c>
      <c r="G348" s="18" t="s">
        <v>185</v>
      </c>
      <c r="H348" s="4">
        <f t="shared" si="129"/>
        <v>57</v>
      </c>
      <c r="I348" s="4">
        <v>57.5</v>
      </c>
      <c r="J348" s="4">
        <f t="shared" si="135"/>
        <v>0.5</v>
      </c>
      <c r="K348" s="5">
        <v>0.2</v>
      </c>
      <c r="L348" s="31">
        <f t="shared" si="136"/>
        <v>0.1</v>
      </c>
      <c r="M348" s="31"/>
      <c r="N348" s="31"/>
      <c r="O348" s="31">
        <f t="shared" si="131"/>
        <v>0.1</v>
      </c>
      <c r="P348" s="31">
        <v>5</v>
      </c>
      <c r="Q348" s="31">
        <v>20</v>
      </c>
      <c r="R348" s="31">
        <v>0.11</v>
      </c>
      <c r="S348" s="31">
        <v>0</v>
      </c>
      <c r="T348" s="65">
        <f t="shared" si="150"/>
        <v>0</v>
      </c>
      <c r="U348" s="31">
        <v>10</v>
      </c>
      <c r="V348" s="31"/>
      <c r="W348" s="31">
        <f t="shared" si="106"/>
        <v>10</v>
      </c>
      <c r="X348" s="31">
        <f t="shared" si="130"/>
        <v>11</v>
      </c>
      <c r="Y348" s="31">
        <f t="shared" si="137"/>
        <v>1.0999999999999999E-2</v>
      </c>
      <c r="Z348" s="18">
        <v>0</v>
      </c>
      <c r="AA348" s="18" t="s">
        <v>330</v>
      </c>
      <c r="AB348" s="18" t="s">
        <v>333</v>
      </c>
      <c r="AC348" s="18" t="s">
        <v>337</v>
      </c>
      <c r="AD348" s="18">
        <v>20</v>
      </c>
      <c r="AE348" s="18">
        <v>5</v>
      </c>
      <c r="AF348" s="18" t="s">
        <v>29</v>
      </c>
      <c r="AG348" s="18" t="s">
        <v>29</v>
      </c>
      <c r="AH348" s="18" t="s">
        <v>29</v>
      </c>
      <c r="AI348" s="18" t="s">
        <v>66</v>
      </c>
      <c r="AJ348" s="18" t="s">
        <v>79</v>
      </c>
      <c r="AK348" s="18" t="s">
        <v>96</v>
      </c>
      <c r="AL348" s="18" t="s">
        <v>107</v>
      </c>
      <c r="AM348" s="18" t="s">
        <v>118</v>
      </c>
      <c r="AN348" s="18" t="s">
        <v>198</v>
      </c>
      <c r="AO348" s="18" t="s">
        <v>235</v>
      </c>
      <c r="AP348" s="18"/>
      <c r="AQ348" s="18">
        <f>+VLOOKUP(AI348,Leyenda!$B$30:$E$34,3,FALSE)</f>
        <v>1</v>
      </c>
      <c r="AR348" s="18">
        <f>+VLOOKUP('3. Blasting'!AJ348,Meteorizacion,3,FALSE)</f>
        <v>1</v>
      </c>
      <c r="AS348" s="18">
        <f>+VLOOKUP('3. Blasting'!AK348,Apertura,3,FALSE)</f>
        <v>1</v>
      </c>
      <c r="AT348" s="18">
        <f>+VLOOKUP('3. Blasting'!AL348,Leyenda!$B$55:$D$59,3,FALSE)</f>
        <v>3</v>
      </c>
      <c r="AU348" s="18">
        <f>+VLOOKUP('3. Blasting'!AM348,Relleno,3,FALSE)</f>
        <v>2</v>
      </c>
      <c r="AV348" s="18">
        <f t="shared" si="151"/>
        <v>8</v>
      </c>
      <c r="AW348" s="49">
        <f t="shared" si="138"/>
        <v>0</v>
      </c>
      <c r="AX348" s="49">
        <f>VLOOKUP(AF348,Leyenda!$B$4:$D$10,3,FALSE)</f>
        <v>2</v>
      </c>
      <c r="AY348" s="50">
        <f t="shared" si="132"/>
        <v>3</v>
      </c>
      <c r="AZ348" s="49">
        <f t="shared" si="139"/>
        <v>8</v>
      </c>
      <c r="BA348" s="49">
        <f>VLOOKUP(AN348,Leyenda!$B$70:$D$75,3,FALSE)</f>
        <v>15</v>
      </c>
      <c r="BB348" s="67">
        <f t="shared" si="140"/>
        <v>12</v>
      </c>
      <c r="BC348" s="67">
        <f>VLOOKUP(AF348,Leyenda!$B$4:$E$10,4,FALSE)</f>
        <v>2</v>
      </c>
      <c r="BD348" s="67">
        <f t="shared" si="141"/>
        <v>5</v>
      </c>
      <c r="BE348" s="67">
        <f t="shared" si="142"/>
        <v>0</v>
      </c>
      <c r="BF348" s="67">
        <f>+VLOOKUP('3. Blasting'!AK348,Leyenda!$B$47:$E$51,4,FALSE)</f>
        <v>1</v>
      </c>
      <c r="BG348" s="67">
        <f>+VLOOKUP('3. Blasting'!AL348,Leyenda!$B$55:$E$59,4,FALSE)</f>
        <v>3</v>
      </c>
      <c r="BH348" s="67">
        <f>+VLOOKUP('3. Blasting'!AM348,Leyenda!$B$63:$E$67,3,FALSE)</f>
        <v>2</v>
      </c>
      <c r="BI348" s="67">
        <f>+VLOOKUP('3. Blasting'!AJ348,Leyenda!$B$39:$E$43,4,FALSE)</f>
        <v>1</v>
      </c>
      <c r="BJ348" s="67">
        <f>+VLOOKUP('3. Blasting'!AI348,Leyenda!$B$30:$E$34,4,FALSE)</f>
        <v>1</v>
      </c>
      <c r="BK348" s="67">
        <f>VLOOKUP(AN348,Leyenda!$B$71:$E$75,4,FALSE)</f>
        <v>10</v>
      </c>
      <c r="BL348" s="67">
        <f t="shared" si="143"/>
        <v>25</v>
      </c>
      <c r="BM348" s="18">
        <f t="shared" si="144"/>
        <v>28</v>
      </c>
      <c r="BN348" s="18"/>
      <c r="BO348" s="18"/>
      <c r="BP348">
        <f t="shared" si="145"/>
        <v>10</v>
      </c>
      <c r="BQ348">
        <f t="shared" si="146"/>
        <v>10</v>
      </c>
      <c r="BR348">
        <v>20</v>
      </c>
      <c r="BS348">
        <f t="shared" si="147"/>
        <v>-50</v>
      </c>
      <c r="BT348">
        <f t="shared" si="148"/>
        <v>0</v>
      </c>
      <c r="BU348">
        <f t="shared" si="149"/>
        <v>-5</v>
      </c>
      <c r="BV348" s="1">
        <f t="shared" si="133"/>
        <v>-0.02</v>
      </c>
      <c r="BW348" s="1">
        <f t="shared" si="134"/>
        <v>0</v>
      </c>
    </row>
    <row r="349" spans="1:75" hidden="1" x14ac:dyDescent="0.25">
      <c r="A349" s="18" t="s">
        <v>6</v>
      </c>
      <c r="B349" s="18">
        <v>2024</v>
      </c>
      <c r="C349" s="18" t="s">
        <v>138</v>
      </c>
      <c r="D349" s="18" t="s">
        <v>130</v>
      </c>
      <c r="E349" s="18">
        <v>20</v>
      </c>
      <c r="F349" s="18" t="s">
        <v>156</v>
      </c>
      <c r="G349" s="18" t="s">
        <v>185</v>
      </c>
      <c r="H349" s="4">
        <f t="shared" si="129"/>
        <v>57.5</v>
      </c>
      <c r="I349" s="4">
        <v>58</v>
      </c>
      <c r="J349" s="4">
        <f t="shared" si="135"/>
        <v>0.5</v>
      </c>
      <c r="K349" s="5">
        <v>0</v>
      </c>
      <c r="L349" s="31">
        <f t="shared" si="136"/>
        <v>0</v>
      </c>
      <c r="M349" s="31"/>
      <c r="N349" s="31"/>
      <c r="O349" s="31">
        <f t="shared" si="131"/>
        <v>0</v>
      </c>
      <c r="P349" s="31" t="s">
        <v>348</v>
      </c>
      <c r="Q349" s="31">
        <v>20</v>
      </c>
      <c r="R349" s="31">
        <v>0.5</v>
      </c>
      <c r="S349" s="31">
        <v>0</v>
      </c>
      <c r="T349" s="65">
        <f t="shared" si="150"/>
        <v>0</v>
      </c>
      <c r="U349" s="31">
        <v>10</v>
      </c>
      <c r="V349" s="31"/>
      <c r="W349" s="31">
        <f t="shared" si="106"/>
        <v>10</v>
      </c>
      <c r="X349" s="31">
        <f t="shared" si="130"/>
        <v>50</v>
      </c>
      <c r="Y349" s="31">
        <f t="shared" si="137"/>
        <v>0.05</v>
      </c>
      <c r="Z349" s="18">
        <v>0</v>
      </c>
      <c r="AA349" s="18" t="s">
        <v>330</v>
      </c>
      <c r="AB349" s="18" t="s">
        <v>333</v>
      </c>
      <c r="AC349" s="18" t="s">
        <v>337</v>
      </c>
      <c r="AD349" s="18">
        <v>20</v>
      </c>
      <c r="AE349" s="18" t="s">
        <v>348</v>
      </c>
      <c r="AF349" s="18" t="s">
        <v>29</v>
      </c>
      <c r="AG349" s="18" t="s">
        <v>29</v>
      </c>
      <c r="AH349" s="18" t="s">
        <v>29</v>
      </c>
      <c r="AI349" s="18" t="s">
        <v>66</v>
      </c>
      <c r="AJ349" s="18" t="s">
        <v>79</v>
      </c>
      <c r="AK349" s="18" t="s">
        <v>96</v>
      </c>
      <c r="AL349" s="18" t="s">
        <v>107</v>
      </c>
      <c r="AM349" s="18" t="s">
        <v>118</v>
      </c>
      <c r="AN349" s="18" t="s">
        <v>198</v>
      </c>
      <c r="AO349" s="18" t="s">
        <v>235</v>
      </c>
      <c r="AP349" s="18"/>
      <c r="AQ349" s="18">
        <f>+VLOOKUP(AI349,Leyenda!$B$30:$E$34,3,FALSE)</f>
        <v>1</v>
      </c>
      <c r="AR349" s="18">
        <f>+VLOOKUP('3. Blasting'!AJ349,Meteorizacion,3,FALSE)</f>
        <v>1</v>
      </c>
      <c r="AS349" s="18">
        <f>+VLOOKUP('3. Blasting'!AK349,Apertura,3,FALSE)</f>
        <v>1</v>
      </c>
      <c r="AT349" s="18">
        <f>+VLOOKUP('3. Blasting'!AL349,Leyenda!$B$55:$D$59,3,FALSE)</f>
        <v>3</v>
      </c>
      <c r="AU349" s="18">
        <f>+VLOOKUP('3. Blasting'!AM349,Relleno,3,FALSE)</f>
        <v>2</v>
      </c>
      <c r="AV349" s="18">
        <f t="shared" si="151"/>
        <v>8</v>
      </c>
      <c r="AW349" s="49">
        <f t="shared" si="138"/>
        <v>0</v>
      </c>
      <c r="AX349" s="49">
        <f>VLOOKUP(AF349,Leyenda!$B$4:$D$10,3,FALSE)</f>
        <v>2</v>
      </c>
      <c r="AY349" s="50" t="e">
        <f t="shared" si="132"/>
        <v>#VALUE!</v>
      </c>
      <c r="AZ349" s="49">
        <f t="shared" si="139"/>
        <v>8</v>
      </c>
      <c r="BA349" s="49">
        <f>VLOOKUP(AN349,Leyenda!$B$70:$D$75,3,FALSE)</f>
        <v>15</v>
      </c>
      <c r="BB349" s="67">
        <f t="shared" si="140"/>
        <v>12</v>
      </c>
      <c r="BC349" s="67">
        <f>VLOOKUP(AF349,Leyenda!$B$4:$E$10,4,FALSE)</f>
        <v>2</v>
      </c>
      <c r="BD349" s="67">
        <f t="shared" si="141"/>
        <v>5</v>
      </c>
      <c r="BE349" s="67">
        <f t="shared" si="142"/>
        <v>0</v>
      </c>
      <c r="BF349" s="67">
        <f>+VLOOKUP('3. Blasting'!AK349,Leyenda!$B$47:$E$51,4,FALSE)</f>
        <v>1</v>
      </c>
      <c r="BG349" s="67">
        <f>+VLOOKUP('3. Blasting'!AL349,Leyenda!$B$55:$E$59,4,FALSE)</f>
        <v>3</v>
      </c>
      <c r="BH349" s="67">
        <f>+VLOOKUP('3. Blasting'!AM349,Leyenda!$B$63:$E$67,3,FALSE)</f>
        <v>2</v>
      </c>
      <c r="BI349" s="67">
        <f>+VLOOKUP('3. Blasting'!AJ349,Leyenda!$B$39:$E$43,4,FALSE)</f>
        <v>1</v>
      </c>
      <c r="BJ349" s="67">
        <f>+VLOOKUP('3. Blasting'!AI349,Leyenda!$B$30:$E$34,4,FALSE)</f>
        <v>1</v>
      </c>
      <c r="BK349" s="67">
        <f>VLOOKUP(AN349,Leyenda!$B$71:$E$75,4,FALSE)</f>
        <v>10</v>
      </c>
      <c r="BL349" s="67">
        <f t="shared" si="143"/>
        <v>25</v>
      </c>
      <c r="BM349" s="18" t="e">
        <f t="shared" si="144"/>
        <v>#VALUE!</v>
      </c>
      <c r="BN349" s="18"/>
      <c r="BO349" s="18"/>
      <c r="BP349">
        <f t="shared" si="145"/>
        <v>10</v>
      </c>
      <c r="BQ349">
        <f t="shared" si="146"/>
        <v>10</v>
      </c>
      <c r="BR349">
        <v>20</v>
      </c>
      <c r="BS349">
        <f t="shared" si="147"/>
        <v>-50</v>
      </c>
      <c r="BT349">
        <f t="shared" si="148"/>
        <v>0</v>
      </c>
      <c r="BU349">
        <f t="shared" si="149"/>
        <v>-5</v>
      </c>
      <c r="BV349" s="1">
        <f t="shared" si="133"/>
        <v>-0.02</v>
      </c>
      <c r="BW349" s="1">
        <f t="shared" si="134"/>
        <v>0</v>
      </c>
    </row>
    <row r="350" spans="1:75" hidden="1" x14ac:dyDescent="0.25">
      <c r="A350" s="18" t="s">
        <v>6</v>
      </c>
      <c r="B350" s="18">
        <v>2024</v>
      </c>
      <c r="C350" s="18" t="s">
        <v>138</v>
      </c>
      <c r="D350" s="18" t="s">
        <v>130</v>
      </c>
      <c r="E350" s="18">
        <v>20</v>
      </c>
      <c r="F350" s="18" t="s">
        <v>156</v>
      </c>
      <c r="G350" s="18" t="s">
        <v>185</v>
      </c>
      <c r="H350" s="4">
        <f t="shared" si="129"/>
        <v>58</v>
      </c>
      <c r="I350" s="4">
        <v>58.5</v>
      </c>
      <c r="J350" s="4">
        <f t="shared" si="135"/>
        <v>0.5</v>
      </c>
      <c r="K350" s="5">
        <v>0.1</v>
      </c>
      <c r="L350" s="31">
        <f t="shared" si="136"/>
        <v>0.05</v>
      </c>
      <c r="M350" s="31"/>
      <c r="N350" s="31"/>
      <c r="O350" s="31">
        <f t="shared" si="131"/>
        <v>0.05</v>
      </c>
      <c r="P350" s="31">
        <v>2.5</v>
      </c>
      <c r="Q350" s="31">
        <v>20</v>
      </c>
      <c r="R350" s="31">
        <v>0.1</v>
      </c>
      <c r="S350" s="31">
        <v>0</v>
      </c>
      <c r="T350" s="65">
        <f t="shared" si="150"/>
        <v>0</v>
      </c>
      <c r="U350" s="31">
        <v>10</v>
      </c>
      <c r="V350" s="31"/>
      <c r="W350" s="31">
        <f t="shared" si="106"/>
        <v>10</v>
      </c>
      <c r="X350" s="31">
        <f t="shared" si="130"/>
        <v>10</v>
      </c>
      <c r="Y350" s="31">
        <f t="shared" si="137"/>
        <v>0.01</v>
      </c>
      <c r="Z350" s="18">
        <v>0</v>
      </c>
      <c r="AA350" s="18" t="s">
        <v>330</v>
      </c>
      <c r="AB350" s="18" t="s">
        <v>333</v>
      </c>
      <c r="AC350" s="18" t="s">
        <v>337</v>
      </c>
      <c r="AD350" s="18">
        <v>20</v>
      </c>
      <c r="AE350" s="18">
        <v>2.5</v>
      </c>
      <c r="AF350" s="18" t="s">
        <v>29</v>
      </c>
      <c r="AG350" s="18" t="s">
        <v>29</v>
      </c>
      <c r="AH350" s="18" t="s">
        <v>29</v>
      </c>
      <c r="AI350" s="18" t="s">
        <v>66</v>
      </c>
      <c r="AJ350" s="18" t="s">
        <v>79</v>
      </c>
      <c r="AK350" s="18" t="s">
        <v>96</v>
      </c>
      <c r="AL350" s="18" t="s">
        <v>107</v>
      </c>
      <c r="AM350" s="18" t="s">
        <v>118</v>
      </c>
      <c r="AN350" s="18" t="s">
        <v>198</v>
      </c>
      <c r="AO350" s="18" t="s">
        <v>235</v>
      </c>
      <c r="AP350" s="18"/>
      <c r="AQ350" s="18">
        <f>+VLOOKUP(AI350,Leyenda!$B$30:$E$34,3,FALSE)</f>
        <v>1</v>
      </c>
      <c r="AR350" s="18">
        <f>+VLOOKUP('3. Blasting'!AJ350,Meteorizacion,3,FALSE)</f>
        <v>1</v>
      </c>
      <c r="AS350" s="18">
        <f>+VLOOKUP('3. Blasting'!AK350,Apertura,3,FALSE)</f>
        <v>1</v>
      </c>
      <c r="AT350" s="18">
        <f>+VLOOKUP('3. Blasting'!AL350,Leyenda!$B$55:$D$59,3,FALSE)</f>
        <v>3</v>
      </c>
      <c r="AU350" s="18">
        <f>+VLOOKUP('3. Blasting'!AM350,Relleno,3,FALSE)</f>
        <v>2</v>
      </c>
      <c r="AV350" s="18">
        <f t="shared" si="151"/>
        <v>8</v>
      </c>
      <c r="AW350" s="49">
        <f t="shared" si="138"/>
        <v>0</v>
      </c>
      <c r="AX350" s="49">
        <f>VLOOKUP(AF350,Leyenda!$B$4:$D$10,3,FALSE)</f>
        <v>2</v>
      </c>
      <c r="AY350" s="50">
        <f t="shared" si="132"/>
        <v>2</v>
      </c>
      <c r="AZ350" s="49">
        <f t="shared" si="139"/>
        <v>8</v>
      </c>
      <c r="BA350" s="49">
        <f>VLOOKUP(AN350,Leyenda!$B$70:$D$75,3,FALSE)</f>
        <v>15</v>
      </c>
      <c r="BB350" s="67">
        <f t="shared" si="140"/>
        <v>12</v>
      </c>
      <c r="BC350" s="67">
        <f>VLOOKUP(AF350,Leyenda!$B$4:$E$10,4,FALSE)</f>
        <v>2</v>
      </c>
      <c r="BD350" s="67">
        <f t="shared" si="141"/>
        <v>5</v>
      </c>
      <c r="BE350" s="67">
        <f t="shared" si="142"/>
        <v>0</v>
      </c>
      <c r="BF350" s="67">
        <f>+VLOOKUP('3. Blasting'!AK350,Leyenda!$B$47:$E$51,4,FALSE)</f>
        <v>1</v>
      </c>
      <c r="BG350" s="67">
        <f>+VLOOKUP('3. Blasting'!AL350,Leyenda!$B$55:$E$59,4,FALSE)</f>
        <v>3</v>
      </c>
      <c r="BH350" s="67">
        <f>+VLOOKUP('3. Blasting'!AM350,Leyenda!$B$63:$E$67,3,FALSE)</f>
        <v>2</v>
      </c>
      <c r="BI350" s="67">
        <f>+VLOOKUP('3. Blasting'!AJ350,Leyenda!$B$39:$E$43,4,FALSE)</f>
        <v>1</v>
      </c>
      <c r="BJ350" s="67">
        <f>+VLOOKUP('3. Blasting'!AI350,Leyenda!$B$30:$E$34,4,FALSE)</f>
        <v>1</v>
      </c>
      <c r="BK350" s="67">
        <f>VLOOKUP(AN350,Leyenda!$B$71:$E$75,4,FALSE)</f>
        <v>10</v>
      </c>
      <c r="BL350" s="67">
        <f t="shared" si="143"/>
        <v>25</v>
      </c>
      <c r="BM350" s="18">
        <f t="shared" si="144"/>
        <v>27</v>
      </c>
      <c r="BN350" s="18"/>
      <c r="BO350" s="18"/>
      <c r="BP350">
        <f t="shared" si="145"/>
        <v>10</v>
      </c>
      <c r="BQ350">
        <f t="shared" si="146"/>
        <v>10</v>
      </c>
      <c r="BR350">
        <v>20</v>
      </c>
      <c r="BS350">
        <f t="shared" si="147"/>
        <v>-50</v>
      </c>
      <c r="BT350">
        <f t="shared" si="148"/>
        <v>0</v>
      </c>
      <c r="BU350">
        <f t="shared" si="149"/>
        <v>-5</v>
      </c>
      <c r="BV350" s="1">
        <f t="shared" si="133"/>
        <v>-0.02</v>
      </c>
      <c r="BW350" s="1">
        <f t="shared" si="134"/>
        <v>0</v>
      </c>
    </row>
    <row r="351" spans="1:75" hidden="1" x14ac:dyDescent="0.25">
      <c r="A351" s="18" t="s">
        <v>6</v>
      </c>
      <c r="B351" s="18">
        <v>2024</v>
      </c>
      <c r="C351" s="18" t="s">
        <v>138</v>
      </c>
      <c r="D351" s="18" t="s">
        <v>130</v>
      </c>
      <c r="E351" s="18">
        <v>20</v>
      </c>
      <c r="F351" s="18" t="s">
        <v>156</v>
      </c>
      <c r="G351" s="18" t="s">
        <v>185</v>
      </c>
      <c r="H351" s="4">
        <f t="shared" si="129"/>
        <v>58.5</v>
      </c>
      <c r="I351" s="4">
        <v>59</v>
      </c>
      <c r="J351" s="4">
        <f t="shared" si="135"/>
        <v>0.5</v>
      </c>
      <c r="K351" s="5">
        <v>0.14000000000000001</v>
      </c>
      <c r="L351" s="31">
        <f t="shared" si="136"/>
        <v>7.0000000000000007E-2</v>
      </c>
      <c r="M351" s="31"/>
      <c r="N351" s="31"/>
      <c r="O351" s="31">
        <f t="shared" si="131"/>
        <v>7.0000000000000007E-2</v>
      </c>
      <c r="P351" s="31">
        <v>3.5</v>
      </c>
      <c r="Q351" s="31">
        <v>20</v>
      </c>
      <c r="R351" s="31">
        <v>7.0000000000000007E-2</v>
      </c>
      <c r="S351" s="31">
        <v>0</v>
      </c>
      <c r="T351" s="65">
        <f t="shared" si="150"/>
        <v>0</v>
      </c>
      <c r="U351" s="31">
        <v>10</v>
      </c>
      <c r="V351" s="31"/>
      <c r="W351" s="31">
        <f t="shared" si="106"/>
        <v>10</v>
      </c>
      <c r="X351" s="31">
        <f t="shared" si="130"/>
        <v>7</v>
      </c>
      <c r="Y351" s="31">
        <f t="shared" si="137"/>
        <v>7.0000000000000001E-3</v>
      </c>
      <c r="Z351" s="18">
        <v>0</v>
      </c>
      <c r="AA351" s="18" t="s">
        <v>330</v>
      </c>
      <c r="AB351" s="18" t="s">
        <v>333</v>
      </c>
      <c r="AC351" s="18" t="s">
        <v>337</v>
      </c>
      <c r="AD351" s="18">
        <v>20</v>
      </c>
      <c r="AE351" s="18">
        <v>3.5</v>
      </c>
      <c r="AF351" s="18" t="s">
        <v>29</v>
      </c>
      <c r="AG351" s="18" t="s">
        <v>29</v>
      </c>
      <c r="AH351" s="18" t="s">
        <v>29</v>
      </c>
      <c r="AI351" s="18" t="s">
        <v>66</v>
      </c>
      <c r="AJ351" s="18" t="s">
        <v>79</v>
      </c>
      <c r="AK351" s="18" t="s">
        <v>96</v>
      </c>
      <c r="AL351" s="18" t="s">
        <v>107</v>
      </c>
      <c r="AM351" s="18" t="s">
        <v>118</v>
      </c>
      <c r="AN351" s="18" t="s">
        <v>198</v>
      </c>
      <c r="AO351" s="18" t="s">
        <v>235</v>
      </c>
      <c r="AP351" s="18"/>
      <c r="AQ351" s="18">
        <f>+VLOOKUP(AI351,Leyenda!$B$30:$E$34,3,FALSE)</f>
        <v>1</v>
      </c>
      <c r="AR351" s="18">
        <f>+VLOOKUP('3. Blasting'!AJ351,Meteorizacion,3,FALSE)</f>
        <v>1</v>
      </c>
      <c r="AS351" s="18">
        <f>+VLOOKUP('3. Blasting'!AK351,Apertura,3,FALSE)</f>
        <v>1</v>
      </c>
      <c r="AT351" s="18">
        <f>+VLOOKUP('3. Blasting'!AL351,Leyenda!$B$55:$D$59,3,FALSE)</f>
        <v>3</v>
      </c>
      <c r="AU351" s="18">
        <f>+VLOOKUP('3. Blasting'!AM351,Relleno,3,FALSE)</f>
        <v>2</v>
      </c>
      <c r="AV351" s="18">
        <f t="shared" si="151"/>
        <v>8</v>
      </c>
      <c r="AW351" s="49">
        <f t="shared" si="138"/>
        <v>0</v>
      </c>
      <c r="AX351" s="49">
        <f>VLOOKUP(AF351,Leyenda!$B$4:$D$10,3,FALSE)</f>
        <v>2</v>
      </c>
      <c r="AY351" s="50">
        <f t="shared" si="132"/>
        <v>2</v>
      </c>
      <c r="AZ351" s="49">
        <f t="shared" si="139"/>
        <v>8</v>
      </c>
      <c r="BA351" s="49">
        <f>VLOOKUP(AN351,Leyenda!$B$70:$D$75,3,FALSE)</f>
        <v>15</v>
      </c>
      <c r="BB351" s="67">
        <f t="shared" si="140"/>
        <v>12</v>
      </c>
      <c r="BC351" s="67">
        <f>VLOOKUP(AF351,Leyenda!$B$4:$E$10,4,FALSE)</f>
        <v>2</v>
      </c>
      <c r="BD351" s="67">
        <f t="shared" si="141"/>
        <v>5</v>
      </c>
      <c r="BE351" s="67">
        <f t="shared" si="142"/>
        <v>0</v>
      </c>
      <c r="BF351" s="67">
        <f>+VLOOKUP('3. Blasting'!AK351,Leyenda!$B$47:$E$51,4,FALSE)</f>
        <v>1</v>
      </c>
      <c r="BG351" s="67">
        <f>+VLOOKUP('3. Blasting'!AL351,Leyenda!$B$55:$E$59,4,FALSE)</f>
        <v>3</v>
      </c>
      <c r="BH351" s="67">
        <f>+VLOOKUP('3. Blasting'!AM351,Leyenda!$B$63:$E$67,3,FALSE)</f>
        <v>2</v>
      </c>
      <c r="BI351" s="67">
        <f>+VLOOKUP('3. Blasting'!AJ351,Leyenda!$B$39:$E$43,4,FALSE)</f>
        <v>1</v>
      </c>
      <c r="BJ351" s="67">
        <f>+VLOOKUP('3. Blasting'!AI351,Leyenda!$B$30:$E$34,4,FALSE)</f>
        <v>1</v>
      </c>
      <c r="BK351" s="67">
        <f>VLOOKUP(AN351,Leyenda!$B$71:$E$75,4,FALSE)</f>
        <v>10</v>
      </c>
      <c r="BL351" s="67">
        <f t="shared" si="143"/>
        <v>25</v>
      </c>
      <c r="BM351" s="18">
        <f t="shared" si="144"/>
        <v>27</v>
      </c>
      <c r="BN351" s="18"/>
      <c r="BO351" s="18"/>
      <c r="BP351">
        <f t="shared" si="145"/>
        <v>10</v>
      </c>
      <c r="BQ351">
        <f t="shared" si="146"/>
        <v>10</v>
      </c>
      <c r="BR351">
        <v>20</v>
      </c>
      <c r="BS351">
        <f t="shared" si="147"/>
        <v>-50</v>
      </c>
      <c r="BT351">
        <f t="shared" si="148"/>
        <v>0</v>
      </c>
      <c r="BU351">
        <f t="shared" si="149"/>
        <v>-5</v>
      </c>
      <c r="BV351" s="1">
        <f t="shared" si="133"/>
        <v>-0.02</v>
      </c>
      <c r="BW351" s="1">
        <f t="shared" si="134"/>
        <v>0</v>
      </c>
    </row>
    <row r="352" spans="1:75" hidden="1" x14ac:dyDescent="0.25">
      <c r="A352" s="18" t="s">
        <v>6</v>
      </c>
      <c r="B352" s="18">
        <v>2024</v>
      </c>
      <c r="C352" s="18" t="s">
        <v>138</v>
      </c>
      <c r="D352" s="18" t="s">
        <v>130</v>
      </c>
      <c r="E352" s="18">
        <v>20</v>
      </c>
      <c r="F352" s="18" t="s">
        <v>156</v>
      </c>
      <c r="G352" s="18"/>
      <c r="H352" s="4">
        <f t="shared" si="129"/>
        <v>59</v>
      </c>
      <c r="I352" s="4">
        <v>59.5</v>
      </c>
      <c r="J352" s="4">
        <f t="shared" si="135"/>
        <v>0.5</v>
      </c>
      <c r="K352" s="5">
        <v>0</v>
      </c>
      <c r="L352" s="31">
        <f t="shared" si="136"/>
        <v>0</v>
      </c>
      <c r="M352" s="31"/>
      <c r="N352" s="31"/>
      <c r="O352" s="31">
        <f t="shared" si="131"/>
        <v>0</v>
      </c>
      <c r="P352" s="31" t="s">
        <v>348</v>
      </c>
      <c r="Q352" s="31">
        <v>20</v>
      </c>
      <c r="R352" s="31">
        <v>0.5</v>
      </c>
      <c r="S352" s="31">
        <v>0</v>
      </c>
      <c r="T352" s="65">
        <f t="shared" si="150"/>
        <v>0</v>
      </c>
      <c r="U352" s="31">
        <v>10</v>
      </c>
      <c r="V352" s="31"/>
      <c r="W352" s="31">
        <f t="shared" si="106"/>
        <v>10</v>
      </c>
      <c r="X352" s="31">
        <f t="shared" si="130"/>
        <v>50</v>
      </c>
      <c r="Y352" s="31">
        <f t="shared" si="137"/>
        <v>0.05</v>
      </c>
      <c r="Z352" s="18">
        <v>0</v>
      </c>
      <c r="AA352" s="18" t="s">
        <v>330</v>
      </c>
      <c r="AB352" s="18" t="s">
        <v>333</v>
      </c>
      <c r="AC352" s="18" t="s">
        <v>337</v>
      </c>
      <c r="AD352" s="18">
        <v>20</v>
      </c>
      <c r="AE352" s="18" t="s">
        <v>348</v>
      </c>
      <c r="AF352" s="18" t="s">
        <v>29</v>
      </c>
      <c r="AG352" s="18" t="s">
        <v>29</v>
      </c>
      <c r="AH352" s="18" t="s">
        <v>29</v>
      </c>
      <c r="AI352" s="18" t="s">
        <v>66</v>
      </c>
      <c r="AJ352" s="18" t="s">
        <v>79</v>
      </c>
      <c r="AK352" s="18" t="s">
        <v>96</v>
      </c>
      <c r="AL352" s="18" t="s">
        <v>107</v>
      </c>
      <c r="AM352" s="18" t="s">
        <v>118</v>
      </c>
      <c r="AN352" s="18" t="s">
        <v>198</v>
      </c>
      <c r="AO352" s="18" t="s">
        <v>265</v>
      </c>
      <c r="AP352" s="18"/>
      <c r="AQ352" s="18">
        <f>+VLOOKUP(AI352,Leyenda!$B$30:$E$34,3,FALSE)</f>
        <v>1</v>
      </c>
      <c r="AR352" s="18">
        <f>+VLOOKUP('3. Blasting'!AJ352,Meteorizacion,3,FALSE)</f>
        <v>1</v>
      </c>
      <c r="AS352" s="18">
        <f>+VLOOKUP('3. Blasting'!AK352,Apertura,3,FALSE)</f>
        <v>1</v>
      </c>
      <c r="AT352" s="18">
        <f>+VLOOKUP('3. Blasting'!AL352,Leyenda!$B$55:$D$59,3,FALSE)</f>
        <v>3</v>
      </c>
      <c r="AU352" s="18">
        <f>+VLOOKUP('3. Blasting'!AM352,Relleno,3,FALSE)</f>
        <v>2</v>
      </c>
      <c r="AV352" s="18">
        <f t="shared" si="151"/>
        <v>8</v>
      </c>
      <c r="AW352" s="49">
        <f t="shared" si="138"/>
        <v>0</v>
      </c>
      <c r="AX352" s="49">
        <f>VLOOKUP(AF352,Leyenda!$B$4:$D$10,3,FALSE)</f>
        <v>2</v>
      </c>
      <c r="AY352" s="50" t="e">
        <f t="shared" si="132"/>
        <v>#VALUE!</v>
      </c>
      <c r="AZ352" s="49">
        <f t="shared" si="139"/>
        <v>8</v>
      </c>
      <c r="BA352" s="49">
        <f>VLOOKUP(AN352,Leyenda!$B$70:$D$75,3,FALSE)</f>
        <v>15</v>
      </c>
      <c r="BB352" s="67">
        <f t="shared" si="140"/>
        <v>12</v>
      </c>
      <c r="BC352" s="67">
        <f>VLOOKUP(AF352,Leyenda!$B$4:$E$10,4,FALSE)</f>
        <v>2</v>
      </c>
      <c r="BD352" s="67">
        <f t="shared" si="141"/>
        <v>5</v>
      </c>
      <c r="BE352" s="67">
        <f t="shared" si="142"/>
        <v>0</v>
      </c>
      <c r="BF352" s="67">
        <f>+VLOOKUP('3. Blasting'!AK352,Leyenda!$B$47:$E$51,4,FALSE)</f>
        <v>1</v>
      </c>
      <c r="BG352" s="67">
        <f>+VLOOKUP('3. Blasting'!AL352,Leyenda!$B$55:$E$59,4,FALSE)</f>
        <v>3</v>
      </c>
      <c r="BH352" s="67">
        <f>+VLOOKUP('3. Blasting'!AM352,Leyenda!$B$63:$E$67,3,FALSE)</f>
        <v>2</v>
      </c>
      <c r="BI352" s="67">
        <f>+VLOOKUP('3. Blasting'!AJ352,Leyenda!$B$39:$E$43,4,FALSE)</f>
        <v>1</v>
      </c>
      <c r="BJ352" s="67">
        <f>+VLOOKUP('3. Blasting'!AI352,Leyenda!$B$30:$E$34,4,FALSE)</f>
        <v>1</v>
      </c>
      <c r="BK352" s="67">
        <f>VLOOKUP(AN352,Leyenda!$B$71:$E$75,4,FALSE)</f>
        <v>10</v>
      </c>
      <c r="BL352" s="67">
        <f t="shared" si="143"/>
        <v>25</v>
      </c>
      <c r="BM352" s="18" t="e">
        <f t="shared" si="144"/>
        <v>#VALUE!</v>
      </c>
      <c r="BN352" s="18"/>
      <c r="BO352" s="18"/>
      <c r="BP352">
        <f t="shared" si="145"/>
        <v>10</v>
      </c>
      <c r="BQ352">
        <f t="shared" si="146"/>
        <v>10</v>
      </c>
      <c r="BR352">
        <v>20</v>
      </c>
      <c r="BS352">
        <f t="shared" si="147"/>
        <v>-50</v>
      </c>
      <c r="BT352">
        <f t="shared" si="148"/>
        <v>0</v>
      </c>
      <c r="BU352">
        <f t="shared" si="149"/>
        <v>-5</v>
      </c>
      <c r="BV352" s="1">
        <f t="shared" si="133"/>
        <v>-0.02</v>
      </c>
      <c r="BW352" s="1">
        <f t="shared" si="134"/>
        <v>0</v>
      </c>
    </row>
    <row r="353" spans="1:75" hidden="1" x14ac:dyDescent="0.25">
      <c r="A353" s="36" t="s">
        <v>6</v>
      </c>
      <c r="B353" s="36">
        <v>2024</v>
      </c>
      <c r="C353" s="36" t="s">
        <v>138</v>
      </c>
      <c r="D353" s="36" t="s">
        <v>130</v>
      </c>
      <c r="E353" s="36">
        <v>20</v>
      </c>
      <c r="F353" s="36" t="s">
        <v>156</v>
      </c>
      <c r="G353" s="36"/>
      <c r="H353" s="107">
        <f t="shared" si="129"/>
        <v>59.5</v>
      </c>
      <c r="I353" s="107">
        <v>60</v>
      </c>
      <c r="J353" s="107">
        <f t="shared" si="135"/>
        <v>0.5</v>
      </c>
      <c r="K353" s="108">
        <v>0</v>
      </c>
      <c r="L353" s="106">
        <f t="shared" si="136"/>
        <v>0</v>
      </c>
      <c r="M353" s="106"/>
      <c r="N353" s="106"/>
      <c r="O353" s="106">
        <f t="shared" si="131"/>
        <v>0</v>
      </c>
      <c r="P353" s="106" t="s">
        <v>348</v>
      </c>
      <c r="Q353" s="106">
        <v>20</v>
      </c>
      <c r="R353" s="106">
        <v>0.5</v>
      </c>
      <c r="S353" s="106">
        <v>0</v>
      </c>
      <c r="T353" s="112">
        <f t="shared" si="150"/>
        <v>0</v>
      </c>
      <c r="U353" s="106">
        <v>10</v>
      </c>
      <c r="V353" s="106"/>
      <c r="W353" s="106">
        <f t="shared" si="106"/>
        <v>10</v>
      </c>
      <c r="X353" s="106">
        <f t="shared" si="130"/>
        <v>50</v>
      </c>
      <c r="Y353" s="106">
        <f t="shared" si="137"/>
        <v>0.05</v>
      </c>
      <c r="Z353" s="36">
        <v>0</v>
      </c>
      <c r="AA353" s="36" t="s">
        <v>330</v>
      </c>
      <c r="AB353" s="36" t="s">
        <v>333</v>
      </c>
      <c r="AC353" s="36" t="s">
        <v>337</v>
      </c>
      <c r="AD353" s="36">
        <v>20</v>
      </c>
      <c r="AE353" s="36" t="s">
        <v>348</v>
      </c>
      <c r="AF353" s="36" t="s">
        <v>29</v>
      </c>
      <c r="AG353" s="36" t="s">
        <v>29</v>
      </c>
      <c r="AH353" s="36" t="s">
        <v>29</v>
      </c>
      <c r="AI353" s="36" t="s">
        <v>66</v>
      </c>
      <c r="AJ353" s="36" t="s">
        <v>79</v>
      </c>
      <c r="AK353" s="36" t="s">
        <v>96</v>
      </c>
      <c r="AL353" s="36" t="s">
        <v>107</v>
      </c>
      <c r="AM353" s="36" t="s">
        <v>118</v>
      </c>
      <c r="AN353" s="36" t="s">
        <v>198</v>
      </c>
      <c r="AO353" s="36" t="s">
        <v>265</v>
      </c>
      <c r="AP353" s="36"/>
      <c r="AQ353" s="36">
        <f>+VLOOKUP(AI353,Leyenda!$B$30:$E$34,3,FALSE)</f>
        <v>1</v>
      </c>
      <c r="AR353" s="36">
        <f>+VLOOKUP('3. Blasting'!AJ353,Meteorizacion,3,FALSE)</f>
        <v>1</v>
      </c>
      <c r="AS353" s="36">
        <f>+VLOOKUP('3. Blasting'!AK353,Apertura,3,FALSE)</f>
        <v>1</v>
      </c>
      <c r="AT353" s="36">
        <f>+VLOOKUP('3. Blasting'!AL353,Leyenda!$B$55:$D$59,3,FALSE)</f>
        <v>3</v>
      </c>
      <c r="AU353" s="36">
        <f>+VLOOKUP('3. Blasting'!AM353,Relleno,3,FALSE)</f>
        <v>2</v>
      </c>
      <c r="AV353" s="36">
        <f t="shared" si="151"/>
        <v>8</v>
      </c>
      <c r="AW353" s="50">
        <f t="shared" si="138"/>
        <v>0</v>
      </c>
      <c r="AX353" s="50">
        <f>VLOOKUP(AF353,Leyenda!$B$4:$D$10,3,FALSE)</f>
        <v>2</v>
      </c>
      <c r="AY353" s="50" t="e">
        <f t="shared" si="132"/>
        <v>#VALUE!</v>
      </c>
      <c r="AZ353" s="50">
        <f t="shared" si="139"/>
        <v>8</v>
      </c>
      <c r="BA353" s="50">
        <f>VLOOKUP(AN353,Leyenda!$B$70:$D$75,3,FALSE)</f>
        <v>15</v>
      </c>
      <c r="BB353" s="110">
        <f t="shared" si="140"/>
        <v>12</v>
      </c>
      <c r="BC353" s="110">
        <f>VLOOKUP(AF353,Leyenda!$B$4:$E$10,4,FALSE)</f>
        <v>2</v>
      </c>
      <c r="BD353" s="110">
        <f t="shared" si="141"/>
        <v>5</v>
      </c>
      <c r="BE353" s="110">
        <f t="shared" si="142"/>
        <v>0</v>
      </c>
      <c r="BF353" s="110">
        <f>+VLOOKUP('3. Blasting'!AK353,Leyenda!$B$47:$E$51,4,FALSE)</f>
        <v>1</v>
      </c>
      <c r="BG353" s="110">
        <f>+VLOOKUP('3. Blasting'!AL353,Leyenda!$B$55:$E$59,4,FALSE)</f>
        <v>3</v>
      </c>
      <c r="BH353" s="110">
        <f>+VLOOKUP('3. Blasting'!AM353,Leyenda!$B$63:$E$67,3,FALSE)</f>
        <v>2</v>
      </c>
      <c r="BI353" s="110">
        <f>+VLOOKUP('3. Blasting'!AJ353,Leyenda!$B$39:$E$43,4,FALSE)</f>
        <v>1</v>
      </c>
      <c r="BJ353" s="110">
        <f>+VLOOKUP('3. Blasting'!AI353,Leyenda!$B$30:$E$34,4,FALSE)</f>
        <v>1</v>
      </c>
      <c r="BK353" s="110">
        <f>VLOOKUP(AN353,Leyenda!$B$71:$E$75,4,FALSE)</f>
        <v>10</v>
      </c>
      <c r="BL353" s="110">
        <f t="shared" si="143"/>
        <v>25</v>
      </c>
      <c r="BM353" s="36" t="e">
        <f t="shared" si="144"/>
        <v>#VALUE!</v>
      </c>
      <c r="BN353" s="36"/>
      <c r="BO353" s="36"/>
      <c r="BP353">
        <f t="shared" si="145"/>
        <v>10</v>
      </c>
      <c r="BQ353">
        <f t="shared" si="146"/>
        <v>10</v>
      </c>
      <c r="BR353">
        <v>20</v>
      </c>
      <c r="BS353">
        <f t="shared" si="147"/>
        <v>-50</v>
      </c>
      <c r="BT353">
        <f t="shared" si="148"/>
        <v>0</v>
      </c>
      <c r="BU353">
        <f t="shared" si="149"/>
        <v>-5</v>
      </c>
      <c r="BV353" s="1">
        <f t="shared" si="133"/>
        <v>-0.02</v>
      </c>
      <c r="BW353" s="1">
        <f t="shared" si="134"/>
        <v>0</v>
      </c>
    </row>
    <row r="354" spans="1:75" hidden="1" x14ac:dyDescent="0.25">
      <c r="A354" s="18" t="s">
        <v>6</v>
      </c>
      <c r="B354" s="18">
        <v>2024</v>
      </c>
      <c r="C354" s="18" t="s">
        <v>138</v>
      </c>
      <c r="D354" s="18" t="s">
        <v>132</v>
      </c>
      <c r="E354" s="18">
        <v>60</v>
      </c>
      <c r="F354" s="18" t="s">
        <v>136</v>
      </c>
      <c r="G354" s="18" t="s">
        <v>164</v>
      </c>
      <c r="H354" s="18">
        <v>0</v>
      </c>
      <c r="I354" s="4">
        <v>0.5</v>
      </c>
      <c r="J354" s="4">
        <f t="shared" si="135"/>
        <v>0.5</v>
      </c>
      <c r="K354" s="5">
        <v>0.78</v>
      </c>
      <c r="L354" s="31">
        <f t="shared" si="136"/>
        <v>0.39</v>
      </c>
      <c r="M354" s="31">
        <v>2.11</v>
      </c>
      <c r="N354" s="31">
        <v>16.600000000000001</v>
      </c>
      <c r="O354" s="31">
        <f>+K354*J354</f>
        <v>0.39</v>
      </c>
      <c r="P354" s="31">
        <v>19.5</v>
      </c>
      <c r="Q354" s="31">
        <v>20</v>
      </c>
      <c r="R354" s="31">
        <v>0.4</v>
      </c>
      <c r="S354" s="31">
        <v>0</v>
      </c>
      <c r="T354" s="65">
        <f t="shared" si="150"/>
        <v>0</v>
      </c>
      <c r="U354" s="31">
        <v>10</v>
      </c>
      <c r="V354" s="31"/>
      <c r="W354" s="31">
        <f t="shared" si="106"/>
        <v>10</v>
      </c>
      <c r="X354" s="31">
        <f t="shared" si="130"/>
        <v>40</v>
      </c>
      <c r="Y354" s="31">
        <f t="shared" si="137"/>
        <v>0.04</v>
      </c>
      <c r="Z354" s="44">
        <v>32</v>
      </c>
      <c r="AA354" s="18" t="s">
        <v>330</v>
      </c>
      <c r="AB354" s="18" t="s">
        <v>333</v>
      </c>
      <c r="AC354" s="18" t="s">
        <v>335</v>
      </c>
      <c r="AD354" s="18">
        <v>20</v>
      </c>
      <c r="AE354" s="18">
        <v>19.5</v>
      </c>
      <c r="AF354" s="18" t="s">
        <v>34</v>
      </c>
      <c r="AG354" s="18" t="s">
        <v>228</v>
      </c>
      <c r="AH354" s="18" t="s">
        <v>228</v>
      </c>
      <c r="AI354" s="18" t="s">
        <v>69</v>
      </c>
      <c r="AJ354" s="18" t="s">
        <v>81</v>
      </c>
      <c r="AK354" s="18" t="s">
        <v>100</v>
      </c>
      <c r="AL354" s="18" t="s">
        <v>111</v>
      </c>
      <c r="AM354" s="18" t="s">
        <v>122</v>
      </c>
      <c r="AN354" s="18" t="s">
        <v>198</v>
      </c>
      <c r="AO354" s="18"/>
      <c r="AP354" s="18"/>
      <c r="AQ354" s="18">
        <f>+VLOOKUP(AI354,Leyenda!$B$30:$E$34,3,FALSE)</f>
        <v>0</v>
      </c>
      <c r="AR354" s="18">
        <f>+VLOOKUP('3. Blasting'!AJ354,Meteorizacion,3,FALSE)</f>
        <v>0</v>
      </c>
      <c r="AS354" s="18">
        <f>+VLOOKUP('3. Blasting'!AK354,Apertura,3,FALSE)</f>
        <v>0</v>
      </c>
      <c r="AT354" s="18">
        <f>+VLOOKUP('3. Blasting'!AL354,Leyenda!$B$55:$D$59,3,FALSE)</f>
        <v>0</v>
      </c>
      <c r="AU354" s="18">
        <f>+VLOOKUP('3. Blasting'!AM354,Relleno,3,FALSE)</f>
        <v>0</v>
      </c>
      <c r="AV354" s="18">
        <f t="shared" si="151"/>
        <v>0</v>
      </c>
      <c r="AW354" s="49">
        <f t="shared" si="138"/>
        <v>7</v>
      </c>
      <c r="AX354" s="49">
        <f>VLOOKUP(AF354,Leyenda!$B$4:$D$10,3,FALSE)</f>
        <v>0</v>
      </c>
      <c r="AY354" s="49">
        <f t="shared" si="132"/>
        <v>4</v>
      </c>
      <c r="AZ354" s="49">
        <f t="shared" si="139"/>
        <v>0</v>
      </c>
      <c r="BA354" s="49">
        <f>VLOOKUP(AN354,Leyenda!$B$70:$D$75,3,FALSE)</f>
        <v>15</v>
      </c>
      <c r="BB354" s="67">
        <f t="shared" si="140"/>
        <v>0</v>
      </c>
      <c r="BC354" s="67">
        <f>VLOOKUP(AF354,Leyenda!$B$4:$E$10,4,FALSE)</f>
        <v>0</v>
      </c>
      <c r="BD354" s="67">
        <f t="shared" si="141"/>
        <v>5</v>
      </c>
      <c r="BE354" s="67">
        <f t="shared" si="142"/>
        <v>0</v>
      </c>
      <c r="BF354" s="67">
        <f>+VLOOKUP('3. Blasting'!AK354,Leyenda!$B$47:$E$51,4,FALSE)</f>
        <v>0</v>
      </c>
      <c r="BG354" s="67">
        <f>+VLOOKUP('3. Blasting'!AL354,Leyenda!$B$55:$E$59,4,FALSE)</f>
        <v>0</v>
      </c>
      <c r="BH354" s="67">
        <f>+VLOOKUP('3. Blasting'!AM354,Leyenda!$B$63:$E$67,3,FALSE)</f>
        <v>0</v>
      </c>
      <c r="BI354" s="67">
        <f>+VLOOKUP('3. Blasting'!AJ354,Leyenda!$B$39:$E$43,4,FALSE)</f>
        <v>0</v>
      </c>
      <c r="BJ354" s="67">
        <f>+VLOOKUP('3. Blasting'!AI354,Leyenda!$B$30:$E$34,4,FALSE)</f>
        <v>0</v>
      </c>
      <c r="BK354" s="67">
        <f>VLOOKUP(AN354,Leyenda!$B$71:$E$75,4,FALSE)</f>
        <v>10</v>
      </c>
      <c r="BL354" s="67">
        <f t="shared" si="143"/>
        <v>15</v>
      </c>
      <c r="BM354" s="18">
        <f t="shared" si="144"/>
        <v>26</v>
      </c>
      <c r="BN354" s="18" t="e">
        <f t="shared" ref="BN354:BN377" si="152">+CORREL(BB354:BB703,BL354:BL703)</f>
        <v>#N/A</v>
      </c>
      <c r="BO354" s="18"/>
      <c r="BP354" s="6">
        <f t="shared" si="145"/>
        <v>10</v>
      </c>
      <c r="BQ354" s="6">
        <f t="shared" si="146"/>
        <v>10</v>
      </c>
      <c r="BR354" s="6">
        <v>20</v>
      </c>
      <c r="BS354" s="6">
        <f t="shared" si="147"/>
        <v>2.75</v>
      </c>
      <c r="BT354" s="6">
        <f t="shared" si="148"/>
        <v>0.83000000000000007</v>
      </c>
      <c r="BU354" s="6">
        <f t="shared" si="149"/>
        <v>21.79</v>
      </c>
      <c r="BV354" s="18">
        <f t="shared" si="133"/>
        <v>8.7160000000000001E-2</v>
      </c>
      <c r="BW354" s="18">
        <f t="shared" si="134"/>
        <v>0.1839076</v>
      </c>
    </row>
    <row r="355" spans="1:75" hidden="1" x14ac:dyDescent="0.25">
      <c r="A355" s="18" t="s">
        <v>6</v>
      </c>
      <c r="B355" s="18">
        <v>2024</v>
      </c>
      <c r="C355" s="18" t="s">
        <v>138</v>
      </c>
      <c r="D355" s="18" t="s">
        <v>132</v>
      </c>
      <c r="E355" s="18">
        <v>60</v>
      </c>
      <c r="F355" s="18" t="s">
        <v>136</v>
      </c>
      <c r="G355" s="18" t="s">
        <v>164</v>
      </c>
      <c r="H355" s="4">
        <f>+I354</f>
        <v>0.5</v>
      </c>
      <c r="I355" s="4">
        <v>1</v>
      </c>
      <c r="J355" s="4">
        <f t="shared" si="135"/>
        <v>0.5</v>
      </c>
      <c r="K355" s="5">
        <v>0.74</v>
      </c>
      <c r="L355" s="31">
        <f t="shared" si="136"/>
        <v>0.37</v>
      </c>
      <c r="M355" s="31">
        <v>2.11</v>
      </c>
      <c r="N355" s="31">
        <v>16.600000000000001</v>
      </c>
      <c r="O355" s="31">
        <f t="shared" ref="O355:O419" si="153">+K355*J355</f>
        <v>0.37</v>
      </c>
      <c r="P355" s="31">
        <v>18.5</v>
      </c>
      <c r="Q355" s="31">
        <v>20</v>
      </c>
      <c r="R355" s="31">
        <v>0.36</v>
      </c>
      <c r="S355" s="31">
        <v>0</v>
      </c>
      <c r="T355" s="65">
        <f t="shared" si="150"/>
        <v>0</v>
      </c>
      <c r="U355" s="31">
        <v>10</v>
      </c>
      <c r="V355" s="31"/>
      <c r="W355" s="31">
        <f t="shared" si="106"/>
        <v>10</v>
      </c>
      <c r="X355" s="31">
        <f t="shared" si="130"/>
        <v>36</v>
      </c>
      <c r="Y355" s="31">
        <f t="shared" si="137"/>
        <v>3.5999999999999997E-2</v>
      </c>
      <c r="Z355" s="44">
        <v>0</v>
      </c>
      <c r="AA355" s="18" t="s">
        <v>330</v>
      </c>
      <c r="AB355" s="18" t="s">
        <v>333</v>
      </c>
      <c r="AC355" s="18" t="s">
        <v>335</v>
      </c>
      <c r="AD355" s="18">
        <v>20</v>
      </c>
      <c r="AE355" s="18">
        <v>18.5</v>
      </c>
      <c r="AF355" s="18" t="s">
        <v>34</v>
      </c>
      <c r="AG355" s="18" t="s">
        <v>228</v>
      </c>
      <c r="AH355" s="18" t="s">
        <v>228</v>
      </c>
      <c r="AI355" s="18" t="s">
        <v>69</v>
      </c>
      <c r="AJ355" s="18" t="s">
        <v>81</v>
      </c>
      <c r="AK355" s="18" t="s">
        <v>100</v>
      </c>
      <c r="AL355" s="18" t="s">
        <v>111</v>
      </c>
      <c r="AM355" s="18" t="s">
        <v>122</v>
      </c>
      <c r="AN355" s="18" t="s">
        <v>198</v>
      </c>
      <c r="AO355" s="18"/>
      <c r="AP355" s="18"/>
      <c r="AQ355" s="18">
        <f>+VLOOKUP(AI355,Leyenda!$B$30:$E$34,3,FALSE)</f>
        <v>0</v>
      </c>
      <c r="AR355" s="18">
        <f>+VLOOKUP('3. Blasting'!AJ355,Meteorizacion,3,FALSE)</f>
        <v>0</v>
      </c>
      <c r="AS355" s="18">
        <f>+VLOOKUP('3. Blasting'!AK355,Apertura,3,FALSE)</f>
        <v>0</v>
      </c>
      <c r="AT355" s="18">
        <f>+VLOOKUP('3. Blasting'!AL355,Leyenda!$B$55:$D$59,3,FALSE)</f>
        <v>0</v>
      </c>
      <c r="AU355" s="18">
        <f>+VLOOKUP('3. Blasting'!AM355,Relleno,3,FALSE)</f>
        <v>0</v>
      </c>
      <c r="AV355" s="18">
        <f t="shared" si="151"/>
        <v>0</v>
      </c>
      <c r="AW355" s="49">
        <f t="shared" si="138"/>
        <v>0</v>
      </c>
      <c r="AX355" s="49">
        <f>VLOOKUP(AF355,Leyenda!$B$4:$D$10,3,FALSE)</f>
        <v>0</v>
      </c>
      <c r="AY355" s="49">
        <f t="shared" si="132"/>
        <v>4</v>
      </c>
      <c r="AZ355" s="49">
        <f t="shared" si="139"/>
        <v>0</v>
      </c>
      <c r="BA355" s="49">
        <f>VLOOKUP(AN355,Leyenda!$B$70:$D$75,3,FALSE)</f>
        <v>15</v>
      </c>
      <c r="BB355" s="67">
        <f t="shared" si="140"/>
        <v>0</v>
      </c>
      <c r="BC355" s="67">
        <f>VLOOKUP(AF355,Leyenda!$B$4:$E$10,4,FALSE)</f>
        <v>0</v>
      </c>
      <c r="BD355" s="67">
        <f t="shared" si="141"/>
        <v>5</v>
      </c>
      <c r="BE355" s="67">
        <f t="shared" si="142"/>
        <v>0</v>
      </c>
      <c r="BF355" s="67">
        <f>+VLOOKUP('3. Blasting'!AK355,Leyenda!$B$47:$E$51,4,FALSE)</f>
        <v>0</v>
      </c>
      <c r="BG355" s="67">
        <f>+VLOOKUP('3. Blasting'!AL355,Leyenda!$B$55:$E$59,4,FALSE)</f>
        <v>0</v>
      </c>
      <c r="BH355" s="67">
        <f>+VLOOKUP('3. Blasting'!AM355,Leyenda!$B$63:$E$67,3,FALSE)</f>
        <v>0</v>
      </c>
      <c r="BI355" s="67">
        <f>+VLOOKUP('3. Blasting'!AJ355,Leyenda!$B$39:$E$43,4,FALSE)</f>
        <v>0</v>
      </c>
      <c r="BJ355" s="67">
        <f>+VLOOKUP('3. Blasting'!AI355,Leyenda!$B$30:$E$34,4,FALSE)</f>
        <v>0</v>
      </c>
      <c r="BK355" s="67">
        <f>VLOOKUP(AN355,Leyenda!$B$71:$E$75,4,FALSE)</f>
        <v>10</v>
      </c>
      <c r="BL355" s="67">
        <f t="shared" si="143"/>
        <v>15</v>
      </c>
      <c r="BM355" s="18">
        <f t="shared" si="144"/>
        <v>19</v>
      </c>
      <c r="BN355" s="18" t="e">
        <f t="shared" si="152"/>
        <v>#N/A</v>
      </c>
      <c r="BO355" s="18"/>
      <c r="BP355" s="6">
        <f t="shared" si="145"/>
        <v>10</v>
      </c>
      <c r="BQ355" s="6">
        <f t="shared" si="146"/>
        <v>10</v>
      </c>
      <c r="BR355" s="6">
        <v>20</v>
      </c>
      <c r="BS355" s="6">
        <f t="shared" si="147"/>
        <v>2.75</v>
      </c>
      <c r="BT355" s="6">
        <f t="shared" si="148"/>
        <v>0.83000000000000007</v>
      </c>
      <c r="BU355" s="6">
        <f t="shared" si="149"/>
        <v>21.79</v>
      </c>
      <c r="BV355" s="18">
        <f t="shared" si="133"/>
        <v>8.7160000000000001E-2</v>
      </c>
      <c r="BW355" s="18">
        <f t="shared" si="134"/>
        <v>0.1839076</v>
      </c>
    </row>
    <row r="356" spans="1:75" hidden="1" x14ac:dyDescent="0.25">
      <c r="A356" s="18" t="s">
        <v>6</v>
      </c>
      <c r="B356" s="18">
        <v>2024</v>
      </c>
      <c r="C356" s="18" t="s">
        <v>138</v>
      </c>
      <c r="D356" s="18" t="s">
        <v>132</v>
      </c>
      <c r="E356" s="18">
        <v>60</v>
      </c>
      <c r="F356" s="18" t="s">
        <v>136</v>
      </c>
      <c r="G356" s="18" t="s">
        <v>165</v>
      </c>
      <c r="H356" s="4">
        <f>+I355</f>
        <v>1</v>
      </c>
      <c r="I356" s="4">
        <v>1.5</v>
      </c>
      <c r="J356" s="4">
        <f t="shared" si="135"/>
        <v>0.5</v>
      </c>
      <c r="K356" s="5">
        <v>0.66</v>
      </c>
      <c r="L356" s="31">
        <f t="shared" si="136"/>
        <v>0.33</v>
      </c>
      <c r="M356" s="31">
        <v>2.11</v>
      </c>
      <c r="N356" s="31">
        <v>16.600000000000001</v>
      </c>
      <c r="O356" s="31">
        <f t="shared" si="153"/>
        <v>0.33</v>
      </c>
      <c r="P356" s="31">
        <v>16.5</v>
      </c>
      <c r="Q356" s="31">
        <v>20</v>
      </c>
      <c r="R356" s="31">
        <v>0.27</v>
      </c>
      <c r="S356" s="31">
        <v>0</v>
      </c>
      <c r="T356" s="65">
        <f t="shared" si="150"/>
        <v>0</v>
      </c>
      <c r="U356" s="31">
        <v>10</v>
      </c>
      <c r="V356" s="31"/>
      <c r="W356" s="31">
        <f t="shared" ref="W356:W412" si="154">+U356+V356</f>
        <v>10</v>
      </c>
      <c r="X356" s="31">
        <f t="shared" si="130"/>
        <v>27</v>
      </c>
      <c r="Y356" s="31">
        <f t="shared" si="137"/>
        <v>2.7E-2</v>
      </c>
      <c r="Z356" s="44">
        <v>0</v>
      </c>
      <c r="AA356" s="18" t="s">
        <v>100</v>
      </c>
      <c r="AB356" s="18" t="s">
        <v>333</v>
      </c>
      <c r="AC356" s="18" t="s">
        <v>336</v>
      </c>
      <c r="AD356" s="18">
        <v>20</v>
      </c>
      <c r="AE356" s="18">
        <v>16.5</v>
      </c>
      <c r="AF356" s="18" t="s">
        <v>32</v>
      </c>
      <c r="AG356" s="18" t="s">
        <v>228</v>
      </c>
      <c r="AH356" s="18" t="s">
        <v>228</v>
      </c>
      <c r="AI356" s="18" t="s">
        <v>69</v>
      </c>
      <c r="AJ356" s="18" t="s">
        <v>81</v>
      </c>
      <c r="AK356" s="18" t="s">
        <v>100</v>
      </c>
      <c r="AL356" s="18" t="s">
        <v>111</v>
      </c>
      <c r="AM356" s="18" t="s">
        <v>122</v>
      </c>
      <c r="AN356" s="18" t="s">
        <v>198</v>
      </c>
      <c r="AO356" s="18"/>
      <c r="AP356" s="18"/>
      <c r="AQ356" s="18">
        <f>+VLOOKUP(AI356,Leyenda!$B$30:$E$34,3,FALSE)</f>
        <v>0</v>
      </c>
      <c r="AR356" s="18">
        <f>+VLOOKUP('3. Blasting'!AJ356,Meteorizacion,3,FALSE)</f>
        <v>0</v>
      </c>
      <c r="AS356" s="18">
        <f>+VLOOKUP('3. Blasting'!AK356,Apertura,3,FALSE)</f>
        <v>0</v>
      </c>
      <c r="AT356" s="18">
        <f>+VLOOKUP('3. Blasting'!AL356,Leyenda!$B$55:$D$59,3,FALSE)</f>
        <v>0</v>
      </c>
      <c r="AU356" s="18">
        <f>+VLOOKUP('3. Blasting'!AM356,Relleno,3,FALSE)</f>
        <v>0</v>
      </c>
      <c r="AV356" s="18">
        <f t="shared" si="151"/>
        <v>0</v>
      </c>
      <c r="AW356" s="49">
        <f t="shared" si="138"/>
        <v>0</v>
      </c>
      <c r="AX356" s="49">
        <f>VLOOKUP(AF356,Leyenda!$B$4:$D$10,3,FALSE)</f>
        <v>1</v>
      </c>
      <c r="AY356" s="49">
        <f t="shared" si="132"/>
        <v>4</v>
      </c>
      <c r="AZ356" s="49">
        <f t="shared" si="139"/>
        <v>0</v>
      </c>
      <c r="BA356" s="49">
        <f>VLOOKUP(AN356,Leyenda!$B$70:$D$75,3,FALSE)</f>
        <v>15</v>
      </c>
      <c r="BB356" s="67">
        <f t="shared" si="140"/>
        <v>0</v>
      </c>
      <c r="BC356" s="67">
        <f>VLOOKUP(AF356,Leyenda!$B$4:$E$10,4,FALSE)</f>
        <v>1</v>
      </c>
      <c r="BD356" s="67">
        <f t="shared" si="141"/>
        <v>5</v>
      </c>
      <c r="BE356" s="67">
        <f t="shared" si="142"/>
        <v>0</v>
      </c>
      <c r="BF356" s="67">
        <f>+VLOOKUP('3. Blasting'!AK356,Leyenda!$B$47:$E$51,4,FALSE)</f>
        <v>0</v>
      </c>
      <c r="BG356" s="67">
        <f>+VLOOKUP('3. Blasting'!AL356,Leyenda!$B$55:$E$59,4,FALSE)</f>
        <v>0</v>
      </c>
      <c r="BH356" s="67">
        <f>+VLOOKUP('3. Blasting'!AM356,Leyenda!$B$63:$E$67,3,FALSE)</f>
        <v>0</v>
      </c>
      <c r="BI356" s="67">
        <f>+VLOOKUP('3. Blasting'!AJ356,Leyenda!$B$39:$E$43,4,FALSE)</f>
        <v>0</v>
      </c>
      <c r="BJ356" s="67">
        <f>+VLOOKUP('3. Blasting'!AI356,Leyenda!$B$30:$E$34,4,FALSE)</f>
        <v>0</v>
      </c>
      <c r="BK356" s="67">
        <f>VLOOKUP(AN356,Leyenda!$B$71:$E$75,4,FALSE)</f>
        <v>10</v>
      </c>
      <c r="BL356" s="67">
        <f t="shared" si="143"/>
        <v>16</v>
      </c>
      <c r="BM356" s="18">
        <f t="shared" si="144"/>
        <v>20</v>
      </c>
      <c r="BN356" s="18" t="e">
        <f t="shared" si="152"/>
        <v>#N/A</v>
      </c>
      <c r="BO356" s="18"/>
      <c r="BP356" s="6">
        <f t="shared" si="145"/>
        <v>10</v>
      </c>
      <c r="BQ356" s="6">
        <f t="shared" si="146"/>
        <v>10</v>
      </c>
      <c r="BR356" s="6">
        <v>20</v>
      </c>
      <c r="BS356" s="6">
        <f t="shared" si="147"/>
        <v>2.75</v>
      </c>
      <c r="BT356" s="6">
        <f t="shared" si="148"/>
        <v>0.83000000000000007</v>
      </c>
      <c r="BU356" s="6">
        <f t="shared" si="149"/>
        <v>21.79</v>
      </c>
      <c r="BV356" s="18">
        <f t="shared" si="133"/>
        <v>8.7160000000000001E-2</v>
      </c>
      <c r="BW356" s="18">
        <f t="shared" si="134"/>
        <v>0.1839076</v>
      </c>
    </row>
    <row r="357" spans="1:75" hidden="1" x14ac:dyDescent="0.25">
      <c r="A357" s="18" t="s">
        <v>6</v>
      </c>
      <c r="B357" s="18">
        <v>2024</v>
      </c>
      <c r="C357" s="18" t="s">
        <v>138</v>
      </c>
      <c r="D357" s="18" t="s">
        <v>132</v>
      </c>
      <c r="E357" s="18">
        <v>60</v>
      </c>
      <c r="F357" s="18" t="s">
        <v>136</v>
      </c>
      <c r="G357" s="18" t="s">
        <v>165</v>
      </c>
      <c r="H357" s="4">
        <f t="shared" ref="H357:H414" si="155">+I356</f>
        <v>1.5</v>
      </c>
      <c r="I357" s="4">
        <v>2.12</v>
      </c>
      <c r="J357" s="4">
        <f t="shared" si="135"/>
        <v>0.62000000000000011</v>
      </c>
      <c r="K357" s="5">
        <v>1</v>
      </c>
      <c r="L357" s="31">
        <f t="shared" si="136"/>
        <v>0.62000000000000011</v>
      </c>
      <c r="M357" s="31">
        <v>2.11</v>
      </c>
      <c r="N357" s="31">
        <v>16.600000000000001</v>
      </c>
      <c r="O357" s="31">
        <f t="shared" si="153"/>
        <v>0.62000000000000011</v>
      </c>
      <c r="P357" s="31">
        <v>62.000000000000014</v>
      </c>
      <c r="Q357" s="31">
        <v>10</v>
      </c>
      <c r="R357" s="31">
        <v>0.55000000000000004</v>
      </c>
      <c r="S357" s="31">
        <v>0.4</v>
      </c>
      <c r="T357" s="65">
        <f t="shared" si="150"/>
        <v>64.51612903225805</v>
      </c>
      <c r="U357" s="31">
        <v>3</v>
      </c>
      <c r="V357" s="31"/>
      <c r="W357" s="31">
        <f t="shared" si="154"/>
        <v>3</v>
      </c>
      <c r="X357" s="31">
        <f t="shared" si="130"/>
        <v>183.33333333333334</v>
      </c>
      <c r="Y357" s="31">
        <f t="shared" si="137"/>
        <v>0.18333333333333335</v>
      </c>
      <c r="Z357" s="44">
        <v>95</v>
      </c>
      <c r="AA357" s="18" t="s">
        <v>96</v>
      </c>
      <c r="AB357" s="18" t="s">
        <v>120</v>
      </c>
      <c r="AC357" s="18" t="s">
        <v>337</v>
      </c>
      <c r="AD357" s="18">
        <v>10</v>
      </c>
      <c r="AE357" s="18">
        <v>62.000000000000014</v>
      </c>
      <c r="AF357" s="18" t="s">
        <v>29</v>
      </c>
      <c r="AG357" s="18" t="s">
        <v>239</v>
      </c>
      <c r="AH357" s="18" t="s">
        <v>239</v>
      </c>
      <c r="AI357" s="18" t="s">
        <v>69</v>
      </c>
      <c r="AJ357" s="18" t="s">
        <v>81</v>
      </c>
      <c r="AK357" s="18" t="s">
        <v>100</v>
      </c>
      <c r="AL357" s="18" t="s">
        <v>109</v>
      </c>
      <c r="AM357" s="18" t="s">
        <v>122</v>
      </c>
      <c r="AN357" s="18" t="s">
        <v>247</v>
      </c>
      <c r="AO357" s="18"/>
      <c r="AP357" s="18"/>
      <c r="AQ357" s="18">
        <f>+VLOOKUP(AI357,Leyenda!$B$30:$E$34,3,FALSE)</f>
        <v>0</v>
      </c>
      <c r="AR357" s="18">
        <f>+VLOOKUP('3. Blasting'!AJ357,Meteorizacion,3,FALSE)</f>
        <v>0</v>
      </c>
      <c r="AS357" s="18">
        <f>+VLOOKUP('3. Blasting'!AK357,Apertura,3,FALSE)</f>
        <v>0</v>
      </c>
      <c r="AT357" s="18">
        <f>+VLOOKUP('3. Blasting'!AL357,Leyenda!$B$55:$D$59,3,FALSE)</f>
        <v>1</v>
      </c>
      <c r="AU357" s="18">
        <f>+VLOOKUP('3. Blasting'!AM357,Relleno,3,FALSE)</f>
        <v>0</v>
      </c>
      <c r="AV357" s="18">
        <f t="shared" si="151"/>
        <v>1</v>
      </c>
      <c r="AW357" s="49">
        <f t="shared" si="138"/>
        <v>19</v>
      </c>
      <c r="AX357" s="49">
        <f>VLOOKUP(AF357,Leyenda!$B$4:$D$10,3,FALSE)</f>
        <v>2</v>
      </c>
      <c r="AY357" s="49">
        <f t="shared" si="132"/>
        <v>6</v>
      </c>
      <c r="AZ357" s="49">
        <f t="shared" si="139"/>
        <v>1</v>
      </c>
      <c r="BA357" s="49">
        <f>VLOOKUP(AN357,Leyenda!$B$70:$D$75,3,FALSE)</f>
        <v>10</v>
      </c>
      <c r="BB357" s="67">
        <f t="shared" si="140"/>
        <v>33.758064516129025</v>
      </c>
      <c r="BC357" s="67">
        <f>VLOOKUP(AF357,Leyenda!$B$4:$E$10,4,FALSE)</f>
        <v>2</v>
      </c>
      <c r="BD357" s="67">
        <f t="shared" si="141"/>
        <v>12</v>
      </c>
      <c r="BE357" s="67">
        <f t="shared" si="142"/>
        <v>13</v>
      </c>
      <c r="BF357" s="67">
        <f>+VLOOKUP('3. Blasting'!AK357,Leyenda!$B$47:$E$51,4,FALSE)</f>
        <v>0</v>
      </c>
      <c r="BG357" s="67">
        <f>+VLOOKUP('3. Blasting'!AL357,Leyenda!$B$55:$E$59,4,FALSE)</f>
        <v>1</v>
      </c>
      <c r="BH357" s="67">
        <f>+VLOOKUP('3. Blasting'!AM357,Leyenda!$B$63:$E$67,3,FALSE)</f>
        <v>0</v>
      </c>
      <c r="BI357" s="67">
        <f>+VLOOKUP('3. Blasting'!AJ357,Leyenda!$B$39:$E$43,4,FALSE)</f>
        <v>0</v>
      </c>
      <c r="BJ357" s="67">
        <f>+VLOOKUP('3. Blasting'!AI357,Leyenda!$B$30:$E$34,4,FALSE)</f>
        <v>0</v>
      </c>
      <c r="BK357" s="67">
        <f>VLOOKUP(AN357,Leyenda!$B$71:$E$75,4,FALSE)</f>
        <v>7</v>
      </c>
      <c r="BL357" s="67">
        <f t="shared" si="143"/>
        <v>35</v>
      </c>
      <c r="BM357" s="18">
        <f t="shared" si="144"/>
        <v>38</v>
      </c>
      <c r="BN357" s="18" t="e">
        <f t="shared" si="152"/>
        <v>#N/A</v>
      </c>
      <c r="BO357" s="18"/>
      <c r="BP357" s="6">
        <f t="shared" si="145"/>
        <v>20</v>
      </c>
      <c r="BQ357" s="6">
        <f t="shared" si="146"/>
        <v>20</v>
      </c>
      <c r="BR357" s="6">
        <v>20</v>
      </c>
      <c r="BS357" s="6">
        <f t="shared" si="147"/>
        <v>2.75</v>
      </c>
      <c r="BT357" s="6">
        <f t="shared" si="148"/>
        <v>0.83000000000000007</v>
      </c>
      <c r="BU357" s="6">
        <f t="shared" si="149"/>
        <v>31.79</v>
      </c>
      <c r="BV357" s="18">
        <f t="shared" si="133"/>
        <v>0.12716</v>
      </c>
      <c r="BW357" s="18">
        <f t="shared" si="134"/>
        <v>0.26830759999999998</v>
      </c>
    </row>
    <row r="358" spans="1:75" hidden="1" x14ac:dyDescent="0.25">
      <c r="A358" s="18" t="s">
        <v>6</v>
      </c>
      <c r="B358" s="18">
        <v>2024</v>
      </c>
      <c r="C358" s="18" t="s">
        <v>138</v>
      </c>
      <c r="D358" s="18" t="s">
        <v>132</v>
      </c>
      <c r="E358" s="18">
        <v>60</v>
      </c>
      <c r="F358" s="18" t="s">
        <v>136</v>
      </c>
      <c r="G358" s="18" t="s">
        <v>165</v>
      </c>
      <c r="H358" s="4">
        <f t="shared" si="155"/>
        <v>2.12</v>
      </c>
      <c r="I358" s="4">
        <v>2.4</v>
      </c>
      <c r="J358" s="4">
        <f t="shared" si="135"/>
        <v>0.2799999999999998</v>
      </c>
      <c r="K358" s="5">
        <v>1</v>
      </c>
      <c r="L358" s="31">
        <f t="shared" si="136"/>
        <v>0.2799999999999998</v>
      </c>
      <c r="M358" s="31">
        <v>2.11</v>
      </c>
      <c r="N358" s="31">
        <v>16.600000000000001</v>
      </c>
      <c r="O358" s="31">
        <f t="shared" si="153"/>
        <v>0.2799999999999998</v>
      </c>
      <c r="P358" s="31">
        <v>699.99999999999977</v>
      </c>
      <c r="Q358" s="31">
        <v>1</v>
      </c>
      <c r="R358" s="31">
        <v>0.24</v>
      </c>
      <c r="S358" s="31">
        <v>0.24</v>
      </c>
      <c r="T358" s="65">
        <f t="shared" si="150"/>
        <v>85.714285714285779</v>
      </c>
      <c r="U358" s="31">
        <v>2</v>
      </c>
      <c r="V358" s="31"/>
      <c r="W358" s="31">
        <f t="shared" si="154"/>
        <v>2</v>
      </c>
      <c r="X358" s="31">
        <f t="shared" si="130"/>
        <v>120</v>
      </c>
      <c r="Y358" s="31">
        <f t="shared" si="137"/>
        <v>0.12</v>
      </c>
      <c r="Z358" s="44">
        <v>30</v>
      </c>
      <c r="AA358" s="18" t="s">
        <v>96</v>
      </c>
      <c r="AB358" s="18" t="s">
        <v>333</v>
      </c>
      <c r="AC358" s="18" t="s">
        <v>334</v>
      </c>
      <c r="AD358" s="18">
        <v>20</v>
      </c>
      <c r="AE358" s="18">
        <v>34.999999999999986</v>
      </c>
      <c r="AF358" s="18" t="s">
        <v>27</v>
      </c>
      <c r="AG358" s="18" t="s">
        <v>239</v>
      </c>
      <c r="AH358" s="18" t="s">
        <v>239</v>
      </c>
      <c r="AI358" s="18" t="s">
        <v>69</v>
      </c>
      <c r="AJ358" s="18" t="s">
        <v>81</v>
      </c>
      <c r="AK358" s="18" t="s">
        <v>100</v>
      </c>
      <c r="AL358" s="18" t="s">
        <v>109</v>
      </c>
      <c r="AM358" s="18" t="s">
        <v>122</v>
      </c>
      <c r="AN358" s="18" t="s">
        <v>247</v>
      </c>
      <c r="AO358" s="18"/>
      <c r="AP358" s="18"/>
      <c r="AQ358" s="18">
        <f>+VLOOKUP(AI358,Leyenda!$B$30:$E$34,3,FALSE)</f>
        <v>0</v>
      </c>
      <c r="AR358" s="18">
        <f>+VLOOKUP('3. Blasting'!AJ358,Meteorizacion,3,FALSE)</f>
        <v>0</v>
      </c>
      <c r="AS358" s="18">
        <f>+VLOOKUP('3. Blasting'!AK358,Apertura,3,FALSE)</f>
        <v>0</v>
      </c>
      <c r="AT358" s="18">
        <f>+VLOOKUP('3. Blasting'!AL358,Leyenda!$B$55:$D$59,3,FALSE)</f>
        <v>1</v>
      </c>
      <c r="AU358" s="18">
        <f>+VLOOKUP('3. Blasting'!AM358,Relleno,3,FALSE)</f>
        <v>0</v>
      </c>
      <c r="AV358" s="18">
        <f t="shared" si="151"/>
        <v>1</v>
      </c>
      <c r="AW358" s="49">
        <f t="shared" si="138"/>
        <v>6</v>
      </c>
      <c r="AX358" s="49">
        <f>VLOOKUP(AF358,Leyenda!$B$4:$D$10,3,FALSE)</f>
        <v>4</v>
      </c>
      <c r="AY358" s="49">
        <f t="shared" si="132"/>
        <v>14</v>
      </c>
      <c r="AZ358" s="49">
        <f t="shared" si="139"/>
        <v>1</v>
      </c>
      <c r="BA358" s="49">
        <f>VLOOKUP(AN358,Leyenda!$B$70:$D$75,3,FALSE)</f>
        <v>10</v>
      </c>
      <c r="BB358" s="67">
        <f t="shared" si="140"/>
        <v>44.35714285714289</v>
      </c>
      <c r="BC358" s="67">
        <f>VLOOKUP(AF358,Leyenda!$B$4:$E$10,4,FALSE)</f>
        <v>4</v>
      </c>
      <c r="BD358" s="67">
        <f t="shared" si="141"/>
        <v>9</v>
      </c>
      <c r="BE358" s="67">
        <f t="shared" si="142"/>
        <v>17</v>
      </c>
      <c r="BF358" s="67">
        <f>+VLOOKUP('3. Blasting'!AK358,Leyenda!$B$47:$E$51,4,FALSE)</f>
        <v>0</v>
      </c>
      <c r="BG358" s="67">
        <f>+VLOOKUP('3. Blasting'!AL358,Leyenda!$B$55:$E$59,4,FALSE)</f>
        <v>1</v>
      </c>
      <c r="BH358" s="67">
        <f>+VLOOKUP('3. Blasting'!AM358,Leyenda!$B$63:$E$67,3,FALSE)</f>
        <v>0</v>
      </c>
      <c r="BI358" s="67">
        <f>+VLOOKUP('3. Blasting'!AJ358,Leyenda!$B$39:$E$43,4,FALSE)</f>
        <v>0</v>
      </c>
      <c r="BJ358" s="67">
        <f>+VLOOKUP('3. Blasting'!AI358,Leyenda!$B$30:$E$34,4,FALSE)</f>
        <v>0</v>
      </c>
      <c r="BK358" s="67">
        <f>VLOOKUP(AN358,Leyenda!$B$71:$E$75,4,FALSE)</f>
        <v>7</v>
      </c>
      <c r="BL358" s="67">
        <f t="shared" si="143"/>
        <v>38</v>
      </c>
      <c r="BM358" s="18">
        <f t="shared" si="144"/>
        <v>35</v>
      </c>
      <c r="BN358" s="18" t="e">
        <f t="shared" si="152"/>
        <v>#N/A</v>
      </c>
      <c r="BO358" s="18"/>
      <c r="BP358" s="6">
        <f t="shared" si="145"/>
        <v>20</v>
      </c>
      <c r="BQ358" s="6">
        <f t="shared" si="146"/>
        <v>20</v>
      </c>
      <c r="BR358" s="6">
        <v>20</v>
      </c>
      <c r="BS358" s="6">
        <f t="shared" si="147"/>
        <v>2.75</v>
      </c>
      <c r="BT358" s="6">
        <f t="shared" si="148"/>
        <v>0.83000000000000007</v>
      </c>
      <c r="BU358" s="6">
        <f t="shared" si="149"/>
        <v>31.79</v>
      </c>
      <c r="BV358" s="18">
        <f t="shared" si="133"/>
        <v>0.12716</v>
      </c>
      <c r="BW358" s="18">
        <f t="shared" si="134"/>
        <v>0.26830759999999998</v>
      </c>
    </row>
    <row r="359" spans="1:75" hidden="1" x14ac:dyDescent="0.25">
      <c r="A359" s="18"/>
      <c r="B359" s="18"/>
      <c r="C359" s="18"/>
      <c r="D359" s="18" t="s">
        <v>132</v>
      </c>
      <c r="E359" s="18">
        <v>60</v>
      </c>
      <c r="F359" s="18" t="s">
        <v>136</v>
      </c>
      <c r="G359" s="18" t="s">
        <v>165</v>
      </c>
      <c r="H359" s="4">
        <v>2.4</v>
      </c>
      <c r="I359" s="4">
        <v>2.8</v>
      </c>
      <c r="J359" s="4">
        <f t="shared" si="135"/>
        <v>0.39999999999999991</v>
      </c>
      <c r="K359" s="5"/>
      <c r="L359" s="31"/>
      <c r="M359" s="31">
        <v>2.11</v>
      </c>
      <c r="N359" s="31">
        <v>16.600000000000001</v>
      </c>
      <c r="O359" s="31"/>
      <c r="P359" s="31"/>
      <c r="Q359" s="31"/>
      <c r="R359" s="31">
        <v>0.41</v>
      </c>
      <c r="S359" s="31">
        <v>0.11</v>
      </c>
      <c r="T359" s="65">
        <f t="shared" si="150"/>
        <v>27.500000000000007</v>
      </c>
      <c r="U359" s="31">
        <v>5</v>
      </c>
      <c r="V359" s="31"/>
      <c r="W359" s="31">
        <f t="shared" si="154"/>
        <v>5</v>
      </c>
      <c r="X359" s="31">
        <f t="shared" si="130"/>
        <v>82</v>
      </c>
      <c r="Y359" s="31">
        <f t="shared" si="137"/>
        <v>8.2000000000000003E-2</v>
      </c>
      <c r="Z359" s="44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49"/>
      <c r="AX359" s="49"/>
      <c r="AY359" s="49"/>
      <c r="AZ359" s="49"/>
      <c r="BA359" s="49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18"/>
      <c r="BN359" s="18" t="e">
        <f t="shared" si="152"/>
        <v>#N/A</v>
      </c>
      <c r="BO359" s="18"/>
      <c r="BP359" s="6">
        <f t="shared" si="145"/>
        <v>10</v>
      </c>
      <c r="BQ359" s="6">
        <f t="shared" si="146"/>
        <v>10</v>
      </c>
      <c r="BR359" s="6">
        <v>20</v>
      </c>
      <c r="BS359" s="6">
        <f t="shared" si="147"/>
        <v>2.75</v>
      </c>
      <c r="BT359" s="6">
        <f t="shared" si="148"/>
        <v>0.83000000000000007</v>
      </c>
      <c r="BU359" s="6">
        <f t="shared" si="149"/>
        <v>21.79</v>
      </c>
      <c r="BV359" s="18">
        <f t="shared" si="133"/>
        <v>8.7160000000000001E-2</v>
      </c>
      <c r="BW359" s="18">
        <f t="shared" si="134"/>
        <v>0.1839076</v>
      </c>
    </row>
    <row r="360" spans="1:75" hidden="1" x14ac:dyDescent="0.25">
      <c r="A360" s="18" t="s">
        <v>6</v>
      </c>
      <c r="B360" s="18">
        <v>2024</v>
      </c>
      <c r="C360" s="18" t="s">
        <v>138</v>
      </c>
      <c r="D360" s="18" t="s">
        <v>132</v>
      </c>
      <c r="E360" s="18">
        <v>60</v>
      </c>
      <c r="F360" s="18" t="s">
        <v>136</v>
      </c>
      <c r="G360" s="18" t="s">
        <v>165</v>
      </c>
      <c r="H360" s="4">
        <v>2.8</v>
      </c>
      <c r="I360" s="4">
        <v>3.32</v>
      </c>
      <c r="J360" s="4">
        <f t="shared" si="135"/>
        <v>0.52</v>
      </c>
      <c r="K360" s="5">
        <v>1</v>
      </c>
      <c r="L360" s="31">
        <f t="shared" si="136"/>
        <v>0.52</v>
      </c>
      <c r="M360" s="31">
        <v>2.11</v>
      </c>
      <c r="N360" s="31">
        <v>16.600000000000001</v>
      </c>
      <c r="O360" s="31">
        <f t="shared" si="153"/>
        <v>0.52</v>
      </c>
      <c r="P360" s="31">
        <v>500</v>
      </c>
      <c r="Q360" s="31">
        <v>1</v>
      </c>
      <c r="R360" s="31">
        <v>0.21</v>
      </c>
      <c r="S360" s="31">
        <v>0.21</v>
      </c>
      <c r="T360" s="65">
        <f t="shared" si="150"/>
        <v>40.38461538461538</v>
      </c>
      <c r="U360" s="31">
        <v>3</v>
      </c>
      <c r="V360" s="31"/>
      <c r="W360" s="31">
        <f t="shared" si="154"/>
        <v>3</v>
      </c>
      <c r="X360" s="31">
        <f t="shared" si="130"/>
        <v>70</v>
      </c>
      <c r="Y360" s="31">
        <f t="shared" si="137"/>
        <v>7.0000000000000007E-2</v>
      </c>
      <c r="Z360" s="44">
        <v>26</v>
      </c>
      <c r="AA360" s="18" t="s">
        <v>96</v>
      </c>
      <c r="AB360" s="18" t="s">
        <v>333</v>
      </c>
      <c r="AC360" s="18" t="s">
        <v>334</v>
      </c>
      <c r="AD360" s="18">
        <v>20</v>
      </c>
      <c r="AE360" s="18">
        <v>25</v>
      </c>
      <c r="AF360" s="18" t="s">
        <v>27</v>
      </c>
      <c r="AG360" s="18" t="s">
        <v>239</v>
      </c>
      <c r="AH360" s="18" t="s">
        <v>239</v>
      </c>
      <c r="AI360" s="18" t="s">
        <v>69</v>
      </c>
      <c r="AJ360" s="18" t="s">
        <v>81</v>
      </c>
      <c r="AK360" s="18" t="s">
        <v>100</v>
      </c>
      <c r="AL360" s="18" t="s">
        <v>109</v>
      </c>
      <c r="AM360" s="18" t="s">
        <v>122</v>
      </c>
      <c r="AN360" s="18" t="s">
        <v>247</v>
      </c>
      <c r="AO360" s="18"/>
      <c r="AP360" s="18"/>
      <c r="AQ360" s="18">
        <f>+VLOOKUP(AI360,Leyenda!$B$30:$E$34,3,FALSE)</f>
        <v>0</v>
      </c>
      <c r="AR360" s="18">
        <f>+VLOOKUP('3. Blasting'!AJ360,Meteorizacion,3,FALSE)</f>
        <v>0</v>
      </c>
      <c r="AS360" s="18">
        <f>+VLOOKUP('3. Blasting'!AK360,Apertura,3,FALSE)</f>
        <v>0</v>
      </c>
      <c r="AT360" s="18">
        <f>+VLOOKUP('3. Blasting'!AL360,Leyenda!$B$55:$D$59,3,FALSE)</f>
        <v>1</v>
      </c>
      <c r="AU360" s="18">
        <f>+VLOOKUP('3. Blasting'!AM360,Relleno,3,FALSE)</f>
        <v>0</v>
      </c>
      <c r="AV360" s="18">
        <f t="shared" si="151"/>
        <v>1</v>
      </c>
      <c r="AW360" s="49">
        <f t="shared" si="138"/>
        <v>6</v>
      </c>
      <c r="AX360" s="49">
        <f>VLOOKUP(AF360,Leyenda!$B$4:$D$10,3,FALSE)</f>
        <v>4</v>
      </c>
      <c r="AY360" s="49">
        <f t="shared" si="132"/>
        <v>12</v>
      </c>
      <c r="AZ360" s="49">
        <f t="shared" si="139"/>
        <v>1</v>
      </c>
      <c r="BA360" s="49">
        <f>VLOOKUP(AN360,Leyenda!$B$70:$D$75,3,FALSE)</f>
        <v>10</v>
      </c>
      <c r="BB360" s="67">
        <f t="shared" si="140"/>
        <v>21.69230769230769</v>
      </c>
      <c r="BC360" s="67">
        <f>VLOOKUP(AF360,Leyenda!$B$4:$E$10,4,FALSE)</f>
        <v>4</v>
      </c>
      <c r="BD360" s="67">
        <f t="shared" si="141"/>
        <v>6</v>
      </c>
      <c r="BE360" s="67">
        <f t="shared" si="142"/>
        <v>9</v>
      </c>
      <c r="BF360" s="67">
        <f>+VLOOKUP('3. Blasting'!AK360,Leyenda!$B$47:$E$51,4,FALSE)</f>
        <v>0</v>
      </c>
      <c r="BG360" s="67">
        <f>+VLOOKUP('3. Blasting'!AL360,Leyenda!$B$55:$E$59,4,FALSE)</f>
        <v>1</v>
      </c>
      <c r="BH360" s="67">
        <f>+VLOOKUP('3. Blasting'!AM360,Leyenda!$B$63:$E$67,3,FALSE)</f>
        <v>0</v>
      </c>
      <c r="BI360" s="67">
        <f>+VLOOKUP('3. Blasting'!AJ360,Leyenda!$B$39:$E$43,4,FALSE)</f>
        <v>0</v>
      </c>
      <c r="BJ360" s="67">
        <f>+VLOOKUP('3. Blasting'!AI360,Leyenda!$B$30:$E$34,4,FALSE)</f>
        <v>0</v>
      </c>
      <c r="BK360" s="67">
        <f>VLOOKUP(AN360,Leyenda!$B$71:$E$75,4,FALSE)</f>
        <v>7</v>
      </c>
      <c r="BL360" s="67">
        <f t="shared" si="143"/>
        <v>27</v>
      </c>
      <c r="BM360" s="18">
        <f t="shared" si="144"/>
        <v>33</v>
      </c>
      <c r="BN360" s="18" t="e">
        <f t="shared" si="152"/>
        <v>#N/A</v>
      </c>
      <c r="BO360" s="18"/>
      <c r="BP360" s="6">
        <f t="shared" si="145"/>
        <v>10</v>
      </c>
      <c r="BQ360" s="6">
        <f t="shared" si="146"/>
        <v>10</v>
      </c>
      <c r="BR360" s="6">
        <v>20</v>
      </c>
      <c r="BS360" s="6">
        <f t="shared" si="147"/>
        <v>2.75</v>
      </c>
      <c r="BT360" s="6">
        <f t="shared" si="148"/>
        <v>0.83000000000000007</v>
      </c>
      <c r="BU360" s="6">
        <f t="shared" si="149"/>
        <v>21.79</v>
      </c>
      <c r="BV360" s="18">
        <f t="shared" si="133"/>
        <v>8.7160000000000001E-2</v>
      </c>
      <c r="BW360" s="18">
        <f t="shared" si="134"/>
        <v>0.1839076</v>
      </c>
    </row>
    <row r="361" spans="1:75" hidden="1" x14ac:dyDescent="0.25">
      <c r="A361" s="18" t="s">
        <v>6</v>
      </c>
      <c r="B361" s="18">
        <v>2024</v>
      </c>
      <c r="C361" s="18" t="s">
        <v>138</v>
      </c>
      <c r="D361" s="18" t="s">
        <v>132</v>
      </c>
      <c r="E361" s="18">
        <v>60</v>
      </c>
      <c r="F361" s="18" t="s">
        <v>136</v>
      </c>
      <c r="G361" s="18" t="s">
        <v>166</v>
      </c>
      <c r="H361" s="4">
        <f t="shared" si="155"/>
        <v>3.32</v>
      </c>
      <c r="I361" s="4">
        <v>3.82</v>
      </c>
      <c r="J361" s="4">
        <f t="shared" si="135"/>
        <v>0.5</v>
      </c>
      <c r="K361" s="5">
        <v>1</v>
      </c>
      <c r="L361" s="31">
        <f t="shared" si="136"/>
        <v>0.5</v>
      </c>
      <c r="M361" s="31">
        <v>2.11</v>
      </c>
      <c r="N361" s="31">
        <v>16.600000000000001</v>
      </c>
      <c r="O361" s="31">
        <f t="shared" si="153"/>
        <v>0.5</v>
      </c>
      <c r="P361" s="31">
        <v>25</v>
      </c>
      <c r="Q361" s="31">
        <v>20</v>
      </c>
      <c r="R361" s="31">
        <v>0.19</v>
      </c>
      <c r="S361" s="31">
        <v>0</v>
      </c>
      <c r="T361" s="65">
        <f t="shared" si="150"/>
        <v>0</v>
      </c>
      <c r="U361" s="31">
        <v>5</v>
      </c>
      <c r="V361" s="31"/>
      <c r="W361" s="31">
        <f t="shared" si="154"/>
        <v>5</v>
      </c>
      <c r="X361" s="31">
        <f t="shared" si="130"/>
        <v>38</v>
      </c>
      <c r="Y361" s="31">
        <f t="shared" si="137"/>
        <v>3.7999999999999999E-2</v>
      </c>
      <c r="Z361" s="44">
        <v>0</v>
      </c>
      <c r="AA361" s="18" t="s">
        <v>330</v>
      </c>
      <c r="AB361" s="18" t="s">
        <v>333</v>
      </c>
      <c r="AC361" s="18" t="s">
        <v>335</v>
      </c>
      <c r="AD361" s="18">
        <v>20</v>
      </c>
      <c r="AE361" s="18">
        <v>25</v>
      </c>
      <c r="AF361" s="18" t="s">
        <v>34</v>
      </c>
      <c r="AG361" s="18" t="s">
        <v>239</v>
      </c>
      <c r="AH361" s="18" t="s">
        <v>239</v>
      </c>
      <c r="AI361" s="18" t="s">
        <v>69</v>
      </c>
      <c r="AJ361" s="18" t="s">
        <v>81</v>
      </c>
      <c r="AK361" s="18" t="s">
        <v>100</v>
      </c>
      <c r="AL361" s="18" t="s">
        <v>109</v>
      </c>
      <c r="AM361" s="18" t="s">
        <v>122</v>
      </c>
      <c r="AN361" s="18" t="s">
        <v>247</v>
      </c>
      <c r="AO361" s="18"/>
      <c r="AP361" s="18"/>
      <c r="AQ361" s="18">
        <f>+VLOOKUP(AI361,Leyenda!$B$30:$E$34,3,FALSE)</f>
        <v>0</v>
      </c>
      <c r="AR361" s="18">
        <f>+VLOOKUP('3. Blasting'!AJ361,Meteorizacion,3,FALSE)</f>
        <v>0</v>
      </c>
      <c r="AS361" s="18">
        <f>+VLOOKUP('3. Blasting'!AK361,Apertura,3,FALSE)</f>
        <v>0</v>
      </c>
      <c r="AT361" s="18">
        <f>+VLOOKUP('3. Blasting'!AL361,Leyenda!$B$55:$D$59,3,FALSE)</f>
        <v>1</v>
      </c>
      <c r="AU361" s="18">
        <f>+VLOOKUP('3. Blasting'!AM361,Relleno,3,FALSE)</f>
        <v>0</v>
      </c>
      <c r="AV361" s="18">
        <f t="shared" si="151"/>
        <v>1</v>
      </c>
      <c r="AW361" s="49">
        <f t="shared" si="138"/>
        <v>0</v>
      </c>
      <c r="AX361" s="49">
        <f>VLOOKUP(AF361,Leyenda!$B$4:$D$10,3,FALSE)</f>
        <v>0</v>
      </c>
      <c r="AY361" s="49">
        <f t="shared" si="132"/>
        <v>5</v>
      </c>
      <c r="AZ361" s="49">
        <f t="shared" si="139"/>
        <v>1</v>
      </c>
      <c r="BA361" s="49">
        <f>VLOOKUP(AN361,Leyenda!$B$70:$D$75,3,FALSE)</f>
        <v>10</v>
      </c>
      <c r="BB361" s="67">
        <f t="shared" si="140"/>
        <v>1.5</v>
      </c>
      <c r="BC361" s="67">
        <f>VLOOKUP(AF361,Leyenda!$B$4:$E$10,4,FALSE)</f>
        <v>0</v>
      </c>
      <c r="BD361" s="67">
        <f t="shared" si="141"/>
        <v>5</v>
      </c>
      <c r="BE361" s="67">
        <f t="shared" si="142"/>
        <v>0</v>
      </c>
      <c r="BF361" s="67">
        <f>+VLOOKUP('3. Blasting'!AK361,Leyenda!$B$47:$E$51,4,FALSE)</f>
        <v>0</v>
      </c>
      <c r="BG361" s="67">
        <f>+VLOOKUP('3. Blasting'!AL361,Leyenda!$B$55:$E$59,4,FALSE)</f>
        <v>1</v>
      </c>
      <c r="BH361" s="67">
        <f>+VLOOKUP('3. Blasting'!AM361,Leyenda!$B$63:$E$67,3,FALSE)</f>
        <v>0</v>
      </c>
      <c r="BI361" s="67">
        <f>+VLOOKUP('3. Blasting'!AJ361,Leyenda!$B$39:$E$43,4,FALSE)</f>
        <v>0</v>
      </c>
      <c r="BJ361" s="67">
        <f>+VLOOKUP('3. Blasting'!AI361,Leyenda!$B$30:$E$34,4,FALSE)</f>
        <v>0</v>
      </c>
      <c r="BK361" s="67">
        <f>VLOOKUP(AN361,Leyenda!$B$71:$E$75,4,FALSE)</f>
        <v>7</v>
      </c>
      <c r="BL361" s="67">
        <f t="shared" si="143"/>
        <v>13</v>
      </c>
      <c r="BM361" s="18">
        <f t="shared" si="144"/>
        <v>16</v>
      </c>
      <c r="BN361" s="18" t="e">
        <f t="shared" si="152"/>
        <v>#N/A</v>
      </c>
      <c r="BO361" s="18"/>
      <c r="BP361" s="6">
        <f t="shared" si="145"/>
        <v>10</v>
      </c>
      <c r="BQ361" s="6">
        <f t="shared" si="146"/>
        <v>10</v>
      </c>
      <c r="BR361" s="6">
        <v>20</v>
      </c>
      <c r="BS361" s="6">
        <f t="shared" si="147"/>
        <v>2.75</v>
      </c>
      <c r="BT361" s="6">
        <f t="shared" si="148"/>
        <v>0.83000000000000007</v>
      </c>
      <c r="BU361" s="6">
        <f t="shared" si="149"/>
        <v>21.79</v>
      </c>
      <c r="BV361" s="18">
        <f t="shared" si="133"/>
        <v>8.7160000000000001E-2</v>
      </c>
      <c r="BW361" s="18">
        <f t="shared" si="134"/>
        <v>0.1839076</v>
      </c>
    </row>
    <row r="362" spans="1:75" x14ac:dyDescent="0.25">
      <c r="A362" s="18" t="s">
        <v>6</v>
      </c>
      <c r="B362" s="18">
        <v>2024</v>
      </c>
      <c r="C362" s="18" t="s">
        <v>138</v>
      </c>
      <c r="D362" s="18" t="s">
        <v>132</v>
      </c>
      <c r="E362" s="18">
        <v>40</v>
      </c>
      <c r="F362" s="18" t="s">
        <v>153</v>
      </c>
      <c r="G362" s="18" t="s">
        <v>166</v>
      </c>
      <c r="H362" s="4">
        <f t="shared" si="155"/>
        <v>3.82</v>
      </c>
      <c r="I362" s="18">
        <v>4.32</v>
      </c>
      <c r="J362" s="4">
        <f t="shared" si="135"/>
        <v>0.50000000000000044</v>
      </c>
      <c r="K362" s="5">
        <v>0.48</v>
      </c>
      <c r="L362" s="31">
        <f t="shared" si="136"/>
        <v>0.24000000000000021</v>
      </c>
      <c r="M362" s="31">
        <v>2.14</v>
      </c>
      <c r="N362" s="31">
        <v>31.3</v>
      </c>
      <c r="O362" s="31">
        <f t="shared" si="153"/>
        <v>0.24000000000000021</v>
      </c>
      <c r="P362" s="31">
        <v>12.000000000000011</v>
      </c>
      <c r="Q362" s="31">
        <v>20</v>
      </c>
      <c r="R362" s="31">
        <v>0.21</v>
      </c>
      <c r="S362" s="31">
        <v>0</v>
      </c>
      <c r="T362" s="65">
        <f t="shared" si="150"/>
        <v>0</v>
      </c>
      <c r="U362" s="31">
        <v>5</v>
      </c>
      <c r="V362" s="31"/>
      <c r="W362" s="31">
        <f t="shared" si="154"/>
        <v>5</v>
      </c>
      <c r="X362" s="31">
        <f t="shared" si="130"/>
        <v>42</v>
      </c>
      <c r="Y362" s="31">
        <f t="shared" si="137"/>
        <v>4.2000000000000003E-2</v>
      </c>
      <c r="Z362" s="18">
        <v>0</v>
      </c>
      <c r="AA362" s="18" t="s">
        <v>330</v>
      </c>
      <c r="AB362" s="18" t="s">
        <v>333</v>
      </c>
      <c r="AC362" s="18" t="s">
        <v>335</v>
      </c>
      <c r="AD362" s="18">
        <v>20</v>
      </c>
      <c r="AE362" s="18">
        <v>12.000000000000011</v>
      </c>
      <c r="AF362" s="18" t="s">
        <v>34</v>
      </c>
      <c r="AG362" s="18"/>
      <c r="AH362" s="18"/>
      <c r="AI362" s="18" t="s">
        <v>69</v>
      </c>
      <c r="AJ362" s="18" t="s">
        <v>81</v>
      </c>
      <c r="AK362" s="18" t="s">
        <v>100</v>
      </c>
      <c r="AL362" s="18" t="s">
        <v>107</v>
      </c>
      <c r="AM362" s="18" t="s">
        <v>120</v>
      </c>
      <c r="AN362" s="18" t="s">
        <v>247</v>
      </c>
      <c r="AO362" s="18"/>
      <c r="AP362" s="18"/>
      <c r="AQ362" s="18">
        <f>+VLOOKUP(AI362,Leyenda!$B$30:$E$34,3,FALSE)</f>
        <v>0</v>
      </c>
      <c r="AR362" s="18">
        <f>+VLOOKUP('3. Blasting'!AJ362,Meteorizacion,3,FALSE)</f>
        <v>0</v>
      </c>
      <c r="AS362" s="18">
        <f>+VLOOKUP('3. Blasting'!AK362,Apertura,3,FALSE)</f>
        <v>0</v>
      </c>
      <c r="AT362" s="18">
        <f>+VLOOKUP('3. Blasting'!AL362,Leyenda!$B$55:$D$59,3,FALSE)</f>
        <v>3</v>
      </c>
      <c r="AU362" s="18">
        <f>+VLOOKUP('3. Blasting'!AM362,Relleno,3,FALSE)</f>
        <v>2</v>
      </c>
      <c r="AV362" s="18">
        <f t="shared" si="151"/>
        <v>5</v>
      </c>
      <c r="AW362" s="49">
        <f t="shared" si="138"/>
        <v>0</v>
      </c>
      <c r="AX362" s="49">
        <f>VLOOKUP(AF362,Leyenda!$B$4:$D$10,3,FALSE)</f>
        <v>0</v>
      </c>
      <c r="AY362" s="49">
        <f t="shared" si="132"/>
        <v>4</v>
      </c>
      <c r="AZ362" s="49">
        <f t="shared" si="139"/>
        <v>5</v>
      </c>
      <c r="BA362" s="49">
        <f>VLOOKUP(AN362,Leyenda!$B$70:$D$75,3,FALSE)</f>
        <v>10</v>
      </c>
      <c r="BB362" s="67">
        <f t="shared" si="140"/>
        <v>7.5</v>
      </c>
      <c r="BC362" s="67">
        <f>VLOOKUP(AF362,Leyenda!$B$4:$E$10,4,FALSE)</f>
        <v>0</v>
      </c>
      <c r="BD362" s="67">
        <f t="shared" si="141"/>
        <v>5</v>
      </c>
      <c r="BE362" s="67">
        <f t="shared" si="142"/>
        <v>0</v>
      </c>
      <c r="BF362" s="67">
        <f>+VLOOKUP('3. Blasting'!AK362,Leyenda!$B$47:$E$51,4,FALSE)</f>
        <v>0</v>
      </c>
      <c r="BG362" s="67">
        <f>+VLOOKUP('3. Blasting'!AL362,Leyenda!$B$55:$E$59,4,FALSE)</f>
        <v>3</v>
      </c>
      <c r="BH362" s="67">
        <f>+VLOOKUP('3. Blasting'!AM362,Leyenda!$B$63:$E$67,3,FALSE)</f>
        <v>2</v>
      </c>
      <c r="BI362" s="67">
        <f>+VLOOKUP('3. Blasting'!AJ362,Leyenda!$B$39:$E$43,4,FALSE)</f>
        <v>0</v>
      </c>
      <c r="BJ362" s="67">
        <f>+VLOOKUP('3. Blasting'!AI362,Leyenda!$B$30:$E$34,4,FALSE)</f>
        <v>0</v>
      </c>
      <c r="BK362" s="67">
        <f>VLOOKUP(AN362,Leyenda!$B$71:$E$75,4,FALSE)</f>
        <v>7</v>
      </c>
      <c r="BL362" s="125">
        <f t="shared" si="143"/>
        <v>17</v>
      </c>
      <c r="BM362" s="85">
        <f t="shared" si="144"/>
        <v>19</v>
      </c>
      <c r="BN362" s="18" t="e">
        <f t="shared" si="152"/>
        <v>#N/A</v>
      </c>
      <c r="BO362" s="18"/>
      <c r="BP362" s="6">
        <f t="shared" si="145"/>
        <v>10</v>
      </c>
      <c r="BQ362" s="6">
        <f t="shared" si="146"/>
        <v>10</v>
      </c>
      <c r="BR362" s="6">
        <v>20</v>
      </c>
      <c r="BS362" s="6">
        <f t="shared" si="147"/>
        <v>3.5</v>
      </c>
      <c r="BT362" s="6">
        <f t="shared" si="148"/>
        <v>1.5650000000000002</v>
      </c>
      <c r="BU362" s="6">
        <f t="shared" si="149"/>
        <v>22.532499999999999</v>
      </c>
      <c r="BV362" s="18">
        <f t="shared" si="133"/>
        <v>9.0130000000000002E-2</v>
      </c>
      <c r="BW362" s="18">
        <f t="shared" si="134"/>
        <v>0.19287820000000003</v>
      </c>
    </row>
    <row r="363" spans="1:75" x14ac:dyDescent="0.25">
      <c r="A363" s="18" t="s">
        <v>6</v>
      </c>
      <c r="B363" s="18">
        <v>2024</v>
      </c>
      <c r="C363" s="18" t="s">
        <v>138</v>
      </c>
      <c r="D363" s="18" t="s">
        <v>132</v>
      </c>
      <c r="E363" s="18">
        <v>40</v>
      </c>
      <c r="F363" s="18" t="s">
        <v>153</v>
      </c>
      <c r="G363" s="18" t="s">
        <v>166</v>
      </c>
      <c r="H363" s="4">
        <f t="shared" si="155"/>
        <v>4.32</v>
      </c>
      <c r="I363" s="18">
        <v>4.5</v>
      </c>
      <c r="J363" s="4">
        <f t="shared" si="135"/>
        <v>0.17999999999999972</v>
      </c>
      <c r="K363" s="5">
        <v>0.83</v>
      </c>
      <c r="L363" s="31">
        <f t="shared" si="136"/>
        <v>0.14939999999999976</v>
      </c>
      <c r="M363" s="31">
        <v>2.14</v>
      </c>
      <c r="N363" s="31">
        <v>31.3</v>
      </c>
      <c r="O363" s="31">
        <f t="shared" si="153"/>
        <v>0.14939999999999976</v>
      </c>
      <c r="P363" s="31">
        <v>149.39999999999975</v>
      </c>
      <c r="Q363" s="31">
        <v>1</v>
      </c>
      <c r="R363" s="31">
        <v>0.14000000000000001</v>
      </c>
      <c r="S363" s="31">
        <v>0</v>
      </c>
      <c r="T363" s="65">
        <f t="shared" si="150"/>
        <v>0</v>
      </c>
      <c r="U363" s="31">
        <v>5</v>
      </c>
      <c r="V363" s="31"/>
      <c r="W363" s="31">
        <f t="shared" si="154"/>
        <v>5</v>
      </c>
      <c r="X363" s="31">
        <f t="shared" si="130"/>
        <v>28</v>
      </c>
      <c r="Y363" s="31">
        <f t="shared" si="137"/>
        <v>2.8000000000000001E-2</v>
      </c>
      <c r="Z363" s="18">
        <v>56</v>
      </c>
      <c r="AA363" s="18" t="s">
        <v>100</v>
      </c>
      <c r="AB363" s="18" t="s">
        <v>116</v>
      </c>
      <c r="AC363" s="18" t="s">
        <v>336</v>
      </c>
      <c r="AD363" s="18">
        <v>1</v>
      </c>
      <c r="AE363" s="18">
        <v>149.39999999999975</v>
      </c>
      <c r="AF363" s="18" t="s">
        <v>32</v>
      </c>
      <c r="AG363" s="18"/>
      <c r="AH363" s="18"/>
      <c r="AI363" s="18" t="s">
        <v>69</v>
      </c>
      <c r="AJ363" s="18" t="s">
        <v>81</v>
      </c>
      <c r="AK363" s="18" t="s">
        <v>100</v>
      </c>
      <c r="AL363" s="18" t="s">
        <v>107</v>
      </c>
      <c r="AM363" s="18" t="s">
        <v>120</v>
      </c>
      <c r="AN363" s="18" t="s">
        <v>247</v>
      </c>
      <c r="AO363" s="18"/>
      <c r="AP363" s="18"/>
      <c r="AQ363" s="18">
        <f>+VLOOKUP(AI363,Leyenda!$B$30:$E$34,3,FALSE)</f>
        <v>0</v>
      </c>
      <c r="AR363" s="18">
        <f>+VLOOKUP('3. Blasting'!AJ363,Meteorizacion,3,FALSE)</f>
        <v>0</v>
      </c>
      <c r="AS363" s="18">
        <f>+VLOOKUP('3. Blasting'!AK363,Apertura,3,FALSE)</f>
        <v>0</v>
      </c>
      <c r="AT363" s="18">
        <f>+VLOOKUP('3. Blasting'!AL363,Leyenda!$B$55:$D$59,3,FALSE)</f>
        <v>3</v>
      </c>
      <c r="AU363" s="18">
        <f>+VLOOKUP('3. Blasting'!AM363,Relleno,3,FALSE)</f>
        <v>2</v>
      </c>
      <c r="AV363" s="18">
        <f t="shared" si="151"/>
        <v>5</v>
      </c>
      <c r="AW363" s="49">
        <f t="shared" si="138"/>
        <v>12</v>
      </c>
      <c r="AX363" s="49">
        <f>VLOOKUP(AF363,Leyenda!$B$4:$D$10,3,FALSE)</f>
        <v>1</v>
      </c>
      <c r="AY363" s="49">
        <f t="shared" si="132"/>
        <v>8</v>
      </c>
      <c r="AZ363" s="49">
        <f t="shared" si="139"/>
        <v>5</v>
      </c>
      <c r="BA363" s="49">
        <f>VLOOKUP(AN363,Leyenda!$B$70:$D$75,3,FALSE)</f>
        <v>10</v>
      </c>
      <c r="BB363" s="67">
        <f t="shared" si="140"/>
        <v>7.5</v>
      </c>
      <c r="BC363" s="67">
        <f>VLOOKUP(AF363,Leyenda!$B$4:$E$10,4,FALSE)</f>
        <v>1</v>
      </c>
      <c r="BD363" s="67">
        <f t="shared" si="141"/>
        <v>5</v>
      </c>
      <c r="BE363" s="67">
        <f t="shared" si="142"/>
        <v>0</v>
      </c>
      <c r="BF363" s="67">
        <f>+VLOOKUP('3. Blasting'!AK363,Leyenda!$B$47:$E$51,4,FALSE)</f>
        <v>0</v>
      </c>
      <c r="BG363" s="67">
        <f>+VLOOKUP('3. Blasting'!AL363,Leyenda!$B$55:$E$59,4,FALSE)</f>
        <v>3</v>
      </c>
      <c r="BH363" s="67">
        <f>+VLOOKUP('3. Blasting'!AM363,Leyenda!$B$63:$E$67,3,FALSE)</f>
        <v>2</v>
      </c>
      <c r="BI363" s="67">
        <f>+VLOOKUP('3. Blasting'!AJ363,Leyenda!$B$39:$E$43,4,FALSE)</f>
        <v>0</v>
      </c>
      <c r="BJ363" s="67">
        <f>+VLOOKUP('3. Blasting'!AI363,Leyenda!$B$30:$E$34,4,FALSE)</f>
        <v>0</v>
      </c>
      <c r="BK363" s="67">
        <f>VLOOKUP(AN363,Leyenda!$B$71:$E$75,4,FALSE)</f>
        <v>7</v>
      </c>
      <c r="BL363" s="125">
        <f t="shared" si="143"/>
        <v>18</v>
      </c>
      <c r="BM363" s="85">
        <f t="shared" si="144"/>
        <v>36</v>
      </c>
      <c r="BN363" s="18" t="e">
        <f t="shared" si="152"/>
        <v>#N/A</v>
      </c>
      <c r="BO363" s="18"/>
      <c r="BP363" s="6">
        <f t="shared" si="145"/>
        <v>10</v>
      </c>
      <c r="BQ363" s="6">
        <f t="shared" si="146"/>
        <v>10</v>
      </c>
      <c r="BR363" s="6">
        <v>20</v>
      </c>
      <c r="BS363" s="6">
        <f t="shared" si="147"/>
        <v>3.5</v>
      </c>
      <c r="BT363" s="6">
        <f t="shared" si="148"/>
        <v>1.5650000000000002</v>
      </c>
      <c r="BU363" s="6">
        <f t="shared" si="149"/>
        <v>22.532499999999999</v>
      </c>
      <c r="BV363" s="18">
        <f t="shared" si="133"/>
        <v>9.0130000000000002E-2</v>
      </c>
      <c r="BW363" s="18">
        <f t="shared" si="134"/>
        <v>0.19287820000000003</v>
      </c>
    </row>
    <row r="364" spans="1:75" x14ac:dyDescent="0.25">
      <c r="A364" s="18" t="s">
        <v>6</v>
      </c>
      <c r="B364" s="18">
        <v>2024</v>
      </c>
      <c r="C364" s="18" t="s">
        <v>138</v>
      </c>
      <c r="D364" s="18" t="s">
        <v>132</v>
      </c>
      <c r="E364" s="18">
        <v>40</v>
      </c>
      <c r="F364" s="18" t="s">
        <v>153</v>
      </c>
      <c r="G364" s="18" t="s">
        <v>166</v>
      </c>
      <c r="H364" s="4">
        <f t="shared" si="155"/>
        <v>4.5</v>
      </c>
      <c r="I364" s="18">
        <v>5</v>
      </c>
      <c r="J364" s="4">
        <f t="shared" si="135"/>
        <v>0.5</v>
      </c>
      <c r="K364" s="5">
        <v>0.56000000000000005</v>
      </c>
      <c r="L364" s="31">
        <f t="shared" si="136"/>
        <v>0.28000000000000003</v>
      </c>
      <c r="M364" s="31">
        <v>2.14</v>
      </c>
      <c r="N364" s="31">
        <v>31.3</v>
      </c>
      <c r="O364" s="31">
        <f t="shared" si="153"/>
        <v>0.28000000000000003</v>
      </c>
      <c r="P364" s="31">
        <v>14</v>
      </c>
      <c r="Q364" s="31">
        <v>20</v>
      </c>
      <c r="R364" s="31">
        <v>0.25</v>
      </c>
      <c r="S364" s="31">
        <v>0</v>
      </c>
      <c r="T364" s="65">
        <f t="shared" si="150"/>
        <v>0</v>
      </c>
      <c r="U364" s="31">
        <v>4</v>
      </c>
      <c r="V364" s="31"/>
      <c r="W364" s="31">
        <f t="shared" si="154"/>
        <v>4</v>
      </c>
      <c r="X364" s="31">
        <f t="shared" si="130"/>
        <v>62.5</v>
      </c>
      <c r="Y364" s="31">
        <f t="shared" si="137"/>
        <v>6.25E-2</v>
      </c>
      <c r="Z364" s="18">
        <v>0</v>
      </c>
      <c r="AA364" s="18" t="s">
        <v>100</v>
      </c>
      <c r="AB364" s="18" t="s">
        <v>333</v>
      </c>
      <c r="AC364" s="18" t="s">
        <v>335</v>
      </c>
      <c r="AD364" s="18">
        <v>20</v>
      </c>
      <c r="AE364" s="18">
        <v>14</v>
      </c>
      <c r="AF364" s="18" t="s">
        <v>34</v>
      </c>
      <c r="AG364" s="18"/>
      <c r="AH364" s="18"/>
      <c r="AI364" s="18" t="s">
        <v>69</v>
      </c>
      <c r="AJ364" s="18" t="s">
        <v>81</v>
      </c>
      <c r="AK364" s="18" t="s">
        <v>100</v>
      </c>
      <c r="AL364" s="18" t="s">
        <v>107</v>
      </c>
      <c r="AM364" s="18" t="s">
        <v>120</v>
      </c>
      <c r="AN364" s="18" t="s">
        <v>247</v>
      </c>
      <c r="AO364" s="18"/>
      <c r="AP364" s="18"/>
      <c r="AQ364" s="18">
        <f>+VLOOKUP(AI364,Leyenda!$B$30:$E$34,3,FALSE)</f>
        <v>0</v>
      </c>
      <c r="AR364" s="18">
        <f>+VLOOKUP('3. Blasting'!AJ364,Meteorizacion,3,FALSE)</f>
        <v>0</v>
      </c>
      <c r="AS364" s="18">
        <f>+VLOOKUP('3. Blasting'!AK364,Apertura,3,FALSE)</f>
        <v>0</v>
      </c>
      <c r="AT364" s="18">
        <f>+VLOOKUP('3. Blasting'!AL364,Leyenda!$B$55:$D$59,3,FALSE)</f>
        <v>3</v>
      </c>
      <c r="AU364" s="18">
        <f>+VLOOKUP('3. Blasting'!AM364,Relleno,3,FALSE)</f>
        <v>2</v>
      </c>
      <c r="AV364" s="18">
        <f t="shared" si="151"/>
        <v>5</v>
      </c>
      <c r="AW364" s="49">
        <f t="shared" si="138"/>
        <v>0</v>
      </c>
      <c r="AX364" s="49">
        <f>VLOOKUP(AF364,Leyenda!$B$4:$D$10,3,FALSE)</f>
        <v>0</v>
      </c>
      <c r="AY364" s="49">
        <f t="shared" si="132"/>
        <v>4</v>
      </c>
      <c r="AZ364" s="49">
        <f t="shared" si="139"/>
        <v>5</v>
      </c>
      <c r="BA364" s="49">
        <f>VLOOKUP(AN364,Leyenda!$B$70:$D$75,3,FALSE)</f>
        <v>10</v>
      </c>
      <c r="BB364" s="67">
        <f t="shared" si="140"/>
        <v>7.5</v>
      </c>
      <c r="BC364" s="67">
        <f>VLOOKUP(AF364,Leyenda!$B$4:$E$10,4,FALSE)</f>
        <v>0</v>
      </c>
      <c r="BD364" s="67">
        <f t="shared" si="141"/>
        <v>5</v>
      </c>
      <c r="BE364" s="67">
        <f t="shared" si="142"/>
        <v>0</v>
      </c>
      <c r="BF364" s="67">
        <f>+VLOOKUP('3. Blasting'!AK364,Leyenda!$B$47:$E$51,4,FALSE)</f>
        <v>0</v>
      </c>
      <c r="BG364" s="67">
        <f>+VLOOKUP('3. Blasting'!AL364,Leyenda!$B$55:$E$59,4,FALSE)</f>
        <v>3</v>
      </c>
      <c r="BH364" s="67">
        <f>+VLOOKUP('3. Blasting'!AM364,Leyenda!$B$63:$E$67,3,FALSE)</f>
        <v>2</v>
      </c>
      <c r="BI364" s="67">
        <f>+VLOOKUP('3. Blasting'!AJ364,Leyenda!$B$39:$E$43,4,FALSE)</f>
        <v>0</v>
      </c>
      <c r="BJ364" s="67">
        <f>+VLOOKUP('3. Blasting'!AI364,Leyenda!$B$30:$E$34,4,FALSE)</f>
        <v>0</v>
      </c>
      <c r="BK364" s="67">
        <f>VLOOKUP(AN364,Leyenda!$B$71:$E$75,4,FALSE)</f>
        <v>7</v>
      </c>
      <c r="BL364" s="125">
        <f t="shared" si="143"/>
        <v>17</v>
      </c>
      <c r="BM364" s="85">
        <f t="shared" si="144"/>
        <v>19</v>
      </c>
      <c r="BN364" s="18" t="e">
        <f t="shared" si="152"/>
        <v>#N/A</v>
      </c>
      <c r="BO364" s="18"/>
      <c r="BP364" s="6">
        <f t="shared" si="145"/>
        <v>10</v>
      </c>
      <c r="BQ364" s="6">
        <f t="shared" si="146"/>
        <v>10</v>
      </c>
      <c r="BR364" s="6">
        <v>20</v>
      </c>
      <c r="BS364" s="6">
        <f t="shared" si="147"/>
        <v>3.5</v>
      </c>
      <c r="BT364" s="6">
        <f t="shared" si="148"/>
        <v>1.5650000000000002</v>
      </c>
      <c r="BU364" s="6">
        <f t="shared" si="149"/>
        <v>22.532499999999999</v>
      </c>
      <c r="BV364" s="18">
        <f t="shared" si="133"/>
        <v>9.0130000000000002E-2</v>
      </c>
      <c r="BW364" s="18">
        <f t="shared" si="134"/>
        <v>0.19287820000000003</v>
      </c>
    </row>
    <row r="365" spans="1:75" x14ac:dyDescent="0.25">
      <c r="A365" s="18" t="s">
        <v>6</v>
      </c>
      <c r="B365" s="18">
        <v>2024</v>
      </c>
      <c r="C365" s="18" t="s">
        <v>138</v>
      </c>
      <c r="D365" s="18" t="s">
        <v>132</v>
      </c>
      <c r="E365" s="18">
        <v>40</v>
      </c>
      <c r="F365" s="18" t="s">
        <v>153</v>
      </c>
      <c r="G365" s="18" t="s">
        <v>166</v>
      </c>
      <c r="H365" s="4">
        <f t="shared" si="155"/>
        <v>5</v>
      </c>
      <c r="I365" s="18">
        <v>5.5</v>
      </c>
      <c r="J365" s="4">
        <f t="shared" si="135"/>
        <v>0.5</v>
      </c>
      <c r="K365" s="5">
        <v>0.56000000000000005</v>
      </c>
      <c r="L365" s="31">
        <f t="shared" si="136"/>
        <v>0.28000000000000003</v>
      </c>
      <c r="M365" s="31">
        <v>2.14</v>
      </c>
      <c r="N365" s="31">
        <v>31.3</v>
      </c>
      <c r="O365" s="31">
        <f t="shared" si="153"/>
        <v>0.28000000000000003</v>
      </c>
      <c r="P365" s="31">
        <v>14</v>
      </c>
      <c r="Q365" s="31">
        <v>20</v>
      </c>
      <c r="R365" s="31">
        <v>0.26</v>
      </c>
      <c r="S365" s="31">
        <v>0</v>
      </c>
      <c r="T365" s="65">
        <f t="shared" si="150"/>
        <v>0</v>
      </c>
      <c r="U365" s="31">
        <v>4</v>
      </c>
      <c r="V365" s="31"/>
      <c r="W365" s="31">
        <f t="shared" si="154"/>
        <v>4</v>
      </c>
      <c r="X365" s="31">
        <f t="shared" si="130"/>
        <v>65</v>
      </c>
      <c r="Y365" s="31">
        <f t="shared" si="137"/>
        <v>6.5000000000000002E-2</v>
      </c>
      <c r="Z365" s="18">
        <v>0</v>
      </c>
      <c r="AA365" s="18" t="s">
        <v>100</v>
      </c>
      <c r="AB365" s="18" t="s">
        <v>333</v>
      </c>
      <c r="AC365" s="18" t="s">
        <v>335</v>
      </c>
      <c r="AD365" s="18">
        <v>20</v>
      </c>
      <c r="AE365" s="18">
        <v>14</v>
      </c>
      <c r="AF365" s="18" t="s">
        <v>34</v>
      </c>
      <c r="AG365" s="18"/>
      <c r="AH365" s="18"/>
      <c r="AI365" s="18" t="s">
        <v>69</v>
      </c>
      <c r="AJ365" s="18" t="s">
        <v>81</v>
      </c>
      <c r="AK365" s="18" t="s">
        <v>100</v>
      </c>
      <c r="AL365" s="18" t="s">
        <v>107</v>
      </c>
      <c r="AM365" s="18" t="s">
        <v>120</v>
      </c>
      <c r="AN365" s="18" t="s">
        <v>247</v>
      </c>
      <c r="AO365" s="18"/>
      <c r="AP365" s="18"/>
      <c r="AQ365" s="18">
        <f>+VLOOKUP(AI365,Leyenda!$B$30:$E$34,3,FALSE)</f>
        <v>0</v>
      </c>
      <c r="AR365" s="18">
        <f>+VLOOKUP('3. Blasting'!AJ365,Meteorizacion,3,FALSE)</f>
        <v>0</v>
      </c>
      <c r="AS365" s="18">
        <f>+VLOOKUP('3. Blasting'!AK365,Apertura,3,FALSE)</f>
        <v>0</v>
      </c>
      <c r="AT365" s="18">
        <f>+VLOOKUP('3. Blasting'!AL365,Leyenda!$B$55:$D$59,3,FALSE)</f>
        <v>3</v>
      </c>
      <c r="AU365" s="18">
        <f>+VLOOKUP('3. Blasting'!AM365,Relleno,3,FALSE)</f>
        <v>2</v>
      </c>
      <c r="AV365" s="18">
        <f t="shared" si="151"/>
        <v>5</v>
      </c>
      <c r="AW365" s="49">
        <f t="shared" si="138"/>
        <v>0</v>
      </c>
      <c r="AX365" s="49">
        <f>VLOOKUP(AF365,Leyenda!$B$4:$D$10,3,FALSE)</f>
        <v>0</v>
      </c>
      <c r="AY365" s="49">
        <f t="shared" si="132"/>
        <v>4</v>
      </c>
      <c r="AZ365" s="49">
        <f t="shared" si="139"/>
        <v>5</v>
      </c>
      <c r="BA365" s="49">
        <f>VLOOKUP(AN365,Leyenda!$B$70:$D$75,3,FALSE)</f>
        <v>10</v>
      </c>
      <c r="BB365" s="67">
        <f t="shared" si="140"/>
        <v>7.5</v>
      </c>
      <c r="BC365" s="67">
        <f>VLOOKUP(AF365,Leyenda!$B$4:$E$10,4,FALSE)</f>
        <v>0</v>
      </c>
      <c r="BD365" s="67">
        <f t="shared" si="141"/>
        <v>6</v>
      </c>
      <c r="BE365" s="67">
        <f t="shared" si="142"/>
        <v>0</v>
      </c>
      <c r="BF365" s="67">
        <f>+VLOOKUP('3. Blasting'!AK365,Leyenda!$B$47:$E$51,4,FALSE)</f>
        <v>0</v>
      </c>
      <c r="BG365" s="67">
        <f>+VLOOKUP('3. Blasting'!AL365,Leyenda!$B$55:$E$59,4,FALSE)</f>
        <v>3</v>
      </c>
      <c r="BH365" s="67">
        <f>+VLOOKUP('3. Blasting'!AM365,Leyenda!$B$63:$E$67,3,FALSE)</f>
        <v>2</v>
      </c>
      <c r="BI365" s="67">
        <f>+VLOOKUP('3. Blasting'!AJ365,Leyenda!$B$39:$E$43,4,FALSE)</f>
        <v>0</v>
      </c>
      <c r="BJ365" s="67">
        <f>+VLOOKUP('3. Blasting'!AI365,Leyenda!$B$30:$E$34,4,FALSE)</f>
        <v>0</v>
      </c>
      <c r="BK365" s="67">
        <f>VLOOKUP(AN365,Leyenda!$B$71:$E$75,4,FALSE)</f>
        <v>7</v>
      </c>
      <c r="BL365" s="125">
        <f t="shared" si="143"/>
        <v>18</v>
      </c>
      <c r="BM365" s="85">
        <f t="shared" si="144"/>
        <v>19</v>
      </c>
      <c r="BN365" s="18" t="e">
        <f t="shared" si="152"/>
        <v>#N/A</v>
      </c>
      <c r="BO365" s="18"/>
      <c r="BP365" s="6">
        <f t="shared" si="145"/>
        <v>10</v>
      </c>
      <c r="BQ365" s="6">
        <f t="shared" si="146"/>
        <v>10</v>
      </c>
      <c r="BR365" s="6">
        <v>20</v>
      </c>
      <c r="BS365" s="6">
        <f t="shared" si="147"/>
        <v>3.5</v>
      </c>
      <c r="BT365" s="6">
        <f t="shared" si="148"/>
        <v>1.5650000000000002</v>
      </c>
      <c r="BU365" s="6">
        <f t="shared" si="149"/>
        <v>22.532499999999999</v>
      </c>
      <c r="BV365" s="18">
        <f t="shared" si="133"/>
        <v>9.0130000000000002E-2</v>
      </c>
      <c r="BW365" s="18">
        <f t="shared" si="134"/>
        <v>0.19287820000000003</v>
      </c>
    </row>
    <row r="366" spans="1:75" x14ac:dyDescent="0.25">
      <c r="A366" s="18" t="s">
        <v>6</v>
      </c>
      <c r="B366" s="18">
        <v>2024</v>
      </c>
      <c r="C366" s="18" t="s">
        <v>138</v>
      </c>
      <c r="D366" s="18" t="s">
        <v>132</v>
      </c>
      <c r="E366" s="18">
        <v>40</v>
      </c>
      <c r="F366" s="18" t="s">
        <v>153</v>
      </c>
      <c r="G366" s="18" t="s">
        <v>166</v>
      </c>
      <c r="H366" s="4">
        <f t="shared" si="155"/>
        <v>5.5</v>
      </c>
      <c r="I366" s="18">
        <v>6</v>
      </c>
      <c r="J366" s="4">
        <f t="shared" si="135"/>
        <v>0.5</v>
      </c>
      <c r="K366" s="5">
        <v>0.52</v>
      </c>
      <c r="L366" s="31">
        <f t="shared" si="136"/>
        <v>0.26</v>
      </c>
      <c r="M366" s="31">
        <v>2.14</v>
      </c>
      <c r="N366" s="31">
        <v>31.3</v>
      </c>
      <c r="O366" s="31">
        <f t="shared" si="153"/>
        <v>0.26</v>
      </c>
      <c r="P366" s="31">
        <v>13</v>
      </c>
      <c r="Q366" s="31">
        <v>20</v>
      </c>
      <c r="R366" s="31">
        <v>0.25</v>
      </c>
      <c r="S366" s="31">
        <v>0</v>
      </c>
      <c r="T366" s="65">
        <f t="shared" si="150"/>
        <v>0</v>
      </c>
      <c r="U366" s="31">
        <v>4</v>
      </c>
      <c r="V366" s="31"/>
      <c r="W366" s="31">
        <f t="shared" si="154"/>
        <v>4</v>
      </c>
      <c r="X366" s="31">
        <f t="shared" si="130"/>
        <v>62.5</v>
      </c>
      <c r="Y366" s="31">
        <f t="shared" si="137"/>
        <v>6.25E-2</v>
      </c>
      <c r="Z366" s="18">
        <v>0</v>
      </c>
      <c r="AA366" s="18" t="s">
        <v>100</v>
      </c>
      <c r="AB366" s="18" t="s">
        <v>333</v>
      </c>
      <c r="AC366" s="18" t="s">
        <v>335</v>
      </c>
      <c r="AD366" s="18">
        <v>20</v>
      </c>
      <c r="AE366" s="18">
        <v>13</v>
      </c>
      <c r="AF366" s="18" t="s">
        <v>34</v>
      </c>
      <c r="AG366" s="18"/>
      <c r="AH366" s="18"/>
      <c r="AI366" s="18" t="s">
        <v>69</v>
      </c>
      <c r="AJ366" s="18" t="s">
        <v>81</v>
      </c>
      <c r="AK366" s="18" t="s">
        <v>100</v>
      </c>
      <c r="AL366" s="18" t="s">
        <v>107</v>
      </c>
      <c r="AM366" s="18" t="s">
        <v>120</v>
      </c>
      <c r="AN366" s="18" t="s">
        <v>247</v>
      </c>
      <c r="AO366" s="18"/>
      <c r="AP366" s="18"/>
      <c r="AQ366" s="18">
        <f>+VLOOKUP(AI366,Leyenda!$B$30:$E$34,3,FALSE)</f>
        <v>0</v>
      </c>
      <c r="AR366" s="18">
        <f>+VLOOKUP('3. Blasting'!AJ366,Meteorizacion,3,FALSE)</f>
        <v>0</v>
      </c>
      <c r="AS366" s="18">
        <f>+VLOOKUP('3. Blasting'!AK366,Apertura,3,FALSE)</f>
        <v>0</v>
      </c>
      <c r="AT366" s="18">
        <f>+VLOOKUP('3. Blasting'!AL366,Leyenda!$B$55:$D$59,3,FALSE)</f>
        <v>3</v>
      </c>
      <c r="AU366" s="18">
        <f>+VLOOKUP('3. Blasting'!AM366,Relleno,3,FALSE)</f>
        <v>2</v>
      </c>
      <c r="AV366" s="18">
        <f t="shared" si="151"/>
        <v>5</v>
      </c>
      <c r="AW366" s="49">
        <f t="shared" si="138"/>
        <v>0</v>
      </c>
      <c r="AX366" s="49">
        <f>VLOOKUP(AF366,Leyenda!$B$4:$D$10,3,FALSE)</f>
        <v>0</v>
      </c>
      <c r="AY366" s="49">
        <f t="shared" si="132"/>
        <v>4</v>
      </c>
      <c r="AZ366" s="49">
        <f t="shared" si="139"/>
        <v>5</v>
      </c>
      <c r="BA366" s="49">
        <f>VLOOKUP(AN366,Leyenda!$B$70:$D$75,3,FALSE)</f>
        <v>10</v>
      </c>
      <c r="BB366" s="67">
        <f t="shared" si="140"/>
        <v>7.5</v>
      </c>
      <c r="BC366" s="67">
        <f>VLOOKUP(AF366,Leyenda!$B$4:$E$10,4,FALSE)</f>
        <v>0</v>
      </c>
      <c r="BD366" s="67">
        <f t="shared" si="141"/>
        <v>5</v>
      </c>
      <c r="BE366" s="67">
        <f t="shared" si="142"/>
        <v>0</v>
      </c>
      <c r="BF366" s="67">
        <f>+VLOOKUP('3. Blasting'!AK366,Leyenda!$B$47:$E$51,4,FALSE)</f>
        <v>0</v>
      </c>
      <c r="BG366" s="67">
        <f>+VLOOKUP('3. Blasting'!AL366,Leyenda!$B$55:$E$59,4,FALSE)</f>
        <v>3</v>
      </c>
      <c r="BH366" s="67">
        <f>+VLOOKUP('3. Blasting'!AM366,Leyenda!$B$63:$E$67,3,FALSE)</f>
        <v>2</v>
      </c>
      <c r="BI366" s="67">
        <f>+VLOOKUP('3. Blasting'!AJ366,Leyenda!$B$39:$E$43,4,FALSE)</f>
        <v>0</v>
      </c>
      <c r="BJ366" s="67">
        <f>+VLOOKUP('3. Blasting'!AI366,Leyenda!$B$30:$E$34,4,FALSE)</f>
        <v>0</v>
      </c>
      <c r="BK366" s="67">
        <f>VLOOKUP(AN366,Leyenda!$B$71:$E$75,4,FALSE)</f>
        <v>7</v>
      </c>
      <c r="BL366" s="125">
        <f t="shared" si="143"/>
        <v>17</v>
      </c>
      <c r="BM366" s="85">
        <f t="shared" si="144"/>
        <v>19</v>
      </c>
      <c r="BN366" s="18" t="e">
        <f t="shared" si="152"/>
        <v>#N/A</v>
      </c>
      <c r="BO366" s="18"/>
      <c r="BP366" s="6">
        <f t="shared" si="145"/>
        <v>10</v>
      </c>
      <c r="BQ366" s="6">
        <f t="shared" si="146"/>
        <v>10</v>
      </c>
      <c r="BR366" s="6">
        <v>20</v>
      </c>
      <c r="BS366" s="6">
        <f t="shared" si="147"/>
        <v>3.5</v>
      </c>
      <c r="BT366" s="6">
        <f t="shared" si="148"/>
        <v>1.5650000000000002</v>
      </c>
      <c r="BU366" s="6">
        <f t="shared" si="149"/>
        <v>22.532499999999999</v>
      </c>
      <c r="BV366" s="18">
        <f t="shared" si="133"/>
        <v>9.0130000000000002E-2</v>
      </c>
      <c r="BW366" s="18">
        <f t="shared" si="134"/>
        <v>0.19287820000000003</v>
      </c>
    </row>
    <row r="367" spans="1:75" x14ac:dyDescent="0.25">
      <c r="A367" s="18" t="s">
        <v>6</v>
      </c>
      <c r="B367" s="18">
        <v>2024</v>
      </c>
      <c r="C367" s="18" t="s">
        <v>138</v>
      </c>
      <c r="D367" s="18" t="s">
        <v>132</v>
      </c>
      <c r="E367" s="18">
        <v>40</v>
      </c>
      <c r="F367" s="18" t="s">
        <v>153</v>
      </c>
      <c r="G367" s="18" t="s">
        <v>166</v>
      </c>
      <c r="H367" s="4">
        <f t="shared" si="155"/>
        <v>6</v>
      </c>
      <c r="I367" s="18">
        <v>6.5</v>
      </c>
      <c r="J367" s="4">
        <f t="shared" si="135"/>
        <v>0.5</v>
      </c>
      <c r="K367" s="5">
        <v>0.74</v>
      </c>
      <c r="L367" s="31">
        <f t="shared" si="136"/>
        <v>0.37</v>
      </c>
      <c r="M367" s="31">
        <v>2.14</v>
      </c>
      <c r="N367" s="31">
        <v>31.3</v>
      </c>
      <c r="O367" s="31">
        <f t="shared" si="153"/>
        <v>0.37</v>
      </c>
      <c r="P367" s="31">
        <v>18.5</v>
      </c>
      <c r="Q367" s="31">
        <v>20</v>
      </c>
      <c r="R367" s="31">
        <v>0.28000000000000003</v>
      </c>
      <c r="S367" s="31">
        <v>0</v>
      </c>
      <c r="T367" s="65">
        <f t="shared" si="150"/>
        <v>0</v>
      </c>
      <c r="U367" s="31">
        <v>3</v>
      </c>
      <c r="V367" s="31"/>
      <c r="W367" s="31">
        <f t="shared" si="154"/>
        <v>3</v>
      </c>
      <c r="X367" s="31">
        <f>+IF(R366=0,"",(R366*1000)/W367)</f>
        <v>83.333333333333329</v>
      </c>
      <c r="Y367" s="31">
        <f t="shared" si="137"/>
        <v>8.3333333333333329E-2</v>
      </c>
      <c r="Z367" s="18">
        <v>0</v>
      </c>
      <c r="AA367" s="18" t="s">
        <v>100</v>
      </c>
      <c r="AB367" s="18" t="s">
        <v>333</v>
      </c>
      <c r="AC367" s="18" t="s">
        <v>335</v>
      </c>
      <c r="AD367" s="18">
        <v>20</v>
      </c>
      <c r="AE367" s="18">
        <v>18.5</v>
      </c>
      <c r="AF367" s="18" t="s">
        <v>34</v>
      </c>
      <c r="AG367" s="18"/>
      <c r="AH367" s="18"/>
      <c r="AI367" s="18" t="s">
        <v>69</v>
      </c>
      <c r="AJ367" s="18" t="s">
        <v>81</v>
      </c>
      <c r="AK367" s="18" t="s">
        <v>100</v>
      </c>
      <c r="AL367" s="18" t="s">
        <v>107</v>
      </c>
      <c r="AM367" s="18" t="s">
        <v>120</v>
      </c>
      <c r="AN367" s="18" t="s">
        <v>247</v>
      </c>
      <c r="AO367" s="18"/>
      <c r="AP367" s="18"/>
      <c r="AQ367" s="18">
        <f>+VLOOKUP(AI367,Leyenda!$B$30:$E$34,3,FALSE)</f>
        <v>0</v>
      </c>
      <c r="AR367" s="18">
        <f>+VLOOKUP('3. Blasting'!AJ367,Meteorizacion,3,FALSE)</f>
        <v>0</v>
      </c>
      <c r="AS367" s="18">
        <f>+VLOOKUP('3. Blasting'!AK367,Apertura,3,FALSE)</f>
        <v>0</v>
      </c>
      <c r="AT367" s="18">
        <f>+VLOOKUP('3. Blasting'!AL367,Leyenda!$B$55:$D$59,3,FALSE)</f>
        <v>3</v>
      </c>
      <c r="AU367" s="18">
        <f>+VLOOKUP('3. Blasting'!AM367,Relleno,3,FALSE)</f>
        <v>2</v>
      </c>
      <c r="AV367" s="18">
        <f t="shared" si="151"/>
        <v>5</v>
      </c>
      <c r="AW367" s="49">
        <f t="shared" si="138"/>
        <v>0</v>
      </c>
      <c r="AX367" s="49">
        <f>VLOOKUP(AF367,Leyenda!$B$4:$D$10,3,FALSE)</f>
        <v>0</v>
      </c>
      <c r="AY367" s="49">
        <f t="shared" si="132"/>
        <v>4</v>
      </c>
      <c r="AZ367" s="49">
        <f t="shared" si="139"/>
        <v>5</v>
      </c>
      <c r="BA367" s="49">
        <f>VLOOKUP(AN367,Leyenda!$B$70:$D$75,3,FALSE)</f>
        <v>10</v>
      </c>
      <c r="BB367" s="67">
        <f t="shared" si="140"/>
        <v>7.5</v>
      </c>
      <c r="BC367" s="67">
        <f>VLOOKUP(AF367,Leyenda!$B$4:$E$10,4,FALSE)</f>
        <v>0</v>
      </c>
      <c r="BD367" s="67">
        <f t="shared" si="141"/>
        <v>7</v>
      </c>
      <c r="BE367" s="67">
        <f t="shared" si="142"/>
        <v>0</v>
      </c>
      <c r="BF367" s="67">
        <f>+VLOOKUP('3. Blasting'!AK367,Leyenda!$B$47:$E$51,4,FALSE)</f>
        <v>0</v>
      </c>
      <c r="BG367" s="67">
        <f>+VLOOKUP('3. Blasting'!AL367,Leyenda!$B$55:$E$59,4,FALSE)</f>
        <v>3</v>
      </c>
      <c r="BH367" s="67">
        <f>+VLOOKUP('3. Blasting'!AM367,Leyenda!$B$63:$E$67,3,FALSE)</f>
        <v>2</v>
      </c>
      <c r="BI367" s="67">
        <f>+VLOOKUP('3. Blasting'!AJ367,Leyenda!$B$39:$E$43,4,FALSE)</f>
        <v>0</v>
      </c>
      <c r="BJ367" s="67">
        <f>+VLOOKUP('3. Blasting'!AI367,Leyenda!$B$30:$E$34,4,FALSE)</f>
        <v>0</v>
      </c>
      <c r="BK367" s="67">
        <f>VLOOKUP(AN367,Leyenda!$B$71:$E$75,4,FALSE)</f>
        <v>7</v>
      </c>
      <c r="BL367" s="125">
        <f t="shared" si="143"/>
        <v>19</v>
      </c>
      <c r="BM367" s="85">
        <f t="shared" si="144"/>
        <v>19</v>
      </c>
      <c r="BN367" s="18" t="e">
        <f t="shared" si="152"/>
        <v>#N/A</v>
      </c>
      <c r="BO367" s="18"/>
      <c r="BP367" s="6">
        <f t="shared" si="145"/>
        <v>10</v>
      </c>
      <c r="BQ367" s="6">
        <f t="shared" si="146"/>
        <v>10</v>
      </c>
      <c r="BR367" s="6">
        <v>20</v>
      </c>
      <c r="BS367" s="6">
        <f t="shared" si="147"/>
        <v>3.5</v>
      </c>
      <c r="BT367" s="6">
        <f t="shared" si="148"/>
        <v>1.5650000000000002</v>
      </c>
      <c r="BU367" s="6">
        <f t="shared" si="149"/>
        <v>22.532499999999999</v>
      </c>
      <c r="BV367" s="18">
        <f t="shared" si="133"/>
        <v>9.0130000000000002E-2</v>
      </c>
      <c r="BW367" s="18">
        <f t="shared" si="134"/>
        <v>0.19287820000000003</v>
      </c>
    </row>
    <row r="368" spans="1:75" x14ac:dyDescent="0.25">
      <c r="A368" s="18" t="s">
        <v>6</v>
      </c>
      <c r="B368" s="18">
        <v>2024</v>
      </c>
      <c r="C368" s="18" t="s">
        <v>138</v>
      </c>
      <c r="D368" s="18" t="s">
        <v>132</v>
      </c>
      <c r="E368" s="18">
        <v>40</v>
      </c>
      <c r="F368" s="18" t="s">
        <v>153</v>
      </c>
      <c r="G368" s="18" t="s">
        <v>166</v>
      </c>
      <c r="H368" s="4">
        <f t="shared" si="155"/>
        <v>6.5</v>
      </c>
      <c r="I368" s="18">
        <v>7</v>
      </c>
      <c r="J368" s="4">
        <f t="shared" si="135"/>
        <v>0.5</v>
      </c>
      <c r="K368" s="5">
        <v>0.4</v>
      </c>
      <c r="L368" s="31">
        <f t="shared" si="136"/>
        <v>0.2</v>
      </c>
      <c r="M368" s="31">
        <v>2.14</v>
      </c>
      <c r="N368" s="31">
        <v>31.3</v>
      </c>
      <c r="O368" s="31">
        <f t="shared" si="153"/>
        <v>0.2</v>
      </c>
      <c r="P368" s="31">
        <v>10</v>
      </c>
      <c r="Q368" s="31">
        <v>20</v>
      </c>
      <c r="R368" s="31">
        <v>0.19</v>
      </c>
      <c r="S368" s="31">
        <v>0</v>
      </c>
      <c r="T368" s="65">
        <f t="shared" si="150"/>
        <v>0</v>
      </c>
      <c r="U368" s="31">
        <v>5</v>
      </c>
      <c r="V368" s="31"/>
      <c r="W368" s="31">
        <f t="shared" si="154"/>
        <v>5</v>
      </c>
      <c r="X368" s="31">
        <f>+IF(R367=0,"",(R367*1000)/W368)</f>
        <v>56</v>
      </c>
      <c r="Y368" s="31">
        <f t="shared" si="137"/>
        <v>5.6000000000000001E-2</v>
      </c>
      <c r="Z368" s="18">
        <v>0</v>
      </c>
      <c r="AA368" s="18" t="s">
        <v>330</v>
      </c>
      <c r="AB368" s="18" t="s">
        <v>333</v>
      </c>
      <c r="AC368" s="18" t="s">
        <v>335</v>
      </c>
      <c r="AD368" s="18">
        <v>20</v>
      </c>
      <c r="AE368" s="18">
        <v>10</v>
      </c>
      <c r="AF368" s="18" t="s">
        <v>34</v>
      </c>
      <c r="AG368" s="18"/>
      <c r="AH368" s="18"/>
      <c r="AI368" s="18" t="s">
        <v>69</v>
      </c>
      <c r="AJ368" s="18" t="s">
        <v>81</v>
      </c>
      <c r="AK368" s="18" t="s">
        <v>100</v>
      </c>
      <c r="AL368" s="18" t="s">
        <v>107</v>
      </c>
      <c r="AM368" s="18" t="s">
        <v>120</v>
      </c>
      <c r="AN368" s="18" t="s">
        <v>247</v>
      </c>
      <c r="AO368" s="18"/>
      <c r="AP368" s="18"/>
      <c r="AQ368" s="18">
        <f>+VLOOKUP(AI368,Leyenda!$B$30:$E$34,3,FALSE)</f>
        <v>0</v>
      </c>
      <c r="AR368" s="18">
        <f>+VLOOKUP('3. Blasting'!AJ368,Meteorizacion,3,FALSE)</f>
        <v>0</v>
      </c>
      <c r="AS368" s="18">
        <f>+VLOOKUP('3. Blasting'!AK368,Apertura,3,FALSE)</f>
        <v>0</v>
      </c>
      <c r="AT368" s="18">
        <f>+VLOOKUP('3. Blasting'!AL368,Leyenda!$B$55:$D$59,3,FALSE)</f>
        <v>3</v>
      </c>
      <c r="AU368" s="18">
        <f>+VLOOKUP('3. Blasting'!AM368,Relleno,3,FALSE)</f>
        <v>2</v>
      </c>
      <c r="AV368" s="18">
        <f t="shared" si="151"/>
        <v>5</v>
      </c>
      <c r="AW368" s="49">
        <f t="shared" si="138"/>
        <v>0</v>
      </c>
      <c r="AX368" s="49">
        <f>VLOOKUP(AF368,Leyenda!$B$4:$D$10,3,FALSE)</f>
        <v>0</v>
      </c>
      <c r="AY368" s="49">
        <f t="shared" si="132"/>
        <v>3</v>
      </c>
      <c r="AZ368" s="49">
        <f t="shared" si="139"/>
        <v>5</v>
      </c>
      <c r="BA368" s="49">
        <f>VLOOKUP(AN368,Leyenda!$B$70:$D$75,3,FALSE)</f>
        <v>10</v>
      </c>
      <c r="BB368" s="67">
        <f t="shared" si="140"/>
        <v>7.5</v>
      </c>
      <c r="BC368" s="67">
        <f>VLOOKUP(AF368,Leyenda!$B$4:$E$10,4,FALSE)</f>
        <v>0</v>
      </c>
      <c r="BD368" s="67">
        <f t="shared" si="141"/>
        <v>5</v>
      </c>
      <c r="BE368" s="67">
        <f t="shared" si="142"/>
        <v>0</v>
      </c>
      <c r="BF368" s="67">
        <f>+VLOOKUP('3. Blasting'!AK368,Leyenda!$B$47:$E$51,4,FALSE)</f>
        <v>0</v>
      </c>
      <c r="BG368" s="67">
        <f>+VLOOKUP('3. Blasting'!AL368,Leyenda!$B$55:$E$59,4,FALSE)</f>
        <v>3</v>
      </c>
      <c r="BH368" s="67">
        <f>+VLOOKUP('3. Blasting'!AM368,Leyenda!$B$63:$E$67,3,FALSE)</f>
        <v>2</v>
      </c>
      <c r="BI368" s="67">
        <f>+VLOOKUP('3. Blasting'!AJ368,Leyenda!$B$39:$E$43,4,FALSE)</f>
        <v>0</v>
      </c>
      <c r="BJ368" s="67">
        <f>+VLOOKUP('3. Blasting'!AI368,Leyenda!$B$30:$E$34,4,FALSE)</f>
        <v>0</v>
      </c>
      <c r="BK368" s="67">
        <f>VLOOKUP(AN368,Leyenda!$B$71:$E$75,4,FALSE)</f>
        <v>7</v>
      </c>
      <c r="BL368" s="125">
        <f t="shared" si="143"/>
        <v>17</v>
      </c>
      <c r="BM368" s="85">
        <f t="shared" si="144"/>
        <v>18</v>
      </c>
      <c r="BN368" s="18" t="e">
        <f t="shared" si="152"/>
        <v>#N/A</v>
      </c>
      <c r="BO368" s="18"/>
      <c r="BP368" s="6">
        <f t="shared" si="145"/>
        <v>10</v>
      </c>
      <c r="BQ368" s="6">
        <f t="shared" si="146"/>
        <v>10</v>
      </c>
      <c r="BR368" s="6">
        <v>20</v>
      </c>
      <c r="BS368" s="6">
        <f t="shared" si="147"/>
        <v>3.5</v>
      </c>
      <c r="BT368" s="6">
        <f t="shared" si="148"/>
        <v>1.5650000000000002</v>
      </c>
      <c r="BU368" s="6">
        <f t="shared" si="149"/>
        <v>22.532499999999999</v>
      </c>
      <c r="BV368" s="18">
        <f t="shared" si="133"/>
        <v>9.0130000000000002E-2</v>
      </c>
      <c r="BW368" s="18">
        <f t="shared" si="134"/>
        <v>0.19287820000000003</v>
      </c>
    </row>
    <row r="369" spans="1:75" x14ac:dyDescent="0.25">
      <c r="A369" s="18" t="s">
        <v>6</v>
      </c>
      <c r="B369" s="18">
        <v>2024</v>
      </c>
      <c r="C369" s="18" t="s">
        <v>138</v>
      </c>
      <c r="D369" s="18" t="s">
        <v>132</v>
      </c>
      <c r="E369" s="18">
        <v>40</v>
      </c>
      <c r="F369" s="18" t="s">
        <v>153</v>
      </c>
      <c r="G369" s="18" t="s">
        <v>166</v>
      </c>
      <c r="H369" s="4">
        <f t="shared" si="155"/>
        <v>7</v>
      </c>
      <c r="I369" s="18">
        <v>7.5</v>
      </c>
      <c r="J369" s="4">
        <f t="shared" si="135"/>
        <v>0.5</v>
      </c>
      <c r="K369" s="5">
        <v>0.48</v>
      </c>
      <c r="L369" s="31">
        <f t="shared" si="136"/>
        <v>0.24</v>
      </c>
      <c r="M369" s="31">
        <v>2.14</v>
      </c>
      <c r="N369" s="31">
        <v>31.3</v>
      </c>
      <c r="O369" s="31">
        <f t="shared" si="153"/>
        <v>0.24</v>
      </c>
      <c r="P369" s="31">
        <v>12</v>
      </c>
      <c r="Q369" s="31">
        <v>20</v>
      </c>
      <c r="R369" s="31">
        <v>0.23</v>
      </c>
      <c r="S369" s="31">
        <v>0</v>
      </c>
      <c r="T369" s="65">
        <f t="shared" si="150"/>
        <v>0</v>
      </c>
      <c r="U369" s="31">
        <v>5</v>
      </c>
      <c r="V369" s="31"/>
      <c r="W369" s="31">
        <f t="shared" si="154"/>
        <v>5</v>
      </c>
      <c r="X369" s="31">
        <f>+IF(R368=0,"",(R368*1000)/W369)</f>
        <v>38</v>
      </c>
      <c r="Y369" s="31">
        <f t="shared" si="137"/>
        <v>3.7999999999999999E-2</v>
      </c>
      <c r="Z369" s="18">
        <v>0</v>
      </c>
      <c r="AA369" s="18" t="s">
        <v>330</v>
      </c>
      <c r="AB369" s="18" t="s">
        <v>333</v>
      </c>
      <c r="AC369" s="18" t="s">
        <v>335</v>
      </c>
      <c r="AD369" s="18">
        <v>20</v>
      </c>
      <c r="AE369" s="18">
        <v>12</v>
      </c>
      <c r="AF369" s="18" t="s">
        <v>34</v>
      </c>
      <c r="AG369" s="18"/>
      <c r="AH369" s="18"/>
      <c r="AI369" s="18" t="s">
        <v>69</v>
      </c>
      <c r="AJ369" s="18" t="s">
        <v>81</v>
      </c>
      <c r="AK369" s="18" t="s">
        <v>100</v>
      </c>
      <c r="AL369" s="18" t="s">
        <v>107</v>
      </c>
      <c r="AM369" s="18" t="s">
        <v>120</v>
      </c>
      <c r="AN369" s="18" t="s">
        <v>247</v>
      </c>
      <c r="AO369" s="18"/>
      <c r="AP369" s="18"/>
      <c r="AQ369" s="18">
        <f>+VLOOKUP(AI369,Leyenda!$B$30:$E$34,3,FALSE)</f>
        <v>0</v>
      </c>
      <c r="AR369" s="18">
        <f>+VLOOKUP('3. Blasting'!AJ369,Meteorizacion,3,FALSE)</f>
        <v>0</v>
      </c>
      <c r="AS369" s="18">
        <f>+VLOOKUP('3. Blasting'!AK369,Apertura,3,FALSE)</f>
        <v>0</v>
      </c>
      <c r="AT369" s="18">
        <f>+VLOOKUP('3. Blasting'!AL369,Leyenda!$B$55:$D$59,3,FALSE)</f>
        <v>3</v>
      </c>
      <c r="AU369" s="18">
        <f>+VLOOKUP('3. Blasting'!AM369,Relleno,3,FALSE)</f>
        <v>2</v>
      </c>
      <c r="AV369" s="18">
        <f t="shared" si="151"/>
        <v>5</v>
      </c>
      <c r="AW369" s="49">
        <f t="shared" si="138"/>
        <v>0</v>
      </c>
      <c r="AX369" s="49">
        <f>VLOOKUP(AF369,Leyenda!$B$4:$D$10,3,FALSE)</f>
        <v>0</v>
      </c>
      <c r="AY369" s="49">
        <f t="shared" si="132"/>
        <v>4</v>
      </c>
      <c r="AZ369" s="49">
        <f t="shared" si="139"/>
        <v>5</v>
      </c>
      <c r="BA369" s="49">
        <f>VLOOKUP(AN369,Leyenda!$B$70:$D$75,3,FALSE)</f>
        <v>10</v>
      </c>
      <c r="BB369" s="67">
        <f t="shared" si="140"/>
        <v>7.5</v>
      </c>
      <c r="BC369" s="67">
        <f>VLOOKUP(AF369,Leyenda!$B$4:$E$10,4,FALSE)</f>
        <v>0</v>
      </c>
      <c r="BD369" s="67">
        <f t="shared" si="141"/>
        <v>5</v>
      </c>
      <c r="BE369" s="67">
        <f t="shared" si="142"/>
        <v>0</v>
      </c>
      <c r="BF369" s="67">
        <f>+VLOOKUP('3. Blasting'!AK369,Leyenda!$B$47:$E$51,4,FALSE)</f>
        <v>0</v>
      </c>
      <c r="BG369" s="67">
        <f>+VLOOKUP('3. Blasting'!AL369,Leyenda!$B$55:$E$59,4,FALSE)</f>
        <v>3</v>
      </c>
      <c r="BH369" s="67">
        <f>+VLOOKUP('3. Blasting'!AM369,Leyenda!$B$63:$E$67,3,FALSE)</f>
        <v>2</v>
      </c>
      <c r="BI369" s="67">
        <f>+VLOOKUP('3. Blasting'!AJ369,Leyenda!$B$39:$E$43,4,FALSE)</f>
        <v>0</v>
      </c>
      <c r="BJ369" s="67">
        <f>+VLOOKUP('3. Blasting'!AI369,Leyenda!$B$30:$E$34,4,FALSE)</f>
        <v>0</v>
      </c>
      <c r="BK369" s="67">
        <f>VLOOKUP(AN369,Leyenda!$B$71:$E$75,4,FALSE)</f>
        <v>7</v>
      </c>
      <c r="BL369" s="125">
        <f t="shared" si="143"/>
        <v>17</v>
      </c>
      <c r="BM369" s="85">
        <f t="shared" si="144"/>
        <v>19</v>
      </c>
      <c r="BN369" s="18" t="e">
        <f t="shared" si="152"/>
        <v>#N/A</v>
      </c>
      <c r="BO369" s="18"/>
      <c r="BP369" s="6">
        <f t="shared" si="145"/>
        <v>10</v>
      </c>
      <c r="BQ369" s="6">
        <f t="shared" si="146"/>
        <v>10</v>
      </c>
      <c r="BR369" s="6">
        <v>20</v>
      </c>
      <c r="BS369" s="6">
        <f t="shared" si="147"/>
        <v>3.5</v>
      </c>
      <c r="BT369" s="6">
        <f t="shared" si="148"/>
        <v>1.5650000000000002</v>
      </c>
      <c r="BU369" s="6">
        <f t="shared" si="149"/>
        <v>22.532499999999999</v>
      </c>
      <c r="BV369" s="18">
        <f t="shared" si="133"/>
        <v>9.0130000000000002E-2</v>
      </c>
      <c r="BW369" s="18">
        <f t="shared" si="134"/>
        <v>0.19287820000000003</v>
      </c>
    </row>
    <row r="370" spans="1:75" x14ac:dyDescent="0.25">
      <c r="A370" s="18" t="s">
        <v>6</v>
      </c>
      <c r="B370" s="18">
        <v>2024</v>
      </c>
      <c r="C370" s="18" t="s">
        <v>138</v>
      </c>
      <c r="D370" s="18" t="s">
        <v>132</v>
      </c>
      <c r="E370" s="18">
        <v>40</v>
      </c>
      <c r="F370" s="18" t="s">
        <v>153</v>
      </c>
      <c r="G370" s="18" t="s">
        <v>166</v>
      </c>
      <c r="H370" s="4">
        <f t="shared" si="155"/>
        <v>7.5</v>
      </c>
      <c r="I370" s="18">
        <v>8</v>
      </c>
      <c r="J370" s="4">
        <f t="shared" si="135"/>
        <v>0.5</v>
      </c>
      <c r="K370" s="5">
        <v>0.46</v>
      </c>
      <c r="L370" s="31">
        <f t="shared" si="136"/>
        <v>0.23</v>
      </c>
      <c r="M370" s="31">
        <v>2.14</v>
      </c>
      <c r="N370" s="31">
        <v>31.3</v>
      </c>
      <c r="O370" s="31">
        <f t="shared" si="153"/>
        <v>0.23</v>
      </c>
      <c r="P370" s="31">
        <v>11.5</v>
      </c>
      <c r="Q370" s="31">
        <v>20</v>
      </c>
      <c r="R370" s="31">
        <v>0.21</v>
      </c>
      <c r="S370" s="31">
        <v>0</v>
      </c>
      <c r="T370" s="65">
        <f t="shared" si="150"/>
        <v>0</v>
      </c>
      <c r="U370" s="31">
        <v>5</v>
      </c>
      <c r="V370" s="31"/>
      <c r="W370" s="31">
        <f t="shared" si="154"/>
        <v>5</v>
      </c>
      <c r="X370" s="31">
        <f>+IF(R369=0,"",(R369*1000)/W370)</f>
        <v>46</v>
      </c>
      <c r="Y370" s="31">
        <f t="shared" si="137"/>
        <v>4.5999999999999999E-2</v>
      </c>
      <c r="Z370" s="18">
        <v>0</v>
      </c>
      <c r="AA370" s="18" t="s">
        <v>330</v>
      </c>
      <c r="AB370" s="18" t="s">
        <v>333</v>
      </c>
      <c r="AC370" s="18" t="s">
        <v>335</v>
      </c>
      <c r="AD370" s="18">
        <v>20</v>
      </c>
      <c r="AE370" s="18">
        <v>11.5</v>
      </c>
      <c r="AF370" s="18" t="s">
        <v>34</v>
      </c>
      <c r="AG370" s="18"/>
      <c r="AH370" s="18"/>
      <c r="AI370" s="18" t="s">
        <v>69</v>
      </c>
      <c r="AJ370" s="18" t="s">
        <v>81</v>
      </c>
      <c r="AK370" s="18" t="s">
        <v>100</v>
      </c>
      <c r="AL370" s="18" t="s">
        <v>107</v>
      </c>
      <c r="AM370" s="18" t="s">
        <v>120</v>
      </c>
      <c r="AN370" s="18" t="s">
        <v>247</v>
      </c>
      <c r="AO370" s="18"/>
      <c r="AP370" s="18"/>
      <c r="AQ370" s="18">
        <f>+VLOOKUP(AI370,Leyenda!$B$30:$E$34,3,FALSE)</f>
        <v>0</v>
      </c>
      <c r="AR370" s="18">
        <f>+VLOOKUP('3. Blasting'!AJ370,Meteorizacion,3,FALSE)</f>
        <v>0</v>
      </c>
      <c r="AS370" s="18">
        <f>+VLOOKUP('3. Blasting'!AK370,Apertura,3,FALSE)</f>
        <v>0</v>
      </c>
      <c r="AT370" s="18">
        <f>+VLOOKUP('3. Blasting'!AL370,Leyenda!$B$55:$D$59,3,FALSE)</f>
        <v>3</v>
      </c>
      <c r="AU370" s="18">
        <f>+VLOOKUP('3. Blasting'!AM370,Relleno,3,FALSE)</f>
        <v>2</v>
      </c>
      <c r="AV370" s="18">
        <f t="shared" si="151"/>
        <v>5</v>
      </c>
      <c r="AW370" s="49">
        <f t="shared" si="138"/>
        <v>0</v>
      </c>
      <c r="AX370" s="49">
        <f>VLOOKUP(AF370,Leyenda!$B$4:$D$10,3,FALSE)</f>
        <v>0</v>
      </c>
      <c r="AY370" s="49">
        <f t="shared" si="132"/>
        <v>4</v>
      </c>
      <c r="AZ370" s="49">
        <f t="shared" si="139"/>
        <v>5</v>
      </c>
      <c r="BA370" s="49">
        <f>VLOOKUP(AN370,Leyenda!$B$70:$D$75,3,FALSE)</f>
        <v>10</v>
      </c>
      <c r="BB370" s="67">
        <f t="shared" si="140"/>
        <v>7.5</v>
      </c>
      <c r="BC370" s="67">
        <f>VLOOKUP(AF370,Leyenda!$B$4:$E$10,4,FALSE)</f>
        <v>0</v>
      </c>
      <c r="BD370" s="67">
        <f t="shared" si="141"/>
        <v>5</v>
      </c>
      <c r="BE370" s="67">
        <f t="shared" si="142"/>
        <v>0</v>
      </c>
      <c r="BF370" s="67">
        <f>+VLOOKUP('3. Blasting'!AK370,Leyenda!$B$47:$E$51,4,FALSE)</f>
        <v>0</v>
      </c>
      <c r="BG370" s="67">
        <f>+VLOOKUP('3. Blasting'!AL370,Leyenda!$B$55:$E$59,4,FALSE)</f>
        <v>3</v>
      </c>
      <c r="BH370" s="67">
        <f>+VLOOKUP('3. Blasting'!AM370,Leyenda!$B$63:$E$67,3,FALSE)</f>
        <v>2</v>
      </c>
      <c r="BI370" s="67">
        <f>+VLOOKUP('3. Blasting'!AJ370,Leyenda!$B$39:$E$43,4,FALSE)</f>
        <v>0</v>
      </c>
      <c r="BJ370" s="67">
        <f>+VLOOKUP('3. Blasting'!AI370,Leyenda!$B$30:$E$34,4,FALSE)</f>
        <v>0</v>
      </c>
      <c r="BK370" s="67">
        <f>VLOOKUP(AN370,Leyenda!$B$71:$E$75,4,FALSE)</f>
        <v>7</v>
      </c>
      <c r="BL370" s="125">
        <f t="shared" si="143"/>
        <v>17</v>
      </c>
      <c r="BM370" s="85">
        <f t="shared" si="144"/>
        <v>19</v>
      </c>
      <c r="BN370" s="18" t="e">
        <f t="shared" si="152"/>
        <v>#N/A</v>
      </c>
      <c r="BO370" s="18"/>
      <c r="BP370" s="6">
        <f t="shared" si="145"/>
        <v>10</v>
      </c>
      <c r="BQ370" s="6">
        <f t="shared" si="146"/>
        <v>10</v>
      </c>
      <c r="BR370" s="6">
        <v>20</v>
      </c>
      <c r="BS370" s="6">
        <f t="shared" si="147"/>
        <v>3.5</v>
      </c>
      <c r="BT370" s="6">
        <f t="shared" si="148"/>
        <v>1.5650000000000002</v>
      </c>
      <c r="BU370" s="6">
        <f t="shared" si="149"/>
        <v>22.532499999999999</v>
      </c>
      <c r="BV370" s="18">
        <f t="shared" si="133"/>
        <v>9.0130000000000002E-2</v>
      </c>
      <c r="BW370" s="18">
        <f t="shared" si="134"/>
        <v>0.19287820000000003</v>
      </c>
    </row>
    <row r="371" spans="1:75" x14ac:dyDescent="0.25">
      <c r="A371" s="18" t="s">
        <v>6</v>
      </c>
      <c r="B371" s="18">
        <v>2024</v>
      </c>
      <c r="C371" s="18" t="s">
        <v>138</v>
      </c>
      <c r="D371" s="18" t="s">
        <v>132</v>
      </c>
      <c r="E371" s="18">
        <v>40</v>
      </c>
      <c r="F371" s="18" t="s">
        <v>153</v>
      </c>
      <c r="G371" s="18" t="s">
        <v>166</v>
      </c>
      <c r="H371" s="4">
        <f t="shared" si="155"/>
        <v>8</v>
      </c>
      <c r="I371" s="18">
        <v>8.5</v>
      </c>
      <c r="J371" s="4">
        <f t="shared" si="135"/>
        <v>0.5</v>
      </c>
      <c r="K371" s="5">
        <v>0.38</v>
      </c>
      <c r="L371" s="31">
        <f t="shared" si="136"/>
        <v>0.19</v>
      </c>
      <c r="M371" s="31">
        <v>2.14</v>
      </c>
      <c r="N371" s="31">
        <v>31.3</v>
      </c>
      <c r="O371" s="31">
        <f t="shared" si="153"/>
        <v>0.19</v>
      </c>
      <c r="P371" s="31">
        <v>12.666666666666666</v>
      </c>
      <c r="Q371" s="31">
        <v>15</v>
      </c>
      <c r="R371" s="31">
        <v>0.15</v>
      </c>
      <c r="S371" s="31">
        <v>0.13</v>
      </c>
      <c r="T371" s="65">
        <f t="shared" si="150"/>
        <v>26</v>
      </c>
      <c r="U371" s="31">
        <v>3</v>
      </c>
      <c r="V371" s="31"/>
      <c r="W371" s="31">
        <f t="shared" si="154"/>
        <v>3</v>
      </c>
      <c r="X371" s="31">
        <f>+IF(R370=0,"",(R370*1000)/W371)</f>
        <v>70</v>
      </c>
      <c r="Y371" s="31">
        <f t="shared" si="137"/>
        <v>7.0000000000000007E-2</v>
      </c>
      <c r="Z371" s="18">
        <v>0</v>
      </c>
      <c r="AA371" s="18" t="s">
        <v>100</v>
      </c>
      <c r="AB371" s="18" t="s">
        <v>122</v>
      </c>
      <c r="AC371" s="18" t="s">
        <v>337</v>
      </c>
      <c r="AD371" s="18">
        <v>15</v>
      </c>
      <c r="AE371" s="18">
        <v>12.666666666666666</v>
      </c>
      <c r="AF371" s="18" t="s">
        <v>29</v>
      </c>
      <c r="AG371" s="18"/>
      <c r="AH371" s="18"/>
      <c r="AI371" s="18" t="s">
        <v>69</v>
      </c>
      <c r="AJ371" s="18" t="s">
        <v>81</v>
      </c>
      <c r="AK371" s="18" t="s">
        <v>100</v>
      </c>
      <c r="AL371" s="18" t="s">
        <v>107</v>
      </c>
      <c r="AM371" s="18" t="s">
        <v>120</v>
      </c>
      <c r="AN371" s="18" t="s">
        <v>247</v>
      </c>
      <c r="AO371" s="18"/>
      <c r="AP371" s="18"/>
      <c r="AQ371" s="18">
        <f>+VLOOKUP(AI371,Leyenda!$B$30:$E$34,3,FALSE)</f>
        <v>0</v>
      </c>
      <c r="AR371" s="18">
        <f>+VLOOKUP('3. Blasting'!AJ371,Meteorizacion,3,FALSE)</f>
        <v>0</v>
      </c>
      <c r="AS371" s="18">
        <f>+VLOOKUP('3. Blasting'!AK371,Apertura,3,FALSE)</f>
        <v>0</v>
      </c>
      <c r="AT371" s="18">
        <f>+VLOOKUP('3. Blasting'!AL371,Leyenda!$B$55:$D$59,3,FALSE)</f>
        <v>3</v>
      </c>
      <c r="AU371" s="18">
        <f>+VLOOKUP('3. Blasting'!AM371,Relleno,3,FALSE)</f>
        <v>2</v>
      </c>
      <c r="AV371" s="18">
        <f t="shared" si="151"/>
        <v>5</v>
      </c>
      <c r="AW371" s="49">
        <f t="shared" si="138"/>
        <v>0</v>
      </c>
      <c r="AX371" s="49">
        <f>VLOOKUP(AF371,Leyenda!$B$4:$D$10,3,FALSE)</f>
        <v>2</v>
      </c>
      <c r="AY371" s="49">
        <f t="shared" si="132"/>
        <v>4</v>
      </c>
      <c r="AZ371" s="49">
        <f t="shared" si="139"/>
        <v>5</v>
      </c>
      <c r="BA371" s="49">
        <f>VLOOKUP(AN371,Leyenda!$B$70:$D$75,3,FALSE)</f>
        <v>10</v>
      </c>
      <c r="BB371" s="67">
        <f t="shared" si="140"/>
        <v>20.5</v>
      </c>
      <c r="BC371" s="67">
        <f>VLOOKUP(AF371,Leyenda!$B$4:$E$10,4,FALSE)</f>
        <v>2</v>
      </c>
      <c r="BD371" s="67">
        <f t="shared" si="141"/>
        <v>6</v>
      </c>
      <c r="BE371" s="67">
        <f t="shared" si="142"/>
        <v>6</v>
      </c>
      <c r="BF371" s="67">
        <f>+VLOOKUP('3. Blasting'!AK371,Leyenda!$B$47:$E$51,4,FALSE)</f>
        <v>0</v>
      </c>
      <c r="BG371" s="67">
        <f>+VLOOKUP('3. Blasting'!AL371,Leyenda!$B$55:$E$59,4,FALSE)</f>
        <v>3</v>
      </c>
      <c r="BH371" s="67">
        <f>+VLOOKUP('3. Blasting'!AM371,Leyenda!$B$63:$E$67,3,FALSE)</f>
        <v>2</v>
      </c>
      <c r="BI371" s="67">
        <f>+VLOOKUP('3. Blasting'!AJ371,Leyenda!$B$39:$E$43,4,FALSE)</f>
        <v>0</v>
      </c>
      <c r="BJ371" s="67">
        <f>+VLOOKUP('3. Blasting'!AI371,Leyenda!$B$30:$E$34,4,FALSE)</f>
        <v>0</v>
      </c>
      <c r="BK371" s="67">
        <f>VLOOKUP(AN371,Leyenda!$B$71:$E$75,4,FALSE)</f>
        <v>7</v>
      </c>
      <c r="BL371" s="125">
        <f t="shared" si="143"/>
        <v>26</v>
      </c>
      <c r="BM371" s="85">
        <f t="shared" si="144"/>
        <v>21</v>
      </c>
      <c r="BN371" s="18" t="e">
        <f t="shared" si="152"/>
        <v>#N/A</v>
      </c>
      <c r="BO371" s="18"/>
      <c r="BP371" s="6">
        <f t="shared" si="145"/>
        <v>10</v>
      </c>
      <c r="BQ371" s="6">
        <f t="shared" si="146"/>
        <v>10</v>
      </c>
      <c r="BR371" s="6">
        <v>20</v>
      </c>
      <c r="BS371" s="6">
        <f t="shared" si="147"/>
        <v>3.5</v>
      </c>
      <c r="BT371" s="6">
        <f t="shared" si="148"/>
        <v>1.5650000000000002</v>
      </c>
      <c r="BU371" s="6">
        <f t="shared" si="149"/>
        <v>22.532499999999999</v>
      </c>
      <c r="BV371" s="18">
        <f t="shared" si="133"/>
        <v>9.0130000000000002E-2</v>
      </c>
      <c r="BW371" s="18">
        <f t="shared" si="134"/>
        <v>0.19287820000000003</v>
      </c>
    </row>
    <row r="372" spans="1:75" x14ac:dyDescent="0.25">
      <c r="A372" s="18" t="s">
        <v>6</v>
      </c>
      <c r="B372" s="18">
        <v>2024</v>
      </c>
      <c r="C372" s="18" t="s">
        <v>138</v>
      </c>
      <c r="D372" s="18" t="s">
        <v>132</v>
      </c>
      <c r="E372" s="18">
        <v>40</v>
      </c>
      <c r="F372" s="18" t="s">
        <v>153</v>
      </c>
      <c r="G372" s="18" t="s">
        <v>166</v>
      </c>
      <c r="H372" s="4">
        <f t="shared" si="155"/>
        <v>8.5</v>
      </c>
      <c r="I372" s="18">
        <v>9</v>
      </c>
      <c r="J372" s="4">
        <f t="shared" si="135"/>
        <v>0.5</v>
      </c>
      <c r="K372" s="5">
        <v>0.36</v>
      </c>
      <c r="L372" s="31">
        <f t="shared" si="136"/>
        <v>0.18</v>
      </c>
      <c r="M372" s="31">
        <v>2.14</v>
      </c>
      <c r="N372" s="31">
        <v>31.3</v>
      </c>
      <c r="O372" s="31">
        <f t="shared" si="153"/>
        <v>0.18</v>
      </c>
      <c r="P372" s="31">
        <v>36</v>
      </c>
      <c r="Q372" s="31">
        <v>5</v>
      </c>
      <c r="R372" s="31">
        <v>0.16</v>
      </c>
      <c r="S372" s="31">
        <v>0.11</v>
      </c>
      <c r="T372" s="65">
        <f t="shared" si="150"/>
        <v>22</v>
      </c>
      <c r="U372" s="31">
        <v>3</v>
      </c>
      <c r="V372" s="31"/>
      <c r="W372" s="31">
        <f t="shared" si="154"/>
        <v>3</v>
      </c>
      <c r="X372" s="31">
        <f t="shared" si="130"/>
        <v>53.333333333333336</v>
      </c>
      <c r="Y372" s="31">
        <f t="shared" si="137"/>
        <v>5.3333333333333337E-2</v>
      </c>
      <c r="Z372" s="18">
        <v>24</v>
      </c>
      <c r="AA372" s="18" t="s">
        <v>100</v>
      </c>
      <c r="AB372" s="18" t="s">
        <v>118</v>
      </c>
      <c r="AC372" s="18" t="s">
        <v>337</v>
      </c>
      <c r="AD372" s="18">
        <v>5</v>
      </c>
      <c r="AE372" s="18">
        <v>36</v>
      </c>
      <c r="AF372" s="18" t="s">
        <v>29</v>
      </c>
      <c r="AG372" s="18"/>
      <c r="AH372" s="18"/>
      <c r="AI372" s="18" t="s">
        <v>69</v>
      </c>
      <c r="AJ372" s="18" t="s">
        <v>81</v>
      </c>
      <c r="AK372" s="18" t="s">
        <v>100</v>
      </c>
      <c r="AL372" s="18" t="s">
        <v>107</v>
      </c>
      <c r="AM372" s="18" t="s">
        <v>120</v>
      </c>
      <c r="AN372" s="18" t="s">
        <v>247</v>
      </c>
      <c r="AO372" s="18"/>
      <c r="AP372" s="18"/>
      <c r="AQ372" s="18">
        <f>+VLOOKUP(AI372,Leyenda!$B$30:$E$34,3,FALSE)</f>
        <v>0</v>
      </c>
      <c r="AR372" s="18">
        <f>+VLOOKUP('3. Blasting'!AJ372,Meteorizacion,3,FALSE)</f>
        <v>0</v>
      </c>
      <c r="AS372" s="18">
        <f>+VLOOKUP('3. Blasting'!AK372,Apertura,3,FALSE)</f>
        <v>0</v>
      </c>
      <c r="AT372" s="18">
        <f>+VLOOKUP('3. Blasting'!AL372,Leyenda!$B$55:$D$59,3,FALSE)</f>
        <v>3</v>
      </c>
      <c r="AU372" s="18">
        <f>+VLOOKUP('3. Blasting'!AM372,Relleno,3,FALSE)</f>
        <v>2</v>
      </c>
      <c r="AV372" s="18">
        <f t="shared" si="151"/>
        <v>5</v>
      </c>
      <c r="AW372" s="49">
        <f t="shared" si="138"/>
        <v>5</v>
      </c>
      <c r="AX372" s="49">
        <f>VLOOKUP(AF372,Leyenda!$B$4:$D$10,3,FALSE)</f>
        <v>2</v>
      </c>
      <c r="AY372" s="49">
        <f t="shared" si="132"/>
        <v>5</v>
      </c>
      <c r="AZ372" s="49">
        <f t="shared" si="139"/>
        <v>5</v>
      </c>
      <c r="BA372" s="49">
        <f>VLOOKUP(AN372,Leyenda!$B$70:$D$75,3,FALSE)</f>
        <v>10</v>
      </c>
      <c r="BB372" s="67">
        <f t="shared" si="140"/>
        <v>18.5</v>
      </c>
      <c r="BC372" s="67">
        <f>VLOOKUP(AF372,Leyenda!$B$4:$E$10,4,FALSE)</f>
        <v>2</v>
      </c>
      <c r="BD372" s="67">
        <f t="shared" si="141"/>
        <v>4</v>
      </c>
      <c r="BE372" s="67">
        <f t="shared" si="142"/>
        <v>5</v>
      </c>
      <c r="BF372" s="67">
        <f>+VLOOKUP('3. Blasting'!AK372,Leyenda!$B$47:$E$51,4,FALSE)</f>
        <v>0</v>
      </c>
      <c r="BG372" s="67">
        <f>+VLOOKUP('3. Blasting'!AL372,Leyenda!$B$55:$E$59,4,FALSE)</f>
        <v>3</v>
      </c>
      <c r="BH372" s="67">
        <f>+VLOOKUP('3. Blasting'!AM372,Leyenda!$B$63:$E$67,3,FALSE)</f>
        <v>2</v>
      </c>
      <c r="BI372" s="67">
        <f>+VLOOKUP('3. Blasting'!AJ372,Leyenda!$B$39:$E$43,4,FALSE)</f>
        <v>0</v>
      </c>
      <c r="BJ372" s="67">
        <f>+VLOOKUP('3. Blasting'!AI372,Leyenda!$B$30:$E$34,4,FALSE)</f>
        <v>0</v>
      </c>
      <c r="BK372" s="67">
        <f>VLOOKUP(AN372,Leyenda!$B$71:$E$75,4,FALSE)</f>
        <v>7</v>
      </c>
      <c r="BL372" s="125">
        <f t="shared" si="143"/>
        <v>23</v>
      </c>
      <c r="BM372" s="85">
        <f t="shared" si="144"/>
        <v>27</v>
      </c>
      <c r="BN372" s="18" t="e">
        <f t="shared" si="152"/>
        <v>#N/A</v>
      </c>
      <c r="BO372" s="18"/>
      <c r="BP372" s="6">
        <f t="shared" si="145"/>
        <v>10</v>
      </c>
      <c r="BQ372" s="6">
        <f t="shared" si="146"/>
        <v>10</v>
      </c>
      <c r="BR372" s="6">
        <v>20</v>
      </c>
      <c r="BS372" s="6">
        <f t="shared" si="147"/>
        <v>3.5</v>
      </c>
      <c r="BT372" s="6">
        <f t="shared" si="148"/>
        <v>1.5650000000000002</v>
      </c>
      <c r="BU372" s="6">
        <f t="shared" si="149"/>
        <v>22.532499999999999</v>
      </c>
      <c r="BV372" s="18">
        <f t="shared" si="133"/>
        <v>9.0130000000000002E-2</v>
      </c>
      <c r="BW372" s="18">
        <f t="shared" si="134"/>
        <v>0.19287820000000003</v>
      </c>
    </row>
    <row r="373" spans="1:75" x14ac:dyDescent="0.25">
      <c r="A373" s="18" t="s">
        <v>6</v>
      </c>
      <c r="B373" s="18">
        <v>2024</v>
      </c>
      <c r="C373" s="18" t="s">
        <v>138</v>
      </c>
      <c r="D373" s="18" t="s">
        <v>132</v>
      </c>
      <c r="E373" s="18">
        <v>40</v>
      </c>
      <c r="F373" s="18" t="s">
        <v>153</v>
      </c>
      <c r="G373" s="18" t="s">
        <v>166</v>
      </c>
      <c r="H373" s="4">
        <f t="shared" si="155"/>
        <v>9</v>
      </c>
      <c r="I373" s="18">
        <v>9.5</v>
      </c>
      <c r="J373" s="4">
        <f t="shared" si="135"/>
        <v>0.5</v>
      </c>
      <c r="K373" s="5">
        <v>0.4</v>
      </c>
      <c r="L373" s="31">
        <f t="shared" si="136"/>
        <v>0.2</v>
      </c>
      <c r="M373" s="31">
        <v>2.14</v>
      </c>
      <c r="N373" s="31">
        <v>31.3</v>
      </c>
      <c r="O373" s="31">
        <f t="shared" si="153"/>
        <v>0.2</v>
      </c>
      <c r="P373" s="31">
        <v>10</v>
      </c>
      <c r="Q373" s="31">
        <v>20</v>
      </c>
      <c r="R373" s="31">
        <v>0.18</v>
      </c>
      <c r="S373" s="31">
        <v>0</v>
      </c>
      <c r="T373" s="65">
        <f t="shared" si="150"/>
        <v>0</v>
      </c>
      <c r="U373" s="31">
        <v>5</v>
      </c>
      <c r="V373" s="31"/>
      <c r="W373" s="31">
        <f t="shared" si="154"/>
        <v>5</v>
      </c>
      <c r="X373" s="31">
        <f t="shared" si="130"/>
        <v>36</v>
      </c>
      <c r="Y373" s="31">
        <f t="shared" si="137"/>
        <v>3.5999999999999997E-2</v>
      </c>
      <c r="Z373" s="18">
        <v>0</v>
      </c>
      <c r="AA373" s="18" t="s">
        <v>100</v>
      </c>
      <c r="AB373" s="18" t="s">
        <v>333</v>
      </c>
      <c r="AC373" s="18" t="s">
        <v>336</v>
      </c>
      <c r="AD373" s="18">
        <v>20</v>
      </c>
      <c r="AE373" s="18">
        <v>10</v>
      </c>
      <c r="AF373" s="18" t="s">
        <v>32</v>
      </c>
      <c r="AG373" s="18"/>
      <c r="AH373" s="18"/>
      <c r="AI373" s="18" t="s">
        <v>69</v>
      </c>
      <c r="AJ373" s="18" t="s">
        <v>81</v>
      </c>
      <c r="AK373" s="18" t="s">
        <v>100</v>
      </c>
      <c r="AL373" s="18" t="s">
        <v>107</v>
      </c>
      <c r="AM373" s="18" t="s">
        <v>120</v>
      </c>
      <c r="AN373" s="18" t="s">
        <v>247</v>
      </c>
      <c r="AO373" s="18"/>
      <c r="AP373" s="18"/>
      <c r="AQ373" s="18">
        <f>+VLOOKUP(AI373,Leyenda!$B$30:$E$34,3,FALSE)</f>
        <v>0</v>
      </c>
      <c r="AR373" s="18">
        <f>+VLOOKUP('3. Blasting'!AJ373,Meteorizacion,3,FALSE)</f>
        <v>0</v>
      </c>
      <c r="AS373" s="18">
        <f>+VLOOKUP('3. Blasting'!AK373,Apertura,3,FALSE)</f>
        <v>0</v>
      </c>
      <c r="AT373" s="18">
        <f>+VLOOKUP('3. Blasting'!AL373,Leyenda!$B$55:$D$59,3,FALSE)</f>
        <v>3</v>
      </c>
      <c r="AU373" s="18">
        <f>+VLOOKUP('3. Blasting'!AM373,Relleno,3,FALSE)</f>
        <v>2</v>
      </c>
      <c r="AV373" s="18">
        <f t="shared" si="151"/>
        <v>5</v>
      </c>
      <c r="AW373" s="49">
        <f t="shared" si="138"/>
        <v>0</v>
      </c>
      <c r="AX373" s="49">
        <f>VLOOKUP(AF373,Leyenda!$B$4:$D$10,3,FALSE)</f>
        <v>1</v>
      </c>
      <c r="AY373" s="49">
        <f t="shared" si="132"/>
        <v>3</v>
      </c>
      <c r="AZ373" s="49">
        <f t="shared" si="139"/>
        <v>5</v>
      </c>
      <c r="BA373" s="49">
        <f>VLOOKUP(AN373,Leyenda!$B$70:$D$75,3,FALSE)</f>
        <v>10</v>
      </c>
      <c r="BB373" s="67">
        <f t="shared" si="140"/>
        <v>7.5</v>
      </c>
      <c r="BC373" s="67">
        <f>VLOOKUP(AF373,Leyenda!$B$4:$E$10,4,FALSE)</f>
        <v>1</v>
      </c>
      <c r="BD373" s="67">
        <f t="shared" si="141"/>
        <v>5</v>
      </c>
      <c r="BE373" s="67">
        <f t="shared" si="142"/>
        <v>0</v>
      </c>
      <c r="BF373" s="67">
        <f>+VLOOKUP('3. Blasting'!AK373,Leyenda!$B$47:$E$51,4,FALSE)</f>
        <v>0</v>
      </c>
      <c r="BG373" s="67">
        <f>+VLOOKUP('3. Blasting'!AL373,Leyenda!$B$55:$E$59,4,FALSE)</f>
        <v>3</v>
      </c>
      <c r="BH373" s="67">
        <f>+VLOOKUP('3. Blasting'!AM373,Leyenda!$B$63:$E$67,3,FALSE)</f>
        <v>2</v>
      </c>
      <c r="BI373" s="67">
        <f>+VLOOKUP('3. Blasting'!AJ373,Leyenda!$B$39:$E$43,4,FALSE)</f>
        <v>0</v>
      </c>
      <c r="BJ373" s="67">
        <f>+VLOOKUP('3. Blasting'!AI373,Leyenda!$B$30:$E$34,4,FALSE)</f>
        <v>0</v>
      </c>
      <c r="BK373" s="67">
        <f>VLOOKUP(AN373,Leyenda!$B$71:$E$75,4,FALSE)</f>
        <v>7</v>
      </c>
      <c r="BL373" s="125">
        <f t="shared" si="143"/>
        <v>18</v>
      </c>
      <c r="BM373" s="85">
        <f t="shared" si="144"/>
        <v>19</v>
      </c>
      <c r="BN373" s="18" t="e">
        <f t="shared" si="152"/>
        <v>#N/A</v>
      </c>
      <c r="BO373" s="18"/>
      <c r="BP373" s="6">
        <f t="shared" si="145"/>
        <v>10</v>
      </c>
      <c r="BQ373" s="6">
        <f t="shared" si="146"/>
        <v>10</v>
      </c>
      <c r="BR373" s="6">
        <v>20</v>
      </c>
      <c r="BS373" s="6">
        <f t="shared" si="147"/>
        <v>3.5</v>
      </c>
      <c r="BT373" s="6">
        <f t="shared" si="148"/>
        <v>1.5650000000000002</v>
      </c>
      <c r="BU373" s="6">
        <f t="shared" si="149"/>
        <v>22.532499999999999</v>
      </c>
      <c r="BV373" s="18">
        <f t="shared" si="133"/>
        <v>9.0130000000000002E-2</v>
      </c>
      <c r="BW373" s="18">
        <f t="shared" si="134"/>
        <v>0.19287820000000003</v>
      </c>
    </row>
    <row r="374" spans="1:75" x14ac:dyDescent="0.25">
      <c r="A374" s="18" t="s">
        <v>6</v>
      </c>
      <c r="B374" s="18">
        <v>2024</v>
      </c>
      <c r="C374" s="18" t="s">
        <v>138</v>
      </c>
      <c r="D374" s="18" t="s">
        <v>132</v>
      </c>
      <c r="E374" s="18">
        <v>40</v>
      </c>
      <c r="F374" s="18" t="s">
        <v>153</v>
      </c>
      <c r="G374" s="18" t="s">
        <v>166</v>
      </c>
      <c r="H374" s="4">
        <v>9.5</v>
      </c>
      <c r="I374" s="18">
        <v>10</v>
      </c>
      <c r="J374" s="4">
        <f t="shared" si="135"/>
        <v>0.5</v>
      </c>
      <c r="K374" s="5">
        <v>0.42</v>
      </c>
      <c r="L374" s="31">
        <f t="shared" si="136"/>
        <v>0.21</v>
      </c>
      <c r="M374" s="31">
        <v>2.14</v>
      </c>
      <c r="N374" s="31">
        <v>31.3</v>
      </c>
      <c r="O374" s="31">
        <f t="shared" si="153"/>
        <v>0.21</v>
      </c>
      <c r="P374" s="31">
        <v>210</v>
      </c>
      <c r="Q374" s="31">
        <v>1</v>
      </c>
      <c r="R374" s="31">
        <v>0.19</v>
      </c>
      <c r="S374" s="31">
        <v>0.11</v>
      </c>
      <c r="T374" s="65">
        <f t="shared" si="150"/>
        <v>22</v>
      </c>
      <c r="U374" s="31">
        <v>3</v>
      </c>
      <c r="V374" s="31"/>
      <c r="W374" s="31">
        <f t="shared" si="154"/>
        <v>3</v>
      </c>
      <c r="X374" s="31">
        <f t="shared" si="130"/>
        <v>63.333333333333336</v>
      </c>
      <c r="Y374" s="31">
        <f t="shared" si="137"/>
        <v>6.3333333333333339E-2</v>
      </c>
      <c r="Z374" s="18">
        <v>24</v>
      </c>
      <c r="AA374" s="18" t="s">
        <v>96</v>
      </c>
      <c r="AB374" s="18" t="s">
        <v>116</v>
      </c>
      <c r="AC374" s="18" t="s">
        <v>337</v>
      </c>
      <c r="AD374" s="18">
        <v>1</v>
      </c>
      <c r="AE374" s="18">
        <v>210</v>
      </c>
      <c r="AF374" s="18" t="s">
        <v>29</v>
      </c>
      <c r="AG374" s="18"/>
      <c r="AH374" s="18"/>
      <c r="AI374" s="18" t="s">
        <v>69</v>
      </c>
      <c r="AJ374" s="18" t="s">
        <v>81</v>
      </c>
      <c r="AK374" s="18" t="s">
        <v>100</v>
      </c>
      <c r="AL374" s="18" t="s">
        <v>107</v>
      </c>
      <c r="AM374" s="18" t="s">
        <v>120</v>
      </c>
      <c r="AN374" s="18" t="s">
        <v>247</v>
      </c>
      <c r="AO374" s="18"/>
      <c r="AP374" s="18"/>
      <c r="AQ374" s="18">
        <f>+VLOOKUP(AI374,Leyenda!$B$30:$E$34,3,FALSE)</f>
        <v>0</v>
      </c>
      <c r="AR374" s="18">
        <f>+VLOOKUP('3. Blasting'!AJ374,Meteorizacion,3,FALSE)</f>
        <v>0</v>
      </c>
      <c r="AS374" s="18">
        <f>+VLOOKUP('3. Blasting'!AK374,Apertura,3,FALSE)</f>
        <v>0</v>
      </c>
      <c r="AT374" s="18">
        <f>+VLOOKUP('3. Blasting'!AL374,Leyenda!$B$55:$D$59,3,FALSE)</f>
        <v>3</v>
      </c>
      <c r="AU374" s="18">
        <f>+VLOOKUP('3. Blasting'!AM374,Relleno,3,FALSE)</f>
        <v>2</v>
      </c>
      <c r="AV374" s="18">
        <f t="shared" si="151"/>
        <v>5</v>
      </c>
      <c r="AW374" s="49">
        <f t="shared" si="138"/>
        <v>5</v>
      </c>
      <c r="AX374" s="49">
        <f>VLOOKUP(AF374,Leyenda!$B$4:$D$10,3,FALSE)</f>
        <v>2</v>
      </c>
      <c r="AY374" s="49">
        <f t="shared" si="132"/>
        <v>9</v>
      </c>
      <c r="AZ374" s="49">
        <f t="shared" si="139"/>
        <v>5</v>
      </c>
      <c r="BA374" s="49">
        <f>VLOOKUP(AN374,Leyenda!$B$70:$D$75,3,FALSE)</f>
        <v>10</v>
      </c>
      <c r="BB374" s="67">
        <f t="shared" si="140"/>
        <v>18.5</v>
      </c>
      <c r="BC374" s="67">
        <f>VLOOKUP(AF374,Leyenda!$B$4:$E$10,4,FALSE)</f>
        <v>2</v>
      </c>
      <c r="BD374" s="67">
        <f t="shared" si="141"/>
        <v>5</v>
      </c>
      <c r="BE374" s="67">
        <f t="shared" si="142"/>
        <v>5</v>
      </c>
      <c r="BF374" s="67">
        <f>+VLOOKUP('3. Blasting'!AK374,Leyenda!$B$47:$E$51,4,FALSE)</f>
        <v>0</v>
      </c>
      <c r="BG374" s="67">
        <f>+VLOOKUP('3. Blasting'!AL374,Leyenda!$B$55:$E$59,4,FALSE)</f>
        <v>3</v>
      </c>
      <c r="BH374" s="67">
        <f>+VLOOKUP('3. Blasting'!AM374,Leyenda!$B$63:$E$67,3,FALSE)</f>
        <v>2</v>
      </c>
      <c r="BI374" s="67">
        <f>+VLOOKUP('3. Blasting'!AJ374,Leyenda!$B$39:$E$43,4,FALSE)</f>
        <v>0</v>
      </c>
      <c r="BJ374" s="67">
        <f>+VLOOKUP('3. Blasting'!AI374,Leyenda!$B$30:$E$34,4,FALSE)</f>
        <v>0</v>
      </c>
      <c r="BK374" s="67">
        <f>VLOOKUP(AN374,Leyenda!$B$71:$E$75,4,FALSE)</f>
        <v>7</v>
      </c>
      <c r="BL374" s="125">
        <f t="shared" si="143"/>
        <v>24</v>
      </c>
      <c r="BM374" s="85">
        <f t="shared" si="144"/>
        <v>31</v>
      </c>
      <c r="BN374" s="18" t="e">
        <f t="shared" si="152"/>
        <v>#N/A</v>
      </c>
      <c r="BO374" s="18"/>
      <c r="BP374" s="6">
        <f t="shared" si="145"/>
        <v>10</v>
      </c>
      <c r="BQ374" s="6">
        <f t="shared" si="146"/>
        <v>10</v>
      </c>
      <c r="BR374" s="6">
        <v>20</v>
      </c>
      <c r="BS374" s="6">
        <f t="shared" si="147"/>
        <v>3.5</v>
      </c>
      <c r="BT374" s="6">
        <f t="shared" si="148"/>
        <v>1.5650000000000002</v>
      </c>
      <c r="BU374" s="6">
        <f t="shared" si="149"/>
        <v>22.532499999999999</v>
      </c>
      <c r="BV374" s="18">
        <f t="shared" si="133"/>
        <v>9.0130000000000002E-2</v>
      </c>
      <c r="BW374" s="18">
        <f t="shared" si="134"/>
        <v>0.19287820000000003</v>
      </c>
    </row>
    <row r="375" spans="1:75" x14ac:dyDescent="0.25">
      <c r="A375" s="18" t="s">
        <v>6</v>
      </c>
      <c r="B375" s="18">
        <v>2024</v>
      </c>
      <c r="C375" s="18" t="s">
        <v>138</v>
      </c>
      <c r="D375" s="18" t="s">
        <v>132</v>
      </c>
      <c r="E375" s="18">
        <v>40</v>
      </c>
      <c r="F375" s="18" t="s">
        <v>153</v>
      </c>
      <c r="G375" s="18" t="s">
        <v>166</v>
      </c>
      <c r="H375" s="4">
        <f t="shared" si="155"/>
        <v>10</v>
      </c>
      <c r="I375" s="18">
        <v>10.5</v>
      </c>
      <c r="J375" s="4">
        <f t="shared" si="135"/>
        <v>0.5</v>
      </c>
      <c r="K375" s="5">
        <v>0.48</v>
      </c>
      <c r="L375" s="31">
        <f t="shared" si="136"/>
        <v>0.24</v>
      </c>
      <c r="M375" s="31">
        <v>2.14</v>
      </c>
      <c r="N375" s="31">
        <v>31.3</v>
      </c>
      <c r="O375" s="31">
        <f t="shared" si="153"/>
        <v>0.24</v>
      </c>
      <c r="P375" s="31">
        <v>12</v>
      </c>
      <c r="Q375" s="31">
        <v>20</v>
      </c>
      <c r="R375" s="31">
        <v>0.19</v>
      </c>
      <c r="S375" s="31">
        <v>0.11</v>
      </c>
      <c r="T375" s="65">
        <f t="shared" si="150"/>
        <v>22</v>
      </c>
      <c r="U375" s="31">
        <v>3</v>
      </c>
      <c r="V375" s="31"/>
      <c r="W375" s="31">
        <f t="shared" si="154"/>
        <v>3</v>
      </c>
      <c r="X375" s="31">
        <f t="shared" si="130"/>
        <v>63.333333333333336</v>
      </c>
      <c r="Y375" s="31">
        <f t="shared" si="137"/>
        <v>6.3333333333333339E-2</v>
      </c>
      <c r="Z375" s="18">
        <v>0</v>
      </c>
      <c r="AA375" s="18" t="s">
        <v>100</v>
      </c>
      <c r="AB375" s="18" t="s">
        <v>333</v>
      </c>
      <c r="AC375" s="18" t="s">
        <v>336</v>
      </c>
      <c r="AD375" s="18">
        <v>20</v>
      </c>
      <c r="AE375" s="18">
        <v>12</v>
      </c>
      <c r="AF375" s="18" t="s">
        <v>32</v>
      </c>
      <c r="AG375" s="18"/>
      <c r="AH375" s="18"/>
      <c r="AI375" s="18" t="s">
        <v>69</v>
      </c>
      <c r="AJ375" s="18" t="s">
        <v>81</v>
      </c>
      <c r="AK375" s="18" t="s">
        <v>100</v>
      </c>
      <c r="AL375" s="18" t="s">
        <v>107</v>
      </c>
      <c r="AM375" s="18" t="s">
        <v>120</v>
      </c>
      <c r="AN375" s="18" t="s">
        <v>247</v>
      </c>
      <c r="AO375" s="18"/>
      <c r="AP375" s="18"/>
      <c r="AQ375" s="18">
        <f>+VLOOKUP(AI375,Leyenda!$B$30:$E$34,3,FALSE)</f>
        <v>0</v>
      </c>
      <c r="AR375" s="18">
        <f>+VLOOKUP('3. Blasting'!AJ375,Meteorizacion,3,FALSE)</f>
        <v>0</v>
      </c>
      <c r="AS375" s="18">
        <f>+VLOOKUP('3. Blasting'!AK375,Apertura,3,FALSE)</f>
        <v>0</v>
      </c>
      <c r="AT375" s="18">
        <f>+VLOOKUP('3. Blasting'!AL375,Leyenda!$B$55:$D$59,3,FALSE)</f>
        <v>3</v>
      </c>
      <c r="AU375" s="18">
        <f>+VLOOKUP('3. Blasting'!AM375,Relleno,3,FALSE)</f>
        <v>2</v>
      </c>
      <c r="AV375" s="18">
        <f t="shared" si="151"/>
        <v>5</v>
      </c>
      <c r="AW375" s="49">
        <f t="shared" si="138"/>
        <v>0</v>
      </c>
      <c r="AX375" s="49">
        <f>VLOOKUP(AF375,Leyenda!$B$4:$D$10,3,FALSE)</f>
        <v>1</v>
      </c>
      <c r="AY375" s="49">
        <f t="shared" si="132"/>
        <v>4</v>
      </c>
      <c r="AZ375" s="49">
        <f t="shared" si="139"/>
        <v>5</v>
      </c>
      <c r="BA375" s="49">
        <f>VLOOKUP(AN375,Leyenda!$B$70:$D$75,3,FALSE)</f>
        <v>10</v>
      </c>
      <c r="BB375" s="67">
        <f t="shared" si="140"/>
        <v>18.5</v>
      </c>
      <c r="BC375" s="67">
        <f>VLOOKUP(AF375,Leyenda!$B$4:$E$10,4,FALSE)</f>
        <v>1</v>
      </c>
      <c r="BD375" s="67">
        <f t="shared" si="141"/>
        <v>5</v>
      </c>
      <c r="BE375" s="67">
        <f t="shared" si="142"/>
        <v>5</v>
      </c>
      <c r="BF375" s="67">
        <f>+VLOOKUP('3. Blasting'!AK375,Leyenda!$B$47:$E$51,4,FALSE)</f>
        <v>0</v>
      </c>
      <c r="BG375" s="67">
        <f>+VLOOKUP('3. Blasting'!AL375,Leyenda!$B$55:$E$59,4,FALSE)</f>
        <v>3</v>
      </c>
      <c r="BH375" s="67">
        <f>+VLOOKUP('3. Blasting'!AM375,Leyenda!$B$63:$E$67,3,FALSE)</f>
        <v>2</v>
      </c>
      <c r="BI375" s="67">
        <f>+VLOOKUP('3. Blasting'!AJ375,Leyenda!$B$39:$E$43,4,FALSE)</f>
        <v>0</v>
      </c>
      <c r="BJ375" s="67">
        <f>+VLOOKUP('3. Blasting'!AI375,Leyenda!$B$30:$E$34,4,FALSE)</f>
        <v>0</v>
      </c>
      <c r="BK375" s="67">
        <f>VLOOKUP(AN375,Leyenda!$B$71:$E$75,4,FALSE)</f>
        <v>7</v>
      </c>
      <c r="BL375" s="125">
        <f t="shared" si="143"/>
        <v>23</v>
      </c>
      <c r="BM375" s="85">
        <f t="shared" si="144"/>
        <v>20</v>
      </c>
      <c r="BN375" s="18" t="e">
        <f t="shared" si="152"/>
        <v>#N/A</v>
      </c>
      <c r="BO375" s="18"/>
      <c r="BP375" s="6">
        <f t="shared" si="145"/>
        <v>10</v>
      </c>
      <c r="BQ375" s="6">
        <f t="shared" si="146"/>
        <v>10</v>
      </c>
      <c r="BR375" s="6">
        <v>20</v>
      </c>
      <c r="BS375" s="6">
        <f t="shared" si="147"/>
        <v>3.5</v>
      </c>
      <c r="BT375" s="6">
        <f t="shared" si="148"/>
        <v>1.5650000000000002</v>
      </c>
      <c r="BU375" s="6">
        <f t="shared" si="149"/>
        <v>22.532499999999999</v>
      </c>
      <c r="BV375" s="18">
        <f t="shared" si="133"/>
        <v>9.0130000000000002E-2</v>
      </c>
      <c r="BW375" s="18">
        <f t="shared" si="134"/>
        <v>0.19287820000000003</v>
      </c>
    </row>
    <row r="376" spans="1:75" x14ac:dyDescent="0.25">
      <c r="A376" s="18" t="s">
        <v>6</v>
      </c>
      <c r="B376" s="18">
        <v>2024</v>
      </c>
      <c r="C376" s="18" t="s">
        <v>138</v>
      </c>
      <c r="D376" s="18" t="s">
        <v>132</v>
      </c>
      <c r="E376" s="18">
        <v>40</v>
      </c>
      <c r="F376" s="18" t="s">
        <v>153</v>
      </c>
      <c r="G376" s="18" t="s">
        <v>166</v>
      </c>
      <c r="H376" s="4">
        <f t="shared" si="155"/>
        <v>10.5</v>
      </c>
      <c r="I376" s="18">
        <v>11</v>
      </c>
      <c r="J376" s="4">
        <f t="shared" si="135"/>
        <v>0.5</v>
      </c>
      <c r="K376" s="5">
        <v>0.4</v>
      </c>
      <c r="L376" s="31">
        <f t="shared" si="136"/>
        <v>0.2</v>
      </c>
      <c r="M376" s="31">
        <v>2.14</v>
      </c>
      <c r="N376" s="31">
        <v>31.3</v>
      </c>
      <c r="O376" s="31">
        <f t="shared" si="153"/>
        <v>0.2</v>
      </c>
      <c r="P376" s="31">
        <v>10</v>
      </c>
      <c r="Q376" s="31">
        <v>20</v>
      </c>
      <c r="R376" s="31">
        <v>0.15</v>
      </c>
      <c r="S376" s="31">
        <v>0</v>
      </c>
      <c r="T376" s="65">
        <f t="shared" si="150"/>
        <v>0</v>
      </c>
      <c r="U376" s="31">
        <v>4</v>
      </c>
      <c r="V376" s="31"/>
      <c r="W376" s="31">
        <f t="shared" si="154"/>
        <v>4</v>
      </c>
      <c r="X376" s="31">
        <f t="shared" si="130"/>
        <v>37.5</v>
      </c>
      <c r="Y376" s="31">
        <f t="shared" si="137"/>
        <v>3.7499999999999999E-2</v>
      </c>
      <c r="Z376" s="18">
        <v>0</v>
      </c>
      <c r="AA376" s="18" t="s">
        <v>100</v>
      </c>
      <c r="AB376" s="18" t="s">
        <v>333</v>
      </c>
      <c r="AC376" s="18" t="s">
        <v>336</v>
      </c>
      <c r="AD376" s="18">
        <v>20</v>
      </c>
      <c r="AE376" s="18">
        <v>10</v>
      </c>
      <c r="AF376" s="18" t="s">
        <v>32</v>
      </c>
      <c r="AG376" s="18"/>
      <c r="AH376" s="18"/>
      <c r="AI376" s="18" t="s">
        <v>69</v>
      </c>
      <c r="AJ376" s="18" t="s">
        <v>81</v>
      </c>
      <c r="AK376" s="18" t="s">
        <v>100</v>
      </c>
      <c r="AL376" s="18" t="s">
        <v>107</v>
      </c>
      <c r="AM376" s="18" t="s">
        <v>120</v>
      </c>
      <c r="AN376" s="18" t="s">
        <v>247</v>
      </c>
      <c r="AO376" s="18"/>
      <c r="AP376" s="18"/>
      <c r="AQ376" s="18">
        <f>+VLOOKUP(AI376,Leyenda!$B$30:$E$34,3,FALSE)</f>
        <v>0</v>
      </c>
      <c r="AR376" s="18">
        <f>+VLOOKUP('3. Blasting'!AJ376,Meteorizacion,3,FALSE)</f>
        <v>0</v>
      </c>
      <c r="AS376" s="18">
        <f>+VLOOKUP('3. Blasting'!AK376,Apertura,3,FALSE)</f>
        <v>0</v>
      </c>
      <c r="AT376" s="18">
        <f>+VLOOKUP('3. Blasting'!AL376,Leyenda!$B$55:$D$59,3,FALSE)</f>
        <v>3</v>
      </c>
      <c r="AU376" s="18">
        <f>+VLOOKUP('3. Blasting'!AM376,Relleno,3,FALSE)</f>
        <v>2</v>
      </c>
      <c r="AV376" s="18">
        <f t="shared" si="151"/>
        <v>5</v>
      </c>
      <c r="AW376" s="49">
        <f t="shared" si="138"/>
        <v>0</v>
      </c>
      <c r="AX376" s="49">
        <f>VLOOKUP(AF376,Leyenda!$B$4:$D$10,3,FALSE)</f>
        <v>1</v>
      </c>
      <c r="AY376" s="49">
        <f t="shared" si="132"/>
        <v>3</v>
      </c>
      <c r="AZ376" s="49">
        <f t="shared" si="139"/>
        <v>5</v>
      </c>
      <c r="BA376" s="49">
        <f>VLOOKUP(AN376,Leyenda!$B$70:$D$75,3,FALSE)</f>
        <v>10</v>
      </c>
      <c r="BB376" s="67">
        <f t="shared" si="140"/>
        <v>7.5</v>
      </c>
      <c r="BC376" s="67">
        <f>VLOOKUP(AF376,Leyenda!$B$4:$E$10,4,FALSE)</f>
        <v>1</v>
      </c>
      <c r="BD376" s="67">
        <f t="shared" si="141"/>
        <v>5</v>
      </c>
      <c r="BE376" s="67">
        <f t="shared" si="142"/>
        <v>0</v>
      </c>
      <c r="BF376" s="67">
        <f>+VLOOKUP('3. Blasting'!AK376,Leyenda!$B$47:$E$51,4,FALSE)</f>
        <v>0</v>
      </c>
      <c r="BG376" s="67">
        <f>+VLOOKUP('3. Blasting'!AL376,Leyenda!$B$55:$E$59,4,FALSE)</f>
        <v>3</v>
      </c>
      <c r="BH376" s="67">
        <f>+VLOOKUP('3. Blasting'!AM376,Leyenda!$B$63:$E$67,3,FALSE)</f>
        <v>2</v>
      </c>
      <c r="BI376" s="67">
        <f>+VLOOKUP('3. Blasting'!AJ376,Leyenda!$B$39:$E$43,4,FALSE)</f>
        <v>0</v>
      </c>
      <c r="BJ376" s="67">
        <f>+VLOOKUP('3. Blasting'!AI376,Leyenda!$B$30:$E$34,4,FALSE)</f>
        <v>0</v>
      </c>
      <c r="BK376" s="67">
        <f>VLOOKUP(AN376,Leyenda!$B$71:$E$75,4,FALSE)</f>
        <v>7</v>
      </c>
      <c r="BL376" s="125">
        <f t="shared" si="143"/>
        <v>18</v>
      </c>
      <c r="BM376" s="85">
        <f t="shared" si="144"/>
        <v>19</v>
      </c>
      <c r="BN376" s="18" t="e">
        <f t="shared" si="152"/>
        <v>#N/A</v>
      </c>
      <c r="BO376" s="18"/>
      <c r="BP376" s="6">
        <f t="shared" si="145"/>
        <v>10</v>
      </c>
      <c r="BQ376" s="6">
        <f t="shared" si="146"/>
        <v>10</v>
      </c>
      <c r="BR376" s="6">
        <v>20</v>
      </c>
      <c r="BS376" s="6">
        <f t="shared" si="147"/>
        <v>3.5</v>
      </c>
      <c r="BT376" s="6">
        <f t="shared" si="148"/>
        <v>1.5650000000000002</v>
      </c>
      <c r="BU376" s="6">
        <f t="shared" si="149"/>
        <v>22.532499999999999</v>
      </c>
      <c r="BV376" s="18">
        <f t="shared" si="133"/>
        <v>9.0130000000000002E-2</v>
      </c>
      <c r="BW376" s="18">
        <f t="shared" si="134"/>
        <v>0.19287820000000003</v>
      </c>
    </row>
    <row r="377" spans="1:75" x14ac:dyDescent="0.25">
      <c r="A377" s="18" t="s">
        <v>6</v>
      </c>
      <c r="B377" s="18">
        <v>2024</v>
      </c>
      <c r="C377" s="18" t="s">
        <v>138</v>
      </c>
      <c r="D377" s="18" t="s">
        <v>132</v>
      </c>
      <c r="E377" s="18">
        <v>40</v>
      </c>
      <c r="F377" s="18" t="s">
        <v>153</v>
      </c>
      <c r="G377" s="18" t="s">
        <v>166</v>
      </c>
      <c r="H377" s="4">
        <f t="shared" si="155"/>
        <v>11</v>
      </c>
      <c r="I377" s="18">
        <v>11.5</v>
      </c>
      <c r="J377" s="4">
        <f t="shared" si="135"/>
        <v>0.5</v>
      </c>
      <c r="K377" s="5">
        <v>0.54</v>
      </c>
      <c r="L377" s="31">
        <f t="shared" si="136"/>
        <v>0.27</v>
      </c>
      <c r="M377" s="31">
        <v>2.14</v>
      </c>
      <c r="N377" s="31">
        <v>31.3</v>
      </c>
      <c r="O377" s="31">
        <f t="shared" si="153"/>
        <v>0.27</v>
      </c>
      <c r="P377" s="31">
        <v>270</v>
      </c>
      <c r="Q377" s="31">
        <v>1</v>
      </c>
      <c r="R377" s="31">
        <v>0.18</v>
      </c>
      <c r="S377" s="31">
        <v>0.13</v>
      </c>
      <c r="T377" s="65">
        <f t="shared" si="150"/>
        <v>26</v>
      </c>
      <c r="U377" s="31">
        <v>2</v>
      </c>
      <c r="V377" s="31"/>
      <c r="W377" s="31">
        <f t="shared" si="154"/>
        <v>2</v>
      </c>
      <c r="X377" s="31">
        <f t="shared" si="130"/>
        <v>90</v>
      </c>
      <c r="Y377" s="31">
        <f t="shared" si="137"/>
        <v>0.09</v>
      </c>
      <c r="Z377" s="18">
        <v>26</v>
      </c>
      <c r="AA377" s="18" t="s">
        <v>100</v>
      </c>
      <c r="AB377" s="18" t="s">
        <v>116</v>
      </c>
      <c r="AC377" s="18" t="s">
        <v>337</v>
      </c>
      <c r="AD377" s="18">
        <v>1</v>
      </c>
      <c r="AE377" s="18">
        <v>270</v>
      </c>
      <c r="AF377" s="18" t="s">
        <v>29</v>
      </c>
      <c r="AG377" s="18"/>
      <c r="AH377" s="18"/>
      <c r="AI377" s="18" t="s">
        <v>69</v>
      </c>
      <c r="AJ377" s="18" t="s">
        <v>81</v>
      </c>
      <c r="AK377" s="18" t="s">
        <v>100</v>
      </c>
      <c r="AL377" s="18" t="s">
        <v>107</v>
      </c>
      <c r="AM377" s="18" t="s">
        <v>120</v>
      </c>
      <c r="AN377" s="18" t="s">
        <v>247</v>
      </c>
      <c r="AO377" s="18"/>
      <c r="AP377" s="18"/>
      <c r="AQ377" s="18">
        <f>+VLOOKUP(AI377,Leyenda!$B$30:$E$34,3,FALSE)</f>
        <v>0</v>
      </c>
      <c r="AR377" s="18">
        <f>+VLOOKUP('3. Blasting'!AJ377,Meteorizacion,3,FALSE)</f>
        <v>0</v>
      </c>
      <c r="AS377" s="18">
        <f>+VLOOKUP('3. Blasting'!AK377,Apertura,3,FALSE)</f>
        <v>0</v>
      </c>
      <c r="AT377" s="18">
        <f>+VLOOKUP('3. Blasting'!AL377,Leyenda!$B$55:$D$59,3,FALSE)</f>
        <v>3</v>
      </c>
      <c r="AU377" s="18">
        <f>+VLOOKUP('3. Blasting'!AM377,Relleno,3,FALSE)</f>
        <v>2</v>
      </c>
      <c r="AV377" s="18">
        <f t="shared" si="151"/>
        <v>5</v>
      </c>
      <c r="AW377" s="49">
        <f t="shared" si="138"/>
        <v>6</v>
      </c>
      <c r="AX377" s="49">
        <f>VLOOKUP(AF377,Leyenda!$B$4:$D$10,3,FALSE)</f>
        <v>2</v>
      </c>
      <c r="AY377" s="49">
        <f t="shared" si="132"/>
        <v>10</v>
      </c>
      <c r="AZ377" s="49">
        <f t="shared" si="139"/>
        <v>5</v>
      </c>
      <c r="BA377" s="49">
        <f>VLOOKUP(AN377,Leyenda!$B$70:$D$75,3,FALSE)</f>
        <v>10</v>
      </c>
      <c r="BB377" s="67">
        <f t="shared" si="140"/>
        <v>20.5</v>
      </c>
      <c r="BC377" s="67">
        <f>VLOOKUP(AF377,Leyenda!$B$4:$E$10,4,FALSE)</f>
        <v>2</v>
      </c>
      <c r="BD377" s="67">
        <f t="shared" si="141"/>
        <v>8</v>
      </c>
      <c r="BE377" s="67">
        <f t="shared" si="142"/>
        <v>6</v>
      </c>
      <c r="BF377" s="67">
        <f>+VLOOKUP('3. Blasting'!AK377,Leyenda!$B$47:$E$51,4,FALSE)</f>
        <v>0</v>
      </c>
      <c r="BG377" s="67">
        <f>+VLOOKUP('3. Blasting'!AL377,Leyenda!$B$55:$E$59,4,FALSE)</f>
        <v>3</v>
      </c>
      <c r="BH377" s="67">
        <f>+VLOOKUP('3. Blasting'!AM377,Leyenda!$B$63:$E$67,3,FALSE)</f>
        <v>2</v>
      </c>
      <c r="BI377" s="67">
        <f>+VLOOKUP('3. Blasting'!AJ377,Leyenda!$B$39:$E$43,4,FALSE)</f>
        <v>0</v>
      </c>
      <c r="BJ377" s="67">
        <f>+VLOOKUP('3. Blasting'!AI377,Leyenda!$B$30:$E$34,4,FALSE)</f>
        <v>0</v>
      </c>
      <c r="BK377" s="67">
        <f>VLOOKUP(AN377,Leyenda!$B$71:$E$75,4,FALSE)</f>
        <v>7</v>
      </c>
      <c r="BL377" s="125">
        <f t="shared" si="143"/>
        <v>28</v>
      </c>
      <c r="BM377" s="85">
        <f t="shared" si="144"/>
        <v>33</v>
      </c>
      <c r="BN377" s="18" t="e">
        <f t="shared" si="152"/>
        <v>#N/A</v>
      </c>
      <c r="BO377" s="18"/>
      <c r="BP377" s="6">
        <f t="shared" si="145"/>
        <v>10</v>
      </c>
      <c r="BQ377" s="6">
        <f t="shared" si="146"/>
        <v>10</v>
      </c>
      <c r="BR377" s="6">
        <v>20</v>
      </c>
      <c r="BS377" s="6">
        <f t="shared" si="147"/>
        <v>3.5</v>
      </c>
      <c r="BT377" s="6">
        <f t="shared" si="148"/>
        <v>1.5650000000000002</v>
      </c>
      <c r="BU377" s="6">
        <f t="shared" si="149"/>
        <v>22.532499999999999</v>
      </c>
      <c r="BV377" s="18">
        <f t="shared" si="133"/>
        <v>9.0130000000000002E-2</v>
      </c>
      <c r="BW377" s="18">
        <f t="shared" si="134"/>
        <v>0.19287820000000003</v>
      </c>
    </row>
    <row r="378" spans="1:75" hidden="1" x14ac:dyDescent="0.25">
      <c r="A378" s="35" t="s">
        <v>6</v>
      </c>
      <c r="B378" s="35">
        <v>2024</v>
      </c>
      <c r="C378" s="35" t="s">
        <v>138</v>
      </c>
      <c r="D378" s="35" t="s">
        <v>132</v>
      </c>
      <c r="E378" s="35">
        <v>50</v>
      </c>
      <c r="F378" s="35" t="s">
        <v>154</v>
      </c>
      <c r="G378" s="35" t="s">
        <v>166</v>
      </c>
      <c r="H378" s="115">
        <f t="shared" si="155"/>
        <v>11.5</v>
      </c>
      <c r="I378" s="35">
        <v>12</v>
      </c>
      <c r="J378" s="115">
        <f t="shared" si="135"/>
        <v>0.5</v>
      </c>
      <c r="K378" s="116">
        <v>0.42</v>
      </c>
      <c r="L378" s="114">
        <f t="shared" si="136"/>
        <v>0.21</v>
      </c>
      <c r="M378" s="114"/>
      <c r="N378" s="114"/>
      <c r="O378" s="114">
        <f t="shared" si="153"/>
        <v>0.21</v>
      </c>
      <c r="P378" s="114">
        <v>10.5</v>
      </c>
      <c r="Q378" s="114">
        <v>20</v>
      </c>
      <c r="R378" s="114">
        <v>0.14000000000000001</v>
      </c>
      <c r="S378" s="114">
        <v>0</v>
      </c>
      <c r="T378" s="122">
        <f t="shared" si="150"/>
        <v>0</v>
      </c>
      <c r="U378" s="114">
        <v>3</v>
      </c>
      <c r="V378" s="114"/>
      <c r="W378" s="114">
        <f t="shared" si="154"/>
        <v>3</v>
      </c>
      <c r="X378" s="114">
        <f t="shared" ref="X378:X412" si="156">+IF(R378=0,"",(R378*1000)/W378)</f>
        <v>46.666666666666664</v>
      </c>
      <c r="Y378" s="114">
        <f t="shared" si="137"/>
        <v>4.6666666666666662E-2</v>
      </c>
      <c r="Z378" s="35">
        <v>0</v>
      </c>
      <c r="AA378" s="35" t="s">
        <v>330</v>
      </c>
      <c r="AB378" s="35" t="s">
        <v>333</v>
      </c>
      <c r="AC378" s="35" t="s">
        <v>335</v>
      </c>
      <c r="AD378" s="35">
        <v>20</v>
      </c>
      <c r="AE378" s="35">
        <v>10.5</v>
      </c>
      <c r="AF378" s="35" t="s">
        <v>34</v>
      </c>
      <c r="AG378" s="35"/>
      <c r="AH378" s="35"/>
      <c r="AI378" s="35" t="s">
        <v>69</v>
      </c>
      <c r="AJ378" s="35" t="s">
        <v>81</v>
      </c>
      <c r="AK378" s="35" t="s">
        <v>100</v>
      </c>
      <c r="AL378" s="35" t="s">
        <v>109</v>
      </c>
      <c r="AM378" s="35" t="s">
        <v>122</v>
      </c>
      <c r="AN378" s="35" t="s">
        <v>198</v>
      </c>
      <c r="AO378" s="35"/>
      <c r="AP378" s="35"/>
      <c r="AQ378" s="35">
        <f>+VLOOKUP(AI378,Leyenda!$B$30:$E$34,3,FALSE)</f>
        <v>0</v>
      </c>
      <c r="AR378" s="35">
        <f>+VLOOKUP('3. Blasting'!AJ378,Meteorizacion,3,FALSE)</f>
        <v>0</v>
      </c>
      <c r="AS378" s="35">
        <f>+VLOOKUP('3. Blasting'!AK378,Apertura,3,FALSE)</f>
        <v>0</v>
      </c>
      <c r="AT378" s="35">
        <f>+VLOOKUP('3. Blasting'!AL378,Leyenda!$B$55:$D$59,3,FALSE)</f>
        <v>1</v>
      </c>
      <c r="AU378" s="35">
        <f>+VLOOKUP('3. Blasting'!AM378,Relleno,3,FALSE)</f>
        <v>0</v>
      </c>
      <c r="AV378" s="35">
        <f t="shared" si="151"/>
        <v>1</v>
      </c>
      <c r="AW378" s="118">
        <f t="shared" si="138"/>
        <v>0</v>
      </c>
      <c r="AX378" s="118">
        <f>VLOOKUP(AF378,Leyenda!$B$4:$D$10,3,FALSE)</f>
        <v>0</v>
      </c>
      <c r="AY378" s="119">
        <f t="shared" si="132"/>
        <v>3</v>
      </c>
      <c r="AZ378" s="118">
        <f t="shared" si="139"/>
        <v>1</v>
      </c>
      <c r="BA378" s="118">
        <f>VLOOKUP(AN378,Leyenda!$B$70:$D$75,3,FALSE)</f>
        <v>15</v>
      </c>
      <c r="BB378" s="120">
        <f t="shared" si="140"/>
        <v>1.5</v>
      </c>
      <c r="BC378" s="120">
        <f>VLOOKUP(AF378,Leyenda!$B$4:$E$10,4,FALSE)</f>
        <v>0</v>
      </c>
      <c r="BD378" s="120">
        <f t="shared" si="141"/>
        <v>5</v>
      </c>
      <c r="BE378" s="120">
        <f t="shared" si="142"/>
        <v>0</v>
      </c>
      <c r="BF378" s="120">
        <f>+VLOOKUP('3. Blasting'!AK378,Leyenda!$B$47:$E$51,4,FALSE)</f>
        <v>0</v>
      </c>
      <c r="BG378" s="120">
        <f>+VLOOKUP('3. Blasting'!AL378,Leyenda!$B$55:$E$59,4,FALSE)</f>
        <v>1</v>
      </c>
      <c r="BH378" s="120">
        <f>+VLOOKUP('3. Blasting'!AM378,Leyenda!$B$63:$E$67,3,FALSE)</f>
        <v>0</v>
      </c>
      <c r="BI378" s="120">
        <f>+VLOOKUP('3. Blasting'!AJ378,Leyenda!$B$39:$E$43,4,FALSE)</f>
        <v>0</v>
      </c>
      <c r="BJ378" s="120">
        <f>+VLOOKUP('3. Blasting'!AI378,Leyenda!$B$30:$E$34,4,FALSE)</f>
        <v>0</v>
      </c>
      <c r="BK378" s="120">
        <f>VLOOKUP(AN378,Leyenda!$B$71:$E$75,4,FALSE)</f>
        <v>10</v>
      </c>
      <c r="BL378" s="120">
        <f t="shared" si="143"/>
        <v>16</v>
      </c>
      <c r="BM378" s="35">
        <f t="shared" si="144"/>
        <v>19</v>
      </c>
      <c r="BN378" s="35"/>
      <c r="BO378" s="35"/>
      <c r="BS378">
        <f t="shared" si="147"/>
        <v>-50</v>
      </c>
      <c r="BT378">
        <f t="shared" si="148"/>
        <v>0</v>
      </c>
      <c r="BU378">
        <f t="shared" si="149"/>
        <v>-25</v>
      </c>
      <c r="BV378" s="1">
        <f t="shared" si="133"/>
        <v>-0.1</v>
      </c>
      <c r="BW378" s="1">
        <f t="shared" si="134"/>
        <v>0</v>
      </c>
    </row>
    <row r="379" spans="1:75" hidden="1" x14ac:dyDescent="0.25">
      <c r="A379" s="18" t="s">
        <v>6</v>
      </c>
      <c r="B379" s="18">
        <v>2024</v>
      </c>
      <c r="C379" s="18" t="s">
        <v>138</v>
      </c>
      <c r="D379" s="18" t="s">
        <v>132</v>
      </c>
      <c r="E379" s="18">
        <v>50</v>
      </c>
      <c r="F379" s="18" t="s">
        <v>154</v>
      </c>
      <c r="G379" s="18" t="s">
        <v>166</v>
      </c>
      <c r="H379" s="4">
        <f t="shared" si="155"/>
        <v>12</v>
      </c>
      <c r="I379" s="18">
        <v>12.5</v>
      </c>
      <c r="J379" s="4">
        <f t="shared" si="135"/>
        <v>0.5</v>
      </c>
      <c r="K379" s="5">
        <v>0.52</v>
      </c>
      <c r="L379" s="31">
        <f t="shared" si="136"/>
        <v>0.26</v>
      </c>
      <c r="M379" s="31"/>
      <c r="N379" s="31"/>
      <c r="O379" s="31">
        <f t="shared" si="153"/>
        <v>0.26</v>
      </c>
      <c r="P379" s="31">
        <v>13</v>
      </c>
      <c r="Q379" s="31">
        <v>20</v>
      </c>
      <c r="R379" s="31">
        <v>0.19</v>
      </c>
      <c r="S379" s="31">
        <v>0.21</v>
      </c>
      <c r="T379" s="65">
        <f t="shared" si="150"/>
        <v>42</v>
      </c>
      <c r="U379" s="31">
        <v>2</v>
      </c>
      <c r="V379" s="31"/>
      <c r="W379" s="31">
        <f t="shared" si="154"/>
        <v>2</v>
      </c>
      <c r="X379" s="31">
        <f t="shared" si="156"/>
        <v>95</v>
      </c>
      <c r="Y379" s="31">
        <f t="shared" si="137"/>
        <v>9.5000000000000001E-2</v>
      </c>
      <c r="Z379" s="18">
        <v>0</v>
      </c>
      <c r="AA379" s="18" t="s">
        <v>330</v>
      </c>
      <c r="AB379" s="18" t="s">
        <v>333</v>
      </c>
      <c r="AC379" s="18" t="s">
        <v>335</v>
      </c>
      <c r="AD379" s="18">
        <v>20</v>
      </c>
      <c r="AE379" s="18">
        <v>13</v>
      </c>
      <c r="AF379" s="18" t="s">
        <v>34</v>
      </c>
      <c r="AG379" s="18"/>
      <c r="AH379" s="18"/>
      <c r="AI379" s="18" t="s">
        <v>69</v>
      </c>
      <c r="AJ379" s="18" t="s">
        <v>81</v>
      </c>
      <c r="AK379" s="18" t="s">
        <v>100</v>
      </c>
      <c r="AL379" s="18" t="s">
        <v>109</v>
      </c>
      <c r="AM379" s="18" t="s">
        <v>122</v>
      </c>
      <c r="AN379" s="18" t="s">
        <v>198</v>
      </c>
      <c r="AO379" s="18"/>
      <c r="AP379" s="18"/>
      <c r="AQ379" s="18">
        <f>+VLOOKUP(AI379,Leyenda!$B$30:$E$34,3,FALSE)</f>
        <v>0</v>
      </c>
      <c r="AR379" s="18">
        <f>+VLOOKUP('3. Blasting'!AJ379,Meteorizacion,3,FALSE)</f>
        <v>0</v>
      </c>
      <c r="AS379" s="18">
        <f>+VLOOKUP('3. Blasting'!AK379,Apertura,3,FALSE)</f>
        <v>0</v>
      </c>
      <c r="AT379" s="18">
        <f>+VLOOKUP('3. Blasting'!AL379,Leyenda!$B$55:$D$59,3,FALSE)</f>
        <v>1</v>
      </c>
      <c r="AU379" s="18">
        <f>+VLOOKUP('3. Blasting'!AM379,Relleno,3,FALSE)</f>
        <v>0</v>
      </c>
      <c r="AV379" s="18">
        <f t="shared" si="151"/>
        <v>1</v>
      </c>
      <c r="AW379" s="49">
        <f t="shared" si="138"/>
        <v>0</v>
      </c>
      <c r="AX379" s="49">
        <f>VLOOKUP(AF379,Leyenda!$B$4:$D$10,3,FALSE)</f>
        <v>0</v>
      </c>
      <c r="AY379" s="50">
        <f t="shared" si="132"/>
        <v>4</v>
      </c>
      <c r="AZ379" s="49">
        <f t="shared" si="139"/>
        <v>1</v>
      </c>
      <c r="BA379" s="49">
        <f>VLOOKUP(AN379,Leyenda!$B$70:$D$75,3,FALSE)</f>
        <v>15</v>
      </c>
      <c r="BB379" s="67">
        <f t="shared" si="140"/>
        <v>22.5</v>
      </c>
      <c r="BC379" s="67">
        <f>VLOOKUP(AF379,Leyenda!$B$4:$E$10,4,FALSE)</f>
        <v>0</v>
      </c>
      <c r="BD379" s="67">
        <f t="shared" si="141"/>
        <v>8</v>
      </c>
      <c r="BE379" s="67">
        <f t="shared" si="142"/>
        <v>9</v>
      </c>
      <c r="BF379" s="67">
        <f>+VLOOKUP('3. Blasting'!AK379,Leyenda!$B$47:$E$51,4,FALSE)</f>
        <v>0</v>
      </c>
      <c r="BG379" s="67">
        <f>+VLOOKUP('3. Blasting'!AL379,Leyenda!$B$55:$E$59,4,FALSE)</f>
        <v>1</v>
      </c>
      <c r="BH379" s="67">
        <f>+VLOOKUP('3. Blasting'!AM379,Leyenda!$B$63:$E$67,3,FALSE)</f>
        <v>0</v>
      </c>
      <c r="BI379" s="67">
        <f>+VLOOKUP('3. Blasting'!AJ379,Leyenda!$B$39:$E$43,4,FALSE)</f>
        <v>0</v>
      </c>
      <c r="BJ379" s="67">
        <f>+VLOOKUP('3. Blasting'!AI379,Leyenda!$B$30:$E$34,4,FALSE)</f>
        <v>0</v>
      </c>
      <c r="BK379" s="67">
        <f>VLOOKUP(AN379,Leyenda!$B$71:$E$75,4,FALSE)</f>
        <v>10</v>
      </c>
      <c r="BL379" s="67">
        <f t="shared" si="143"/>
        <v>28</v>
      </c>
      <c r="BM379" s="18">
        <f t="shared" si="144"/>
        <v>20</v>
      </c>
      <c r="BN379" s="18"/>
      <c r="BO379" s="18"/>
      <c r="BS379">
        <f t="shared" si="147"/>
        <v>-50</v>
      </c>
      <c r="BT379">
        <f t="shared" si="148"/>
        <v>0</v>
      </c>
      <c r="BU379">
        <f t="shared" si="149"/>
        <v>-25</v>
      </c>
      <c r="BV379" s="1">
        <f t="shared" si="133"/>
        <v>-0.1</v>
      </c>
      <c r="BW379" s="1">
        <f t="shared" si="134"/>
        <v>0</v>
      </c>
    </row>
    <row r="380" spans="1:75" hidden="1" x14ac:dyDescent="0.25">
      <c r="A380" s="18" t="s">
        <v>6</v>
      </c>
      <c r="B380" s="18">
        <v>2024</v>
      </c>
      <c r="C380" s="18" t="s">
        <v>138</v>
      </c>
      <c r="D380" s="18" t="s">
        <v>132</v>
      </c>
      <c r="E380" s="18">
        <v>50</v>
      </c>
      <c r="F380" s="18" t="s">
        <v>154</v>
      </c>
      <c r="G380" s="18" t="s">
        <v>166</v>
      </c>
      <c r="H380" s="4">
        <f t="shared" si="155"/>
        <v>12.5</v>
      </c>
      <c r="I380" s="18">
        <v>13</v>
      </c>
      <c r="J380" s="4">
        <f t="shared" si="135"/>
        <v>0.5</v>
      </c>
      <c r="K380" s="5">
        <v>0.5</v>
      </c>
      <c r="L380" s="31">
        <f t="shared" si="136"/>
        <v>0.25</v>
      </c>
      <c r="M380" s="31"/>
      <c r="N380" s="31"/>
      <c r="O380" s="31">
        <f t="shared" si="153"/>
        <v>0.25</v>
      </c>
      <c r="P380" s="31">
        <v>250</v>
      </c>
      <c r="Q380" s="31">
        <v>1</v>
      </c>
      <c r="R380" s="31">
        <v>0.17</v>
      </c>
      <c r="S380" s="31">
        <v>0.11</v>
      </c>
      <c r="T380" s="65">
        <f t="shared" si="150"/>
        <v>22</v>
      </c>
      <c r="U380" s="31">
        <v>3</v>
      </c>
      <c r="V380" s="31"/>
      <c r="W380" s="31">
        <f t="shared" si="154"/>
        <v>3</v>
      </c>
      <c r="X380" s="31">
        <f t="shared" si="156"/>
        <v>56.666666666666664</v>
      </c>
      <c r="Y380" s="31">
        <f t="shared" si="137"/>
        <v>5.6666666666666664E-2</v>
      </c>
      <c r="Z380" s="18">
        <v>26</v>
      </c>
      <c r="AA380" s="18" t="s">
        <v>100</v>
      </c>
      <c r="AB380" s="18" t="s">
        <v>116</v>
      </c>
      <c r="AC380" s="18" t="s">
        <v>337</v>
      </c>
      <c r="AD380" s="18">
        <v>1</v>
      </c>
      <c r="AE380" s="18">
        <v>250</v>
      </c>
      <c r="AF380" s="18" t="s">
        <v>29</v>
      </c>
      <c r="AG380" s="18"/>
      <c r="AH380" s="18"/>
      <c r="AI380" s="18" t="s">
        <v>69</v>
      </c>
      <c r="AJ380" s="18" t="s">
        <v>81</v>
      </c>
      <c r="AK380" s="18" t="s">
        <v>100</v>
      </c>
      <c r="AL380" s="18" t="s">
        <v>109</v>
      </c>
      <c r="AM380" s="18" t="s">
        <v>122</v>
      </c>
      <c r="AN380" s="18" t="s">
        <v>198</v>
      </c>
      <c r="AO380" s="18"/>
      <c r="AP380" s="18"/>
      <c r="AQ380" s="18">
        <f>+VLOOKUP(AI380,Leyenda!$B$30:$E$34,3,FALSE)</f>
        <v>0</v>
      </c>
      <c r="AR380" s="18">
        <f>+VLOOKUP('3. Blasting'!AJ380,Meteorizacion,3,FALSE)</f>
        <v>0</v>
      </c>
      <c r="AS380" s="18">
        <f>+VLOOKUP('3. Blasting'!AK380,Apertura,3,FALSE)</f>
        <v>0</v>
      </c>
      <c r="AT380" s="18">
        <f>+VLOOKUP('3. Blasting'!AL380,Leyenda!$B$55:$D$59,3,FALSE)</f>
        <v>1</v>
      </c>
      <c r="AU380" s="18">
        <f>+VLOOKUP('3. Blasting'!AM380,Relleno,3,FALSE)</f>
        <v>0</v>
      </c>
      <c r="AV380" s="18">
        <f t="shared" si="151"/>
        <v>1</v>
      </c>
      <c r="AW380" s="49">
        <f t="shared" si="138"/>
        <v>6</v>
      </c>
      <c r="AX380" s="49">
        <f>VLOOKUP(AF380,Leyenda!$B$4:$D$10,3,FALSE)</f>
        <v>2</v>
      </c>
      <c r="AY380" s="50">
        <f t="shared" si="132"/>
        <v>10</v>
      </c>
      <c r="AZ380" s="49">
        <f t="shared" si="139"/>
        <v>1</v>
      </c>
      <c r="BA380" s="49">
        <f>VLOOKUP(AN380,Leyenda!$B$70:$D$75,3,FALSE)</f>
        <v>15</v>
      </c>
      <c r="BB380" s="67">
        <f t="shared" si="140"/>
        <v>12.5</v>
      </c>
      <c r="BC380" s="67">
        <f>VLOOKUP(AF380,Leyenda!$B$4:$E$10,4,FALSE)</f>
        <v>2</v>
      </c>
      <c r="BD380" s="67">
        <f t="shared" si="141"/>
        <v>5</v>
      </c>
      <c r="BE380" s="67">
        <f t="shared" si="142"/>
        <v>5</v>
      </c>
      <c r="BF380" s="67">
        <f>+VLOOKUP('3. Blasting'!AK380,Leyenda!$B$47:$E$51,4,FALSE)</f>
        <v>0</v>
      </c>
      <c r="BG380" s="67">
        <f>+VLOOKUP('3. Blasting'!AL380,Leyenda!$B$55:$E$59,4,FALSE)</f>
        <v>1</v>
      </c>
      <c r="BH380" s="67">
        <f>+VLOOKUP('3. Blasting'!AM380,Leyenda!$B$63:$E$67,3,FALSE)</f>
        <v>0</v>
      </c>
      <c r="BI380" s="67">
        <f>+VLOOKUP('3. Blasting'!AJ380,Leyenda!$B$39:$E$43,4,FALSE)</f>
        <v>0</v>
      </c>
      <c r="BJ380" s="67">
        <f>+VLOOKUP('3. Blasting'!AI380,Leyenda!$B$30:$E$34,4,FALSE)</f>
        <v>0</v>
      </c>
      <c r="BK380" s="67">
        <f>VLOOKUP(AN380,Leyenda!$B$71:$E$75,4,FALSE)</f>
        <v>10</v>
      </c>
      <c r="BL380" s="67">
        <f t="shared" si="143"/>
        <v>23</v>
      </c>
      <c r="BM380" s="18">
        <f t="shared" si="144"/>
        <v>34</v>
      </c>
      <c r="BN380" s="18"/>
      <c r="BO380" s="18"/>
      <c r="BS380">
        <f t="shared" si="147"/>
        <v>-50</v>
      </c>
      <c r="BT380">
        <f t="shared" si="148"/>
        <v>0</v>
      </c>
      <c r="BU380">
        <f t="shared" si="149"/>
        <v>-25</v>
      </c>
      <c r="BV380" s="1">
        <f t="shared" si="133"/>
        <v>-0.1</v>
      </c>
      <c r="BW380" s="1">
        <f t="shared" si="134"/>
        <v>0</v>
      </c>
    </row>
    <row r="381" spans="1:75" hidden="1" x14ac:dyDescent="0.25">
      <c r="A381" s="18" t="s">
        <v>6</v>
      </c>
      <c r="B381" s="18">
        <v>2024</v>
      </c>
      <c r="C381" s="18" t="s">
        <v>138</v>
      </c>
      <c r="D381" s="18" t="s">
        <v>132</v>
      </c>
      <c r="E381" s="18">
        <v>50</v>
      </c>
      <c r="F381" s="18" t="s">
        <v>154</v>
      </c>
      <c r="G381" s="18" t="s">
        <v>166</v>
      </c>
      <c r="H381" s="4">
        <f t="shared" si="155"/>
        <v>13</v>
      </c>
      <c r="I381" s="18">
        <v>13.5</v>
      </c>
      <c r="J381" s="4">
        <f t="shared" si="135"/>
        <v>0.5</v>
      </c>
      <c r="K381" s="5">
        <v>0.42</v>
      </c>
      <c r="L381" s="31">
        <f t="shared" si="136"/>
        <v>0.21</v>
      </c>
      <c r="M381" s="31"/>
      <c r="N381" s="31"/>
      <c r="O381" s="31">
        <f t="shared" si="153"/>
        <v>0.21</v>
      </c>
      <c r="P381" s="31">
        <v>10.5</v>
      </c>
      <c r="Q381" s="31">
        <v>20</v>
      </c>
      <c r="R381" s="31">
        <v>0.12</v>
      </c>
      <c r="S381" s="31">
        <v>0</v>
      </c>
      <c r="T381" s="65">
        <f t="shared" si="150"/>
        <v>0</v>
      </c>
      <c r="U381" s="31">
        <v>4</v>
      </c>
      <c r="V381" s="31"/>
      <c r="W381" s="31">
        <f t="shared" si="154"/>
        <v>4</v>
      </c>
      <c r="X381" s="31">
        <f t="shared" si="156"/>
        <v>30</v>
      </c>
      <c r="Y381" s="31">
        <f t="shared" si="137"/>
        <v>0.03</v>
      </c>
      <c r="Z381" s="18">
        <v>0</v>
      </c>
      <c r="AA381" s="18" t="s">
        <v>100</v>
      </c>
      <c r="AB381" s="18" t="s">
        <v>333</v>
      </c>
      <c r="AC381" s="18" t="s">
        <v>336</v>
      </c>
      <c r="AD381" s="18">
        <v>20</v>
      </c>
      <c r="AE381" s="18">
        <v>10.5</v>
      </c>
      <c r="AF381" s="18" t="s">
        <v>32</v>
      </c>
      <c r="AG381" s="18"/>
      <c r="AH381" s="18"/>
      <c r="AI381" s="18" t="s">
        <v>69</v>
      </c>
      <c r="AJ381" s="18" t="s">
        <v>81</v>
      </c>
      <c r="AK381" s="18" t="s">
        <v>100</v>
      </c>
      <c r="AL381" s="18" t="s">
        <v>109</v>
      </c>
      <c r="AM381" s="18" t="s">
        <v>122</v>
      </c>
      <c r="AN381" s="18" t="s">
        <v>198</v>
      </c>
      <c r="AO381" s="18"/>
      <c r="AP381" s="18"/>
      <c r="AQ381" s="18">
        <f>+VLOOKUP(AI381,Leyenda!$B$30:$E$34,3,FALSE)</f>
        <v>0</v>
      </c>
      <c r="AR381" s="18">
        <f>+VLOOKUP('3. Blasting'!AJ381,Meteorizacion,3,FALSE)</f>
        <v>0</v>
      </c>
      <c r="AS381" s="18">
        <f>+VLOOKUP('3. Blasting'!AK381,Apertura,3,FALSE)</f>
        <v>0</v>
      </c>
      <c r="AT381" s="18">
        <f>+VLOOKUP('3. Blasting'!AL381,Leyenda!$B$55:$D$59,3,FALSE)</f>
        <v>1</v>
      </c>
      <c r="AU381" s="18">
        <f>+VLOOKUP('3. Blasting'!AM381,Relleno,3,FALSE)</f>
        <v>0</v>
      </c>
      <c r="AV381" s="18">
        <f t="shared" si="151"/>
        <v>1</v>
      </c>
      <c r="AW381" s="49">
        <f t="shared" si="138"/>
        <v>0</v>
      </c>
      <c r="AX381" s="49">
        <f>VLOOKUP(AF381,Leyenda!$B$4:$D$10,3,FALSE)</f>
        <v>1</v>
      </c>
      <c r="AY381" s="50">
        <f t="shared" si="132"/>
        <v>3</v>
      </c>
      <c r="AZ381" s="49">
        <f t="shared" si="139"/>
        <v>1</v>
      </c>
      <c r="BA381" s="49">
        <f>VLOOKUP(AN381,Leyenda!$B$70:$D$75,3,FALSE)</f>
        <v>15</v>
      </c>
      <c r="BB381" s="67">
        <f t="shared" si="140"/>
        <v>1.5</v>
      </c>
      <c r="BC381" s="67">
        <f>VLOOKUP(AF381,Leyenda!$B$4:$E$10,4,FALSE)</f>
        <v>1</v>
      </c>
      <c r="BD381" s="67">
        <f t="shared" si="141"/>
        <v>5</v>
      </c>
      <c r="BE381" s="67">
        <f t="shared" si="142"/>
        <v>0</v>
      </c>
      <c r="BF381" s="67">
        <f>+VLOOKUP('3. Blasting'!AK381,Leyenda!$B$47:$E$51,4,FALSE)</f>
        <v>0</v>
      </c>
      <c r="BG381" s="67">
        <f>+VLOOKUP('3. Blasting'!AL381,Leyenda!$B$55:$E$59,4,FALSE)</f>
        <v>1</v>
      </c>
      <c r="BH381" s="67">
        <f>+VLOOKUP('3. Blasting'!AM381,Leyenda!$B$63:$E$67,3,FALSE)</f>
        <v>0</v>
      </c>
      <c r="BI381" s="67">
        <f>+VLOOKUP('3. Blasting'!AJ381,Leyenda!$B$39:$E$43,4,FALSE)</f>
        <v>0</v>
      </c>
      <c r="BJ381" s="67">
        <f>+VLOOKUP('3. Blasting'!AI381,Leyenda!$B$30:$E$34,4,FALSE)</f>
        <v>0</v>
      </c>
      <c r="BK381" s="67">
        <f>VLOOKUP(AN381,Leyenda!$B$71:$E$75,4,FALSE)</f>
        <v>10</v>
      </c>
      <c r="BL381" s="67">
        <f t="shared" si="143"/>
        <v>17</v>
      </c>
      <c r="BM381" s="18">
        <f t="shared" si="144"/>
        <v>20</v>
      </c>
      <c r="BN381" s="18"/>
      <c r="BO381" s="18"/>
      <c r="BS381">
        <f t="shared" si="147"/>
        <v>-50</v>
      </c>
      <c r="BT381">
        <f t="shared" si="148"/>
        <v>0</v>
      </c>
      <c r="BU381">
        <f t="shared" si="149"/>
        <v>-25</v>
      </c>
      <c r="BV381" s="1">
        <f t="shared" si="133"/>
        <v>-0.1</v>
      </c>
      <c r="BW381" s="1">
        <f t="shared" si="134"/>
        <v>0</v>
      </c>
    </row>
    <row r="382" spans="1:75" hidden="1" x14ac:dyDescent="0.25">
      <c r="A382" s="18" t="s">
        <v>6</v>
      </c>
      <c r="B382" s="18">
        <v>2024</v>
      </c>
      <c r="C382" s="18" t="s">
        <v>138</v>
      </c>
      <c r="D382" s="18" t="s">
        <v>132</v>
      </c>
      <c r="E382" s="18">
        <v>50</v>
      </c>
      <c r="F382" s="18" t="s">
        <v>154</v>
      </c>
      <c r="G382" s="18" t="s">
        <v>166</v>
      </c>
      <c r="H382" s="4">
        <f t="shared" si="155"/>
        <v>13.5</v>
      </c>
      <c r="I382" s="18">
        <v>14</v>
      </c>
      <c r="J382" s="4">
        <f t="shared" si="135"/>
        <v>0.5</v>
      </c>
      <c r="K382" s="5">
        <v>0.66</v>
      </c>
      <c r="L382" s="31">
        <f t="shared" si="136"/>
        <v>0.33</v>
      </c>
      <c r="M382" s="31"/>
      <c r="N382" s="31"/>
      <c r="O382" s="31">
        <f t="shared" si="153"/>
        <v>0.33</v>
      </c>
      <c r="P382" s="31">
        <v>16.5</v>
      </c>
      <c r="Q382" s="31">
        <v>20</v>
      </c>
      <c r="R382" s="31">
        <v>0.21</v>
      </c>
      <c r="S382" s="31">
        <v>0.1</v>
      </c>
      <c r="T382" s="65">
        <f t="shared" si="150"/>
        <v>20</v>
      </c>
      <c r="U382" s="31">
        <v>4</v>
      </c>
      <c r="V382" s="31"/>
      <c r="W382" s="31">
        <f t="shared" si="154"/>
        <v>4</v>
      </c>
      <c r="X382" s="31">
        <f t="shared" si="156"/>
        <v>52.5</v>
      </c>
      <c r="Y382" s="31">
        <f t="shared" si="137"/>
        <v>5.2499999999999998E-2</v>
      </c>
      <c r="Z382" s="18">
        <v>0</v>
      </c>
      <c r="AA382" s="18" t="s">
        <v>330</v>
      </c>
      <c r="AB382" s="18" t="s">
        <v>333</v>
      </c>
      <c r="AC382" s="18" t="s">
        <v>335</v>
      </c>
      <c r="AD382" s="18">
        <v>20</v>
      </c>
      <c r="AE382" s="18">
        <v>16.5</v>
      </c>
      <c r="AF382" s="18" t="s">
        <v>34</v>
      </c>
      <c r="AG382" s="18"/>
      <c r="AH382" s="18"/>
      <c r="AI382" s="18" t="s">
        <v>69</v>
      </c>
      <c r="AJ382" s="18" t="s">
        <v>81</v>
      </c>
      <c r="AK382" s="18" t="s">
        <v>100</v>
      </c>
      <c r="AL382" s="18" t="s">
        <v>109</v>
      </c>
      <c r="AM382" s="18" t="s">
        <v>122</v>
      </c>
      <c r="AN382" s="18" t="s">
        <v>198</v>
      </c>
      <c r="AO382" s="18"/>
      <c r="AP382" s="18"/>
      <c r="AQ382" s="18">
        <f>+VLOOKUP(AI382,Leyenda!$B$30:$E$34,3,FALSE)</f>
        <v>0</v>
      </c>
      <c r="AR382" s="18">
        <f>+VLOOKUP('3. Blasting'!AJ382,Meteorizacion,3,FALSE)</f>
        <v>0</v>
      </c>
      <c r="AS382" s="18">
        <f>+VLOOKUP('3. Blasting'!AK382,Apertura,3,FALSE)</f>
        <v>0</v>
      </c>
      <c r="AT382" s="18">
        <f>+VLOOKUP('3. Blasting'!AL382,Leyenda!$B$55:$D$59,3,FALSE)</f>
        <v>1</v>
      </c>
      <c r="AU382" s="18">
        <f>+VLOOKUP('3. Blasting'!AM382,Relleno,3,FALSE)</f>
        <v>0</v>
      </c>
      <c r="AV382" s="18">
        <f t="shared" si="151"/>
        <v>1</v>
      </c>
      <c r="AW382" s="49">
        <f t="shared" si="138"/>
        <v>0</v>
      </c>
      <c r="AX382" s="49">
        <f>VLOOKUP(AF382,Leyenda!$B$4:$D$10,3,FALSE)</f>
        <v>0</v>
      </c>
      <c r="AY382" s="50">
        <f t="shared" si="132"/>
        <v>4</v>
      </c>
      <c r="AZ382" s="49">
        <f t="shared" si="139"/>
        <v>1</v>
      </c>
      <c r="BA382" s="49">
        <f>VLOOKUP(AN382,Leyenda!$B$70:$D$75,3,FALSE)</f>
        <v>15</v>
      </c>
      <c r="BB382" s="67">
        <f t="shared" si="140"/>
        <v>11.5</v>
      </c>
      <c r="BC382" s="67">
        <f>VLOOKUP(AF382,Leyenda!$B$4:$E$10,4,FALSE)</f>
        <v>0</v>
      </c>
      <c r="BD382" s="67">
        <f t="shared" si="141"/>
        <v>4</v>
      </c>
      <c r="BE382" s="67">
        <f t="shared" si="142"/>
        <v>4</v>
      </c>
      <c r="BF382" s="67">
        <f>+VLOOKUP('3. Blasting'!AK382,Leyenda!$B$47:$E$51,4,FALSE)</f>
        <v>0</v>
      </c>
      <c r="BG382" s="67">
        <f>+VLOOKUP('3. Blasting'!AL382,Leyenda!$B$55:$E$59,4,FALSE)</f>
        <v>1</v>
      </c>
      <c r="BH382" s="67">
        <f>+VLOOKUP('3. Blasting'!AM382,Leyenda!$B$63:$E$67,3,FALSE)</f>
        <v>0</v>
      </c>
      <c r="BI382" s="67">
        <f>+VLOOKUP('3. Blasting'!AJ382,Leyenda!$B$39:$E$43,4,FALSE)</f>
        <v>0</v>
      </c>
      <c r="BJ382" s="67">
        <f>+VLOOKUP('3. Blasting'!AI382,Leyenda!$B$30:$E$34,4,FALSE)</f>
        <v>0</v>
      </c>
      <c r="BK382" s="67">
        <f>VLOOKUP(AN382,Leyenda!$B$71:$E$75,4,FALSE)</f>
        <v>10</v>
      </c>
      <c r="BL382" s="67">
        <f t="shared" si="143"/>
        <v>19</v>
      </c>
      <c r="BM382" s="18">
        <f t="shared" si="144"/>
        <v>20</v>
      </c>
      <c r="BN382" s="18"/>
      <c r="BO382" s="18"/>
      <c r="BS382">
        <f t="shared" si="147"/>
        <v>-50</v>
      </c>
      <c r="BT382">
        <f t="shared" si="148"/>
        <v>0</v>
      </c>
      <c r="BU382">
        <f t="shared" si="149"/>
        <v>-25</v>
      </c>
      <c r="BV382" s="1">
        <f t="shared" si="133"/>
        <v>-0.1</v>
      </c>
      <c r="BW382" s="1">
        <f t="shared" si="134"/>
        <v>0</v>
      </c>
    </row>
    <row r="383" spans="1:75" hidden="1" x14ac:dyDescent="0.25">
      <c r="A383" s="18" t="s">
        <v>6</v>
      </c>
      <c r="B383" s="18">
        <v>2024</v>
      </c>
      <c r="C383" s="18" t="s">
        <v>138</v>
      </c>
      <c r="D383" s="18" t="s">
        <v>132</v>
      </c>
      <c r="E383" s="18">
        <v>50</v>
      </c>
      <c r="F383" s="18" t="s">
        <v>154</v>
      </c>
      <c r="G383" s="18" t="s">
        <v>166</v>
      </c>
      <c r="H383" s="4">
        <f t="shared" si="155"/>
        <v>14</v>
      </c>
      <c r="I383" s="18">
        <v>14.5</v>
      </c>
      <c r="J383" s="4">
        <f t="shared" si="135"/>
        <v>0.5</v>
      </c>
      <c r="K383" s="5">
        <v>0.54</v>
      </c>
      <c r="L383" s="31">
        <f t="shared" si="136"/>
        <v>0.27</v>
      </c>
      <c r="M383" s="31"/>
      <c r="N383" s="31"/>
      <c r="O383" s="31">
        <f t="shared" si="153"/>
        <v>0.27</v>
      </c>
      <c r="P383" s="31">
        <v>13.5</v>
      </c>
      <c r="Q383" s="31">
        <v>20</v>
      </c>
      <c r="R383" s="31">
        <v>0.16</v>
      </c>
      <c r="S383" s="31">
        <v>0</v>
      </c>
      <c r="T383" s="65">
        <f t="shared" si="150"/>
        <v>0</v>
      </c>
      <c r="U383" s="31">
        <v>3</v>
      </c>
      <c r="V383" s="31"/>
      <c r="W383" s="31">
        <f t="shared" si="154"/>
        <v>3</v>
      </c>
      <c r="X383" s="31">
        <f t="shared" si="156"/>
        <v>53.333333333333336</v>
      </c>
      <c r="Y383" s="31">
        <f t="shared" si="137"/>
        <v>5.3333333333333337E-2</v>
      </c>
      <c r="Z383" s="18">
        <v>0</v>
      </c>
      <c r="AA383" s="18" t="s">
        <v>330</v>
      </c>
      <c r="AB383" s="18" t="s">
        <v>333</v>
      </c>
      <c r="AC383" s="18" t="s">
        <v>335</v>
      </c>
      <c r="AD383" s="18">
        <v>20</v>
      </c>
      <c r="AE383" s="18">
        <v>13.5</v>
      </c>
      <c r="AF383" s="18" t="s">
        <v>34</v>
      </c>
      <c r="AG383" s="18"/>
      <c r="AH383" s="18"/>
      <c r="AI383" s="18" t="s">
        <v>69</v>
      </c>
      <c r="AJ383" s="18" t="s">
        <v>81</v>
      </c>
      <c r="AK383" s="18" t="s">
        <v>100</v>
      </c>
      <c r="AL383" s="18" t="s">
        <v>109</v>
      </c>
      <c r="AM383" s="18" t="s">
        <v>122</v>
      </c>
      <c r="AN383" s="18" t="s">
        <v>198</v>
      </c>
      <c r="AO383" s="18"/>
      <c r="AP383" s="18"/>
      <c r="AQ383" s="18">
        <f>+VLOOKUP(AI383,Leyenda!$B$30:$E$34,3,FALSE)</f>
        <v>0</v>
      </c>
      <c r="AR383" s="18">
        <f>+VLOOKUP('3. Blasting'!AJ383,Meteorizacion,3,FALSE)</f>
        <v>0</v>
      </c>
      <c r="AS383" s="18">
        <f>+VLOOKUP('3. Blasting'!AK383,Apertura,3,FALSE)</f>
        <v>0</v>
      </c>
      <c r="AT383" s="18">
        <f>+VLOOKUP('3. Blasting'!AL383,Leyenda!$B$55:$D$59,3,FALSE)</f>
        <v>1</v>
      </c>
      <c r="AU383" s="18">
        <f>+VLOOKUP('3. Blasting'!AM383,Relleno,3,FALSE)</f>
        <v>0</v>
      </c>
      <c r="AV383" s="18">
        <f t="shared" si="151"/>
        <v>1</v>
      </c>
      <c r="AW383" s="49">
        <f t="shared" si="138"/>
        <v>0</v>
      </c>
      <c r="AX383" s="49">
        <f>VLOOKUP(AF383,Leyenda!$B$4:$D$10,3,FALSE)</f>
        <v>0</v>
      </c>
      <c r="AY383" s="50">
        <f t="shared" si="132"/>
        <v>4</v>
      </c>
      <c r="AZ383" s="49">
        <f t="shared" si="139"/>
        <v>1</v>
      </c>
      <c r="BA383" s="49">
        <f>VLOOKUP(AN383,Leyenda!$B$70:$D$75,3,FALSE)</f>
        <v>15</v>
      </c>
      <c r="BB383" s="67">
        <f t="shared" si="140"/>
        <v>1.5</v>
      </c>
      <c r="BC383" s="67">
        <f>VLOOKUP(AF383,Leyenda!$B$4:$E$10,4,FALSE)</f>
        <v>0</v>
      </c>
      <c r="BD383" s="67">
        <f t="shared" si="141"/>
        <v>4</v>
      </c>
      <c r="BE383" s="67">
        <f t="shared" si="142"/>
        <v>0</v>
      </c>
      <c r="BF383" s="67">
        <f>+VLOOKUP('3. Blasting'!AK383,Leyenda!$B$47:$E$51,4,FALSE)</f>
        <v>0</v>
      </c>
      <c r="BG383" s="67">
        <f>+VLOOKUP('3. Blasting'!AL383,Leyenda!$B$55:$E$59,4,FALSE)</f>
        <v>1</v>
      </c>
      <c r="BH383" s="67">
        <f>+VLOOKUP('3. Blasting'!AM383,Leyenda!$B$63:$E$67,3,FALSE)</f>
        <v>0</v>
      </c>
      <c r="BI383" s="67">
        <f>+VLOOKUP('3. Blasting'!AJ383,Leyenda!$B$39:$E$43,4,FALSE)</f>
        <v>0</v>
      </c>
      <c r="BJ383" s="67">
        <f>+VLOOKUP('3. Blasting'!AI383,Leyenda!$B$30:$E$34,4,FALSE)</f>
        <v>0</v>
      </c>
      <c r="BK383" s="67">
        <f>VLOOKUP(AN383,Leyenda!$B$71:$E$75,4,FALSE)</f>
        <v>10</v>
      </c>
      <c r="BL383" s="67">
        <f t="shared" si="143"/>
        <v>15</v>
      </c>
      <c r="BM383" s="18">
        <f t="shared" si="144"/>
        <v>20</v>
      </c>
      <c r="BN383" s="18"/>
      <c r="BO383" s="18"/>
      <c r="BS383">
        <f t="shared" si="147"/>
        <v>-50</v>
      </c>
      <c r="BT383">
        <f t="shared" si="148"/>
        <v>0</v>
      </c>
      <c r="BU383">
        <f t="shared" si="149"/>
        <v>-25</v>
      </c>
      <c r="BV383" s="1">
        <f t="shared" si="133"/>
        <v>-0.1</v>
      </c>
      <c r="BW383" s="1">
        <f t="shared" si="134"/>
        <v>0</v>
      </c>
    </row>
    <row r="384" spans="1:75" hidden="1" x14ac:dyDescent="0.25">
      <c r="A384" s="18" t="s">
        <v>6</v>
      </c>
      <c r="B384" s="18">
        <v>2024</v>
      </c>
      <c r="C384" s="18" t="s">
        <v>138</v>
      </c>
      <c r="D384" s="18" t="s">
        <v>132</v>
      </c>
      <c r="E384" s="18">
        <v>50</v>
      </c>
      <c r="F384" s="18" t="s">
        <v>154</v>
      </c>
      <c r="G384" s="18" t="s">
        <v>166</v>
      </c>
      <c r="H384" s="4">
        <f t="shared" si="155"/>
        <v>14.5</v>
      </c>
      <c r="I384" s="18">
        <v>15</v>
      </c>
      <c r="J384" s="4">
        <f t="shared" si="135"/>
        <v>0.5</v>
      </c>
      <c r="K384" s="5">
        <v>0.5</v>
      </c>
      <c r="L384" s="31">
        <f t="shared" si="136"/>
        <v>0.25</v>
      </c>
      <c r="M384" s="31"/>
      <c r="N384" s="31"/>
      <c r="O384" s="31">
        <f t="shared" si="153"/>
        <v>0.25</v>
      </c>
      <c r="P384" s="31">
        <v>12.5</v>
      </c>
      <c r="Q384" s="31">
        <v>20</v>
      </c>
      <c r="R384" s="31">
        <v>0.17</v>
      </c>
      <c r="S384" s="31">
        <v>0</v>
      </c>
      <c r="T384" s="65">
        <f t="shared" si="150"/>
        <v>0</v>
      </c>
      <c r="U384" s="31">
        <v>3</v>
      </c>
      <c r="V384" s="31"/>
      <c r="W384" s="31">
        <f t="shared" si="154"/>
        <v>3</v>
      </c>
      <c r="X384" s="31">
        <f t="shared" si="156"/>
        <v>56.666666666666664</v>
      </c>
      <c r="Y384" s="31">
        <f t="shared" si="137"/>
        <v>5.6666666666666664E-2</v>
      </c>
      <c r="Z384" s="18">
        <v>0</v>
      </c>
      <c r="AA384" s="18" t="s">
        <v>330</v>
      </c>
      <c r="AB384" s="18" t="s">
        <v>333</v>
      </c>
      <c r="AC384" s="18" t="s">
        <v>335</v>
      </c>
      <c r="AD384" s="18">
        <v>20</v>
      </c>
      <c r="AE384" s="18">
        <v>12.5</v>
      </c>
      <c r="AF384" s="18" t="s">
        <v>34</v>
      </c>
      <c r="AG384" s="18"/>
      <c r="AH384" s="18"/>
      <c r="AI384" s="18" t="s">
        <v>69</v>
      </c>
      <c r="AJ384" s="18" t="s">
        <v>81</v>
      </c>
      <c r="AK384" s="18" t="s">
        <v>100</v>
      </c>
      <c r="AL384" s="18" t="s">
        <v>109</v>
      </c>
      <c r="AM384" s="18" t="s">
        <v>122</v>
      </c>
      <c r="AN384" s="18" t="s">
        <v>198</v>
      </c>
      <c r="AO384" s="18"/>
      <c r="AP384" s="18"/>
      <c r="AQ384" s="18">
        <f>+VLOOKUP(AI384,Leyenda!$B$30:$E$34,3,FALSE)</f>
        <v>0</v>
      </c>
      <c r="AR384" s="18">
        <f>+VLOOKUP('3. Blasting'!AJ384,Meteorizacion,3,FALSE)</f>
        <v>0</v>
      </c>
      <c r="AS384" s="18">
        <f>+VLOOKUP('3. Blasting'!AK384,Apertura,3,FALSE)</f>
        <v>0</v>
      </c>
      <c r="AT384" s="18">
        <f>+VLOOKUP('3. Blasting'!AL384,Leyenda!$B$55:$D$59,3,FALSE)</f>
        <v>1</v>
      </c>
      <c r="AU384" s="18">
        <f>+VLOOKUP('3. Blasting'!AM384,Relleno,3,FALSE)</f>
        <v>0</v>
      </c>
      <c r="AV384" s="18">
        <f t="shared" si="151"/>
        <v>1</v>
      </c>
      <c r="AW384" s="49">
        <f t="shared" si="138"/>
        <v>0</v>
      </c>
      <c r="AX384" s="49">
        <f>VLOOKUP(AF384,Leyenda!$B$4:$D$10,3,FALSE)</f>
        <v>0</v>
      </c>
      <c r="AY384" s="50">
        <f t="shared" si="132"/>
        <v>4</v>
      </c>
      <c r="AZ384" s="49">
        <f t="shared" si="139"/>
        <v>1</v>
      </c>
      <c r="BA384" s="49">
        <f>VLOOKUP(AN384,Leyenda!$B$70:$D$75,3,FALSE)</f>
        <v>15</v>
      </c>
      <c r="BB384" s="67">
        <f t="shared" si="140"/>
        <v>1.5</v>
      </c>
      <c r="BC384" s="67">
        <f>VLOOKUP(AF384,Leyenda!$B$4:$E$10,4,FALSE)</f>
        <v>0</v>
      </c>
      <c r="BD384" s="67">
        <f t="shared" si="141"/>
        <v>5</v>
      </c>
      <c r="BE384" s="67">
        <f t="shared" si="142"/>
        <v>0</v>
      </c>
      <c r="BF384" s="67">
        <f>+VLOOKUP('3. Blasting'!AK384,Leyenda!$B$47:$E$51,4,FALSE)</f>
        <v>0</v>
      </c>
      <c r="BG384" s="67">
        <f>+VLOOKUP('3. Blasting'!AL384,Leyenda!$B$55:$E$59,4,FALSE)</f>
        <v>1</v>
      </c>
      <c r="BH384" s="67">
        <f>+VLOOKUP('3. Blasting'!AM384,Leyenda!$B$63:$E$67,3,FALSE)</f>
        <v>0</v>
      </c>
      <c r="BI384" s="67">
        <f>+VLOOKUP('3. Blasting'!AJ384,Leyenda!$B$39:$E$43,4,FALSE)</f>
        <v>0</v>
      </c>
      <c r="BJ384" s="67">
        <f>+VLOOKUP('3. Blasting'!AI384,Leyenda!$B$30:$E$34,4,FALSE)</f>
        <v>0</v>
      </c>
      <c r="BK384" s="67">
        <f>VLOOKUP(AN384,Leyenda!$B$71:$E$75,4,FALSE)</f>
        <v>10</v>
      </c>
      <c r="BL384" s="67">
        <f t="shared" si="143"/>
        <v>16</v>
      </c>
      <c r="BM384" s="18">
        <f t="shared" si="144"/>
        <v>20</v>
      </c>
      <c r="BN384" s="18"/>
      <c r="BO384" s="18"/>
      <c r="BS384">
        <f t="shared" si="147"/>
        <v>-50</v>
      </c>
      <c r="BT384">
        <f t="shared" si="148"/>
        <v>0</v>
      </c>
      <c r="BU384">
        <f t="shared" si="149"/>
        <v>-25</v>
      </c>
      <c r="BV384" s="1">
        <f t="shared" si="133"/>
        <v>-0.1</v>
      </c>
      <c r="BW384" s="1">
        <f t="shared" si="134"/>
        <v>0</v>
      </c>
    </row>
    <row r="385" spans="1:75" hidden="1" x14ac:dyDescent="0.25">
      <c r="A385" s="18" t="s">
        <v>6</v>
      </c>
      <c r="B385" s="18">
        <v>2024</v>
      </c>
      <c r="C385" s="18" t="s">
        <v>138</v>
      </c>
      <c r="D385" s="18" t="s">
        <v>132</v>
      </c>
      <c r="E385" s="18">
        <v>50</v>
      </c>
      <c r="F385" s="18" t="s">
        <v>154</v>
      </c>
      <c r="G385" s="18" t="s">
        <v>166</v>
      </c>
      <c r="H385" s="4">
        <f t="shared" si="155"/>
        <v>15</v>
      </c>
      <c r="I385" s="18">
        <v>15.5</v>
      </c>
      <c r="J385" s="4">
        <f t="shared" si="135"/>
        <v>0.5</v>
      </c>
      <c r="K385" s="5">
        <v>0.38</v>
      </c>
      <c r="L385" s="31">
        <f t="shared" si="136"/>
        <v>0.19</v>
      </c>
      <c r="M385" s="31"/>
      <c r="N385" s="31"/>
      <c r="O385" s="31">
        <f t="shared" si="153"/>
        <v>0.19</v>
      </c>
      <c r="P385" s="31">
        <v>9.5</v>
      </c>
      <c r="Q385" s="31">
        <v>20</v>
      </c>
      <c r="R385" s="31">
        <v>0.12</v>
      </c>
      <c r="S385" s="31">
        <v>0</v>
      </c>
      <c r="T385" s="65">
        <f t="shared" si="150"/>
        <v>0</v>
      </c>
      <c r="U385" s="31">
        <v>4</v>
      </c>
      <c r="V385" s="31"/>
      <c r="W385" s="31">
        <f t="shared" si="154"/>
        <v>4</v>
      </c>
      <c r="X385" s="31">
        <f t="shared" si="156"/>
        <v>30</v>
      </c>
      <c r="Y385" s="31">
        <f t="shared" si="137"/>
        <v>0.03</v>
      </c>
      <c r="Z385" s="18">
        <v>0</v>
      </c>
      <c r="AA385" s="18" t="s">
        <v>330</v>
      </c>
      <c r="AB385" s="18" t="s">
        <v>333</v>
      </c>
      <c r="AC385" s="18" t="s">
        <v>335</v>
      </c>
      <c r="AD385" s="18">
        <v>20</v>
      </c>
      <c r="AE385" s="18">
        <v>9.5</v>
      </c>
      <c r="AF385" s="18" t="s">
        <v>34</v>
      </c>
      <c r="AG385" s="18"/>
      <c r="AH385" s="18"/>
      <c r="AI385" s="18" t="s">
        <v>69</v>
      </c>
      <c r="AJ385" s="18" t="s">
        <v>81</v>
      </c>
      <c r="AK385" s="18" t="s">
        <v>100</v>
      </c>
      <c r="AL385" s="18" t="s">
        <v>109</v>
      </c>
      <c r="AM385" s="18" t="s">
        <v>122</v>
      </c>
      <c r="AN385" s="18" t="s">
        <v>198</v>
      </c>
      <c r="AO385" s="18"/>
      <c r="AP385" s="18"/>
      <c r="AQ385" s="18">
        <f>+VLOOKUP(AI385,Leyenda!$B$30:$E$34,3,FALSE)</f>
        <v>0</v>
      </c>
      <c r="AR385" s="18">
        <f>+VLOOKUP('3. Blasting'!AJ385,Meteorizacion,3,FALSE)</f>
        <v>0</v>
      </c>
      <c r="AS385" s="18">
        <f>+VLOOKUP('3. Blasting'!AK385,Apertura,3,FALSE)</f>
        <v>0</v>
      </c>
      <c r="AT385" s="18">
        <f>+VLOOKUP('3. Blasting'!AL385,Leyenda!$B$55:$D$59,3,FALSE)</f>
        <v>1</v>
      </c>
      <c r="AU385" s="18">
        <f>+VLOOKUP('3. Blasting'!AM385,Relleno,3,FALSE)</f>
        <v>0</v>
      </c>
      <c r="AV385" s="18">
        <f t="shared" si="151"/>
        <v>1</v>
      </c>
      <c r="AW385" s="49">
        <f t="shared" si="138"/>
        <v>0</v>
      </c>
      <c r="AX385" s="49">
        <f>VLOOKUP(AF385,Leyenda!$B$4:$D$10,3,FALSE)</f>
        <v>0</v>
      </c>
      <c r="AY385" s="50">
        <f t="shared" si="132"/>
        <v>3</v>
      </c>
      <c r="AZ385" s="49">
        <f t="shared" si="139"/>
        <v>1</v>
      </c>
      <c r="BA385" s="49">
        <f>VLOOKUP(AN385,Leyenda!$B$70:$D$75,3,FALSE)</f>
        <v>15</v>
      </c>
      <c r="BB385" s="67">
        <f t="shared" si="140"/>
        <v>1.5</v>
      </c>
      <c r="BC385" s="67">
        <f>VLOOKUP(AF385,Leyenda!$B$4:$E$10,4,FALSE)</f>
        <v>0</v>
      </c>
      <c r="BD385" s="67">
        <f t="shared" si="141"/>
        <v>5</v>
      </c>
      <c r="BE385" s="67">
        <f t="shared" si="142"/>
        <v>0</v>
      </c>
      <c r="BF385" s="67">
        <f>+VLOOKUP('3. Blasting'!AK385,Leyenda!$B$47:$E$51,4,FALSE)</f>
        <v>0</v>
      </c>
      <c r="BG385" s="67">
        <f>+VLOOKUP('3. Blasting'!AL385,Leyenda!$B$55:$E$59,4,FALSE)</f>
        <v>1</v>
      </c>
      <c r="BH385" s="67">
        <f>+VLOOKUP('3. Blasting'!AM385,Leyenda!$B$63:$E$67,3,FALSE)</f>
        <v>0</v>
      </c>
      <c r="BI385" s="67">
        <f>+VLOOKUP('3. Blasting'!AJ385,Leyenda!$B$39:$E$43,4,FALSE)</f>
        <v>0</v>
      </c>
      <c r="BJ385" s="67">
        <f>+VLOOKUP('3. Blasting'!AI385,Leyenda!$B$30:$E$34,4,FALSE)</f>
        <v>0</v>
      </c>
      <c r="BK385" s="67">
        <f>VLOOKUP(AN385,Leyenda!$B$71:$E$75,4,FALSE)</f>
        <v>10</v>
      </c>
      <c r="BL385" s="67">
        <f t="shared" si="143"/>
        <v>16</v>
      </c>
      <c r="BM385" s="18">
        <f t="shared" si="144"/>
        <v>19</v>
      </c>
      <c r="BN385" s="18"/>
      <c r="BO385" s="18"/>
      <c r="BS385">
        <f t="shared" si="147"/>
        <v>-50</v>
      </c>
      <c r="BT385">
        <f t="shared" si="148"/>
        <v>0</v>
      </c>
      <c r="BU385">
        <f t="shared" si="149"/>
        <v>-25</v>
      </c>
      <c r="BV385" s="1">
        <f t="shared" si="133"/>
        <v>-0.1</v>
      </c>
      <c r="BW385" s="1">
        <f t="shared" si="134"/>
        <v>0</v>
      </c>
    </row>
    <row r="386" spans="1:75" hidden="1" x14ac:dyDescent="0.25">
      <c r="A386" s="18" t="s">
        <v>6</v>
      </c>
      <c r="B386" s="18">
        <v>2024</v>
      </c>
      <c r="C386" s="18" t="s">
        <v>138</v>
      </c>
      <c r="D386" s="18" t="s">
        <v>132</v>
      </c>
      <c r="E386" s="18">
        <v>50</v>
      </c>
      <c r="F386" s="18" t="s">
        <v>154</v>
      </c>
      <c r="G386" s="18" t="s">
        <v>166</v>
      </c>
      <c r="H386" s="4">
        <f t="shared" si="155"/>
        <v>15.5</v>
      </c>
      <c r="I386" s="18">
        <v>16</v>
      </c>
      <c r="J386" s="4">
        <f t="shared" si="135"/>
        <v>0.5</v>
      </c>
      <c r="K386" s="5">
        <v>0.9</v>
      </c>
      <c r="L386" s="31">
        <f t="shared" si="136"/>
        <v>0.45</v>
      </c>
      <c r="M386" s="31"/>
      <c r="N386" s="31"/>
      <c r="O386" s="31">
        <f t="shared" si="153"/>
        <v>0.45</v>
      </c>
      <c r="P386" s="31">
        <v>22.5</v>
      </c>
      <c r="Q386" s="31">
        <v>20</v>
      </c>
      <c r="R386" s="31">
        <v>0.37</v>
      </c>
      <c r="S386" s="31">
        <v>0</v>
      </c>
      <c r="T386" s="65">
        <f t="shared" si="150"/>
        <v>0</v>
      </c>
      <c r="U386" s="31">
        <v>10</v>
      </c>
      <c r="V386" s="31"/>
      <c r="W386" s="31">
        <f t="shared" si="154"/>
        <v>10</v>
      </c>
      <c r="X386" s="31">
        <f t="shared" si="156"/>
        <v>37</v>
      </c>
      <c r="Y386" s="31">
        <f t="shared" si="137"/>
        <v>3.6999999999999998E-2</v>
      </c>
      <c r="Z386" s="18">
        <v>0</v>
      </c>
      <c r="AA386" s="18" t="s">
        <v>330</v>
      </c>
      <c r="AB386" s="18" t="s">
        <v>333</v>
      </c>
      <c r="AC386" s="18" t="s">
        <v>335</v>
      </c>
      <c r="AD386" s="18">
        <v>20</v>
      </c>
      <c r="AE386" s="18">
        <v>22.5</v>
      </c>
      <c r="AF386" s="18" t="s">
        <v>34</v>
      </c>
      <c r="AG386" s="18"/>
      <c r="AH386" s="18"/>
      <c r="AI386" s="18" t="s">
        <v>69</v>
      </c>
      <c r="AJ386" s="18" t="s">
        <v>81</v>
      </c>
      <c r="AK386" s="18" t="s">
        <v>100</v>
      </c>
      <c r="AL386" s="18" t="s">
        <v>109</v>
      </c>
      <c r="AM386" s="18" t="s">
        <v>122</v>
      </c>
      <c r="AN386" s="18" t="s">
        <v>198</v>
      </c>
      <c r="AO386" s="18"/>
      <c r="AP386" s="18"/>
      <c r="AQ386" s="18">
        <f>+VLOOKUP(AI386,Leyenda!$B$30:$E$34,3,FALSE)</f>
        <v>0</v>
      </c>
      <c r="AR386" s="18">
        <f>+VLOOKUP('3. Blasting'!AJ386,Meteorizacion,3,FALSE)</f>
        <v>0</v>
      </c>
      <c r="AS386" s="18">
        <f>+VLOOKUP('3. Blasting'!AK386,Apertura,3,FALSE)</f>
        <v>0</v>
      </c>
      <c r="AT386" s="18">
        <f>+VLOOKUP('3. Blasting'!AL386,Leyenda!$B$55:$D$59,3,FALSE)</f>
        <v>1</v>
      </c>
      <c r="AU386" s="18">
        <f>+VLOOKUP('3. Blasting'!AM386,Relleno,3,FALSE)</f>
        <v>0</v>
      </c>
      <c r="AV386" s="18">
        <f t="shared" si="151"/>
        <v>1</v>
      </c>
      <c r="AW386" s="49">
        <f t="shared" si="138"/>
        <v>0</v>
      </c>
      <c r="AX386" s="49">
        <f>VLOOKUP(AF386,Leyenda!$B$4:$D$10,3,FALSE)</f>
        <v>0</v>
      </c>
      <c r="AY386" s="50">
        <f t="shared" si="132"/>
        <v>4</v>
      </c>
      <c r="AZ386" s="49">
        <f t="shared" si="139"/>
        <v>1</v>
      </c>
      <c r="BA386" s="49">
        <f>VLOOKUP(AN386,Leyenda!$B$70:$D$75,3,FALSE)</f>
        <v>15</v>
      </c>
      <c r="BB386" s="67">
        <f t="shared" si="140"/>
        <v>1.5</v>
      </c>
      <c r="BC386" s="67">
        <f>VLOOKUP(AF386,Leyenda!$B$4:$E$10,4,FALSE)</f>
        <v>0</v>
      </c>
      <c r="BD386" s="67">
        <f t="shared" si="141"/>
        <v>5</v>
      </c>
      <c r="BE386" s="67">
        <f t="shared" si="142"/>
        <v>0</v>
      </c>
      <c r="BF386" s="67">
        <f>+VLOOKUP('3. Blasting'!AK386,Leyenda!$B$47:$E$51,4,FALSE)</f>
        <v>0</v>
      </c>
      <c r="BG386" s="67">
        <f>+VLOOKUP('3. Blasting'!AL386,Leyenda!$B$55:$E$59,4,FALSE)</f>
        <v>1</v>
      </c>
      <c r="BH386" s="67">
        <f>+VLOOKUP('3. Blasting'!AM386,Leyenda!$B$63:$E$67,3,FALSE)</f>
        <v>0</v>
      </c>
      <c r="BI386" s="67">
        <f>+VLOOKUP('3. Blasting'!AJ386,Leyenda!$B$39:$E$43,4,FALSE)</f>
        <v>0</v>
      </c>
      <c r="BJ386" s="67">
        <f>+VLOOKUP('3. Blasting'!AI386,Leyenda!$B$30:$E$34,4,FALSE)</f>
        <v>0</v>
      </c>
      <c r="BK386" s="67">
        <f>VLOOKUP(AN386,Leyenda!$B$71:$E$75,4,FALSE)</f>
        <v>10</v>
      </c>
      <c r="BL386" s="67">
        <f t="shared" si="143"/>
        <v>16</v>
      </c>
      <c r="BM386" s="18">
        <f t="shared" si="144"/>
        <v>20</v>
      </c>
      <c r="BN386" s="18"/>
      <c r="BO386" s="18"/>
      <c r="BS386">
        <f t="shared" si="147"/>
        <v>-50</v>
      </c>
      <c r="BT386">
        <f t="shared" si="148"/>
        <v>0</v>
      </c>
      <c r="BU386">
        <f t="shared" si="149"/>
        <v>-25</v>
      </c>
      <c r="BV386" s="1">
        <f t="shared" si="133"/>
        <v>-0.1</v>
      </c>
      <c r="BW386" s="1">
        <f t="shared" si="134"/>
        <v>0</v>
      </c>
    </row>
    <row r="387" spans="1:75" hidden="1" x14ac:dyDescent="0.25">
      <c r="A387" s="18" t="s">
        <v>6</v>
      </c>
      <c r="B387" s="18">
        <v>2024</v>
      </c>
      <c r="C387" s="18" t="s">
        <v>138</v>
      </c>
      <c r="D387" s="18" t="s">
        <v>132</v>
      </c>
      <c r="E387" s="18">
        <v>50</v>
      </c>
      <c r="F387" s="18" t="s">
        <v>154</v>
      </c>
      <c r="G387" s="18" t="s">
        <v>166</v>
      </c>
      <c r="H387" s="4">
        <f t="shared" si="155"/>
        <v>16</v>
      </c>
      <c r="I387" s="18">
        <v>16.5</v>
      </c>
      <c r="J387" s="4">
        <f t="shared" si="135"/>
        <v>0.5</v>
      </c>
      <c r="K387" s="5">
        <v>0.56000000000000005</v>
      </c>
      <c r="L387" s="31">
        <f t="shared" si="136"/>
        <v>0.28000000000000003</v>
      </c>
      <c r="M387" s="31"/>
      <c r="N387" s="31"/>
      <c r="O387" s="31">
        <f t="shared" si="153"/>
        <v>0.28000000000000003</v>
      </c>
      <c r="P387" s="31">
        <v>14</v>
      </c>
      <c r="Q387" s="31">
        <v>20</v>
      </c>
      <c r="R387" s="31">
        <v>0.24</v>
      </c>
      <c r="S387" s="31">
        <v>0</v>
      </c>
      <c r="T387" s="65">
        <f t="shared" si="150"/>
        <v>0</v>
      </c>
      <c r="U387" s="31">
        <v>10</v>
      </c>
      <c r="V387" s="31"/>
      <c r="W387" s="31">
        <f t="shared" si="154"/>
        <v>10</v>
      </c>
      <c r="X387" s="31">
        <f t="shared" si="156"/>
        <v>24</v>
      </c>
      <c r="Y387" s="31">
        <f t="shared" si="137"/>
        <v>2.4E-2</v>
      </c>
      <c r="Z387" s="18">
        <v>0</v>
      </c>
      <c r="AA387" s="18" t="s">
        <v>100</v>
      </c>
      <c r="AB387" s="18" t="s">
        <v>333</v>
      </c>
      <c r="AC387" s="18" t="s">
        <v>336</v>
      </c>
      <c r="AD387" s="18">
        <v>20</v>
      </c>
      <c r="AE387" s="18">
        <v>14</v>
      </c>
      <c r="AF387" s="18" t="s">
        <v>32</v>
      </c>
      <c r="AG387" s="18"/>
      <c r="AH387" s="18"/>
      <c r="AI387" s="18" t="s">
        <v>69</v>
      </c>
      <c r="AJ387" s="18" t="s">
        <v>81</v>
      </c>
      <c r="AK387" s="18" t="s">
        <v>100</v>
      </c>
      <c r="AL387" s="18" t="s">
        <v>109</v>
      </c>
      <c r="AM387" s="18" t="s">
        <v>122</v>
      </c>
      <c r="AN387" s="18" t="s">
        <v>198</v>
      </c>
      <c r="AO387" s="18"/>
      <c r="AP387" s="18"/>
      <c r="AQ387" s="18">
        <f>+VLOOKUP(AI387,Leyenda!$B$30:$E$34,3,FALSE)</f>
        <v>0</v>
      </c>
      <c r="AR387" s="18">
        <f>+VLOOKUP('3. Blasting'!AJ387,Meteorizacion,3,FALSE)</f>
        <v>0</v>
      </c>
      <c r="AS387" s="18">
        <f>+VLOOKUP('3. Blasting'!AK387,Apertura,3,FALSE)</f>
        <v>0</v>
      </c>
      <c r="AT387" s="18">
        <f>+VLOOKUP('3. Blasting'!AL387,Leyenda!$B$55:$D$59,3,FALSE)</f>
        <v>1</v>
      </c>
      <c r="AU387" s="18">
        <f>+VLOOKUP('3. Blasting'!AM387,Relleno,3,FALSE)</f>
        <v>0</v>
      </c>
      <c r="AV387" s="18">
        <f t="shared" si="151"/>
        <v>1</v>
      </c>
      <c r="AW387" s="49">
        <f t="shared" si="138"/>
        <v>0</v>
      </c>
      <c r="AX387" s="49">
        <f>VLOOKUP(AF387,Leyenda!$B$4:$D$10,3,FALSE)</f>
        <v>1</v>
      </c>
      <c r="AY387" s="50">
        <f t="shared" si="132"/>
        <v>4</v>
      </c>
      <c r="AZ387" s="49">
        <f t="shared" si="139"/>
        <v>1</v>
      </c>
      <c r="BA387" s="49">
        <f>VLOOKUP(AN387,Leyenda!$B$70:$D$75,3,FALSE)</f>
        <v>15</v>
      </c>
      <c r="BB387" s="67">
        <f t="shared" si="140"/>
        <v>1.5</v>
      </c>
      <c r="BC387" s="67">
        <f>VLOOKUP(AF387,Leyenda!$B$4:$E$10,4,FALSE)</f>
        <v>1</v>
      </c>
      <c r="BD387" s="67">
        <f t="shared" si="141"/>
        <v>5</v>
      </c>
      <c r="BE387" s="67">
        <f t="shared" si="142"/>
        <v>0</v>
      </c>
      <c r="BF387" s="67">
        <f>+VLOOKUP('3. Blasting'!AK387,Leyenda!$B$47:$E$51,4,FALSE)</f>
        <v>0</v>
      </c>
      <c r="BG387" s="67">
        <f>+VLOOKUP('3. Blasting'!AL387,Leyenda!$B$55:$E$59,4,FALSE)</f>
        <v>1</v>
      </c>
      <c r="BH387" s="67">
        <f>+VLOOKUP('3. Blasting'!AM387,Leyenda!$B$63:$E$67,3,FALSE)</f>
        <v>0</v>
      </c>
      <c r="BI387" s="67">
        <f>+VLOOKUP('3. Blasting'!AJ387,Leyenda!$B$39:$E$43,4,FALSE)</f>
        <v>0</v>
      </c>
      <c r="BJ387" s="67">
        <f>+VLOOKUP('3. Blasting'!AI387,Leyenda!$B$30:$E$34,4,FALSE)</f>
        <v>0</v>
      </c>
      <c r="BK387" s="67">
        <f>VLOOKUP(AN387,Leyenda!$B$71:$E$75,4,FALSE)</f>
        <v>10</v>
      </c>
      <c r="BL387" s="67">
        <f t="shared" si="143"/>
        <v>17</v>
      </c>
      <c r="BM387" s="18">
        <f t="shared" si="144"/>
        <v>21</v>
      </c>
      <c r="BN387" s="18"/>
      <c r="BO387" s="18"/>
      <c r="BS387">
        <f t="shared" si="147"/>
        <v>-50</v>
      </c>
      <c r="BT387">
        <f t="shared" si="148"/>
        <v>0</v>
      </c>
      <c r="BU387">
        <f t="shared" si="149"/>
        <v>-25</v>
      </c>
      <c r="BV387" s="1">
        <f t="shared" si="133"/>
        <v>-0.1</v>
      </c>
      <c r="BW387" s="1">
        <f t="shared" si="134"/>
        <v>0</v>
      </c>
    </row>
    <row r="388" spans="1:75" hidden="1" x14ac:dyDescent="0.25">
      <c r="A388" s="18" t="s">
        <v>6</v>
      </c>
      <c r="B388" s="18">
        <v>2024</v>
      </c>
      <c r="C388" s="18" t="s">
        <v>138</v>
      </c>
      <c r="D388" s="18" t="s">
        <v>132</v>
      </c>
      <c r="E388" s="18">
        <v>50</v>
      </c>
      <c r="F388" s="18" t="s">
        <v>154</v>
      </c>
      <c r="G388" s="18" t="s">
        <v>166</v>
      </c>
      <c r="H388" s="4">
        <f t="shared" si="155"/>
        <v>16.5</v>
      </c>
      <c r="I388" s="18">
        <v>17</v>
      </c>
      <c r="J388" s="4">
        <f t="shared" si="135"/>
        <v>0.5</v>
      </c>
      <c r="K388" s="5">
        <v>0.6</v>
      </c>
      <c r="L388" s="31">
        <f t="shared" si="136"/>
        <v>0.3</v>
      </c>
      <c r="M388" s="31"/>
      <c r="N388" s="31"/>
      <c r="O388" s="31">
        <f t="shared" si="153"/>
        <v>0.3</v>
      </c>
      <c r="P388" s="31">
        <v>15</v>
      </c>
      <c r="Q388" s="31">
        <v>20</v>
      </c>
      <c r="R388" s="31">
        <v>0.27</v>
      </c>
      <c r="S388" s="31">
        <v>0</v>
      </c>
      <c r="T388" s="65">
        <f t="shared" si="150"/>
        <v>0</v>
      </c>
      <c r="U388" s="31">
        <v>10</v>
      </c>
      <c r="V388" s="31"/>
      <c r="W388" s="31">
        <f t="shared" si="154"/>
        <v>10</v>
      </c>
      <c r="X388" s="31">
        <f t="shared" si="156"/>
        <v>27</v>
      </c>
      <c r="Y388" s="31">
        <f t="shared" si="137"/>
        <v>2.7E-2</v>
      </c>
      <c r="Z388" s="18">
        <v>0</v>
      </c>
      <c r="AA388" s="18" t="s">
        <v>330</v>
      </c>
      <c r="AB388" s="18" t="s">
        <v>333</v>
      </c>
      <c r="AC388" s="18" t="s">
        <v>335</v>
      </c>
      <c r="AD388" s="18">
        <v>20</v>
      </c>
      <c r="AE388" s="18">
        <v>15</v>
      </c>
      <c r="AF388" s="18" t="s">
        <v>34</v>
      </c>
      <c r="AG388" s="18"/>
      <c r="AH388" s="18"/>
      <c r="AI388" s="18" t="s">
        <v>69</v>
      </c>
      <c r="AJ388" s="18" t="s">
        <v>81</v>
      </c>
      <c r="AK388" s="18" t="s">
        <v>100</v>
      </c>
      <c r="AL388" s="18" t="s">
        <v>109</v>
      </c>
      <c r="AM388" s="18" t="s">
        <v>122</v>
      </c>
      <c r="AN388" s="18" t="s">
        <v>198</v>
      </c>
      <c r="AO388" s="18"/>
      <c r="AP388" s="18"/>
      <c r="AQ388" s="18">
        <f>+VLOOKUP(AI388,Leyenda!$B$30:$E$34,3,FALSE)</f>
        <v>0</v>
      </c>
      <c r="AR388" s="18">
        <f>+VLOOKUP('3. Blasting'!AJ388,Meteorizacion,3,FALSE)</f>
        <v>0</v>
      </c>
      <c r="AS388" s="18">
        <f>+VLOOKUP('3. Blasting'!AK388,Apertura,3,FALSE)</f>
        <v>0</v>
      </c>
      <c r="AT388" s="18">
        <f>+VLOOKUP('3. Blasting'!AL388,Leyenda!$B$55:$D$59,3,FALSE)</f>
        <v>1</v>
      </c>
      <c r="AU388" s="18">
        <f>+VLOOKUP('3. Blasting'!AM388,Relleno,3,FALSE)</f>
        <v>0</v>
      </c>
      <c r="AV388" s="18">
        <f t="shared" si="151"/>
        <v>1</v>
      </c>
      <c r="AW388" s="49">
        <f t="shared" si="138"/>
        <v>0</v>
      </c>
      <c r="AX388" s="49">
        <f>VLOOKUP(AF388,Leyenda!$B$4:$D$10,3,FALSE)</f>
        <v>0</v>
      </c>
      <c r="AY388" s="50">
        <f t="shared" si="132"/>
        <v>4</v>
      </c>
      <c r="AZ388" s="49">
        <f t="shared" si="139"/>
        <v>1</v>
      </c>
      <c r="BA388" s="49">
        <f>VLOOKUP(AN388,Leyenda!$B$70:$D$75,3,FALSE)</f>
        <v>15</v>
      </c>
      <c r="BB388" s="67">
        <f t="shared" si="140"/>
        <v>1.5</v>
      </c>
      <c r="BC388" s="67">
        <f>VLOOKUP(AF388,Leyenda!$B$4:$E$10,4,FALSE)</f>
        <v>0</v>
      </c>
      <c r="BD388" s="67">
        <f t="shared" si="141"/>
        <v>5</v>
      </c>
      <c r="BE388" s="67">
        <f t="shared" si="142"/>
        <v>0</v>
      </c>
      <c r="BF388" s="67">
        <f>+VLOOKUP('3. Blasting'!AK388,Leyenda!$B$47:$E$51,4,FALSE)</f>
        <v>0</v>
      </c>
      <c r="BG388" s="67">
        <f>+VLOOKUP('3. Blasting'!AL388,Leyenda!$B$55:$E$59,4,FALSE)</f>
        <v>1</v>
      </c>
      <c r="BH388" s="67">
        <f>+VLOOKUP('3. Blasting'!AM388,Leyenda!$B$63:$E$67,3,FALSE)</f>
        <v>0</v>
      </c>
      <c r="BI388" s="67">
        <f>+VLOOKUP('3. Blasting'!AJ388,Leyenda!$B$39:$E$43,4,FALSE)</f>
        <v>0</v>
      </c>
      <c r="BJ388" s="67">
        <f>+VLOOKUP('3. Blasting'!AI388,Leyenda!$B$30:$E$34,4,FALSE)</f>
        <v>0</v>
      </c>
      <c r="BK388" s="67">
        <f>VLOOKUP(AN388,Leyenda!$B$71:$E$75,4,FALSE)</f>
        <v>10</v>
      </c>
      <c r="BL388" s="67">
        <f t="shared" si="143"/>
        <v>16</v>
      </c>
      <c r="BM388" s="18">
        <f t="shared" si="144"/>
        <v>20</v>
      </c>
      <c r="BN388" s="18"/>
      <c r="BO388" s="18"/>
      <c r="BS388">
        <f t="shared" si="147"/>
        <v>-50</v>
      </c>
      <c r="BT388">
        <f t="shared" si="148"/>
        <v>0</v>
      </c>
      <c r="BU388">
        <f t="shared" si="149"/>
        <v>-25</v>
      </c>
      <c r="BV388" s="1">
        <f t="shared" ref="BV388:BV451" si="157">0.004*BU388</f>
        <v>-0.1</v>
      </c>
      <c r="BW388" s="1">
        <f t="shared" ref="BW388:BW451" si="158">+BV388*M388</f>
        <v>0</v>
      </c>
    </row>
    <row r="389" spans="1:75" hidden="1" x14ac:dyDescent="0.25">
      <c r="A389" s="36" t="s">
        <v>6</v>
      </c>
      <c r="B389" s="36">
        <v>2024</v>
      </c>
      <c r="C389" s="36" t="s">
        <v>138</v>
      </c>
      <c r="D389" s="36" t="s">
        <v>132</v>
      </c>
      <c r="E389" s="36">
        <v>50</v>
      </c>
      <c r="F389" s="36" t="s">
        <v>154</v>
      </c>
      <c r="G389" s="36" t="s">
        <v>166</v>
      </c>
      <c r="H389" s="107">
        <f t="shared" si="155"/>
        <v>17</v>
      </c>
      <c r="I389" s="36">
        <v>17.5</v>
      </c>
      <c r="J389" s="107">
        <f t="shared" si="135"/>
        <v>0.5</v>
      </c>
      <c r="K389" s="108">
        <v>0.5</v>
      </c>
      <c r="L389" s="106">
        <f t="shared" si="136"/>
        <v>0.25</v>
      </c>
      <c r="M389" s="106"/>
      <c r="N389" s="106"/>
      <c r="O389" s="106">
        <f t="shared" si="153"/>
        <v>0.25</v>
      </c>
      <c r="P389" s="106">
        <v>12.5</v>
      </c>
      <c r="Q389" s="106">
        <v>20</v>
      </c>
      <c r="R389" s="106">
        <v>0.22</v>
      </c>
      <c r="S389" s="106">
        <v>0</v>
      </c>
      <c r="T389" s="112">
        <f t="shared" si="150"/>
        <v>0</v>
      </c>
      <c r="U389" s="106">
        <v>10</v>
      </c>
      <c r="V389" s="106"/>
      <c r="W389" s="106">
        <f t="shared" si="154"/>
        <v>10</v>
      </c>
      <c r="X389" s="106">
        <f t="shared" si="156"/>
        <v>22</v>
      </c>
      <c r="Y389" s="106">
        <f t="shared" ref="Y389:Y452" si="159">+X389/1000</f>
        <v>2.1999999999999999E-2</v>
      </c>
      <c r="Z389" s="36">
        <v>0</v>
      </c>
      <c r="AA389" s="36" t="s">
        <v>330</v>
      </c>
      <c r="AB389" s="36" t="s">
        <v>333</v>
      </c>
      <c r="AC389" s="36" t="s">
        <v>335</v>
      </c>
      <c r="AD389" s="36">
        <v>20</v>
      </c>
      <c r="AE389" s="36">
        <v>12.5</v>
      </c>
      <c r="AF389" s="36" t="s">
        <v>34</v>
      </c>
      <c r="AG389" s="36"/>
      <c r="AH389" s="36"/>
      <c r="AI389" s="36" t="s">
        <v>69</v>
      </c>
      <c r="AJ389" s="36" t="s">
        <v>81</v>
      </c>
      <c r="AK389" s="36" t="s">
        <v>100</v>
      </c>
      <c r="AL389" s="36" t="s">
        <v>109</v>
      </c>
      <c r="AM389" s="36" t="s">
        <v>122</v>
      </c>
      <c r="AN389" s="36" t="s">
        <v>198</v>
      </c>
      <c r="AO389" s="36"/>
      <c r="AP389" s="36"/>
      <c r="AQ389" s="36">
        <f>+VLOOKUP(AI389,Leyenda!$B$30:$E$34,3,FALSE)</f>
        <v>0</v>
      </c>
      <c r="AR389" s="36">
        <f>+VLOOKUP('3. Blasting'!AJ389,Meteorizacion,3,FALSE)</f>
        <v>0</v>
      </c>
      <c r="AS389" s="36">
        <f>+VLOOKUP('3. Blasting'!AK389,Apertura,3,FALSE)</f>
        <v>0</v>
      </c>
      <c r="AT389" s="36">
        <f>+VLOOKUP('3. Blasting'!AL389,Leyenda!$B$55:$D$59,3,FALSE)</f>
        <v>1</v>
      </c>
      <c r="AU389" s="36">
        <f>+VLOOKUP('3. Blasting'!AM389,Relleno,3,FALSE)</f>
        <v>0</v>
      </c>
      <c r="AV389" s="36">
        <f t="shared" si="151"/>
        <v>1</v>
      </c>
      <c r="AW389" s="50">
        <f t="shared" si="138"/>
        <v>0</v>
      </c>
      <c r="AX389" s="50">
        <f>VLOOKUP(AF389,Leyenda!$B$4:$D$10,3,FALSE)</f>
        <v>0</v>
      </c>
      <c r="AY389" s="50">
        <f t="shared" ref="AY389:AY452" si="160">IF(P389="",ROUND((IF(P389&lt;=400,1.5478*POWER(P389,0.3351),-2*POWER(10,-6)*POWER(P389,2)+0.0091*P389+8.1704)),0),ROUND((IF(P389&lt;=400,1.5478*POWER(P389,0.3351),-2*POWER(10,-6)*POWER(P389,2)+0.0091*P389+8.1704)),0))</f>
        <v>4</v>
      </c>
      <c r="AZ389" s="50">
        <f t="shared" si="139"/>
        <v>1</v>
      </c>
      <c r="BA389" s="50">
        <f>VLOOKUP(AN389,Leyenda!$B$70:$D$75,3,FALSE)</f>
        <v>15</v>
      </c>
      <c r="BB389" s="110">
        <f t="shared" si="140"/>
        <v>1.5</v>
      </c>
      <c r="BC389" s="110">
        <f>VLOOKUP(AF389,Leyenda!$B$4:$E$10,4,FALSE)</f>
        <v>0</v>
      </c>
      <c r="BD389" s="110">
        <f t="shared" si="141"/>
        <v>5</v>
      </c>
      <c r="BE389" s="110">
        <f t="shared" si="142"/>
        <v>0</v>
      </c>
      <c r="BF389" s="110">
        <f>+VLOOKUP('3. Blasting'!AK389,Leyenda!$B$47:$E$51,4,FALSE)</f>
        <v>0</v>
      </c>
      <c r="BG389" s="110">
        <f>+VLOOKUP('3. Blasting'!AL389,Leyenda!$B$55:$E$59,4,FALSE)</f>
        <v>1</v>
      </c>
      <c r="BH389" s="110">
        <f>+VLOOKUP('3. Blasting'!AM389,Leyenda!$B$63:$E$67,3,FALSE)</f>
        <v>0</v>
      </c>
      <c r="BI389" s="110">
        <f>+VLOOKUP('3. Blasting'!AJ389,Leyenda!$B$39:$E$43,4,FALSE)</f>
        <v>0</v>
      </c>
      <c r="BJ389" s="110">
        <f>+VLOOKUP('3. Blasting'!AI389,Leyenda!$B$30:$E$34,4,FALSE)</f>
        <v>0</v>
      </c>
      <c r="BK389" s="110">
        <f>VLOOKUP(AN389,Leyenda!$B$71:$E$75,4,FALSE)</f>
        <v>10</v>
      </c>
      <c r="BL389" s="110">
        <f t="shared" si="143"/>
        <v>16</v>
      </c>
      <c r="BM389" s="36">
        <f t="shared" si="144"/>
        <v>20</v>
      </c>
      <c r="BN389" s="36"/>
      <c r="BO389" s="36"/>
      <c r="BS389">
        <f t="shared" ref="BS389:BS452" si="161">25*M389-50</f>
        <v>-50</v>
      </c>
      <c r="BT389">
        <f t="shared" ref="BT389:BT452" si="162">0.05*N389</f>
        <v>0</v>
      </c>
      <c r="BU389">
        <f t="shared" ref="BU389:BU452" si="163">0.5*((BP389+BQ389)+BR389+BS389+BT389)</f>
        <v>-25</v>
      </c>
      <c r="BV389" s="1">
        <f t="shared" si="157"/>
        <v>-0.1</v>
      </c>
      <c r="BW389" s="1">
        <f t="shared" si="158"/>
        <v>0</v>
      </c>
    </row>
    <row r="390" spans="1:75" x14ac:dyDescent="0.25">
      <c r="A390" s="18" t="s">
        <v>6</v>
      </c>
      <c r="B390" s="18">
        <v>2024</v>
      </c>
      <c r="C390" s="18" t="s">
        <v>138</v>
      </c>
      <c r="D390" s="18" t="s">
        <v>132</v>
      </c>
      <c r="E390" s="18">
        <v>40</v>
      </c>
      <c r="F390" s="18" t="s">
        <v>153</v>
      </c>
      <c r="G390" s="18" t="s">
        <v>166</v>
      </c>
      <c r="H390" s="4">
        <f t="shared" si="155"/>
        <v>17.5</v>
      </c>
      <c r="I390" s="18">
        <v>18</v>
      </c>
      <c r="J390" s="4">
        <f t="shared" ref="J390:J454" si="164">+I390-H390</f>
        <v>0.5</v>
      </c>
      <c r="K390" s="5">
        <v>0.28000000000000003</v>
      </c>
      <c r="L390" s="31">
        <f t="shared" ref="L390:L453" si="165">+J390*K390</f>
        <v>0.14000000000000001</v>
      </c>
      <c r="M390" s="31">
        <v>2.14</v>
      </c>
      <c r="N390" s="31">
        <v>31.3</v>
      </c>
      <c r="O390" s="31">
        <f t="shared" si="153"/>
        <v>0.14000000000000001</v>
      </c>
      <c r="P390" s="31">
        <v>7</v>
      </c>
      <c r="Q390" s="31">
        <v>20</v>
      </c>
      <c r="R390" s="31">
        <v>0.13</v>
      </c>
      <c r="S390" s="31">
        <v>0</v>
      </c>
      <c r="T390" s="65">
        <f t="shared" si="150"/>
        <v>0</v>
      </c>
      <c r="U390" s="31">
        <v>5</v>
      </c>
      <c r="V390" s="31"/>
      <c r="W390" s="31">
        <f t="shared" si="154"/>
        <v>5</v>
      </c>
      <c r="X390" s="31">
        <f t="shared" si="156"/>
        <v>26</v>
      </c>
      <c r="Y390" s="31">
        <f t="shared" si="159"/>
        <v>2.5999999999999999E-2</v>
      </c>
      <c r="Z390" s="18">
        <v>0</v>
      </c>
      <c r="AA390" s="18" t="s">
        <v>330</v>
      </c>
      <c r="AB390" s="18" t="s">
        <v>333</v>
      </c>
      <c r="AC390" s="18" t="s">
        <v>335</v>
      </c>
      <c r="AD390" s="18">
        <v>20</v>
      </c>
      <c r="AE390" s="18">
        <v>7</v>
      </c>
      <c r="AF390" s="18" t="s">
        <v>34</v>
      </c>
      <c r="AG390" s="18"/>
      <c r="AH390" s="18"/>
      <c r="AI390" s="18" t="s">
        <v>69</v>
      </c>
      <c r="AJ390" s="18" t="s">
        <v>81</v>
      </c>
      <c r="AK390" s="18" t="s">
        <v>100</v>
      </c>
      <c r="AL390" s="18" t="s">
        <v>107</v>
      </c>
      <c r="AM390" s="18" t="s">
        <v>120</v>
      </c>
      <c r="AN390" s="18" t="s">
        <v>247</v>
      </c>
      <c r="AO390" s="18"/>
      <c r="AP390" s="18"/>
      <c r="AQ390" s="18">
        <f>+VLOOKUP(AI390,Leyenda!$B$30:$E$34,3,FALSE)</f>
        <v>0</v>
      </c>
      <c r="AR390" s="18">
        <f>+VLOOKUP('3. Blasting'!AJ390,Meteorizacion,3,FALSE)</f>
        <v>0</v>
      </c>
      <c r="AS390" s="18">
        <f>+VLOOKUP('3. Blasting'!AK390,Apertura,3,FALSE)</f>
        <v>0</v>
      </c>
      <c r="AT390" s="18">
        <f>+VLOOKUP('3. Blasting'!AL390,Leyenda!$B$55:$D$59,3,FALSE)</f>
        <v>3</v>
      </c>
      <c r="AU390" s="18">
        <f>+VLOOKUP('3. Blasting'!AM390,Relleno,3,FALSE)</f>
        <v>2</v>
      </c>
      <c r="AV390" s="18">
        <f t="shared" si="151"/>
        <v>5</v>
      </c>
      <c r="AW390" s="49">
        <f t="shared" ref="AW390:AW453" si="166">ROUND(-0.0002*POWER(Z390,2)+0.2197*Z390,0)</f>
        <v>0</v>
      </c>
      <c r="AX390" s="49">
        <f>VLOOKUP(AF390,Leyenda!$B$4:$D$10,3,FALSE)</f>
        <v>0</v>
      </c>
      <c r="AY390" s="49">
        <f t="shared" si="160"/>
        <v>3</v>
      </c>
      <c r="AZ390" s="49">
        <f t="shared" ref="AZ390:AZ453" si="167">+AV390</f>
        <v>5</v>
      </c>
      <c r="BA390" s="49">
        <f>VLOOKUP(AN390,Leyenda!$B$70:$D$75,3,FALSE)</f>
        <v>10</v>
      </c>
      <c r="BB390" s="67">
        <f t="shared" ref="BB390:BB453" si="168">1.5*AV390+(T390*0.5)</f>
        <v>7.5</v>
      </c>
      <c r="BC390" s="67">
        <f>VLOOKUP(AF390,Leyenda!$B$4:$E$10,4,FALSE)</f>
        <v>0</v>
      </c>
      <c r="BD390" s="67">
        <f t="shared" ref="BD390:BD453" si="169">IF(X390="",ROUND(IF(X390&lt;=50,5,IF(X390&gt;=3000,30,6.038*LN(X390)-19.63)),0),ROUND(IF(X390&lt;=50,5,IF(X390&gt;=3000,30,6.038*LN(X390)-19.63)),0))</f>
        <v>5</v>
      </c>
      <c r="BE390" s="67">
        <f t="shared" ref="BE390:BE453" si="170">ROUND(-0.0002*POWER(T390,2)+0.2197*T390,0)</f>
        <v>0</v>
      </c>
      <c r="BF390" s="67">
        <f>+VLOOKUP('3. Blasting'!AK390,Leyenda!$B$47:$E$51,4,FALSE)</f>
        <v>0</v>
      </c>
      <c r="BG390" s="67">
        <f>+VLOOKUP('3. Blasting'!AL390,Leyenda!$B$55:$E$59,4,FALSE)</f>
        <v>3</v>
      </c>
      <c r="BH390" s="67">
        <f>+VLOOKUP('3. Blasting'!AM390,Leyenda!$B$63:$E$67,3,FALSE)</f>
        <v>2</v>
      </c>
      <c r="BI390" s="67">
        <f>+VLOOKUP('3. Blasting'!AJ390,Leyenda!$B$39:$E$43,4,FALSE)</f>
        <v>0</v>
      </c>
      <c r="BJ390" s="67">
        <f>+VLOOKUP('3. Blasting'!AI390,Leyenda!$B$30:$E$34,4,FALSE)</f>
        <v>0</v>
      </c>
      <c r="BK390" s="67">
        <f>VLOOKUP(AN390,Leyenda!$B$71:$E$75,4,FALSE)</f>
        <v>7</v>
      </c>
      <c r="BL390" s="125">
        <f t="shared" ref="BL390:BL453" si="171">+BC390+BD390+BE390+BF390+BG390+BH390+BI390+BJ390+BK390</f>
        <v>17</v>
      </c>
      <c r="BM390" s="85">
        <f t="shared" ref="BM390:BM453" si="172">+AX390+AY390+AW390+AZ390+BA390</f>
        <v>18</v>
      </c>
      <c r="BN390" s="18" t="e">
        <f t="shared" ref="BN390:BN401" si="173">+CORREL(BB390:BB739,BL390:BL739)</f>
        <v>#N/A</v>
      </c>
      <c r="BO390" s="18"/>
      <c r="BP390" s="6">
        <f t="shared" ref="BP390:BP423" si="174">+IF(BL390&lt;30,10,IF(BL390&lt;=41,20,30))</f>
        <v>10</v>
      </c>
      <c r="BQ390" s="6">
        <f t="shared" ref="BQ390:BQ423" si="175">+IF(Y390&lt;0.1,10,IF(AND(Y390&gt;0.1,Y390&lt;1),20,50))</f>
        <v>10</v>
      </c>
      <c r="BR390" s="6">
        <v>20</v>
      </c>
      <c r="BS390" s="6">
        <f t="shared" si="161"/>
        <v>3.5</v>
      </c>
      <c r="BT390" s="6">
        <f t="shared" si="162"/>
        <v>1.5650000000000002</v>
      </c>
      <c r="BU390" s="6">
        <f t="shared" si="163"/>
        <v>22.532499999999999</v>
      </c>
      <c r="BV390" s="18">
        <f t="shared" si="157"/>
        <v>9.0130000000000002E-2</v>
      </c>
      <c r="BW390" s="18">
        <f t="shared" si="158"/>
        <v>0.19287820000000003</v>
      </c>
    </row>
    <row r="391" spans="1:75" x14ac:dyDescent="0.25">
      <c r="A391" s="18" t="s">
        <v>6</v>
      </c>
      <c r="B391" s="18">
        <v>2024</v>
      </c>
      <c r="C391" s="18" t="s">
        <v>138</v>
      </c>
      <c r="D391" s="18" t="s">
        <v>132</v>
      </c>
      <c r="E391" s="18">
        <v>40</v>
      </c>
      <c r="F391" s="18" t="s">
        <v>153</v>
      </c>
      <c r="G391" s="18" t="s">
        <v>166</v>
      </c>
      <c r="H391" s="4">
        <f t="shared" si="155"/>
        <v>18</v>
      </c>
      <c r="I391" s="18">
        <v>18.5</v>
      </c>
      <c r="J391" s="4">
        <f t="shared" si="164"/>
        <v>0.5</v>
      </c>
      <c r="K391" s="5">
        <v>0.62</v>
      </c>
      <c r="L391" s="31">
        <f t="shared" si="165"/>
        <v>0.31</v>
      </c>
      <c r="M391" s="31">
        <v>2.14</v>
      </c>
      <c r="N391" s="31">
        <v>31.3</v>
      </c>
      <c r="O391" s="31">
        <f t="shared" si="153"/>
        <v>0.31</v>
      </c>
      <c r="P391" s="31">
        <v>15.5</v>
      </c>
      <c r="Q391" s="31">
        <v>20</v>
      </c>
      <c r="R391" s="31">
        <v>0.28999999999999998</v>
      </c>
      <c r="S391" s="31">
        <v>0</v>
      </c>
      <c r="T391" s="65">
        <f t="shared" si="150"/>
        <v>0</v>
      </c>
      <c r="U391" s="31">
        <v>5</v>
      </c>
      <c r="V391" s="31"/>
      <c r="W391" s="31">
        <f t="shared" si="154"/>
        <v>5</v>
      </c>
      <c r="X391" s="31">
        <f t="shared" si="156"/>
        <v>58</v>
      </c>
      <c r="Y391" s="31">
        <f t="shared" si="159"/>
        <v>5.8000000000000003E-2</v>
      </c>
      <c r="Z391" s="18">
        <v>0</v>
      </c>
      <c r="AA391" s="18" t="s">
        <v>330</v>
      </c>
      <c r="AB391" s="18" t="s">
        <v>333</v>
      </c>
      <c r="AC391" s="18" t="s">
        <v>335</v>
      </c>
      <c r="AD391" s="18">
        <v>20</v>
      </c>
      <c r="AE391" s="18">
        <v>15.5</v>
      </c>
      <c r="AF391" s="18" t="s">
        <v>34</v>
      </c>
      <c r="AG391" s="18"/>
      <c r="AH391" s="18"/>
      <c r="AI391" s="18" t="s">
        <v>69</v>
      </c>
      <c r="AJ391" s="18" t="s">
        <v>81</v>
      </c>
      <c r="AK391" s="18" t="s">
        <v>100</v>
      </c>
      <c r="AL391" s="18" t="s">
        <v>107</v>
      </c>
      <c r="AM391" s="18" t="s">
        <v>120</v>
      </c>
      <c r="AN391" s="18" t="s">
        <v>247</v>
      </c>
      <c r="AO391" s="18"/>
      <c r="AP391" s="18"/>
      <c r="AQ391" s="18">
        <f>+VLOOKUP(AI391,Leyenda!$B$30:$E$34,3,FALSE)</f>
        <v>0</v>
      </c>
      <c r="AR391" s="18">
        <f>+VLOOKUP('3. Blasting'!AJ391,Meteorizacion,3,FALSE)</f>
        <v>0</v>
      </c>
      <c r="AS391" s="18">
        <f>+VLOOKUP('3. Blasting'!AK391,Apertura,3,FALSE)</f>
        <v>0</v>
      </c>
      <c r="AT391" s="18">
        <f>+VLOOKUP('3. Blasting'!AL391,Leyenda!$B$55:$D$59,3,FALSE)</f>
        <v>3</v>
      </c>
      <c r="AU391" s="18">
        <f>+VLOOKUP('3. Blasting'!AM391,Relleno,3,FALSE)</f>
        <v>2</v>
      </c>
      <c r="AV391" s="18">
        <f t="shared" si="151"/>
        <v>5</v>
      </c>
      <c r="AW391" s="49">
        <f t="shared" si="166"/>
        <v>0</v>
      </c>
      <c r="AX391" s="49">
        <f>VLOOKUP(AF391,Leyenda!$B$4:$D$10,3,FALSE)</f>
        <v>0</v>
      </c>
      <c r="AY391" s="49">
        <f t="shared" si="160"/>
        <v>4</v>
      </c>
      <c r="AZ391" s="49">
        <f t="shared" si="167"/>
        <v>5</v>
      </c>
      <c r="BA391" s="49">
        <f>VLOOKUP(AN391,Leyenda!$B$70:$D$75,3,FALSE)</f>
        <v>10</v>
      </c>
      <c r="BB391" s="67">
        <f t="shared" si="168"/>
        <v>7.5</v>
      </c>
      <c r="BC391" s="67">
        <f>VLOOKUP(AF391,Leyenda!$B$4:$E$10,4,FALSE)</f>
        <v>0</v>
      </c>
      <c r="BD391" s="67">
        <f t="shared" si="169"/>
        <v>5</v>
      </c>
      <c r="BE391" s="67">
        <f t="shared" si="170"/>
        <v>0</v>
      </c>
      <c r="BF391" s="67">
        <f>+VLOOKUP('3. Blasting'!AK391,Leyenda!$B$47:$E$51,4,FALSE)</f>
        <v>0</v>
      </c>
      <c r="BG391" s="67">
        <f>+VLOOKUP('3. Blasting'!AL391,Leyenda!$B$55:$E$59,4,FALSE)</f>
        <v>3</v>
      </c>
      <c r="BH391" s="67">
        <f>+VLOOKUP('3. Blasting'!AM391,Leyenda!$B$63:$E$67,3,FALSE)</f>
        <v>2</v>
      </c>
      <c r="BI391" s="67">
        <f>+VLOOKUP('3. Blasting'!AJ391,Leyenda!$B$39:$E$43,4,FALSE)</f>
        <v>0</v>
      </c>
      <c r="BJ391" s="67">
        <f>+VLOOKUP('3. Blasting'!AI391,Leyenda!$B$30:$E$34,4,FALSE)</f>
        <v>0</v>
      </c>
      <c r="BK391" s="67">
        <f>VLOOKUP(AN391,Leyenda!$B$71:$E$75,4,FALSE)</f>
        <v>7</v>
      </c>
      <c r="BL391" s="125">
        <f t="shared" si="171"/>
        <v>17</v>
      </c>
      <c r="BM391" s="85">
        <f t="shared" si="172"/>
        <v>19</v>
      </c>
      <c r="BN391" s="18" t="e">
        <f t="shared" si="173"/>
        <v>#N/A</v>
      </c>
      <c r="BO391" s="18"/>
      <c r="BP391" s="6">
        <f t="shared" si="174"/>
        <v>10</v>
      </c>
      <c r="BQ391" s="6">
        <f t="shared" si="175"/>
        <v>10</v>
      </c>
      <c r="BR391" s="6">
        <v>20</v>
      </c>
      <c r="BS391" s="6">
        <f t="shared" si="161"/>
        <v>3.5</v>
      </c>
      <c r="BT391" s="6">
        <f t="shared" si="162"/>
        <v>1.5650000000000002</v>
      </c>
      <c r="BU391" s="6">
        <f t="shared" si="163"/>
        <v>22.532499999999999</v>
      </c>
      <c r="BV391" s="18">
        <f t="shared" si="157"/>
        <v>9.0130000000000002E-2</v>
      </c>
      <c r="BW391" s="18">
        <f t="shared" si="158"/>
        <v>0.19287820000000003</v>
      </c>
    </row>
    <row r="392" spans="1:75" x14ac:dyDescent="0.25">
      <c r="A392" s="18" t="s">
        <v>6</v>
      </c>
      <c r="B392" s="18">
        <v>2024</v>
      </c>
      <c r="C392" s="18" t="s">
        <v>138</v>
      </c>
      <c r="D392" s="18" t="s">
        <v>132</v>
      </c>
      <c r="E392" s="18">
        <v>40</v>
      </c>
      <c r="F392" s="18" t="s">
        <v>153</v>
      </c>
      <c r="G392" s="18" t="s">
        <v>166</v>
      </c>
      <c r="H392" s="4">
        <f t="shared" si="155"/>
        <v>18.5</v>
      </c>
      <c r="I392" s="18">
        <v>19</v>
      </c>
      <c r="J392" s="4">
        <f t="shared" si="164"/>
        <v>0.5</v>
      </c>
      <c r="K392" s="5">
        <v>0.22</v>
      </c>
      <c r="L392" s="31">
        <f t="shared" si="165"/>
        <v>0.11</v>
      </c>
      <c r="M392" s="31">
        <v>2.14</v>
      </c>
      <c r="N392" s="31">
        <v>31.3</v>
      </c>
      <c r="O392" s="31">
        <f t="shared" si="153"/>
        <v>0.11</v>
      </c>
      <c r="P392" s="31">
        <v>5.5</v>
      </c>
      <c r="Q392" s="31">
        <v>20</v>
      </c>
      <c r="R392" s="31">
        <v>0.1</v>
      </c>
      <c r="S392" s="31">
        <v>0</v>
      </c>
      <c r="T392" s="65">
        <f t="shared" si="150"/>
        <v>0</v>
      </c>
      <c r="U392" s="31">
        <v>5</v>
      </c>
      <c r="V392" s="31"/>
      <c r="W392" s="31">
        <f t="shared" si="154"/>
        <v>5</v>
      </c>
      <c r="X392" s="31">
        <f t="shared" si="156"/>
        <v>20</v>
      </c>
      <c r="Y392" s="31">
        <f t="shared" si="159"/>
        <v>0.02</v>
      </c>
      <c r="Z392" s="18">
        <v>0</v>
      </c>
      <c r="AA392" s="18" t="s">
        <v>100</v>
      </c>
      <c r="AB392" s="18" t="s">
        <v>333</v>
      </c>
      <c r="AC392" s="18" t="s">
        <v>336</v>
      </c>
      <c r="AD392" s="18">
        <v>20</v>
      </c>
      <c r="AE392" s="18">
        <v>5.5</v>
      </c>
      <c r="AF392" s="18" t="s">
        <v>32</v>
      </c>
      <c r="AG392" s="18"/>
      <c r="AH392" s="18"/>
      <c r="AI392" s="18" t="s">
        <v>69</v>
      </c>
      <c r="AJ392" s="18" t="s">
        <v>81</v>
      </c>
      <c r="AK392" s="18" t="s">
        <v>100</v>
      </c>
      <c r="AL392" s="18" t="s">
        <v>107</v>
      </c>
      <c r="AM392" s="18" t="s">
        <v>120</v>
      </c>
      <c r="AN392" s="18" t="s">
        <v>247</v>
      </c>
      <c r="AO392" s="18"/>
      <c r="AP392" s="18"/>
      <c r="AQ392" s="18">
        <f>+VLOOKUP(AI392,Leyenda!$B$30:$E$34,3,FALSE)</f>
        <v>0</v>
      </c>
      <c r="AR392" s="18">
        <f>+VLOOKUP('3. Blasting'!AJ392,Meteorizacion,3,FALSE)</f>
        <v>0</v>
      </c>
      <c r="AS392" s="18">
        <f>+VLOOKUP('3. Blasting'!AK392,Apertura,3,FALSE)</f>
        <v>0</v>
      </c>
      <c r="AT392" s="18">
        <f>+VLOOKUP('3. Blasting'!AL392,Leyenda!$B$55:$D$59,3,FALSE)</f>
        <v>3</v>
      </c>
      <c r="AU392" s="18">
        <f>+VLOOKUP('3. Blasting'!AM392,Relleno,3,FALSE)</f>
        <v>2</v>
      </c>
      <c r="AV392" s="18">
        <f t="shared" si="151"/>
        <v>5</v>
      </c>
      <c r="AW392" s="49">
        <f t="shared" si="166"/>
        <v>0</v>
      </c>
      <c r="AX392" s="49">
        <f>VLOOKUP(AF392,Leyenda!$B$4:$D$10,3,FALSE)</f>
        <v>1</v>
      </c>
      <c r="AY392" s="49">
        <f t="shared" si="160"/>
        <v>3</v>
      </c>
      <c r="AZ392" s="49">
        <f t="shared" si="167"/>
        <v>5</v>
      </c>
      <c r="BA392" s="49">
        <f>VLOOKUP(AN392,Leyenda!$B$70:$D$75,3,FALSE)</f>
        <v>10</v>
      </c>
      <c r="BB392" s="67">
        <f t="shared" si="168"/>
        <v>7.5</v>
      </c>
      <c r="BC392" s="67">
        <f>VLOOKUP(AF392,Leyenda!$B$4:$E$10,4,FALSE)</f>
        <v>1</v>
      </c>
      <c r="BD392" s="67">
        <f t="shared" si="169"/>
        <v>5</v>
      </c>
      <c r="BE392" s="67">
        <f t="shared" si="170"/>
        <v>0</v>
      </c>
      <c r="BF392" s="67">
        <f>+VLOOKUP('3. Blasting'!AK392,Leyenda!$B$47:$E$51,4,FALSE)</f>
        <v>0</v>
      </c>
      <c r="BG392" s="67">
        <f>+VLOOKUP('3. Blasting'!AL392,Leyenda!$B$55:$E$59,4,FALSE)</f>
        <v>3</v>
      </c>
      <c r="BH392" s="67">
        <f>+VLOOKUP('3. Blasting'!AM392,Leyenda!$B$63:$E$67,3,FALSE)</f>
        <v>2</v>
      </c>
      <c r="BI392" s="67">
        <f>+VLOOKUP('3. Blasting'!AJ392,Leyenda!$B$39:$E$43,4,FALSE)</f>
        <v>0</v>
      </c>
      <c r="BJ392" s="67">
        <f>+VLOOKUP('3. Blasting'!AI392,Leyenda!$B$30:$E$34,4,FALSE)</f>
        <v>0</v>
      </c>
      <c r="BK392" s="67">
        <f>VLOOKUP(AN392,Leyenda!$B$71:$E$75,4,FALSE)</f>
        <v>7</v>
      </c>
      <c r="BL392" s="125">
        <f t="shared" si="171"/>
        <v>18</v>
      </c>
      <c r="BM392" s="85">
        <f t="shared" si="172"/>
        <v>19</v>
      </c>
      <c r="BN392" s="18" t="e">
        <f t="shared" si="173"/>
        <v>#N/A</v>
      </c>
      <c r="BO392" s="18"/>
      <c r="BP392" s="6">
        <f t="shared" si="174"/>
        <v>10</v>
      </c>
      <c r="BQ392" s="6">
        <f t="shared" si="175"/>
        <v>10</v>
      </c>
      <c r="BR392" s="6">
        <v>20</v>
      </c>
      <c r="BS392" s="6">
        <f t="shared" si="161"/>
        <v>3.5</v>
      </c>
      <c r="BT392" s="6">
        <f t="shared" si="162"/>
        <v>1.5650000000000002</v>
      </c>
      <c r="BU392" s="6">
        <f t="shared" si="163"/>
        <v>22.532499999999999</v>
      </c>
      <c r="BV392" s="18">
        <f t="shared" si="157"/>
        <v>9.0130000000000002E-2</v>
      </c>
      <c r="BW392" s="18">
        <f t="shared" si="158"/>
        <v>0.19287820000000003</v>
      </c>
    </row>
    <row r="393" spans="1:75" x14ac:dyDescent="0.25">
      <c r="A393" s="18" t="s">
        <v>6</v>
      </c>
      <c r="B393" s="18">
        <v>2024</v>
      </c>
      <c r="C393" s="18" t="s">
        <v>138</v>
      </c>
      <c r="D393" s="18" t="s">
        <v>132</v>
      </c>
      <c r="E393" s="18">
        <v>40</v>
      </c>
      <c r="F393" s="18" t="s">
        <v>153</v>
      </c>
      <c r="G393" s="18" t="s">
        <v>166</v>
      </c>
      <c r="H393" s="4">
        <f t="shared" si="155"/>
        <v>19</v>
      </c>
      <c r="I393" s="18">
        <v>19.5</v>
      </c>
      <c r="J393" s="4">
        <f t="shared" si="164"/>
        <v>0.5</v>
      </c>
      <c r="K393" s="5">
        <v>0.44</v>
      </c>
      <c r="L393" s="31">
        <f t="shared" si="165"/>
        <v>0.22</v>
      </c>
      <c r="M393" s="31">
        <v>2.14</v>
      </c>
      <c r="N393" s="31">
        <v>31.3</v>
      </c>
      <c r="O393" s="31">
        <f t="shared" si="153"/>
        <v>0.22</v>
      </c>
      <c r="P393" s="31">
        <v>11</v>
      </c>
      <c r="Q393" s="31">
        <v>20</v>
      </c>
      <c r="R393" s="31">
        <v>0.16</v>
      </c>
      <c r="S393" s="31">
        <v>0</v>
      </c>
      <c r="T393" s="65">
        <f t="shared" si="150"/>
        <v>0</v>
      </c>
      <c r="U393" s="31">
        <v>10</v>
      </c>
      <c r="V393" s="31"/>
      <c r="W393" s="31">
        <f t="shared" si="154"/>
        <v>10</v>
      </c>
      <c r="X393" s="31">
        <f t="shared" si="156"/>
        <v>16</v>
      </c>
      <c r="Y393" s="31">
        <f t="shared" si="159"/>
        <v>1.6E-2</v>
      </c>
      <c r="Z393" s="18">
        <v>0</v>
      </c>
      <c r="AA393" s="18" t="s">
        <v>100</v>
      </c>
      <c r="AB393" s="18" t="s">
        <v>333</v>
      </c>
      <c r="AC393" s="18" t="s">
        <v>336</v>
      </c>
      <c r="AD393" s="18">
        <v>20</v>
      </c>
      <c r="AE393" s="18">
        <v>11</v>
      </c>
      <c r="AF393" s="18" t="s">
        <v>32</v>
      </c>
      <c r="AG393" s="18"/>
      <c r="AH393" s="18"/>
      <c r="AI393" s="18" t="s">
        <v>69</v>
      </c>
      <c r="AJ393" s="18" t="s">
        <v>81</v>
      </c>
      <c r="AK393" s="18" t="s">
        <v>100</v>
      </c>
      <c r="AL393" s="18" t="s">
        <v>107</v>
      </c>
      <c r="AM393" s="18" t="s">
        <v>120</v>
      </c>
      <c r="AN393" s="18" t="s">
        <v>247</v>
      </c>
      <c r="AO393" s="18"/>
      <c r="AP393" s="18"/>
      <c r="AQ393" s="18">
        <f>+VLOOKUP(AI393,Leyenda!$B$30:$E$34,3,FALSE)</f>
        <v>0</v>
      </c>
      <c r="AR393" s="18">
        <f>+VLOOKUP('3. Blasting'!AJ393,Meteorizacion,3,FALSE)</f>
        <v>0</v>
      </c>
      <c r="AS393" s="18">
        <f>+VLOOKUP('3. Blasting'!AK393,Apertura,3,FALSE)</f>
        <v>0</v>
      </c>
      <c r="AT393" s="18">
        <f>+VLOOKUP('3. Blasting'!AL393,Leyenda!$B$55:$D$59,3,FALSE)</f>
        <v>3</v>
      </c>
      <c r="AU393" s="18">
        <f>+VLOOKUP('3. Blasting'!AM393,Relleno,3,FALSE)</f>
        <v>2</v>
      </c>
      <c r="AV393" s="18">
        <f t="shared" si="151"/>
        <v>5</v>
      </c>
      <c r="AW393" s="49">
        <f t="shared" si="166"/>
        <v>0</v>
      </c>
      <c r="AX393" s="49">
        <f>VLOOKUP(AF393,Leyenda!$B$4:$D$10,3,FALSE)</f>
        <v>1</v>
      </c>
      <c r="AY393" s="49">
        <f t="shared" si="160"/>
        <v>3</v>
      </c>
      <c r="AZ393" s="49">
        <f t="shared" si="167"/>
        <v>5</v>
      </c>
      <c r="BA393" s="49">
        <f>VLOOKUP(AN393,Leyenda!$B$70:$D$75,3,FALSE)</f>
        <v>10</v>
      </c>
      <c r="BB393" s="67">
        <f t="shared" si="168"/>
        <v>7.5</v>
      </c>
      <c r="BC393" s="67">
        <f>VLOOKUP(AF393,Leyenda!$B$4:$E$10,4,FALSE)</f>
        <v>1</v>
      </c>
      <c r="BD393" s="67">
        <f t="shared" si="169"/>
        <v>5</v>
      </c>
      <c r="BE393" s="67">
        <f t="shared" si="170"/>
        <v>0</v>
      </c>
      <c r="BF393" s="67">
        <f>+VLOOKUP('3. Blasting'!AK393,Leyenda!$B$47:$E$51,4,FALSE)</f>
        <v>0</v>
      </c>
      <c r="BG393" s="67">
        <f>+VLOOKUP('3. Blasting'!AL393,Leyenda!$B$55:$E$59,4,FALSE)</f>
        <v>3</v>
      </c>
      <c r="BH393" s="67">
        <f>+VLOOKUP('3. Blasting'!AM393,Leyenda!$B$63:$E$67,3,FALSE)</f>
        <v>2</v>
      </c>
      <c r="BI393" s="67">
        <f>+VLOOKUP('3. Blasting'!AJ393,Leyenda!$B$39:$E$43,4,FALSE)</f>
        <v>0</v>
      </c>
      <c r="BJ393" s="67">
        <f>+VLOOKUP('3. Blasting'!AI393,Leyenda!$B$30:$E$34,4,FALSE)</f>
        <v>0</v>
      </c>
      <c r="BK393" s="67">
        <f>VLOOKUP(AN393,Leyenda!$B$71:$E$75,4,FALSE)</f>
        <v>7</v>
      </c>
      <c r="BL393" s="125">
        <f t="shared" si="171"/>
        <v>18</v>
      </c>
      <c r="BM393" s="85">
        <f t="shared" si="172"/>
        <v>19</v>
      </c>
      <c r="BN393" s="18" t="e">
        <f t="shared" si="173"/>
        <v>#N/A</v>
      </c>
      <c r="BO393" s="18"/>
      <c r="BP393" s="6">
        <f t="shared" si="174"/>
        <v>10</v>
      </c>
      <c r="BQ393" s="6">
        <f t="shared" si="175"/>
        <v>10</v>
      </c>
      <c r="BR393" s="6">
        <v>20</v>
      </c>
      <c r="BS393" s="6">
        <f t="shared" si="161"/>
        <v>3.5</v>
      </c>
      <c r="BT393" s="6">
        <f t="shared" si="162"/>
        <v>1.5650000000000002</v>
      </c>
      <c r="BU393" s="6">
        <f t="shared" si="163"/>
        <v>22.532499999999999</v>
      </c>
      <c r="BV393" s="18">
        <f t="shared" si="157"/>
        <v>9.0130000000000002E-2</v>
      </c>
      <c r="BW393" s="18">
        <f t="shared" si="158"/>
        <v>0.19287820000000003</v>
      </c>
    </row>
    <row r="394" spans="1:75" x14ac:dyDescent="0.25">
      <c r="A394" s="18" t="s">
        <v>6</v>
      </c>
      <c r="B394" s="18">
        <v>2024</v>
      </c>
      <c r="C394" s="18" t="s">
        <v>138</v>
      </c>
      <c r="D394" s="18" t="s">
        <v>132</v>
      </c>
      <c r="E394" s="18">
        <v>40</v>
      </c>
      <c r="F394" s="18" t="s">
        <v>153</v>
      </c>
      <c r="G394" s="18" t="s">
        <v>166</v>
      </c>
      <c r="H394" s="4">
        <f t="shared" si="155"/>
        <v>19.5</v>
      </c>
      <c r="I394" s="18">
        <v>20</v>
      </c>
      <c r="J394" s="4">
        <f t="shared" si="164"/>
        <v>0.5</v>
      </c>
      <c r="K394" s="5">
        <v>0.3</v>
      </c>
      <c r="L394" s="31">
        <f t="shared" si="165"/>
        <v>0.15</v>
      </c>
      <c r="M394" s="31">
        <v>2.14</v>
      </c>
      <c r="N394" s="31">
        <v>31.3</v>
      </c>
      <c r="O394" s="31">
        <f t="shared" si="153"/>
        <v>0.15</v>
      </c>
      <c r="P394" s="31">
        <v>7.5</v>
      </c>
      <c r="Q394" s="31">
        <v>20</v>
      </c>
      <c r="R394" s="31">
        <v>0.14000000000000001</v>
      </c>
      <c r="S394" s="31">
        <v>0</v>
      </c>
      <c r="T394" s="65">
        <f t="shared" si="150"/>
        <v>0</v>
      </c>
      <c r="U394" s="31">
        <v>5</v>
      </c>
      <c r="V394" s="31"/>
      <c r="W394" s="31">
        <f t="shared" si="154"/>
        <v>5</v>
      </c>
      <c r="X394" s="31">
        <f t="shared" si="156"/>
        <v>28</v>
      </c>
      <c r="Y394" s="31">
        <f t="shared" si="159"/>
        <v>2.8000000000000001E-2</v>
      </c>
      <c r="Z394" s="18">
        <v>0</v>
      </c>
      <c r="AA394" s="18" t="s">
        <v>96</v>
      </c>
      <c r="AB394" s="18" t="s">
        <v>333</v>
      </c>
      <c r="AC394" s="18" t="s">
        <v>337</v>
      </c>
      <c r="AD394" s="18">
        <v>20</v>
      </c>
      <c r="AE394" s="18">
        <v>7.5</v>
      </c>
      <c r="AF394" s="18" t="s">
        <v>29</v>
      </c>
      <c r="AG394" s="18"/>
      <c r="AH394" s="18"/>
      <c r="AI394" s="18" t="s">
        <v>69</v>
      </c>
      <c r="AJ394" s="18" t="s">
        <v>81</v>
      </c>
      <c r="AK394" s="18" t="s">
        <v>100</v>
      </c>
      <c r="AL394" s="18" t="s">
        <v>107</v>
      </c>
      <c r="AM394" s="18" t="s">
        <v>120</v>
      </c>
      <c r="AN394" s="18" t="s">
        <v>247</v>
      </c>
      <c r="AO394" s="18"/>
      <c r="AP394" s="18"/>
      <c r="AQ394" s="18">
        <f>+VLOOKUP(AI394,Leyenda!$B$30:$E$34,3,FALSE)</f>
        <v>0</v>
      </c>
      <c r="AR394" s="18">
        <f>+VLOOKUP('3. Blasting'!AJ394,Meteorizacion,3,FALSE)</f>
        <v>0</v>
      </c>
      <c r="AS394" s="18">
        <f>+VLOOKUP('3. Blasting'!AK394,Apertura,3,FALSE)</f>
        <v>0</v>
      </c>
      <c r="AT394" s="18">
        <f>+VLOOKUP('3. Blasting'!AL394,Leyenda!$B$55:$D$59,3,FALSE)</f>
        <v>3</v>
      </c>
      <c r="AU394" s="18">
        <f>+VLOOKUP('3. Blasting'!AM394,Relleno,3,FALSE)</f>
        <v>2</v>
      </c>
      <c r="AV394" s="18">
        <f t="shared" si="151"/>
        <v>5</v>
      </c>
      <c r="AW394" s="49">
        <f t="shared" si="166"/>
        <v>0</v>
      </c>
      <c r="AX394" s="49">
        <f>VLOOKUP(AF394,Leyenda!$B$4:$D$10,3,FALSE)</f>
        <v>2</v>
      </c>
      <c r="AY394" s="49">
        <f t="shared" si="160"/>
        <v>3</v>
      </c>
      <c r="AZ394" s="49">
        <f t="shared" si="167"/>
        <v>5</v>
      </c>
      <c r="BA394" s="49">
        <f>VLOOKUP(AN394,Leyenda!$B$70:$D$75,3,FALSE)</f>
        <v>10</v>
      </c>
      <c r="BB394" s="67">
        <f t="shared" si="168"/>
        <v>7.5</v>
      </c>
      <c r="BC394" s="67">
        <f>VLOOKUP(AF394,Leyenda!$B$4:$E$10,4,FALSE)</f>
        <v>2</v>
      </c>
      <c r="BD394" s="67">
        <f t="shared" si="169"/>
        <v>5</v>
      </c>
      <c r="BE394" s="67">
        <f t="shared" si="170"/>
        <v>0</v>
      </c>
      <c r="BF394" s="67">
        <f>+VLOOKUP('3. Blasting'!AK394,Leyenda!$B$47:$E$51,4,FALSE)</f>
        <v>0</v>
      </c>
      <c r="BG394" s="67">
        <f>+VLOOKUP('3. Blasting'!AL394,Leyenda!$B$55:$E$59,4,FALSE)</f>
        <v>3</v>
      </c>
      <c r="BH394" s="67">
        <f>+VLOOKUP('3. Blasting'!AM394,Leyenda!$B$63:$E$67,3,FALSE)</f>
        <v>2</v>
      </c>
      <c r="BI394" s="67">
        <f>+VLOOKUP('3. Blasting'!AJ394,Leyenda!$B$39:$E$43,4,FALSE)</f>
        <v>0</v>
      </c>
      <c r="BJ394" s="67">
        <f>+VLOOKUP('3. Blasting'!AI394,Leyenda!$B$30:$E$34,4,FALSE)</f>
        <v>0</v>
      </c>
      <c r="BK394" s="67">
        <f>VLOOKUP(AN394,Leyenda!$B$71:$E$75,4,FALSE)</f>
        <v>7</v>
      </c>
      <c r="BL394" s="125">
        <f t="shared" si="171"/>
        <v>19</v>
      </c>
      <c r="BM394" s="85">
        <f t="shared" si="172"/>
        <v>20</v>
      </c>
      <c r="BN394" s="18" t="e">
        <f t="shared" si="173"/>
        <v>#N/A</v>
      </c>
      <c r="BO394" s="18"/>
      <c r="BP394" s="6">
        <f t="shared" si="174"/>
        <v>10</v>
      </c>
      <c r="BQ394" s="6">
        <f t="shared" si="175"/>
        <v>10</v>
      </c>
      <c r="BR394" s="6">
        <v>20</v>
      </c>
      <c r="BS394" s="6">
        <f t="shared" si="161"/>
        <v>3.5</v>
      </c>
      <c r="BT394" s="6">
        <f t="shared" si="162"/>
        <v>1.5650000000000002</v>
      </c>
      <c r="BU394" s="6">
        <f t="shared" si="163"/>
        <v>22.532499999999999</v>
      </c>
      <c r="BV394" s="18">
        <f t="shared" si="157"/>
        <v>9.0130000000000002E-2</v>
      </c>
      <c r="BW394" s="18">
        <f t="shared" si="158"/>
        <v>0.19287820000000003</v>
      </c>
    </row>
    <row r="395" spans="1:75" x14ac:dyDescent="0.25">
      <c r="A395" s="18" t="s">
        <v>6</v>
      </c>
      <c r="B395" s="18">
        <v>2024</v>
      </c>
      <c r="C395" s="18" t="s">
        <v>138</v>
      </c>
      <c r="D395" s="18" t="s">
        <v>132</v>
      </c>
      <c r="E395" s="18">
        <v>40</v>
      </c>
      <c r="F395" s="18" t="s">
        <v>153</v>
      </c>
      <c r="G395" s="18" t="s">
        <v>167</v>
      </c>
      <c r="H395" s="4">
        <f t="shared" si="155"/>
        <v>20</v>
      </c>
      <c r="I395" s="18">
        <v>20.5</v>
      </c>
      <c r="J395" s="4">
        <f t="shared" si="164"/>
        <v>0.5</v>
      </c>
      <c r="K395" s="5">
        <v>0.68</v>
      </c>
      <c r="L395" s="31">
        <f t="shared" si="165"/>
        <v>0.34</v>
      </c>
      <c r="M395" s="31">
        <v>2.14</v>
      </c>
      <c r="N395" s="31">
        <v>31.3</v>
      </c>
      <c r="O395" s="31">
        <f t="shared" si="153"/>
        <v>0.34</v>
      </c>
      <c r="P395" s="31">
        <v>17</v>
      </c>
      <c r="Q395" s="31">
        <v>20</v>
      </c>
      <c r="R395" s="31">
        <v>0.32</v>
      </c>
      <c r="S395" s="31">
        <v>0.11</v>
      </c>
      <c r="T395" s="65">
        <f t="shared" si="150"/>
        <v>22</v>
      </c>
      <c r="U395" s="31">
        <v>4</v>
      </c>
      <c r="V395" s="31"/>
      <c r="W395" s="31">
        <f t="shared" si="154"/>
        <v>4</v>
      </c>
      <c r="X395" s="31">
        <f t="shared" si="156"/>
        <v>80</v>
      </c>
      <c r="Y395" s="31">
        <f t="shared" si="159"/>
        <v>0.08</v>
      </c>
      <c r="Z395" s="18">
        <v>0</v>
      </c>
      <c r="AA395" s="18" t="s">
        <v>330</v>
      </c>
      <c r="AB395" s="18" t="s">
        <v>333</v>
      </c>
      <c r="AC395" s="18" t="s">
        <v>335</v>
      </c>
      <c r="AD395" s="18">
        <v>20</v>
      </c>
      <c r="AE395" s="18">
        <v>17</v>
      </c>
      <c r="AF395" s="18" t="s">
        <v>34</v>
      </c>
      <c r="AG395" s="18"/>
      <c r="AH395" s="18"/>
      <c r="AI395" s="18" t="s">
        <v>69</v>
      </c>
      <c r="AJ395" s="18" t="s">
        <v>81</v>
      </c>
      <c r="AK395" s="18" t="s">
        <v>100</v>
      </c>
      <c r="AL395" s="18" t="s">
        <v>107</v>
      </c>
      <c r="AM395" s="18" t="s">
        <v>120</v>
      </c>
      <c r="AN395" s="18" t="s">
        <v>247</v>
      </c>
      <c r="AO395" s="18"/>
      <c r="AP395" s="18"/>
      <c r="AQ395" s="18">
        <f>+VLOOKUP(AI395,Leyenda!$B$30:$E$34,3,FALSE)</f>
        <v>0</v>
      </c>
      <c r="AR395" s="18">
        <f>+VLOOKUP('3. Blasting'!AJ395,Meteorizacion,3,FALSE)</f>
        <v>0</v>
      </c>
      <c r="AS395" s="18">
        <f>+VLOOKUP('3. Blasting'!AK395,Apertura,3,FALSE)</f>
        <v>0</v>
      </c>
      <c r="AT395" s="18">
        <f>+VLOOKUP('3. Blasting'!AL395,Leyenda!$B$55:$D$59,3,FALSE)</f>
        <v>3</v>
      </c>
      <c r="AU395" s="18">
        <f>+VLOOKUP('3. Blasting'!AM395,Relleno,3,FALSE)</f>
        <v>2</v>
      </c>
      <c r="AV395" s="18">
        <f t="shared" si="151"/>
        <v>5</v>
      </c>
      <c r="AW395" s="49">
        <f t="shared" si="166"/>
        <v>0</v>
      </c>
      <c r="AX395" s="49">
        <f>VLOOKUP(AF395,Leyenda!$B$4:$D$10,3,FALSE)</f>
        <v>0</v>
      </c>
      <c r="AY395" s="49">
        <f t="shared" si="160"/>
        <v>4</v>
      </c>
      <c r="AZ395" s="49">
        <f t="shared" si="167"/>
        <v>5</v>
      </c>
      <c r="BA395" s="49">
        <f>VLOOKUP(AN395,Leyenda!$B$70:$D$75,3,FALSE)</f>
        <v>10</v>
      </c>
      <c r="BB395" s="67">
        <f t="shared" si="168"/>
        <v>18.5</v>
      </c>
      <c r="BC395" s="67">
        <f>VLOOKUP(AF395,Leyenda!$B$4:$E$10,4,FALSE)</f>
        <v>0</v>
      </c>
      <c r="BD395" s="67">
        <f t="shared" si="169"/>
        <v>7</v>
      </c>
      <c r="BE395" s="67">
        <f t="shared" si="170"/>
        <v>5</v>
      </c>
      <c r="BF395" s="67">
        <f>+VLOOKUP('3. Blasting'!AK395,Leyenda!$B$47:$E$51,4,FALSE)</f>
        <v>0</v>
      </c>
      <c r="BG395" s="67">
        <f>+VLOOKUP('3. Blasting'!AL395,Leyenda!$B$55:$E$59,4,FALSE)</f>
        <v>3</v>
      </c>
      <c r="BH395" s="67">
        <f>+VLOOKUP('3. Blasting'!AM395,Leyenda!$B$63:$E$67,3,FALSE)</f>
        <v>2</v>
      </c>
      <c r="BI395" s="67">
        <f>+VLOOKUP('3. Blasting'!AJ395,Leyenda!$B$39:$E$43,4,FALSE)</f>
        <v>0</v>
      </c>
      <c r="BJ395" s="67">
        <f>+VLOOKUP('3. Blasting'!AI395,Leyenda!$B$30:$E$34,4,FALSE)</f>
        <v>0</v>
      </c>
      <c r="BK395" s="67">
        <f>VLOOKUP(AN395,Leyenda!$B$71:$E$75,4,FALSE)</f>
        <v>7</v>
      </c>
      <c r="BL395" s="125">
        <f t="shared" si="171"/>
        <v>24</v>
      </c>
      <c r="BM395" s="85">
        <f t="shared" si="172"/>
        <v>19</v>
      </c>
      <c r="BN395" s="18" t="e">
        <f t="shared" si="173"/>
        <v>#N/A</v>
      </c>
      <c r="BO395" s="18"/>
      <c r="BP395" s="6">
        <f t="shared" si="174"/>
        <v>10</v>
      </c>
      <c r="BQ395" s="6">
        <f t="shared" si="175"/>
        <v>10</v>
      </c>
      <c r="BR395" s="6">
        <v>20</v>
      </c>
      <c r="BS395" s="6">
        <f t="shared" si="161"/>
        <v>3.5</v>
      </c>
      <c r="BT395" s="6">
        <f t="shared" si="162"/>
        <v>1.5650000000000002</v>
      </c>
      <c r="BU395" s="6">
        <f t="shared" si="163"/>
        <v>22.532499999999999</v>
      </c>
      <c r="BV395" s="18">
        <f t="shared" si="157"/>
        <v>9.0130000000000002E-2</v>
      </c>
      <c r="BW395" s="18">
        <f t="shared" si="158"/>
        <v>0.19287820000000003</v>
      </c>
    </row>
    <row r="396" spans="1:75" x14ac:dyDescent="0.25">
      <c r="A396" s="18" t="s">
        <v>6</v>
      </c>
      <c r="B396" s="18">
        <v>2024</v>
      </c>
      <c r="C396" s="18" t="s">
        <v>138</v>
      </c>
      <c r="D396" s="18" t="s">
        <v>132</v>
      </c>
      <c r="E396" s="18">
        <v>40</v>
      </c>
      <c r="F396" s="18" t="s">
        <v>153</v>
      </c>
      <c r="G396" s="18" t="s">
        <v>167</v>
      </c>
      <c r="H396" s="4">
        <f t="shared" si="155"/>
        <v>20.5</v>
      </c>
      <c r="I396" s="18">
        <v>21</v>
      </c>
      <c r="J396" s="4">
        <f t="shared" si="164"/>
        <v>0.5</v>
      </c>
      <c r="K396" s="5">
        <v>0.62</v>
      </c>
      <c r="L396" s="31">
        <f t="shared" si="165"/>
        <v>0.31</v>
      </c>
      <c r="M396" s="31">
        <v>2.14</v>
      </c>
      <c r="N396" s="31">
        <v>31.3</v>
      </c>
      <c r="O396" s="31">
        <f t="shared" si="153"/>
        <v>0.31</v>
      </c>
      <c r="P396" s="31">
        <v>15.5</v>
      </c>
      <c r="Q396" s="31">
        <v>20</v>
      </c>
      <c r="R396" s="31">
        <v>0.28999999999999998</v>
      </c>
      <c r="S396" s="31">
        <v>0</v>
      </c>
      <c r="T396" s="65">
        <f t="shared" ref="T396:T459" si="176">+S396/J396*100</f>
        <v>0</v>
      </c>
      <c r="U396" s="31">
        <v>3</v>
      </c>
      <c r="V396" s="31"/>
      <c r="W396" s="31">
        <f t="shared" si="154"/>
        <v>3</v>
      </c>
      <c r="X396" s="31">
        <f t="shared" si="156"/>
        <v>96.666666666666671</v>
      </c>
      <c r="Y396" s="31">
        <f t="shared" si="159"/>
        <v>9.6666666666666665E-2</v>
      </c>
      <c r="Z396" s="18">
        <v>0</v>
      </c>
      <c r="AA396" s="18" t="s">
        <v>330</v>
      </c>
      <c r="AB396" s="18" t="s">
        <v>333</v>
      </c>
      <c r="AC396" s="18" t="s">
        <v>335</v>
      </c>
      <c r="AD396" s="18">
        <v>20</v>
      </c>
      <c r="AE396" s="18">
        <v>15.5</v>
      </c>
      <c r="AF396" s="18" t="s">
        <v>34</v>
      </c>
      <c r="AG396" s="18"/>
      <c r="AH396" s="18"/>
      <c r="AI396" s="18" t="s">
        <v>69</v>
      </c>
      <c r="AJ396" s="18" t="s">
        <v>81</v>
      </c>
      <c r="AK396" s="18" t="s">
        <v>100</v>
      </c>
      <c r="AL396" s="18" t="s">
        <v>107</v>
      </c>
      <c r="AM396" s="18" t="s">
        <v>120</v>
      </c>
      <c r="AN396" s="18" t="s">
        <v>247</v>
      </c>
      <c r="AO396" s="18"/>
      <c r="AP396" s="18"/>
      <c r="AQ396" s="18">
        <f>+VLOOKUP(AI396,Leyenda!$B$30:$E$34,3,FALSE)</f>
        <v>0</v>
      </c>
      <c r="AR396" s="18">
        <f>+VLOOKUP('3. Blasting'!AJ396,Meteorizacion,3,FALSE)</f>
        <v>0</v>
      </c>
      <c r="AS396" s="18">
        <f>+VLOOKUP('3. Blasting'!AK396,Apertura,3,FALSE)</f>
        <v>0</v>
      </c>
      <c r="AT396" s="18">
        <f>+VLOOKUP('3. Blasting'!AL396,Leyenda!$B$55:$D$59,3,FALSE)</f>
        <v>3</v>
      </c>
      <c r="AU396" s="18">
        <f>+VLOOKUP('3. Blasting'!AM396,Relleno,3,FALSE)</f>
        <v>2</v>
      </c>
      <c r="AV396" s="18">
        <f t="shared" ref="AV396:AV459" si="177">+SUM(AQ396:AU396)</f>
        <v>5</v>
      </c>
      <c r="AW396" s="49">
        <f t="shared" si="166"/>
        <v>0</v>
      </c>
      <c r="AX396" s="49">
        <f>VLOOKUP(AF396,Leyenda!$B$4:$D$10,3,FALSE)</f>
        <v>0</v>
      </c>
      <c r="AY396" s="49">
        <f t="shared" si="160"/>
        <v>4</v>
      </c>
      <c r="AZ396" s="49">
        <f t="shared" si="167"/>
        <v>5</v>
      </c>
      <c r="BA396" s="49">
        <f>VLOOKUP(AN396,Leyenda!$B$70:$D$75,3,FALSE)</f>
        <v>10</v>
      </c>
      <c r="BB396" s="67">
        <f t="shared" si="168"/>
        <v>7.5</v>
      </c>
      <c r="BC396" s="67">
        <f>VLOOKUP(AF396,Leyenda!$B$4:$E$10,4,FALSE)</f>
        <v>0</v>
      </c>
      <c r="BD396" s="67">
        <f t="shared" si="169"/>
        <v>8</v>
      </c>
      <c r="BE396" s="67">
        <f t="shared" si="170"/>
        <v>0</v>
      </c>
      <c r="BF396" s="67">
        <f>+VLOOKUP('3. Blasting'!AK396,Leyenda!$B$47:$E$51,4,FALSE)</f>
        <v>0</v>
      </c>
      <c r="BG396" s="67">
        <f>+VLOOKUP('3. Blasting'!AL396,Leyenda!$B$55:$E$59,4,FALSE)</f>
        <v>3</v>
      </c>
      <c r="BH396" s="67">
        <f>+VLOOKUP('3. Blasting'!AM396,Leyenda!$B$63:$E$67,3,FALSE)</f>
        <v>2</v>
      </c>
      <c r="BI396" s="67">
        <f>+VLOOKUP('3. Blasting'!AJ396,Leyenda!$B$39:$E$43,4,FALSE)</f>
        <v>0</v>
      </c>
      <c r="BJ396" s="67">
        <f>+VLOOKUP('3. Blasting'!AI396,Leyenda!$B$30:$E$34,4,FALSE)</f>
        <v>0</v>
      </c>
      <c r="BK396" s="67">
        <f>VLOOKUP(AN396,Leyenda!$B$71:$E$75,4,FALSE)</f>
        <v>7</v>
      </c>
      <c r="BL396" s="125">
        <f t="shared" si="171"/>
        <v>20</v>
      </c>
      <c r="BM396" s="85">
        <f t="shared" si="172"/>
        <v>19</v>
      </c>
      <c r="BN396" s="18" t="e">
        <f t="shared" si="173"/>
        <v>#N/A</v>
      </c>
      <c r="BO396" s="18"/>
      <c r="BP396" s="6">
        <f t="shared" si="174"/>
        <v>10</v>
      </c>
      <c r="BQ396" s="6">
        <f t="shared" si="175"/>
        <v>10</v>
      </c>
      <c r="BR396" s="6">
        <v>20</v>
      </c>
      <c r="BS396" s="6">
        <f t="shared" si="161"/>
        <v>3.5</v>
      </c>
      <c r="BT396" s="6">
        <f t="shared" si="162"/>
        <v>1.5650000000000002</v>
      </c>
      <c r="BU396" s="6">
        <f t="shared" si="163"/>
        <v>22.532499999999999</v>
      </c>
      <c r="BV396" s="18">
        <f t="shared" si="157"/>
        <v>9.0130000000000002E-2</v>
      </c>
      <c r="BW396" s="18">
        <f t="shared" si="158"/>
        <v>0.19287820000000003</v>
      </c>
    </row>
    <row r="397" spans="1:75" x14ac:dyDescent="0.25">
      <c r="A397" s="18" t="s">
        <v>6</v>
      </c>
      <c r="B397" s="18">
        <v>2024</v>
      </c>
      <c r="C397" s="18" t="s">
        <v>138</v>
      </c>
      <c r="D397" s="18" t="s">
        <v>132</v>
      </c>
      <c r="E397" s="18">
        <v>40</v>
      </c>
      <c r="F397" s="18" t="s">
        <v>153</v>
      </c>
      <c r="G397" s="18" t="s">
        <v>167</v>
      </c>
      <c r="H397" s="4">
        <f t="shared" si="155"/>
        <v>21</v>
      </c>
      <c r="I397" s="18">
        <v>21.5</v>
      </c>
      <c r="J397" s="4">
        <f t="shared" si="164"/>
        <v>0.5</v>
      </c>
      <c r="K397" s="5">
        <v>0.8</v>
      </c>
      <c r="L397" s="31">
        <f t="shared" si="165"/>
        <v>0.4</v>
      </c>
      <c r="M397" s="31">
        <v>2.14</v>
      </c>
      <c r="N397" s="31">
        <v>31.3</v>
      </c>
      <c r="O397" s="31">
        <f t="shared" si="153"/>
        <v>0.4</v>
      </c>
      <c r="P397" s="31">
        <v>20</v>
      </c>
      <c r="Q397" s="31">
        <v>20</v>
      </c>
      <c r="R397" s="31">
        <v>0.37</v>
      </c>
      <c r="S397" s="31">
        <v>0.19</v>
      </c>
      <c r="T397" s="65">
        <f t="shared" si="176"/>
        <v>38</v>
      </c>
      <c r="U397" s="31">
        <v>3</v>
      </c>
      <c r="V397" s="31"/>
      <c r="W397" s="31">
        <f t="shared" si="154"/>
        <v>3</v>
      </c>
      <c r="X397" s="31">
        <f t="shared" si="156"/>
        <v>123.33333333333333</v>
      </c>
      <c r="Y397" s="31">
        <f t="shared" si="159"/>
        <v>0.12333333333333332</v>
      </c>
      <c r="Z397" s="18">
        <v>0</v>
      </c>
      <c r="AA397" s="18" t="s">
        <v>330</v>
      </c>
      <c r="AB397" s="18" t="s">
        <v>333</v>
      </c>
      <c r="AC397" s="18" t="s">
        <v>335</v>
      </c>
      <c r="AD397" s="18">
        <v>20</v>
      </c>
      <c r="AE397" s="18">
        <v>20</v>
      </c>
      <c r="AF397" s="18" t="s">
        <v>34</v>
      </c>
      <c r="AG397" s="18"/>
      <c r="AH397" s="18"/>
      <c r="AI397" s="18" t="s">
        <v>69</v>
      </c>
      <c r="AJ397" s="18" t="s">
        <v>81</v>
      </c>
      <c r="AK397" s="18" t="s">
        <v>100</v>
      </c>
      <c r="AL397" s="18" t="s">
        <v>107</v>
      </c>
      <c r="AM397" s="18" t="s">
        <v>120</v>
      </c>
      <c r="AN397" s="18" t="s">
        <v>247</v>
      </c>
      <c r="AO397" s="18"/>
      <c r="AP397" s="18"/>
      <c r="AQ397" s="18">
        <f>+VLOOKUP(AI397,Leyenda!$B$30:$E$34,3,FALSE)</f>
        <v>0</v>
      </c>
      <c r="AR397" s="18">
        <f>+VLOOKUP('3. Blasting'!AJ397,Meteorizacion,3,FALSE)</f>
        <v>0</v>
      </c>
      <c r="AS397" s="18">
        <f>+VLOOKUP('3. Blasting'!AK397,Apertura,3,FALSE)</f>
        <v>0</v>
      </c>
      <c r="AT397" s="18">
        <f>+VLOOKUP('3. Blasting'!AL397,Leyenda!$B$55:$D$59,3,FALSE)</f>
        <v>3</v>
      </c>
      <c r="AU397" s="18">
        <f>+VLOOKUP('3. Blasting'!AM397,Relleno,3,FALSE)</f>
        <v>2</v>
      </c>
      <c r="AV397" s="18">
        <f t="shared" si="177"/>
        <v>5</v>
      </c>
      <c r="AW397" s="49">
        <f t="shared" si="166"/>
        <v>0</v>
      </c>
      <c r="AX397" s="49">
        <f>VLOOKUP(AF397,Leyenda!$B$4:$D$10,3,FALSE)</f>
        <v>0</v>
      </c>
      <c r="AY397" s="49">
        <f t="shared" si="160"/>
        <v>4</v>
      </c>
      <c r="AZ397" s="49">
        <f t="shared" si="167"/>
        <v>5</v>
      </c>
      <c r="BA397" s="49">
        <f>VLOOKUP(AN397,Leyenda!$B$70:$D$75,3,FALSE)</f>
        <v>10</v>
      </c>
      <c r="BB397" s="67">
        <f t="shared" si="168"/>
        <v>26.5</v>
      </c>
      <c r="BC397" s="67">
        <f>VLOOKUP(AF397,Leyenda!$B$4:$E$10,4,FALSE)</f>
        <v>0</v>
      </c>
      <c r="BD397" s="67">
        <f t="shared" si="169"/>
        <v>9</v>
      </c>
      <c r="BE397" s="67">
        <f t="shared" si="170"/>
        <v>8</v>
      </c>
      <c r="BF397" s="67">
        <f>+VLOOKUP('3. Blasting'!AK397,Leyenda!$B$47:$E$51,4,FALSE)</f>
        <v>0</v>
      </c>
      <c r="BG397" s="67">
        <f>+VLOOKUP('3. Blasting'!AL397,Leyenda!$B$55:$E$59,4,FALSE)</f>
        <v>3</v>
      </c>
      <c r="BH397" s="67">
        <f>+VLOOKUP('3. Blasting'!AM397,Leyenda!$B$63:$E$67,3,FALSE)</f>
        <v>2</v>
      </c>
      <c r="BI397" s="67">
        <f>+VLOOKUP('3. Blasting'!AJ397,Leyenda!$B$39:$E$43,4,FALSE)</f>
        <v>0</v>
      </c>
      <c r="BJ397" s="67">
        <f>+VLOOKUP('3. Blasting'!AI397,Leyenda!$B$30:$E$34,4,FALSE)</f>
        <v>0</v>
      </c>
      <c r="BK397" s="67">
        <f>VLOOKUP(AN397,Leyenda!$B$71:$E$75,4,FALSE)</f>
        <v>7</v>
      </c>
      <c r="BL397" s="125">
        <f t="shared" si="171"/>
        <v>29</v>
      </c>
      <c r="BM397" s="85">
        <f t="shared" si="172"/>
        <v>19</v>
      </c>
      <c r="BN397" s="18" t="e">
        <f t="shared" si="173"/>
        <v>#N/A</v>
      </c>
      <c r="BO397" s="18"/>
      <c r="BP397" s="6">
        <f t="shared" si="174"/>
        <v>10</v>
      </c>
      <c r="BQ397" s="6">
        <f t="shared" si="175"/>
        <v>20</v>
      </c>
      <c r="BR397" s="6">
        <v>20</v>
      </c>
      <c r="BS397" s="6">
        <f t="shared" si="161"/>
        <v>3.5</v>
      </c>
      <c r="BT397" s="6">
        <f t="shared" si="162"/>
        <v>1.5650000000000002</v>
      </c>
      <c r="BU397" s="6">
        <f t="shared" si="163"/>
        <v>27.532499999999999</v>
      </c>
      <c r="BV397" s="18">
        <f t="shared" si="157"/>
        <v>0.11012999999999999</v>
      </c>
      <c r="BW397" s="18">
        <f t="shared" si="158"/>
        <v>0.2356782</v>
      </c>
    </row>
    <row r="398" spans="1:75" x14ac:dyDescent="0.25">
      <c r="A398" s="18" t="s">
        <v>6</v>
      </c>
      <c r="B398" s="18">
        <v>2024</v>
      </c>
      <c r="C398" s="18" t="s">
        <v>138</v>
      </c>
      <c r="D398" s="18" t="s">
        <v>132</v>
      </c>
      <c r="E398" s="18">
        <v>40</v>
      </c>
      <c r="F398" s="18" t="s">
        <v>153</v>
      </c>
      <c r="G398" s="18" t="s">
        <v>167</v>
      </c>
      <c r="H398" s="4">
        <f t="shared" si="155"/>
        <v>21.5</v>
      </c>
      <c r="I398" s="18">
        <v>22</v>
      </c>
      <c r="J398" s="4">
        <f t="shared" si="164"/>
        <v>0.5</v>
      </c>
      <c r="K398" s="5">
        <v>0.76</v>
      </c>
      <c r="L398" s="31">
        <f t="shared" si="165"/>
        <v>0.38</v>
      </c>
      <c r="M398" s="31">
        <v>2.14</v>
      </c>
      <c r="N398" s="31">
        <v>31.3</v>
      </c>
      <c r="O398" s="31">
        <f t="shared" si="153"/>
        <v>0.38</v>
      </c>
      <c r="P398" s="31">
        <v>19</v>
      </c>
      <c r="Q398" s="31">
        <v>20</v>
      </c>
      <c r="R398" s="31">
        <v>0.36</v>
      </c>
      <c r="S398" s="31">
        <v>0.14000000000000001</v>
      </c>
      <c r="T398" s="65">
        <f t="shared" si="176"/>
        <v>28.000000000000004</v>
      </c>
      <c r="U398" s="31">
        <v>10</v>
      </c>
      <c r="V398" s="31"/>
      <c r="W398" s="31">
        <f t="shared" si="154"/>
        <v>10</v>
      </c>
      <c r="X398" s="31">
        <f t="shared" si="156"/>
        <v>36</v>
      </c>
      <c r="Y398" s="31">
        <f t="shared" si="159"/>
        <v>3.5999999999999997E-2</v>
      </c>
      <c r="Z398" s="18">
        <v>0</v>
      </c>
      <c r="AA398" s="18" t="s">
        <v>330</v>
      </c>
      <c r="AB398" s="18" t="s">
        <v>333</v>
      </c>
      <c r="AC398" s="18" t="s">
        <v>335</v>
      </c>
      <c r="AD398" s="18">
        <v>20</v>
      </c>
      <c r="AE398" s="18">
        <v>19</v>
      </c>
      <c r="AF398" s="18" t="s">
        <v>34</v>
      </c>
      <c r="AG398" s="18"/>
      <c r="AH398" s="18"/>
      <c r="AI398" s="18" t="s">
        <v>69</v>
      </c>
      <c r="AJ398" s="18" t="s">
        <v>81</v>
      </c>
      <c r="AK398" s="18" t="s">
        <v>100</v>
      </c>
      <c r="AL398" s="18" t="s">
        <v>107</v>
      </c>
      <c r="AM398" s="18" t="s">
        <v>120</v>
      </c>
      <c r="AN398" s="18" t="s">
        <v>247</v>
      </c>
      <c r="AO398" s="18"/>
      <c r="AP398" s="18"/>
      <c r="AQ398" s="18">
        <f>+VLOOKUP(AI398,Leyenda!$B$30:$E$34,3,FALSE)</f>
        <v>0</v>
      </c>
      <c r="AR398" s="18">
        <f>+VLOOKUP('3. Blasting'!AJ398,Meteorizacion,3,FALSE)</f>
        <v>0</v>
      </c>
      <c r="AS398" s="18">
        <f>+VLOOKUP('3. Blasting'!AK398,Apertura,3,FALSE)</f>
        <v>0</v>
      </c>
      <c r="AT398" s="18">
        <f>+VLOOKUP('3. Blasting'!AL398,Leyenda!$B$55:$D$59,3,FALSE)</f>
        <v>3</v>
      </c>
      <c r="AU398" s="18">
        <f>+VLOOKUP('3. Blasting'!AM398,Relleno,3,FALSE)</f>
        <v>2</v>
      </c>
      <c r="AV398" s="18">
        <f t="shared" si="177"/>
        <v>5</v>
      </c>
      <c r="AW398" s="49">
        <f t="shared" si="166"/>
        <v>0</v>
      </c>
      <c r="AX398" s="49">
        <f>VLOOKUP(AF398,Leyenda!$B$4:$D$10,3,FALSE)</f>
        <v>0</v>
      </c>
      <c r="AY398" s="49">
        <f t="shared" si="160"/>
        <v>4</v>
      </c>
      <c r="AZ398" s="49">
        <f t="shared" si="167"/>
        <v>5</v>
      </c>
      <c r="BA398" s="49">
        <f>VLOOKUP(AN398,Leyenda!$B$70:$D$75,3,FALSE)</f>
        <v>10</v>
      </c>
      <c r="BB398" s="67">
        <f t="shared" si="168"/>
        <v>21.5</v>
      </c>
      <c r="BC398" s="67">
        <f>VLOOKUP(AF398,Leyenda!$B$4:$E$10,4,FALSE)</f>
        <v>0</v>
      </c>
      <c r="BD398" s="67">
        <f t="shared" si="169"/>
        <v>5</v>
      </c>
      <c r="BE398" s="67">
        <f t="shared" si="170"/>
        <v>6</v>
      </c>
      <c r="BF398" s="67">
        <f>+VLOOKUP('3. Blasting'!AK398,Leyenda!$B$47:$E$51,4,FALSE)</f>
        <v>0</v>
      </c>
      <c r="BG398" s="67">
        <f>+VLOOKUP('3. Blasting'!AL398,Leyenda!$B$55:$E$59,4,FALSE)</f>
        <v>3</v>
      </c>
      <c r="BH398" s="67">
        <f>+VLOOKUP('3. Blasting'!AM398,Leyenda!$B$63:$E$67,3,FALSE)</f>
        <v>2</v>
      </c>
      <c r="BI398" s="67">
        <f>+VLOOKUP('3. Blasting'!AJ398,Leyenda!$B$39:$E$43,4,FALSE)</f>
        <v>0</v>
      </c>
      <c r="BJ398" s="67">
        <f>+VLOOKUP('3. Blasting'!AI398,Leyenda!$B$30:$E$34,4,FALSE)</f>
        <v>0</v>
      </c>
      <c r="BK398" s="67">
        <f>VLOOKUP(AN398,Leyenda!$B$71:$E$75,4,FALSE)</f>
        <v>7</v>
      </c>
      <c r="BL398" s="125">
        <f t="shared" si="171"/>
        <v>23</v>
      </c>
      <c r="BM398" s="85">
        <f t="shared" si="172"/>
        <v>19</v>
      </c>
      <c r="BN398" s="18" t="e">
        <f t="shared" si="173"/>
        <v>#N/A</v>
      </c>
      <c r="BO398" s="18"/>
      <c r="BP398" s="6">
        <f t="shared" si="174"/>
        <v>10</v>
      </c>
      <c r="BQ398" s="6">
        <f t="shared" si="175"/>
        <v>10</v>
      </c>
      <c r="BR398" s="6">
        <v>20</v>
      </c>
      <c r="BS398" s="6">
        <f t="shared" si="161"/>
        <v>3.5</v>
      </c>
      <c r="BT398" s="6">
        <f t="shared" si="162"/>
        <v>1.5650000000000002</v>
      </c>
      <c r="BU398" s="6">
        <f t="shared" si="163"/>
        <v>22.532499999999999</v>
      </c>
      <c r="BV398" s="18">
        <f t="shared" si="157"/>
        <v>9.0130000000000002E-2</v>
      </c>
      <c r="BW398" s="18">
        <f t="shared" si="158"/>
        <v>0.19287820000000003</v>
      </c>
    </row>
    <row r="399" spans="1:75" x14ac:dyDescent="0.25">
      <c r="A399" s="18" t="s">
        <v>6</v>
      </c>
      <c r="B399" s="18">
        <v>2024</v>
      </c>
      <c r="C399" s="18" t="s">
        <v>138</v>
      </c>
      <c r="D399" s="18" t="s">
        <v>132</v>
      </c>
      <c r="E399" s="18">
        <v>40</v>
      </c>
      <c r="F399" s="18" t="s">
        <v>153</v>
      </c>
      <c r="G399" s="18" t="s">
        <v>167</v>
      </c>
      <c r="H399" s="4">
        <f t="shared" si="155"/>
        <v>22</v>
      </c>
      <c r="I399" s="18">
        <v>22.5</v>
      </c>
      <c r="J399" s="4">
        <f t="shared" si="164"/>
        <v>0.5</v>
      </c>
      <c r="K399" s="5">
        <v>0.64</v>
      </c>
      <c r="L399" s="31">
        <f t="shared" si="165"/>
        <v>0.32</v>
      </c>
      <c r="M399" s="31">
        <v>2.14</v>
      </c>
      <c r="N399" s="31">
        <v>31.3</v>
      </c>
      <c r="O399" s="31">
        <f t="shared" si="153"/>
        <v>0.32</v>
      </c>
      <c r="P399" s="31">
        <v>16</v>
      </c>
      <c r="Q399" s="31">
        <v>20</v>
      </c>
      <c r="R399" s="31">
        <v>0.28000000000000003</v>
      </c>
      <c r="S399" s="31">
        <v>0</v>
      </c>
      <c r="T399" s="65">
        <f t="shared" si="176"/>
        <v>0</v>
      </c>
      <c r="U399" s="31">
        <v>5</v>
      </c>
      <c r="V399" s="31"/>
      <c r="W399" s="31">
        <f t="shared" si="154"/>
        <v>5</v>
      </c>
      <c r="X399" s="31">
        <f t="shared" si="156"/>
        <v>56</v>
      </c>
      <c r="Y399" s="31">
        <f t="shared" si="159"/>
        <v>5.6000000000000001E-2</v>
      </c>
      <c r="Z399" s="18">
        <v>0</v>
      </c>
      <c r="AA399" s="18" t="s">
        <v>330</v>
      </c>
      <c r="AB399" s="18" t="s">
        <v>333</v>
      </c>
      <c r="AC399" s="18" t="s">
        <v>335</v>
      </c>
      <c r="AD399" s="18">
        <v>20</v>
      </c>
      <c r="AE399" s="18">
        <v>16</v>
      </c>
      <c r="AF399" s="18" t="s">
        <v>34</v>
      </c>
      <c r="AG399" s="18"/>
      <c r="AH399" s="18"/>
      <c r="AI399" s="18" t="s">
        <v>69</v>
      </c>
      <c r="AJ399" s="18" t="s">
        <v>81</v>
      </c>
      <c r="AK399" s="18" t="s">
        <v>100</v>
      </c>
      <c r="AL399" s="18" t="s">
        <v>107</v>
      </c>
      <c r="AM399" s="18" t="s">
        <v>120</v>
      </c>
      <c r="AN399" s="18" t="s">
        <v>247</v>
      </c>
      <c r="AO399" s="18"/>
      <c r="AP399" s="18"/>
      <c r="AQ399" s="18">
        <f>+VLOOKUP(AI399,Leyenda!$B$30:$E$34,3,FALSE)</f>
        <v>0</v>
      </c>
      <c r="AR399" s="18">
        <f>+VLOOKUP('3. Blasting'!AJ399,Meteorizacion,3,FALSE)</f>
        <v>0</v>
      </c>
      <c r="AS399" s="18">
        <f>+VLOOKUP('3. Blasting'!AK399,Apertura,3,FALSE)</f>
        <v>0</v>
      </c>
      <c r="AT399" s="18">
        <f>+VLOOKUP('3. Blasting'!AL399,Leyenda!$B$55:$D$59,3,FALSE)</f>
        <v>3</v>
      </c>
      <c r="AU399" s="18">
        <f>+VLOOKUP('3. Blasting'!AM399,Relleno,3,FALSE)</f>
        <v>2</v>
      </c>
      <c r="AV399" s="18">
        <f t="shared" si="177"/>
        <v>5</v>
      </c>
      <c r="AW399" s="49">
        <f t="shared" si="166"/>
        <v>0</v>
      </c>
      <c r="AX399" s="49">
        <f>VLOOKUP(AF399,Leyenda!$B$4:$D$10,3,FALSE)</f>
        <v>0</v>
      </c>
      <c r="AY399" s="49">
        <f t="shared" si="160"/>
        <v>4</v>
      </c>
      <c r="AZ399" s="49">
        <f t="shared" si="167"/>
        <v>5</v>
      </c>
      <c r="BA399" s="49">
        <f>VLOOKUP(AN399,Leyenda!$B$70:$D$75,3,FALSE)</f>
        <v>10</v>
      </c>
      <c r="BB399" s="67">
        <f t="shared" si="168"/>
        <v>7.5</v>
      </c>
      <c r="BC399" s="67">
        <f>VLOOKUP(AF399,Leyenda!$B$4:$E$10,4,FALSE)</f>
        <v>0</v>
      </c>
      <c r="BD399" s="67">
        <f t="shared" si="169"/>
        <v>5</v>
      </c>
      <c r="BE399" s="67">
        <f t="shared" si="170"/>
        <v>0</v>
      </c>
      <c r="BF399" s="67">
        <f>+VLOOKUP('3. Blasting'!AK399,Leyenda!$B$47:$E$51,4,FALSE)</f>
        <v>0</v>
      </c>
      <c r="BG399" s="67">
        <f>+VLOOKUP('3. Blasting'!AL399,Leyenda!$B$55:$E$59,4,FALSE)</f>
        <v>3</v>
      </c>
      <c r="BH399" s="67">
        <f>+VLOOKUP('3. Blasting'!AM399,Leyenda!$B$63:$E$67,3,FALSE)</f>
        <v>2</v>
      </c>
      <c r="BI399" s="67">
        <f>+VLOOKUP('3. Blasting'!AJ399,Leyenda!$B$39:$E$43,4,FALSE)</f>
        <v>0</v>
      </c>
      <c r="BJ399" s="67">
        <f>+VLOOKUP('3. Blasting'!AI399,Leyenda!$B$30:$E$34,4,FALSE)</f>
        <v>0</v>
      </c>
      <c r="BK399" s="67">
        <f>VLOOKUP(AN399,Leyenda!$B$71:$E$75,4,FALSE)</f>
        <v>7</v>
      </c>
      <c r="BL399" s="125">
        <f t="shared" si="171"/>
        <v>17</v>
      </c>
      <c r="BM399" s="85">
        <f t="shared" si="172"/>
        <v>19</v>
      </c>
      <c r="BN399" s="18" t="e">
        <f t="shared" si="173"/>
        <v>#N/A</v>
      </c>
      <c r="BO399" s="18"/>
      <c r="BP399" s="6">
        <f t="shared" si="174"/>
        <v>10</v>
      </c>
      <c r="BQ399" s="6">
        <f t="shared" si="175"/>
        <v>10</v>
      </c>
      <c r="BR399" s="6">
        <v>20</v>
      </c>
      <c r="BS399" s="6">
        <f t="shared" si="161"/>
        <v>3.5</v>
      </c>
      <c r="BT399" s="6">
        <f t="shared" si="162"/>
        <v>1.5650000000000002</v>
      </c>
      <c r="BU399" s="6">
        <f t="shared" si="163"/>
        <v>22.532499999999999</v>
      </c>
      <c r="BV399" s="18">
        <f t="shared" si="157"/>
        <v>9.0130000000000002E-2</v>
      </c>
      <c r="BW399" s="18">
        <f t="shared" si="158"/>
        <v>0.19287820000000003</v>
      </c>
    </row>
    <row r="400" spans="1:75" x14ac:dyDescent="0.25">
      <c r="A400" s="18" t="s">
        <v>6</v>
      </c>
      <c r="B400" s="18">
        <v>2024</v>
      </c>
      <c r="C400" s="18" t="s">
        <v>138</v>
      </c>
      <c r="D400" s="18" t="s">
        <v>132</v>
      </c>
      <c r="E400" s="18">
        <v>40</v>
      </c>
      <c r="F400" s="18" t="s">
        <v>153</v>
      </c>
      <c r="G400" s="18" t="s">
        <v>167</v>
      </c>
      <c r="H400" s="4">
        <f t="shared" si="155"/>
        <v>22.5</v>
      </c>
      <c r="I400" s="18">
        <v>23</v>
      </c>
      <c r="J400" s="4">
        <f t="shared" si="164"/>
        <v>0.5</v>
      </c>
      <c r="K400" s="5">
        <v>0.5</v>
      </c>
      <c r="L400" s="31">
        <f t="shared" si="165"/>
        <v>0.25</v>
      </c>
      <c r="M400" s="31">
        <v>2.14</v>
      </c>
      <c r="N400" s="31">
        <v>31.3</v>
      </c>
      <c r="O400" s="31">
        <f t="shared" si="153"/>
        <v>0.25</v>
      </c>
      <c r="P400" s="31">
        <v>12.5</v>
      </c>
      <c r="Q400" s="31">
        <v>20</v>
      </c>
      <c r="R400" s="31">
        <v>0.21</v>
      </c>
      <c r="S400" s="31">
        <v>0.11</v>
      </c>
      <c r="T400" s="65">
        <f t="shared" si="176"/>
        <v>22</v>
      </c>
      <c r="U400" s="31">
        <v>2</v>
      </c>
      <c r="V400" s="31"/>
      <c r="W400" s="31">
        <f t="shared" si="154"/>
        <v>2</v>
      </c>
      <c r="X400" s="31">
        <f t="shared" si="156"/>
        <v>105</v>
      </c>
      <c r="Y400" s="31">
        <f t="shared" si="159"/>
        <v>0.105</v>
      </c>
      <c r="Z400" s="18">
        <v>0</v>
      </c>
      <c r="AA400" s="18" t="s">
        <v>330</v>
      </c>
      <c r="AB400" s="18" t="s">
        <v>333</v>
      </c>
      <c r="AC400" s="18" t="s">
        <v>335</v>
      </c>
      <c r="AD400" s="18">
        <v>20</v>
      </c>
      <c r="AE400" s="18">
        <v>12.5</v>
      </c>
      <c r="AF400" s="18" t="s">
        <v>34</v>
      </c>
      <c r="AG400" s="18"/>
      <c r="AH400" s="18"/>
      <c r="AI400" s="18" t="s">
        <v>69</v>
      </c>
      <c r="AJ400" s="18" t="s">
        <v>81</v>
      </c>
      <c r="AK400" s="18" t="s">
        <v>100</v>
      </c>
      <c r="AL400" s="18" t="s">
        <v>107</v>
      </c>
      <c r="AM400" s="18" t="s">
        <v>120</v>
      </c>
      <c r="AN400" s="18" t="s">
        <v>247</v>
      </c>
      <c r="AO400" s="18"/>
      <c r="AP400" s="18"/>
      <c r="AQ400" s="18">
        <f>+VLOOKUP(AI400,Leyenda!$B$30:$E$34,3,FALSE)</f>
        <v>0</v>
      </c>
      <c r="AR400" s="18">
        <f>+VLOOKUP('3. Blasting'!AJ400,Meteorizacion,3,FALSE)</f>
        <v>0</v>
      </c>
      <c r="AS400" s="18">
        <f>+VLOOKUP('3. Blasting'!AK400,Apertura,3,FALSE)</f>
        <v>0</v>
      </c>
      <c r="AT400" s="18">
        <f>+VLOOKUP('3. Blasting'!AL400,Leyenda!$B$55:$D$59,3,FALSE)</f>
        <v>3</v>
      </c>
      <c r="AU400" s="18">
        <f>+VLOOKUP('3. Blasting'!AM400,Relleno,3,FALSE)</f>
        <v>2</v>
      </c>
      <c r="AV400" s="18">
        <f t="shared" si="177"/>
        <v>5</v>
      </c>
      <c r="AW400" s="49">
        <f t="shared" si="166"/>
        <v>0</v>
      </c>
      <c r="AX400" s="49">
        <f>VLOOKUP(AF400,Leyenda!$B$4:$D$10,3,FALSE)</f>
        <v>0</v>
      </c>
      <c r="AY400" s="49">
        <f t="shared" si="160"/>
        <v>4</v>
      </c>
      <c r="AZ400" s="49">
        <f t="shared" si="167"/>
        <v>5</v>
      </c>
      <c r="BA400" s="49">
        <f>VLOOKUP(AN400,Leyenda!$B$70:$D$75,3,FALSE)</f>
        <v>10</v>
      </c>
      <c r="BB400" s="67">
        <f t="shared" si="168"/>
        <v>18.5</v>
      </c>
      <c r="BC400" s="67">
        <f>VLOOKUP(AF400,Leyenda!$B$4:$E$10,4,FALSE)</f>
        <v>0</v>
      </c>
      <c r="BD400" s="67">
        <f t="shared" si="169"/>
        <v>8</v>
      </c>
      <c r="BE400" s="67">
        <f t="shared" si="170"/>
        <v>5</v>
      </c>
      <c r="BF400" s="67">
        <f>+VLOOKUP('3. Blasting'!AK400,Leyenda!$B$47:$E$51,4,FALSE)</f>
        <v>0</v>
      </c>
      <c r="BG400" s="67">
        <f>+VLOOKUP('3. Blasting'!AL400,Leyenda!$B$55:$E$59,4,FALSE)</f>
        <v>3</v>
      </c>
      <c r="BH400" s="67">
        <f>+VLOOKUP('3. Blasting'!AM400,Leyenda!$B$63:$E$67,3,FALSE)</f>
        <v>2</v>
      </c>
      <c r="BI400" s="67">
        <f>+VLOOKUP('3. Blasting'!AJ400,Leyenda!$B$39:$E$43,4,FALSE)</f>
        <v>0</v>
      </c>
      <c r="BJ400" s="67">
        <f>+VLOOKUP('3. Blasting'!AI400,Leyenda!$B$30:$E$34,4,FALSE)</f>
        <v>0</v>
      </c>
      <c r="BK400" s="67">
        <f>VLOOKUP(AN400,Leyenda!$B$71:$E$75,4,FALSE)</f>
        <v>7</v>
      </c>
      <c r="BL400" s="125">
        <f t="shared" si="171"/>
        <v>25</v>
      </c>
      <c r="BM400" s="85">
        <f t="shared" si="172"/>
        <v>19</v>
      </c>
      <c r="BN400" s="18" t="e">
        <f t="shared" si="173"/>
        <v>#N/A</v>
      </c>
      <c r="BO400" s="18"/>
      <c r="BP400" s="6">
        <f t="shared" si="174"/>
        <v>10</v>
      </c>
      <c r="BQ400" s="6">
        <f t="shared" si="175"/>
        <v>20</v>
      </c>
      <c r="BR400" s="6">
        <v>20</v>
      </c>
      <c r="BS400" s="6">
        <f t="shared" si="161"/>
        <v>3.5</v>
      </c>
      <c r="BT400" s="6">
        <f t="shared" si="162"/>
        <v>1.5650000000000002</v>
      </c>
      <c r="BU400" s="6">
        <f t="shared" si="163"/>
        <v>27.532499999999999</v>
      </c>
      <c r="BV400" s="18">
        <f t="shared" si="157"/>
        <v>0.11012999999999999</v>
      </c>
      <c r="BW400" s="18">
        <f t="shared" si="158"/>
        <v>0.2356782</v>
      </c>
    </row>
    <row r="401" spans="1:75" x14ac:dyDescent="0.25">
      <c r="A401" s="18" t="s">
        <v>6</v>
      </c>
      <c r="B401" s="18">
        <v>2024</v>
      </c>
      <c r="C401" s="18" t="s">
        <v>138</v>
      </c>
      <c r="D401" s="18" t="s">
        <v>132</v>
      </c>
      <c r="E401" s="18">
        <v>40</v>
      </c>
      <c r="F401" s="18" t="s">
        <v>153</v>
      </c>
      <c r="G401" s="18" t="s">
        <v>167</v>
      </c>
      <c r="H401" s="4">
        <f t="shared" si="155"/>
        <v>23</v>
      </c>
      <c r="I401" s="18">
        <v>23.5</v>
      </c>
      <c r="J401" s="4">
        <f t="shared" si="164"/>
        <v>0.5</v>
      </c>
      <c r="K401" s="5">
        <v>0.48</v>
      </c>
      <c r="L401" s="31">
        <f t="shared" si="165"/>
        <v>0.24</v>
      </c>
      <c r="M401" s="31">
        <v>2.14</v>
      </c>
      <c r="N401" s="31">
        <v>31.3</v>
      </c>
      <c r="O401" s="31">
        <f t="shared" si="153"/>
        <v>0.24</v>
      </c>
      <c r="P401" s="31">
        <v>12</v>
      </c>
      <c r="Q401" s="31">
        <v>20</v>
      </c>
      <c r="R401" s="31">
        <v>0.22</v>
      </c>
      <c r="S401" s="31">
        <v>0.22</v>
      </c>
      <c r="T401" s="65">
        <f t="shared" si="176"/>
        <v>44</v>
      </c>
      <c r="U401" s="31">
        <v>3</v>
      </c>
      <c r="V401" s="31"/>
      <c r="W401" s="31">
        <f t="shared" si="154"/>
        <v>3</v>
      </c>
      <c r="X401" s="31">
        <f t="shared" si="156"/>
        <v>73.333333333333329</v>
      </c>
      <c r="Y401" s="31">
        <f t="shared" si="159"/>
        <v>7.3333333333333334E-2</v>
      </c>
      <c r="Z401" s="18">
        <v>0</v>
      </c>
      <c r="AA401" s="18" t="s">
        <v>330</v>
      </c>
      <c r="AB401" s="18" t="s">
        <v>333</v>
      </c>
      <c r="AC401" s="18" t="s">
        <v>335</v>
      </c>
      <c r="AD401" s="18">
        <v>20</v>
      </c>
      <c r="AE401" s="18">
        <v>12</v>
      </c>
      <c r="AF401" s="18" t="s">
        <v>34</v>
      </c>
      <c r="AG401" s="18"/>
      <c r="AH401" s="18"/>
      <c r="AI401" s="18" t="s">
        <v>69</v>
      </c>
      <c r="AJ401" s="18" t="s">
        <v>81</v>
      </c>
      <c r="AK401" s="18" t="s">
        <v>100</v>
      </c>
      <c r="AL401" s="18" t="s">
        <v>107</v>
      </c>
      <c r="AM401" s="18" t="s">
        <v>120</v>
      </c>
      <c r="AN401" s="18" t="s">
        <v>247</v>
      </c>
      <c r="AO401" s="18"/>
      <c r="AP401" s="18"/>
      <c r="AQ401" s="18">
        <f>+VLOOKUP(AI401,Leyenda!$B$30:$E$34,3,FALSE)</f>
        <v>0</v>
      </c>
      <c r="AR401" s="18">
        <f>+VLOOKUP('3. Blasting'!AJ401,Meteorizacion,3,FALSE)</f>
        <v>0</v>
      </c>
      <c r="AS401" s="18">
        <f>+VLOOKUP('3. Blasting'!AK401,Apertura,3,FALSE)</f>
        <v>0</v>
      </c>
      <c r="AT401" s="18">
        <f>+VLOOKUP('3. Blasting'!AL401,Leyenda!$B$55:$D$59,3,FALSE)</f>
        <v>3</v>
      </c>
      <c r="AU401" s="18">
        <f>+VLOOKUP('3. Blasting'!AM401,Relleno,3,FALSE)</f>
        <v>2</v>
      </c>
      <c r="AV401" s="18">
        <f t="shared" si="177"/>
        <v>5</v>
      </c>
      <c r="AW401" s="49">
        <f t="shared" si="166"/>
        <v>0</v>
      </c>
      <c r="AX401" s="49">
        <f>VLOOKUP(AF401,Leyenda!$B$4:$D$10,3,FALSE)</f>
        <v>0</v>
      </c>
      <c r="AY401" s="49">
        <f t="shared" si="160"/>
        <v>4</v>
      </c>
      <c r="AZ401" s="49">
        <f t="shared" si="167"/>
        <v>5</v>
      </c>
      <c r="BA401" s="49">
        <f>VLOOKUP(AN401,Leyenda!$B$70:$D$75,3,FALSE)</f>
        <v>10</v>
      </c>
      <c r="BB401" s="67">
        <f t="shared" si="168"/>
        <v>29.5</v>
      </c>
      <c r="BC401" s="67">
        <f>VLOOKUP(AF401,Leyenda!$B$4:$E$10,4,FALSE)</f>
        <v>0</v>
      </c>
      <c r="BD401" s="67">
        <f t="shared" si="169"/>
        <v>6</v>
      </c>
      <c r="BE401" s="67">
        <f t="shared" si="170"/>
        <v>9</v>
      </c>
      <c r="BF401" s="67">
        <f>+VLOOKUP('3. Blasting'!AK401,Leyenda!$B$47:$E$51,4,FALSE)</f>
        <v>0</v>
      </c>
      <c r="BG401" s="67">
        <f>+VLOOKUP('3. Blasting'!AL401,Leyenda!$B$55:$E$59,4,FALSE)</f>
        <v>3</v>
      </c>
      <c r="BH401" s="67">
        <f>+VLOOKUP('3. Blasting'!AM401,Leyenda!$B$63:$E$67,3,FALSE)</f>
        <v>2</v>
      </c>
      <c r="BI401" s="67">
        <f>+VLOOKUP('3. Blasting'!AJ401,Leyenda!$B$39:$E$43,4,FALSE)</f>
        <v>0</v>
      </c>
      <c r="BJ401" s="67">
        <f>+VLOOKUP('3. Blasting'!AI401,Leyenda!$B$30:$E$34,4,FALSE)</f>
        <v>0</v>
      </c>
      <c r="BK401" s="67">
        <f>VLOOKUP(AN401,Leyenda!$B$71:$E$75,4,FALSE)</f>
        <v>7</v>
      </c>
      <c r="BL401" s="125">
        <f t="shared" si="171"/>
        <v>27</v>
      </c>
      <c r="BM401" s="85">
        <f t="shared" si="172"/>
        <v>19</v>
      </c>
      <c r="BN401" s="18" t="e">
        <f t="shared" si="173"/>
        <v>#N/A</v>
      </c>
      <c r="BO401" s="18"/>
      <c r="BP401" s="6">
        <f t="shared" si="174"/>
        <v>10</v>
      </c>
      <c r="BQ401" s="6">
        <f t="shared" si="175"/>
        <v>10</v>
      </c>
      <c r="BR401" s="6">
        <v>20</v>
      </c>
      <c r="BS401" s="6">
        <f t="shared" si="161"/>
        <v>3.5</v>
      </c>
      <c r="BT401" s="6">
        <f t="shared" si="162"/>
        <v>1.5650000000000002</v>
      </c>
      <c r="BU401" s="6">
        <f t="shared" si="163"/>
        <v>22.532499999999999</v>
      </c>
      <c r="BV401" s="18">
        <f t="shared" si="157"/>
        <v>9.0130000000000002E-2</v>
      </c>
      <c r="BW401" s="18">
        <f t="shared" si="158"/>
        <v>0.19287820000000003</v>
      </c>
    </row>
    <row r="402" spans="1:75" hidden="1" x14ac:dyDescent="0.25">
      <c r="A402" s="18" t="s">
        <v>6</v>
      </c>
      <c r="B402" s="18">
        <v>2024</v>
      </c>
      <c r="C402" s="18" t="s">
        <v>138</v>
      </c>
      <c r="D402" s="18" t="s">
        <v>132</v>
      </c>
      <c r="E402" s="18">
        <v>30</v>
      </c>
      <c r="F402" s="18" t="s">
        <v>152</v>
      </c>
      <c r="G402" s="18" t="s">
        <v>167</v>
      </c>
      <c r="H402" s="4">
        <f t="shared" si="155"/>
        <v>23.5</v>
      </c>
      <c r="I402" s="18">
        <v>24</v>
      </c>
      <c r="J402" s="4">
        <f t="shared" si="164"/>
        <v>0.5</v>
      </c>
      <c r="K402" s="5">
        <v>0.54</v>
      </c>
      <c r="L402" s="31">
        <f t="shared" si="165"/>
        <v>0.27</v>
      </c>
      <c r="M402" s="105">
        <v>1.9</v>
      </c>
      <c r="N402" s="31">
        <v>10.5</v>
      </c>
      <c r="O402" s="31">
        <f t="shared" si="153"/>
        <v>0.27</v>
      </c>
      <c r="P402" s="31">
        <v>13.5</v>
      </c>
      <c r="Q402" s="31">
        <v>20</v>
      </c>
      <c r="R402" s="31">
        <v>0.26</v>
      </c>
      <c r="S402" s="31">
        <v>0</v>
      </c>
      <c r="T402" s="65">
        <f t="shared" si="176"/>
        <v>0</v>
      </c>
      <c r="U402" s="31">
        <v>5</v>
      </c>
      <c r="V402" s="31"/>
      <c r="W402" s="31">
        <f t="shared" si="154"/>
        <v>5</v>
      </c>
      <c r="X402" s="31">
        <f t="shared" si="156"/>
        <v>52</v>
      </c>
      <c r="Y402" s="31">
        <f t="shared" si="159"/>
        <v>5.1999999999999998E-2</v>
      </c>
      <c r="Z402" s="18">
        <v>0</v>
      </c>
      <c r="AA402" s="18" t="s">
        <v>330</v>
      </c>
      <c r="AB402" s="18" t="s">
        <v>333</v>
      </c>
      <c r="AC402" s="18" t="s">
        <v>336</v>
      </c>
      <c r="AD402" s="18">
        <v>20</v>
      </c>
      <c r="AE402" s="18">
        <v>13.5</v>
      </c>
      <c r="AF402" s="18" t="s">
        <v>32</v>
      </c>
      <c r="AG402" s="18"/>
      <c r="AH402" s="18"/>
      <c r="AI402" s="18" t="s">
        <v>64</v>
      </c>
      <c r="AJ402" s="18" t="s">
        <v>79</v>
      </c>
      <c r="AK402" s="18" t="s">
        <v>92</v>
      </c>
      <c r="AL402" s="18" t="s">
        <v>109</v>
      </c>
      <c r="AM402" s="18" t="s">
        <v>120</v>
      </c>
      <c r="AN402" s="18" t="s">
        <v>198</v>
      </c>
      <c r="AO402" s="18"/>
      <c r="AP402" s="18"/>
      <c r="AQ402" s="18">
        <f>+VLOOKUP(AI402,Leyenda!$B$30:$E$34,3,FALSE)</f>
        <v>2</v>
      </c>
      <c r="AR402" s="18">
        <f>+VLOOKUP('3. Blasting'!AJ402,Meteorizacion,3,FALSE)</f>
        <v>1</v>
      </c>
      <c r="AS402" s="18">
        <f>+VLOOKUP('3. Blasting'!AK402,Apertura,3,FALSE)</f>
        <v>3</v>
      </c>
      <c r="AT402" s="18">
        <f>+VLOOKUP('3. Blasting'!AL402,Leyenda!$B$55:$D$59,3,FALSE)</f>
        <v>1</v>
      </c>
      <c r="AU402" s="18">
        <f>+VLOOKUP('3. Blasting'!AM402,Relleno,3,FALSE)</f>
        <v>2</v>
      </c>
      <c r="AV402" s="18">
        <f t="shared" si="177"/>
        <v>9</v>
      </c>
      <c r="AW402" s="49">
        <f t="shared" si="166"/>
        <v>0</v>
      </c>
      <c r="AX402" s="49">
        <f>VLOOKUP(AF402,Leyenda!$B$4:$D$10,3,FALSE)</f>
        <v>1</v>
      </c>
      <c r="AY402" s="49">
        <f t="shared" si="160"/>
        <v>4</v>
      </c>
      <c r="AZ402" s="49">
        <f t="shared" si="167"/>
        <v>9</v>
      </c>
      <c r="BA402" s="49">
        <f>VLOOKUP(AN402,Leyenda!$B$70:$D$75,3,FALSE)</f>
        <v>15</v>
      </c>
      <c r="BB402" s="67">
        <f t="shared" si="168"/>
        <v>13.5</v>
      </c>
      <c r="BC402" s="67">
        <f>VLOOKUP(AF402,Leyenda!$B$4:$E$10,4,FALSE)</f>
        <v>1</v>
      </c>
      <c r="BD402" s="67">
        <f t="shared" si="169"/>
        <v>4</v>
      </c>
      <c r="BE402" s="67">
        <f t="shared" si="170"/>
        <v>0</v>
      </c>
      <c r="BF402" s="67">
        <f>+VLOOKUP('3. Blasting'!AK402,Leyenda!$B$47:$E$51,4,FALSE)</f>
        <v>3</v>
      </c>
      <c r="BG402" s="67">
        <f>+VLOOKUP('3. Blasting'!AL402,Leyenda!$B$55:$E$59,4,FALSE)</f>
        <v>1</v>
      </c>
      <c r="BH402" s="67">
        <f>+VLOOKUP('3. Blasting'!AM402,Leyenda!$B$63:$E$67,3,FALSE)</f>
        <v>2</v>
      </c>
      <c r="BI402" s="67">
        <f>+VLOOKUP('3. Blasting'!AJ402,Leyenda!$B$39:$E$43,4,FALSE)</f>
        <v>1</v>
      </c>
      <c r="BJ402" s="67">
        <f>+VLOOKUP('3. Blasting'!AI402,Leyenda!$B$30:$E$34,4,FALSE)</f>
        <v>3</v>
      </c>
      <c r="BK402" s="67">
        <f>VLOOKUP(AN402,Leyenda!$B$71:$E$75,4,FALSE)</f>
        <v>10</v>
      </c>
      <c r="BL402" s="67">
        <f t="shared" si="171"/>
        <v>25</v>
      </c>
      <c r="BM402" s="18">
        <f t="shared" si="172"/>
        <v>29</v>
      </c>
      <c r="BN402" s="18" t="e">
        <f t="shared" ref="BN402:BN423" si="178">+CORREL(BB402:BB751,BL402:BL751)</f>
        <v>#N/A</v>
      </c>
      <c r="BO402" s="18"/>
      <c r="BP402" s="6">
        <f t="shared" si="174"/>
        <v>10</v>
      </c>
      <c r="BQ402" s="6">
        <f t="shared" si="175"/>
        <v>10</v>
      </c>
      <c r="BR402" s="6">
        <v>20</v>
      </c>
      <c r="BS402" s="6">
        <f t="shared" si="161"/>
        <v>-2.5</v>
      </c>
      <c r="BT402" s="6">
        <f t="shared" si="162"/>
        <v>0.52500000000000002</v>
      </c>
      <c r="BU402" s="6">
        <f t="shared" si="163"/>
        <v>19.012499999999999</v>
      </c>
      <c r="BV402" s="18">
        <f t="shared" si="157"/>
        <v>7.6049999999999993E-2</v>
      </c>
      <c r="BW402" s="18">
        <f t="shared" si="158"/>
        <v>0.14449499999999998</v>
      </c>
    </row>
    <row r="403" spans="1:75" hidden="1" x14ac:dyDescent="0.25">
      <c r="A403" s="18" t="s">
        <v>6</v>
      </c>
      <c r="B403" s="18">
        <v>2024</v>
      </c>
      <c r="C403" s="18" t="s">
        <v>138</v>
      </c>
      <c r="D403" s="18" t="s">
        <v>132</v>
      </c>
      <c r="E403" s="18">
        <v>30</v>
      </c>
      <c r="F403" s="18" t="s">
        <v>152</v>
      </c>
      <c r="G403" s="18" t="s">
        <v>167</v>
      </c>
      <c r="H403" s="4">
        <f t="shared" si="155"/>
        <v>24</v>
      </c>
      <c r="I403" s="18">
        <v>24.5</v>
      </c>
      <c r="J403" s="4">
        <f t="shared" si="164"/>
        <v>0.5</v>
      </c>
      <c r="K403" s="5">
        <v>0.56000000000000005</v>
      </c>
      <c r="L403" s="31">
        <f t="shared" si="165"/>
        <v>0.28000000000000003</v>
      </c>
      <c r="M403" s="105">
        <v>1.9</v>
      </c>
      <c r="N403" s="31">
        <v>10.5</v>
      </c>
      <c r="O403" s="31">
        <f t="shared" si="153"/>
        <v>0.28000000000000003</v>
      </c>
      <c r="P403" s="31">
        <v>14</v>
      </c>
      <c r="Q403" s="31">
        <v>20</v>
      </c>
      <c r="R403" s="31">
        <v>0.26</v>
      </c>
      <c r="S403" s="31">
        <v>0</v>
      </c>
      <c r="T403" s="65">
        <f t="shared" si="176"/>
        <v>0</v>
      </c>
      <c r="U403" s="31">
        <v>3</v>
      </c>
      <c r="V403" s="31"/>
      <c r="W403" s="31">
        <f t="shared" si="154"/>
        <v>3</v>
      </c>
      <c r="X403" s="31">
        <f t="shared" si="156"/>
        <v>86.666666666666671</v>
      </c>
      <c r="Y403" s="31">
        <f t="shared" si="159"/>
        <v>8.666666666666667E-2</v>
      </c>
      <c r="Z403" s="18">
        <v>0</v>
      </c>
      <c r="AA403" s="18" t="s">
        <v>100</v>
      </c>
      <c r="AB403" s="18" t="s">
        <v>333</v>
      </c>
      <c r="AC403" s="18" t="s">
        <v>336</v>
      </c>
      <c r="AD403" s="18">
        <v>20</v>
      </c>
      <c r="AE403" s="18">
        <v>14</v>
      </c>
      <c r="AF403" s="18" t="s">
        <v>32</v>
      </c>
      <c r="AG403" s="18"/>
      <c r="AH403" s="18"/>
      <c r="AI403" s="18" t="s">
        <v>64</v>
      </c>
      <c r="AJ403" s="18" t="s">
        <v>79</v>
      </c>
      <c r="AK403" s="18" t="s">
        <v>92</v>
      </c>
      <c r="AL403" s="18" t="s">
        <v>109</v>
      </c>
      <c r="AM403" s="18" t="s">
        <v>120</v>
      </c>
      <c r="AN403" s="18" t="s">
        <v>198</v>
      </c>
      <c r="AO403" s="18"/>
      <c r="AP403" s="18"/>
      <c r="AQ403" s="18">
        <f>+VLOOKUP(AI403,Leyenda!$B$30:$E$34,3,FALSE)</f>
        <v>2</v>
      </c>
      <c r="AR403" s="18">
        <f>+VLOOKUP('3. Blasting'!AJ403,Meteorizacion,3,FALSE)</f>
        <v>1</v>
      </c>
      <c r="AS403" s="18">
        <f>+VLOOKUP('3. Blasting'!AK403,Apertura,3,FALSE)</f>
        <v>3</v>
      </c>
      <c r="AT403" s="18">
        <f>+VLOOKUP('3. Blasting'!AL403,Leyenda!$B$55:$D$59,3,FALSE)</f>
        <v>1</v>
      </c>
      <c r="AU403" s="18">
        <f>+VLOOKUP('3. Blasting'!AM403,Relleno,3,FALSE)</f>
        <v>2</v>
      </c>
      <c r="AV403" s="18">
        <f t="shared" si="177"/>
        <v>9</v>
      </c>
      <c r="AW403" s="49">
        <f t="shared" si="166"/>
        <v>0</v>
      </c>
      <c r="AX403" s="49">
        <f>VLOOKUP(AF403,Leyenda!$B$4:$D$10,3,FALSE)</f>
        <v>1</v>
      </c>
      <c r="AY403" s="49">
        <f t="shared" si="160"/>
        <v>4</v>
      </c>
      <c r="AZ403" s="49">
        <f t="shared" si="167"/>
        <v>9</v>
      </c>
      <c r="BA403" s="49">
        <f>VLOOKUP(AN403,Leyenda!$B$70:$D$75,3,FALSE)</f>
        <v>15</v>
      </c>
      <c r="BB403" s="67">
        <f t="shared" si="168"/>
        <v>13.5</v>
      </c>
      <c r="BC403" s="67">
        <f>VLOOKUP(AF403,Leyenda!$B$4:$E$10,4,FALSE)</f>
        <v>1</v>
      </c>
      <c r="BD403" s="67">
        <f t="shared" si="169"/>
        <v>7</v>
      </c>
      <c r="BE403" s="67">
        <f t="shared" si="170"/>
        <v>0</v>
      </c>
      <c r="BF403" s="67">
        <f>+VLOOKUP('3. Blasting'!AK403,Leyenda!$B$47:$E$51,4,FALSE)</f>
        <v>3</v>
      </c>
      <c r="BG403" s="67">
        <f>+VLOOKUP('3. Blasting'!AL403,Leyenda!$B$55:$E$59,4,FALSE)</f>
        <v>1</v>
      </c>
      <c r="BH403" s="67">
        <f>+VLOOKUP('3. Blasting'!AM403,Leyenda!$B$63:$E$67,3,FALSE)</f>
        <v>2</v>
      </c>
      <c r="BI403" s="67">
        <f>+VLOOKUP('3. Blasting'!AJ403,Leyenda!$B$39:$E$43,4,FALSE)</f>
        <v>1</v>
      </c>
      <c r="BJ403" s="67">
        <f>+VLOOKUP('3. Blasting'!AI403,Leyenda!$B$30:$E$34,4,FALSE)</f>
        <v>3</v>
      </c>
      <c r="BK403" s="67">
        <f>VLOOKUP(AN403,Leyenda!$B$71:$E$75,4,FALSE)</f>
        <v>10</v>
      </c>
      <c r="BL403" s="67">
        <f t="shared" si="171"/>
        <v>28</v>
      </c>
      <c r="BM403" s="18">
        <f t="shared" si="172"/>
        <v>29</v>
      </c>
      <c r="BN403" s="18" t="e">
        <f t="shared" si="178"/>
        <v>#N/A</v>
      </c>
      <c r="BO403" s="18"/>
      <c r="BP403" s="6">
        <f t="shared" si="174"/>
        <v>10</v>
      </c>
      <c r="BQ403" s="6">
        <f t="shared" si="175"/>
        <v>10</v>
      </c>
      <c r="BR403" s="6">
        <v>20</v>
      </c>
      <c r="BS403" s="6">
        <f t="shared" si="161"/>
        <v>-2.5</v>
      </c>
      <c r="BT403" s="6">
        <f t="shared" si="162"/>
        <v>0.52500000000000002</v>
      </c>
      <c r="BU403" s="6">
        <f t="shared" si="163"/>
        <v>19.012499999999999</v>
      </c>
      <c r="BV403" s="18">
        <f t="shared" si="157"/>
        <v>7.6049999999999993E-2</v>
      </c>
      <c r="BW403" s="18">
        <f t="shared" si="158"/>
        <v>0.14449499999999998</v>
      </c>
    </row>
    <row r="404" spans="1:75" hidden="1" x14ac:dyDescent="0.25">
      <c r="A404" s="18" t="s">
        <v>6</v>
      </c>
      <c r="B404" s="18">
        <v>2024</v>
      </c>
      <c r="C404" s="18" t="s">
        <v>138</v>
      </c>
      <c r="D404" s="18" t="s">
        <v>132</v>
      </c>
      <c r="E404" s="18">
        <v>30</v>
      </c>
      <c r="F404" s="18" t="s">
        <v>152</v>
      </c>
      <c r="G404" s="18" t="s">
        <v>167</v>
      </c>
      <c r="H404" s="4">
        <f t="shared" si="155"/>
        <v>24.5</v>
      </c>
      <c r="I404" s="18">
        <v>25</v>
      </c>
      <c r="J404" s="4">
        <f t="shared" si="164"/>
        <v>0.5</v>
      </c>
      <c r="K404" s="5">
        <v>0.62</v>
      </c>
      <c r="L404" s="31">
        <f t="shared" si="165"/>
        <v>0.31</v>
      </c>
      <c r="M404" s="105">
        <v>1.9</v>
      </c>
      <c r="N404" s="31">
        <v>10.5</v>
      </c>
      <c r="O404" s="31">
        <f t="shared" si="153"/>
        <v>0.31</v>
      </c>
      <c r="P404" s="31">
        <v>15.5</v>
      </c>
      <c r="Q404" s="31">
        <v>20</v>
      </c>
      <c r="R404" s="31">
        <v>0.3</v>
      </c>
      <c r="S404" s="31">
        <v>0</v>
      </c>
      <c r="T404" s="65">
        <f t="shared" si="176"/>
        <v>0</v>
      </c>
      <c r="U404" s="31">
        <v>5</v>
      </c>
      <c r="V404" s="31"/>
      <c r="W404" s="31">
        <f t="shared" si="154"/>
        <v>5</v>
      </c>
      <c r="X404" s="31">
        <f t="shared" si="156"/>
        <v>60</v>
      </c>
      <c r="Y404" s="31">
        <f t="shared" si="159"/>
        <v>0.06</v>
      </c>
      <c r="Z404" s="18">
        <v>0</v>
      </c>
      <c r="AA404" s="18" t="s">
        <v>100</v>
      </c>
      <c r="AB404" s="18" t="s">
        <v>333</v>
      </c>
      <c r="AC404" s="18" t="s">
        <v>336</v>
      </c>
      <c r="AD404" s="18">
        <v>20</v>
      </c>
      <c r="AE404" s="18">
        <v>15.5</v>
      </c>
      <c r="AF404" s="18" t="s">
        <v>32</v>
      </c>
      <c r="AG404" s="18"/>
      <c r="AH404" s="18"/>
      <c r="AI404" s="18" t="s">
        <v>64</v>
      </c>
      <c r="AJ404" s="18" t="s">
        <v>79</v>
      </c>
      <c r="AK404" s="18" t="s">
        <v>92</v>
      </c>
      <c r="AL404" s="18" t="s">
        <v>109</v>
      </c>
      <c r="AM404" s="18" t="s">
        <v>120</v>
      </c>
      <c r="AN404" s="18" t="s">
        <v>198</v>
      </c>
      <c r="AO404" s="18"/>
      <c r="AP404" s="18"/>
      <c r="AQ404" s="18">
        <f>+VLOOKUP(AI404,Leyenda!$B$30:$E$34,3,FALSE)</f>
        <v>2</v>
      </c>
      <c r="AR404" s="18">
        <f>+VLOOKUP('3. Blasting'!AJ404,Meteorizacion,3,FALSE)</f>
        <v>1</v>
      </c>
      <c r="AS404" s="18">
        <f>+VLOOKUP('3. Blasting'!AK404,Apertura,3,FALSE)</f>
        <v>3</v>
      </c>
      <c r="AT404" s="18">
        <f>+VLOOKUP('3. Blasting'!AL404,Leyenda!$B$55:$D$59,3,FALSE)</f>
        <v>1</v>
      </c>
      <c r="AU404" s="18">
        <f>+VLOOKUP('3. Blasting'!AM404,Relleno,3,FALSE)</f>
        <v>2</v>
      </c>
      <c r="AV404" s="18">
        <f t="shared" si="177"/>
        <v>9</v>
      </c>
      <c r="AW404" s="49">
        <f t="shared" si="166"/>
        <v>0</v>
      </c>
      <c r="AX404" s="49">
        <f>VLOOKUP(AF404,Leyenda!$B$4:$D$10,3,FALSE)</f>
        <v>1</v>
      </c>
      <c r="AY404" s="49">
        <f t="shared" si="160"/>
        <v>4</v>
      </c>
      <c r="AZ404" s="49">
        <f t="shared" si="167"/>
        <v>9</v>
      </c>
      <c r="BA404" s="49">
        <f>VLOOKUP(AN404,Leyenda!$B$70:$D$75,3,FALSE)</f>
        <v>15</v>
      </c>
      <c r="BB404" s="67">
        <f t="shared" si="168"/>
        <v>13.5</v>
      </c>
      <c r="BC404" s="67">
        <f>VLOOKUP(AF404,Leyenda!$B$4:$E$10,4,FALSE)</f>
        <v>1</v>
      </c>
      <c r="BD404" s="67">
        <f t="shared" si="169"/>
        <v>5</v>
      </c>
      <c r="BE404" s="67">
        <f t="shared" si="170"/>
        <v>0</v>
      </c>
      <c r="BF404" s="67">
        <f>+VLOOKUP('3. Blasting'!AK404,Leyenda!$B$47:$E$51,4,FALSE)</f>
        <v>3</v>
      </c>
      <c r="BG404" s="67">
        <f>+VLOOKUP('3. Blasting'!AL404,Leyenda!$B$55:$E$59,4,FALSE)</f>
        <v>1</v>
      </c>
      <c r="BH404" s="67">
        <f>+VLOOKUP('3. Blasting'!AM404,Leyenda!$B$63:$E$67,3,FALSE)</f>
        <v>2</v>
      </c>
      <c r="BI404" s="67">
        <f>+VLOOKUP('3. Blasting'!AJ404,Leyenda!$B$39:$E$43,4,FALSE)</f>
        <v>1</v>
      </c>
      <c r="BJ404" s="67">
        <f>+VLOOKUP('3. Blasting'!AI404,Leyenda!$B$30:$E$34,4,FALSE)</f>
        <v>3</v>
      </c>
      <c r="BK404" s="67">
        <f>VLOOKUP(AN404,Leyenda!$B$71:$E$75,4,FALSE)</f>
        <v>10</v>
      </c>
      <c r="BL404" s="67">
        <f t="shared" si="171"/>
        <v>26</v>
      </c>
      <c r="BM404" s="18">
        <f t="shared" si="172"/>
        <v>29</v>
      </c>
      <c r="BN404" s="18" t="e">
        <f t="shared" si="178"/>
        <v>#N/A</v>
      </c>
      <c r="BO404" s="18"/>
      <c r="BP404" s="6">
        <f t="shared" si="174"/>
        <v>10</v>
      </c>
      <c r="BQ404" s="6">
        <f t="shared" si="175"/>
        <v>10</v>
      </c>
      <c r="BR404" s="6">
        <v>20</v>
      </c>
      <c r="BS404" s="6">
        <f t="shared" si="161"/>
        <v>-2.5</v>
      </c>
      <c r="BT404" s="6">
        <f t="shared" si="162"/>
        <v>0.52500000000000002</v>
      </c>
      <c r="BU404" s="6">
        <f t="shared" si="163"/>
        <v>19.012499999999999</v>
      </c>
      <c r="BV404" s="18">
        <f t="shared" si="157"/>
        <v>7.6049999999999993E-2</v>
      </c>
      <c r="BW404" s="18">
        <f t="shared" si="158"/>
        <v>0.14449499999999998</v>
      </c>
    </row>
    <row r="405" spans="1:75" hidden="1" x14ac:dyDescent="0.25">
      <c r="A405" s="18" t="s">
        <v>6</v>
      </c>
      <c r="B405" s="18">
        <v>2024</v>
      </c>
      <c r="C405" s="18" t="s">
        <v>138</v>
      </c>
      <c r="D405" s="18" t="s">
        <v>132</v>
      </c>
      <c r="E405" s="18">
        <v>30</v>
      </c>
      <c r="F405" s="18" t="s">
        <v>152</v>
      </c>
      <c r="G405" s="18" t="s">
        <v>168</v>
      </c>
      <c r="H405" s="4">
        <f t="shared" si="155"/>
        <v>25</v>
      </c>
      <c r="I405" s="18">
        <v>25.5</v>
      </c>
      <c r="J405" s="4">
        <f t="shared" si="164"/>
        <v>0.5</v>
      </c>
      <c r="K405" s="5">
        <v>0.54</v>
      </c>
      <c r="L405" s="31">
        <f t="shared" si="165"/>
        <v>0.27</v>
      </c>
      <c r="M405" s="105">
        <v>1.9</v>
      </c>
      <c r="N405" s="31">
        <v>10.5</v>
      </c>
      <c r="O405" s="31">
        <f t="shared" si="153"/>
        <v>0.27</v>
      </c>
      <c r="P405" s="31">
        <v>13.5</v>
      </c>
      <c r="Q405" s="31">
        <v>20</v>
      </c>
      <c r="R405" s="31">
        <v>0.26</v>
      </c>
      <c r="S405" s="31">
        <v>0</v>
      </c>
      <c r="T405" s="65">
        <f t="shared" si="176"/>
        <v>0</v>
      </c>
      <c r="U405" s="31">
        <v>5</v>
      </c>
      <c r="V405" s="31"/>
      <c r="W405" s="31">
        <f t="shared" si="154"/>
        <v>5</v>
      </c>
      <c r="X405" s="31">
        <f t="shared" si="156"/>
        <v>52</v>
      </c>
      <c r="Y405" s="31">
        <f t="shared" si="159"/>
        <v>5.1999999999999998E-2</v>
      </c>
      <c r="Z405" s="18">
        <v>0</v>
      </c>
      <c r="AA405" s="18" t="s">
        <v>100</v>
      </c>
      <c r="AB405" s="18" t="s">
        <v>333</v>
      </c>
      <c r="AC405" s="18" t="s">
        <v>336</v>
      </c>
      <c r="AD405" s="18">
        <v>20</v>
      </c>
      <c r="AE405" s="18">
        <v>13.5</v>
      </c>
      <c r="AF405" s="18" t="s">
        <v>32</v>
      </c>
      <c r="AG405" s="18"/>
      <c r="AH405" s="18"/>
      <c r="AI405" s="18" t="s">
        <v>64</v>
      </c>
      <c r="AJ405" s="18" t="s">
        <v>79</v>
      </c>
      <c r="AK405" s="18" t="s">
        <v>92</v>
      </c>
      <c r="AL405" s="18" t="s">
        <v>109</v>
      </c>
      <c r="AM405" s="18" t="s">
        <v>120</v>
      </c>
      <c r="AN405" s="18" t="s">
        <v>198</v>
      </c>
      <c r="AO405" s="18"/>
      <c r="AP405" s="18"/>
      <c r="AQ405" s="18">
        <f>+VLOOKUP(AI405,Leyenda!$B$30:$E$34,3,FALSE)</f>
        <v>2</v>
      </c>
      <c r="AR405" s="18">
        <f>+VLOOKUP('3. Blasting'!AJ405,Meteorizacion,3,FALSE)</f>
        <v>1</v>
      </c>
      <c r="AS405" s="18">
        <f>+VLOOKUP('3. Blasting'!AK405,Apertura,3,FALSE)</f>
        <v>3</v>
      </c>
      <c r="AT405" s="18">
        <f>+VLOOKUP('3. Blasting'!AL405,Leyenda!$B$55:$D$59,3,FALSE)</f>
        <v>1</v>
      </c>
      <c r="AU405" s="18">
        <f>+VLOOKUP('3. Blasting'!AM405,Relleno,3,FALSE)</f>
        <v>2</v>
      </c>
      <c r="AV405" s="18">
        <f t="shared" si="177"/>
        <v>9</v>
      </c>
      <c r="AW405" s="49">
        <f t="shared" si="166"/>
        <v>0</v>
      </c>
      <c r="AX405" s="49">
        <f>VLOOKUP(AF405,Leyenda!$B$4:$D$10,3,FALSE)</f>
        <v>1</v>
      </c>
      <c r="AY405" s="49">
        <f t="shared" si="160"/>
        <v>4</v>
      </c>
      <c r="AZ405" s="49">
        <f t="shared" si="167"/>
        <v>9</v>
      </c>
      <c r="BA405" s="49">
        <f>VLOOKUP(AN405,Leyenda!$B$70:$D$75,3,FALSE)</f>
        <v>15</v>
      </c>
      <c r="BB405" s="67">
        <f t="shared" si="168"/>
        <v>13.5</v>
      </c>
      <c r="BC405" s="67">
        <f>VLOOKUP(AF405,Leyenda!$B$4:$E$10,4,FALSE)</f>
        <v>1</v>
      </c>
      <c r="BD405" s="67">
        <f t="shared" si="169"/>
        <v>4</v>
      </c>
      <c r="BE405" s="67">
        <f t="shared" si="170"/>
        <v>0</v>
      </c>
      <c r="BF405" s="67">
        <f>+VLOOKUP('3. Blasting'!AK405,Leyenda!$B$47:$E$51,4,FALSE)</f>
        <v>3</v>
      </c>
      <c r="BG405" s="67">
        <f>+VLOOKUP('3. Blasting'!AL405,Leyenda!$B$55:$E$59,4,FALSE)</f>
        <v>1</v>
      </c>
      <c r="BH405" s="67">
        <f>+VLOOKUP('3. Blasting'!AM405,Leyenda!$B$63:$E$67,3,FALSE)</f>
        <v>2</v>
      </c>
      <c r="BI405" s="67">
        <f>+VLOOKUP('3. Blasting'!AJ405,Leyenda!$B$39:$E$43,4,FALSE)</f>
        <v>1</v>
      </c>
      <c r="BJ405" s="67">
        <f>+VLOOKUP('3. Blasting'!AI405,Leyenda!$B$30:$E$34,4,FALSE)</f>
        <v>3</v>
      </c>
      <c r="BK405" s="67">
        <f>VLOOKUP(AN405,Leyenda!$B$71:$E$75,4,FALSE)</f>
        <v>10</v>
      </c>
      <c r="BL405" s="67">
        <f t="shared" si="171"/>
        <v>25</v>
      </c>
      <c r="BM405" s="18">
        <f t="shared" si="172"/>
        <v>29</v>
      </c>
      <c r="BN405" s="18" t="e">
        <f t="shared" si="178"/>
        <v>#N/A</v>
      </c>
      <c r="BO405" s="18"/>
      <c r="BP405" s="6">
        <f t="shared" si="174"/>
        <v>10</v>
      </c>
      <c r="BQ405" s="6">
        <f t="shared" si="175"/>
        <v>10</v>
      </c>
      <c r="BR405" s="6">
        <v>20</v>
      </c>
      <c r="BS405" s="6">
        <f t="shared" si="161"/>
        <v>-2.5</v>
      </c>
      <c r="BT405" s="6">
        <f t="shared" si="162"/>
        <v>0.52500000000000002</v>
      </c>
      <c r="BU405" s="6">
        <f t="shared" si="163"/>
        <v>19.012499999999999</v>
      </c>
      <c r="BV405" s="18">
        <f t="shared" si="157"/>
        <v>7.6049999999999993E-2</v>
      </c>
      <c r="BW405" s="18">
        <f t="shared" si="158"/>
        <v>0.14449499999999998</v>
      </c>
    </row>
    <row r="406" spans="1:75" hidden="1" x14ac:dyDescent="0.25">
      <c r="A406" s="18" t="s">
        <v>6</v>
      </c>
      <c r="B406" s="18">
        <v>2024</v>
      </c>
      <c r="C406" s="18" t="s">
        <v>138</v>
      </c>
      <c r="D406" s="18" t="s">
        <v>132</v>
      </c>
      <c r="E406" s="18">
        <v>30</v>
      </c>
      <c r="F406" s="18" t="s">
        <v>152</v>
      </c>
      <c r="G406" s="18" t="s">
        <v>168</v>
      </c>
      <c r="H406" s="4">
        <f t="shared" si="155"/>
        <v>25.5</v>
      </c>
      <c r="I406" s="18">
        <v>26</v>
      </c>
      <c r="J406" s="4">
        <f t="shared" si="164"/>
        <v>0.5</v>
      </c>
      <c r="K406" s="5">
        <v>0.38</v>
      </c>
      <c r="L406" s="31">
        <f t="shared" si="165"/>
        <v>0.19</v>
      </c>
      <c r="M406" s="105">
        <v>1.9</v>
      </c>
      <c r="N406" s="31">
        <v>10.5</v>
      </c>
      <c r="O406" s="31">
        <f t="shared" si="153"/>
        <v>0.19</v>
      </c>
      <c r="P406" s="31">
        <v>9.5</v>
      </c>
      <c r="Q406" s="31">
        <v>20</v>
      </c>
      <c r="R406" s="31">
        <v>0.17</v>
      </c>
      <c r="S406" s="31">
        <v>0</v>
      </c>
      <c r="T406" s="65">
        <f t="shared" si="176"/>
        <v>0</v>
      </c>
      <c r="U406" s="31">
        <v>3</v>
      </c>
      <c r="V406" s="31"/>
      <c r="W406" s="31">
        <f t="shared" si="154"/>
        <v>3</v>
      </c>
      <c r="X406" s="31">
        <f t="shared" si="156"/>
        <v>56.666666666666664</v>
      </c>
      <c r="Y406" s="31">
        <f t="shared" si="159"/>
        <v>5.6666666666666664E-2</v>
      </c>
      <c r="Z406" s="18">
        <v>0</v>
      </c>
      <c r="AA406" s="18" t="s">
        <v>100</v>
      </c>
      <c r="AB406" s="18" t="s">
        <v>333</v>
      </c>
      <c r="AC406" s="18" t="s">
        <v>336</v>
      </c>
      <c r="AD406" s="18">
        <v>20</v>
      </c>
      <c r="AE406" s="18">
        <v>9.5</v>
      </c>
      <c r="AF406" s="18" t="s">
        <v>32</v>
      </c>
      <c r="AG406" s="18"/>
      <c r="AH406" s="18"/>
      <c r="AI406" s="18" t="s">
        <v>64</v>
      </c>
      <c r="AJ406" s="18" t="s">
        <v>79</v>
      </c>
      <c r="AK406" s="18" t="s">
        <v>92</v>
      </c>
      <c r="AL406" s="18" t="s">
        <v>109</v>
      </c>
      <c r="AM406" s="18" t="s">
        <v>120</v>
      </c>
      <c r="AN406" s="18" t="s">
        <v>198</v>
      </c>
      <c r="AO406" s="18"/>
      <c r="AP406" s="18"/>
      <c r="AQ406" s="18">
        <f>+VLOOKUP(AI406,Leyenda!$B$30:$E$34,3,FALSE)</f>
        <v>2</v>
      </c>
      <c r="AR406" s="18">
        <f>+VLOOKUP('3. Blasting'!AJ406,Meteorizacion,3,FALSE)</f>
        <v>1</v>
      </c>
      <c r="AS406" s="18">
        <f>+VLOOKUP('3. Blasting'!AK406,Apertura,3,FALSE)</f>
        <v>3</v>
      </c>
      <c r="AT406" s="18">
        <f>+VLOOKUP('3. Blasting'!AL406,Leyenda!$B$55:$D$59,3,FALSE)</f>
        <v>1</v>
      </c>
      <c r="AU406" s="18">
        <f>+VLOOKUP('3. Blasting'!AM406,Relleno,3,FALSE)</f>
        <v>2</v>
      </c>
      <c r="AV406" s="18">
        <f t="shared" si="177"/>
        <v>9</v>
      </c>
      <c r="AW406" s="49">
        <f t="shared" si="166"/>
        <v>0</v>
      </c>
      <c r="AX406" s="49">
        <f>VLOOKUP(AF406,Leyenda!$B$4:$D$10,3,FALSE)</f>
        <v>1</v>
      </c>
      <c r="AY406" s="49">
        <f t="shared" si="160"/>
        <v>3</v>
      </c>
      <c r="AZ406" s="49">
        <f t="shared" si="167"/>
        <v>9</v>
      </c>
      <c r="BA406" s="49">
        <f>VLOOKUP(AN406,Leyenda!$B$70:$D$75,3,FALSE)</f>
        <v>15</v>
      </c>
      <c r="BB406" s="67">
        <f t="shared" si="168"/>
        <v>13.5</v>
      </c>
      <c r="BC406" s="67">
        <f>VLOOKUP(AF406,Leyenda!$B$4:$E$10,4,FALSE)</f>
        <v>1</v>
      </c>
      <c r="BD406" s="67">
        <f t="shared" si="169"/>
        <v>5</v>
      </c>
      <c r="BE406" s="67">
        <f t="shared" si="170"/>
        <v>0</v>
      </c>
      <c r="BF406" s="67">
        <f>+VLOOKUP('3. Blasting'!AK406,Leyenda!$B$47:$E$51,4,FALSE)</f>
        <v>3</v>
      </c>
      <c r="BG406" s="67">
        <f>+VLOOKUP('3. Blasting'!AL406,Leyenda!$B$55:$E$59,4,FALSE)</f>
        <v>1</v>
      </c>
      <c r="BH406" s="67">
        <f>+VLOOKUP('3. Blasting'!AM406,Leyenda!$B$63:$E$67,3,FALSE)</f>
        <v>2</v>
      </c>
      <c r="BI406" s="67">
        <f>+VLOOKUP('3. Blasting'!AJ406,Leyenda!$B$39:$E$43,4,FALSE)</f>
        <v>1</v>
      </c>
      <c r="BJ406" s="67">
        <f>+VLOOKUP('3. Blasting'!AI406,Leyenda!$B$30:$E$34,4,FALSE)</f>
        <v>3</v>
      </c>
      <c r="BK406" s="67">
        <f>VLOOKUP(AN406,Leyenda!$B$71:$E$75,4,FALSE)</f>
        <v>10</v>
      </c>
      <c r="BL406" s="67">
        <f t="shared" si="171"/>
        <v>26</v>
      </c>
      <c r="BM406" s="18">
        <f t="shared" si="172"/>
        <v>28</v>
      </c>
      <c r="BN406" s="18" t="e">
        <f t="shared" si="178"/>
        <v>#N/A</v>
      </c>
      <c r="BO406" s="18"/>
      <c r="BP406" s="6">
        <f t="shared" si="174"/>
        <v>10</v>
      </c>
      <c r="BQ406" s="6">
        <f t="shared" si="175"/>
        <v>10</v>
      </c>
      <c r="BR406" s="6">
        <v>20</v>
      </c>
      <c r="BS406" s="6">
        <f t="shared" si="161"/>
        <v>-2.5</v>
      </c>
      <c r="BT406" s="6">
        <f t="shared" si="162"/>
        <v>0.52500000000000002</v>
      </c>
      <c r="BU406" s="6">
        <f t="shared" si="163"/>
        <v>19.012499999999999</v>
      </c>
      <c r="BV406" s="18">
        <f t="shared" si="157"/>
        <v>7.6049999999999993E-2</v>
      </c>
      <c r="BW406" s="18">
        <f t="shared" si="158"/>
        <v>0.14449499999999998</v>
      </c>
    </row>
    <row r="407" spans="1:75" hidden="1" x14ac:dyDescent="0.25">
      <c r="A407" s="18" t="s">
        <v>6</v>
      </c>
      <c r="B407" s="18">
        <v>2024</v>
      </c>
      <c r="C407" s="18" t="s">
        <v>138</v>
      </c>
      <c r="D407" s="18" t="s">
        <v>132</v>
      </c>
      <c r="E407" s="18">
        <v>30</v>
      </c>
      <c r="F407" s="18" t="s">
        <v>152</v>
      </c>
      <c r="G407" s="18" t="s">
        <v>168</v>
      </c>
      <c r="H407" s="4">
        <f t="shared" si="155"/>
        <v>26</v>
      </c>
      <c r="I407" s="18">
        <v>26.5</v>
      </c>
      <c r="J407" s="4">
        <f t="shared" si="164"/>
        <v>0.5</v>
      </c>
      <c r="K407" s="5">
        <v>0.4</v>
      </c>
      <c r="L407" s="31">
        <f t="shared" si="165"/>
        <v>0.2</v>
      </c>
      <c r="M407" s="105">
        <v>1.9</v>
      </c>
      <c r="N407" s="31">
        <v>10.5</v>
      </c>
      <c r="O407" s="31">
        <f t="shared" si="153"/>
        <v>0.2</v>
      </c>
      <c r="P407" s="31">
        <v>10</v>
      </c>
      <c r="Q407" s="31">
        <v>20</v>
      </c>
      <c r="R407" s="31">
        <v>0.18</v>
      </c>
      <c r="S407" s="31">
        <v>0</v>
      </c>
      <c r="T407" s="65">
        <f t="shared" si="176"/>
        <v>0</v>
      </c>
      <c r="U407" s="31">
        <v>5</v>
      </c>
      <c r="V407" s="31"/>
      <c r="W407" s="31">
        <f t="shared" si="154"/>
        <v>5</v>
      </c>
      <c r="X407" s="31">
        <f t="shared" si="156"/>
        <v>36</v>
      </c>
      <c r="Y407" s="31">
        <f t="shared" si="159"/>
        <v>3.5999999999999997E-2</v>
      </c>
      <c r="Z407" s="18">
        <v>0</v>
      </c>
      <c r="AA407" s="18" t="s">
        <v>100</v>
      </c>
      <c r="AB407" s="18" t="s">
        <v>333</v>
      </c>
      <c r="AC407" s="18" t="s">
        <v>336</v>
      </c>
      <c r="AD407" s="18">
        <v>20</v>
      </c>
      <c r="AE407" s="18">
        <v>10</v>
      </c>
      <c r="AF407" s="18" t="s">
        <v>32</v>
      </c>
      <c r="AG407" s="18"/>
      <c r="AH407" s="18"/>
      <c r="AI407" s="18" t="s">
        <v>64</v>
      </c>
      <c r="AJ407" s="18" t="s">
        <v>79</v>
      </c>
      <c r="AK407" s="18" t="s">
        <v>92</v>
      </c>
      <c r="AL407" s="18" t="s">
        <v>109</v>
      </c>
      <c r="AM407" s="18" t="s">
        <v>120</v>
      </c>
      <c r="AN407" s="18" t="s">
        <v>198</v>
      </c>
      <c r="AO407" s="18"/>
      <c r="AP407" s="18"/>
      <c r="AQ407" s="18">
        <f>+VLOOKUP(AI407,Leyenda!$B$30:$E$34,3,FALSE)</f>
        <v>2</v>
      </c>
      <c r="AR407" s="18">
        <f>+VLOOKUP('3. Blasting'!AJ407,Meteorizacion,3,FALSE)</f>
        <v>1</v>
      </c>
      <c r="AS407" s="18">
        <f>+VLOOKUP('3. Blasting'!AK407,Apertura,3,FALSE)</f>
        <v>3</v>
      </c>
      <c r="AT407" s="18">
        <f>+VLOOKUP('3. Blasting'!AL407,Leyenda!$B$55:$D$59,3,FALSE)</f>
        <v>1</v>
      </c>
      <c r="AU407" s="18">
        <f>+VLOOKUP('3. Blasting'!AM407,Relleno,3,FALSE)</f>
        <v>2</v>
      </c>
      <c r="AV407" s="18">
        <f t="shared" si="177"/>
        <v>9</v>
      </c>
      <c r="AW407" s="49">
        <f t="shared" si="166"/>
        <v>0</v>
      </c>
      <c r="AX407" s="49">
        <f>VLOOKUP(AF407,Leyenda!$B$4:$D$10,3,FALSE)</f>
        <v>1</v>
      </c>
      <c r="AY407" s="49">
        <f t="shared" si="160"/>
        <v>3</v>
      </c>
      <c r="AZ407" s="49">
        <f t="shared" si="167"/>
        <v>9</v>
      </c>
      <c r="BA407" s="49">
        <f>VLOOKUP(AN407,Leyenda!$B$70:$D$75,3,FALSE)</f>
        <v>15</v>
      </c>
      <c r="BB407" s="67">
        <f t="shared" si="168"/>
        <v>13.5</v>
      </c>
      <c r="BC407" s="67">
        <f>VLOOKUP(AF407,Leyenda!$B$4:$E$10,4,FALSE)</f>
        <v>1</v>
      </c>
      <c r="BD407" s="67">
        <f t="shared" si="169"/>
        <v>5</v>
      </c>
      <c r="BE407" s="67">
        <f t="shared" si="170"/>
        <v>0</v>
      </c>
      <c r="BF407" s="67">
        <f>+VLOOKUP('3. Blasting'!AK407,Leyenda!$B$47:$E$51,4,FALSE)</f>
        <v>3</v>
      </c>
      <c r="BG407" s="67">
        <f>+VLOOKUP('3. Blasting'!AL407,Leyenda!$B$55:$E$59,4,FALSE)</f>
        <v>1</v>
      </c>
      <c r="BH407" s="67">
        <f>+VLOOKUP('3. Blasting'!AM407,Leyenda!$B$63:$E$67,3,FALSE)</f>
        <v>2</v>
      </c>
      <c r="BI407" s="67">
        <f>+VLOOKUP('3. Blasting'!AJ407,Leyenda!$B$39:$E$43,4,FALSE)</f>
        <v>1</v>
      </c>
      <c r="BJ407" s="67">
        <f>+VLOOKUP('3. Blasting'!AI407,Leyenda!$B$30:$E$34,4,FALSE)</f>
        <v>3</v>
      </c>
      <c r="BK407" s="67">
        <f>VLOOKUP(AN407,Leyenda!$B$71:$E$75,4,FALSE)</f>
        <v>10</v>
      </c>
      <c r="BL407" s="67">
        <f t="shared" si="171"/>
        <v>26</v>
      </c>
      <c r="BM407" s="18">
        <f t="shared" si="172"/>
        <v>28</v>
      </c>
      <c r="BN407" s="18" t="e">
        <f t="shared" si="178"/>
        <v>#N/A</v>
      </c>
      <c r="BO407" s="18"/>
      <c r="BP407" s="6">
        <f t="shared" si="174"/>
        <v>10</v>
      </c>
      <c r="BQ407" s="6">
        <f t="shared" si="175"/>
        <v>10</v>
      </c>
      <c r="BR407" s="6">
        <v>20</v>
      </c>
      <c r="BS407" s="6">
        <f t="shared" si="161"/>
        <v>-2.5</v>
      </c>
      <c r="BT407" s="6">
        <f t="shared" si="162"/>
        <v>0.52500000000000002</v>
      </c>
      <c r="BU407" s="6">
        <f t="shared" si="163"/>
        <v>19.012499999999999</v>
      </c>
      <c r="BV407" s="18">
        <f t="shared" si="157"/>
        <v>7.6049999999999993E-2</v>
      </c>
      <c r="BW407" s="18">
        <f t="shared" si="158"/>
        <v>0.14449499999999998</v>
      </c>
    </row>
    <row r="408" spans="1:75" hidden="1" x14ac:dyDescent="0.25">
      <c r="A408" s="18" t="s">
        <v>6</v>
      </c>
      <c r="B408" s="18">
        <v>2024</v>
      </c>
      <c r="C408" s="18" t="s">
        <v>138</v>
      </c>
      <c r="D408" s="18" t="s">
        <v>132</v>
      </c>
      <c r="E408" s="18">
        <v>30</v>
      </c>
      <c r="F408" s="18" t="s">
        <v>152</v>
      </c>
      <c r="G408" s="18" t="s">
        <v>168</v>
      </c>
      <c r="H408" s="4">
        <f t="shared" si="155"/>
        <v>26.5</v>
      </c>
      <c r="I408" s="31">
        <v>27</v>
      </c>
      <c r="J408" s="4">
        <f t="shared" si="164"/>
        <v>0.5</v>
      </c>
      <c r="K408" s="5">
        <v>0.52</v>
      </c>
      <c r="L408" s="31">
        <f t="shared" si="165"/>
        <v>0.26</v>
      </c>
      <c r="M408" s="105">
        <v>1.9</v>
      </c>
      <c r="N408" s="31">
        <v>10.5</v>
      </c>
      <c r="O408" s="31">
        <f t="shared" si="153"/>
        <v>0.26</v>
      </c>
      <c r="P408" s="31">
        <v>13</v>
      </c>
      <c r="Q408" s="31">
        <v>20</v>
      </c>
      <c r="R408" s="31">
        <v>0.24</v>
      </c>
      <c r="S408" s="31">
        <v>0</v>
      </c>
      <c r="T408" s="65">
        <f t="shared" si="176"/>
        <v>0</v>
      </c>
      <c r="U408" s="31">
        <v>3</v>
      </c>
      <c r="V408" s="31"/>
      <c r="W408" s="31">
        <f t="shared" si="154"/>
        <v>3</v>
      </c>
      <c r="X408" s="31">
        <f t="shared" si="156"/>
        <v>80</v>
      </c>
      <c r="Y408" s="31">
        <f t="shared" si="159"/>
        <v>0.08</v>
      </c>
      <c r="Z408" s="18">
        <v>0</v>
      </c>
      <c r="AA408" s="18" t="s">
        <v>100</v>
      </c>
      <c r="AB408" s="18" t="s">
        <v>333</v>
      </c>
      <c r="AC408" s="18" t="s">
        <v>337</v>
      </c>
      <c r="AD408" s="18">
        <v>20</v>
      </c>
      <c r="AE408" s="18">
        <v>13</v>
      </c>
      <c r="AF408" s="18" t="s">
        <v>29</v>
      </c>
      <c r="AG408" s="18"/>
      <c r="AH408" s="18"/>
      <c r="AI408" s="18" t="s">
        <v>64</v>
      </c>
      <c r="AJ408" s="18" t="s">
        <v>79</v>
      </c>
      <c r="AK408" s="18" t="s">
        <v>92</v>
      </c>
      <c r="AL408" s="18" t="s">
        <v>109</v>
      </c>
      <c r="AM408" s="18" t="s">
        <v>120</v>
      </c>
      <c r="AN408" s="18" t="s">
        <v>198</v>
      </c>
      <c r="AO408" s="18"/>
      <c r="AP408" s="18"/>
      <c r="AQ408" s="18">
        <f>+VLOOKUP(AI408,Leyenda!$B$30:$E$34,3,FALSE)</f>
        <v>2</v>
      </c>
      <c r="AR408" s="18">
        <f>+VLOOKUP('3. Blasting'!AJ408,Meteorizacion,3,FALSE)</f>
        <v>1</v>
      </c>
      <c r="AS408" s="18">
        <f>+VLOOKUP('3. Blasting'!AK408,Apertura,3,FALSE)</f>
        <v>3</v>
      </c>
      <c r="AT408" s="18">
        <f>+VLOOKUP('3. Blasting'!AL408,Leyenda!$B$55:$D$59,3,FALSE)</f>
        <v>1</v>
      </c>
      <c r="AU408" s="18">
        <f>+VLOOKUP('3. Blasting'!AM408,Relleno,3,FALSE)</f>
        <v>2</v>
      </c>
      <c r="AV408" s="18">
        <f t="shared" si="177"/>
        <v>9</v>
      </c>
      <c r="AW408" s="49">
        <f t="shared" si="166"/>
        <v>0</v>
      </c>
      <c r="AX408" s="49">
        <f>VLOOKUP(AF408,Leyenda!$B$4:$D$10,3,FALSE)</f>
        <v>2</v>
      </c>
      <c r="AY408" s="49">
        <f t="shared" si="160"/>
        <v>4</v>
      </c>
      <c r="AZ408" s="49">
        <f t="shared" si="167"/>
        <v>9</v>
      </c>
      <c r="BA408" s="49">
        <f>VLOOKUP(AN408,Leyenda!$B$70:$D$75,3,FALSE)</f>
        <v>15</v>
      </c>
      <c r="BB408" s="67">
        <f t="shared" si="168"/>
        <v>13.5</v>
      </c>
      <c r="BC408" s="67">
        <f>VLOOKUP(AF408,Leyenda!$B$4:$E$10,4,FALSE)</f>
        <v>2</v>
      </c>
      <c r="BD408" s="67">
        <f t="shared" si="169"/>
        <v>7</v>
      </c>
      <c r="BE408" s="67">
        <f t="shared" si="170"/>
        <v>0</v>
      </c>
      <c r="BF408" s="67">
        <f>+VLOOKUP('3. Blasting'!AK408,Leyenda!$B$47:$E$51,4,FALSE)</f>
        <v>3</v>
      </c>
      <c r="BG408" s="67">
        <f>+VLOOKUP('3. Blasting'!AL408,Leyenda!$B$55:$E$59,4,FALSE)</f>
        <v>1</v>
      </c>
      <c r="BH408" s="67">
        <f>+VLOOKUP('3. Blasting'!AM408,Leyenda!$B$63:$E$67,3,FALSE)</f>
        <v>2</v>
      </c>
      <c r="BI408" s="67">
        <f>+VLOOKUP('3. Blasting'!AJ408,Leyenda!$B$39:$E$43,4,FALSE)</f>
        <v>1</v>
      </c>
      <c r="BJ408" s="67">
        <f>+VLOOKUP('3. Blasting'!AI408,Leyenda!$B$30:$E$34,4,FALSE)</f>
        <v>3</v>
      </c>
      <c r="BK408" s="67">
        <f>VLOOKUP(AN408,Leyenda!$B$71:$E$75,4,FALSE)</f>
        <v>10</v>
      </c>
      <c r="BL408" s="67">
        <f t="shared" si="171"/>
        <v>29</v>
      </c>
      <c r="BM408" s="18">
        <f t="shared" si="172"/>
        <v>30</v>
      </c>
      <c r="BN408" s="18" t="e">
        <f t="shared" si="178"/>
        <v>#N/A</v>
      </c>
      <c r="BO408" s="18"/>
      <c r="BP408" s="6">
        <f t="shared" si="174"/>
        <v>10</v>
      </c>
      <c r="BQ408" s="6">
        <f t="shared" si="175"/>
        <v>10</v>
      </c>
      <c r="BR408" s="6">
        <v>20</v>
      </c>
      <c r="BS408" s="6">
        <f t="shared" si="161"/>
        <v>-2.5</v>
      </c>
      <c r="BT408" s="6">
        <f t="shared" si="162"/>
        <v>0.52500000000000002</v>
      </c>
      <c r="BU408" s="6">
        <f t="shared" si="163"/>
        <v>19.012499999999999</v>
      </c>
      <c r="BV408" s="18">
        <f t="shared" si="157"/>
        <v>7.6049999999999993E-2</v>
      </c>
      <c r="BW408" s="18">
        <f t="shared" si="158"/>
        <v>0.14449499999999998</v>
      </c>
    </row>
    <row r="409" spans="1:75" hidden="1" x14ac:dyDescent="0.25">
      <c r="A409" s="18" t="s">
        <v>6</v>
      </c>
      <c r="B409" s="18">
        <v>2024</v>
      </c>
      <c r="C409" s="18" t="s">
        <v>138</v>
      </c>
      <c r="D409" s="18" t="s">
        <v>132</v>
      </c>
      <c r="E409" s="18">
        <v>30</v>
      </c>
      <c r="F409" s="18" t="s">
        <v>152</v>
      </c>
      <c r="G409" s="18" t="s">
        <v>168</v>
      </c>
      <c r="H409" s="4">
        <f t="shared" si="155"/>
        <v>27</v>
      </c>
      <c r="I409" s="31">
        <v>27.5</v>
      </c>
      <c r="J409" s="4">
        <f t="shared" si="164"/>
        <v>0.5</v>
      </c>
      <c r="K409" s="5">
        <v>0.42</v>
      </c>
      <c r="L409" s="31">
        <f t="shared" si="165"/>
        <v>0.21</v>
      </c>
      <c r="M409" s="105">
        <v>1.9</v>
      </c>
      <c r="N409" s="31">
        <v>10.5</v>
      </c>
      <c r="O409" s="31">
        <f t="shared" si="153"/>
        <v>0.21</v>
      </c>
      <c r="P409" s="31">
        <v>10.5</v>
      </c>
      <c r="Q409" s="31">
        <v>20</v>
      </c>
      <c r="R409" s="31">
        <v>0.21</v>
      </c>
      <c r="S409" s="31">
        <v>0</v>
      </c>
      <c r="T409" s="65">
        <f t="shared" si="176"/>
        <v>0</v>
      </c>
      <c r="U409" s="31">
        <v>3</v>
      </c>
      <c r="V409" s="31"/>
      <c r="W409" s="31">
        <f t="shared" si="154"/>
        <v>3</v>
      </c>
      <c r="X409" s="31">
        <f t="shared" si="156"/>
        <v>70</v>
      </c>
      <c r="Y409" s="31">
        <f t="shared" si="159"/>
        <v>7.0000000000000007E-2</v>
      </c>
      <c r="Z409" s="18">
        <v>0</v>
      </c>
      <c r="AA409" s="18" t="s">
        <v>100</v>
      </c>
      <c r="AB409" s="18" t="s">
        <v>333</v>
      </c>
      <c r="AC409" s="18" t="s">
        <v>337</v>
      </c>
      <c r="AD409" s="18">
        <v>20</v>
      </c>
      <c r="AE409" s="18">
        <v>10.5</v>
      </c>
      <c r="AF409" s="18" t="s">
        <v>29</v>
      </c>
      <c r="AG409" s="18"/>
      <c r="AH409" s="18"/>
      <c r="AI409" s="18" t="s">
        <v>64</v>
      </c>
      <c r="AJ409" s="18" t="s">
        <v>79</v>
      </c>
      <c r="AK409" s="18" t="s">
        <v>92</v>
      </c>
      <c r="AL409" s="18" t="s">
        <v>109</v>
      </c>
      <c r="AM409" s="18" t="s">
        <v>120</v>
      </c>
      <c r="AN409" s="18" t="s">
        <v>198</v>
      </c>
      <c r="AO409" s="18"/>
      <c r="AP409" s="18"/>
      <c r="AQ409" s="18">
        <f>+VLOOKUP(AI409,Leyenda!$B$30:$E$34,3,FALSE)</f>
        <v>2</v>
      </c>
      <c r="AR409" s="18">
        <f>+VLOOKUP('3. Blasting'!AJ409,Meteorizacion,3,FALSE)</f>
        <v>1</v>
      </c>
      <c r="AS409" s="18">
        <f>+VLOOKUP('3. Blasting'!AK409,Apertura,3,FALSE)</f>
        <v>3</v>
      </c>
      <c r="AT409" s="18">
        <f>+VLOOKUP('3. Blasting'!AL409,Leyenda!$B$55:$D$59,3,FALSE)</f>
        <v>1</v>
      </c>
      <c r="AU409" s="18">
        <f>+VLOOKUP('3. Blasting'!AM409,Relleno,3,FALSE)</f>
        <v>2</v>
      </c>
      <c r="AV409" s="18">
        <f t="shared" si="177"/>
        <v>9</v>
      </c>
      <c r="AW409" s="49">
        <f t="shared" si="166"/>
        <v>0</v>
      </c>
      <c r="AX409" s="49">
        <f>VLOOKUP(AF409,Leyenda!$B$4:$D$10,3,FALSE)</f>
        <v>2</v>
      </c>
      <c r="AY409" s="49">
        <f t="shared" si="160"/>
        <v>3</v>
      </c>
      <c r="AZ409" s="49">
        <f t="shared" si="167"/>
        <v>9</v>
      </c>
      <c r="BA409" s="49">
        <f>VLOOKUP(AN409,Leyenda!$B$70:$D$75,3,FALSE)</f>
        <v>15</v>
      </c>
      <c r="BB409" s="67">
        <f t="shared" si="168"/>
        <v>13.5</v>
      </c>
      <c r="BC409" s="67">
        <f>VLOOKUP(AF409,Leyenda!$B$4:$E$10,4,FALSE)</f>
        <v>2</v>
      </c>
      <c r="BD409" s="67">
        <f t="shared" si="169"/>
        <v>6</v>
      </c>
      <c r="BE409" s="67">
        <f t="shared" si="170"/>
        <v>0</v>
      </c>
      <c r="BF409" s="67">
        <f>+VLOOKUP('3. Blasting'!AK409,Leyenda!$B$47:$E$51,4,FALSE)</f>
        <v>3</v>
      </c>
      <c r="BG409" s="67">
        <f>+VLOOKUP('3. Blasting'!AL409,Leyenda!$B$55:$E$59,4,FALSE)</f>
        <v>1</v>
      </c>
      <c r="BH409" s="67">
        <f>+VLOOKUP('3. Blasting'!AM409,Leyenda!$B$63:$E$67,3,FALSE)</f>
        <v>2</v>
      </c>
      <c r="BI409" s="67">
        <f>+VLOOKUP('3. Blasting'!AJ409,Leyenda!$B$39:$E$43,4,FALSE)</f>
        <v>1</v>
      </c>
      <c r="BJ409" s="67">
        <f>+VLOOKUP('3. Blasting'!AI409,Leyenda!$B$30:$E$34,4,FALSE)</f>
        <v>3</v>
      </c>
      <c r="BK409" s="67">
        <f>VLOOKUP(AN409,Leyenda!$B$71:$E$75,4,FALSE)</f>
        <v>10</v>
      </c>
      <c r="BL409" s="67">
        <f t="shared" si="171"/>
        <v>28</v>
      </c>
      <c r="BM409" s="18">
        <f t="shared" si="172"/>
        <v>29</v>
      </c>
      <c r="BN409" s="18" t="e">
        <f t="shared" si="178"/>
        <v>#N/A</v>
      </c>
      <c r="BO409" s="18"/>
      <c r="BP409" s="6">
        <f t="shared" si="174"/>
        <v>10</v>
      </c>
      <c r="BQ409" s="6">
        <f t="shared" si="175"/>
        <v>10</v>
      </c>
      <c r="BR409" s="6">
        <v>20</v>
      </c>
      <c r="BS409" s="6">
        <f t="shared" si="161"/>
        <v>-2.5</v>
      </c>
      <c r="BT409" s="6">
        <f t="shared" si="162"/>
        <v>0.52500000000000002</v>
      </c>
      <c r="BU409" s="6">
        <f t="shared" si="163"/>
        <v>19.012499999999999</v>
      </c>
      <c r="BV409" s="18">
        <f t="shared" si="157"/>
        <v>7.6049999999999993E-2</v>
      </c>
      <c r="BW409" s="18">
        <f t="shared" si="158"/>
        <v>0.14449499999999998</v>
      </c>
    </row>
    <row r="410" spans="1:75" hidden="1" x14ac:dyDescent="0.25">
      <c r="A410" s="18" t="s">
        <v>6</v>
      </c>
      <c r="B410" s="18">
        <v>2024</v>
      </c>
      <c r="C410" s="18" t="s">
        <v>138</v>
      </c>
      <c r="D410" s="18" t="s">
        <v>132</v>
      </c>
      <c r="E410" s="18">
        <v>30</v>
      </c>
      <c r="F410" s="18" t="s">
        <v>152</v>
      </c>
      <c r="G410" s="18" t="s">
        <v>168</v>
      </c>
      <c r="H410" s="4">
        <f t="shared" si="155"/>
        <v>27.5</v>
      </c>
      <c r="I410" s="31">
        <v>28</v>
      </c>
      <c r="J410" s="4">
        <f t="shared" si="164"/>
        <v>0.5</v>
      </c>
      <c r="K410" s="5">
        <v>0.64</v>
      </c>
      <c r="L410" s="31">
        <f t="shared" si="165"/>
        <v>0.32</v>
      </c>
      <c r="M410" s="105">
        <v>1.9</v>
      </c>
      <c r="N410" s="31">
        <v>10.5</v>
      </c>
      <c r="O410" s="31">
        <f t="shared" si="153"/>
        <v>0.32</v>
      </c>
      <c r="P410" s="31">
        <v>16</v>
      </c>
      <c r="Q410" s="31">
        <v>20</v>
      </c>
      <c r="R410" s="31">
        <v>0.28000000000000003</v>
      </c>
      <c r="S410" s="31">
        <v>0</v>
      </c>
      <c r="T410" s="65">
        <f t="shared" si="176"/>
        <v>0</v>
      </c>
      <c r="U410" s="31">
        <v>5</v>
      </c>
      <c r="V410" s="31"/>
      <c r="W410" s="31">
        <f t="shared" si="154"/>
        <v>5</v>
      </c>
      <c r="X410" s="31">
        <f t="shared" si="156"/>
        <v>56</v>
      </c>
      <c r="Y410" s="31">
        <f t="shared" si="159"/>
        <v>5.6000000000000001E-2</v>
      </c>
      <c r="Z410" s="18">
        <v>0</v>
      </c>
      <c r="AA410" s="18" t="s">
        <v>100</v>
      </c>
      <c r="AB410" s="18" t="s">
        <v>333</v>
      </c>
      <c r="AC410" s="18" t="s">
        <v>336</v>
      </c>
      <c r="AD410" s="18">
        <v>20</v>
      </c>
      <c r="AE410" s="18">
        <v>16</v>
      </c>
      <c r="AF410" s="18" t="s">
        <v>32</v>
      </c>
      <c r="AG410" s="18"/>
      <c r="AH410" s="18"/>
      <c r="AI410" s="18" t="s">
        <v>64</v>
      </c>
      <c r="AJ410" s="18" t="s">
        <v>79</v>
      </c>
      <c r="AK410" s="18" t="s">
        <v>92</v>
      </c>
      <c r="AL410" s="18" t="s">
        <v>109</v>
      </c>
      <c r="AM410" s="18" t="s">
        <v>120</v>
      </c>
      <c r="AN410" s="18" t="s">
        <v>198</v>
      </c>
      <c r="AO410" s="18"/>
      <c r="AP410" s="18"/>
      <c r="AQ410" s="18">
        <f>+VLOOKUP(AI410,Leyenda!$B$30:$E$34,3,FALSE)</f>
        <v>2</v>
      </c>
      <c r="AR410" s="18">
        <f>+VLOOKUP('3. Blasting'!AJ410,Meteorizacion,3,FALSE)</f>
        <v>1</v>
      </c>
      <c r="AS410" s="18">
        <f>+VLOOKUP('3. Blasting'!AK410,Apertura,3,FALSE)</f>
        <v>3</v>
      </c>
      <c r="AT410" s="18">
        <f>+VLOOKUP('3. Blasting'!AL410,Leyenda!$B$55:$D$59,3,FALSE)</f>
        <v>1</v>
      </c>
      <c r="AU410" s="18">
        <f>+VLOOKUP('3. Blasting'!AM410,Relleno,3,FALSE)</f>
        <v>2</v>
      </c>
      <c r="AV410" s="18">
        <f t="shared" si="177"/>
        <v>9</v>
      </c>
      <c r="AW410" s="49">
        <f t="shared" si="166"/>
        <v>0</v>
      </c>
      <c r="AX410" s="49">
        <f>VLOOKUP(AF410,Leyenda!$B$4:$D$10,3,FALSE)</f>
        <v>1</v>
      </c>
      <c r="AY410" s="49">
        <f t="shared" si="160"/>
        <v>4</v>
      </c>
      <c r="AZ410" s="49">
        <f t="shared" si="167"/>
        <v>9</v>
      </c>
      <c r="BA410" s="49">
        <f>VLOOKUP(AN410,Leyenda!$B$70:$D$75,3,FALSE)</f>
        <v>15</v>
      </c>
      <c r="BB410" s="67">
        <f t="shared" si="168"/>
        <v>13.5</v>
      </c>
      <c r="BC410" s="67">
        <f>VLOOKUP(AF410,Leyenda!$B$4:$E$10,4,FALSE)</f>
        <v>1</v>
      </c>
      <c r="BD410" s="67">
        <f t="shared" si="169"/>
        <v>5</v>
      </c>
      <c r="BE410" s="67">
        <f t="shared" si="170"/>
        <v>0</v>
      </c>
      <c r="BF410" s="67">
        <f>+VLOOKUP('3. Blasting'!AK410,Leyenda!$B$47:$E$51,4,FALSE)</f>
        <v>3</v>
      </c>
      <c r="BG410" s="67">
        <f>+VLOOKUP('3. Blasting'!AL410,Leyenda!$B$55:$E$59,4,FALSE)</f>
        <v>1</v>
      </c>
      <c r="BH410" s="67">
        <f>+VLOOKUP('3. Blasting'!AM410,Leyenda!$B$63:$E$67,3,FALSE)</f>
        <v>2</v>
      </c>
      <c r="BI410" s="67">
        <f>+VLOOKUP('3. Blasting'!AJ410,Leyenda!$B$39:$E$43,4,FALSE)</f>
        <v>1</v>
      </c>
      <c r="BJ410" s="67">
        <f>+VLOOKUP('3. Blasting'!AI410,Leyenda!$B$30:$E$34,4,FALSE)</f>
        <v>3</v>
      </c>
      <c r="BK410" s="67">
        <f>VLOOKUP(AN410,Leyenda!$B$71:$E$75,4,FALSE)</f>
        <v>10</v>
      </c>
      <c r="BL410" s="67">
        <f t="shared" si="171"/>
        <v>26</v>
      </c>
      <c r="BM410" s="18">
        <f t="shared" si="172"/>
        <v>29</v>
      </c>
      <c r="BN410" s="18" t="e">
        <f t="shared" si="178"/>
        <v>#N/A</v>
      </c>
      <c r="BO410" s="18"/>
      <c r="BP410" s="6">
        <f t="shared" si="174"/>
        <v>10</v>
      </c>
      <c r="BQ410" s="6">
        <f t="shared" si="175"/>
        <v>10</v>
      </c>
      <c r="BR410" s="6">
        <v>20</v>
      </c>
      <c r="BS410" s="6">
        <f t="shared" si="161"/>
        <v>-2.5</v>
      </c>
      <c r="BT410" s="6">
        <f t="shared" si="162"/>
        <v>0.52500000000000002</v>
      </c>
      <c r="BU410" s="6">
        <f t="shared" si="163"/>
        <v>19.012499999999999</v>
      </c>
      <c r="BV410" s="18">
        <f t="shared" si="157"/>
        <v>7.6049999999999993E-2</v>
      </c>
      <c r="BW410" s="18">
        <f t="shared" si="158"/>
        <v>0.14449499999999998</v>
      </c>
    </row>
    <row r="411" spans="1:75" hidden="1" x14ac:dyDescent="0.25">
      <c r="A411" s="18" t="s">
        <v>6</v>
      </c>
      <c r="B411" s="18">
        <v>2024</v>
      </c>
      <c r="C411" s="18" t="s">
        <v>138</v>
      </c>
      <c r="D411" s="18" t="s">
        <v>132</v>
      </c>
      <c r="E411" s="18">
        <v>30</v>
      </c>
      <c r="F411" s="18" t="s">
        <v>152</v>
      </c>
      <c r="G411" s="18" t="s">
        <v>168</v>
      </c>
      <c r="H411" s="4">
        <f t="shared" si="155"/>
        <v>28</v>
      </c>
      <c r="I411" s="31">
        <v>28.5</v>
      </c>
      <c r="J411" s="4">
        <f t="shared" si="164"/>
        <v>0.5</v>
      </c>
      <c r="K411" s="5">
        <v>0.9</v>
      </c>
      <c r="L411" s="31">
        <f t="shared" si="165"/>
        <v>0.45</v>
      </c>
      <c r="M411" s="105">
        <v>1.9</v>
      </c>
      <c r="N411" s="31">
        <v>10.5</v>
      </c>
      <c r="O411" s="31">
        <f t="shared" si="153"/>
        <v>0.45</v>
      </c>
      <c r="P411" s="31">
        <v>22.5</v>
      </c>
      <c r="Q411" s="31">
        <v>20</v>
      </c>
      <c r="R411" s="31">
        <v>0.44</v>
      </c>
      <c r="S411" s="31">
        <v>0</v>
      </c>
      <c r="T411" s="65">
        <f t="shared" si="176"/>
        <v>0</v>
      </c>
      <c r="U411" s="31">
        <v>10</v>
      </c>
      <c r="V411" s="31"/>
      <c r="W411" s="31">
        <f t="shared" si="154"/>
        <v>10</v>
      </c>
      <c r="X411" s="31">
        <f t="shared" si="156"/>
        <v>44</v>
      </c>
      <c r="Y411" s="31">
        <f t="shared" si="159"/>
        <v>4.3999999999999997E-2</v>
      </c>
      <c r="Z411" s="18">
        <v>0</v>
      </c>
      <c r="AA411" s="18" t="s">
        <v>100</v>
      </c>
      <c r="AB411" s="18" t="s">
        <v>333</v>
      </c>
      <c r="AC411" s="18" t="s">
        <v>336</v>
      </c>
      <c r="AD411" s="18">
        <v>20</v>
      </c>
      <c r="AE411" s="18">
        <v>22.5</v>
      </c>
      <c r="AF411" s="18" t="s">
        <v>32</v>
      </c>
      <c r="AG411" s="18"/>
      <c r="AH411" s="18"/>
      <c r="AI411" s="18" t="s">
        <v>64</v>
      </c>
      <c r="AJ411" s="18" t="s">
        <v>79</v>
      </c>
      <c r="AK411" s="18" t="s">
        <v>92</v>
      </c>
      <c r="AL411" s="18" t="s">
        <v>109</v>
      </c>
      <c r="AM411" s="18" t="s">
        <v>120</v>
      </c>
      <c r="AN411" s="18" t="s">
        <v>198</v>
      </c>
      <c r="AO411" s="18"/>
      <c r="AP411" s="18"/>
      <c r="AQ411" s="18">
        <f>+VLOOKUP(AI411,Leyenda!$B$30:$E$34,3,FALSE)</f>
        <v>2</v>
      </c>
      <c r="AR411" s="18">
        <f>+VLOOKUP('3. Blasting'!AJ411,Meteorizacion,3,FALSE)</f>
        <v>1</v>
      </c>
      <c r="AS411" s="18">
        <f>+VLOOKUP('3. Blasting'!AK411,Apertura,3,FALSE)</f>
        <v>3</v>
      </c>
      <c r="AT411" s="18">
        <f>+VLOOKUP('3. Blasting'!AL411,Leyenda!$B$55:$D$59,3,FALSE)</f>
        <v>1</v>
      </c>
      <c r="AU411" s="18">
        <f>+VLOOKUP('3. Blasting'!AM411,Relleno,3,FALSE)</f>
        <v>2</v>
      </c>
      <c r="AV411" s="18">
        <f t="shared" si="177"/>
        <v>9</v>
      </c>
      <c r="AW411" s="49">
        <f t="shared" si="166"/>
        <v>0</v>
      </c>
      <c r="AX411" s="49">
        <f>VLOOKUP(AF411,Leyenda!$B$4:$D$10,3,FALSE)</f>
        <v>1</v>
      </c>
      <c r="AY411" s="49">
        <f t="shared" si="160"/>
        <v>4</v>
      </c>
      <c r="AZ411" s="49">
        <f t="shared" si="167"/>
        <v>9</v>
      </c>
      <c r="BA411" s="49">
        <f>VLOOKUP(AN411,Leyenda!$B$70:$D$75,3,FALSE)</f>
        <v>15</v>
      </c>
      <c r="BB411" s="67">
        <f t="shared" si="168"/>
        <v>13.5</v>
      </c>
      <c r="BC411" s="67">
        <f>VLOOKUP(AF411,Leyenda!$B$4:$E$10,4,FALSE)</f>
        <v>1</v>
      </c>
      <c r="BD411" s="67">
        <f t="shared" si="169"/>
        <v>5</v>
      </c>
      <c r="BE411" s="67">
        <f t="shared" si="170"/>
        <v>0</v>
      </c>
      <c r="BF411" s="67">
        <f>+VLOOKUP('3. Blasting'!AK411,Leyenda!$B$47:$E$51,4,FALSE)</f>
        <v>3</v>
      </c>
      <c r="BG411" s="67">
        <f>+VLOOKUP('3. Blasting'!AL411,Leyenda!$B$55:$E$59,4,FALSE)</f>
        <v>1</v>
      </c>
      <c r="BH411" s="67">
        <f>+VLOOKUP('3. Blasting'!AM411,Leyenda!$B$63:$E$67,3,FALSE)</f>
        <v>2</v>
      </c>
      <c r="BI411" s="67">
        <f>+VLOOKUP('3. Blasting'!AJ411,Leyenda!$B$39:$E$43,4,FALSE)</f>
        <v>1</v>
      </c>
      <c r="BJ411" s="67">
        <f>+VLOOKUP('3. Blasting'!AI411,Leyenda!$B$30:$E$34,4,FALSE)</f>
        <v>3</v>
      </c>
      <c r="BK411" s="67">
        <f>VLOOKUP(AN411,Leyenda!$B$71:$E$75,4,FALSE)</f>
        <v>10</v>
      </c>
      <c r="BL411" s="67">
        <f t="shared" si="171"/>
        <v>26</v>
      </c>
      <c r="BM411" s="18">
        <f t="shared" si="172"/>
        <v>29</v>
      </c>
      <c r="BN411" s="18" t="e">
        <f t="shared" si="178"/>
        <v>#N/A</v>
      </c>
      <c r="BO411" s="18"/>
      <c r="BP411" s="6">
        <f t="shared" si="174"/>
        <v>10</v>
      </c>
      <c r="BQ411" s="6">
        <f t="shared" si="175"/>
        <v>10</v>
      </c>
      <c r="BR411" s="6">
        <v>20</v>
      </c>
      <c r="BS411" s="6">
        <f t="shared" si="161"/>
        <v>-2.5</v>
      </c>
      <c r="BT411" s="6">
        <f t="shared" si="162"/>
        <v>0.52500000000000002</v>
      </c>
      <c r="BU411" s="6">
        <f t="shared" si="163"/>
        <v>19.012499999999999</v>
      </c>
      <c r="BV411" s="18">
        <f t="shared" si="157"/>
        <v>7.6049999999999993E-2</v>
      </c>
      <c r="BW411" s="18">
        <f t="shared" si="158"/>
        <v>0.14449499999999998</v>
      </c>
    </row>
    <row r="412" spans="1:75" hidden="1" x14ac:dyDescent="0.25">
      <c r="A412" s="18" t="s">
        <v>6</v>
      </c>
      <c r="B412" s="18">
        <v>2024</v>
      </c>
      <c r="C412" s="18" t="s">
        <v>138</v>
      </c>
      <c r="D412" s="18" t="s">
        <v>132</v>
      </c>
      <c r="E412" s="18">
        <v>30</v>
      </c>
      <c r="F412" s="18" t="s">
        <v>152</v>
      </c>
      <c r="G412" s="18" t="s">
        <v>168</v>
      </c>
      <c r="H412" s="4">
        <f t="shared" si="155"/>
        <v>28.5</v>
      </c>
      <c r="I412" s="31">
        <v>29</v>
      </c>
      <c r="J412" s="4">
        <f t="shared" si="164"/>
        <v>0.5</v>
      </c>
      <c r="K412" s="5">
        <v>1</v>
      </c>
      <c r="L412" s="31">
        <f t="shared" si="165"/>
        <v>0.5</v>
      </c>
      <c r="M412" s="105">
        <v>1.9</v>
      </c>
      <c r="N412" s="31">
        <v>10.5</v>
      </c>
      <c r="O412" s="31">
        <f t="shared" si="153"/>
        <v>0.5</v>
      </c>
      <c r="P412" s="31">
        <v>500</v>
      </c>
      <c r="Q412" s="31">
        <v>1</v>
      </c>
      <c r="R412" s="31">
        <v>0.16</v>
      </c>
      <c r="S412" s="31">
        <v>0</v>
      </c>
      <c r="T412" s="65">
        <f t="shared" si="176"/>
        <v>0</v>
      </c>
      <c r="U412" s="31">
        <v>3</v>
      </c>
      <c r="V412" s="31"/>
      <c r="W412" s="31">
        <f t="shared" si="154"/>
        <v>3</v>
      </c>
      <c r="X412" s="31">
        <f t="shared" si="156"/>
        <v>53.333333333333336</v>
      </c>
      <c r="Y412" s="31">
        <f t="shared" si="159"/>
        <v>5.3333333333333337E-2</v>
      </c>
      <c r="Z412" s="18">
        <v>30</v>
      </c>
      <c r="AA412" s="18" t="s">
        <v>96</v>
      </c>
      <c r="AB412" s="18" t="s">
        <v>116</v>
      </c>
      <c r="AC412" s="18" t="s">
        <v>337</v>
      </c>
      <c r="AD412" s="18">
        <v>1</v>
      </c>
      <c r="AE412" s="18">
        <v>500</v>
      </c>
      <c r="AF412" s="18" t="s">
        <v>29</v>
      </c>
      <c r="AG412" s="18"/>
      <c r="AH412" s="18"/>
      <c r="AI412" s="18" t="s">
        <v>64</v>
      </c>
      <c r="AJ412" s="18" t="s">
        <v>79</v>
      </c>
      <c r="AK412" s="18" t="s">
        <v>92</v>
      </c>
      <c r="AL412" s="18" t="s">
        <v>109</v>
      </c>
      <c r="AM412" s="18" t="s">
        <v>120</v>
      </c>
      <c r="AN412" s="18" t="s">
        <v>198</v>
      </c>
      <c r="AO412" s="18"/>
      <c r="AP412" s="18"/>
      <c r="AQ412" s="18">
        <f>+VLOOKUP(AI412,Leyenda!$B$30:$E$34,3,FALSE)</f>
        <v>2</v>
      </c>
      <c r="AR412" s="18">
        <f>+VLOOKUP('3. Blasting'!AJ412,Meteorizacion,3,FALSE)</f>
        <v>1</v>
      </c>
      <c r="AS412" s="18">
        <f>+VLOOKUP('3. Blasting'!AK412,Apertura,3,FALSE)</f>
        <v>3</v>
      </c>
      <c r="AT412" s="18">
        <f>+VLOOKUP('3. Blasting'!AL412,Leyenda!$B$55:$D$59,3,FALSE)</f>
        <v>1</v>
      </c>
      <c r="AU412" s="18">
        <f>+VLOOKUP('3. Blasting'!AM412,Relleno,3,FALSE)</f>
        <v>2</v>
      </c>
      <c r="AV412" s="18">
        <f t="shared" si="177"/>
        <v>9</v>
      </c>
      <c r="AW412" s="49">
        <f t="shared" si="166"/>
        <v>6</v>
      </c>
      <c r="AX412" s="49">
        <f>VLOOKUP(AF412,Leyenda!$B$4:$D$10,3,FALSE)</f>
        <v>2</v>
      </c>
      <c r="AY412" s="49">
        <f t="shared" si="160"/>
        <v>12</v>
      </c>
      <c r="AZ412" s="49">
        <f t="shared" si="167"/>
        <v>9</v>
      </c>
      <c r="BA412" s="49">
        <f>VLOOKUP(AN412,Leyenda!$B$70:$D$75,3,FALSE)</f>
        <v>15</v>
      </c>
      <c r="BB412" s="67">
        <f t="shared" si="168"/>
        <v>13.5</v>
      </c>
      <c r="BC412" s="67">
        <f>VLOOKUP(AF412,Leyenda!$B$4:$E$10,4,FALSE)</f>
        <v>2</v>
      </c>
      <c r="BD412" s="67">
        <f t="shared" si="169"/>
        <v>4</v>
      </c>
      <c r="BE412" s="67">
        <f t="shared" si="170"/>
        <v>0</v>
      </c>
      <c r="BF412" s="67">
        <f>+VLOOKUP('3. Blasting'!AK412,Leyenda!$B$47:$E$51,4,FALSE)</f>
        <v>3</v>
      </c>
      <c r="BG412" s="67">
        <f>+VLOOKUP('3. Blasting'!AL412,Leyenda!$B$55:$E$59,4,FALSE)</f>
        <v>1</v>
      </c>
      <c r="BH412" s="67">
        <f>+VLOOKUP('3. Blasting'!AM412,Leyenda!$B$63:$E$67,3,FALSE)</f>
        <v>2</v>
      </c>
      <c r="BI412" s="67">
        <f>+VLOOKUP('3. Blasting'!AJ412,Leyenda!$B$39:$E$43,4,FALSE)</f>
        <v>1</v>
      </c>
      <c r="BJ412" s="67">
        <f>+VLOOKUP('3. Blasting'!AI412,Leyenda!$B$30:$E$34,4,FALSE)</f>
        <v>3</v>
      </c>
      <c r="BK412" s="67">
        <f>VLOOKUP(AN412,Leyenda!$B$71:$E$75,4,FALSE)</f>
        <v>10</v>
      </c>
      <c r="BL412" s="67">
        <f t="shared" si="171"/>
        <v>26</v>
      </c>
      <c r="BM412" s="18">
        <f t="shared" si="172"/>
        <v>44</v>
      </c>
      <c r="BN412" s="18" t="e">
        <f t="shared" si="178"/>
        <v>#N/A</v>
      </c>
      <c r="BO412" s="18"/>
      <c r="BP412" s="6">
        <f t="shared" si="174"/>
        <v>10</v>
      </c>
      <c r="BQ412" s="6">
        <f t="shared" si="175"/>
        <v>10</v>
      </c>
      <c r="BR412" s="6">
        <v>20</v>
      </c>
      <c r="BS412" s="6">
        <f t="shared" si="161"/>
        <v>-2.5</v>
      </c>
      <c r="BT412" s="6">
        <f t="shared" si="162"/>
        <v>0.52500000000000002</v>
      </c>
      <c r="BU412" s="6">
        <f t="shared" si="163"/>
        <v>19.012499999999999</v>
      </c>
      <c r="BV412" s="18">
        <f t="shared" si="157"/>
        <v>7.6049999999999993E-2</v>
      </c>
      <c r="BW412" s="18">
        <f t="shared" si="158"/>
        <v>0.14449499999999998</v>
      </c>
    </row>
    <row r="413" spans="1:75" hidden="1" x14ac:dyDescent="0.25">
      <c r="A413" s="18" t="s">
        <v>6</v>
      </c>
      <c r="B413" s="18">
        <v>2024</v>
      </c>
      <c r="C413" s="18" t="s">
        <v>138</v>
      </c>
      <c r="D413" s="18" t="s">
        <v>132</v>
      </c>
      <c r="E413" s="18">
        <v>30</v>
      </c>
      <c r="F413" s="18" t="s">
        <v>152</v>
      </c>
      <c r="G413" s="18" t="s">
        <v>168</v>
      </c>
      <c r="H413" s="4">
        <f t="shared" si="155"/>
        <v>29</v>
      </c>
      <c r="I413" s="31">
        <v>29.5</v>
      </c>
      <c r="J413" s="4">
        <f t="shared" si="164"/>
        <v>0.5</v>
      </c>
      <c r="K413" s="5">
        <v>1</v>
      </c>
      <c r="L413" s="31">
        <f t="shared" si="165"/>
        <v>0.5</v>
      </c>
      <c r="M413" s="105">
        <v>1.9</v>
      </c>
      <c r="N413" s="31">
        <v>10.5</v>
      </c>
      <c r="O413" s="31">
        <f t="shared" si="153"/>
        <v>0.5</v>
      </c>
      <c r="P413" s="31">
        <v>100</v>
      </c>
      <c r="Q413" s="31">
        <v>5</v>
      </c>
      <c r="R413" s="31"/>
      <c r="S413" s="31"/>
      <c r="T413" s="65">
        <f t="shared" si="176"/>
        <v>0</v>
      </c>
      <c r="U413" s="31"/>
      <c r="V413" s="31"/>
      <c r="W413" s="31"/>
      <c r="X413" s="31"/>
      <c r="Y413" s="31">
        <f t="shared" si="159"/>
        <v>0</v>
      </c>
      <c r="Z413" s="18">
        <v>68</v>
      </c>
      <c r="AA413" s="18" t="s">
        <v>92</v>
      </c>
      <c r="AB413" s="18" t="s">
        <v>118</v>
      </c>
      <c r="AC413" s="18" t="s">
        <v>337</v>
      </c>
      <c r="AD413" s="18">
        <v>5</v>
      </c>
      <c r="AE413" s="18">
        <v>100</v>
      </c>
      <c r="AF413" s="18" t="s">
        <v>29</v>
      </c>
      <c r="AG413" s="18"/>
      <c r="AH413" s="18"/>
      <c r="AI413" s="18" t="s">
        <v>64</v>
      </c>
      <c r="AJ413" s="18" t="s">
        <v>79</v>
      </c>
      <c r="AK413" s="18" t="s">
        <v>92</v>
      </c>
      <c r="AL413" s="18" t="s">
        <v>109</v>
      </c>
      <c r="AM413" s="18" t="s">
        <v>120</v>
      </c>
      <c r="AN413" s="18" t="s">
        <v>198</v>
      </c>
      <c r="AO413" s="18"/>
      <c r="AP413" s="18"/>
      <c r="AQ413" s="18">
        <f>+VLOOKUP(AI413,Leyenda!$B$30:$E$34,3,FALSE)</f>
        <v>2</v>
      </c>
      <c r="AR413" s="18">
        <f>+VLOOKUP('3. Blasting'!AJ413,Meteorizacion,3,FALSE)</f>
        <v>1</v>
      </c>
      <c r="AS413" s="18">
        <f>+VLOOKUP('3. Blasting'!AK413,Apertura,3,FALSE)</f>
        <v>3</v>
      </c>
      <c r="AT413" s="18">
        <f>+VLOOKUP('3. Blasting'!AL413,Leyenda!$B$55:$D$59,3,FALSE)</f>
        <v>1</v>
      </c>
      <c r="AU413" s="18">
        <f>+VLOOKUP('3. Blasting'!AM413,Relleno,3,FALSE)</f>
        <v>2</v>
      </c>
      <c r="AV413" s="18">
        <f t="shared" si="177"/>
        <v>9</v>
      </c>
      <c r="AW413" s="49">
        <f t="shared" si="166"/>
        <v>14</v>
      </c>
      <c r="AX413" s="49">
        <f>VLOOKUP(AF413,Leyenda!$B$4:$D$10,3,FALSE)</f>
        <v>2</v>
      </c>
      <c r="AY413" s="49">
        <f t="shared" si="160"/>
        <v>7</v>
      </c>
      <c r="AZ413" s="49">
        <f t="shared" si="167"/>
        <v>9</v>
      </c>
      <c r="BA413" s="49">
        <f>VLOOKUP(AN413,Leyenda!$B$70:$D$75,3,FALSE)</f>
        <v>15</v>
      </c>
      <c r="BB413" s="67">
        <f t="shared" si="168"/>
        <v>13.5</v>
      </c>
      <c r="BC413" s="67">
        <f>VLOOKUP(AF413,Leyenda!$B$4:$E$10,4,FALSE)</f>
        <v>2</v>
      </c>
      <c r="BD413" s="67">
        <f t="shared" si="169"/>
        <v>5</v>
      </c>
      <c r="BE413" s="67">
        <f t="shared" si="170"/>
        <v>0</v>
      </c>
      <c r="BF413" s="67">
        <f>+VLOOKUP('3. Blasting'!AK413,Leyenda!$B$47:$E$51,4,FALSE)</f>
        <v>3</v>
      </c>
      <c r="BG413" s="67">
        <f>+VLOOKUP('3. Blasting'!AL413,Leyenda!$B$55:$E$59,4,FALSE)</f>
        <v>1</v>
      </c>
      <c r="BH413" s="67">
        <f>+VLOOKUP('3. Blasting'!AM413,Leyenda!$B$63:$E$67,3,FALSE)</f>
        <v>2</v>
      </c>
      <c r="BI413" s="67">
        <f>+VLOOKUP('3. Blasting'!AJ413,Leyenda!$B$39:$E$43,4,FALSE)</f>
        <v>1</v>
      </c>
      <c r="BJ413" s="67">
        <f>+VLOOKUP('3. Blasting'!AI413,Leyenda!$B$30:$E$34,4,FALSE)</f>
        <v>3</v>
      </c>
      <c r="BK413" s="67">
        <f>VLOOKUP(AN413,Leyenda!$B$71:$E$75,4,FALSE)</f>
        <v>10</v>
      </c>
      <c r="BL413" s="67">
        <f t="shared" si="171"/>
        <v>27</v>
      </c>
      <c r="BM413" s="18">
        <f t="shared" si="172"/>
        <v>47</v>
      </c>
      <c r="BN413" s="18" t="e">
        <f t="shared" si="178"/>
        <v>#N/A</v>
      </c>
      <c r="BO413" s="18"/>
      <c r="BP413" s="6">
        <f t="shared" si="174"/>
        <v>10</v>
      </c>
      <c r="BQ413" s="6">
        <f t="shared" si="175"/>
        <v>10</v>
      </c>
      <c r="BR413" s="6">
        <v>20</v>
      </c>
      <c r="BS413" s="6">
        <f t="shared" si="161"/>
        <v>-2.5</v>
      </c>
      <c r="BT413" s="6">
        <f t="shared" si="162"/>
        <v>0.52500000000000002</v>
      </c>
      <c r="BU413" s="6">
        <f t="shared" si="163"/>
        <v>19.012499999999999</v>
      </c>
      <c r="BV413" s="18">
        <f t="shared" si="157"/>
        <v>7.6049999999999993E-2</v>
      </c>
      <c r="BW413" s="18">
        <f t="shared" si="158"/>
        <v>0.14449499999999998</v>
      </c>
    </row>
    <row r="414" spans="1:75" hidden="1" x14ac:dyDescent="0.25">
      <c r="A414" s="18" t="s">
        <v>6</v>
      </c>
      <c r="B414" s="18">
        <v>2024</v>
      </c>
      <c r="C414" s="18" t="s">
        <v>138</v>
      </c>
      <c r="D414" s="18" t="s">
        <v>132</v>
      </c>
      <c r="E414" s="18">
        <v>30</v>
      </c>
      <c r="F414" s="18" t="s">
        <v>152</v>
      </c>
      <c r="G414" s="18" t="s">
        <v>168</v>
      </c>
      <c r="H414" s="4">
        <f t="shared" si="155"/>
        <v>29.5</v>
      </c>
      <c r="I414" s="31">
        <v>30</v>
      </c>
      <c r="J414" s="4">
        <f t="shared" si="164"/>
        <v>0.5</v>
      </c>
      <c r="K414" s="5">
        <v>1</v>
      </c>
      <c r="L414" s="31">
        <f t="shared" si="165"/>
        <v>0.5</v>
      </c>
      <c r="M414" s="105">
        <v>1.9</v>
      </c>
      <c r="N414" s="31">
        <v>10.5</v>
      </c>
      <c r="O414" s="31">
        <f t="shared" si="153"/>
        <v>0.5</v>
      </c>
      <c r="P414" s="31">
        <v>500</v>
      </c>
      <c r="Q414" s="31">
        <v>1</v>
      </c>
      <c r="R414" s="31"/>
      <c r="S414" s="31"/>
      <c r="T414" s="65">
        <f t="shared" si="176"/>
        <v>0</v>
      </c>
      <c r="U414" s="31"/>
      <c r="V414" s="31"/>
      <c r="W414" s="31"/>
      <c r="X414" s="31"/>
      <c r="Y414" s="31">
        <f t="shared" si="159"/>
        <v>0</v>
      </c>
      <c r="Z414" s="18">
        <v>38</v>
      </c>
      <c r="AA414" s="18" t="s">
        <v>92</v>
      </c>
      <c r="AB414" s="18" t="s">
        <v>116</v>
      </c>
      <c r="AC414" s="18" t="s">
        <v>337</v>
      </c>
      <c r="AD414" s="18">
        <v>1</v>
      </c>
      <c r="AE414" s="18">
        <v>500</v>
      </c>
      <c r="AF414" s="18" t="s">
        <v>29</v>
      </c>
      <c r="AG414" s="18"/>
      <c r="AH414" s="18"/>
      <c r="AI414" s="18" t="s">
        <v>64</v>
      </c>
      <c r="AJ414" s="18" t="s">
        <v>79</v>
      </c>
      <c r="AK414" s="18" t="s">
        <v>92</v>
      </c>
      <c r="AL414" s="18" t="s">
        <v>109</v>
      </c>
      <c r="AM414" s="18" t="s">
        <v>120</v>
      </c>
      <c r="AN414" s="18" t="s">
        <v>198</v>
      </c>
      <c r="AO414" s="18"/>
      <c r="AP414" s="18"/>
      <c r="AQ414" s="18">
        <f>+VLOOKUP(AI414,Leyenda!$B$30:$E$34,3,FALSE)</f>
        <v>2</v>
      </c>
      <c r="AR414" s="18">
        <f>+VLOOKUP('3. Blasting'!AJ414,Meteorizacion,3,FALSE)</f>
        <v>1</v>
      </c>
      <c r="AS414" s="18">
        <f>+VLOOKUP('3. Blasting'!AK414,Apertura,3,FALSE)</f>
        <v>3</v>
      </c>
      <c r="AT414" s="18">
        <f>+VLOOKUP('3. Blasting'!AL414,Leyenda!$B$55:$D$59,3,FALSE)</f>
        <v>1</v>
      </c>
      <c r="AU414" s="18">
        <f>+VLOOKUP('3. Blasting'!AM414,Relleno,3,FALSE)</f>
        <v>2</v>
      </c>
      <c r="AV414" s="18">
        <f t="shared" si="177"/>
        <v>9</v>
      </c>
      <c r="AW414" s="49">
        <f t="shared" si="166"/>
        <v>8</v>
      </c>
      <c r="AX414" s="49">
        <f>VLOOKUP(AF414,Leyenda!$B$4:$D$10,3,FALSE)</f>
        <v>2</v>
      </c>
      <c r="AY414" s="49">
        <f t="shared" si="160"/>
        <v>12</v>
      </c>
      <c r="AZ414" s="49">
        <f t="shared" si="167"/>
        <v>9</v>
      </c>
      <c r="BA414" s="49">
        <f>VLOOKUP(AN414,Leyenda!$B$70:$D$75,3,FALSE)</f>
        <v>15</v>
      </c>
      <c r="BB414" s="67">
        <f t="shared" si="168"/>
        <v>13.5</v>
      </c>
      <c r="BC414" s="67">
        <f>VLOOKUP(AF414,Leyenda!$B$4:$E$10,4,FALSE)</f>
        <v>2</v>
      </c>
      <c r="BD414" s="67">
        <f t="shared" si="169"/>
        <v>5</v>
      </c>
      <c r="BE414" s="67">
        <f t="shared" si="170"/>
        <v>0</v>
      </c>
      <c r="BF414" s="67">
        <f>+VLOOKUP('3. Blasting'!AK414,Leyenda!$B$47:$E$51,4,FALSE)</f>
        <v>3</v>
      </c>
      <c r="BG414" s="67">
        <f>+VLOOKUP('3. Blasting'!AL414,Leyenda!$B$55:$E$59,4,FALSE)</f>
        <v>1</v>
      </c>
      <c r="BH414" s="67">
        <f>+VLOOKUP('3. Blasting'!AM414,Leyenda!$B$63:$E$67,3,FALSE)</f>
        <v>2</v>
      </c>
      <c r="BI414" s="67">
        <f>+VLOOKUP('3. Blasting'!AJ414,Leyenda!$B$39:$E$43,4,FALSE)</f>
        <v>1</v>
      </c>
      <c r="BJ414" s="67">
        <f>+VLOOKUP('3. Blasting'!AI414,Leyenda!$B$30:$E$34,4,FALSE)</f>
        <v>3</v>
      </c>
      <c r="BK414" s="67">
        <f>VLOOKUP(AN414,Leyenda!$B$71:$E$75,4,FALSE)</f>
        <v>10</v>
      </c>
      <c r="BL414" s="67">
        <f t="shared" si="171"/>
        <v>27</v>
      </c>
      <c r="BM414" s="18">
        <f t="shared" si="172"/>
        <v>46</v>
      </c>
      <c r="BN414" s="18" t="e">
        <f t="shared" si="178"/>
        <v>#N/A</v>
      </c>
      <c r="BO414" s="18"/>
      <c r="BP414" s="6">
        <f t="shared" si="174"/>
        <v>10</v>
      </c>
      <c r="BQ414" s="6">
        <f t="shared" si="175"/>
        <v>10</v>
      </c>
      <c r="BR414" s="6">
        <v>20</v>
      </c>
      <c r="BS414" s="6">
        <f t="shared" si="161"/>
        <v>-2.5</v>
      </c>
      <c r="BT414" s="6">
        <f t="shared" si="162"/>
        <v>0.52500000000000002</v>
      </c>
      <c r="BU414" s="6">
        <f t="shared" si="163"/>
        <v>19.012499999999999</v>
      </c>
      <c r="BV414" s="18">
        <f t="shared" si="157"/>
        <v>7.6049999999999993E-2</v>
      </c>
      <c r="BW414" s="18">
        <f t="shared" si="158"/>
        <v>0.14449499999999998</v>
      </c>
    </row>
    <row r="415" spans="1:75" hidden="1" x14ac:dyDescent="0.25">
      <c r="A415" s="18" t="s">
        <v>6</v>
      </c>
      <c r="B415" s="18">
        <v>2024</v>
      </c>
      <c r="C415" s="18" t="s">
        <v>138</v>
      </c>
      <c r="D415" s="18" t="s">
        <v>134</v>
      </c>
      <c r="E415" s="18">
        <v>60</v>
      </c>
      <c r="F415" s="18" t="s">
        <v>136</v>
      </c>
      <c r="G415" s="18" t="s">
        <v>169</v>
      </c>
      <c r="H415" s="4">
        <v>0</v>
      </c>
      <c r="I415" s="31">
        <v>0.5</v>
      </c>
      <c r="J415" s="4">
        <f t="shared" si="164"/>
        <v>0.5</v>
      </c>
      <c r="K415" s="5">
        <v>0.62</v>
      </c>
      <c r="L415" s="31">
        <f t="shared" si="165"/>
        <v>0.31</v>
      </c>
      <c r="M415" s="31">
        <v>2.11</v>
      </c>
      <c r="N415" s="31">
        <v>16.600000000000001</v>
      </c>
      <c r="O415" s="18">
        <f t="shared" si="153"/>
        <v>0.31</v>
      </c>
      <c r="P415" s="18">
        <v>15.5</v>
      </c>
      <c r="Q415" s="18">
        <v>20</v>
      </c>
      <c r="R415" s="18">
        <v>0.27</v>
      </c>
      <c r="S415" s="18">
        <v>0</v>
      </c>
      <c r="T415" s="65">
        <f t="shared" si="176"/>
        <v>0</v>
      </c>
      <c r="U415" s="18">
        <v>4</v>
      </c>
      <c r="V415" s="18"/>
      <c r="W415" s="18">
        <f t="shared" ref="W415:W474" si="179">+U415+V415</f>
        <v>4</v>
      </c>
      <c r="X415" s="18">
        <f t="shared" ref="X415:X478" si="180">+IF(R415=0,"",(R415*1000)/W415)</f>
        <v>67.5</v>
      </c>
      <c r="Y415" s="31">
        <f t="shared" si="159"/>
        <v>6.7500000000000004E-2</v>
      </c>
      <c r="Z415" s="18">
        <v>0</v>
      </c>
      <c r="AA415" s="18" t="s">
        <v>330</v>
      </c>
      <c r="AB415" s="18" t="s">
        <v>333</v>
      </c>
      <c r="AC415" s="18" t="s">
        <v>336</v>
      </c>
      <c r="AD415" s="18">
        <v>20</v>
      </c>
      <c r="AE415" s="18">
        <v>15.5</v>
      </c>
      <c r="AF415" s="18" t="s">
        <v>32</v>
      </c>
      <c r="AG415" s="18" t="s">
        <v>239</v>
      </c>
      <c r="AH415" s="18" t="s">
        <v>239</v>
      </c>
      <c r="AI415" s="18" t="s">
        <v>69</v>
      </c>
      <c r="AJ415" s="18" t="s">
        <v>81</v>
      </c>
      <c r="AK415" s="18" t="s">
        <v>100</v>
      </c>
      <c r="AL415" s="18" t="s">
        <v>109</v>
      </c>
      <c r="AM415" s="18" t="s">
        <v>122</v>
      </c>
      <c r="AN415" s="18" t="s">
        <v>247</v>
      </c>
      <c r="AO415" s="18"/>
      <c r="AP415" s="18"/>
      <c r="AQ415" s="18">
        <f>+VLOOKUP(AI415,Leyenda!$B$30:$E$34,3,FALSE)</f>
        <v>0</v>
      </c>
      <c r="AR415" s="18">
        <f>+VLOOKUP('3. Blasting'!AJ415,Meteorizacion,3,FALSE)</f>
        <v>0</v>
      </c>
      <c r="AS415" s="18">
        <f>+VLOOKUP('3. Blasting'!AK415,Apertura,3,FALSE)</f>
        <v>0</v>
      </c>
      <c r="AT415" s="18">
        <f>+VLOOKUP('3. Blasting'!AL415,Leyenda!$B$55:$D$59,3,FALSE)</f>
        <v>1</v>
      </c>
      <c r="AU415" s="18">
        <f>+VLOOKUP('3. Blasting'!AM415,Relleno,3,FALSE)</f>
        <v>0</v>
      </c>
      <c r="AV415" s="18">
        <f t="shared" si="177"/>
        <v>1</v>
      </c>
      <c r="AW415" s="49">
        <f t="shared" si="166"/>
        <v>0</v>
      </c>
      <c r="AX415" s="49">
        <f>VLOOKUP(AF415,Leyenda!$B$4:$D$10,3,FALSE)</f>
        <v>1</v>
      </c>
      <c r="AY415" s="49">
        <f t="shared" si="160"/>
        <v>4</v>
      </c>
      <c r="AZ415" s="49">
        <f t="shared" si="167"/>
        <v>1</v>
      </c>
      <c r="BA415" s="49">
        <f>VLOOKUP(AN415,Leyenda!$B$70:$D$75,3,FALSE)</f>
        <v>10</v>
      </c>
      <c r="BB415" s="67">
        <f t="shared" si="168"/>
        <v>1.5</v>
      </c>
      <c r="BC415" s="67">
        <f>VLOOKUP(AF415,Leyenda!$B$4:$E$10,4,FALSE)</f>
        <v>1</v>
      </c>
      <c r="BD415" s="67">
        <f t="shared" si="169"/>
        <v>6</v>
      </c>
      <c r="BE415" s="67">
        <f t="shared" si="170"/>
        <v>0</v>
      </c>
      <c r="BF415" s="67">
        <f>+VLOOKUP('3. Blasting'!AK415,Leyenda!$B$47:$E$51,4,FALSE)</f>
        <v>0</v>
      </c>
      <c r="BG415" s="67">
        <f>+VLOOKUP('3. Blasting'!AL415,Leyenda!$B$55:$E$59,4,FALSE)</f>
        <v>1</v>
      </c>
      <c r="BH415" s="67">
        <f>+VLOOKUP('3. Blasting'!AM415,Leyenda!$B$63:$E$67,3,FALSE)</f>
        <v>0</v>
      </c>
      <c r="BI415" s="67">
        <f>+VLOOKUP('3. Blasting'!AJ415,Leyenda!$B$39:$E$43,4,FALSE)</f>
        <v>0</v>
      </c>
      <c r="BJ415" s="67">
        <f>+VLOOKUP('3. Blasting'!AI415,Leyenda!$B$30:$E$34,4,FALSE)</f>
        <v>0</v>
      </c>
      <c r="BK415" s="67">
        <f>VLOOKUP(AN415,Leyenda!$B$71:$E$75,4,FALSE)</f>
        <v>7</v>
      </c>
      <c r="BL415" s="67">
        <f t="shared" si="171"/>
        <v>15</v>
      </c>
      <c r="BM415" s="18">
        <f t="shared" si="172"/>
        <v>16</v>
      </c>
      <c r="BN415" s="18" t="e">
        <f t="shared" si="178"/>
        <v>#N/A</v>
      </c>
      <c r="BO415" s="18"/>
      <c r="BP415" s="6">
        <f t="shared" si="174"/>
        <v>10</v>
      </c>
      <c r="BQ415" s="6">
        <f t="shared" si="175"/>
        <v>10</v>
      </c>
      <c r="BR415" s="6">
        <v>20</v>
      </c>
      <c r="BS415" s="6">
        <f t="shared" si="161"/>
        <v>2.75</v>
      </c>
      <c r="BT415" s="6">
        <f t="shared" si="162"/>
        <v>0.83000000000000007</v>
      </c>
      <c r="BU415" s="6">
        <f t="shared" si="163"/>
        <v>21.79</v>
      </c>
      <c r="BV415" s="18">
        <f t="shared" si="157"/>
        <v>8.7160000000000001E-2</v>
      </c>
      <c r="BW415" s="18">
        <f t="shared" si="158"/>
        <v>0.1839076</v>
      </c>
    </row>
    <row r="416" spans="1:75" hidden="1" x14ac:dyDescent="0.25">
      <c r="A416" s="18" t="s">
        <v>6</v>
      </c>
      <c r="B416" s="18">
        <v>2024</v>
      </c>
      <c r="C416" s="18" t="s">
        <v>138</v>
      </c>
      <c r="D416" s="18" t="s">
        <v>134</v>
      </c>
      <c r="E416" s="18">
        <v>60</v>
      </c>
      <c r="F416" s="18" t="s">
        <v>136</v>
      </c>
      <c r="G416" s="18" t="s">
        <v>169</v>
      </c>
      <c r="H416" s="31">
        <f>+I415</f>
        <v>0.5</v>
      </c>
      <c r="I416" s="31">
        <v>1</v>
      </c>
      <c r="J416" s="4">
        <f t="shared" si="164"/>
        <v>0.5</v>
      </c>
      <c r="K416" s="5">
        <v>0.5</v>
      </c>
      <c r="L416" s="31">
        <f t="shared" si="165"/>
        <v>0.25</v>
      </c>
      <c r="M416" s="31">
        <v>2.11</v>
      </c>
      <c r="N416" s="31">
        <v>16.600000000000001</v>
      </c>
      <c r="O416" s="18">
        <f t="shared" si="153"/>
        <v>0.25</v>
      </c>
      <c r="P416" s="18">
        <v>12.5</v>
      </c>
      <c r="Q416" s="18">
        <v>20</v>
      </c>
      <c r="R416" s="18">
        <v>0.25</v>
      </c>
      <c r="S416" s="18">
        <v>0</v>
      </c>
      <c r="T416" s="65">
        <f t="shared" si="176"/>
        <v>0</v>
      </c>
      <c r="U416" s="18">
        <v>4</v>
      </c>
      <c r="V416" s="18"/>
      <c r="W416" s="18">
        <f t="shared" si="179"/>
        <v>4</v>
      </c>
      <c r="X416" s="18">
        <f t="shared" si="180"/>
        <v>62.5</v>
      </c>
      <c r="Y416" s="31">
        <f t="shared" si="159"/>
        <v>6.25E-2</v>
      </c>
      <c r="Z416" s="18">
        <v>0</v>
      </c>
      <c r="AA416" s="18" t="s">
        <v>100</v>
      </c>
      <c r="AB416" s="18" t="s">
        <v>333</v>
      </c>
      <c r="AC416" s="18" t="s">
        <v>337</v>
      </c>
      <c r="AD416" s="18">
        <v>20</v>
      </c>
      <c r="AE416" s="18">
        <v>12.5</v>
      </c>
      <c r="AF416" s="18" t="s">
        <v>29</v>
      </c>
      <c r="AG416" s="18" t="s">
        <v>239</v>
      </c>
      <c r="AH416" s="18" t="s">
        <v>239</v>
      </c>
      <c r="AI416" s="18" t="s">
        <v>69</v>
      </c>
      <c r="AJ416" s="18" t="s">
        <v>81</v>
      </c>
      <c r="AK416" s="18" t="s">
        <v>100</v>
      </c>
      <c r="AL416" s="18" t="s">
        <v>109</v>
      </c>
      <c r="AM416" s="18" t="s">
        <v>122</v>
      </c>
      <c r="AN416" s="18" t="s">
        <v>247</v>
      </c>
      <c r="AO416" s="18"/>
      <c r="AP416" s="18"/>
      <c r="AQ416" s="18">
        <f>+VLOOKUP(AI416,Leyenda!$B$30:$E$34,3,FALSE)</f>
        <v>0</v>
      </c>
      <c r="AR416" s="18">
        <f>+VLOOKUP('3. Blasting'!AJ416,Meteorizacion,3,FALSE)</f>
        <v>0</v>
      </c>
      <c r="AS416" s="18">
        <f>+VLOOKUP('3. Blasting'!AK416,Apertura,3,FALSE)</f>
        <v>0</v>
      </c>
      <c r="AT416" s="18">
        <f>+VLOOKUP('3. Blasting'!AL416,Leyenda!$B$55:$D$59,3,FALSE)</f>
        <v>1</v>
      </c>
      <c r="AU416" s="18">
        <f>+VLOOKUP('3. Blasting'!AM416,Relleno,3,FALSE)</f>
        <v>0</v>
      </c>
      <c r="AV416" s="18">
        <f t="shared" si="177"/>
        <v>1</v>
      </c>
      <c r="AW416" s="49">
        <f t="shared" si="166"/>
        <v>0</v>
      </c>
      <c r="AX416" s="49">
        <f>VLOOKUP(AF416,Leyenda!$B$4:$D$10,3,FALSE)</f>
        <v>2</v>
      </c>
      <c r="AY416" s="49">
        <f t="shared" si="160"/>
        <v>4</v>
      </c>
      <c r="AZ416" s="49">
        <f t="shared" si="167"/>
        <v>1</v>
      </c>
      <c r="BA416" s="49">
        <f>VLOOKUP(AN416,Leyenda!$B$70:$D$75,3,FALSE)</f>
        <v>10</v>
      </c>
      <c r="BB416" s="67">
        <f t="shared" si="168"/>
        <v>1.5</v>
      </c>
      <c r="BC416" s="67">
        <f>VLOOKUP(AF416,Leyenda!$B$4:$E$10,4,FALSE)</f>
        <v>2</v>
      </c>
      <c r="BD416" s="67">
        <f t="shared" si="169"/>
        <v>5</v>
      </c>
      <c r="BE416" s="67">
        <f t="shared" si="170"/>
        <v>0</v>
      </c>
      <c r="BF416" s="67">
        <f>+VLOOKUP('3. Blasting'!AK416,Leyenda!$B$47:$E$51,4,FALSE)</f>
        <v>0</v>
      </c>
      <c r="BG416" s="67">
        <f>+VLOOKUP('3. Blasting'!AL416,Leyenda!$B$55:$E$59,4,FALSE)</f>
        <v>1</v>
      </c>
      <c r="BH416" s="67">
        <f>+VLOOKUP('3. Blasting'!AM416,Leyenda!$B$63:$E$67,3,FALSE)</f>
        <v>0</v>
      </c>
      <c r="BI416" s="67">
        <f>+VLOOKUP('3. Blasting'!AJ416,Leyenda!$B$39:$E$43,4,FALSE)</f>
        <v>0</v>
      </c>
      <c r="BJ416" s="67">
        <f>+VLOOKUP('3. Blasting'!AI416,Leyenda!$B$30:$E$34,4,FALSE)</f>
        <v>0</v>
      </c>
      <c r="BK416" s="67">
        <f>VLOOKUP(AN416,Leyenda!$B$71:$E$75,4,FALSE)</f>
        <v>7</v>
      </c>
      <c r="BL416" s="67">
        <f t="shared" si="171"/>
        <v>15</v>
      </c>
      <c r="BM416" s="18">
        <f t="shared" si="172"/>
        <v>17</v>
      </c>
      <c r="BN416" s="18" t="e">
        <f t="shared" si="178"/>
        <v>#N/A</v>
      </c>
      <c r="BO416" s="18"/>
      <c r="BP416" s="6">
        <f t="shared" si="174"/>
        <v>10</v>
      </c>
      <c r="BQ416" s="6">
        <f t="shared" si="175"/>
        <v>10</v>
      </c>
      <c r="BR416" s="6">
        <v>20</v>
      </c>
      <c r="BS416" s="6">
        <f t="shared" si="161"/>
        <v>2.75</v>
      </c>
      <c r="BT416" s="6">
        <f t="shared" si="162"/>
        <v>0.83000000000000007</v>
      </c>
      <c r="BU416" s="6">
        <f t="shared" si="163"/>
        <v>21.79</v>
      </c>
      <c r="BV416" s="18">
        <f t="shared" si="157"/>
        <v>8.7160000000000001E-2</v>
      </c>
      <c r="BW416" s="18">
        <f t="shared" si="158"/>
        <v>0.1839076</v>
      </c>
    </row>
    <row r="417" spans="1:75" hidden="1" x14ac:dyDescent="0.25">
      <c r="A417" s="18" t="s">
        <v>6</v>
      </c>
      <c r="B417" s="18">
        <v>2024</v>
      </c>
      <c r="C417" s="18" t="s">
        <v>138</v>
      </c>
      <c r="D417" s="18" t="s">
        <v>134</v>
      </c>
      <c r="E417" s="18">
        <v>60</v>
      </c>
      <c r="F417" s="18" t="s">
        <v>136</v>
      </c>
      <c r="G417" s="18" t="s">
        <v>169</v>
      </c>
      <c r="H417" s="31">
        <f t="shared" ref="H417:H463" si="181">+I416</f>
        <v>1</v>
      </c>
      <c r="I417" s="31">
        <v>1.5</v>
      </c>
      <c r="J417" s="4">
        <f t="shared" si="164"/>
        <v>0.5</v>
      </c>
      <c r="K417" s="5">
        <v>0.34</v>
      </c>
      <c r="L417" s="31">
        <f t="shared" si="165"/>
        <v>0.17</v>
      </c>
      <c r="M417" s="31">
        <v>2.11</v>
      </c>
      <c r="N417" s="31">
        <v>16.600000000000001</v>
      </c>
      <c r="O417" s="18">
        <f t="shared" si="153"/>
        <v>0.17</v>
      </c>
      <c r="P417" s="18">
        <v>8.5</v>
      </c>
      <c r="Q417" s="18">
        <v>20</v>
      </c>
      <c r="R417" s="18">
        <v>0.16</v>
      </c>
      <c r="S417" s="18">
        <v>0</v>
      </c>
      <c r="T417" s="65">
        <f t="shared" si="176"/>
        <v>0</v>
      </c>
      <c r="U417" s="18">
        <v>5</v>
      </c>
      <c r="V417" s="18"/>
      <c r="W417" s="18">
        <f t="shared" si="179"/>
        <v>5</v>
      </c>
      <c r="X417" s="18">
        <f t="shared" si="180"/>
        <v>32</v>
      </c>
      <c r="Y417" s="31">
        <f t="shared" si="159"/>
        <v>3.2000000000000001E-2</v>
      </c>
      <c r="Z417" s="18">
        <v>0</v>
      </c>
      <c r="AA417" s="18" t="s">
        <v>100</v>
      </c>
      <c r="AB417" s="18" t="s">
        <v>333</v>
      </c>
      <c r="AC417" s="18" t="s">
        <v>336</v>
      </c>
      <c r="AD417" s="18">
        <v>20</v>
      </c>
      <c r="AE417" s="18">
        <v>8.5</v>
      </c>
      <c r="AF417" s="18" t="s">
        <v>32</v>
      </c>
      <c r="AG417" s="18" t="s">
        <v>239</v>
      </c>
      <c r="AH417" s="18" t="s">
        <v>239</v>
      </c>
      <c r="AI417" s="18" t="s">
        <v>69</v>
      </c>
      <c r="AJ417" s="18" t="s">
        <v>81</v>
      </c>
      <c r="AK417" s="18" t="s">
        <v>100</v>
      </c>
      <c r="AL417" s="18" t="s">
        <v>109</v>
      </c>
      <c r="AM417" s="18" t="s">
        <v>122</v>
      </c>
      <c r="AN417" s="18" t="s">
        <v>247</v>
      </c>
      <c r="AO417" s="18"/>
      <c r="AP417" s="18"/>
      <c r="AQ417" s="18">
        <f>+VLOOKUP(AI417,Leyenda!$B$30:$E$34,3,FALSE)</f>
        <v>0</v>
      </c>
      <c r="AR417" s="18">
        <f>+VLOOKUP('3. Blasting'!AJ417,Meteorizacion,3,FALSE)</f>
        <v>0</v>
      </c>
      <c r="AS417" s="18">
        <f>+VLOOKUP('3. Blasting'!AK417,Apertura,3,FALSE)</f>
        <v>0</v>
      </c>
      <c r="AT417" s="18">
        <f>+VLOOKUP('3. Blasting'!AL417,Leyenda!$B$55:$D$59,3,FALSE)</f>
        <v>1</v>
      </c>
      <c r="AU417" s="18">
        <f>+VLOOKUP('3. Blasting'!AM417,Relleno,3,FALSE)</f>
        <v>0</v>
      </c>
      <c r="AV417" s="18">
        <f t="shared" si="177"/>
        <v>1</v>
      </c>
      <c r="AW417" s="49">
        <f t="shared" si="166"/>
        <v>0</v>
      </c>
      <c r="AX417" s="49">
        <f>VLOOKUP(AF417,Leyenda!$B$4:$D$10,3,FALSE)</f>
        <v>1</v>
      </c>
      <c r="AY417" s="49">
        <f t="shared" si="160"/>
        <v>3</v>
      </c>
      <c r="AZ417" s="49">
        <f t="shared" si="167"/>
        <v>1</v>
      </c>
      <c r="BA417" s="49">
        <f>VLOOKUP(AN417,Leyenda!$B$70:$D$75,3,FALSE)</f>
        <v>10</v>
      </c>
      <c r="BB417" s="67">
        <f t="shared" si="168"/>
        <v>1.5</v>
      </c>
      <c r="BC417" s="67">
        <f>VLOOKUP(AF417,Leyenda!$B$4:$E$10,4,FALSE)</f>
        <v>1</v>
      </c>
      <c r="BD417" s="67">
        <f t="shared" si="169"/>
        <v>5</v>
      </c>
      <c r="BE417" s="67">
        <f t="shared" si="170"/>
        <v>0</v>
      </c>
      <c r="BF417" s="67">
        <f>+VLOOKUP('3. Blasting'!AK417,Leyenda!$B$47:$E$51,4,FALSE)</f>
        <v>0</v>
      </c>
      <c r="BG417" s="67">
        <f>+VLOOKUP('3. Blasting'!AL417,Leyenda!$B$55:$E$59,4,FALSE)</f>
        <v>1</v>
      </c>
      <c r="BH417" s="67">
        <f>+VLOOKUP('3. Blasting'!AM417,Leyenda!$B$63:$E$67,3,FALSE)</f>
        <v>0</v>
      </c>
      <c r="BI417" s="67">
        <f>+VLOOKUP('3. Blasting'!AJ417,Leyenda!$B$39:$E$43,4,FALSE)</f>
        <v>0</v>
      </c>
      <c r="BJ417" s="67">
        <f>+VLOOKUP('3. Blasting'!AI417,Leyenda!$B$30:$E$34,4,FALSE)</f>
        <v>0</v>
      </c>
      <c r="BK417" s="67">
        <f>VLOOKUP(AN417,Leyenda!$B$71:$E$75,4,FALSE)</f>
        <v>7</v>
      </c>
      <c r="BL417" s="67">
        <f t="shared" si="171"/>
        <v>14</v>
      </c>
      <c r="BM417" s="18">
        <f t="shared" si="172"/>
        <v>15</v>
      </c>
      <c r="BN417" s="18" t="e">
        <f t="shared" si="178"/>
        <v>#N/A</v>
      </c>
      <c r="BO417" s="18"/>
      <c r="BP417" s="6">
        <f t="shared" si="174"/>
        <v>10</v>
      </c>
      <c r="BQ417" s="6">
        <f t="shared" si="175"/>
        <v>10</v>
      </c>
      <c r="BR417" s="6">
        <v>20</v>
      </c>
      <c r="BS417" s="6">
        <f t="shared" si="161"/>
        <v>2.75</v>
      </c>
      <c r="BT417" s="6">
        <f t="shared" si="162"/>
        <v>0.83000000000000007</v>
      </c>
      <c r="BU417" s="6">
        <f t="shared" si="163"/>
        <v>21.79</v>
      </c>
      <c r="BV417" s="18">
        <f t="shared" si="157"/>
        <v>8.7160000000000001E-2</v>
      </c>
      <c r="BW417" s="18">
        <f t="shared" si="158"/>
        <v>0.1839076</v>
      </c>
    </row>
    <row r="418" spans="1:75" hidden="1" x14ac:dyDescent="0.25">
      <c r="A418" s="18" t="s">
        <v>6</v>
      </c>
      <c r="B418" s="18">
        <v>2024</v>
      </c>
      <c r="C418" s="18" t="s">
        <v>138</v>
      </c>
      <c r="D418" s="18" t="s">
        <v>134</v>
      </c>
      <c r="E418" s="18">
        <v>60</v>
      </c>
      <c r="F418" s="18" t="s">
        <v>136</v>
      </c>
      <c r="G418" s="18" t="s">
        <v>170</v>
      </c>
      <c r="H418" s="31">
        <f t="shared" si="181"/>
        <v>1.5</v>
      </c>
      <c r="I418" s="31">
        <v>2</v>
      </c>
      <c r="J418" s="4">
        <f t="shared" si="164"/>
        <v>0.5</v>
      </c>
      <c r="K418" s="5">
        <v>0.44</v>
      </c>
      <c r="L418" s="31">
        <f t="shared" si="165"/>
        <v>0.22</v>
      </c>
      <c r="M418" s="31">
        <v>2.11</v>
      </c>
      <c r="N418" s="31">
        <v>16.600000000000001</v>
      </c>
      <c r="O418" s="18">
        <f t="shared" si="153"/>
        <v>0.22</v>
      </c>
      <c r="P418" s="18">
        <v>11</v>
      </c>
      <c r="Q418" s="18">
        <v>20</v>
      </c>
      <c r="R418" s="18">
        <v>0.2</v>
      </c>
      <c r="S418" s="18">
        <v>0.16</v>
      </c>
      <c r="T418" s="65">
        <f t="shared" si="176"/>
        <v>32</v>
      </c>
      <c r="U418" s="18">
        <v>3</v>
      </c>
      <c r="V418" s="18"/>
      <c r="W418" s="18">
        <f t="shared" si="179"/>
        <v>3</v>
      </c>
      <c r="X418" s="18">
        <f t="shared" si="180"/>
        <v>66.666666666666671</v>
      </c>
      <c r="Y418" s="31">
        <f t="shared" si="159"/>
        <v>6.6666666666666666E-2</v>
      </c>
      <c r="Z418" s="18">
        <v>0</v>
      </c>
      <c r="AA418" s="18" t="s">
        <v>330</v>
      </c>
      <c r="AB418" s="18" t="s">
        <v>333</v>
      </c>
      <c r="AC418" s="18" t="s">
        <v>337</v>
      </c>
      <c r="AD418" s="18">
        <v>20</v>
      </c>
      <c r="AE418" s="18">
        <v>11</v>
      </c>
      <c r="AF418" s="18" t="s">
        <v>29</v>
      </c>
      <c r="AG418" s="18" t="s">
        <v>239</v>
      </c>
      <c r="AH418" s="18" t="s">
        <v>239</v>
      </c>
      <c r="AI418" s="18" t="s">
        <v>69</v>
      </c>
      <c r="AJ418" s="18" t="s">
        <v>81</v>
      </c>
      <c r="AK418" s="18" t="s">
        <v>100</v>
      </c>
      <c r="AL418" s="18" t="s">
        <v>109</v>
      </c>
      <c r="AM418" s="18" t="s">
        <v>122</v>
      </c>
      <c r="AN418" s="18" t="s">
        <v>247</v>
      </c>
      <c r="AO418" s="18"/>
      <c r="AP418" s="18"/>
      <c r="AQ418" s="18">
        <f>+VLOOKUP(AI418,Leyenda!$B$30:$E$34,3,FALSE)</f>
        <v>0</v>
      </c>
      <c r="AR418" s="18">
        <f>+VLOOKUP('3. Blasting'!AJ418,Meteorizacion,3,FALSE)</f>
        <v>0</v>
      </c>
      <c r="AS418" s="18">
        <f>+VLOOKUP('3. Blasting'!AK418,Apertura,3,FALSE)</f>
        <v>0</v>
      </c>
      <c r="AT418" s="18">
        <f>+VLOOKUP('3. Blasting'!AL418,Leyenda!$B$55:$D$59,3,FALSE)</f>
        <v>1</v>
      </c>
      <c r="AU418" s="18">
        <f>+VLOOKUP('3. Blasting'!AM418,Relleno,3,FALSE)</f>
        <v>0</v>
      </c>
      <c r="AV418" s="18">
        <f t="shared" si="177"/>
        <v>1</v>
      </c>
      <c r="AW418" s="49">
        <f t="shared" si="166"/>
        <v>0</v>
      </c>
      <c r="AX418" s="49">
        <f>VLOOKUP(AF418,Leyenda!$B$4:$D$10,3,FALSE)</f>
        <v>2</v>
      </c>
      <c r="AY418" s="49">
        <f t="shared" si="160"/>
        <v>3</v>
      </c>
      <c r="AZ418" s="49">
        <f t="shared" si="167"/>
        <v>1</v>
      </c>
      <c r="BA418" s="49">
        <f>VLOOKUP(AN418,Leyenda!$B$70:$D$75,3,FALSE)</f>
        <v>10</v>
      </c>
      <c r="BB418" s="67">
        <f t="shared" si="168"/>
        <v>17.5</v>
      </c>
      <c r="BC418" s="67">
        <f>VLOOKUP(AF418,Leyenda!$B$4:$E$10,4,FALSE)</f>
        <v>2</v>
      </c>
      <c r="BD418" s="67">
        <f t="shared" si="169"/>
        <v>6</v>
      </c>
      <c r="BE418" s="67">
        <f t="shared" si="170"/>
        <v>7</v>
      </c>
      <c r="BF418" s="67">
        <f>+VLOOKUP('3. Blasting'!AK418,Leyenda!$B$47:$E$51,4,FALSE)</f>
        <v>0</v>
      </c>
      <c r="BG418" s="67">
        <f>+VLOOKUP('3. Blasting'!AL418,Leyenda!$B$55:$E$59,4,FALSE)</f>
        <v>1</v>
      </c>
      <c r="BH418" s="67">
        <f>+VLOOKUP('3. Blasting'!AM418,Leyenda!$B$63:$E$67,3,FALSE)</f>
        <v>0</v>
      </c>
      <c r="BI418" s="67">
        <f>+VLOOKUP('3. Blasting'!AJ418,Leyenda!$B$39:$E$43,4,FALSE)</f>
        <v>0</v>
      </c>
      <c r="BJ418" s="67">
        <f>+VLOOKUP('3. Blasting'!AI418,Leyenda!$B$30:$E$34,4,FALSE)</f>
        <v>0</v>
      </c>
      <c r="BK418" s="67">
        <f>VLOOKUP(AN418,Leyenda!$B$71:$E$75,4,FALSE)</f>
        <v>7</v>
      </c>
      <c r="BL418" s="67">
        <f t="shared" si="171"/>
        <v>23</v>
      </c>
      <c r="BM418" s="18">
        <f t="shared" si="172"/>
        <v>16</v>
      </c>
      <c r="BN418" s="18" t="e">
        <f t="shared" si="178"/>
        <v>#N/A</v>
      </c>
      <c r="BO418" s="18"/>
      <c r="BP418" s="6">
        <f t="shared" si="174"/>
        <v>10</v>
      </c>
      <c r="BQ418" s="6">
        <f t="shared" si="175"/>
        <v>10</v>
      </c>
      <c r="BR418" s="6">
        <v>20</v>
      </c>
      <c r="BS418" s="6">
        <f t="shared" si="161"/>
        <v>2.75</v>
      </c>
      <c r="BT418" s="6">
        <f t="shared" si="162"/>
        <v>0.83000000000000007</v>
      </c>
      <c r="BU418" s="6">
        <f t="shared" si="163"/>
        <v>21.79</v>
      </c>
      <c r="BV418" s="18">
        <f t="shared" si="157"/>
        <v>8.7160000000000001E-2</v>
      </c>
      <c r="BW418" s="18">
        <f t="shared" si="158"/>
        <v>0.1839076</v>
      </c>
    </row>
    <row r="419" spans="1:75" hidden="1" x14ac:dyDescent="0.25">
      <c r="A419" s="18" t="s">
        <v>6</v>
      </c>
      <c r="B419" s="18">
        <v>2024</v>
      </c>
      <c r="C419" s="18" t="s">
        <v>138</v>
      </c>
      <c r="D419" s="18" t="s">
        <v>134</v>
      </c>
      <c r="E419" s="18">
        <v>60</v>
      </c>
      <c r="F419" s="18" t="s">
        <v>136</v>
      </c>
      <c r="G419" s="18" t="s">
        <v>170</v>
      </c>
      <c r="H419" s="31">
        <f t="shared" si="181"/>
        <v>2</v>
      </c>
      <c r="I419" s="31">
        <v>2.5</v>
      </c>
      <c r="J419" s="4">
        <f t="shared" si="164"/>
        <v>0.5</v>
      </c>
      <c r="K419" s="5">
        <v>0.6</v>
      </c>
      <c r="L419" s="31">
        <f t="shared" si="165"/>
        <v>0.3</v>
      </c>
      <c r="M419" s="31">
        <v>2.11</v>
      </c>
      <c r="N419" s="31">
        <v>16.600000000000001</v>
      </c>
      <c r="O419" s="18">
        <f t="shared" si="153"/>
        <v>0.3</v>
      </c>
      <c r="P419" s="18">
        <v>15</v>
      </c>
      <c r="Q419" s="18">
        <v>20</v>
      </c>
      <c r="R419" s="18">
        <v>0.24</v>
      </c>
      <c r="S419" s="18">
        <v>0</v>
      </c>
      <c r="T419" s="65">
        <f t="shared" si="176"/>
        <v>0</v>
      </c>
      <c r="U419" s="18">
        <v>3</v>
      </c>
      <c r="V419" s="18"/>
      <c r="W419" s="18">
        <f t="shared" si="179"/>
        <v>3</v>
      </c>
      <c r="X419" s="18">
        <f t="shared" si="180"/>
        <v>80</v>
      </c>
      <c r="Y419" s="31">
        <f t="shared" si="159"/>
        <v>0.08</v>
      </c>
      <c r="Z419" s="18">
        <v>0</v>
      </c>
      <c r="AA419" s="18" t="s">
        <v>330</v>
      </c>
      <c r="AB419" s="18" t="s">
        <v>333</v>
      </c>
      <c r="AC419" s="18" t="s">
        <v>336</v>
      </c>
      <c r="AD419" s="18">
        <v>20</v>
      </c>
      <c r="AE419" s="18">
        <v>15</v>
      </c>
      <c r="AF419" s="18" t="s">
        <v>32</v>
      </c>
      <c r="AG419" s="18" t="s">
        <v>239</v>
      </c>
      <c r="AH419" s="18" t="s">
        <v>239</v>
      </c>
      <c r="AI419" s="18" t="s">
        <v>69</v>
      </c>
      <c r="AJ419" s="18" t="s">
        <v>81</v>
      </c>
      <c r="AK419" s="18" t="s">
        <v>100</v>
      </c>
      <c r="AL419" s="18" t="s">
        <v>109</v>
      </c>
      <c r="AM419" s="18" t="s">
        <v>122</v>
      </c>
      <c r="AN419" s="18" t="s">
        <v>247</v>
      </c>
      <c r="AO419" s="18"/>
      <c r="AP419" s="18"/>
      <c r="AQ419" s="18">
        <f>+VLOOKUP(AI419,Leyenda!$B$30:$E$34,3,FALSE)</f>
        <v>0</v>
      </c>
      <c r="AR419" s="18">
        <f>+VLOOKUP('3. Blasting'!AJ419,Meteorizacion,3,FALSE)</f>
        <v>0</v>
      </c>
      <c r="AS419" s="18">
        <f>+VLOOKUP('3. Blasting'!AK419,Apertura,3,FALSE)</f>
        <v>0</v>
      </c>
      <c r="AT419" s="18">
        <f>+VLOOKUP('3. Blasting'!AL419,Leyenda!$B$55:$D$59,3,FALSE)</f>
        <v>1</v>
      </c>
      <c r="AU419" s="18">
        <f>+VLOOKUP('3. Blasting'!AM419,Relleno,3,FALSE)</f>
        <v>0</v>
      </c>
      <c r="AV419" s="18">
        <f t="shared" si="177"/>
        <v>1</v>
      </c>
      <c r="AW419" s="49">
        <f t="shared" si="166"/>
        <v>0</v>
      </c>
      <c r="AX419" s="49">
        <f>VLOOKUP(AF419,Leyenda!$B$4:$D$10,3,FALSE)</f>
        <v>1</v>
      </c>
      <c r="AY419" s="49">
        <f t="shared" si="160"/>
        <v>4</v>
      </c>
      <c r="AZ419" s="49">
        <f t="shared" si="167"/>
        <v>1</v>
      </c>
      <c r="BA419" s="49">
        <f>VLOOKUP(AN419,Leyenda!$B$70:$D$75,3,FALSE)</f>
        <v>10</v>
      </c>
      <c r="BB419" s="67">
        <f t="shared" si="168"/>
        <v>1.5</v>
      </c>
      <c r="BC419" s="67">
        <f>VLOOKUP(AF419,Leyenda!$B$4:$E$10,4,FALSE)</f>
        <v>1</v>
      </c>
      <c r="BD419" s="67">
        <f t="shared" si="169"/>
        <v>7</v>
      </c>
      <c r="BE419" s="67">
        <f t="shared" si="170"/>
        <v>0</v>
      </c>
      <c r="BF419" s="67">
        <f>+VLOOKUP('3. Blasting'!AK419,Leyenda!$B$47:$E$51,4,FALSE)</f>
        <v>0</v>
      </c>
      <c r="BG419" s="67">
        <f>+VLOOKUP('3. Blasting'!AL419,Leyenda!$B$55:$E$59,4,FALSE)</f>
        <v>1</v>
      </c>
      <c r="BH419" s="67">
        <f>+VLOOKUP('3. Blasting'!AM419,Leyenda!$B$63:$E$67,3,FALSE)</f>
        <v>0</v>
      </c>
      <c r="BI419" s="67">
        <f>+VLOOKUP('3. Blasting'!AJ419,Leyenda!$B$39:$E$43,4,FALSE)</f>
        <v>0</v>
      </c>
      <c r="BJ419" s="67">
        <f>+VLOOKUP('3. Blasting'!AI419,Leyenda!$B$30:$E$34,4,FALSE)</f>
        <v>0</v>
      </c>
      <c r="BK419" s="67">
        <f>VLOOKUP(AN419,Leyenda!$B$71:$E$75,4,FALSE)</f>
        <v>7</v>
      </c>
      <c r="BL419" s="67">
        <f t="shared" si="171"/>
        <v>16</v>
      </c>
      <c r="BM419" s="18">
        <f t="shared" si="172"/>
        <v>16</v>
      </c>
      <c r="BN419" s="18" t="e">
        <f t="shared" si="178"/>
        <v>#N/A</v>
      </c>
      <c r="BO419" s="18"/>
      <c r="BP419" s="6">
        <f t="shared" si="174"/>
        <v>10</v>
      </c>
      <c r="BQ419" s="6">
        <f t="shared" si="175"/>
        <v>10</v>
      </c>
      <c r="BR419" s="6">
        <v>20</v>
      </c>
      <c r="BS419" s="6">
        <f t="shared" si="161"/>
        <v>2.75</v>
      </c>
      <c r="BT419" s="6">
        <f t="shared" si="162"/>
        <v>0.83000000000000007</v>
      </c>
      <c r="BU419" s="6">
        <f t="shared" si="163"/>
        <v>21.79</v>
      </c>
      <c r="BV419" s="18">
        <f t="shared" si="157"/>
        <v>8.7160000000000001E-2</v>
      </c>
      <c r="BW419" s="18">
        <f t="shared" si="158"/>
        <v>0.1839076</v>
      </c>
    </row>
    <row r="420" spans="1:75" x14ac:dyDescent="0.25">
      <c r="A420" s="18" t="s">
        <v>6</v>
      </c>
      <c r="B420" s="18">
        <v>2024</v>
      </c>
      <c r="C420" s="18" t="s">
        <v>138</v>
      </c>
      <c r="D420" s="18" t="s">
        <v>134</v>
      </c>
      <c r="E420" s="18">
        <v>40</v>
      </c>
      <c r="F420" s="18" t="s">
        <v>153</v>
      </c>
      <c r="G420" s="18" t="s">
        <v>170</v>
      </c>
      <c r="H420" s="31">
        <f t="shared" si="181"/>
        <v>2.5</v>
      </c>
      <c r="I420" s="31">
        <v>3</v>
      </c>
      <c r="J420" s="4">
        <f t="shared" si="164"/>
        <v>0.5</v>
      </c>
      <c r="K420" s="5">
        <v>0.72</v>
      </c>
      <c r="L420" s="31">
        <f t="shared" si="165"/>
        <v>0.36</v>
      </c>
      <c r="M420" s="31">
        <v>2.14</v>
      </c>
      <c r="N420" s="31">
        <v>31.3</v>
      </c>
      <c r="O420" s="18">
        <f t="shared" ref="O420:O518" si="182">+K420*J420</f>
        <v>0.36</v>
      </c>
      <c r="P420" s="18">
        <v>18</v>
      </c>
      <c r="Q420" s="18">
        <v>20</v>
      </c>
      <c r="R420" s="18">
        <v>0.33</v>
      </c>
      <c r="S420" s="18">
        <v>0</v>
      </c>
      <c r="T420" s="65">
        <f t="shared" si="176"/>
        <v>0</v>
      </c>
      <c r="U420" s="18">
        <v>5</v>
      </c>
      <c r="V420" s="18"/>
      <c r="W420" s="18">
        <f t="shared" si="179"/>
        <v>5</v>
      </c>
      <c r="X420" s="18">
        <f t="shared" si="180"/>
        <v>66</v>
      </c>
      <c r="Y420" s="31">
        <f t="shared" si="159"/>
        <v>6.6000000000000003E-2</v>
      </c>
      <c r="Z420" s="18">
        <v>0</v>
      </c>
      <c r="AA420" s="18" t="s">
        <v>330</v>
      </c>
      <c r="AB420" s="18" t="s">
        <v>333</v>
      </c>
      <c r="AC420" s="18" t="s">
        <v>335</v>
      </c>
      <c r="AD420" s="18">
        <v>20</v>
      </c>
      <c r="AE420" s="18">
        <v>18</v>
      </c>
      <c r="AF420" s="18" t="s">
        <v>34</v>
      </c>
      <c r="AG420" s="18"/>
      <c r="AH420" s="18"/>
      <c r="AI420" s="18" t="s">
        <v>69</v>
      </c>
      <c r="AJ420" s="18" t="s">
        <v>81</v>
      </c>
      <c r="AK420" s="18" t="s">
        <v>100</v>
      </c>
      <c r="AL420" s="18" t="s">
        <v>107</v>
      </c>
      <c r="AM420" s="18" t="s">
        <v>120</v>
      </c>
      <c r="AN420" s="18" t="s">
        <v>247</v>
      </c>
      <c r="AO420" s="18"/>
      <c r="AP420" s="18"/>
      <c r="AQ420" s="18">
        <f>+VLOOKUP(AI420,Leyenda!$B$30:$E$34,3,FALSE)</f>
        <v>0</v>
      </c>
      <c r="AR420" s="18">
        <f>+VLOOKUP('3. Blasting'!AJ420,Meteorizacion,3,FALSE)</f>
        <v>0</v>
      </c>
      <c r="AS420" s="18">
        <f>+VLOOKUP('3. Blasting'!AK420,Apertura,3,FALSE)</f>
        <v>0</v>
      </c>
      <c r="AT420" s="18">
        <f>+VLOOKUP('3. Blasting'!AL420,Leyenda!$B$55:$D$59,3,FALSE)</f>
        <v>3</v>
      </c>
      <c r="AU420" s="18">
        <f>+VLOOKUP('3. Blasting'!AM420,Relleno,3,FALSE)</f>
        <v>2</v>
      </c>
      <c r="AV420" s="18">
        <f t="shared" si="177"/>
        <v>5</v>
      </c>
      <c r="AW420" s="49">
        <f t="shared" si="166"/>
        <v>0</v>
      </c>
      <c r="AX420" s="49">
        <f>VLOOKUP(AF420,Leyenda!$B$4:$D$10,3,FALSE)</f>
        <v>0</v>
      </c>
      <c r="AY420" s="49">
        <f t="shared" si="160"/>
        <v>4</v>
      </c>
      <c r="AZ420" s="49">
        <f t="shared" si="167"/>
        <v>5</v>
      </c>
      <c r="BA420" s="49">
        <f>VLOOKUP(AN420,Leyenda!$B$70:$D$75,3,FALSE)</f>
        <v>10</v>
      </c>
      <c r="BB420" s="67">
        <f t="shared" si="168"/>
        <v>7.5</v>
      </c>
      <c r="BC420" s="67">
        <f>VLOOKUP(AF420,Leyenda!$B$4:$E$10,4,FALSE)</f>
        <v>0</v>
      </c>
      <c r="BD420" s="67">
        <f t="shared" si="169"/>
        <v>6</v>
      </c>
      <c r="BE420" s="67">
        <f t="shared" si="170"/>
        <v>0</v>
      </c>
      <c r="BF420" s="67">
        <f>+VLOOKUP('3. Blasting'!AK420,Leyenda!$B$47:$E$51,4,FALSE)</f>
        <v>0</v>
      </c>
      <c r="BG420" s="67">
        <f>+VLOOKUP('3. Blasting'!AL420,Leyenda!$B$55:$E$59,4,FALSE)</f>
        <v>3</v>
      </c>
      <c r="BH420" s="67">
        <f>+VLOOKUP('3. Blasting'!AM420,Leyenda!$B$63:$E$67,3,FALSE)</f>
        <v>2</v>
      </c>
      <c r="BI420" s="67">
        <f>+VLOOKUP('3. Blasting'!AJ420,Leyenda!$B$39:$E$43,4,FALSE)</f>
        <v>0</v>
      </c>
      <c r="BJ420" s="67">
        <f>+VLOOKUP('3. Blasting'!AI420,Leyenda!$B$30:$E$34,4,FALSE)</f>
        <v>0</v>
      </c>
      <c r="BK420" s="67">
        <f>VLOOKUP(AN420,Leyenda!$B$71:$E$75,4,FALSE)</f>
        <v>7</v>
      </c>
      <c r="BL420" s="125">
        <f t="shared" si="171"/>
        <v>18</v>
      </c>
      <c r="BM420" s="85">
        <f t="shared" si="172"/>
        <v>19</v>
      </c>
      <c r="BN420" s="18" t="e">
        <f t="shared" si="178"/>
        <v>#N/A</v>
      </c>
      <c r="BO420" s="18"/>
      <c r="BP420" s="6">
        <f t="shared" si="174"/>
        <v>10</v>
      </c>
      <c r="BQ420" s="6">
        <f t="shared" si="175"/>
        <v>10</v>
      </c>
      <c r="BR420" s="6">
        <v>20</v>
      </c>
      <c r="BS420" s="6">
        <f t="shared" si="161"/>
        <v>3.5</v>
      </c>
      <c r="BT420" s="6">
        <f t="shared" si="162"/>
        <v>1.5650000000000002</v>
      </c>
      <c r="BU420" s="6">
        <f t="shared" si="163"/>
        <v>22.532499999999999</v>
      </c>
      <c r="BV420" s="18">
        <f t="shared" si="157"/>
        <v>9.0130000000000002E-2</v>
      </c>
      <c r="BW420" s="18">
        <f t="shared" si="158"/>
        <v>0.19287820000000003</v>
      </c>
    </row>
    <row r="421" spans="1:75" x14ac:dyDescent="0.25">
      <c r="A421" s="18" t="s">
        <v>6</v>
      </c>
      <c r="B421" s="18">
        <v>2024</v>
      </c>
      <c r="C421" s="18" t="s">
        <v>138</v>
      </c>
      <c r="D421" s="18" t="s">
        <v>134</v>
      </c>
      <c r="E421" s="18">
        <v>40</v>
      </c>
      <c r="F421" s="18" t="s">
        <v>153</v>
      </c>
      <c r="G421" s="18" t="s">
        <v>170</v>
      </c>
      <c r="H421" s="31">
        <f t="shared" si="181"/>
        <v>3</v>
      </c>
      <c r="I421" s="31">
        <v>3.5</v>
      </c>
      <c r="J421" s="4">
        <f t="shared" si="164"/>
        <v>0.5</v>
      </c>
      <c r="K421" s="5">
        <v>0.34</v>
      </c>
      <c r="L421" s="31">
        <f t="shared" si="165"/>
        <v>0.17</v>
      </c>
      <c r="M421" s="31">
        <v>2.14</v>
      </c>
      <c r="N421" s="31">
        <v>31.3</v>
      </c>
      <c r="O421" s="18">
        <f t="shared" si="182"/>
        <v>0.17</v>
      </c>
      <c r="P421" s="18">
        <v>8.5</v>
      </c>
      <c r="Q421" s="18">
        <v>20</v>
      </c>
      <c r="R421" s="18">
        <v>0.15</v>
      </c>
      <c r="S421" s="18">
        <v>0</v>
      </c>
      <c r="T421" s="65">
        <f t="shared" si="176"/>
        <v>0</v>
      </c>
      <c r="U421" s="18">
        <v>5</v>
      </c>
      <c r="V421" s="18"/>
      <c r="W421" s="18">
        <f t="shared" si="179"/>
        <v>5</v>
      </c>
      <c r="X421" s="18">
        <f t="shared" si="180"/>
        <v>30</v>
      </c>
      <c r="Y421" s="31">
        <f t="shared" si="159"/>
        <v>0.03</v>
      </c>
      <c r="Z421" s="18">
        <v>0</v>
      </c>
      <c r="AA421" s="18" t="s">
        <v>100</v>
      </c>
      <c r="AB421" s="18" t="s">
        <v>333</v>
      </c>
      <c r="AC421" s="18" t="s">
        <v>337</v>
      </c>
      <c r="AD421" s="18">
        <v>20</v>
      </c>
      <c r="AE421" s="18">
        <v>8.5</v>
      </c>
      <c r="AF421" s="18" t="s">
        <v>29</v>
      </c>
      <c r="AG421" s="18"/>
      <c r="AH421" s="18"/>
      <c r="AI421" s="18" t="s">
        <v>69</v>
      </c>
      <c r="AJ421" s="18" t="s">
        <v>81</v>
      </c>
      <c r="AK421" s="18" t="s">
        <v>100</v>
      </c>
      <c r="AL421" s="18" t="s">
        <v>107</v>
      </c>
      <c r="AM421" s="18" t="s">
        <v>120</v>
      </c>
      <c r="AN421" s="18" t="s">
        <v>247</v>
      </c>
      <c r="AO421" s="18"/>
      <c r="AP421" s="18"/>
      <c r="AQ421" s="18">
        <f>+VLOOKUP(AI421,Leyenda!$B$30:$E$34,3,FALSE)</f>
        <v>0</v>
      </c>
      <c r="AR421" s="18">
        <f>+VLOOKUP('3. Blasting'!AJ421,Meteorizacion,3,FALSE)</f>
        <v>0</v>
      </c>
      <c r="AS421" s="18">
        <f>+VLOOKUP('3. Blasting'!AK421,Apertura,3,FALSE)</f>
        <v>0</v>
      </c>
      <c r="AT421" s="18">
        <f>+VLOOKUP('3. Blasting'!AL421,Leyenda!$B$55:$D$59,3,FALSE)</f>
        <v>3</v>
      </c>
      <c r="AU421" s="18">
        <f>+VLOOKUP('3. Blasting'!AM421,Relleno,3,FALSE)</f>
        <v>2</v>
      </c>
      <c r="AV421" s="18">
        <f t="shared" si="177"/>
        <v>5</v>
      </c>
      <c r="AW421" s="49">
        <f t="shared" si="166"/>
        <v>0</v>
      </c>
      <c r="AX421" s="49">
        <f>VLOOKUP(AF421,Leyenda!$B$4:$D$10,3,FALSE)</f>
        <v>2</v>
      </c>
      <c r="AY421" s="49">
        <f t="shared" si="160"/>
        <v>3</v>
      </c>
      <c r="AZ421" s="49">
        <f t="shared" si="167"/>
        <v>5</v>
      </c>
      <c r="BA421" s="49">
        <f>VLOOKUP(AN421,Leyenda!$B$70:$D$75,3,FALSE)</f>
        <v>10</v>
      </c>
      <c r="BB421" s="67">
        <f t="shared" si="168"/>
        <v>7.5</v>
      </c>
      <c r="BC421" s="67">
        <f>VLOOKUP(AF421,Leyenda!$B$4:$E$10,4,FALSE)</f>
        <v>2</v>
      </c>
      <c r="BD421" s="67">
        <f t="shared" si="169"/>
        <v>5</v>
      </c>
      <c r="BE421" s="67">
        <f t="shared" si="170"/>
        <v>0</v>
      </c>
      <c r="BF421" s="67">
        <f>+VLOOKUP('3. Blasting'!AK421,Leyenda!$B$47:$E$51,4,FALSE)</f>
        <v>0</v>
      </c>
      <c r="BG421" s="67">
        <f>+VLOOKUP('3. Blasting'!AL421,Leyenda!$B$55:$E$59,4,FALSE)</f>
        <v>3</v>
      </c>
      <c r="BH421" s="67">
        <f>+VLOOKUP('3. Blasting'!AM421,Leyenda!$B$63:$E$67,3,FALSE)</f>
        <v>2</v>
      </c>
      <c r="BI421" s="67">
        <f>+VLOOKUP('3. Blasting'!AJ421,Leyenda!$B$39:$E$43,4,FALSE)</f>
        <v>0</v>
      </c>
      <c r="BJ421" s="67">
        <f>+VLOOKUP('3. Blasting'!AI421,Leyenda!$B$30:$E$34,4,FALSE)</f>
        <v>0</v>
      </c>
      <c r="BK421" s="67">
        <f>VLOOKUP(AN421,Leyenda!$B$71:$E$75,4,FALSE)</f>
        <v>7</v>
      </c>
      <c r="BL421" s="125">
        <f t="shared" si="171"/>
        <v>19</v>
      </c>
      <c r="BM421" s="85">
        <f t="shared" si="172"/>
        <v>20</v>
      </c>
      <c r="BN421" s="18" t="e">
        <f t="shared" si="178"/>
        <v>#N/A</v>
      </c>
      <c r="BO421" s="18"/>
      <c r="BP421" s="6">
        <f t="shared" si="174"/>
        <v>10</v>
      </c>
      <c r="BQ421" s="6">
        <f t="shared" si="175"/>
        <v>10</v>
      </c>
      <c r="BR421" s="6">
        <v>20</v>
      </c>
      <c r="BS421" s="6">
        <f t="shared" si="161"/>
        <v>3.5</v>
      </c>
      <c r="BT421" s="6">
        <f t="shared" si="162"/>
        <v>1.5650000000000002</v>
      </c>
      <c r="BU421" s="6">
        <f t="shared" si="163"/>
        <v>22.532499999999999</v>
      </c>
      <c r="BV421" s="18">
        <f t="shared" si="157"/>
        <v>9.0130000000000002E-2</v>
      </c>
      <c r="BW421" s="18">
        <f t="shared" si="158"/>
        <v>0.19287820000000003</v>
      </c>
    </row>
    <row r="422" spans="1:75" x14ac:dyDescent="0.25">
      <c r="A422" s="18" t="s">
        <v>6</v>
      </c>
      <c r="B422" s="18">
        <v>2024</v>
      </c>
      <c r="C422" s="18" t="s">
        <v>138</v>
      </c>
      <c r="D422" s="18" t="s">
        <v>134</v>
      </c>
      <c r="E422" s="18">
        <v>40</v>
      </c>
      <c r="F422" s="18" t="s">
        <v>153</v>
      </c>
      <c r="G422" s="18" t="s">
        <v>170</v>
      </c>
      <c r="H422" s="31">
        <f t="shared" si="181"/>
        <v>3.5</v>
      </c>
      <c r="I422" s="31">
        <v>4</v>
      </c>
      <c r="J422" s="4">
        <f t="shared" si="164"/>
        <v>0.5</v>
      </c>
      <c r="K422" s="5">
        <v>0.34</v>
      </c>
      <c r="L422" s="31">
        <f t="shared" si="165"/>
        <v>0.17</v>
      </c>
      <c r="M422" s="31">
        <v>2.14</v>
      </c>
      <c r="N422" s="31">
        <v>31.3</v>
      </c>
      <c r="O422" s="18">
        <f t="shared" si="182"/>
        <v>0.17</v>
      </c>
      <c r="P422" s="18">
        <v>8.5</v>
      </c>
      <c r="Q422" s="18">
        <v>20</v>
      </c>
      <c r="R422" s="18">
        <v>0.16</v>
      </c>
      <c r="S422" s="18">
        <v>0</v>
      </c>
      <c r="T422" s="65">
        <f t="shared" si="176"/>
        <v>0</v>
      </c>
      <c r="U422" s="18">
        <v>10</v>
      </c>
      <c r="V422" s="18"/>
      <c r="W422" s="18">
        <f t="shared" si="179"/>
        <v>10</v>
      </c>
      <c r="X422" s="18">
        <f t="shared" si="180"/>
        <v>16</v>
      </c>
      <c r="Y422" s="31">
        <f t="shared" si="159"/>
        <v>1.6E-2</v>
      </c>
      <c r="Z422" s="18">
        <v>0</v>
      </c>
      <c r="AA422" s="18" t="s">
        <v>96</v>
      </c>
      <c r="AB422" s="18" t="s">
        <v>333</v>
      </c>
      <c r="AC422" s="18" t="s">
        <v>337</v>
      </c>
      <c r="AD422" s="18">
        <v>20</v>
      </c>
      <c r="AE422" s="18">
        <v>8.5</v>
      </c>
      <c r="AF422" s="18" t="s">
        <v>29</v>
      </c>
      <c r="AG422" s="18"/>
      <c r="AH422" s="18"/>
      <c r="AI422" s="18" t="s">
        <v>69</v>
      </c>
      <c r="AJ422" s="18" t="s">
        <v>81</v>
      </c>
      <c r="AK422" s="18" t="s">
        <v>100</v>
      </c>
      <c r="AL422" s="18" t="s">
        <v>107</v>
      </c>
      <c r="AM422" s="18" t="s">
        <v>120</v>
      </c>
      <c r="AN422" s="18" t="s">
        <v>247</v>
      </c>
      <c r="AO422" s="18"/>
      <c r="AP422" s="18"/>
      <c r="AQ422" s="18">
        <f>+VLOOKUP(AI422,Leyenda!$B$30:$E$34,3,FALSE)</f>
        <v>0</v>
      </c>
      <c r="AR422" s="18">
        <f>+VLOOKUP('3. Blasting'!AJ422,Meteorizacion,3,FALSE)</f>
        <v>0</v>
      </c>
      <c r="AS422" s="18">
        <f>+VLOOKUP('3. Blasting'!AK422,Apertura,3,FALSE)</f>
        <v>0</v>
      </c>
      <c r="AT422" s="18">
        <f>+VLOOKUP('3. Blasting'!AL422,Leyenda!$B$55:$D$59,3,FALSE)</f>
        <v>3</v>
      </c>
      <c r="AU422" s="18">
        <f>+VLOOKUP('3. Blasting'!AM422,Relleno,3,FALSE)</f>
        <v>2</v>
      </c>
      <c r="AV422" s="18">
        <f t="shared" si="177"/>
        <v>5</v>
      </c>
      <c r="AW422" s="49">
        <f t="shared" si="166"/>
        <v>0</v>
      </c>
      <c r="AX422" s="49">
        <f>VLOOKUP(AF422,Leyenda!$B$4:$D$10,3,FALSE)</f>
        <v>2</v>
      </c>
      <c r="AY422" s="49">
        <f t="shared" si="160"/>
        <v>3</v>
      </c>
      <c r="AZ422" s="49">
        <f t="shared" si="167"/>
        <v>5</v>
      </c>
      <c r="BA422" s="49">
        <f>VLOOKUP(AN422,Leyenda!$B$70:$D$75,3,FALSE)</f>
        <v>10</v>
      </c>
      <c r="BB422" s="67">
        <f t="shared" si="168"/>
        <v>7.5</v>
      </c>
      <c r="BC422" s="67">
        <f>VLOOKUP(AF422,Leyenda!$B$4:$E$10,4,FALSE)</f>
        <v>2</v>
      </c>
      <c r="BD422" s="67">
        <f t="shared" si="169"/>
        <v>5</v>
      </c>
      <c r="BE422" s="67">
        <f t="shared" si="170"/>
        <v>0</v>
      </c>
      <c r="BF422" s="67">
        <f>+VLOOKUP('3. Blasting'!AK422,Leyenda!$B$47:$E$51,4,FALSE)</f>
        <v>0</v>
      </c>
      <c r="BG422" s="67">
        <f>+VLOOKUP('3. Blasting'!AL422,Leyenda!$B$55:$E$59,4,FALSE)</f>
        <v>3</v>
      </c>
      <c r="BH422" s="67">
        <f>+VLOOKUP('3. Blasting'!AM422,Leyenda!$B$63:$E$67,3,FALSE)</f>
        <v>2</v>
      </c>
      <c r="BI422" s="67">
        <f>+VLOOKUP('3. Blasting'!AJ422,Leyenda!$B$39:$E$43,4,FALSE)</f>
        <v>0</v>
      </c>
      <c r="BJ422" s="67">
        <f>+VLOOKUP('3. Blasting'!AI422,Leyenda!$B$30:$E$34,4,FALSE)</f>
        <v>0</v>
      </c>
      <c r="BK422" s="67">
        <f>VLOOKUP(AN422,Leyenda!$B$71:$E$75,4,FALSE)</f>
        <v>7</v>
      </c>
      <c r="BL422" s="125">
        <f t="shared" si="171"/>
        <v>19</v>
      </c>
      <c r="BM422" s="85">
        <f t="shared" si="172"/>
        <v>20</v>
      </c>
      <c r="BN422" s="18" t="e">
        <f t="shared" si="178"/>
        <v>#N/A</v>
      </c>
      <c r="BO422" s="18"/>
      <c r="BP422" s="6">
        <f t="shared" si="174"/>
        <v>10</v>
      </c>
      <c r="BQ422" s="6">
        <f t="shared" si="175"/>
        <v>10</v>
      </c>
      <c r="BR422" s="6">
        <v>20</v>
      </c>
      <c r="BS422" s="6">
        <f t="shared" si="161"/>
        <v>3.5</v>
      </c>
      <c r="BT422" s="6">
        <f t="shared" si="162"/>
        <v>1.5650000000000002</v>
      </c>
      <c r="BU422" s="6">
        <f t="shared" si="163"/>
        <v>22.532499999999999</v>
      </c>
      <c r="BV422" s="18">
        <f t="shared" si="157"/>
        <v>9.0130000000000002E-2</v>
      </c>
      <c r="BW422" s="18">
        <f t="shared" si="158"/>
        <v>0.19287820000000003</v>
      </c>
    </row>
    <row r="423" spans="1:75" x14ac:dyDescent="0.25">
      <c r="A423" s="18" t="s">
        <v>6</v>
      </c>
      <c r="B423" s="18">
        <v>2024</v>
      </c>
      <c r="C423" s="18" t="s">
        <v>138</v>
      </c>
      <c r="D423" s="18" t="s">
        <v>134</v>
      </c>
      <c r="E423" s="18">
        <v>40</v>
      </c>
      <c r="F423" s="18" t="s">
        <v>153</v>
      </c>
      <c r="G423" s="18" t="s">
        <v>170</v>
      </c>
      <c r="H423" s="31">
        <f t="shared" si="181"/>
        <v>4</v>
      </c>
      <c r="I423" s="31">
        <v>4.5</v>
      </c>
      <c r="J423" s="4">
        <f t="shared" si="164"/>
        <v>0.5</v>
      </c>
      <c r="K423" s="5">
        <v>0.48</v>
      </c>
      <c r="L423" s="31">
        <f t="shared" si="165"/>
        <v>0.24</v>
      </c>
      <c r="M423" s="31">
        <v>2.14</v>
      </c>
      <c r="N423" s="31">
        <v>31.3</v>
      </c>
      <c r="O423" s="18">
        <f t="shared" si="182"/>
        <v>0.24</v>
      </c>
      <c r="P423" s="18">
        <v>24</v>
      </c>
      <c r="Q423" s="18">
        <v>10</v>
      </c>
      <c r="R423" s="18">
        <v>0.18</v>
      </c>
      <c r="S423" s="18">
        <v>0</v>
      </c>
      <c r="T423" s="65">
        <f t="shared" si="176"/>
        <v>0</v>
      </c>
      <c r="U423" s="18">
        <v>3</v>
      </c>
      <c r="V423" s="18"/>
      <c r="W423" s="18">
        <f t="shared" si="179"/>
        <v>3</v>
      </c>
      <c r="X423" s="18">
        <f t="shared" si="180"/>
        <v>60</v>
      </c>
      <c r="Y423" s="31">
        <f t="shared" si="159"/>
        <v>0.06</v>
      </c>
      <c r="Z423" s="18">
        <v>0</v>
      </c>
      <c r="AA423" s="18" t="s">
        <v>96</v>
      </c>
      <c r="AB423" s="18" t="s">
        <v>120</v>
      </c>
      <c r="AC423" s="18" t="s">
        <v>334</v>
      </c>
      <c r="AD423" s="18">
        <v>10</v>
      </c>
      <c r="AE423" s="18">
        <v>24</v>
      </c>
      <c r="AF423" s="18" t="s">
        <v>27</v>
      </c>
      <c r="AG423" s="18"/>
      <c r="AH423" s="18"/>
      <c r="AI423" s="18" t="s">
        <v>69</v>
      </c>
      <c r="AJ423" s="18" t="s">
        <v>81</v>
      </c>
      <c r="AK423" s="18" t="s">
        <v>100</v>
      </c>
      <c r="AL423" s="18" t="s">
        <v>107</v>
      </c>
      <c r="AM423" s="18" t="s">
        <v>120</v>
      </c>
      <c r="AN423" s="18" t="s">
        <v>247</v>
      </c>
      <c r="AO423" s="18"/>
      <c r="AP423" s="18"/>
      <c r="AQ423" s="18">
        <f>+VLOOKUP(AI423,Leyenda!$B$30:$E$34,3,FALSE)</f>
        <v>0</v>
      </c>
      <c r="AR423" s="18">
        <f>+VLOOKUP('3. Blasting'!AJ423,Meteorizacion,3,FALSE)</f>
        <v>0</v>
      </c>
      <c r="AS423" s="18">
        <f>+VLOOKUP('3. Blasting'!AK423,Apertura,3,FALSE)</f>
        <v>0</v>
      </c>
      <c r="AT423" s="18">
        <f>+VLOOKUP('3. Blasting'!AL423,Leyenda!$B$55:$D$59,3,FALSE)</f>
        <v>3</v>
      </c>
      <c r="AU423" s="18">
        <f>+VLOOKUP('3. Blasting'!AM423,Relleno,3,FALSE)</f>
        <v>2</v>
      </c>
      <c r="AV423" s="18">
        <f t="shared" si="177"/>
        <v>5</v>
      </c>
      <c r="AW423" s="49">
        <f t="shared" si="166"/>
        <v>0</v>
      </c>
      <c r="AX423" s="49">
        <f>VLOOKUP(AF423,Leyenda!$B$4:$D$10,3,FALSE)</f>
        <v>4</v>
      </c>
      <c r="AY423" s="49">
        <f t="shared" si="160"/>
        <v>4</v>
      </c>
      <c r="AZ423" s="49">
        <f t="shared" si="167"/>
        <v>5</v>
      </c>
      <c r="BA423" s="49">
        <f>VLOOKUP(AN423,Leyenda!$B$70:$D$75,3,FALSE)</f>
        <v>10</v>
      </c>
      <c r="BB423" s="67">
        <f t="shared" si="168"/>
        <v>7.5</v>
      </c>
      <c r="BC423" s="67">
        <f>VLOOKUP(AF423,Leyenda!$B$4:$E$10,4,FALSE)</f>
        <v>4</v>
      </c>
      <c r="BD423" s="67">
        <f t="shared" si="169"/>
        <v>5</v>
      </c>
      <c r="BE423" s="67">
        <f t="shared" si="170"/>
        <v>0</v>
      </c>
      <c r="BF423" s="67">
        <f>+VLOOKUP('3. Blasting'!AK423,Leyenda!$B$47:$E$51,4,FALSE)</f>
        <v>0</v>
      </c>
      <c r="BG423" s="67">
        <f>+VLOOKUP('3. Blasting'!AL423,Leyenda!$B$55:$E$59,4,FALSE)</f>
        <v>3</v>
      </c>
      <c r="BH423" s="67">
        <f>+VLOOKUP('3. Blasting'!AM423,Leyenda!$B$63:$E$67,3,FALSE)</f>
        <v>2</v>
      </c>
      <c r="BI423" s="67">
        <f>+VLOOKUP('3. Blasting'!AJ423,Leyenda!$B$39:$E$43,4,FALSE)</f>
        <v>0</v>
      </c>
      <c r="BJ423" s="67">
        <f>+VLOOKUP('3. Blasting'!AI423,Leyenda!$B$30:$E$34,4,FALSE)</f>
        <v>0</v>
      </c>
      <c r="BK423" s="67">
        <f>VLOOKUP(AN423,Leyenda!$B$71:$E$75,4,FALSE)</f>
        <v>7</v>
      </c>
      <c r="BL423" s="125">
        <f t="shared" si="171"/>
        <v>21</v>
      </c>
      <c r="BM423" s="85">
        <f t="shared" si="172"/>
        <v>23</v>
      </c>
      <c r="BN423" s="18" t="e">
        <f t="shared" si="178"/>
        <v>#N/A</v>
      </c>
      <c r="BO423" s="18"/>
      <c r="BP423" s="6">
        <f t="shared" si="174"/>
        <v>10</v>
      </c>
      <c r="BQ423" s="6">
        <f t="shared" si="175"/>
        <v>10</v>
      </c>
      <c r="BR423" s="6">
        <v>20</v>
      </c>
      <c r="BS423" s="6">
        <f t="shared" si="161"/>
        <v>3.5</v>
      </c>
      <c r="BT423" s="6">
        <f t="shared" si="162"/>
        <v>1.5650000000000002</v>
      </c>
      <c r="BU423" s="6">
        <f t="shared" si="163"/>
        <v>22.532499999999999</v>
      </c>
      <c r="BV423" s="18">
        <f t="shared" si="157"/>
        <v>9.0130000000000002E-2</v>
      </c>
      <c r="BW423" s="18">
        <f t="shared" si="158"/>
        <v>0.19287820000000003</v>
      </c>
    </row>
    <row r="424" spans="1:75" hidden="1" x14ac:dyDescent="0.25">
      <c r="A424" s="35" t="s">
        <v>6</v>
      </c>
      <c r="B424" s="35">
        <v>2024</v>
      </c>
      <c r="C424" s="35" t="s">
        <v>138</v>
      </c>
      <c r="D424" s="35" t="s">
        <v>134</v>
      </c>
      <c r="E424" s="35">
        <v>50</v>
      </c>
      <c r="F424" s="35" t="s">
        <v>154</v>
      </c>
      <c r="G424" s="35" t="s">
        <v>170</v>
      </c>
      <c r="H424" s="114">
        <f t="shared" si="181"/>
        <v>4.5</v>
      </c>
      <c r="I424" s="114">
        <v>5</v>
      </c>
      <c r="J424" s="115">
        <f t="shared" si="164"/>
        <v>0.5</v>
      </c>
      <c r="K424" s="116">
        <v>0.78</v>
      </c>
      <c r="L424" s="114">
        <f t="shared" si="165"/>
        <v>0.39</v>
      </c>
      <c r="M424" s="114"/>
      <c r="N424" s="114"/>
      <c r="O424" s="35">
        <f t="shared" si="182"/>
        <v>0.39</v>
      </c>
      <c r="P424" s="35">
        <v>390</v>
      </c>
      <c r="Q424" s="35">
        <v>1</v>
      </c>
      <c r="R424" s="35">
        <v>0.32</v>
      </c>
      <c r="S424" s="35">
        <v>0.32</v>
      </c>
      <c r="T424" s="122">
        <f t="shared" si="176"/>
        <v>64</v>
      </c>
      <c r="U424" s="35">
        <v>4</v>
      </c>
      <c r="V424" s="35"/>
      <c r="W424" s="35">
        <f t="shared" si="179"/>
        <v>4</v>
      </c>
      <c r="X424" s="35">
        <f t="shared" si="180"/>
        <v>80</v>
      </c>
      <c r="Y424" s="114">
        <f t="shared" si="159"/>
        <v>0.08</v>
      </c>
      <c r="Z424" s="35">
        <v>0</v>
      </c>
      <c r="AA424" s="35" t="s">
        <v>96</v>
      </c>
      <c r="AB424" s="35" t="s">
        <v>116</v>
      </c>
      <c r="AC424" s="35" t="s">
        <v>337</v>
      </c>
      <c r="AD424" s="35">
        <v>1</v>
      </c>
      <c r="AE424" s="35">
        <v>390</v>
      </c>
      <c r="AF424" s="35" t="s">
        <v>29</v>
      </c>
      <c r="AG424" s="35"/>
      <c r="AH424" s="35"/>
      <c r="AI424" s="35" t="s">
        <v>69</v>
      </c>
      <c r="AJ424" s="35" t="s">
        <v>81</v>
      </c>
      <c r="AK424" s="35" t="s">
        <v>100</v>
      </c>
      <c r="AL424" s="35" t="s">
        <v>109</v>
      </c>
      <c r="AM424" s="35" t="s">
        <v>122</v>
      </c>
      <c r="AN424" s="35" t="s">
        <v>198</v>
      </c>
      <c r="AO424" s="35"/>
      <c r="AP424" s="35"/>
      <c r="AQ424" s="35">
        <f>+VLOOKUP(AI424,Leyenda!$B$30:$E$34,3,FALSE)</f>
        <v>0</v>
      </c>
      <c r="AR424" s="35">
        <f>+VLOOKUP('3. Blasting'!AJ424,Meteorizacion,3,FALSE)</f>
        <v>0</v>
      </c>
      <c r="AS424" s="35">
        <f>+VLOOKUP('3. Blasting'!AK424,Apertura,3,FALSE)</f>
        <v>0</v>
      </c>
      <c r="AT424" s="35">
        <f>+VLOOKUP('3. Blasting'!AL424,Leyenda!$B$55:$D$59,3,FALSE)</f>
        <v>1</v>
      </c>
      <c r="AU424" s="35">
        <f>+VLOOKUP('3. Blasting'!AM424,Relleno,3,FALSE)</f>
        <v>0</v>
      </c>
      <c r="AV424" s="35">
        <f t="shared" si="177"/>
        <v>1</v>
      </c>
      <c r="AW424" s="118">
        <f t="shared" si="166"/>
        <v>0</v>
      </c>
      <c r="AX424" s="118">
        <f>VLOOKUP(AF424,Leyenda!$B$4:$D$10,3,FALSE)</f>
        <v>2</v>
      </c>
      <c r="AY424" s="119">
        <f t="shared" si="160"/>
        <v>11</v>
      </c>
      <c r="AZ424" s="118">
        <f t="shared" si="167"/>
        <v>1</v>
      </c>
      <c r="BA424" s="118">
        <f>VLOOKUP(AN424,Leyenda!$B$70:$D$75,3,FALSE)</f>
        <v>15</v>
      </c>
      <c r="BB424" s="120">
        <f t="shared" si="168"/>
        <v>33.5</v>
      </c>
      <c r="BC424" s="120">
        <f>VLOOKUP(AF424,Leyenda!$B$4:$E$10,4,FALSE)</f>
        <v>2</v>
      </c>
      <c r="BD424" s="120">
        <f t="shared" si="169"/>
        <v>7</v>
      </c>
      <c r="BE424" s="120">
        <f t="shared" si="170"/>
        <v>13</v>
      </c>
      <c r="BF424" s="120">
        <f>+VLOOKUP('3. Blasting'!AK424,Leyenda!$B$47:$E$51,4,FALSE)</f>
        <v>0</v>
      </c>
      <c r="BG424" s="120">
        <f>+VLOOKUP('3. Blasting'!AL424,Leyenda!$B$55:$E$59,4,FALSE)</f>
        <v>1</v>
      </c>
      <c r="BH424" s="120">
        <f>+VLOOKUP('3. Blasting'!AM424,Leyenda!$B$63:$E$67,3,FALSE)</f>
        <v>0</v>
      </c>
      <c r="BI424" s="120">
        <f>+VLOOKUP('3. Blasting'!AJ424,Leyenda!$B$39:$E$43,4,FALSE)</f>
        <v>0</v>
      </c>
      <c r="BJ424" s="120">
        <f>+VLOOKUP('3. Blasting'!AI424,Leyenda!$B$30:$E$34,4,FALSE)</f>
        <v>0</v>
      </c>
      <c r="BK424" s="120">
        <f>VLOOKUP(AN424,Leyenda!$B$71:$E$75,4,FALSE)</f>
        <v>10</v>
      </c>
      <c r="BL424" s="120">
        <f t="shared" si="171"/>
        <v>33</v>
      </c>
      <c r="BM424" s="35">
        <f t="shared" si="172"/>
        <v>29</v>
      </c>
      <c r="BN424" s="35"/>
      <c r="BO424" s="35"/>
      <c r="BS424">
        <f t="shared" si="161"/>
        <v>-50</v>
      </c>
      <c r="BT424">
        <f t="shared" si="162"/>
        <v>0</v>
      </c>
      <c r="BU424">
        <f t="shared" si="163"/>
        <v>-25</v>
      </c>
      <c r="BV424" s="1">
        <f t="shared" si="157"/>
        <v>-0.1</v>
      </c>
      <c r="BW424" s="1">
        <f t="shared" si="158"/>
        <v>0</v>
      </c>
    </row>
    <row r="425" spans="1:75" hidden="1" x14ac:dyDescent="0.25">
      <c r="A425" s="18" t="s">
        <v>6</v>
      </c>
      <c r="B425" s="18">
        <v>2024</v>
      </c>
      <c r="C425" s="18" t="s">
        <v>138</v>
      </c>
      <c r="D425" s="18" t="s">
        <v>134</v>
      </c>
      <c r="E425" s="18">
        <v>50</v>
      </c>
      <c r="F425" s="18" t="s">
        <v>154</v>
      </c>
      <c r="G425" s="18" t="s">
        <v>170</v>
      </c>
      <c r="H425" s="31">
        <f t="shared" si="181"/>
        <v>5</v>
      </c>
      <c r="I425" s="31">
        <v>5.5</v>
      </c>
      <c r="J425" s="4">
        <f t="shared" si="164"/>
        <v>0.5</v>
      </c>
      <c r="K425" s="5">
        <v>0.5</v>
      </c>
      <c r="L425" s="31">
        <f t="shared" si="165"/>
        <v>0.25</v>
      </c>
      <c r="M425" s="31"/>
      <c r="N425" s="31"/>
      <c r="O425" s="18">
        <f t="shared" si="182"/>
        <v>0.25</v>
      </c>
      <c r="P425" s="18">
        <v>250</v>
      </c>
      <c r="Q425" s="18">
        <v>1</v>
      </c>
      <c r="R425" s="18">
        <v>0.17</v>
      </c>
      <c r="S425" s="18">
        <v>0.17</v>
      </c>
      <c r="T425" s="65">
        <f t="shared" si="176"/>
        <v>34</v>
      </c>
      <c r="U425" s="18">
        <v>2</v>
      </c>
      <c r="V425" s="18"/>
      <c r="W425" s="18">
        <f t="shared" si="179"/>
        <v>2</v>
      </c>
      <c r="X425" s="18">
        <f t="shared" si="180"/>
        <v>85</v>
      </c>
      <c r="Y425" s="31">
        <f t="shared" si="159"/>
        <v>8.5000000000000006E-2</v>
      </c>
      <c r="Z425" s="18">
        <v>0</v>
      </c>
      <c r="AA425" s="18" t="s">
        <v>96</v>
      </c>
      <c r="AB425" s="18" t="s">
        <v>116</v>
      </c>
      <c r="AC425" s="18" t="s">
        <v>334</v>
      </c>
      <c r="AD425" s="18">
        <v>1</v>
      </c>
      <c r="AE425" s="18">
        <v>250</v>
      </c>
      <c r="AF425" s="18" t="s">
        <v>27</v>
      </c>
      <c r="AG425" s="18"/>
      <c r="AH425" s="18"/>
      <c r="AI425" s="18" t="s">
        <v>69</v>
      </c>
      <c r="AJ425" s="18" t="s">
        <v>81</v>
      </c>
      <c r="AK425" s="18" t="s">
        <v>100</v>
      </c>
      <c r="AL425" s="18" t="s">
        <v>109</v>
      </c>
      <c r="AM425" s="18" t="s">
        <v>122</v>
      </c>
      <c r="AN425" s="18" t="s">
        <v>198</v>
      </c>
      <c r="AO425" s="18"/>
      <c r="AP425" s="18"/>
      <c r="AQ425" s="18">
        <f>+VLOOKUP(AI425,Leyenda!$B$30:$E$34,3,FALSE)</f>
        <v>0</v>
      </c>
      <c r="AR425" s="18">
        <f>+VLOOKUP('3. Blasting'!AJ425,Meteorizacion,3,FALSE)</f>
        <v>0</v>
      </c>
      <c r="AS425" s="18">
        <f>+VLOOKUP('3. Blasting'!AK425,Apertura,3,FALSE)</f>
        <v>0</v>
      </c>
      <c r="AT425" s="18">
        <f>+VLOOKUP('3. Blasting'!AL425,Leyenda!$B$55:$D$59,3,FALSE)</f>
        <v>1</v>
      </c>
      <c r="AU425" s="18">
        <f>+VLOOKUP('3. Blasting'!AM425,Relleno,3,FALSE)</f>
        <v>0</v>
      </c>
      <c r="AV425" s="18">
        <f t="shared" si="177"/>
        <v>1</v>
      </c>
      <c r="AW425" s="49">
        <f t="shared" si="166"/>
        <v>0</v>
      </c>
      <c r="AX425" s="49">
        <f>VLOOKUP(AF425,Leyenda!$B$4:$D$10,3,FALSE)</f>
        <v>4</v>
      </c>
      <c r="AY425" s="50">
        <f t="shared" si="160"/>
        <v>10</v>
      </c>
      <c r="AZ425" s="49">
        <f t="shared" si="167"/>
        <v>1</v>
      </c>
      <c r="BA425" s="49">
        <f>VLOOKUP(AN425,Leyenda!$B$70:$D$75,3,FALSE)</f>
        <v>15</v>
      </c>
      <c r="BB425" s="67">
        <f t="shared" si="168"/>
        <v>18.5</v>
      </c>
      <c r="BC425" s="67">
        <f>VLOOKUP(AF425,Leyenda!$B$4:$E$10,4,FALSE)</f>
        <v>4</v>
      </c>
      <c r="BD425" s="67">
        <f t="shared" si="169"/>
        <v>7</v>
      </c>
      <c r="BE425" s="67">
        <f t="shared" si="170"/>
        <v>7</v>
      </c>
      <c r="BF425" s="67">
        <f>+VLOOKUP('3. Blasting'!AK425,Leyenda!$B$47:$E$51,4,FALSE)</f>
        <v>0</v>
      </c>
      <c r="BG425" s="67">
        <f>+VLOOKUP('3. Blasting'!AL425,Leyenda!$B$55:$E$59,4,FALSE)</f>
        <v>1</v>
      </c>
      <c r="BH425" s="67">
        <f>+VLOOKUP('3. Blasting'!AM425,Leyenda!$B$63:$E$67,3,FALSE)</f>
        <v>0</v>
      </c>
      <c r="BI425" s="67">
        <f>+VLOOKUP('3. Blasting'!AJ425,Leyenda!$B$39:$E$43,4,FALSE)</f>
        <v>0</v>
      </c>
      <c r="BJ425" s="67">
        <f>+VLOOKUP('3. Blasting'!AI425,Leyenda!$B$30:$E$34,4,FALSE)</f>
        <v>0</v>
      </c>
      <c r="BK425" s="67">
        <f>VLOOKUP(AN425,Leyenda!$B$71:$E$75,4,FALSE)</f>
        <v>10</v>
      </c>
      <c r="BL425" s="67">
        <f t="shared" si="171"/>
        <v>29</v>
      </c>
      <c r="BM425" s="18">
        <f t="shared" si="172"/>
        <v>30</v>
      </c>
      <c r="BN425" s="18"/>
      <c r="BO425" s="18"/>
      <c r="BS425">
        <f t="shared" si="161"/>
        <v>-50</v>
      </c>
      <c r="BT425">
        <f t="shared" si="162"/>
        <v>0</v>
      </c>
      <c r="BU425">
        <f t="shared" si="163"/>
        <v>-25</v>
      </c>
      <c r="BV425" s="1">
        <f t="shared" si="157"/>
        <v>-0.1</v>
      </c>
      <c r="BW425" s="1">
        <f t="shared" si="158"/>
        <v>0</v>
      </c>
    </row>
    <row r="426" spans="1:75" hidden="1" x14ac:dyDescent="0.25">
      <c r="A426" s="18" t="s">
        <v>6</v>
      </c>
      <c r="B426" s="18">
        <v>2024</v>
      </c>
      <c r="C426" s="18" t="s">
        <v>138</v>
      </c>
      <c r="D426" s="18" t="s">
        <v>134</v>
      </c>
      <c r="E426" s="18">
        <v>50</v>
      </c>
      <c r="F426" s="18" t="s">
        <v>154</v>
      </c>
      <c r="G426" s="18" t="s">
        <v>170</v>
      </c>
      <c r="H426" s="31">
        <f t="shared" si="181"/>
        <v>5.5</v>
      </c>
      <c r="I426" s="31">
        <v>6</v>
      </c>
      <c r="J426" s="4">
        <f t="shared" si="164"/>
        <v>0.5</v>
      </c>
      <c r="K426" s="5">
        <v>0.56000000000000005</v>
      </c>
      <c r="L426" s="31">
        <f t="shared" si="165"/>
        <v>0.28000000000000003</v>
      </c>
      <c r="M426" s="31"/>
      <c r="N426" s="31"/>
      <c r="O426" s="18">
        <f t="shared" si="182"/>
        <v>0.28000000000000003</v>
      </c>
      <c r="P426" s="18">
        <v>14</v>
      </c>
      <c r="Q426" s="18">
        <v>20</v>
      </c>
      <c r="R426" s="18">
        <v>0.21</v>
      </c>
      <c r="S426" s="18">
        <v>0</v>
      </c>
      <c r="T426" s="65">
        <f t="shared" si="176"/>
        <v>0</v>
      </c>
      <c r="U426" s="18">
        <v>5</v>
      </c>
      <c r="V426" s="18"/>
      <c r="W426" s="18">
        <f t="shared" si="179"/>
        <v>5</v>
      </c>
      <c r="X426" s="18">
        <f t="shared" si="180"/>
        <v>42</v>
      </c>
      <c r="Y426" s="31">
        <f t="shared" si="159"/>
        <v>4.2000000000000003E-2</v>
      </c>
      <c r="Z426" s="18">
        <v>0</v>
      </c>
      <c r="AA426" s="18" t="s">
        <v>96</v>
      </c>
      <c r="AB426" s="18" t="s">
        <v>333</v>
      </c>
      <c r="AC426" s="18" t="s">
        <v>337</v>
      </c>
      <c r="AD426" s="18">
        <v>20</v>
      </c>
      <c r="AE426" s="18">
        <v>14</v>
      </c>
      <c r="AF426" s="18" t="s">
        <v>29</v>
      </c>
      <c r="AG426" s="18"/>
      <c r="AH426" s="18"/>
      <c r="AI426" s="18" t="s">
        <v>69</v>
      </c>
      <c r="AJ426" s="18" t="s">
        <v>81</v>
      </c>
      <c r="AK426" s="18" t="s">
        <v>100</v>
      </c>
      <c r="AL426" s="18" t="s">
        <v>109</v>
      </c>
      <c r="AM426" s="18" t="s">
        <v>122</v>
      </c>
      <c r="AN426" s="18" t="s">
        <v>198</v>
      </c>
      <c r="AO426" s="18"/>
      <c r="AP426" s="18"/>
      <c r="AQ426" s="18">
        <f>+VLOOKUP(AI426,Leyenda!$B$30:$E$34,3,FALSE)</f>
        <v>0</v>
      </c>
      <c r="AR426" s="18">
        <f>+VLOOKUP('3. Blasting'!AJ426,Meteorizacion,3,FALSE)</f>
        <v>0</v>
      </c>
      <c r="AS426" s="18">
        <f>+VLOOKUP('3. Blasting'!AK426,Apertura,3,FALSE)</f>
        <v>0</v>
      </c>
      <c r="AT426" s="18">
        <f>+VLOOKUP('3. Blasting'!AL426,Leyenda!$B$55:$D$59,3,FALSE)</f>
        <v>1</v>
      </c>
      <c r="AU426" s="18">
        <f>+VLOOKUP('3. Blasting'!AM426,Relleno,3,FALSE)</f>
        <v>0</v>
      </c>
      <c r="AV426" s="18">
        <f t="shared" si="177"/>
        <v>1</v>
      </c>
      <c r="AW426" s="49">
        <f t="shared" si="166"/>
        <v>0</v>
      </c>
      <c r="AX426" s="49">
        <f>VLOOKUP(AF426,Leyenda!$B$4:$D$10,3,FALSE)</f>
        <v>2</v>
      </c>
      <c r="AY426" s="50">
        <f t="shared" si="160"/>
        <v>4</v>
      </c>
      <c r="AZ426" s="49">
        <f t="shared" si="167"/>
        <v>1</v>
      </c>
      <c r="BA426" s="49">
        <f>VLOOKUP(AN426,Leyenda!$B$70:$D$75,3,FALSE)</f>
        <v>15</v>
      </c>
      <c r="BB426" s="67">
        <f t="shared" si="168"/>
        <v>1.5</v>
      </c>
      <c r="BC426" s="67">
        <f>VLOOKUP(AF426,Leyenda!$B$4:$E$10,4,FALSE)</f>
        <v>2</v>
      </c>
      <c r="BD426" s="67">
        <f t="shared" si="169"/>
        <v>5</v>
      </c>
      <c r="BE426" s="67">
        <f t="shared" si="170"/>
        <v>0</v>
      </c>
      <c r="BF426" s="67">
        <f>+VLOOKUP('3. Blasting'!AK426,Leyenda!$B$47:$E$51,4,FALSE)</f>
        <v>0</v>
      </c>
      <c r="BG426" s="67">
        <f>+VLOOKUP('3. Blasting'!AL426,Leyenda!$B$55:$E$59,4,FALSE)</f>
        <v>1</v>
      </c>
      <c r="BH426" s="67">
        <f>+VLOOKUP('3. Blasting'!AM426,Leyenda!$B$63:$E$67,3,FALSE)</f>
        <v>0</v>
      </c>
      <c r="BI426" s="67">
        <f>+VLOOKUP('3. Blasting'!AJ426,Leyenda!$B$39:$E$43,4,FALSE)</f>
        <v>0</v>
      </c>
      <c r="BJ426" s="67">
        <f>+VLOOKUP('3. Blasting'!AI426,Leyenda!$B$30:$E$34,4,FALSE)</f>
        <v>0</v>
      </c>
      <c r="BK426" s="67">
        <f>VLOOKUP(AN426,Leyenda!$B$71:$E$75,4,FALSE)</f>
        <v>10</v>
      </c>
      <c r="BL426" s="67">
        <f t="shared" si="171"/>
        <v>18</v>
      </c>
      <c r="BM426" s="18">
        <f t="shared" si="172"/>
        <v>22</v>
      </c>
      <c r="BN426" s="18"/>
      <c r="BO426" s="18"/>
      <c r="BS426">
        <f t="shared" si="161"/>
        <v>-50</v>
      </c>
      <c r="BT426">
        <f t="shared" si="162"/>
        <v>0</v>
      </c>
      <c r="BU426">
        <f t="shared" si="163"/>
        <v>-25</v>
      </c>
      <c r="BV426" s="1">
        <f t="shared" si="157"/>
        <v>-0.1</v>
      </c>
      <c r="BW426" s="1">
        <f t="shared" si="158"/>
        <v>0</v>
      </c>
    </row>
    <row r="427" spans="1:75" hidden="1" x14ac:dyDescent="0.25">
      <c r="A427" s="18" t="s">
        <v>6</v>
      </c>
      <c r="B427" s="18">
        <v>2024</v>
      </c>
      <c r="C427" s="18" t="s">
        <v>138</v>
      </c>
      <c r="D427" s="18" t="s">
        <v>134</v>
      </c>
      <c r="E427" s="18">
        <v>50</v>
      </c>
      <c r="F427" s="18" t="s">
        <v>154</v>
      </c>
      <c r="G427" s="18" t="s">
        <v>170</v>
      </c>
      <c r="H427" s="31">
        <f t="shared" si="181"/>
        <v>6</v>
      </c>
      <c r="I427" s="31">
        <v>6.5</v>
      </c>
      <c r="J427" s="4">
        <f t="shared" si="164"/>
        <v>0.5</v>
      </c>
      <c r="K427" s="5">
        <v>0.66</v>
      </c>
      <c r="L427" s="31">
        <f t="shared" si="165"/>
        <v>0.33</v>
      </c>
      <c r="M427" s="31"/>
      <c r="N427" s="31"/>
      <c r="O427" s="18">
        <f t="shared" si="182"/>
        <v>0.33</v>
      </c>
      <c r="P427" s="18">
        <v>16.5</v>
      </c>
      <c r="Q427" s="18">
        <v>20</v>
      </c>
      <c r="R427" s="18">
        <v>0.31</v>
      </c>
      <c r="S427" s="18">
        <v>0</v>
      </c>
      <c r="T427" s="65">
        <f t="shared" si="176"/>
        <v>0</v>
      </c>
      <c r="U427" s="18">
        <v>4</v>
      </c>
      <c r="V427" s="18"/>
      <c r="W427" s="18">
        <f t="shared" si="179"/>
        <v>4</v>
      </c>
      <c r="X427" s="18">
        <f t="shared" si="180"/>
        <v>77.5</v>
      </c>
      <c r="Y427" s="31">
        <f t="shared" si="159"/>
        <v>7.7499999999999999E-2</v>
      </c>
      <c r="Z427" s="18">
        <v>0</v>
      </c>
      <c r="AA427" s="18" t="s">
        <v>96</v>
      </c>
      <c r="AB427" s="18" t="s">
        <v>333</v>
      </c>
      <c r="AC427" s="18" t="s">
        <v>337</v>
      </c>
      <c r="AD427" s="18">
        <v>20</v>
      </c>
      <c r="AE427" s="18">
        <v>16.5</v>
      </c>
      <c r="AF427" s="18" t="s">
        <v>29</v>
      </c>
      <c r="AG427" s="18"/>
      <c r="AH427" s="18"/>
      <c r="AI427" s="18" t="s">
        <v>69</v>
      </c>
      <c r="AJ427" s="18" t="s">
        <v>81</v>
      </c>
      <c r="AK427" s="18" t="s">
        <v>100</v>
      </c>
      <c r="AL427" s="18" t="s">
        <v>109</v>
      </c>
      <c r="AM427" s="18" t="s">
        <v>122</v>
      </c>
      <c r="AN427" s="18" t="s">
        <v>198</v>
      </c>
      <c r="AO427" s="18"/>
      <c r="AP427" s="18"/>
      <c r="AQ427" s="18">
        <f>+VLOOKUP(AI427,Leyenda!$B$30:$E$34,3,FALSE)</f>
        <v>0</v>
      </c>
      <c r="AR427" s="18">
        <f>+VLOOKUP('3. Blasting'!AJ427,Meteorizacion,3,FALSE)</f>
        <v>0</v>
      </c>
      <c r="AS427" s="18">
        <f>+VLOOKUP('3. Blasting'!AK427,Apertura,3,FALSE)</f>
        <v>0</v>
      </c>
      <c r="AT427" s="18">
        <f>+VLOOKUP('3. Blasting'!AL427,Leyenda!$B$55:$D$59,3,FALSE)</f>
        <v>1</v>
      </c>
      <c r="AU427" s="18">
        <f>+VLOOKUP('3. Blasting'!AM427,Relleno,3,FALSE)</f>
        <v>0</v>
      </c>
      <c r="AV427" s="18">
        <f t="shared" si="177"/>
        <v>1</v>
      </c>
      <c r="AW427" s="49">
        <f t="shared" si="166"/>
        <v>0</v>
      </c>
      <c r="AX427" s="49">
        <f>VLOOKUP(AF427,Leyenda!$B$4:$D$10,3,FALSE)</f>
        <v>2</v>
      </c>
      <c r="AY427" s="50">
        <f t="shared" si="160"/>
        <v>4</v>
      </c>
      <c r="AZ427" s="49">
        <f t="shared" si="167"/>
        <v>1</v>
      </c>
      <c r="BA427" s="49">
        <f>VLOOKUP(AN427,Leyenda!$B$70:$D$75,3,FALSE)</f>
        <v>15</v>
      </c>
      <c r="BB427" s="67">
        <f t="shared" si="168"/>
        <v>1.5</v>
      </c>
      <c r="BC427" s="67">
        <f>VLOOKUP(AF427,Leyenda!$B$4:$E$10,4,FALSE)</f>
        <v>2</v>
      </c>
      <c r="BD427" s="67">
        <f t="shared" si="169"/>
        <v>7</v>
      </c>
      <c r="BE427" s="67">
        <f t="shared" si="170"/>
        <v>0</v>
      </c>
      <c r="BF427" s="67">
        <f>+VLOOKUP('3. Blasting'!AK427,Leyenda!$B$47:$E$51,4,FALSE)</f>
        <v>0</v>
      </c>
      <c r="BG427" s="67">
        <f>+VLOOKUP('3. Blasting'!AL427,Leyenda!$B$55:$E$59,4,FALSE)</f>
        <v>1</v>
      </c>
      <c r="BH427" s="67">
        <f>+VLOOKUP('3. Blasting'!AM427,Leyenda!$B$63:$E$67,3,FALSE)</f>
        <v>0</v>
      </c>
      <c r="BI427" s="67">
        <f>+VLOOKUP('3. Blasting'!AJ427,Leyenda!$B$39:$E$43,4,FALSE)</f>
        <v>0</v>
      </c>
      <c r="BJ427" s="67">
        <f>+VLOOKUP('3. Blasting'!AI427,Leyenda!$B$30:$E$34,4,FALSE)</f>
        <v>0</v>
      </c>
      <c r="BK427" s="67">
        <f>VLOOKUP(AN427,Leyenda!$B$71:$E$75,4,FALSE)</f>
        <v>10</v>
      </c>
      <c r="BL427" s="67">
        <f t="shared" si="171"/>
        <v>20</v>
      </c>
      <c r="BM427" s="18">
        <f t="shared" si="172"/>
        <v>22</v>
      </c>
      <c r="BN427" s="18"/>
      <c r="BO427" s="18"/>
      <c r="BS427">
        <f t="shared" si="161"/>
        <v>-50</v>
      </c>
      <c r="BT427">
        <f t="shared" si="162"/>
        <v>0</v>
      </c>
      <c r="BU427">
        <f t="shared" si="163"/>
        <v>-25</v>
      </c>
      <c r="BV427" s="1">
        <f t="shared" si="157"/>
        <v>-0.1</v>
      </c>
      <c r="BW427" s="1">
        <f t="shared" si="158"/>
        <v>0</v>
      </c>
    </row>
    <row r="428" spans="1:75" hidden="1" x14ac:dyDescent="0.25">
      <c r="A428" s="18" t="s">
        <v>6</v>
      </c>
      <c r="B428" s="18">
        <v>2024</v>
      </c>
      <c r="C428" s="18" t="s">
        <v>138</v>
      </c>
      <c r="D428" s="18" t="s">
        <v>134</v>
      </c>
      <c r="E428" s="18">
        <v>50</v>
      </c>
      <c r="F428" s="18" t="s">
        <v>154</v>
      </c>
      <c r="G428" s="18" t="s">
        <v>170</v>
      </c>
      <c r="H428" s="31">
        <f t="shared" si="181"/>
        <v>6.5</v>
      </c>
      <c r="I428" s="31">
        <v>7</v>
      </c>
      <c r="J428" s="4">
        <f t="shared" si="164"/>
        <v>0.5</v>
      </c>
      <c r="K428" s="5">
        <v>0.6</v>
      </c>
      <c r="L428" s="31">
        <f t="shared" si="165"/>
        <v>0.3</v>
      </c>
      <c r="M428" s="31"/>
      <c r="N428" s="31"/>
      <c r="O428" s="18">
        <f t="shared" si="182"/>
        <v>0.3</v>
      </c>
      <c r="P428" s="18">
        <v>300</v>
      </c>
      <c r="Q428" s="18">
        <v>1</v>
      </c>
      <c r="R428" s="18">
        <v>0.24</v>
      </c>
      <c r="S428" s="18">
        <v>0.12</v>
      </c>
      <c r="T428" s="65">
        <f t="shared" si="176"/>
        <v>24</v>
      </c>
      <c r="U428" s="18">
        <v>2</v>
      </c>
      <c r="V428" s="18"/>
      <c r="W428" s="18">
        <f t="shared" si="179"/>
        <v>2</v>
      </c>
      <c r="X428" s="18">
        <f t="shared" si="180"/>
        <v>120</v>
      </c>
      <c r="Y428" s="31">
        <f t="shared" si="159"/>
        <v>0.12</v>
      </c>
      <c r="Z428" s="18">
        <v>0</v>
      </c>
      <c r="AA428" s="18" t="s">
        <v>96</v>
      </c>
      <c r="AB428" s="18" t="s">
        <v>116</v>
      </c>
      <c r="AC428" s="18" t="s">
        <v>337</v>
      </c>
      <c r="AD428" s="18">
        <v>1</v>
      </c>
      <c r="AE428" s="18">
        <v>300</v>
      </c>
      <c r="AF428" s="18" t="s">
        <v>29</v>
      </c>
      <c r="AG428" s="18"/>
      <c r="AH428" s="18"/>
      <c r="AI428" s="18" t="s">
        <v>69</v>
      </c>
      <c r="AJ428" s="18" t="s">
        <v>81</v>
      </c>
      <c r="AK428" s="18" t="s">
        <v>100</v>
      </c>
      <c r="AL428" s="18" t="s">
        <v>109</v>
      </c>
      <c r="AM428" s="18" t="s">
        <v>122</v>
      </c>
      <c r="AN428" s="18" t="s">
        <v>198</v>
      </c>
      <c r="AO428" s="18"/>
      <c r="AP428" s="18"/>
      <c r="AQ428" s="18">
        <f>+VLOOKUP(AI428,Leyenda!$B$30:$E$34,3,FALSE)</f>
        <v>0</v>
      </c>
      <c r="AR428" s="18">
        <f>+VLOOKUP('3. Blasting'!AJ428,Meteorizacion,3,FALSE)</f>
        <v>0</v>
      </c>
      <c r="AS428" s="18">
        <f>+VLOOKUP('3. Blasting'!AK428,Apertura,3,FALSE)</f>
        <v>0</v>
      </c>
      <c r="AT428" s="18">
        <f>+VLOOKUP('3. Blasting'!AL428,Leyenda!$B$55:$D$59,3,FALSE)</f>
        <v>1</v>
      </c>
      <c r="AU428" s="18">
        <f>+VLOOKUP('3. Blasting'!AM428,Relleno,3,FALSE)</f>
        <v>0</v>
      </c>
      <c r="AV428" s="18">
        <f t="shared" si="177"/>
        <v>1</v>
      </c>
      <c r="AW428" s="49">
        <f t="shared" si="166"/>
        <v>0</v>
      </c>
      <c r="AX428" s="49">
        <f>VLOOKUP(AF428,Leyenda!$B$4:$D$10,3,FALSE)</f>
        <v>2</v>
      </c>
      <c r="AY428" s="50">
        <f t="shared" si="160"/>
        <v>10</v>
      </c>
      <c r="AZ428" s="49">
        <f t="shared" si="167"/>
        <v>1</v>
      </c>
      <c r="BA428" s="49">
        <f>VLOOKUP(AN428,Leyenda!$B$70:$D$75,3,FALSE)</f>
        <v>15</v>
      </c>
      <c r="BB428" s="67">
        <f t="shared" si="168"/>
        <v>13.5</v>
      </c>
      <c r="BC428" s="67">
        <f>VLOOKUP(AF428,Leyenda!$B$4:$E$10,4,FALSE)</f>
        <v>2</v>
      </c>
      <c r="BD428" s="67">
        <f t="shared" si="169"/>
        <v>9</v>
      </c>
      <c r="BE428" s="67">
        <f t="shared" si="170"/>
        <v>5</v>
      </c>
      <c r="BF428" s="67">
        <f>+VLOOKUP('3. Blasting'!AK428,Leyenda!$B$47:$E$51,4,FALSE)</f>
        <v>0</v>
      </c>
      <c r="BG428" s="67">
        <f>+VLOOKUP('3. Blasting'!AL428,Leyenda!$B$55:$E$59,4,FALSE)</f>
        <v>1</v>
      </c>
      <c r="BH428" s="67">
        <f>+VLOOKUP('3. Blasting'!AM428,Leyenda!$B$63:$E$67,3,FALSE)</f>
        <v>0</v>
      </c>
      <c r="BI428" s="67">
        <f>+VLOOKUP('3. Blasting'!AJ428,Leyenda!$B$39:$E$43,4,FALSE)</f>
        <v>0</v>
      </c>
      <c r="BJ428" s="67">
        <f>+VLOOKUP('3. Blasting'!AI428,Leyenda!$B$30:$E$34,4,FALSE)</f>
        <v>0</v>
      </c>
      <c r="BK428" s="67">
        <f>VLOOKUP(AN428,Leyenda!$B$71:$E$75,4,FALSE)</f>
        <v>10</v>
      </c>
      <c r="BL428" s="67">
        <f t="shared" si="171"/>
        <v>27</v>
      </c>
      <c r="BM428" s="18">
        <f t="shared" si="172"/>
        <v>28</v>
      </c>
      <c r="BN428" s="18"/>
      <c r="BO428" s="18"/>
      <c r="BS428">
        <f t="shared" si="161"/>
        <v>-50</v>
      </c>
      <c r="BT428">
        <f t="shared" si="162"/>
        <v>0</v>
      </c>
      <c r="BU428">
        <f t="shared" si="163"/>
        <v>-25</v>
      </c>
      <c r="BV428" s="1">
        <f t="shared" si="157"/>
        <v>-0.1</v>
      </c>
      <c r="BW428" s="1">
        <f t="shared" si="158"/>
        <v>0</v>
      </c>
    </row>
    <row r="429" spans="1:75" hidden="1" x14ac:dyDescent="0.25">
      <c r="A429" s="18" t="s">
        <v>6</v>
      </c>
      <c r="B429" s="18">
        <v>2024</v>
      </c>
      <c r="C429" s="18" t="s">
        <v>138</v>
      </c>
      <c r="D429" s="18" t="s">
        <v>134</v>
      </c>
      <c r="E429" s="18">
        <v>50</v>
      </c>
      <c r="F429" s="18" t="s">
        <v>154</v>
      </c>
      <c r="G429" s="18" t="s">
        <v>170</v>
      </c>
      <c r="H429" s="31">
        <f t="shared" si="181"/>
        <v>7</v>
      </c>
      <c r="I429" s="31">
        <v>7.5</v>
      </c>
      <c r="J429" s="4">
        <f t="shared" si="164"/>
        <v>0.5</v>
      </c>
      <c r="K429" s="5">
        <v>0.64</v>
      </c>
      <c r="L429" s="31">
        <f t="shared" si="165"/>
        <v>0.32</v>
      </c>
      <c r="M429" s="31"/>
      <c r="N429" s="31"/>
      <c r="O429" s="18">
        <f t="shared" si="182"/>
        <v>0.32</v>
      </c>
      <c r="P429" s="18">
        <v>64</v>
      </c>
      <c r="Q429" s="18">
        <v>5</v>
      </c>
      <c r="R429" s="18">
        <v>0.2</v>
      </c>
      <c r="S429" s="18">
        <v>0.11</v>
      </c>
      <c r="T429" s="65">
        <f t="shared" si="176"/>
        <v>22</v>
      </c>
      <c r="U429" s="18">
        <v>3</v>
      </c>
      <c r="V429" s="18"/>
      <c r="W429" s="18">
        <f t="shared" si="179"/>
        <v>3</v>
      </c>
      <c r="X429" s="18">
        <f t="shared" si="180"/>
        <v>66.666666666666671</v>
      </c>
      <c r="Y429" s="31">
        <f t="shared" si="159"/>
        <v>6.6666666666666666E-2</v>
      </c>
      <c r="Z429" s="18">
        <v>0</v>
      </c>
      <c r="AA429" s="18" t="s">
        <v>96</v>
      </c>
      <c r="AB429" s="18" t="s">
        <v>118</v>
      </c>
      <c r="AC429" s="18" t="s">
        <v>334</v>
      </c>
      <c r="AD429" s="18">
        <v>5</v>
      </c>
      <c r="AE429" s="18">
        <v>64</v>
      </c>
      <c r="AF429" s="18" t="s">
        <v>27</v>
      </c>
      <c r="AG429" s="18"/>
      <c r="AH429" s="18"/>
      <c r="AI429" s="18" t="s">
        <v>69</v>
      </c>
      <c r="AJ429" s="18" t="s">
        <v>81</v>
      </c>
      <c r="AK429" s="18" t="s">
        <v>100</v>
      </c>
      <c r="AL429" s="18" t="s">
        <v>109</v>
      </c>
      <c r="AM429" s="18" t="s">
        <v>122</v>
      </c>
      <c r="AN429" s="18" t="s">
        <v>198</v>
      </c>
      <c r="AO429" s="18"/>
      <c r="AP429" s="18"/>
      <c r="AQ429" s="18">
        <f>+VLOOKUP(AI429,Leyenda!$B$30:$E$34,3,FALSE)</f>
        <v>0</v>
      </c>
      <c r="AR429" s="18">
        <f>+VLOOKUP('3. Blasting'!AJ429,Meteorizacion,3,FALSE)</f>
        <v>0</v>
      </c>
      <c r="AS429" s="18">
        <f>+VLOOKUP('3. Blasting'!AK429,Apertura,3,FALSE)</f>
        <v>0</v>
      </c>
      <c r="AT429" s="18">
        <f>+VLOOKUP('3. Blasting'!AL429,Leyenda!$B$55:$D$59,3,FALSE)</f>
        <v>1</v>
      </c>
      <c r="AU429" s="18">
        <f>+VLOOKUP('3. Blasting'!AM429,Relleno,3,FALSE)</f>
        <v>0</v>
      </c>
      <c r="AV429" s="18">
        <f t="shared" si="177"/>
        <v>1</v>
      </c>
      <c r="AW429" s="49">
        <f t="shared" si="166"/>
        <v>0</v>
      </c>
      <c r="AX429" s="49">
        <f>VLOOKUP(AF429,Leyenda!$B$4:$D$10,3,FALSE)</f>
        <v>4</v>
      </c>
      <c r="AY429" s="50">
        <f t="shared" si="160"/>
        <v>6</v>
      </c>
      <c r="AZ429" s="49">
        <f t="shared" si="167"/>
        <v>1</v>
      </c>
      <c r="BA429" s="49">
        <f>VLOOKUP(AN429,Leyenda!$B$70:$D$75,3,FALSE)</f>
        <v>15</v>
      </c>
      <c r="BB429" s="67">
        <f t="shared" si="168"/>
        <v>12.5</v>
      </c>
      <c r="BC429" s="67">
        <f>VLOOKUP(AF429,Leyenda!$B$4:$E$10,4,FALSE)</f>
        <v>4</v>
      </c>
      <c r="BD429" s="67">
        <f t="shared" si="169"/>
        <v>6</v>
      </c>
      <c r="BE429" s="67">
        <f t="shared" si="170"/>
        <v>5</v>
      </c>
      <c r="BF429" s="67">
        <f>+VLOOKUP('3. Blasting'!AK429,Leyenda!$B$47:$E$51,4,FALSE)</f>
        <v>0</v>
      </c>
      <c r="BG429" s="67">
        <f>+VLOOKUP('3. Blasting'!AL429,Leyenda!$B$55:$E$59,4,FALSE)</f>
        <v>1</v>
      </c>
      <c r="BH429" s="67">
        <f>+VLOOKUP('3. Blasting'!AM429,Leyenda!$B$63:$E$67,3,FALSE)</f>
        <v>0</v>
      </c>
      <c r="BI429" s="67">
        <f>+VLOOKUP('3. Blasting'!AJ429,Leyenda!$B$39:$E$43,4,FALSE)</f>
        <v>0</v>
      </c>
      <c r="BJ429" s="67">
        <f>+VLOOKUP('3. Blasting'!AI429,Leyenda!$B$30:$E$34,4,FALSE)</f>
        <v>0</v>
      </c>
      <c r="BK429" s="67">
        <f>VLOOKUP(AN429,Leyenda!$B$71:$E$75,4,FALSE)</f>
        <v>10</v>
      </c>
      <c r="BL429" s="67">
        <f t="shared" si="171"/>
        <v>26</v>
      </c>
      <c r="BM429" s="18">
        <f t="shared" si="172"/>
        <v>26</v>
      </c>
      <c r="BN429" s="18"/>
      <c r="BO429" s="18"/>
      <c r="BS429">
        <f t="shared" si="161"/>
        <v>-50</v>
      </c>
      <c r="BT429">
        <f t="shared" si="162"/>
        <v>0</v>
      </c>
      <c r="BU429">
        <f t="shared" si="163"/>
        <v>-25</v>
      </c>
      <c r="BV429" s="1">
        <f t="shared" si="157"/>
        <v>-0.1</v>
      </c>
      <c r="BW429" s="1">
        <f t="shared" si="158"/>
        <v>0</v>
      </c>
    </row>
    <row r="430" spans="1:75" hidden="1" x14ac:dyDescent="0.25">
      <c r="A430" s="18" t="s">
        <v>6</v>
      </c>
      <c r="B430" s="18">
        <v>2024</v>
      </c>
      <c r="C430" s="18" t="s">
        <v>138</v>
      </c>
      <c r="D430" s="18" t="s">
        <v>134</v>
      </c>
      <c r="E430" s="18">
        <v>50</v>
      </c>
      <c r="F430" s="18" t="s">
        <v>154</v>
      </c>
      <c r="G430" s="18" t="s">
        <v>170</v>
      </c>
      <c r="H430" s="31">
        <f t="shared" si="181"/>
        <v>7.5</v>
      </c>
      <c r="I430" s="31">
        <v>8</v>
      </c>
      <c r="J430" s="4">
        <f t="shared" si="164"/>
        <v>0.5</v>
      </c>
      <c r="K430" s="5">
        <v>0.44</v>
      </c>
      <c r="L430" s="31">
        <f t="shared" si="165"/>
        <v>0.22</v>
      </c>
      <c r="M430" s="31"/>
      <c r="N430" s="31"/>
      <c r="O430" s="18">
        <f t="shared" si="182"/>
        <v>0.22</v>
      </c>
      <c r="P430" s="18">
        <v>11</v>
      </c>
      <c r="Q430" s="18">
        <v>20</v>
      </c>
      <c r="R430" s="18">
        <v>0.13</v>
      </c>
      <c r="S430" s="18">
        <v>0</v>
      </c>
      <c r="T430" s="65">
        <f t="shared" si="176"/>
        <v>0</v>
      </c>
      <c r="U430" s="18">
        <v>3</v>
      </c>
      <c r="V430" s="18"/>
      <c r="W430" s="18">
        <f t="shared" si="179"/>
        <v>3</v>
      </c>
      <c r="X430" s="18">
        <f t="shared" si="180"/>
        <v>43.333333333333336</v>
      </c>
      <c r="Y430" s="31">
        <f t="shared" si="159"/>
        <v>4.3333333333333335E-2</v>
      </c>
      <c r="Z430" s="18">
        <v>0</v>
      </c>
      <c r="AA430" s="18" t="s">
        <v>96</v>
      </c>
      <c r="AB430" s="18" t="s">
        <v>333</v>
      </c>
      <c r="AC430" s="18" t="s">
        <v>334</v>
      </c>
      <c r="AD430" s="18">
        <v>20</v>
      </c>
      <c r="AE430" s="18">
        <v>11</v>
      </c>
      <c r="AF430" s="18" t="s">
        <v>27</v>
      </c>
      <c r="AG430" s="18"/>
      <c r="AH430" s="18"/>
      <c r="AI430" s="18" t="s">
        <v>69</v>
      </c>
      <c r="AJ430" s="18" t="s">
        <v>81</v>
      </c>
      <c r="AK430" s="18" t="s">
        <v>100</v>
      </c>
      <c r="AL430" s="18" t="s">
        <v>109</v>
      </c>
      <c r="AM430" s="18" t="s">
        <v>122</v>
      </c>
      <c r="AN430" s="18" t="s">
        <v>198</v>
      </c>
      <c r="AO430" s="18"/>
      <c r="AP430" s="18"/>
      <c r="AQ430" s="18">
        <f>+VLOOKUP(AI430,Leyenda!$B$30:$E$34,3,FALSE)</f>
        <v>0</v>
      </c>
      <c r="AR430" s="18">
        <f>+VLOOKUP('3. Blasting'!AJ430,Meteorizacion,3,FALSE)</f>
        <v>0</v>
      </c>
      <c r="AS430" s="18">
        <f>+VLOOKUP('3. Blasting'!AK430,Apertura,3,FALSE)</f>
        <v>0</v>
      </c>
      <c r="AT430" s="18">
        <f>+VLOOKUP('3. Blasting'!AL430,Leyenda!$B$55:$D$59,3,FALSE)</f>
        <v>1</v>
      </c>
      <c r="AU430" s="18">
        <f>+VLOOKUP('3. Blasting'!AM430,Relleno,3,FALSE)</f>
        <v>0</v>
      </c>
      <c r="AV430" s="18">
        <f t="shared" si="177"/>
        <v>1</v>
      </c>
      <c r="AW430" s="49">
        <f t="shared" si="166"/>
        <v>0</v>
      </c>
      <c r="AX430" s="49">
        <f>VLOOKUP(AF430,Leyenda!$B$4:$D$10,3,FALSE)</f>
        <v>4</v>
      </c>
      <c r="AY430" s="50">
        <f t="shared" si="160"/>
        <v>3</v>
      </c>
      <c r="AZ430" s="49">
        <f t="shared" si="167"/>
        <v>1</v>
      </c>
      <c r="BA430" s="49">
        <f>VLOOKUP(AN430,Leyenda!$B$70:$D$75,3,FALSE)</f>
        <v>15</v>
      </c>
      <c r="BB430" s="67">
        <f t="shared" si="168"/>
        <v>1.5</v>
      </c>
      <c r="BC430" s="67">
        <f>VLOOKUP(AF430,Leyenda!$B$4:$E$10,4,FALSE)</f>
        <v>4</v>
      </c>
      <c r="BD430" s="67">
        <f t="shared" si="169"/>
        <v>5</v>
      </c>
      <c r="BE430" s="67">
        <f t="shared" si="170"/>
        <v>0</v>
      </c>
      <c r="BF430" s="67">
        <f>+VLOOKUP('3. Blasting'!AK430,Leyenda!$B$47:$E$51,4,FALSE)</f>
        <v>0</v>
      </c>
      <c r="BG430" s="67">
        <f>+VLOOKUP('3. Blasting'!AL430,Leyenda!$B$55:$E$59,4,FALSE)</f>
        <v>1</v>
      </c>
      <c r="BH430" s="67">
        <f>+VLOOKUP('3. Blasting'!AM430,Leyenda!$B$63:$E$67,3,FALSE)</f>
        <v>0</v>
      </c>
      <c r="BI430" s="67">
        <f>+VLOOKUP('3. Blasting'!AJ430,Leyenda!$B$39:$E$43,4,FALSE)</f>
        <v>0</v>
      </c>
      <c r="BJ430" s="67">
        <f>+VLOOKUP('3. Blasting'!AI430,Leyenda!$B$30:$E$34,4,FALSE)</f>
        <v>0</v>
      </c>
      <c r="BK430" s="67">
        <f>VLOOKUP(AN430,Leyenda!$B$71:$E$75,4,FALSE)</f>
        <v>10</v>
      </c>
      <c r="BL430" s="67">
        <f t="shared" si="171"/>
        <v>20</v>
      </c>
      <c r="BM430" s="18">
        <f t="shared" si="172"/>
        <v>23</v>
      </c>
      <c r="BN430" s="18"/>
      <c r="BO430" s="18"/>
      <c r="BS430">
        <f t="shared" si="161"/>
        <v>-50</v>
      </c>
      <c r="BT430">
        <f t="shared" si="162"/>
        <v>0</v>
      </c>
      <c r="BU430">
        <f t="shared" si="163"/>
        <v>-25</v>
      </c>
      <c r="BV430" s="1">
        <f t="shared" si="157"/>
        <v>-0.1</v>
      </c>
      <c r="BW430" s="1">
        <f t="shared" si="158"/>
        <v>0</v>
      </c>
    </row>
    <row r="431" spans="1:75" hidden="1" x14ac:dyDescent="0.25">
      <c r="A431" s="18" t="s">
        <v>6</v>
      </c>
      <c r="B431" s="18">
        <v>2024</v>
      </c>
      <c r="C431" s="18" t="s">
        <v>138</v>
      </c>
      <c r="D431" s="18" t="s">
        <v>134</v>
      </c>
      <c r="E431" s="18">
        <v>50</v>
      </c>
      <c r="F431" s="18" t="s">
        <v>154</v>
      </c>
      <c r="G431" s="18" t="s">
        <v>170</v>
      </c>
      <c r="H431" s="31">
        <f t="shared" si="181"/>
        <v>8</v>
      </c>
      <c r="I431" s="31">
        <v>8.5</v>
      </c>
      <c r="J431" s="4">
        <f t="shared" si="164"/>
        <v>0.5</v>
      </c>
      <c r="K431" s="5">
        <v>0.82</v>
      </c>
      <c r="L431" s="31">
        <f t="shared" si="165"/>
        <v>0.41</v>
      </c>
      <c r="M431" s="31"/>
      <c r="N431" s="31"/>
      <c r="O431" s="18">
        <f t="shared" si="182"/>
        <v>0.41</v>
      </c>
      <c r="P431" s="18">
        <v>410</v>
      </c>
      <c r="Q431" s="18">
        <v>1</v>
      </c>
      <c r="R431" s="18">
        <v>0.28000000000000003</v>
      </c>
      <c r="S431" s="18">
        <v>0.2</v>
      </c>
      <c r="T431" s="65">
        <f t="shared" si="176"/>
        <v>40</v>
      </c>
      <c r="U431" s="18">
        <v>3</v>
      </c>
      <c r="V431" s="18"/>
      <c r="W431" s="18">
        <f t="shared" si="179"/>
        <v>3</v>
      </c>
      <c r="X431" s="18">
        <f t="shared" si="180"/>
        <v>93.333333333333329</v>
      </c>
      <c r="Y431" s="31">
        <f t="shared" si="159"/>
        <v>9.3333333333333324E-2</v>
      </c>
      <c r="Z431" s="18">
        <v>0</v>
      </c>
      <c r="AA431" s="18" t="s">
        <v>92</v>
      </c>
      <c r="AB431" s="18" t="s">
        <v>116</v>
      </c>
      <c r="AC431" s="18" t="s">
        <v>334</v>
      </c>
      <c r="AD431" s="18">
        <v>1</v>
      </c>
      <c r="AE431" s="18">
        <v>410</v>
      </c>
      <c r="AF431" s="18" t="s">
        <v>27</v>
      </c>
      <c r="AG431" s="18"/>
      <c r="AH431" s="18"/>
      <c r="AI431" s="18" t="s">
        <v>69</v>
      </c>
      <c r="AJ431" s="18" t="s">
        <v>81</v>
      </c>
      <c r="AK431" s="18" t="s">
        <v>100</v>
      </c>
      <c r="AL431" s="18" t="s">
        <v>109</v>
      </c>
      <c r="AM431" s="18" t="s">
        <v>122</v>
      </c>
      <c r="AN431" s="18" t="s">
        <v>198</v>
      </c>
      <c r="AO431" s="18"/>
      <c r="AP431" s="18"/>
      <c r="AQ431" s="18">
        <f>+VLOOKUP(AI431,Leyenda!$B$30:$E$34,3,FALSE)</f>
        <v>0</v>
      </c>
      <c r="AR431" s="18">
        <f>+VLOOKUP('3. Blasting'!AJ431,Meteorizacion,3,FALSE)</f>
        <v>0</v>
      </c>
      <c r="AS431" s="18">
        <f>+VLOOKUP('3. Blasting'!AK431,Apertura,3,FALSE)</f>
        <v>0</v>
      </c>
      <c r="AT431" s="18">
        <f>+VLOOKUP('3. Blasting'!AL431,Leyenda!$B$55:$D$59,3,FALSE)</f>
        <v>1</v>
      </c>
      <c r="AU431" s="18">
        <f>+VLOOKUP('3. Blasting'!AM431,Relleno,3,FALSE)</f>
        <v>0</v>
      </c>
      <c r="AV431" s="18">
        <f t="shared" si="177"/>
        <v>1</v>
      </c>
      <c r="AW431" s="49">
        <f t="shared" si="166"/>
        <v>0</v>
      </c>
      <c r="AX431" s="49">
        <f>VLOOKUP(AF431,Leyenda!$B$4:$D$10,3,FALSE)</f>
        <v>4</v>
      </c>
      <c r="AY431" s="50">
        <f t="shared" si="160"/>
        <v>12</v>
      </c>
      <c r="AZ431" s="49">
        <f t="shared" si="167"/>
        <v>1</v>
      </c>
      <c r="BA431" s="49">
        <f>VLOOKUP(AN431,Leyenda!$B$70:$D$75,3,FALSE)</f>
        <v>15</v>
      </c>
      <c r="BB431" s="67">
        <f t="shared" si="168"/>
        <v>21.5</v>
      </c>
      <c r="BC431" s="67">
        <f>VLOOKUP(AF431,Leyenda!$B$4:$E$10,4,FALSE)</f>
        <v>4</v>
      </c>
      <c r="BD431" s="67">
        <f t="shared" si="169"/>
        <v>8</v>
      </c>
      <c r="BE431" s="67">
        <f t="shared" si="170"/>
        <v>8</v>
      </c>
      <c r="BF431" s="67">
        <f>+VLOOKUP('3. Blasting'!AK431,Leyenda!$B$47:$E$51,4,FALSE)</f>
        <v>0</v>
      </c>
      <c r="BG431" s="67">
        <f>+VLOOKUP('3. Blasting'!AL431,Leyenda!$B$55:$E$59,4,FALSE)</f>
        <v>1</v>
      </c>
      <c r="BH431" s="67">
        <f>+VLOOKUP('3. Blasting'!AM431,Leyenda!$B$63:$E$67,3,FALSE)</f>
        <v>0</v>
      </c>
      <c r="BI431" s="67">
        <f>+VLOOKUP('3. Blasting'!AJ431,Leyenda!$B$39:$E$43,4,FALSE)</f>
        <v>0</v>
      </c>
      <c r="BJ431" s="67">
        <f>+VLOOKUP('3. Blasting'!AI431,Leyenda!$B$30:$E$34,4,FALSE)</f>
        <v>0</v>
      </c>
      <c r="BK431" s="67">
        <f>VLOOKUP(AN431,Leyenda!$B$71:$E$75,4,FALSE)</f>
        <v>10</v>
      </c>
      <c r="BL431" s="67">
        <f t="shared" si="171"/>
        <v>31</v>
      </c>
      <c r="BM431" s="18">
        <f t="shared" si="172"/>
        <v>32</v>
      </c>
      <c r="BN431" s="18"/>
      <c r="BO431" s="18"/>
      <c r="BS431">
        <f t="shared" si="161"/>
        <v>-50</v>
      </c>
      <c r="BT431">
        <f t="shared" si="162"/>
        <v>0</v>
      </c>
      <c r="BU431">
        <f t="shared" si="163"/>
        <v>-25</v>
      </c>
      <c r="BV431" s="1">
        <f t="shared" si="157"/>
        <v>-0.1</v>
      </c>
      <c r="BW431" s="1">
        <f t="shared" si="158"/>
        <v>0</v>
      </c>
    </row>
    <row r="432" spans="1:75" hidden="1" x14ac:dyDescent="0.25">
      <c r="A432" s="18" t="s">
        <v>6</v>
      </c>
      <c r="B432" s="18">
        <v>2024</v>
      </c>
      <c r="C432" s="18" t="s">
        <v>138</v>
      </c>
      <c r="D432" s="18" t="s">
        <v>134</v>
      </c>
      <c r="E432" s="18">
        <v>50</v>
      </c>
      <c r="F432" s="18" t="s">
        <v>154</v>
      </c>
      <c r="G432" s="18" t="s">
        <v>170</v>
      </c>
      <c r="H432" s="31">
        <f t="shared" si="181"/>
        <v>8.5</v>
      </c>
      <c r="I432" s="31">
        <v>9</v>
      </c>
      <c r="J432" s="4">
        <f t="shared" si="164"/>
        <v>0.5</v>
      </c>
      <c r="K432" s="5">
        <v>0.66</v>
      </c>
      <c r="L432" s="31">
        <f t="shared" si="165"/>
        <v>0.33</v>
      </c>
      <c r="M432" s="31"/>
      <c r="N432" s="31"/>
      <c r="O432" s="18">
        <f t="shared" si="182"/>
        <v>0.33</v>
      </c>
      <c r="P432" s="18">
        <v>16.5</v>
      </c>
      <c r="Q432" s="18">
        <v>20</v>
      </c>
      <c r="R432" s="18">
        <v>0.2</v>
      </c>
      <c r="S432" s="18">
        <v>0.1</v>
      </c>
      <c r="T432" s="65">
        <f t="shared" si="176"/>
        <v>20</v>
      </c>
      <c r="U432" s="18">
        <v>4</v>
      </c>
      <c r="V432" s="18"/>
      <c r="W432" s="18">
        <f t="shared" si="179"/>
        <v>4</v>
      </c>
      <c r="X432" s="18">
        <f t="shared" si="180"/>
        <v>50</v>
      </c>
      <c r="Y432" s="31">
        <f t="shared" si="159"/>
        <v>0.05</v>
      </c>
      <c r="Z432" s="18">
        <v>0</v>
      </c>
      <c r="AA432" s="18" t="s">
        <v>92</v>
      </c>
      <c r="AB432" s="18" t="s">
        <v>333</v>
      </c>
      <c r="AC432" s="18" t="s">
        <v>337</v>
      </c>
      <c r="AD432" s="18">
        <v>20</v>
      </c>
      <c r="AE432" s="18">
        <v>16.5</v>
      </c>
      <c r="AF432" s="18" t="s">
        <v>29</v>
      </c>
      <c r="AG432" s="18"/>
      <c r="AH432" s="18"/>
      <c r="AI432" s="18" t="s">
        <v>69</v>
      </c>
      <c r="AJ432" s="18" t="s">
        <v>81</v>
      </c>
      <c r="AK432" s="18" t="s">
        <v>100</v>
      </c>
      <c r="AL432" s="18" t="s">
        <v>109</v>
      </c>
      <c r="AM432" s="18" t="s">
        <v>122</v>
      </c>
      <c r="AN432" s="18" t="s">
        <v>198</v>
      </c>
      <c r="AO432" s="18"/>
      <c r="AP432" s="18"/>
      <c r="AQ432" s="18">
        <f>+VLOOKUP(AI432,Leyenda!$B$30:$E$34,3,FALSE)</f>
        <v>0</v>
      </c>
      <c r="AR432" s="18">
        <f>+VLOOKUP('3. Blasting'!AJ432,Meteorizacion,3,FALSE)</f>
        <v>0</v>
      </c>
      <c r="AS432" s="18">
        <f>+VLOOKUP('3. Blasting'!AK432,Apertura,3,FALSE)</f>
        <v>0</v>
      </c>
      <c r="AT432" s="18">
        <f>+VLOOKUP('3. Blasting'!AL432,Leyenda!$B$55:$D$59,3,FALSE)</f>
        <v>1</v>
      </c>
      <c r="AU432" s="18">
        <f>+VLOOKUP('3. Blasting'!AM432,Relleno,3,FALSE)</f>
        <v>0</v>
      </c>
      <c r="AV432" s="18">
        <f t="shared" si="177"/>
        <v>1</v>
      </c>
      <c r="AW432" s="49">
        <f t="shared" si="166"/>
        <v>0</v>
      </c>
      <c r="AX432" s="49">
        <f>VLOOKUP(AF432,Leyenda!$B$4:$D$10,3,FALSE)</f>
        <v>2</v>
      </c>
      <c r="AY432" s="50">
        <f t="shared" si="160"/>
        <v>4</v>
      </c>
      <c r="AZ432" s="49">
        <f t="shared" si="167"/>
        <v>1</v>
      </c>
      <c r="BA432" s="49">
        <f>VLOOKUP(AN432,Leyenda!$B$70:$D$75,3,FALSE)</f>
        <v>15</v>
      </c>
      <c r="BB432" s="67">
        <f t="shared" si="168"/>
        <v>11.5</v>
      </c>
      <c r="BC432" s="67">
        <f>VLOOKUP(AF432,Leyenda!$B$4:$E$10,4,FALSE)</f>
        <v>2</v>
      </c>
      <c r="BD432" s="67">
        <f t="shared" si="169"/>
        <v>5</v>
      </c>
      <c r="BE432" s="67">
        <f t="shared" si="170"/>
        <v>4</v>
      </c>
      <c r="BF432" s="67">
        <f>+VLOOKUP('3. Blasting'!AK432,Leyenda!$B$47:$E$51,4,FALSE)</f>
        <v>0</v>
      </c>
      <c r="BG432" s="67">
        <f>+VLOOKUP('3. Blasting'!AL432,Leyenda!$B$55:$E$59,4,FALSE)</f>
        <v>1</v>
      </c>
      <c r="BH432" s="67">
        <f>+VLOOKUP('3. Blasting'!AM432,Leyenda!$B$63:$E$67,3,FALSE)</f>
        <v>0</v>
      </c>
      <c r="BI432" s="67">
        <f>+VLOOKUP('3. Blasting'!AJ432,Leyenda!$B$39:$E$43,4,FALSE)</f>
        <v>0</v>
      </c>
      <c r="BJ432" s="67">
        <f>+VLOOKUP('3. Blasting'!AI432,Leyenda!$B$30:$E$34,4,FALSE)</f>
        <v>0</v>
      </c>
      <c r="BK432" s="67">
        <f>VLOOKUP(AN432,Leyenda!$B$71:$E$75,4,FALSE)</f>
        <v>10</v>
      </c>
      <c r="BL432" s="67">
        <f t="shared" si="171"/>
        <v>22</v>
      </c>
      <c r="BM432" s="18">
        <f t="shared" si="172"/>
        <v>22</v>
      </c>
      <c r="BN432" s="18"/>
      <c r="BO432" s="18"/>
      <c r="BS432">
        <f t="shared" si="161"/>
        <v>-50</v>
      </c>
      <c r="BT432">
        <f t="shared" si="162"/>
        <v>0</v>
      </c>
      <c r="BU432">
        <f t="shared" si="163"/>
        <v>-25</v>
      </c>
      <c r="BV432" s="1">
        <f t="shared" si="157"/>
        <v>-0.1</v>
      </c>
      <c r="BW432" s="1">
        <f t="shared" si="158"/>
        <v>0</v>
      </c>
    </row>
    <row r="433" spans="1:75" hidden="1" x14ac:dyDescent="0.25">
      <c r="A433" s="18" t="s">
        <v>6</v>
      </c>
      <c r="B433" s="18">
        <v>2024</v>
      </c>
      <c r="C433" s="18" t="s">
        <v>138</v>
      </c>
      <c r="D433" s="18" t="s">
        <v>134</v>
      </c>
      <c r="E433" s="18">
        <v>50</v>
      </c>
      <c r="F433" s="18" t="s">
        <v>154</v>
      </c>
      <c r="G433" s="18" t="s">
        <v>170</v>
      </c>
      <c r="H433" s="31">
        <f t="shared" si="181"/>
        <v>9</v>
      </c>
      <c r="I433" s="31">
        <v>9.5</v>
      </c>
      <c r="J433" s="4">
        <f t="shared" si="164"/>
        <v>0.5</v>
      </c>
      <c r="K433" s="5">
        <v>0.9</v>
      </c>
      <c r="L433" s="31">
        <f t="shared" si="165"/>
        <v>0.45</v>
      </c>
      <c r="M433" s="31"/>
      <c r="N433" s="31"/>
      <c r="O433" s="18">
        <f t="shared" si="182"/>
        <v>0.45</v>
      </c>
      <c r="P433" s="18">
        <v>22.5</v>
      </c>
      <c r="Q433" s="18">
        <v>20</v>
      </c>
      <c r="R433" s="18">
        <f>0.1+0.19</f>
        <v>0.29000000000000004</v>
      </c>
      <c r="S433" s="18">
        <v>0</v>
      </c>
      <c r="T433" s="65">
        <f t="shared" si="176"/>
        <v>0</v>
      </c>
      <c r="U433" s="18">
        <v>5</v>
      </c>
      <c r="V433" s="18"/>
      <c r="W433" s="18">
        <f t="shared" si="179"/>
        <v>5</v>
      </c>
      <c r="X433" s="18">
        <f t="shared" si="180"/>
        <v>58.000000000000014</v>
      </c>
      <c r="Y433" s="31">
        <f t="shared" si="159"/>
        <v>5.8000000000000017E-2</v>
      </c>
      <c r="Z433" s="18">
        <v>0</v>
      </c>
      <c r="AA433" s="18" t="s">
        <v>330</v>
      </c>
      <c r="AB433" s="18" t="s">
        <v>333</v>
      </c>
      <c r="AC433" s="18" t="s">
        <v>334</v>
      </c>
      <c r="AD433" s="18">
        <v>20</v>
      </c>
      <c r="AE433" s="18">
        <v>22.5</v>
      </c>
      <c r="AF433" s="18" t="s">
        <v>27</v>
      </c>
      <c r="AG433" s="18"/>
      <c r="AH433" s="18"/>
      <c r="AI433" s="18" t="s">
        <v>69</v>
      </c>
      <c r="AJ433" s="18" t="s">
        <v>81</v>
      </c>
      <c r="AK433" s="18" t="s">
        <v>100</v>
      </c>
      <c r="AL433" s="18" t="s">
        <v>109</v>
      </c>
      <c r="AM433" s="18" t="s">
        <v>122</v>
      </c>
      <c r="AN433" s="18" t="s">
        <v>198</v>
      </c>
      <c r="AO433" s="18"/>
      <c r="AP433" s="18"/>
      <c r="AQ433" s="18">
        <f>+VLOOKUP(AI433,Leyenda!$B$30:$E$34,3,FALSE)</f>
        <v>0</v>
      </c>
      <c r="AR433" s="18">
        <f>+VLOOKUP('3. Blasting'!AJ433,Meteorizacion,3,FALSE)</f>
        <v>0</v>
      </c>
      <c r="AS433" s="18">
        <f>+VLOOKUP('3. Blasting'!AK433,Apertura,3,FALSE)</f>
        <v>0</v>
      </c>
      <c r="AT433" s="18">
        <f>+VLOOKUP('3. Blasting'!AL433,Leyenda!$B$55:$D$59,3,FALSE)</f>
        <v>1</v>
      </c>
      <c r="AU433" s="18">
        <f>+VLOOKUP('3. Blasting'!AM433,Relleno,3,FALSE)</f>
        <v>0</v>
      </c>
      <c r="AV433" s="18">
        <f t="shared" si="177"/>
        <v>1</v>
      </c>
      <c r="AW433" s="49">
        <f t="shared" si="166"/>
        <v>0</v>
      </c>
      <c r="AX433" s="49">
        <f>VLOOKUP(AF433,Leyenda!$B$4:$D$10,3,FALSE)</f>
        <v>4</v>
      </c>
      <c r="AY433" s="50">
        <f t="shared" si="160"/>
        <v>4</v>
      </c>
      <c r="AZ433" s="49">
        <f t="shared" si="167"/>
        <v>1</v>
      </c>
      <c r="BA433" s="49">
        <f>VLOOKUP(AN433,Leyenda!$B$70:$D$75,3,FALSE)</f>
        <v>15</v>
      </c>
      <c r="BB433" s="67">
        <f t="shared" si="168"/>
        <v>1.5</v>
      </c>
      <c r="BC433" s="67">
        <f>VLOOKUP(AF433,Leyenda!$B$4:$E$10,4,FALSE)</f>
        <v>4</v>
      </c>
      <c r="BD433" s="67">
        <f t="shared" si="169"/>
        <v>5</v>
      </c>
      <c r="BE433" s="67">
        <f t="shared" si="170"/>
        <v>0</v>
      </c>
      <c r="BF433" s="67">
        <f>+VLOOKUP('3. Blasting'!AK433,Leyenda!$B$47:$E$51,4,FALSE)</f>
        <v>0</v>
      </c>
      <c r="BG433" s="67">
        <f>+VLOOKUP('3. Blasting'!AL433,Leyenda!$B$55:$E$59,4,FALSE)</f>
        <v>1</v>
      </c>
      <c r="BH433" s="67">
        <f>+VLOOKUP('3. Blasting'!AM433,Leyenda!$B$63:$E$67,3,FALSE)</f>
        <v>0</v>
      </c>
      <c r="BI433" s="67">
        <f>+VLOOKUP('3. Blasting'!AJ433,Leyenda!$B$39:$E$43,4,FALSE)</f>
        <v>0</v>
      </c>
      <c r="BJ433" s="67">
        <f>+VLOOKUP('3. Blasting'!AI433,Leyenda!$B$30:$E$34,4,FALSE)</f>
        <v>0</v>
      </c>
      <c r="BK433" s="67">
        <f>VLOOKUP(AN433,Leyenda!$B$71:$E$75,4,FALSE)</f>
        <v>10</v>
      </c>
      <c r="BL433" s="67">
        <f t="shared" si="171"/>
        <v>20</v>
      </c>
      <c r="BM433" s="18">
        <f t="shared" si="172"/>
        <v>24</v>
      </c>
      <c r="BN433" s="18"/>
      <c r="BO433" s="18"/>
      <c r="BS433">
        <f t="shared" si="161"/>
        <v>-50</v>
      </c>
      <c r="BT433">
        <f t="shared" si="162"/>
        <v>0</v>
      </c>
      <c r="BU433">
        <f t="shared" si="163"/>
        <v>-25</v>
      </c>
      <c r="BV433" s="1">
        <f t="shared" si="157"/>
        <v>-0.1</v>
      </c>
      <c r="BW433" s="1">
        <f t="shared" si="158"/>
        <v>0</v>
      </c>
    </row>
    <row r="434" spans="1:75" hidden="1" x14ac:dyDescent="0.25">
      <c r="A434" s="36" t="s">
        <v>6</v>
      </c>
      <c r="B434" s="36">
        <v>2024</v>
      </c>
      <c r="C434" s="36" t="s">
        <v>138</v>
      </c>
      <c r="D434" s="36" t="s">
        <v>134</v>
      </c>
      <c r="E434" s="36">
        <v>50</v>
      </c>
      <c r="F434" s="36" t="s">
        <v>154</v>
      </c>
      <c r="G434" s="36" t="s">
        <v>170</v>
      </c>
      <c r="H434" s="106">
        <f t="shared" si="181"/>
        <v>9.5</v>
      </c>
      <c r="I434" s="106">
        <v>10</v>
      </c>
      <c r="J434" s="107">
        <f t="shared" si="164"/>
        <v>0.5</v>
      </c>
      <c r="K434" s="108">
        <v>1</v>
      </c>
      <c r="L434" s="106">
        <f t="shared" si="165"/>
        <v>0.5</v>
      </c>
      <c r="M434" s="106"/>
      <c r="N434" s="106"/>
      <c r="O434" s="36">
        <f t="shared" si="182"/>
        <v>0.5</v>
      </c>
      <c r="P434" s="36">
        <v>25</v>
      </c>
      <c r="Q434" s="36">
        <v>20</v>
      </c>
      <c r="R434" s="36">
        <v>0.32</v>
      </c>
      <c r="S434" s="36">
        <v>0.11</v>
      </c>
      <c r="T434" s="112">
        <f t="shared" si="176"/>
        <v>22</v>
      </c>
      <c r="U434" s="36">
        <v>4</v>
      </c>
      <c r="V434" s="36"/>
      <c r="W434" s="36">
        <f t="shared" si="179"/>
        <v>4</v>
      </c>
      <c r="X434" s="36">
        <f t="shared" si="180"/>
        <v>80</v>
      </c>
      <c r="Y434" s="106">
        <f t="shared" si="159"/>
        <v>0.08</v>
      </c>
      <c r="Z434" s="36">
        <v>0</v>
      </c>
      <c r="AA434" s="36" t="s">
        <v>330</v>
      </c>
      <c r="AB434" s="36" t="s">
        <v>333</v>
      </c>
      <c r="AC434" s="36" t="s">
        <v>334</v>
      </c>
      <c r="AD434" s="36">
        <v>20</v>
      </c>
      <c r="AE434" s="36">
        <v>25</v>
      </c>
      <c r="AF434" s="36" t="s">
        <v>27</v>
      </c>
      <c r="AG434" s="36"/>
      <c r="AH434" s="36"/>
      <c r="AI434" s="36" t="s">
        <v>69</v>
      </c>
      <c r="AJ434" s="36" t="s">
        <v>81</v>
      </c>
      <c r="AK434" s="36" t="s">
        <v>100</v>
      </c>
      <c r="AL434" s="36" t="s">
        <v>109</v>
      </c>
      <c r="AM434" s="36" t="s">
        <v>122</v>
      </c>
      <c r="AN434" s="36" t="s">
        <v>198</v>
      </c>
      <c r="AO434" s="36"/>
      <c r="AP434" s="36"/>
      <c r="AQ434" s="36">
        <f>+VLOOKUP(AI434,Leyenda!$B$30:$E$34,3,FALSE)</f>
        <v>0</v>
      </c>
      <c r="AR434" s="36">
        <f>+VLOOKUP('3. Blasting'!AJ434,Meteorizacion,3,FALSE)</f>
        <v>0</v>
      </c>
      <c r="AS434" s="36">
        <f>+VLOOKUP('3. Blasting'!AK434,Apertura,3,FALSE)</f>
        <v>0</v>
      </c>
      <c r="AT434" s="36">
        <f>+VLOOKUP('3. Blasting'!AL434,Leyenda!$B$55:$D$59,3,FALSE)</f>
        <v>1</v>
      </c>
      <c r="AU434" s="36">
        <f>+VLOOKUP('3. Blasting'!AM434,Relleno,3,FALSE)</f>
        <v>0</v>
      </c>
      <c r="AV434" s="36">
        <f t="shared" si="177"/>
        <v>1</v>
      </c>
      <c r="AW434" s="50">
        <f t="shared" si="166"/>
        <v>0</v>
      </c>
      <c r="AX434" s="50">
        <f>VLOOKUP(AF434,Leyenda!$B$4:$D$10,3,FALSE)</f>
        <v>4</v>
      </c>
      <c r="AY434" s="50">
        <f t="shared" si="160"/>
        <v>5</v>
      </c>
      <c r="AZ434" s="50">
        <f t="shared" si="167"/>
        <v>1</v>
      </c>
      <c r="BA434" s="50">
        <f>VLOOKUP(AN434,Leyenda!$B$70:$D$75,3,FALSE)</f>
        <v>15</v>
      </c>
      <c r="BB434" s="110">
        <f t="shared" si="168"/>
        <v>12.5</v>
      </c>
      <c r="BC434" s="110">
        <f>VLOOKUP(AF434,Leyenda!$B$4:$E$10,4,FALSE)</f>
        <v>4</v>
      </c>
      <c r="BD434" s="110">
        <f t="shared" si="169"/>
        <v>7</v>
      </c>
      <c r="BE434" s="110">
        <f t="shared" si="170"/>
        <v>5</v>
      </c>
      <c r="BF434" s="110">
        <f>+VLOOKUP('3. Blasting'!AK434,Leyenda!$B$47:$E$51,4,FALSE)</f>
        <v>0</v>
      </c>
      <c r="BG434" s="110">
        <f>+VLOOKUP('3. Blasting'!AL434,Leyenda!$B$55:$E$59,4,FALSE)</f>
        <v>1</v>
      </c>
      <c r="BH434" s="110">
        <f>+VLOOKUP('3. Blasting'!AM434,Leyenda!$B$63:$E$67,3,FALSE)</f>
        <v>0</v>
      </c>
      <c r="BI434" s="110">
        <f>+VLOOKUP('3. Blasting'!AJ434,Leyenda!$B$39:$E$43,4,FALSE)</f>
        <v>0</v>
      </c>
      <c r="BJ434" s="110">
        <f>+VLOOKUP('3. Blasting'!AI434,Leyenda!$B$30:$E$34,4,FALSE)</f>
        <v>0</v>
      </c>
      <c r="BK434" s="110">
        <f>VLOOKUP(AN434,Leyenda!$B$71:$E$75,4,FALSE)</f>
        <v>10</v>
      </c>
      <c r="BL434" s="110">
        <f t="shared" si="171"/>
        <v>27</v>
      </c>
      <c r="BM434" s="36">
        <f t="shared" si="172"/>
        <v>25</v>
      </c>
      <c r="BN434" s="36"/>
      <c r="BO434" s="36"/>
      <c r="BS434">
        <f t="shared" si="161"/>
        <v>-50</v>
      </c>
      <c r="BT434">
        <f t="shared" si="162"/>
        <v>0</v>
      </c>
      <c r="BU434">
        <f t="shared" si="163"/>
        <v>-25</v>
      </c>
      <c r="BV434" s="1">
        <f t="shared" si="157"/>
        <v>-0.1</v>
      </c>
      <c r="BW434" s="1">
        <f t="shared" si="158"/>
        <v>0</v>
      </c>
    </row>
    <row r="435" spans="1:75" x14ac:dyDescent="0.25">
      <c r="A435" s="18" t="s">
        <v>6</v>
      </c>
      <c r="B435" s="18">
        <v>2024</v>
      </c>
      <c r="C435" s="18" t="s">
        <v>138</v>
      </c>
      <c r="D435" s="18" t="s">
        <v>134</v>
      </c>
      <c r="E435" s="18">
        <v>40</v>
      </c>
      <c r="F435" s="18" t="s">
        <v>153</v>
      </c>
      <c r="G435" s="18" t="s">
        <v>170</v>
      </c>
      <c r="H435" s="31">
        <f t="shared" si="181"/>
        <v>10</v>
      </c>
      <c r="I435" s="31">
        <v>10.5</v>
      </c>
      <c r="J435" s="4">
        <f t="shared" si="164"/>
        <v>0.5</v>
      </c>
      <c r="K435" s="5">
        <v>0.96</v>
      </c>
      <c r="L435" s="31">
        <f t="shared" si="165"/>
        <v>0.48</v>
      </c>
      <c r="M435" s="31">
        <v>2.14</v>
      </c>
      <c r="N435" s="31">
        <v>31.3</v>
      </c>
      <c r="O435" s="18">
        <f t="shared" si="182"/>
        <v>0.48</v>
      </c>
      <c r="P435" s="18">
        <v>96</v>
      </c>
      <c r="Q435" s="18">
        <v>5</v>
      </c>
      <c r="R435" s="18">
        <v>0.37</v>
      </c>
      <c r="S435" s="18">
        <v>0.15</v>
      </c>
      <c r="T435" s="65">
        <f t="shared" si="176"/>
        <v>30</v>
      </c>
      <c r="U435" s="18">
        <v>4</v>
      </c>
      <c r="V435" s="18"/>
      <c r="W435" s="18">
        <f t="shared" si="179"/>
        <v>4</v>
      </c>
      <c r="X435" s="18">
        <f t="shared" si="180"/>
        <v>92.5</v>
      </c>
      <c r="Y435" s="31">
        <f t="shared" si="159"/>
        <v>9.2499999999999999E-2</v>
      </c>
      <c r="Z435" s="18">
        <v>0</v>
      </c>
      <c r="AA435" s="18" t="s">
        <v>96</v>
      </c>
      <c r="AB435" s="18" t="s">
        <v>118</v>
      </c>
      <c r="AC435" s="18" t="s">
        <v>334</v>
      </c>
      <c r="AD435" s="18">
        <v>5</v>
      </c>
      <c r="AE435" s="18">
        <v>96</v>
      </c>
      <c r="AF435" s="18" t="s">
        <v>27</v>
      </c>
      <c r="AG435" s="18"/>
      <c r="AH435" s="18"/>
      <c r="AI435" s="18" t="s">
        <v>69</v>
      </c>
      <c r="AJ435" s="18" t="s">
        <v>81</v>
      </c>
      <c r="AK435" s="18" t="s">
        <v>100</v>
      </c>
      <c r="AL435" s="18" t="s">
        <v>107</v>
      </c>
      <c r="AM435" s="18" t="s">
        <v>120</v>
      </c>
      <c r="AN435" s="18" t="s">
        <v>247</v>
      </c>
      <c r="AO435" s="18"/>
      <c r="AP435" s="18"/>
      <c r="AQ435" s="18">
        <f>+VLOOKUP(AI435,Leyenda!$B$30:$E$34,3,FALSE)</f>
        <v>0</v>
      </c>
      <c r="AR435" s="18">
        <f>+VLOOKUP('3. Blasting'!AJ435,Meteorizacion,3,FALSE)</f>
        <v>0</v>
      </c>
      <c r="AS435" s="18">
        <f>+VLOOKUP('3. Blasting'!AK435,Apertura,3,FALSE)</f>
        <v>0</v>
      </c>
      <c r="AT435" s="18">
        <f>+VLOOKUP('3. Blasting'!AL435,Leyenda!$B$55:$D$59,3,FALSE)</f>
        <v>3</v>
      </c>
      <c r="AU435" s="18">
        <f>+VLOOKUP('3. Blasting'!AM435,Relleno,3,FALSE)</f>
        <v>2</v>
      </c>
      <c r="AV435" s="18">
        <f t="shared" si="177"/>
        <v>5</v>
      </c>
      <c r="AW435" s="49">
        <f t="shared" si="166"/>
        <v>0</v>
      </c>
      <c r="AX435" s="49">
        <f>VLOOKUP(AF435,Leyenda!$B$4:$D$10,3,FALSE)</f>
        <v>4</v>
      </c>
      <c r="AY435" s="49">
        <f t="shared" si="160"/>
        <v>7</v>
      </c>
      <c r="AZ435" s="49">
        <f t="shared" si="167"/>
        <v>5</v>
      </c>
      <c r="BA435" s="49">
        <f>VLOOKUP(AN435,Leyenda!$B$70:$D$75,3,FALSE)</f>
        <v>10</v>
      </c>
      <c r="BB435" s="67">
        <f t="shared" si="168"/>
        <v>22.5</v>
      </c>
      <c r="BC435" s="67">
        <f>VLOOKUP(AF435,Leyenda!$B$4:$E$10,4,FALSE)</f>
        <v>4</v>
      </c>
      <c r="BD435" s="67">
        <f t="shared" si="169"/>
        <v>8</v>
      </c>
      <c r="BE435" s="67">
        <f t="shared" si="170"/>
        <v>6</v>
      </c>
      <c r="BF435" s="67">
        <f>+VLOOKUP('3. Blasting'!AK435,Leyenda!$B$47:$E$51,4,FALSE)</f>
        <v>0</v>
      </c>
      <c r="BG435" s="67">
        <f>+VLOOKUP('3. Blasting'!AL435,Leyenda!$B$55:$E$59,4,FALSE)</f>
        <v>3</v>
      </c>
      <c r="BH435" s="67">
        <f>+VLOOKUP('3. Blasting'!AM435,Leyenda!$B$63:$E$67,3,FALSE)</f>
        <v>2</v>
      </c>
      <c r="BI435" s="67">
        <f>+VLOOKUP('3. Blasting'!AJ435,Leyenda!$B$39:$E$43,4,FALSE)</f>
        <v>0</v>
      </c>
      <c r="BJ435" s="67">
        <f>+VLOOKUP('3. Blasting'!AI435,Leyenda!$B$30:$E$34,4,FALSE)</f>
        <v>0</v>
      </c>
      <c r="BK435" s="67">
        <f>VLOOKUP(AN435,Leyenda!$B$71:$E$75,4,FALSE)</f>
        <v>7</v>
      </c>
      <c r="BL435" s="125">
        <f t="shared" si="171"/>
        <v>30</v>
      </c>
      <c r="BM435" s="85">
        <f t="shared" si="172"/>
        <v>26</v>
      </c>
      <c r="BN435" s="18" t="e">
        <f t="shared" ref="BN435:BN440" si="183">+CORREL(BB435:BB784,BL435:BL784)</f>
        <v>#N/A</v>
      </c>
      <c r="BO435" s="18"/>
      <c r="BP435" s="6">
        <f t="shared" ref="BP435:BP440" si="184">+IF(BL435&lt;30,10,IF(BL435&lt;=41,20,30))</f>
        <v>20</v>
      </c>
      <c r="BQ435" s="6">
        <f t="shared" ref="BQ435:BQ440" si="185">+IF(Y435&lt;0.1,10,IF(AND(Y435&gt;0.1,Y435&lt;1),20,50))</f>
        <v>10</v>
      </c>
      <c r="BR435" s="6">
        <v>20</v>
      </c>
      <c r="BS435" s="6">
        <f t="shared" si="161"/>
        <v>3.5</v>
      </c>
      <c r="BT435" s="6">
        <f t="shared" si="162"/>
        <v>1.5650000000000002</v>
      </c>
      <c r="BU435" s="6">
        <f t="shared" si="163"/>
        <v>27.532499999999999</v>
      </c>
      <c r="BV435" s="18">
        <f t="shared" si="157"/>
        <v>0.11012999999999999</v>
      </c>
      <c r="BW435" s="18">
        <f t="shared" si="158"/>
        <v>0.2356782</v>
      </c>
    </row>
    <row r="436" spans="1:75" x14ac:dyDescent="0.25">
      <c r="A436" s="18" t="s">
        <v>6</v>
      </c>
      <c r="B436" s="18">
        <v>2024</v>
      </c>
      <c r="C436" s="18" t="s">
        <v>138</v>
      </c>
      <c r="D436" s="18" t="s">
        <v>134</v>
      </c>
      <c r="E436" s="18">
        <v>40</v>
      </c>
      <c r="F436" s="18" t="s">
        <v>153</v>
      </c>
      <c r="G436" s="18" t="s">
        <v>170</v>
      </c>
      <c r="H436" s="31">
        <f t="shared" si="181"/>
        <v>10.5</v>
      </c>
      <c r="I436" s="31">
        <v>11</v>
      </c>
      <c r="J436" s="4">
        <f t="shared" si="164"/>
        <v>0.5</v>
      </c>
      <c r="K436" s="5">
        <v>0.96</v>
      </c>
      <c r="L436" s="31">
        <f t="shared" si="165"/>
        <v>0.48</v>
      </c>
      <c r="M436" s="31">
        <v>2.14</v>
      </c>
      <c r="N436" s="31">
        <v>31.3</v>
      </c>
      <c r="O436" s="18">
        <f t="shared" si="182"/>
        <v>0.48</v>
      </c>
      <c r="P436" s="18">
        <v>480</v>
      </c>
      <c r="Q436" s="18">
        <v>1</v>
      </c>
      <c r="R436" s="18">
        <v>0.45</v>
      </c>
      <c r="S436" s="18">
        <v>0.15</v>
      </c>
      <c r="T436" s="65">
        <f t="shared" si="176"/>
        <v>30</v>
      </c>
      <c r="U436" s="18">
        <v>4</v>
      </c>
      <c r="V436" s="18"/>
      <c r="W436" s="18">
        <f t="shared" si="179"/>
        <v>4</v>
      </c>
      <c r="X436" s="18">
        <f t="shared" si="180"/>
        <v>112.5</v>
      </c>
      <c r="Y436" s="31">
        <f t="shared" si="159"/>
        <v>0.1125</v>
      </c>
      <c r="Z436" s="18">
        <v>0</v>
      </c>
      <c r="AA436" s="18" t="s">
        <v>92</v>
      </c>
      <c r="AB436" s="18" t="s">
        <v>116</v>
      </c>
      <c r="AC436" s="18" t="s">
        <v>334</v>
      </c>
      <c r="AD436" s="18">
        <v>1</v>
      </c>
      <c r="AE436" s="18">
        <v>480</v>
      </c>
      <c r="AF436" s="18" t="s">
        <v>27</v>
      </c>
      <c r="AG436" s="18"/>
      <c r="AH436" s="18"/>
      <c r="AI436" s="18" t="s">
        <v>69</v>
      </c>
      <c r="AJ436" s="18" t="s">
        <v>81</v>
      </c>
      <c r="AK436" s="18" t="s">
        <v>100</v>
      </c>
      <c r="AL436" s="18" t="s">
        <v>107</v>
      </c>
      <c r="AM436" s="18" t="s">
        <v>120</v>
      </c>
      <c r="AN436" s="18" t="s">
        <v>247</v>
      </c>
      <c r="AO436" s="18"/>
      <c r="AP436" s="18"/>
      <c r="AQ436" s="18">
        <f>+VLOOKUP(AI436,Leyenda!$B$30:$E$34,3,FALSE)</f>
        <v>0</v>
      </c>
      <c r="AR436" s="18">
        <f>+VLOOKUP('3. Blasting'!AJ436,Meteorizacion,3,FALSE)</f>
        <v>0</v>
      </c>
      <c r="AS436" s="18">
        <f>+VLOOKUP('3. Blasting'!AK436,Apertura,3,FALSE)</f>
        <v>0</v>
      </c>
      <c r="AT436" s="18">
        <f>+VLOOKUP('3. Blasting'!AL436,Leyenda!$B$55:$D$59,3,FALSE)</f>
        <v>3</v>
      </c>
      <c r="AU436" s="18">
        <f>+VLOOKUP('3. Blasting'!AM436,Relleno,3,FALSE)</f>
        <v>2</v>
      </c>
      <c r="AV436" s="18">
        <f t="shared" si="177"/>
        <v>5</v>
      </c>
      <c r="AW436" s="49">
        <f t="shared" si="166"/>
        <v>0</v>
      </c>
      <c r="AX436" s="49">
        <f>VLOOKUP(AF436,Leyenda!$B$4:$D$10,3,FALSE)</f>
        <v>4</v>
      </c>
      <c r="AY436" s="49">
        <f t="shared" si="160"/>
        <v>12</v>
      </c>
      <c r="AZ436" s="49">
        <f t="shared" si="167"/>
        <v>5</v>
      </c>
      <c r="BA436" s="49">
        <f>VLOOKUP(AN436,Leyenda!$B$70:$D$75,3,FALSE)</f>
        <v>10</v>
      </c>
      <c r="BB436" s="67">
        <f t="shared" si="168"/>
        <v>22.5</v>
      </c>
      <c r="BC436" s="67">
        <f>VLOOKUP(AF436,Leyenda!$B$4:$E$10,4,FALSE)</f>
        <v>4</v>
      </c>
      <c r="BD436" s="67">
        <f t="shared" si="169"/>
        <v>9</v>
      </c>
      <c r="BE436" s="67">
        <f t="shared" si="170"/>
        <v>6</v>
      </c>
      <c r="BF436" s="67">
        <f>+VLOOKUP('3. Blasting'!AK436,Leyenda!$B$47:$E$51,4,FALSE)</f>
        <v>0</v>
      </c>
      <c r="BG436" s="67">
        <f>+VLOOKUP('3. Blasting'!AL436,Leyenda!$B$55:$E$59,4,FALSE)</f>
        <v>3</v>
      </c>
      <c r="BH436" s="67">
        <f>+VLOOKUP('3. Blasting'!AM436,Leyenda!$B$63:$E$67,3,FALSE)</f>
        <v>2</v>
      </c>
      <c r="BI436" s="67">
        <f>+VLOOKUP('3. Blasting'!AJ436,Leyenda!$B$39:$E$43,4,FALSE)</f>
        <v>0</v>
      </c>
      <c r="BJ436" s="67">
        <f>+VLOOKUP('3. Blasting'!AI436,Leyenda!$B$30:$E$34,4,FALSE)</f>
        <v>0</v>
      </c>
      <c r="BK436" s="67">
        <f>VLOOKUP(AN436,Leyenda!$B$71:$E$75,4,FALSE)</f>
        <v>7</v>
      </c>
      <c r="BL436" s="125">
        <f t="shared" si="171"/>
        <v>31</v>
      </c>
      <c r="BM436" s="85">
        <f t="shared" si="172"/>
        <v>31</v>
      </c>
      <c r="BN436" s="18" t="e">
        <f t="shared" si="183"/>
        <v>#N/A</v>
      </c>
      <c r="BO436" s="18"/>
      <c r="BP436" s="6">
        <f t="shared" si="184"/>
        <v>20</v>
      </c>
      <c r="BQ436" s="6">
        <f t="shared" si="185"/>
        <v>20</v>
      </c>
      <c r="BR436" s="6">
        <v>20</v>
      </c>
      <c r="BS436" s="6">
        <f t="shared" si="161"/>
        <v>3.5</v>
      </c>
      <c r="BT436" s="6">
        <f t="shared" si="162"/>
        <v>1.5650000000000002</v>
      </c>
      <c r="BU436" s="6">
        <f t="shared" si="163"/>
        <v>32.532499999999999</v>
      </c>
      <c r="BV436" s="18">
        <f t="shared" si="157"/>
        <v>0.13013</v>
      </c>
      <c r="BW436" s="18">
        <f t="shared" si="158"/>
        <v>0.27847820000000001</v>
      </c>
    </row>
    <row r="437" spans="1:75" x14ac:dyDescent="0.25">
      <c r="A437" s="18" t="s">
        <v>6</v>
      </c>
      <c r="B437" s="18">
        <v>2024</v>
      </c>
      <c r="C437" s="18" t="s">
        <v>138</v>
      </c>
      <c r="D437" s="18" t="s">
        <v>134</v>
      </c>
      <c r="E437" s="18">
        <v>40</v>
      </c>
      <c r="F437" s="18" t="s">
        <v>153</v>
      </c>
      <c r="G437" s="18" t="s">
        <v>170</v>
      </c>
      <c r="H437" s="31">
        <f t="shared" si="181"/>
        <v>11</v>
      </c>
      <c r="I437" s="31">
        <v>11.5</v>
      </c>
      <c r="J437" s="4">
        <f t="shared" si="164"/>
        <v>0.5</v>
      </c>
      <c r="K437" s="5">
        <v>0.52</v>
      </c>
      <c r="L437" s="31">
        <f t="shared" si="165"/>
        <v>0.26</v>
      </c>
      <c r="M437" s="31">
        <v>2.14</v>
      </c>
      <c r="N437" s="31">
        <v>31.3</v>
      </c>
      <c r="O437" s="18">
        <f t="shared" si="182"/>
        <v>0.26</v>
      </c>
      <c r="P437" s="18">
        <v>260</v>
      </c>
      <c r="Q437" s="18">
        <v>1</v>
      </c>
      <c r="R437" s="18">
        <v>0.19</v>
      </c>
      <c r="S437" s="18">
        <v>0</v>
      </c>
      <c r="T437" s="65">
        <f t="shared" si="176"/>
        <v>0</v>
      </c>
      <c r="U437" s="18">
        <v>3</v>
      </c>
      <c r="V437" s="18"/>
      <c r="W437" s="18">
        <f t="shared" si="179"/>
        <v>3</v>
      </c>
      <c r="X437" s="18">
        <f t="shared" si="180"/>
        <v>63.333333333333336</v>
      </c>
      <c r="Y437" s="31">
        <f t="shared" si="159"/>
        <v>6.3333333333333339E-2</v>
      </c>
      <c r="Z437" s="18">
        <v>0</v>
      </c>
      <c r="AA437" s="18" t="s">
        <v>92</v>
      </c>
      <c r="AB437" s="18" t="s">
        <v>116</v>
      </c>
      <c r="AC437" s="18" t="s">
        <v>334</v>
      </c>
      <c r="AD437" s="18">
        <v>1</v>
      </c>
      <c r="AE437" s="18">
        <v>260</v>
      </c>
      <c r="AF437" s="18" t="s">
        <v>27</v>
      </c>
      <c r="AG437" s="18"/>
      <c r="AH437" s="18"/>
      <c r="AI437" s="18" t="s">
        <v>69</v>
      </c>
      <c r="AJ437" s="18" t="s">
        <v>81</v>
      </c>
      <c r="AK437" s="18" t="s">
        <v>100</v>
      </c>
      <c r="AL437" s="18" t="s">
        <v>107</v>
      </c>
      <c r="AM437" s="18" t="s">
        <v>120</v>
      </c>
      <c r="AN437" s="18" t="s">
        <v>247</v>
      </c>
      <c r="AO437" s="18"/>
      <c r="AP437" s="18"/>
      <c r="AQ437" s="18">
        <f>+VLOOKUP(AI437,Leyenda!$B$30:$E$34,3,FALSE)</f>
        <v>0</v>
      </c>
      <c r="AR437" s="18">
        <f>+VLOOKUP('3. Blasting'!AJ437,Meteorizacion,3,FALSE)</f>
        <v>0</v>
      </c>
      <c r="AS437" s="18">
        <f>+VLOOKUP('3. Blasting'!AK437,Apertura,3,FALSE)</f>
        <v>0</v>
      </c>
      <c r="AT437" s="18">
        <f>+VLOOKUP('3. Blasting'!AL437,Leyenda!$B$55:$D$59,3,FALSE)</f>
        <v>3</v>
      </c>
      <c r="AU437" s="18">
        <f>+VLOOKUP('3. Blasting'!AM437,Relleno,3,FALSE)</f>
        <v>2</v>
      </c>
      <c r="AV437" s="18">
        <f t="shared" si="177"/>
        <v>5</v>
      </c>
      <c r="AW437" s="49">
        <f t="shared" si="166"/>
        <v>0</v>
      </c>
      <c r="AX437" s="49">
        <f>VLOOKUP(AF437,Leyenda!$B$4:$D$10,3,FALSE)</f>
        <v>4</v>
      </c>
      <c r="AY437" s="49">
        <f t="shared" si="160"/>
        <v>10</v>
      </c>
      <c r="AZ437" s="49">
        <f t="shared" si="167"/>
        <v>5</v>
      </c>
      <c r="BA437" s="49">
        <f>VLOOKUP(AN437,Leyenda!$B$70:$D$75,3,FALSE)</f>
        <v>10</v>
      </c>
      <c r="BB437" s="67">
        <f t="shared" si="168"/>
        <v>7.5</v>
      </c>
      <c r="BC437" s="67">
        <f>VLOOKUP(AF437,Leyenda!$B$4:$E$10,4,FALSE)</f>
        <v>4</v>
      </c>
      <c r="BD437" s="67">
        <f t="shared" si="169"/>
        <v>5</v>
      </c>
      <c r="BE437" s="67">
        <f t="shared" si="170"/>
        <v>0</v>
      </c>
      <c r="BF437" s="67">
        <f>+VLOOKUP('3. Blasting'!AK437,Leyenda!$B$47:$E$51,4,FALSE)</f>
        <v>0</v>
      </c>
      <c r="BG437" s="67">
        <f>+VLOOKUP('3. Blasting'!AL437,Leyenda!$B$55:$E$59,4,FALSE)</f>
        <v>3</v>
      </c>
      <c r="BH437" s="67">
        <f>+VLOOKUP('3. Blasting'!AM437,Leyenda!$B$63:$E$67,3,FALSE)</f>
        <v>2</v>
      </c>
      <c r="BI437" s="67">
        <f>+VLOOKUP('3. Blasting'!AJ437,Leyenda!$B$39:$E$43,4,FALSE)</f>
        <v>0</v>
      </c>
      <c r="BJ437" s="67">
        <f>+VLOOKUP('3. Blasting'!AI437,Leyenda!$B$30:$E$34,4,FALSE)</f>
        <v>0</v>
      </c>
      <c r="BK437" s="67">
        <f>VLOOKUP(AN437,Leyenda!$B$71:$E$75,4,FALSE)</f>
        <v>7</v>
      </c>
      <c r="BL437" s="125">
        <f t="shared" si="171"/>
        <v>21</v>
      </c>
      <c r="BM437" s="85">
        <f t="shared" si="172"/>
        <v>29</v>
      </c>
      <c r="BN437" s="18" t="e">
        <f t="shared" si="183"/>
        <v>#N/A</v>
      </c>
      <c r="BO437" s="18"/>
      <c r="BP437" s="6">
        <f t="shared" si="184"/>
        <v>10</v>
      </c>
      <c r="BQ437" s="6">
        <f t="shared" si="185"/>
        <v>10</v>
      </c>
      <c r="BR437" s="6">
        <v>20</v>
      </c>
      <c r="BS437" s="6">
        <f t="shared" si="161"/>
        <v>3.5</v>
      </c>
      <c r="BT437" s="6">
        <f t="shared" si="162"/>
        <v>1.5650000000000002</v>
      </c>
      <c r="BU437" s="6">
        <f t="shared" si="163"/>
        <v>22.532499999999999</v>
      </c>
      <c r="BV437" s="18">
        <f t="shared" si="157"/>
        <v>9.0130000000000002E-2</v>
      </c>
      <c r="BW437" s="18">
        <f t="shared" si="158"/>
        <v>0.19287820000000003</v>
      </c>
    </row>
    <row r="438" spans="1:75" x14ac:dyDescent="0.25">
      <c r="A438" s="18" t="s">
        <v>6</v>
      </c>
      <c r="B438" s="18">
        <v>2024</v>
      </c>
      <c r="C438" s="18" t="s">
        <v>138</v>
      </c>
      <c r="D438" s="18" t="s">
        <v>134</v>
      </c>
      <c r="E438" s="18">
        <v>40</v>
      </c>
      <c r="F438" s="18" t="s">
        <v>153</v>
      </c>
      <c r="G438" s="18" t="s">
        <v>171</v>
      </c>
      <c r="H438" s="31">
        <f t="shared" si="181"/>
        <v>11.5</v>
      </c>
      <c r="I438" s="31">
        <v>12</v>
      </c>
      <c r="J438" s="4">
        <f t="shared" si="164"/>
        <v>0.5</v>
      </c>
      <c r="K438" s="5">
        <v>0.62</v>
      </c>
      <c r="L438" s="31">
        <f t="shared" si="165"/>
        <v>0.31</v>
      </c>
      <c r="M438" s="31">
        <v>2.14</v>
      </c>
      <c r="N438" s="31">
        <v>31.3</v>
      </c>
      <c r="O438" s="18">
        <f t="shared" si="182"/>
        <v>0.31</v>
      </c>
      <c r="P438" s="18">
        <v>20.666666666666668</v>
      </c>
      <c r="Q438" s="18">
        <v>15</v>
      </c>
      <c r="R438" s="18">
        <v>0.24</v>
      </c>
      <c r="S438" s="18">
        <v>0.11</v>
      </c>
      <c r="T438" s="65">
        <f t="shared" si="176"/>
        <v>22</v>
      </c>
      <c r="U438" s="18">
        <v>3</v>
      </c>
      <c r="V438" s="18"/>
      <c r="W438" s="18">
        <f t="shared" si="179"/>
        <v>3</v>
      </c>
      <c r="X438" s="18">
        <f t="shared" si="180"/>
        <v>80</v>
      </c>
      <c r="Y438" s="31">
        <f t="shared" si="159"/>
        <v>0.08</v>
      </c>
      <c r="Z438" s="18">
        <v>0</v>
      </c>
      <c r="AA438" s="18" t="s">
        <v>96</v>
      </c>
      <c r="AB438" s="18" t="s">
        <v>122</v>
      </c>
      <c r="AC438" s="18" t="s">
        <v>337</v>
      </c>
      <c r="AD438" s="18">
        <v>15</v>
      </c>
      <c r="AE438" s="18">
        <v>20.666666666666668</v>
      </c>
      <c r="AF438" s="18" t="s">
        <v>29</v>
      </c>
      <c r="AG438" s="18"/>
      <c r="AH438" s="18"/>
      <c r="AI438" s="18" t="s">
        <v>69</v>
      </c>
      <c r="AJ438" s="18" t="s">
        <v>81</v>
      </c>
      <c r="AK438" s="18" t="s">
        <v>100</v>
      </c>
      <c r="AL438" s="18" t="s">
        <v>107</v>
      </c>
      <c r="AM438" s="18" t="s">
        <v>120</v>
      </c>
      <c r="AN438" s="18" t="s">
        <v>247</v>
      </c>
      <c r="AO438" s="18"/>
      <c r="AP438" s="18"/>
      <c r="AQ438" s="18">
        <f>+VLOOKUP(AI438,Leyenda!$B$30:$E$34,3,FALSE)</f>
        <v>0</v>
      </c>
      <c r="AR438" s="18">
        <f>+VLOOKUP('3. Blasting'!AJ438,Meteorizacion,3,FALSE)</f>
        <v>0</v>
      </c>
      <c r="AS438" s="18">
        <f>+VLOOKUP('3. Blasting'!AK438,Apertura,3,FALSE)</f>
        <v>0</v>
      </c>
      <c r="AT438" s="18">
        <f>+VLOOKUP('3. Blasting'!AL438,Leyenda!$B$55:$D$59,3,FALSE)</f>
        <v>3</v>
      </c>
      <c r="AU438" s="18">
        <f>+VLOOKUP('3. Blasting'!AM438,Relleno,3,FALSE)</f>
        <v>2</v>
      </c>
      <c r="AV438" s="18">
        <f t="shared" si="177"/>
        <v>5</v>
      </c>
      <c r="AW438" s="49">
        <f t="shared" si="166"/>
        <v>0</v>
      </c>
      <c r="AX438" s="49">
        <f>VLOOKUP(AF438,Leyenda!$B$4:$D$10,3,FALSE)</f>
        <v>2</v>
      </c>
      <c r="AY438" s="49">
        <f t="shared" si="160"/>
        <v>4</v>
      </c>
      <c r="AZ438" s="49">
        <f t="shared" si="167"/>
        <v>5</v>
      </c>
      <c r="BA438" s="49">
        <f>VLOOKUP(AN438,Leyenda!$B$70:$D$75,3,FALSE)</f>
        <v>10</v>
      </c>
      <c r="BB438" s="67">
        <f t="shared" si="168"/>
        <v>18.5</v>
      </c>
      <c r="BC438" s="67">
        <f>VLOOKUP(AF438,Leyenda!$B$4:$E$10,4,FALSE)</f>
        <v>2</v>
      </c>
      <c r="BD438" s="67">
        <f t="shared" si="169"/>
        <v>7</v>
      </c>
      <c r="BE438" s="67">
        <f t="shared" si="170"/>
        <v>5</v>
      </c>
      <c r="BF438" s="67">
        <f>+VLOOKUP('3. Blasting'!AK438,Leyenda!$B$47:$E$51,4,FALSE)</f>
        <v>0</v>
      </c>
      <c r="BG438" s="67">
        <f>+VLOOKUP('3. Blasting'!AL438,Leyenda!$B$55:$E$59,4,FALSE)</f>
        <v>3</v>
      </c>
      <c r="BH438" s="67">
        <f>+VLOOKUP('3. Blasting'!AM438,Leyenda!$B$63:$E$67,3,FALSE)</f>
        <v>2</v>
      </c>
      <c r="BI438" s="67">
        <f>+VLOOKUP('3. Blasting'!AJ438,Leyenda!$B$39:$E$43,4,FALSE)</f>
        <v>0</v>
      </c>
      <c r="BJ438" s="67">
        <f>+VLOOKUP('3. Blasting'!AI438,Leyenda!$B$30:$E$34,4,FALSE)</f>
        <v>0</v>
      </c>
      <c r="BK438" s="67">
        <f>VLOOKUP(AN438,Leyenda!$B$71:$E$75,4,FALSE)</f>
        <v>7</v>
      </c>
      <c r="BL438" s="125">
        <f t="shared" si="171"/>
        <v>26</v>
      </c>
      <c r="BM438" s="85">
        <f t="shared" si="172"/>
        <v>21</v>
      </c>
      <c r="BN438" s="18" t="e">
        <f t="shared" si="183"/>
        <v>#N/A</v>
      </c>
      <c r="BO438" s="18"/>
      <c r="BP438" s="6">
        <f t="shared" si="184"/>
        <v>10</v>
      </c>
      <c r="BQ438" s="6">
        <f t="shared" si="185"/>
        <v>10</v>
      </c>
      <c r="BR438" s="6">
        <v>20</v>
      </c>
      <c r="BS438" s="6">
        <f t="shared" si="161"/>
        <v>3.5</v>
      </c>
      <c r="BT438" s="6">
        <f t="shared" si="162"/>
        <v>1.5650000000000002</v>
      </c>
      <c r="BU438" s="6">
        <f t="shared" si="163"/>
        <v>22.532499999999999</v>
      </c>
      <c r="BV438" s="18">
        <f t="shared" si="157"/>
        <v>9.0130000000000002E-2</v>
      </c>
      <c r="BW438" s="18">
        <f t="shared" si="158"/>
        <v>0.19287820000000003</v>
      </c>
    </row>
    <row r="439" spans="1:75" x14ac:dyDescent="0.25">
      <c r="A439" s="18" t="s">
        <v>6</v>
      </c>
      <c r="B439" s="18">
        <v>2024</v>
      </c>
      <c r="C439" s="18" t="s">
        <v>138</v>
      </c>
      <c r="D439" s="18" t="s">
        <v>134</v>
      </c>
      <c r="E439" s="18">
        <v>40</v>
      </c>
      <c r="F439" s="18" t="s">
        <v>153</v>
      </c>
      <c r="G439" s="18" t="s">
        <v>171</v>
      </c>
      <c r="H439" s="31">
        <f t="shared" si="181"/>
        <v>12</v>
      </c>
      <c r="I439" s="31">
        <v>12.5</v>
      </c>
      <c r="J439" s="4">
        <f t="shared" si="164"/>
        <v>0.5</v>
      </c>
      <c r="K439" s="5">
        <v>0.76</v>
      </c>
      <c r="L439" s="31">
        <f t="shared" si="165"/>
        <v>0.38</v>
      </c>
      <c r="M439" s="31">
        <v>2.14</v>
      </c>
      <c r="N439" s="31">
        <v>31.3</v>
      </c>
      <c r="O439" s="18">
        <f t="shared" si="182"/>
        <v>0.38</v>
      </c>
      <c r="P439" s="18">
        <v>19</v>
      </c>
      <c r="Q439" s="18">
        <v>20</v>
      </c>
      <c r="R439" s="18">
        <v>0.3</v>
      </c>
      <c r="S439" s="18">
        <v>0.1</v>
      </c>
      <c r="T439" s="65">
        <f t="shared" si="176"/>
        <v>20</v>
      </c>
      <c r="U439" s="18">
        <v>6</v>
      </c>
      <c r="V439" s="18"/>
      <c r="W439" s="18">
        <f t="shared" si="179"/>
        <v>6</v>
      </c>
      <c r="X439" s="18">
        <f t="shared" si="180"/>
        <v>50</v>
      </c>
      <c r="Y439" s="31">
        <f t="shared" si="159"/>
        <v>0.05</v>
      </c>
      <c r="Z439" s="18">
        <v>0</v>
      </c>
      <c r="AA439" s="18" t="s">
        <v>100</v>
      </c>
      <c r="AB439" s="18" t="s">
        <v>333</v>
      </c>
      <c r="AC439" s="18" t="s">
        <v>336</v>
      </c>
      <c r="AD439" s="18">
        <v>20</v>
      </c>
      <c r="AE439" s="18">
        <v>19</v>
      </c>
      <c r="AF439" s="18" t="s">
        <v>32</v>
      </c>
      <c r="AG439" s="18"/>
      <c r="AH439" s="18"/>
      <c r="AI439" s="18" t="s">
        <v>69</v>
      </c>
      <c r="AJ439" s="18" t="s">
        <v>81</v>
      </c>
      <c r="AK439" s="18" t="s">
        <v>100</v>
      </c>
      <c r="AL439" s="18" t="s">
        <v>107</v>
      </c>
      <c r="AM439" s="18" t="s">
        <v>120</v>
      </c>
      <c r="AN439" s="18" t="s">
        <v>247</v>
      </c>
      <c r="AO439" s="18"/>
      <c r="AP439" s="18"/>
      <c r="AQ439" s="18">
        <f>+VLOOKUP(AI439,Leyenda!$B$30:$E$34,3,FALSE)</f>
        <v>0</v>
      </c>
      <c r="AR439" s="18">
        <f>+VLOOKUP('3. Blasting'!AJ439,Meteorizacion,3,FALSE)</f>
        <v>0</v>
      </c>
      <c r="AS439" s="18">
        <f>+VLOOKUP('3. Blasting'!AK439,Apertura,3,FALSE)</f>
        <v>0</v>
      </c>
      <c r="AT439" s="18">
        <f>+VLOOKUP('3. Blasting'!AL439,Leyenda!$B$55:$D$59,3,FALSE)</f>
        <v>3</v>
      </c>
      <c r="AU439" s="18">
        <f>+VLOOKUP('3. Blasting'!AM439,Relleno,3,FALSE)</f>
        <v>2</v>
      </c>
      <c r="AV439" s="18">
        <f t="shared" si="177"/>
        <v>5</v>
      </c>
      <c r="AW439" s="49">
        <f t="shared" si="166"/>
        <v>0</v>
      </c>
      <c r="AX439" s="49">
        <f>VLOOKUP(AF439,Leyenda!$B$4:$D$10,3,FALSE)</f>
        <v>1</v>
      </c>
      <c r="AY439" s="49">
        <f t="shared" si="160"/>
        <v>4</v>
      </c>
      <c r="AZ439" s="49">
        <f t="shared" si="167"/>
        <v>5</v>
      </c>
      <c r="BA439" s="49">
        <f>VLOOKUP(AN439,Leyenda!$B$70:$D$75,3,FALSE)</f>
        <v>10</v>
      </c>
      <c r="BB439" s="67">
        <f t="shared" si="168"/>
        <v>17.5</v>
      </c>
      <c r="BC439" s="67">
        <f>VLOOKUP(AF439,Leyenda!$B$4:$E$10,4,FALSE)</f>
        <v>1</v>
      </c>
      <c r="BD439" s="67">
        <f t="shared" si="169"/>
        <v>5</v>
      </c>
      <c r="BE439" s="67">
        <f t="shared" si="170"/>
        <v>4</v>
      </c>
      <c r="BF439" s="67">
        <f>+VLOOKUP('3. Blasting'!AK439,Leyenda!$B$47:$E$51,4,FALSE)</f>
        <v>0</v>
      </c>
      <c r="BG439" s="67">
        <f>+VLOOKUP('3. Blasting'!AL439,Leyenda!$B$55:$E$59,4,FALSE)</f>
        <v>3</v>
      </c>
      <c r="BH439" s="67">
        <f>+VLOOKUP('3. Blasting'!AM439,Leyenda!$B$63:$E$67,3,FALSE)</f>
        <v>2</v>
      </c>
      <c r="BI439" s="67">
        <f>+VLOOKUP('3. Blasting'!AJ439,Leyenda!$B$39:$E$43,4,FALSE)</f>
        <v>0</v>
      </c>
      <c r="BJ439" s="67">
        <f>+VLOOKUP('3. Blasting'!AI439,Leyenda!$B$30:$E$34,4,FALSE)</f>
        <v>0</v>
      </c>
      <c r="BK439" s="67">
        <f>VLOOKUP(AN439,Leyenda!$B$71:$E$75,4,FALSE)</f>
        <v>7</v>
      </c>
      <c r="BL439" s="125">
        <f t="shared" si="171"/>
        <v>22</v>
      </c>
      <c r="BM439" s="85">
        <f t="shared" si="172"/>
        <v>20</v>
      </c>
      <c r="BN439" s="18" t="e">
        <f t="shared" si="183"/>
        <v>#N/A</v>
      </c>
      <c r="BO439" s="18"/>
      <c r="BP439" s="6">
        <f t="shared" si="184"/>
        <v>10</v>
      </c>
      <c r="BQ439" s="6">
        <f t="shared" si="185"/>
        <v>10</v>
      </c>
      <c r="BR439" s="6">
        <v>20</v>
      </c>
      <c r="BS439" s="6">
        <f t="shared" si="161"/>
        <v>3.5</v>
      </c>
      <c r="BT439" s="6">
        <f t="shared" si="162"/>
        <v>1.5650000000000002</v>
      </c>
      <c r="BU439" s="6">
        <f t="shared" si="163"/>
        <v>22.532499999999999</v>
      </c>
      <c r="BV439" s="18">
        <f t="shared" si="157"/>
        <v>9.0130000000000002E-2</v>
      </c>
      <c r="BW439" s="18">
        <f t="shared" si="158"/>
        <v>0.19287820000000003</v>
      </c>
    </row>
    <row r="440" spans="1:75" x14ac:dyDescent="0.25">
      <c r="A440" s="18" t="s">
        <v>6</v>
      </c>
      <c r="B440" s="18">
        <v>2024</v>
      </c>
      <c r="C440" s="18" t="s">
        <v>138</v>
      </c>
      <c r="D440" s="18" t="s">
        <v>134</v>
      </c>
      <c r="E440" s="18">
        <v>40</v>
      </c>
      <c r="F440" s="18" t="s">
        <v>153</v>
      </c>
      <c r="G440" s="18" t="s">
        <v>172</v>
      </c>
      <c r="H440" s="31">
        <f t="shared" si="181"/>
        <v>12.5</v>
      </c>
      <c r="I440" s="31">
        <v>13</v>
      </c>
      <c r="J440" s="4">
        <f t="shared" si="164"/>
        <v>0.5</v>
      </c>
      <c r="K440" s="5">
        <v>0.86</v>
      </c>
      <c r="L440" s="31">
        <f t="shared" si="165"/>
        <v>0.43</v>
      </c>
      <c r="M440" s="31">
        <v>2.14</v>
      </c>
      <c r="N440" s="31">
        <v>31.3</v>
      </c>
      <c r="O440" s="18">
        <f t="shared" si="182"/>
        <v>0.43</v>
      </c>
      <c r="P440" s="18">
        <v>21.5</v>
      </c>
      <c r="Q440" s="18">
        <v>20</v>
      </c>
      <c r="R440" s="18">
        <v>0.36</v>
      </c>
      <c r="S440" s="18">
        <v>0.12</v>
      </c>
      <c r="T440" s="65">
        <f t="shared" si="176"/>
        <v>24</v>
      </c>
      <c r="U440" s="18">
        <v>4</v>
      </c>
      <c r="V440" s="18"/>
      <c r="W440" s="18">
        <f t="shared" si="179"/>
        <v>4</v>
      </c>
      <c r="X440" s="18">
        <f t="shared" si="180"/>
        <v>90</v>
      </c>
      <c r="Y440" s="31">
        <f t="shared" si="159"/>
        <v>0.09</v>
      </c>
      <c r="Z440" s="18">
        <v>0</v>
      </c>
      <c r="AA440" s="18" t="s">
        <v>96</v>
      </c>
      <c r="AB440" s="18" t="s">
        <v>333</v>
      </c>
      <c r="AC440" s="18" t="s">
        <v>337</v>
      </c>
      <c r="AD440" s="18">
        <v>20</v>
      </c>
      <c r="AE440" s="18">
        <v>21.5</v>
      </c>
      <c r="AF440" s="18" t="s">
        <v>29</v>
      </c>
      <c r="AG440" s="18"/>
      <c r="AH440" s="18"/>
      <c r="AI440" s="18" t="s">
        <v>69</v>
      </c>
      <c r="AJ440" s="18" t="s">
        <v>81</v>
      </c>
      <c r="AK440" s="18" t="s">
        <v>100</v>
      </c>
      <c r="AL440" s="18" t="s">
        <v>107</v>
      </c>
      <c r="AM440" s="18" t="s">
        <v>120</v>
      </c>
      <c r="AN440" s="18" t="s">
        <v>247</v>
      </c>
      <c r="AO440" s="18"/>
      <c r="AP440" s="18"/>
      <c r="AQ440" s="18">
        <f>+VLOOKUP(AI440,Leyenda!$B$30:$E$34,3,FALSE)</f>
        <v>0</v>
      </c>
      <c r="AR440" s="18">
        <f>+VLOOKUP('3. Blasting'!AJ440,Meteorizacion,3,FALSE)</f>
        <v>0</v>
      </c>
      <c r="AS440" s="18">
        <f>+VLOOKUP('3. Blasting'!AK440,Apertura,3,FALSE)</f>
        <v>0</v>
      </c>
      <c r="AT440" s="18">
        <f>+VLOOKUP('3. Blasting'!AL440,Leyenda!$B$55:$D$59,3,FALSE)</f>
        <v>3</v>
      </c>
      <c r="AU440" s="18">
        <f>+VLOOKUP('3. Blasting'!AM440,Relleno,3,FALSE)</f>
        <v>2</v>
      </c>
      <c r="AV440" s="18">
        <f t="shared" si="177"/>
        <v>5</v>
      </c>
      <c r="AW440" s="49">
        <f t="shared" si="166"/>
        <v>0</v>
      </c>
      <c r="AX440" s="49">
        <f>VLOOKUP(AF440,Leyenda!$B$4:$D$10,3,FALSE)</f>
        <v>2</v>
      </c>
      <c r="AY440" s="49">
        <f t="shared" si="160"/>
        <v>4</v>
      </c>
      <c r="AZ440" s="49">
        <f t="shared" si="167"/>
        <v>5</v>
      </c>
      <c r="BA440" s="49">
        <f>VLOOKUP(AN440,Leyenda!$B$70:$D$75,3,FALSE)</f>
        <v>10</v>
      </c>
      <c r="BB440" s="67">
        <f t="shared" si="168"/>
        <v>19.5</v>
      </c>
      <c r="BC440" s="67">
        <f>VLOOKUP(AF440,Leyenda!$B$4:$E$10,4,FALSE)</f>
        <v>2</v>
      </c>
      <c r="BD440" s="67">
        <f t="shared" si="169"/>
        <v>8</v>
      </c>
      <c r="BE440" s="67">
        <f t="shared" si="170"/>
        <v>5</v>
      </c>
      <c r="BF440" s="67">
        <f>+VLOOKUP('3. Blasting'!AK440,Leyenda!$B$47:$E$51,4,FALSE)</f>
        <v>0</v>
      </c>
      <c r="BG440" s="67">
        <f>+VLOOKUP('3. Blasting'!AL440,Leyenda!$B$55:$E$59,4,FALSE)</f>
        <v>3</v>
      </c>
      <c r="BH440" s="67">
        <f>+VLOOKUP('3. Blasting'!AM440,Leyenda!$B$63:$E$67,3,FALSE)</f>
        <v>2</v>
      </c>
      <c r="BI440" s="67">
        <f>+VLOOKUP('3. Blasting'!AJ440,Leyenda!$B$39:$E$43,4,FALSE)</f>
        <v>0</v>
      </c>
      <c r="BJ440" s="67">
        <f>+VLOOKUP('3. Blasting'!AI440,Leyenda!$B$30:$E$34,4,FALSE)</f>
        <v>0</v>
      </c>
      <c r="BK440" s="67">
        <f>VLOOKUP(AN440,Leyenda!$B$71:$E$75,4,FALSE)</f>
        <v>7</v>
      </c>
      <c r="BL440" s="125">
        <f t="shared" si="171"/>
        <v>27</v>
      </c>
      <c r="BM440" s="85">
        <f t="shared" si="172"/>
        <v>21</v>
      </c>
      <c r="BN440" s="18" t="e">
        <f t="shared" si="183"/>
        <v>#N/A</v>
      </c>
      <c r="BO440" s="18"/>
      <c r="BP440" s="6">
        <f t="shared" si="184"/>
        <v>10</v>
      </c>
      <c r="BQ440" s="6">
        <f t="shared" si="185"/>
        <v>10</v>
      </c>
      <c r="BR440" s="6">
        <v>20</v>
      </c>
      <c r="BS440" s="6">
        <f t="shared" si="161"/>
        <v>3.5</v>
      </c>
      <c r="BT440" s="6">
        <f t="shared" si="162"/>
        <v>1.5650000000000002</v>
      </c>
      <c r="BU440" s="6">
        <f t="shared" si="163"/>
        <v>22.532499999999999</v>
      </c>
      <c r="BV440" s="18">
        <f t="shared" si="157"/>
        <v>9.0130000000000002E-2</v>
      </c>
      <c r="BW440" s="18">
        <f t="shared" si="158"/>
        <v>0.19287820000000003</v>
      </c>
    </row>
    <row r="441" spans="1:75" hidden="1" x14ac:dyDescent="0.25">
      <c r="A441" s="35" t="s">
        <v>6</v>
      </c>
      <c r="B441" s="35">
        <v>2024</v>
      </c>
      <c r="C441" s="35" t="s">
        <v>138</v>
      </c>
      <c r="D441" s="35" t="s">
        <v>134</v>
      </c>
      <c r="E441" s="35">
        <v>50</v>
      </c>
      <c r="F441" s="35" t="s">
        <v>154</v>
      </c>
      <c r="G441" s="35" t="s">
        <v>172</v>
      </c>
      <c r="H441" s="114">
        <f t="shared" si="181"/>
        <v>13</v>
      </c>
      <c r="I441" s="114">
        <v>13.5</v>
      </c>
      <c r="J441" s="115">
        <f t="shared" si="164"/>
        <v>0.5</v>
      </c>
      <c r="K441" s="116">
        <v>0.48</v>
      </c>
      <c r="L441" s="114">
        <f t="shared" si="165"/>
        <v>0.24</v>
      </c>
      <c r="M441" s="114"/>
      <c r="N441" s="114"/>
      <c r="O441" s="35">
        <f t="shared" si="182"/>
        <v>0.24</v>
      </c>
      <c r="P441" s="35">
        <v>12</v>
      </c>
      <c r="Q441" s="35">
        <v>20</v>
      </c>
      <c r="R441" s="35">
        <v>0.21</v>
      </c>
      <c r="S441" s="35">
        <v>0</v>
      </c>
      <c r="T441" s="122">
        <f t="shared" si="176"/>
        <v>0</v>
      </c>
      <c r="U441" s="35">
        <v>4</v>
      </c>
      <c r="V441" s="35"/>
      <c r="W441" s="35">
        <f t="shared" si="179"/>
        <v>4</v>
      </c>
      <c r="X441" s="35">
        <f t="shared" si="180"/>
        <v>52.5</v>
      </c>
      <c r="Y441" s="114">
        <f t="shared" si="159"/>
        <v>5.2499999999999998E-2</v>
      </c>
      <c r="Z441" s="35">
        <v>0</v>
      </c>
      <c r="AA441" s="35" t="s">
        <v>96</v>
      </c>
      <c r="AB441" s="35" t="s">
        <v>333</v>
      </c>
      <c r="AC441" s="35" t="s">
        <v>337</v>
      </c>
      <c r="AD441" s="35">
        <v>20</v>
      </c>
      <c r="AE441" s="35">
        <v>12</v>
      </c>
      <c r="AF441" s="35" t="s">
        <v>29</v>
      </c>
      <c r="AG441" s="35"/>
      <c r="AH441" s="35"/>
      <c r="AI441" s="35" t="s">
        <v>69</v>
      </c>
      <c r="AJ441" s="35" t="s">
        <v>81</v>
      </c>
      <c r="AK441" s="35" t="s">
        <v>100</v>
      </c>
      <c r="AL441" s="35" t="s">
        <v>109</v>
      </c>
      <c r="AM441" s="35" t="s">
        <v>122</v>
      </c>
      <c r="AN441" s="35" t="s">
        <v>198</v>
      </c>
      <c r="AO441" s="35"/>
      <c r="AP441" s="35"/>
      <c r="AQ441" s="35">
        <f>+VLOOKUP(AI441,Leyenda!$B$30:$E$34,3,FALSE)</f>
        <v>0</v>
      </c>
      <c r="AR441" s="35">
        <f>+VLOOKUP('3. Blasting'!AJ441,Meteorizacion,3,FALSE)</f>
        <v>0</v>
      </c>
      <c r="AS441" s="35">
        <f>+VLOOKUP('3. Blasting'!AK441,Apertura,3,FALSE)</f>
        <v>0</v>
      </c>
      <c r="AT441" s="35">
        <f>+VLOOKUP('3. Blasting'!AL441,Leyenda!$B$55:$D$59,3,FALSE)</f>
        <v>1</v>
      </c>
      <c r="AU441" s="35">
        <f>+VLOOKUP('3. Blasting'!AM441,Relleno,3,FALSE)</f>
        <v>0</v>
      </c>
      <c r="AV441" s="35">
        <f t="shared" si="177"/>
        <v>1</v>
      </c>
      <c r="AW441" s="118">
        <f t="shared" si="166"/>
        <v>0</v>
      </c>
      <c r="AX441" s="118">
        <f>VLOOKUP(AF441,Leyenda!$B$4:$D$10,3,FALSE)</f>
        <v>2</v>
      </c>
      <c r="AY441" s="119">
        <f t="shared" si="160"/>
        <v>4</v>
      </c>
      <c r="AZ441" s="118">
        <f t="shared" si="167"/>
        <v>1</v>
      </c>
      <c r="BA441" s="118">
        <f>VLOOKUP(AN441,Leyenda!$B$70:$D$75,3,FALSE)</f>
        <v>15</v>
      </c>
      <c r="BB441" s="120">
        <f t="shared" si="168"/>
        <v>1.5</v>
      </c>
      <c r="BC441" s="120">
        <f>VLOOKUP(AF441,Leyenda!$B$4:$E$10,4,FALSE)</f>
        <v>2</v>
      </c>
      <c r="BD441" s="120">
        <f t="shared" si="169"/>
        <v>4</v>
      </c>
      <c r="BE441" s="120">
        <f t="shared" si="170"/>
        <v>0</v>
      </c>
      <c r="BF441" s="120">
        <f>+VLOOKUP('3. Blasting'!AK441,Leyenda!$B$47:$E$51,4,FALSE)</f>
        <v>0</v>
      </c>
      <c r="BG441" s="120">
        <f>+VLOOKUP('3. Blasting'!AL441,Leyenda!$B$55:$E$59,4,FALSE)</f>
        <v>1</v>
      </c>
      <c r="BH441" s="120">
        <f>+VLOOKUP('3. Blasting'!AM441,Leyenda!$B$63:$E$67,3,FALSE)</f>
        <v>0</v>
      </c>
      <c r="BI441" s="120">
        <f>+VLOOKUP('3. Blasting'!AJ441,Leyenda!$B$39:$E$43,4,FALSE)</f>
        <v>0</v>
      </c>
      <c r="BJ441" s="120">
        <f>+VLOOKUP('3. Blasting'!AI441,Leyenda!$B$30:$E$34,4,FALSE)</f>
        <v>0</v>
      </c>
      <c r="BK441" s="120">
        <f>VLOOKUP(AN441,Leyenda!$B$71:$E$75,4,FALSE)</f>
        <v>10</v>
      </c>
      <c r="BL441" s="120">
        <f t="shared" si="171"/>
        <v>17</v>
      </c>
      <c r="BM441" s="35">
        <f t="shared" si="172"/>
        <v>22</v>
      </c>
      <c r="BN441" s="35"/>
      <c r="BO441" s="35"/>
      <c r="BS441">
        <f t="shared" si="161"/>
        <v>-50</v>
      </c>
      <c r="BT441">
        <f t="shared" si="162"/>
        <v>0</v>
      </c>
      <c r="BU441">
        <f t="shared" si="163"/>
        <v>-25</v>
      </c>
      <c r="BV441" s="1">
        <f t="shared" si="157"/>
        <v>-0.1</v>
      </c>
      <c r="BW441" s="1">
        <f t="shared" si="158"/>
        <v>0</v>
      </c>
    </row>
    <row r="442" spans="1:75" hidden="1" x14ac:dyDescent="0.25">
      <c r="A442" s="18" t="s">
        <v>6</v>
      </c>
      <c r="B442" s="18">
        <v>2024</v>
      </c>
      <c r="C442" s="18" t="s">
        <v>138</v>
      </c>
      <c r="D442" s="18" t="s">
        <v>134</v>
      </c>
      <c r="E442" s="18">
        <v>50</v>
      </c>
      <c r="F442" s="18" t="s">
        <v>154</v>
      </c>
      <c r="G442" s="18" t="s">
        <v>172</v>
      </c>
      <c r="H442" s="31">
        <f t="shared" si="181"/>
        <v>13.5</v>
      </c>
      <c r="I442" s="31">
        <v>14</v>
      </c>
      <c r="J442" s="4">
        <f t="shared" si="164"/>
        <v>0.5</v>
      </c>
      <c r="K442" s="5">
        <v>0.52</v>
      </c>
      <c r="L442" s="31">
        <f t="shared" si="165"/>
        <v>0.26</v>
      </c>
      <c r="M442" s="31"/>
      <c r="N442" s="31"/>
      <c r="O442" s="18">
        <f t="shared" si="182"/>
        <v>0.26</v>
      </c>
      <c r="P442" s="18">
        <v>13</v>
      </c>
      <c r="Q442" s="18">
        <v>20</v>
      </c>
      <c r="R442" s="18">
        <v>0.22</v>
      </c>
      <c r="S442" s="18">
        <v>0.1</v>
      </c>
      <c r="T442" s="65">
        <f t="shared" si="176"/>
        <v>20</v>
      </c>
      <c r="U442" s="18">
        <v>3</v>
      </c>
      <c r="V442" s="18"/>
      <c r="W442" s="18">
        <f t="shared" si="179"/>
        <v>3</v>
      </c>
      <c r="X442" s="18">
        <f t="shared" si="180"/>
        <v>73.333333333333329</v>
      </c>
      <c r="Y442" s="31">
        <f t="shared" si="159"/>
        <v>7.3333333333333334E-2</v>
      </c>
      <c r="Z442" s="18">
        <v>0</v>
      </c>
      <c r="AA442" s="18" t="s">
        <v>100</v>
      </c>
      <c r="AB442" s="18" t="s">
        <v>333</v>
      </c>
      <c r="AC442" s="18" t="s">
        <v>336</v>
      </c>
      <c r="AD442" s="18">
        <v>20</v>
      </c>
      <c r="AE442" s="18">
        <v>13</v>
      </c>
      <c r="AF442" s="18" t="s">
        <v>32</v>
      </c>
      <c r="AG442" s="18"/>
      <c r="AH442" s="18"/>
      <c r="AI442" s="18" t="s">
        <v>69</v>
      </c>
      <c r="AJ442" s="18" t="s">
        <v>81</v>
      </c>
      <c r="AK442" s="18" t="s">
        <v>100</v>
      </c>
      <c r="AL442" s="18" t="s">
        <v>109</v>
      </c>
      <c r="AM442" s="18" t="s">
        <v>122</v>
      </c>
      <c r="AN442" s="18" t="s">
        <v>198</v>
      </c>
      <c r="AO442" s="18"/>
      <c r="AP442" s="18"/>
      <c r="AQ442" s="18">
        <f>+VLOOKUP(AI442,Leyenda!$B$30:$E$34,3,FALSE)</f>
        <v>0</v>
      </c>
      <c r="AR442" s="18">
        <f>+VLOOKUP('3. Blasting'!AJ442,Meteorizacion,3,FALSE)</f>
        <v>0</v>
      </c>
      <c r="AS442" s="18">
        <f>+VLOOKUP('3. Blasting'!AK442,Apertura,3,FALSE)</f>
        <v>0</v>
      </c>
      <c r="AT442" s="18">
        <f>+VLOOKUP('3. Blasting'!AL442,Leyenda!$B$55:$D$59,3,FALSE)</f>
        <v>1</v>
      </c>
      <c r="AU442" s="18">
        <f>+VLOOKUP('3. Blasting'!AM442,Relleno,3,FALSE)</f>
        <v>0</v>
      </c>
      <c r="AV442" s="18">
        <f t="shared" si="177"/>
        <v>1</v>
      </c>
      <c r="AW442" s="49">
        <f t="shared" si="166"/>
        <v>0</v>
      </c>
      <c r="AX442" s="49">
        <f>VLOOKUP(AF442,Leyenda!$B$4:$D$10,3,FALSE)</f>
        <v>1</v>
      </c>
      <c r="AY442" s="50">
        <f t="shared" si="160"/>
        <v>4</v>
      </c>
      <c r="AZ442" s="49">
        <f t="shared" si="167"/>
        <v>1</v>
      </c>
      <c r="BA442" s="49">
        <f>VLOOKUP(AN442,Leyenda!$B$70:$D$75,3,FALSE)</f>
        <v>15</v>
      </c>
      <c r="BB442" s="67">
        <f t="shared" si="168"/>
        <v>11.5</v>
      </c>
      <c r="BC442" s="67">
        <f>VLOOKUP(AF442,Leyenda!$B$4:$E$10,4,FALSE)</f>
        <v>1</v>
      </c>
      <c r="BD442" s="67">
        <f t="shared" si="169"/>
        <v>6</v>
      </c>
      <c r="BE442" s="67">
        <f t="shared" si="170"/>
        <v>4</v>
      </c>
      <c r="BF442" s="67">
        <f>+VLOOKUP('3. Blasting'!AK442,Leyenda!$B$47:$E$51,4,FALSE)</f>
        <v>0</v>
      </c>
      <c r="BG442" s="67">
        <f>+VLOOKUP('3. Blasting'!AL442,Leyenda!$B$55:$E$59,4,FALSE)</f>
        <v>1</v>
      </c>
      <c r="BH442" s="67">
        <f>+VLOOKUP('3. Blasting'!AM442,Leyenda!$B$63:$E$67,3,FALSE)</f>
        <v>0</v>
      </c>
      <c r="BI442" s="67">
        <f>+VLOOKUP('3. Blasting'!AJ442,Leyenda!$B$39:$E$43,4,FALSE)</f>
        <v>0</v>
      </c>
      <c r="BJ442" s="67">
        <f>+VLOOKUP('3. Blasting'!AI442,Leyenda!$B$30:$E$34,4,FALSE)</f>
        <v>0</v>
      </c>
      <c r="BK442" s="67">
        <f>VLOOKUP(AN442,Leyenda!$B$71:$E$75,4,FALSE)</f>
        <v>10</v>
      </c>
      <c r="BL442" s="67">
        <f t="shared" si="171"/>
        <v>22</v>
      </c>
      <c r="BM442" s="18">
        <f t="shared" si="172"/>
        <v>21</v>
      </c>
      <c r="BN442" s="18"/>
      <c r="BO442" s="18"/>
      <c r="BS442">
        <f t="shared" si="161"/>
        <v>-50</v>
      </c>
      <c r="BT442">
        <f t="shared" si="162"/>
        <v>0</v>
      </c>
      <c r="BU442">
        <f t="shared" si="163"/>
        <v>-25</v>
      </c>
      <c r="BV442" s="1">
        <f t="shared" si="157"/>
        <v>-0.1</v>
      </c>
      <c r="BW442" s="1">
        <f t="shared" si="158"/>
        <v>0</v>
      </c>
    </row>
    <row r="443" spans="1:75" hidden="1" x14ac:dyDescent="0.25">
      <c r="A443" s="18" t="s">
        <v>6</v>
      </c>
      <c r="B443" s="18">
        <v>2024</v>
      </c>
      <c r="C443" s="18" t="s">
        <v>138</v>
      </c>
      <c r="D443" s="18" t="s">
        <v>134</v>
      </c>
      <c r="E443" s="18">
        <v>50</v>
      </c>
      <c r="F443" s="18" t="s">
        <v>154</v>
      </c>
      <c r="G443" s="18" t="s">
        <v>172</v>
      </c>
      <c r="H443" s="31">
        <f t="shared" si="181"/>
        <v>14</v>
      </c>
      <c r="I443" s="31">
        <v>14.5</v>
      </c>
      <c r="J443" s="4">
        <f t="shared" si="164"/>
        <v>0.5</v>
      </c>
      <c r="K443" s="5">
        <v>0.7</v>
      </c>
      <c r="L443" s="31">
        <f t="shared" si="165"/>
        <v>0.35</v>
      </c>
      <c r="M443" s="31"/>
      <c r="N443" s="31"/>
      <c r="O443" s="18">
        <f t="shared" si="182"/>
        <v>0.35</v>
      </c>
      <c r="P443" s="18">
        <v>350</v>
      </c>
      <c r="Q443" s="18">
        <v>1</v>
      </c>
      <c r="R443" s="18">
        <v>0.31</v>
      </c>
      <c r="S443" s="18">
        <v>0.14000000000000001</v>
      </c>
      <c r="T443" s="65">
        <f t="shared" si="176"/>
        <v>28.000000000000004</v>
      </c>
      <c r="U443" s="18">
        <v>4</v>
      </c>
      <c r="V443" s="18"/>
      <c r="W443" s="18">
        <f t="shared" si="179"/>
        <v>4</v>
      </c>
      <c r="X443" s="18">
        <f t="shared" si="180"/>
        <v>77.5</v>
      </c>
      <c r="Y443" s="31">
        <f t="shared" si="159"/>
        <v>7.7499999999999999E-2</v>
      </c>
      <c r="Z443" s="18">
        <v>0</v>
      </c>
      <c r="AA443" s="18" t="s">
        <v>96</v>
      </c>
      <c r="AB443" s="18" t="s">
        <v>116</v>
      </c>
      <c r="AC443" s="18" t="s">
        <v>337</v>
      </c>
      <c r="AD443" s="18">
        <v>1</v>
      </c>
      <c r="AE443" s="18">
        <v>350</v>
      </c>
      <c r="AF443" s="18" t="s">
        <v>29</v>
      </c>
      <c r="AG443" s="18"/>
      <c r="AH443" s="18"/>
      <c r="AI443" s="18" t="s">
        <v>69</v>
      </c>
      <c r="AJ443" s="18" t="s">
        <v>81</v>
      </c>
      <c r="AK443" s="18" t="s">
        <v>100</v>
      </c>
      <c r="AL443" s="18" t="s">
        <v>109</v>
      </c>
      <c r="AM443" s="18" t="s">
        <v>122</v>
      </c>
      <c r="AN443" s="18" t="s">
        <v>198</v>
      </c>
      <c r="AO443" s="18"/>
      <c r="AP443" s="18"/>
      <c r="AQ443" s="18">
        <f>+VLOOKUP(AI443,Leyenda!$B$30:$E$34,3,FALSE)</f>
        <v>0</v>
      </c>
      <c r="AR443" s="18">
        <f>+VLOOKUP('3. Blasting'!AJ443,Meteorizacion,3,FALSE)</f>
        <v>0</v>
      </c>
      <c r="AS443" s="18">
        <f>+VLOOKUP('3. Blasting'!AK443,Apertura,3,FALSE)</f>
        <v>0</v>
      </c>
      <c r="AT443" s="18">
        <f>+VLOOKUP('3. Blasting'!AL443,Leyenda!$B$55:$D$59,3,FALSE)</f>
        <v>1</v>
      </c>
      <c r="AU443" s="18">
        <f>+VLOOKUP('3. Blasting'!AM443,Relleno,3,FALSE)</f>
        <v>0</v>
      </c>
      <c r="AV443" s="18">
        <f t="shared" si="177"/>
        <v>1</v>
      </c>
      <c r="AW443" s="49">
        <f t="shared" si="166"/>
        <v>0</v>
      </c>
      <c r="AX443" s="49">
        <f>VLOOKUP(AF443,Leyenda!$B$4:$D$10,3,FALSE)</f>
        <v>2</v>
      </c>
      <c r="AY443" s="50">
        <f t="shared" si="160"/>
        <v>11</v>
      </c>
      <c r="AZ443" s="49">
        <f t="shared" si="167"/>
        <v>1</v>
      </c>
      <c r="BA443" s="49">
        <f>VLOOKUP(AN443,Leyenda!$B$70:$D$75,3,FALSE)</f>
        <v>15</v>
      </c>
      <c r="BB443" s="67">
        <f t="shared" si="168"/>
        <v>15.500000000000002</v>
      </c>
      <c r="BC443" s="67">
        <f>VLOOKUP(AF443,Leyenda!$B$4:$E$10,4,FALSE)</f>
        <v>2</v>
      </c>
      <c r="BD443" s="67">
        <f t="shared" si="169"/>
        <v>7</v>
      </c>
      <c r="BE443" s="67">
        <f t="shared" si="170"/>
        <v>6</v>
      </c>
      <c r="BF443" s="67">
        <f>+VLOOKUP('3. Blasting'!AK443,Leyenda!$B$47:$E$51,4,FALSE)</f>
        <v>0</v>
      </c>
      <c r="BG443" s="67">
        <f>+VLOOKUP('3. Blasting'!AL443,Leyenda!$B$55:$E$59,4,FALSE)</f>
        <v>1</v>
      </c>
      <c r="BH443" s="67">
        <f>+VLOOKUP('3. Blasting'!AM443,Leyenda!$B$63:$E$67,3,FALSE)</f>
        <v>0</v>
      </c>
      <c r="BI443" s="67">
        <f>+VLOOKUP('3. Blasting'!AJ443,Leyenda!$B$39:$E$43,4,FALSE)</f>
        <v>0</v>
      </c>
      <c r="BJ443" s="67">
        <f>+VLOOKUP('3. Blasting'!AI443,Leyenda!$B$30:$E$34,4,FALSE)</f>
        <v>0</v>
      </c>
      <c r="BK443" s="67">
        <f>VLOOKUP(AN443,Leyenda!$B$71:$E$75,4,FALSE)</f>
        <v>10</v>
      </c>
      <c r="BL443" s="67">
        <f t="shared" si="171"/>
        <v>26</v>
      </c>
      <c r="BM443" s="18">
        <f t="shared" si="172"/>
        <v>29</v>
      </c>
      <c r="BN443" s="18"/>
      <c r="BO443" s="18"/>
      <c r="BS443">
        <f t="shared" si="161"/>
        <v>-50</v>
      </c>
      <c r="BT443">
        <f t="shared" si="162"/>
        <v>0</v>
      </c>
      <c r="BU443">
        <f t="shared" si="163"/>
        <v>-25</v>
      </c>
      <c r="BV443" s="1">
        <f t="shared" si="157"/>
        <v>-0.1</v>
      </c>
      <c r="BW443" s="1">
        <f t="shared" si="158"/>
        <v>0</v>
      </c>
    </row>
    <row r="444" spans="1:75" hidden="1" x14ac:dyDescent="0.25">
      <c r="A444" s="18" t="s">
        <v>6</v>
      </c>
      <c r="B444" s="18">
        <v>2024</v>
      </c>
      <c r="C444" s="18" t="s">
        <v>138</v>
      </c>
      <c r="D444" s="18" t="s">
        <v>134</v>
      </c>
      <c r="E444" s="18">
        <v>50</v>
      </c>
      <c r="F444" s="18" t="s">
        <v>154</v>
      </c>
      <c r="G444" s="18" t="s">
        <v>172</v>
      </c>
      <c r="H444" s="31">
        <f t="shared" si="181"/>
        <v>14.5</v>
      </c>
      <c r="I444" s="31">
        <v>15</v>
      </c>
      <c r="J444" s="4">
        <f t="shared" si="164"/>
        <v>0.5</v>
      </c>
      <c r="K444" s="5">
        <v>0.6</v>
      </c>
      <c r="L444" s="31">
        <f t="shared" si="165"/>
        <v>0.3</v>
      </c>
      <c r="M444" s="31"/>
      <c r="N444" s="31"/>
      <c r="O444" s="18">
        <f t="shared" si="182"/>
        <v>0.3</v>
      </c>
      <c r="P444" s="18">
        <v>300</v>
      </c>
      <c r="Q444" s="18">
        <v>1</v>
      </c>
      <c r="R444" s="18">
        <v>0.26</v>
      </c>
      <c r="S444" s="18">
        <v>0.12</v>
      </c>
      <c r="T444" s="65">
        <f t="shared" si="176"/>
        <v>24</v>
      </c>
      <c r="U444" s="18">
        <v>3</v>
      </c>
      <c r="V444" s="18"/>
      <c r="W444" s="18">
        <f t="shared" si="179"/>
        <v>3</v>
      </c>
      <c r="X444" s="18">
        <f t="shared" si="180"/>
        <v>86.666666666666671</v>
      </c>
      <c r="Y444" s="31">
        <f t="shared" si="159"/>
        <v>8.666666666666667E-2</v>
      </c>
      <c r="Z444" s="18">
        <v>0</v>
      </c>
      <c r="AA444" s="18" t="s">
        <v>96</v>
      </c>
      <c r="AB444" s="18" t="s">
        <v>116</v>
      </c>
      <c r="AC444" s="18" t="s">
        <v>337</v>
      </c>
      <c r="AD444" s="18">
        <v>1</v>
      </c>
      <c r="AE444" s="18">
        <v>300</v>
      </c>
      <c r="AF444" s="18" t="s">
        <v>29</v>
      </c>
      <c r="AG444" s="18"/>
      <c r="AH444" s="18"/>
      <c r="AI444" s="18" t="s">
        <v>69</v>
      </c>
      <c r="AJ444" s="18" t="s">
        <v>81</v>
      </c>
      <c r="AK444" s="18" t="s">
        <v>100</v>
      </c>
      <c r="AL444" s="18" t="s">
        <v>109</v>
      </c>
      <c r="AM444" s="18" t="s">
        <v>122</v>
      </c>
      <c r="AN444" s="18" t="s">
        <v>198</v>
      </c>
      <c r="AO444" s="18"/>
      <c r="AP444" s="18"/>
      <c r="AQ444" s="18">
        <f>+VLOOKUP(AI444,Leyenda!$B$30:$E$34,3,FALSE)</f>
        <v>0</v>
      </c>
      <c r="AR444" s="18">
        <f>+VLOOKUP('3. Blasting'!AJ444,Meteorizacion,3,FALSE)</f>
        <v>0</v>
      </c>
      <c r="AS444" s="18">
        <f>+VLOOKUP('3. Blasting'!AK444,Apertura,3,FALSE)</f>
        <v>0</v>
      </c>
      <c r="AT444" s="18">
        <f>+VLOOKUP('3. Blasting'!AL444,Leyenda!$B$55:$D$59,3,FALSE)</f>
        <v>1</v>
      </c>
      <c r="AU444" s="18">
        <f>+VLOOKUP('3. Blasting'!AM444,Relleno,3,FALSE)</f>
        <v>0</v>
      </c>
      <c r="AV444" s="18">
        <f t="shared" si="177"/>
        <v>1</v>
      </c>
      <c r="AW444" s="49">
        <f t="shared" si="166"/>
        <v>0</v>
      </c>
      <c r="AX444" s="49">
        <f>VLOOKUP(AF444,Leyenda!$B$4:$D$10,3,FALSE)</f>
        <v>2</v>
      </c>
      <c r="AY444" s="50">
        <f t="shared" si="160"/>
        <v>10</v>
      </c>
      <c r="AZ444" s="49">
        <f t="shared" si="167"/>
        <v>1</v>
      </c>
      <c r="BA444" s="49">
        <f>VLOOKUP(AN444,Leyenda!$B$70:$D$75,3,FALSE)</f>
        <v>15</v>
      </c>
      <c r="BB444" s="67">
        <f t="shared" si="168"/>
        <v>13.5</v>
      </c>
      <c r="BC444" s="67">
        <f>VLOOKUP(AF444,Leyenda!$B$4:$E$10,4,FALSE)</f>
        <v>2</v>
      </c>
      <c r="BD444" s="67">
        <f t="shared" si="169"/>
        <v>7</v>
      </c>
      <c r="BE444" s="67">
        <f t="shared" si="170"/>
        <v>5</v>
      </c>
      <c r="BF444" s="67">
        <f>+VLOOKUP('3. Blasting'!AK444,Leyenda!$B$47:$E$51,4,FALSE)</f>
        <v>0</v>
      </c>
      <c r="BG444" s="67">
        <f>+VLOOKUP('3. Blasting'!AL444,Leyenda!$B$55:$E$59,4,FALSE)</f>
        <v>1</v>
      </c>
      <c r="BH444" s="67">
        <f>+VLOOKUP('3. Blasting'!AM444,Leyenda!$B$63:$E$67,3,FALSE)</f>
        <v>0</v>
      </c>
      <c r="BI444" s="67">
        <f>+VLOOKUP('3. Blasting'!AJ444,Leyenda!$B$39:$E$43,4,FALSE)</f>
        <v>0</v>
      </c>
      <c r="BJ444" s="67">
        <f>+VLOOKUP('3. Blasting'!AI444,Leyenda!$B$30:$E$34,4,FALSE)</f>
        <v>0</v>
      </c>
      <c r="BK444" s="67">
        <f>VLOOKUP(AN444,Leyenda!$B$71:$E$75,4,FALSE)</f>
        <v>10</v>
      </c>
      <c r="BL444" s="67">
        <f t="shared" si="171"/>
        <v>25</v>
      </c>
      <c r="BM444" s="18">
        <f t="shared" si="172"/>
        <v>28</v>
      </c>
      <c r="BN444" s="18"/>
      <c r="BO444" s="18"/>
      <c r="BS444">
        <f t="shared" si="161"/>
        <v>-50</v>
      </c>
      <c r="BT444">
        <f t="shared" si="162"/>
        <v>0</v>
      </c>
      <c r="BU444">
        <f t="shared" si="163"/>
        <v>-25</v>
      </c>
      <c r="BV444" s="1">
        <f t="shared" si="157"/>
        <v>-0.1</v>
      </c>
      <c r="BW444" s="1">
        <f t="shared" si="158"/>
        <v>0</v>
      </c>
    </row>
    <row r="445" spans="1:75" hidden="1" x14ac:dyDescent="0.25">
      <c r="A445" s="18" t="s">
        <v>6</v>
      </c>
      <c r="B445" s="18">
        <v>2024</v>
      </c>
      <c r="C445" s="18" t="s">
        <v>138</v>
      </c>
      <c r="D445" s="18" t="s">
        <v>134</v>
      </c>
      <c r="E445" s="18">
        <v>50</v>
      </c>
      <c r="F445" s="18" t="s">
        <v>154</v>
      </c>
      <c r="G445" s="18" t="s">
        <v>172</v>
      </c>
      <c r="H445" s="31">
        <f t="shared" si="181"/>
        <v>15</v>
      </c>
      <c r="I445" s="31">
        <v>15.5</v>
      </c>
      <c r="J445" s="4">
        <f t="shared" si="164"/>
        <v>0.5</v>
      </c>
      <c r="K445" s="5">
        <v>0.68</v>
      </c>
      <c r="L445" s="31">
        <f t="shared" si="165"/>
        <v>0.34</v>
      </c>
      <c r="M445" s="31"/>
      <c r="N445" s="31"/>
      <c r="O445" s="18">
        <f t="shared" si="182"/>
        <v>0.34</v>
      </c>
      <c r="P445" s="18">
        <v>17</v>
      </c>
      <c r="Q445" s="18">
        <v>20</v>
      </c>
      <c r="R445" s="18">
        <v>0.27</v>
      </c>
      <c r="S445" s="18">
        <v>0</v>
      </c>
      <c r="T445" s="65">
        <f t="shared" si="176"/>
        <v>0</v>
      </c>
      <c r="U445" s="18">
        <v>5</v>
      </c>
      <c r="V445" s="18"/>
      <c r="W445" s="18">
        <f t="shared" si="179"/>
        <v>5</v>
      </c>
      <c r="X445" s="18">
        <f t="shared" si="180"/>
        <v>54</v>
      </c>
      <c r="Y445" s="31">
        <f t="shared" si="159"/>
        <v>5.3999999999999999E-2</v>
      </c>
      <c r="Z445" s="18">
        <v>0</v>
      </c>
      <c r="AA445" s="18" t="s">
        <v>100</v>
      </c>
      <c r="AB445" s="18" t="s">
        <v>333</v>
      </c>
      <c r="AC445" s="18" t="s">
        <v>336</v>
      </c>
      <c r="AD445" s="18">
        <v>20</v>
      </c>
      <c r="AE445" s="18">
        <v>17</v>
      </c>
      <c r="AF445" s="18" t="s">
        <v>32</v>
      </c>
      <c r="AG445" s="18"/>
      <c r="AH445" s="18"/>
      <c r="AI445" s="18" t="s">
        <v>69</v>
      </c>
      <c r="AJ445" s="18" t="s">
        <v>81</v>
      </c>
      <c r="AK445" s="18" t="s">
        <v>100</v>
      </c>
      <c r="AL445" s="18" t="s">
        <v>109</v>
      </c>
      <c r="AM445" s="18" t="s">
        <v>122</v>
      </c>
      <c r="AN445" s="18" t="s">
        <v>198</v>
      </c>
      <c r="AO445" s="18"/>
      <c r="AP445" s="18"/>
      <c r="AQ445" s="18">
        <f>+VLOOKUP(AI445,Leyenda!$B$30:$E$34,3,FALSE)</f>
        <v>0</v>
      </c>
      <c r="AR445" s="18">
        <f>+VLOOKUP('3. Blasting'!AJ445,Meteorizacion,3,FALSE)</f>
        <v>0</v>
      </c>
      <c r="AS445" s="18">
        <f>+VLOOKUP('3. Blasting'!AK445,Apertura,3,FALSE)</f>
        <v>0</v>
      </c>
      <c r="AT445" s="18">
        <f>+VLOOKUP('3. Blasting'!AL445,Leyenda!$B$55:$D$59,3,FALSE)</f>
        <v>1</v>
      </c>
      <c r="AU445" s="18">
        <f>+VLOOKUP('3. Blasting'!AM445,Relleno,3,FALSE)</f>
        <v>0</v>
      </c>
      <c r="AV445" s="18">
        <f t="shared" si="177"/>
        <v>1</v>
      </c>
      <c r="AW445" s="49">
        <f t="shared" si="166"/>
        <v>0</v>
      </c>
      <c r="AX445" s="49">
        <f>VLOOKUP(AF445,Leyenda!$B$4:$D$10,3,FALSE)</f>
        <v>1</v>
      </c>
      <c r="AY445" s="50">
        <f t="shared" si="160"/>
        <v>4</v>
      </c>
      <c r="AZ445" s="49">
        <f t="shared" si="167"/>
        <v>1</v>
      </c>
      <c r="BA445" s="49">
        <f>VLOOKUP(AN445,Leyenda!$B$70:$D$75,3,FALSE)</f>
        <v>15</v>
      </c>
      <c r="BB445" s="67">
        <f t="shared" si="168"/>
        <v>1.5</v>
      </c>
      <c r="BC445" s="67">
        <f>VLOOKUP(AF445,Leyenda!$B$4:$E$10,4,FALSE)</f>
        <v>1</v>
      </c>
      <c r="BD445" s="67">
        <f t="shared" si="169"/>
        <v>4</v>
      </c>
      <c r="BE445" s="67">
        <f t="shared" si="170"/>
        <v>0</v>
      </c>
      <c r="BF445" s="67">
        <f>+VLOOKUP('3. Blasting'!AK445,Leyenda!$B$47:$E$51,4,FALSE)</f>
        <v>0</v>
      </c>
      <c r="BG445" s="67">
        <f>+VLOOKUP('3. Blasting'!AL445,Leyenda!$B$55:$E$59,4,FALSE)</f>
        <v>1</v>
      </c>
      <c r="BH445" s="67">
        <f>+VLOOKUP('3. Blasting'!AM445,Leyenda!$B$63:$E$67,3,FALSE)</f>
        <v>0</v>
      </c>
      <c r="BI445" s="67">
        <f>+VLOOKUP('3. Blasting'!AJ445,Leyenda!$B$39:$E$43,4,FALSE)</f>
        <v>0</v>
      </c>
      <c r="BJ445" s="67">
        <f>+VLOOKUP('3. Blasting'!AI445,Leyenda!$B$30:$E$34,4,FALSE)</f>
        <v>0</v>
      </c>
      <c r="BK445" s="67">
        <f>VLOOKUP(AN445,Leyenda!$B$71:$E$75,4,FALSE)</f>
        <v>10</v>
      </c>
      <c r="BL445" s="67">
        <f t="shared" si="171"/>
        <v>16</v>
      </c>
      <c r="BM445" s="18">
        <f t="shared" si="172"/>
        <v>21</v>
      </c>
      <c r="BN445" s="18"/>
      <c r="BO445" s="18"/>
      <c r="BS445">
        <f t="shared" si="161"/>
        <v>-50</v>
      </c>
      <c r="BT445">
        <f t="shared" si="162"/>
        <v>0</v>
      </c>
      <c r="BU445">
        <f t="shared" si="163"/>
        <v>-25</v>
      </c>
      <c r="BV445" s="1">
        <f t="shared" si="157"/>
        <v>-0.1</v>
      </c>
      <c r="BW445" s="1">
        <f t="shared" si="158"/>
        <v>0</v>
      </c>
    </row>
    <row r="446" spans="1:75" hidden="1" x14ac:dyDescent="0.25">
      <c r="A446" s="18" t="s">
        <v>6</v>
      </c>
      <c r="B446" s="18">
        <v>2024</v>
      </c>
      <c r="C446" s="18" t="s">
        <v>138</v>
      </c>
      <c r="D446" s="18" t="s">
        <v>134</v>
      </c>
      <c r="E446" s="18">
        <v>50</v>
      </c>
      <c r="F446" s="18" t="s">
        <v>154</v>
      </c>
      <c r="G446" s="18" t="s">
        <v>172</v>
      </c>
      <c r="H446" s="31">
        <f t="shared" si="181"/>
        <v>15.5</v>
      </c>
      <c r="I446" s="31">
        <v>16</v>
      </c>
      <c r="J446" s="4">
        <f t="shared" si="164"/>
        <v>0.5</v>
      </c>
      <c r="K446" s="5">
        <v>0.7</v>
      </c>
      <c r="L446" s="31">
        <f t="shared" si="165"/>
        <v>0.35</v>
      </c>
      <c r="M446" s="31"/>
      <c r="N446" s="31"/>
      <c r="O446" s="18">
        <f t="shared" si="182"/>
        <v>0.35</v>
      </c>
      <c r="P446" s="18">
        <v>17.5</v>
      </c>
      <c r="Q446" s="18">
        <v>20</v>
      </c>
      <c r="R446" s="18">
        <v>0.33</v>
      </c>
      <c r="S446" s="18">
        <v>0</v>
      </c>
      <c r="T446" s="65">
        <f t="shared" si="176"/>
        <v>0</v>
      </c>
      <c r="U446" s="18">
        <v>4</v>
      </c>
      <c r="V446" s="18"/>
      <c r="W446" s="18">
        <f t="shared" si="179"/>
        <v>4</v>
      </c>
      <c r="X446" s="18">
        <f t="shared" si="180"/>
        <v>82.5</v>
      </c>
      <c r="Y446" s="31">
        <f t="shared" si="159"/>
        <v>8.2500000000000004E-2</v>
      </c>
      <c r="Z446" s="18">
        <v>0</v>
      </c>
      <c r="AA446" s="18" t="s">
        <v>100</v>
      </c>
      <c r="AB446" s="18" t="s">
        <v>333</v>
      </c>
      <c r="AC446" s="18" t="s">
        <v>336</v>
      </c>
      <c r="AD446" s="18">
        <v>20</v>
      </c>
      <c r="AE446" s="18">
        <v>17.5</v>
      </c>
      <c r="AF446" s="18" t="s">
        <v>32</v>
      </c>
      <c r="AG446" s="18"/>
      <c r="AH446" s="18"/>
      <c r="AI446" s="18" t="s">
        <v>69</v>
      </c>
      <c r="AJ446" s="18" t="s">
        <v>81</v>
      </c>
      <c r="AK446" s="18" t="s">
        <v>100</v>
      </c>
      <c r="AL446" s="18" t="s">
        <v>109</v>
      </c>
      <c r="AM446" s="18" t="s">
        <v>122</v>
      </c>
      <c r="AN446" s="18" t="s">
        <v>198</v>
      </c>
      <c r="AO446" s="18"/>
      <c r="AP446" s="18"/>
      <c r="AQ446" s="18">
        <f>+VLOOKUP(AI446,Leyenda!$B$30:$E$34,3,FALSE)</f>
        <v>0</v>
      </c>
      <c r="AR446" s="18">
        <f>+VLOOKUP('3. Blasting'!AJ446,Meteorizacion,3,FALSE)</f>
        <v>0</v>
      </c>
      <c r="AS446" s="18">
        <f>+VLOOKUP('3. Blasting'!AK446,Apertura,3,FALSE)</f>
        <v>0</v>
      </c>
      <c r="AT446" s="18">
        <f>+VLOOKUP('3. Blasting'!AL446,Leyenda!$B$55:$D$59,3,FALSE)</f>
        <v>1</v>
      </c>
      <c r="AU446" s="18">
        <f>+VLOOKUP('3. Blasting'!AM446,Relleno,3,FALSE)</f>
        <v>0</v>
      </c>
      <c r="AV446" s="18">
        <f t="shared" si="177"/>
        <v>1</v>
      </c>
      <c r="AW446" s="49">
        <f t="shared" si="166"/>
        <v>0</v>
      </c>
      <c r="AX446" s="49">
        <f>VLOOKUP(AF446,Leyenda!$B$4:$D$10,3,FALSE)</f>
        <v>1</v>
      </c>
      <c r="AY446" s="50">
        <f t="shared" si="160"/>
        <v>4</v>
      </c>
      <c r="AZ446" s="49">
        <f t="shared" si="167"/>
        <v>1</v>
      </c>
      <c r="BA446" s="49">
        <f>VLOOKUP(AN446,Leyenda!$B$70:$D$75,3,FALSE)</f>
        <v>15</v>
      </c>
      <c r="BB446" s="67">
        <f t="shared" si="168"/>
        <v>1.5</v>
      </c>
      <c r="BC446" s="67">
        <f>VLOOKUP(AF446,Leyenda!$B$4:$E$10,4,FALSE)</f>
        <v>1</v>
      </c>
      <c r="BD446" s="67">
        <f t="shared" si="169"/>
        <v>7</v>
      </c>
      <c r="BE446" s="67">
        <f t="shared" si="170"/>
        <v>0</v>
      </c>
      <c r="BF446" s="67">
        <f>+VLOOKUP('3. Blasting'!AK446,Leyenda!$B$47:$E$51,4,FALSE)</f>
        <v>0</v>
      </c>
      <c r="BG446" s="67">
        <f>+VLOOKUP('3. Blasting'!AL446,Leyenda!$B$55:$E$59,4,FALSE)</f>
        <v>1</v>
      </c>
      <c r="BH446" s="67">
        <f>+VLOOKUP('3. Blasting'!AM446,Leyenda!$B$63:$E$67,3,FALSE)</f>
        <v>0</v>
      </c>
      <c r="BI446" s="67">
        <f>+VLOOKUP('3. Blasting'!AJ446,Leyenda!$B$39:$E$43,4,FALSE)</f>
        <v>0</v>
      </c>
      <c r="BJ446" s="67">
        <f>+VLOOKUP('3. Blasting'!AI446,Leyenda!$B$30:$E$34,4,FALSE)</f>
        <v>0</v>
      </c>
      <c r="BK446" s="67">
        <f>VLOOKUP(AN446,Leyenda!$B$71:$E$75,4,FALSE)</f>
        <v>10</v>
      </c>
      <c r="BL446" s="67">
        <f t="shared" si="171"/>
        <v>19</v>
      </c>
      <c r="BM446" s="18">
        <f t="shared" si="172"/>
        <v>21</v>
      </c>
      <c r="BN446" s="18"/>
      <c r="BO446" s="18"/>
      <c r="BS446">
        <f t="shared" si="161"/>
        <v>-50</v>
      </c>
      <c r="BT446">
        <f t="shared" si="162"/>
        <v>0</v>
      </c>
      <c r="BU446">
        <f t="shared" si="163"/>
        <v>-25</v>
      </c>
      <c r="BV446" s="1">
        <f t="shared" si="157"/>
        <v>-0.1</v>
      </c>
      <c r="BW446" s="1">
        <f t="shared" si="158"/>
        <v>0</v>
      </c>
    </row>
    <row r="447" spans="1:75" hidden="1" x14ac:dyDescent="0.25">
      <c r="A447" s="18" t="s">
        <v>6</v>
      </c>
      <c r="B447" s="18">
        <v>2024</v>
      </c>
      <c r="C447" s="18" t="s">
        <v>138</v>
      </c>
      <c r="D447" s="18" t="s">
        <v>134</v>
      </c>
      <c r="E447" s="18">
        <v>50</v>
      </c>
      <c r="F447" s="18" t="s">
        <v>154</v>
      </c>
      <c r="G447" s="18" t="s">
        <v>172</v>
      </c>
      <c r="H447" s="31">
        <f t="shared" si="181"/>
        <v>16</v>
      </c>
      <c r="I447" s="31">
        <v>16.5</v>
      </c>
      <c r="J447" s="4">
        <f t="shared" si="164"/>
        <v>0.5</v>
      </c>
      <c r="K447" s="5">
        <v>0.62</v>
      </c>
      <c r="L447" s="31">
        <f t="shared" si="165"/>
        <v>0.31</v>
      </c>
      <c r="M447" s="31"/>
      <c r="N447" s="31"/>
      <c r="O447" s="18">
        <f t="shared" si="182"/>
        <v>0.31</v>
      </c>
      <c r="P447" s="18">
        <v>15.5</v>
      </c>
      <c r="Q447" s="18">
        <v>20</v>
      </c>
      <c r="R447" s="18">
        <v>0.28000000000000003</v>
      </c>
      <c r="S447" s="18">
        <v>0</v>
      </c>
      <c r="T447" s="65">
        <f t="shared" si="176"/>
        <v>0</v>
      </c>
      <c r="U447" s="18">
        <v>5</v>
      </c>
      <c r="V447" s="18"/>
      <c r="W447" s="18">
        <f t="shared" si="179"/>
        <v>5</v>
      </c>
      <c r="X447" s="18">
        <f t="shared" si="180"/>
        <v>56</v>
      </c>
      <c r="Y447" s="31">
        <f t="shared" si="159"/>
        <v>5.6000000000000001E-2</v>
      </c>
      <c r="Z447" s="18">
        <v>0</v>
      </c>
      <c r="AA447" s="18" t="s">
        <v>100</v>
      </c>
      <c r="AB447" s="18" t="s">
        <v>333</v>
      </c>
      <c r="AC447" s="18" t="s">
        <v>336</v>
      </c>
      <c r="AD447" s="18">
        <v>20</v>
      </c>
      <c r="AE447" s="18">
        <v>15.5</v>
      </c>
      <c r="AF447" s="18" t="s">
        <v>32</v>
      </c>
      <c r="AG447" s="18"/>
      <c r="AH447" s="18"/>
      <c r="AI447" s="18" t="s">
        <v>69</v>
      </c>
      <c r="AJ447" s="18" t="s">
        <v>81</v>
      </c>
      <c r="AK447" s="18" t="s">
        <v>100</v>
      </c>
      <c r="AL447" s="18" t="s">
        <v>109</v>
      </c>
      <c r="AM447" s="18" t="s">
        <v>122</v>
      </c>
      <c r="AN447" s="18" t="s">
        <v>198</v>
      </c>
      <c r="AO447" s="18"/>
      <c r="AP447" s="18"/>
      <c r="AQ447" s="18">
        <f>+VLOOKUP(AI447,Leyenda!$B$30:$E$34,3,FALSE)</f>
        <v>0</v>
      </c>
      <c r="AR447" s="18">
        <f>+VLOOKUP('3. Blasting'!AJ447,Meteorizacion,3,FALSE)</f>
        <v>0</v>
      </c>
      <c r="AS447" s="18">
        <f>+VLOOKUP('3. Blasting'!AK447,Apertura,3,FALSE)</f>
        <v>0</v>
      </c>
      <c r="AT447" s="18">
        <f>+VLOOKUP('3. Blasting'!AL447,Leyenda!$B$55:$D$59,3,FALSE)</f>
        <v>1</v>
      </c>
      <c r="AU447" s="18">
        <f>+VLOOKUP('3. Blasting'!AM447,Relleno,3,FALSE)</f>
        <v>0</v>
      </c>
      <c r="AV447" s="18">
        <f t="shared" si="177"/>
        <v>1</v>
      </c>
      <c r="AW447" s="49">
        <f t="shared" si="166"/>
        <v>0</v>
      </c>
      <c r="AX447" s="49">
        <f>VLOOKUP(AF447,Leyenda!$B$4:$D$10,3,FALSE)</f>
        <v>1</v>
      </c>
      <c r="AY447" s="50">
        <f t="shared" si="160"/>
        <v>4</v>
      </c>
      <c r="AZ447" s="49">
        <f t="shared" si="167"/>
        <v>1</v>
      </c>
      <c r="BA447" s="49">
        <f>VLOOKUP(AN447,Leyenda!$B$70:$D$75,3,FALSE)</f>
        <v>15</v>
      </c>
      <c r="BB447" s="67">
        <f t="shared" si="168"/>
        <v>1.5</v>
      </c>
      <c r="BC447" s="67">
        <f>VLOOKUP(AF447,Leyenda!$B$4:$E$10,4,FALSE)</f>
        <v>1</v>
      </c>
      <c r="BD447" s="67">
        <f t="shared" si="169"/>
        <v>5</v>
      </c>
      <c r="BE447" s="67">
        <f t="shared" si="170"/>
        <v>0</v>
      </c>
      <c r="BF447" s="67">
        <f>+VLOOKUP('3. Blasting'!AK447,Leyenda!$B$47:$E$51,4,FALSE)</f>
        <v>0</v>
      </c>
      <c r="BG447" s="67">
        <f>+VLOOKUP('3. Blasting'!AL447,Leyenda!$B$55:$E$59,4,FALSE)</f>
        <v>1</v>
      </c>
      <c r="BH447" s="67">
        <f>+VLOOKUP('3. Blasting'!AM447,Leyenda!$B$63:$E$67,3,FALSE)</f>
        <v>0</v>
      </c>
      <c r="BI447" s="67">
        <f>+VLOOKUP('3. Blasting'!AJ447,Leyenda!$B$39:$E$43,4,FALSE)</f>
        <v>0</v>
      </c>
      <c r="BJ447" s="67">
        <f>+VLOOKUP('3. Blasting'!AI447,Leyenda!$B$30:$E$34,4,FALSE)</f>
        <v>0</v>
      </c>
      <c r="BK447" s="67">
        <f>VLOOKUP(AN447,Leyenda!$B$71:$E$75,4,FALSE)</f>
        <v>10</v>
      </c>
      <c r="BL447" s="67">
        <f t="shared" si="171"/>
        <v>17</v>
      </c>
      <c r="BM447" s="18">
        <f t="shared" si="172"/>
        <v>21</v>
      </c>
      <c r="BN447" s="18"/>
      <c r="BO447" s="18"/>
      <c r="BS447">
        <f t="shared" si="161"/>
        <v>-50</v>
      </c>
      <c r="BT447">
        <f t="shared" si="162"/>
        <v>0</v>
      </c>
      <c r="BU447">
        <f t="shared" si="163"/>
        <v>-25</v>
      </c>
      <c r="BV447" s="1">
        <f t="shared" si="157"/>
        <v>-0.1</v>
      </c>
      <c r="BW447" s="1">
        <f t="shared" si="158"/>
        <v>0</v>
      </c>
    </row>
    <row r="448" spans="1:75" hidden="1" x14ac:dyDescent="0.25">
      <c r="A448" s="18" t="s">
        <v>6</v>
      </c>
      <c r="B448" s="18">
        <v>2024</v>
      </c>
      <c r="C448" s="18" t="s">
        <v>138</v>
      </c>
      <c r="D448" s="18" t="s">
        <v>134</v>
      </c>
      <c r="E448" s="18">
        <v>50</v>
      </c>
      <c r="F448" s="18" t="s">
        <v>154</v>
      </c>
      <c r="G448" s="18" t="s">
        <v>172</v>
      </c>
      <c r="H448" s="31">
        <f t="shared" si="181"/>
        <v>16.5</v>
      </c>
      <c r="I448" s="31">
        <v>17</v>
      </c>
      <c r="J448" s="4">
        <f t="shared" si="164"/>
        <v>0.5</v>
      </c>
      <c r="K448" s="5">
        <v>0.6</v>
      </c>
      <c r="L448" s="31">
        <f t="shared" si="165"/>
        <v>0.3</v>
      </c>
      <c r="M448" s="31"/>
      <c r="N448" s="31"/>
      <c r="O448" s="18">
        <f t="shared" si="182"/>
        <v>0.3</v>
      </c>
      <c r="P448" s="18">
        <v>15</v>
      </c>
      <c r="Q448" s="18">
        <v>20</v>
      </c>
      <c r="R448" s="18">
        <f>0.11+0.14</f>
        <v>0.25</v>
      </c>
      <c r="S448" s="18">
        <v>0.14000000000000001</v>
      </c>
      <c r="T448" s="65">
        <f t="shared" si="176"/>
        <v>28.000000000000004</v>
      </c>
      <c r="U448" s="18">
        <v>3</v>
      </c>
      <c r="V448" s="18"/>
      <c r="W448" s="18">
        <f t="shared" si="179"/>
        <v>3</v>
      </c>
      <c r="X448" s="18">
        <f t="shared" si="180"/>
        <v>83.333333333333329</v>
      </c>
      <c r="Y448" s="31">
        <f t="shared" si="159"/>
        <v>8.3333333333333329E-2</v>
      </c>
      <c r="Z448" s="18">
        <v>0</v>
      </c>
      <c r="AA448" s="18" t="s">
        <v>100</v>
      </c>
      <c r="AB448" s="18" t="s">
        <v>333</v>
      </c>
      <c r="AC448" s="18" t="s">
        <v>336</v>
      </c>
      <c r="AD448" s="18">
        <v>20</v>
      </c>
      <c r="AE448" s="18">
        <v>15</v>
      </c>
      <c r="AF448" s="18" t="s">
        <v>32</v>
      </c>
      <c r="AG448" s="18"/>
      <c r="AH448" s="18"/>
      <c r="AI448" s="18" t="s">
        <v>69</v>
      </c>
      <c r="AJ448" s="18" t="s">
        <v>81</v>
      </c>
      <c r="AK448" s="18" t="s">
        <v>100</v>
      </c>
      <c r="AL448" s="18" t="s">
        <v>109</v>
      </c>
      <c r="AM448" s="18" t="s">
        <v>122</v>
      </c>
      <c r="AN448" s="18" t="s">
        <v>198</v>
      </c>
      <c r="AO448" s="18"/>
      <c r="AP448" s="18"/>
      <c r="AQ448" s="18">
        <f>+VLOOKUP(AI448,Leyenda!$B$30:$E$34,3,FALSE)</f>
        <v>0</v>
      </c>
      <c r="AR448" s="18">
        <f>+VLOOKUP('3. Blasting'!AJ448,Meteorizacion,3,FALSE)</f>
        <v>0</v>
      </c>
      <c r="AS448" s="18">
        <f>+VLOOKUP('3. Blasting'!AK448,Apertura,3,FALSE)</f>
        <v>0</v>
      </c>
      <c r="AT448" s="18">
        <f>+VLOOKUP('3. Blasting'!AL448,Leyenda!$B$55:$D$59,3,FALSE)</f>
        <v>1</v>
      </c>
      <c r="AU448" s="18">
        <f>+VLOOKUP('3. Blasting'!AM448,Relleno,3,FALSE)</f>
        <v>0</v>
      </c>
      <c r="AV448" s="18">
        <f t="shared" si="177"/>
        <v>1</v>
      </c>
      <c r="AW448" s="49">
        <f t="shared" si="166"/>
        <v>0</v>
      </c>
      <c r="AX448" s="49">
        <f>VLOOKUP(AF448,Leyenda!$B$4:$D$10,3,FALSE)</f>
        <v>1</v>
      </c>
      <c r="AY448" s="50">
        <f t="shared" si="160"/>
        <v>4</v>
      </c>
      <c r="AZ448" s="49">
        <f t="shared" si="167"/>
        <v>1</v>
      </c>
      <c r="BA448" s="49">
        <f>VLOOKUP(AN448,Leyenda!$B$70:$D$75,3,FALSE)</f>
        <v>15</v>
      </c>
      <c r="BB448" s="67">
        <f t="shared" si="168"/>
        <v>15.500000000000002</v>
      </c>
      <c r="BC448" s="67">
        <f>VLOOKUP(AF448,Leyenda!$B$4:$E$10,4,FALSE)</f>
        <v>1</v>
      </c>
      <c r="BD448" s="67">
        <f t="shared" si="169"/>
        <v>7</v>
      </c>
      <c r="BE448" s="67">
        <f t="shared" si="170"/>
        <v>6</v>
      </c>
      <c r="BF448" s="67">
        <f>+VLOOKUP('3. Blasting'!AK448,Leyenda!$B$47:$E$51,4,FALSE)</f>
        <v>0</v>
      </c>
      <c r="BG448" s="67">
        <f>+VLOOKUP('3. Blasting'!AL448,Leyenda!$B$55:$E$59,4,FALSE)</f>
        <v>1</v>
      </c>
      <c r="BH448" s="67">
        <f>+VLOOKUP('3. Blasting'!AM448,Leyenda!$B$63:$E$67,3,FALSE)</f>
        <v>0</v>
      </c>
      <c r="BI448" s="67">
        <f>+VLOOKUP('3. Blasting'!AJ448,Leyenda!$B$39:$E$43,4,FALSE)</f>
        <v>0</v>
      </c>
      <c r="BJ448" s="67">
        <f>+VLOOKUP('3. Blasting'!AI448,Leyenda!$B$30:$E$34,4,FALSE)</f>
        <v>0</v>
      </c>
      <c r="BK448" s="67">
        <f>VLOOKUP(AN448,Leyenda!$B$71:$E$75,4,FALSE)</f>
        <v>10</v>
      </c>
      <c r="BL448" s="67">
        <f t="shared" si="171"/>
        <v>25</v>
      </c>
      <c r="BM448" s="18">
        <f t="shared" si="172"/>
        <v>21</v>
      </c>
      <c r="BN448" s="18"/>
      <c r="BO448" s="18"/>
      <c r="BS448">
        <f t="shared" si="161"/>
        <v>-50</v>
      </c>
      <c r="BT448">
        <f t="shared" si="162"/>
        <v>0</v>
      </c>
      <c r="BU448">
        <f t="shared" si="163"/>
        <v>-25</v>
      </c>
      <c r="BV448" s="1">
        <f t="shared" si="157"/>
        <v>-0.1</v>
      </c>
      <c r="BW448" s="1">
        <f t="shared" si="158"/>
        <v>0</v>
      </c>
    </row>
    <row r="449" spans="1:75" hidden="1" x14ac:dyDescent="0.25">
      <c r="A449" s="18" t="s">
        <v>6</v>
      </c>
      <c r="B449" s="18">
        <v>2024</v>
      </c>
      <c r="C449" s="18" t="s">
        <v>138</v>
      </c>
      <c r="D449" s="18" t="s">
        <v>134</v>
      </c>
      <c r="E449" s="18">
        <v>50</v>
      </c>
      <c r="F449" s="18" t="s">
        <v>154</v>
      </c>
      <c r="G449" s="18" t="s">
        <v>172</v>
      </c>
      <c r="H449" s="31">
        <f t="shared" si="181"/>
        <v>17</v>
      </c>
      <c r="I449" s="31">
        <v>17.5</v>
      </c>
      <c r="J449" s="4">
        <f t="shared" si="164"/>
        <v>0.5</v>
      </c>
      <c r="K449" s="5">
        <v>0.7</v>
      </c>
      <c r="L449" s="31">
        <f t="shared" si="165"/>
        <v>0.35</v>
      </c>
      <c r="M449" s="31"/>
      <c r="N449" s="31"/>
      <c r="O449" s="18">
        <f t="shared" si="182"/>
        <v>0.35</v>
      </c>
      <c r="P449" s="18">
        <v>17.5</v>
      </c>
      <c r="Q449" s="18">
        <v>20</v>
      </c>
      <c r="R449" s="18">
        <v>0.34</v>
      </c>
      <c r="S449" s="18">
        <v>0.17</v>
      </c>
      <c r="T449" s="65">
        <f t="shared" si="176"/>
        <v>34</v>
      </c>
      <c r="U449" s="18">
        <v>4</v>
      </c>
      <c r="V449" s="18"/>
      <c r="W449" s="18">
        <f t="shared" si="179"/>
        <v>4</v>
      </c>
      <c r="X449" s="18">
        <f t="shared" si="180"/>
        <v>85</v>
      </c>
      <c r="Y449" s="31">
        <f t="shared" si="159"/>
        <v>8.5000000000000006E-2</v>
      </c>
      <c r="Z449" s="18">
        <v>0</v>
      </c>
      <c r="AA449" s="18" t="s">
        <v>96</v>
      </c>
      <c r="AB449" s="18" t="s">
        <v>333</v>
      </c>
      <c r="AC449" s="18" t="s">
        <v>336</v>
      </c>
      <c r="AD449" s="18">
        <v>20</v>
      </c>
      <c r="AE449" s="18">
        <v>17.5</v>
      </c>
      <c r="AF449" s="18" t="s">
        <v>32</v>
      </c>
      <c r="AG449" s="18"/>
      <c r="AH449" s="18"/>
      <c r="AI449" s="18" t="s">
        <v>69</v>
      </c>
      <c r="AJ449" s="18" t="s">
        <v>81</v>
      </c>
      <c r="AK449" s="18" t="s">
        <v>100</v>
      </c>
      <c r="AL449" s="18" t="s">
        <v>109</v>
      </c>
      <c r="AM449" s="18" t="s">
        <v>122</v>
      </c>
      <c r="AN449" s="18" t="s">
        <v>198</v>
      </c>
      <c r="AO449" s="18"/>
      <c r="AP449" s="18"/>
      <c r="AQ449" s="18">
        <f>+VLOOKUP(AI449,Leyenda!$B$30:$E$34,3,FALSE)</f>
        <v>0</v>
      </c>
      <c r="AR449" s="18">
        <f>+VLOOKUP('3. Blasting'!AJ449,Meteorizacion,3,FALSE)</f>
        <v>0</v>
      </c>
      <c r="AS449" s="18">
        <f>+VLOOKUP('3. Blasting'!AK449,Apertura,3,FALSE)</f>
        <v>0</v>
      </c>
      <c r="AT449" s="18">
        <f>+VLOOKUP('3. Blasting'!AL449,Leyenda!$B$55:$D$59,3,FALSE)</f>
        <v>1</v>
      </c>
      <c r="AU449" s="18">
        <f>+VLOOKUP('3. Blasting'!AM449,Relleno,3,FALSE)</f>
        <v>0</v>
      </c>
      <c r="AV449" s="18">
        <f t="shared" si="177"/>
        <v>1</v>
      </c>
      <c r="AW449" s="49">
        <f t="shared" si="166"/>
        <v>0</v>
      </c>
      <c r="AX449" s="49">
        <f>VLOOKUP(AF449,Leyenda!$B$4:$D$10,3,FALSE)</f>
        <v>1</v>
      </c>
      <c r="AY449" s="50">
        <f t="shared" si="160"/>
        <v>4</v>
      </c>
      <c r="AZ449" s="49">
        <f t="shared" si="167"/>
        <v>1</v>
      </c>
      <c r="BA449" s="49">
        <f>VLOOKUP(AN449,Leyenda!$B$70:$D$75,3,FALSE)</f>
        <v>15</v>
      </c>
      <c r="BB449" s="67">
        <f t="shared" si="168"/>
        <v>18.5</v>
      </c>
      <c r="BC449" s="67">
        <f>VLOOKUP(AF449,Leyenda!$B$4:$E$10,4,FALSE)</f>
        <v>1</v>
      </c>
      <c r="BD449" s="67">
        <f t="shared" si="169"/>
        <v>7</v>
      </c>
      <c r="BE449" s="67">
        <f t="shared" si="170"/>
        <v>7</v>
      </c>
      <c r="BF449" s="67">
        <f>+VLOOKUP('3. Blasting'!AK449,Leyenda!$B$47:$E$51,4,FALSE)</f>
        <v>0</v>
      </c>
      <c r="BG449" s="67">
        <f>+VLOOKUP('3. Blasting'!AL449,Leyenda!$B$55:$E$59,4,FALSE)</f>
        <v>1</v>
      </c>
      <c r="BH449" s="67">
        <f>+VLOOKUP('3. Blasting'!AM449,Leyenda!$B$63:$E$67,3,FALSE)</f>
        <v>0</v>
      </c>
      <c r="BI449" s="67">
        <f>+VLOOKUP('3. Blasting'!AJ449,Leyenda!$B$39:$E$43,4,FALSE)</f>
        <v>0</v>
      </c>
      <c r="BJ449" s="67">
        <f>+VLOOKUP('3. Blasting'!AI449,Leyenda!$B$30:$E$34,4,FALSE)</f>
        <v>0</v>
      </c>
      <c r="BK449" s="67">
        <f>VLOOKUP(AN449,Leyenda!$B$71:$E$75,4,FALSE)</f>
        <v>10</v>
      </c>
      <c r="BL449" s="67">
        <f t="shared" si="171"/>
        <v>26</v>
      </c>
      <c r="BM449" s="18">
        <f t="shared" si="172"/>
        <v>21</v>
      </c>
      <c r="BN449" s="18"/>
      <c r="BO449" s="18"/>
      <c r="BS449">
        <f t="shared" si="161"/>
        <v>-50</v>
      </c>
      <c r="BT449">
        <f t="shared" si="162"/>
        <v>0</v>
      </c>
      <c r="BU449">
        <f t="shared" si="163"/>
        <v>-25</v>
      </c>
      <c r="BV449" s="1">
        <f t="shared" si="157"/>
        <v>-0.1</v>
      </c>
      <c r="BW449" s="1">
        <f t="shared" si="158"/>
        <v>0</v>
      </c>
    </row>
    <row r="450" spans="1:75" hidden="1" x14ac:dyDescent="0.25">
      <c r="A450" s="18" t="s">
        <v>6</v>
      </c>
      <c r="B450" s="18">
        <v>2024</v>
      </c>
      <c r="C450" s="18" t="s">
        <v>138</v>
      </c>
      <c r="D450" s="18" t="s">
        <v>134</v>
      </c>
      <c r="E450" s="18">
        <v>50</v>
      </c>
      <c r="F450" s="18" t="s">
        <v>154</v>
      </c>
      <c r="G450" s="18" t="s">
        <v>173</v>
      </c>
      <c r="H450" s="31">
        <f t="shared" si="181"/>
        <v>17.5</v>
      </c>
      <c r="I450" s="31">
        <v>18</v>
      </c>
      <c r="J450" s="4">
        <f t="shared" si="164"/>
        <v>0.5</v>
      </c>
      <c r="K450" s="5">
        <v>0.84</v>
      </c>
      <c r="L450" s="31">
        <f t="shared" si="165"/>
        <v>0.42</v>
      </c>
      <c r="M450" s="31"/>
      <c r="N450" s="31"/>
      <c r="O450" s="18">
        <f t="shared" si="182"/>
        <v>0.42</v>
      </c>
      <c r="P450" s="18">
        <v>21</v>
      </c>
      <c r="Q450" s="18">
        <v>20</v>
      </c>
      <c r="R450" s="18">
        <v>0.41</v>
      </c>
      <c r="S450" s="18">
        <v>0</v>
      </c>
      <c r="T450" s="65">
        <f t="shared" si="176"/>
        <v>0</v>
      </c>
      <c r="U450" s="18">
        <v>7</v>
      </c>
      <c r="V450" s="18"/>
      <c r="W450" s="18">
        <f t="shared" si="179"/>
        <v>7</v>
      </c>
      <c r="X450" s="18">
        <f t="shared" si="180"/>
        <v>58.571428571428569</v>
      </c>
      <c r="Y450" s="31">
        <f t="shared" si="159"/>
        <v>5.8571428571428566E-2</v>
      </c>
      <c r="Z450" s="18">
        <v>0</v>
      </c>
      <c r="AA450" s="18" t="s">
        <v>330</v>
      </c>
      <c r="AB450" s="18" t="s">
        <v>333</v>
      </c>
      <c r="AC450" s="18" t="s">
        <v>335</v>
      </c>
      <c r="AD450" s="18">
        <v>20</v>
      </c>
      <c r="AE450" s="18">
        <v>21</v>
      </c>
      <c r="AF450" s="18" t="s">
        <v>34</v>
      </c>
      <c r="AG450" s="18"/>
      <c r="AH450" s="18"/>
      <c r="AI450" s="18" t="s">
        <v>69</v>
      </c>
      <c r="AJ450" s="18" t="s">
        <v>81</v>
      </c>
      <c r="AK450" s="18" t="s">
        <v>100</v>
      </c>
      <c r="AL450" s="18" t="s">
        <v>109</v>
      </c>
      <c r="AM450" s="18" t="s">
        <v>122</v>
      </c>
      <c r="AN450" s="18" t="s">
        <v>198</v>
      </c>
      <c r="AO450" s="18"/>
      <c r="AP450" s="18"/>
      <c r="AQ450" s="18">
        <f>+VLOOKUP(AI450,Leyenda!$B$30:$E$34,3,FALSE)</f>
        <v>0</v>
      </c>
      <c r="AR450" s="18">
        <f>+VLOOKUP('3. Blasting'!AJ450,Meteorizacion,3,FALSE)</f>
        <v>0</v>
      </c>
      <c r="AS450" s="18">
        <f>+VLOOKUP('3. Blasting'!AK450,Apertura,3,FALSE)</f>
        <v>0</v>
      </c>
      <c r="AT450" s="18">
        <f>+VLOOKUP('3. Blasting'!AL450,Leyenda!$B$55:$D$59,3,FALSE)</f>
        <v>1</v>
      </c>
      <c r="AU450" s="18">
        <f>+VLOOKUP('3. Blasting'!AM450,Relleno,3,FALSE)</f>
        <v>0</v>
      </c>
      <c r="AV450" s="18">
        <f t="shared" si="177"/>
        <v>1</v>
      </c>
      <c r="AW450" s="49">
        <f t="shared" si="166"/>
        <v>0</v>
      </c>
      <c r="AX450" s="49">
        <f>VLOOKUP(AF450,Leyenda!$B$4:$D$10,3,FALSE)</f>
        <v>0</v>
      </c>
      <c r="AY450" s="50">
        <f t="shared" si="160"/>
        <v>4</v>
      </c>
      <c r="AZ450" s="49">
        <f t="shared" si="167"/>
        <v>1</v>
      </c>
      <c r="BA450" s="49">
        <f>VLOOKUP(AN450,Leyenda!$B$70:$D$75,3,FALSE)</f>
        <v>15</v>
      </c>
      <c r="BB450" s="67">
        <f t="shared" si="168"/>
        <v>1.5</v>
      </c>
      <c r="BC450" s="67">
        <f>VLOOKUP(AF450,Leyenda!$B$4:$E$10,4,FALSE)</f>
        <v>0</v>
      </c>
      <c r="BD450" s="67">
        <f t="shared" si="169"/>
        <v>5</v>
      </c>
      <c r="BE450" s="67">
        <f t="shared" si="170"/>
        <v>0</v>
      </c>
      <c r="BF450" s="67">
        <f>+VLOOKUP('3. Blasting'!AK450,Leyenda!$B$47:$E$51,4,FALSE)</f>
        <v>0</v>
      </c>
      <c r="BG450" s="67">
        <f>+VLOOKUP('3. Blasting'!AL450,Leyenda!$B$55:$E$59,4,FALSE)</f>
        <v>1</v>
      </c>
      <c r="BH450" s="67">
        <f>+VLOOKUP('3. Blasting'!AM450,Leyenda!$B$63:$E$67,3,FALSE)</f>
        <v>0</v>
      </c>
      <c r="BI450" s="67">
        <f>+VLOOKUP('3. Blasting'!AJ450,Leyenda!$B$39:$E$43,4,FALSE)</f>
        <v>0</v>
      </c>
      <c r="BJ450" s="67">
        <f>+VLOOKUP('3. Blasting'!AI450,Leyenda!$B$30:$E$34,4,FALSE)</f>
        <v>0</v>
      </c>
      <c r="BK450" s="67">
        <f>VLOOKUP(AN450,Leyenda!$B$71:$E$75,4,FALSE)</f>
        <v>10</v>
      </c>
      <c r="BL450" s="67">
        <f t="shared" si="171"/>
        <v>16</v>
      </c>
      <c r="BM450" s="18">
        <f t="shared" si="172"/>
        <v>20</v>
      </c>
      <c r="BN450" s="18"/>
      <c r="BO450" s="18"/>
      <c r="BS450">
        <f t="shared" si="161"/>
        <v>-50</v>
      </c>
      <c r="BT450">
        <f t="shared" si="162"/>
        <v>0</v>
      </c>
      <c r="BU450">
        <f t="shared" si="163"/>
        <v>-25</v>
      </c>
      <c r="BV450" s="1">
        <f t="shared" si="157"/>
        <v>-0.1</v>
      </c>
      <c r="BW450" s="1">
        <f t="shared" si="158"/>
        <v>0</v>
      </c>
    </row>
    <row r="451" spans="1:75" hidden="1" x14ac:dyDescent="0.25">
      <c r="A451" s="18" t="s">
        <v>6</v>
      </c>
      <c r="B451" s="18">
        <v>2024</v>
      </c>
      <c r="C451" s="18" t="s">
        <v>138</v>
      </c>
      <c r="D451" s="18" t="s">
        <v>134</v>
      </c>
      <c r="E451" s="18">
        <v>50</v>
      </c>
      <c r="F451" s="18" t="s">
        <v>154</v>
      </c>
      <c r="G451" s="18" t="s">
        <v>173</v>
      </c>
      <c r="H451" s="31">
        <f t="shared" si="181"/>
        <v>18</v>
      </c>
      <c r="I451" s="31">
        <v>18.5</v>
      </c>
      <c r="J451" s="4">
        <f t="shared" si="164"/>
        <v>0.5</v>
      </c>
      <c r="K451" s="5">
        <v>0.9</v>
      </c>
      <c r="L451" s="31">
        <f t="shared" si="165"/>
        <v>0.45</v>
      </c>
      <c r="M451" s="31"/>
      <c r="N451" s="31"/>
      <c r="O451" s="18">
        <f t="shared" si="182"/>
        <v>0.45</v>
      </c>
      <c r="P451" s="18">
        <v>22.5</v>
      </c>
      <c r="Q451" s="18">
        <v>20</v>
      </c>
      <c r="R451" s="18">
        <v>0.46</v>
      </c>
      <c r="S451" s="18">
        <v>0</v>
      </c>
      <c r="T451" s="65">
        <f t="shared" si="176"/>
        <v>0</v>
      </c>
      <c r="U451" s="18">
        <v>7</v>
      </c>
      <c r="V451" s="18"/>
      <c r="W451" s="18">
        <f t="shared" si="179"/>
        <v>7</v>
      </c>
      <c r="X451" s="18">
        <f t="shared" si="180"/>
        <v>65.714285714285708</v>
      </c>
      <c r="Y451" s="31">
        <f t="shared" si="159"/>
        <v>6.5714285714285711E-2</v>
      </c>
      <c r="Z451" s="18">
        <v>0</v>
      </c>
      <c r="AA451" s="18" t="s">
        <v>330</v>
      </c>
      <c r="AB451" s="18" t="s">
        <v>333</v>
      </c>
      <c r="AC451" s="18" t="s">
        <v>335</v>
      </c>
      <c r="AD451" s="18">
        <v>20</v>
      </c>
      <c r="AE451" s="18">
        <v>22.5</v>
      </c>
      <c r="AF451" s="18" t="s">
        <v>34</v>
      </c>
      <c r="AG451" s="18"/>
      <c r="AH451" s="18"/>
      <c r="AI451" s="18" t="s">
        <v>69</v>
      </c>
      <c r="AJ451" s="18" t="s">
        <v>81</v>
      </c>
      <c r="AK451" s="18" t="s">
        <v>100</v>
      </c>
      <c r="AL451" s="18" t="s">
        <v>109</v>
      </c>
      <c r="AM451" s="18" t="s">
        <v>122</v>
      </c>
      <c r="AN451" s="18" t="s">
        <v>198</v>
      </c>
      <c r="AO451" s="18"/>
      <c r="AP451" s="18"/>
      <c r="AQ451" s="18">
        <f>+VLOOKUP(AI451,Leyenda!$B$30:$E$34,3,FALSE)</f>
        <v>0</v>
      </c>
      <c r="AR451" s="18">
        <f>+VLOOKUP('3. Blasting'!AJ451,Meteorizacion,3,FALSE)</f>
        <v>0</v>
      </c>
      <c r="AS451" s="18">
        <f>+VLOOKUP('3. Blasting'!AK451,Apertura,3,FALSE)</f>
        <v>0</v>
      </c>
      <c r="AT451" s="18">
        <f>+VLOOKUP('3. Blasting'!AL451,Leyenda!$B$55:$D$59,3,FALSE)</f>
        <v>1</v>
      </c>
      <c r="AU451" s="18">
        <f>+VLOOKUP('3. Blasting'!AM451,Relleno,3,FALSE)</f>
        <v>0</v>
      </c>
      <c r="AV451" s="18">
        <f t="shared" si="177"/>
        <v>1</v>
      </c>
      <c r="AW451" s="49">
        <f t="shared" si="166"/>
        <v>0</v>
      </c>
      <c r="AX451" s="49">
        <f>VLOOKUP(AF451,Leyenda!$B$4:$D$10,3,FALSE)</f>
        <v>0</v>
      </c>
      <c r="AY451" s="50">
        <f t="shared" si="160"/>
        <v>4</v>
      </c>
      <c r="AZ451" s="49">
        <f t="shared" si="167"/>
        <v>1</v>
      </c>
      <c r="BA451" s="49">
        <f>VLOOKUP(AN451,Leyenda!$B$70:$D$75,3,FALSE)</f>
        <v>15</v>
      </c>
      <c r="BB451" s="67">
        <f t="shared" si="168"/>
        <v>1.5</v>
      </c>
      <c r="BC451" s="67">
        <f>VLOOKUP(AF451,Leyenda!$B$4:$E$10,4,FALSE)</f>
        <v>0</v>
      </c>
      <c r="BD451" s="67">
        <f t="shared" si="169"/>
        <v>6</v>
      </c>
      <c r="BE451" s="67">
        <f t="shared" si="170"/>
        <v>0</v>
      </c>
      <c r="BF451" s="67">
        <f>+VLOOKUP('3. Blasting'!AK451,Leyenda!$B$47:$E$51,4,FALSE)</f>
        <v>0</v>
      </c>
      <c r="BG451" s="67">
        <f>+VLOOKUP('3. Blasting'!AL451,Leyenda!$B$55:$E$59,4,FALSE)</f>
        <v>1</v>
      </c>
      <c r="BH451" s="67">
        <f>+VLOOKUP('3. Blasting'!AM451,Leyenda!$B$63:$E$67,3,FALSE)</f>
        <v>0</v>
      </c>
      <c r="BI451" s="67">
        <f>+VLOOKUP('3. Blasting'!AJ451,Leyenda!$B$39:$E$43,4,FALSE)</f>
        <v>0</v>
      </c>
      <c r="BJ451" s="67">
        <f>+VLOOKUP('3. Blasting'!AI451,Leyenda!$B$30:$E$34,4,FALSE)</f>
        <v>0</v>
      </c>
      <c r="BK451" s="67">
        <f>VLOOKUP(AN451,Leyenda!$B$71:$E$75,4,FALSE)</f>
        <v>10</v>
      </c>
      <c r="BL451" s="67">
        <f t="shared" si="171"/>
        <v>17</v>
      </c>
      <c r="BM451" s="18">
        <f t="shared" si="172"/>
        <v>20</v>
      </c>
      <c r="BN451" s="18"/>
      <c r="BO451" s="18"/>
      <c r="BS451">
        <f t="shared" si="161"/>
        <v>-50</v>
      </c>
      <c r="BT451">
        <f t="shared" si="162"/>
        <v>0</v>
      </c>
      <c r="BU451">
        <f t="shared" si="163"/>
        <v>-25</v>
      </c>
      <c r="BV451" s="1">
        <f t="shared" si="157"/>
        <v>-0.1</v>
      </c>
      <c r="BW451" s="1">
        <f t="shared" si="158"/>
        <v>0</v>
      </c>
    </row>
    <row r="452" spans="1:75" hidden="1" x14ac:dyDescent="0.25">
      <c r="A452" s="18" t="s">
        <v>6</v>
      </c>
      <c r="B452" s="18">
        <v>2024</v>
      </c>
      <c r="C452" s="18" t="s">
        <v>138</v>
      </c>
      <c r="D452" s="18" t="s">
        <v>134</v>
      </c>
      <c r="E452" s="18">
        <v>50</v>
      </c>
      <c r="F452" s="18" t="s">
        <v>154</v>
      </c>
      <c r="G452" s="18" t="s">
        <v>173</v>
      </c>
      <c r="H452" s="31">
        <f t="shared" si="181"/>
        <v>18.5</v>
      </c>
      <c r="I452" s="31">
        <v>19</v>
      </c>
      <c r="J452" s="4">
        <f t="shared" si="164"/>
        <v>0.5</v>
      </c>
      <c r="K452" s="5">
        <v>0.74</v>
      </c>
      <c r="L452" s="31">
        <f t="shared" si="165"/>
        <v>0.37</v>
      </c>
      <c r="M452" s="31"/>
      <c r="N452" s="31"/>
      <c r="O452" s="18">
        <f t="shared" si="182"/>
        <v>0.37</v>
      </c>
      <c r="P452" s="18">
        <v>18.5</v>
      </c>
      <c r="Q452" s="18">
        <v>20</v>
      </c>
      <c r="R452" s="18">
        <v>0.36</v>
      </c>
      <c r="S452" s="18">
        <v>0</v>
      </c>
      <c r="T452" s="65">
        <f t="shared" si="176"/>
        <v>0</v>
      </c>
      <c r="U452" s="18">
        <v>7</v>
      </c>
      <c r="V452" s="18"/>
      <c r="W452" s="18">
        <f t="shared" si="179"/>
        <v>7</v>
      </c>
      <c r="X452" s="18">
        <f t="shared" si="180"/>
        <v>51.428571428571431</v>
      </c>
      <c r="Y452" s="31">
        <f t="shared" si="159"/>
        <v>5.1428571428571428E-2</v>
      </c>
      <c r="Z452" s="18">
        <v>0</v>
      </c>
      <c r="AA452" s="18" t="s">
        <v>330</v>
      </c>
      <c r="AB452" s="18" t="s">
        <v>333</v>
      </c>
      <c r="AC452" s="18" t="s">
        <v>335</v>
      </c>
      <c r="AD452" s="18">
        <v>20</v>
      </c>
      <c r="AE452" s="18">
        <v>18.5</v>
      </c>
      <c r="AF452" s="18" t="s">
        <v>34</v>
      </c>
      <c r="AG452" s="18"/>
      <c r="AH452" s="18"/>
      <c r="AI452" s="18" t="s">
        <v>69</v>
      </c>
      <c r="AJ452" s="18" t="s">
        <v>81</v>
      </c>
      <c r="AK452" s="18" t="s">
        <v>100</v>
      </c>
      <c r="AL452" s="18" t="s">
        <v>109</v>
      </c>
      <c r="AM452" s="18" t="s">
        <v>122</v>
      </c>
      <c r="AN452" s="18" t="s">
        <v>198</v>
      </c>
      <c r="AO452" s="18"/>
      <c r="AP452" s="18"/>
      <c r="AQ452" s="18">
        <f>+VLOOKUP(AI452,Leyenda!$B$30:$E$34,3,FALSE)</f>
        <v>0</v>
      </c>
      <c r="AR452" s="18">
        <f>+VLOOKUP('3. Blasting'!AJ452,Meteorizacion,3,FALSE)</f>
        <v>0</v>
      </c>
      <c r="AS452" s="18">
        <f>+VLOOKUP('3. Blasting'!AK452,Apertura,3,FALSE)</f>
        <v>0</v>
      </c>
      <c r="AT452" s="18">
        <f>+VLOOKUP('3. Blasting'!AL452,Leyenda!$B$55:$D$59,3,FALSE)</f>
        <v>1</v>
      </c>
      <c r="AU452" s="18">
        <f>+VLOOKUP('3. Blasting'!AM452,Relleno,3,FALSE)</f>
        <v>0</v>
      </c>
      <c r="AV452" s="18">
        <f t="shared" si="177"/>
        <v>1</v>
      </c>
      <c r="AW452" s="49">
        <f t="shared" si="166"/>
        <v>0</v>
      </c>
      <c r="AX452" s="49">
        <f>VLOOKUP(AF452,Leyenda!$B$4:$D$10,3,FALSE)</f>
        <v>0</v>
      </c>
      <c r="AY452" s="50">
        <f t="shared" si="160"/>
        <v>4</v>
      </c>
      <c r="AZ452" s="49">
        <f t="shared" si="167"/>
        <v>1</v>
      </c>
      <c r="BA452" s="49">
        <f>VLOOKUP(AN452,Leyenda!$B$70:$D$75,3,FALSE)</f>
        <v>15</v>
      </c>
      <c r="BB452" s="67">
        <f t="shared" si="168"/>
        <v>1.5</v>
      </c>
      <c r="BC452" s="67">
        <f>VLOOKUP(AF452,Leyenda!$B$4:$E$10,4,FALSE)</f>
        <v>0</v>
      </c>
      <c r="BD452" s="67">
        <f t="shared" si="169"/>
        <v>4</v>
      </c>
      <c r="BE452" s="67">
        <f t="shared" si="170"/>
        <v>0</v>
      </c>
      <c r="BF452" s="67">
        <f>+VLOOKUP('3. Blasting'!AK452,Leyenda!$B$47:$E$51,4,FALSE)</f>
        <v>0</v>
      </c>
      <c r="BG452" s="67">
        <f>+VLOOKUP('3. Blasting'!AL452,Leyenda!$B$55:$E$59,4,FALSE)</f>
        <v>1</v>
      </c>
      <c r="BH452" s="67">
        <f>+VLOOKUP('3. Blasting'!AM452,Leyenda!$B$63:$E$67,3,FALSE)</f>
        <v>0</v>
      </c>
      <c r="BI452" s="67">
        <f>+VLOOKUP('3. Blasting'!AJ452,Leyenda!$B$39:$E$43,4,FALSE)</f>
        <v>0</v>
      </c>
      <c r="BJ452" s="67">
        <f>+VLOOKUP('3. Blasting'!AI452,Leyenda!$B$30:$E$34,4,FALSE)</f>
        <v>0</v>
      </c>
      <c r="BK452" s="67">
        <f>VLOOKUP(AN452,Leyenda!$B$71:$E$75,4,FALSE)</f>
        <v>10</v>
      </c>
      <c r="BL452" s="67">
        <f t="shared" si="171"/>
        <v>15</v>
      </c>
      <c r="BM452" s="18">
        <f t="shared" si="172"/>
        <v>20</v>
      </c>
      <c r="BN452" s="18"/>
      <c r="BO452" s="18"/>
      <c r="BS452">
        <f t="shared" si="161"/>
        <v>-50</v>
      </c>
      <c r="BT452">
        <f t="shared" si="162"/>
        <v>0</v>
      </c>
      <c r="BU452">
        <f t="shared" si="163"/>
        <v>-25</v>
      </c>
      <c r="BV452" s="1">
        <f t="shared" ref="BV452:BV515" si="186">0.004*BU452</f>
        <v>-0.1</v>
      </c>
      <c r="BW452" s="1">
        <f t="shared" ref="BW452:BW515" si="187">+BV452*M452</f>
        <v>0</v>
      </c>
    </row>
    <row r="453" spans="1:75" hidden="1" x14ac:dyDescent="0.25">
      <c r="A453" s="36" t="s">
        <v>6</v>
      </c>
      <c r="B453" s="36">
        <v>2024</v>
      </c>
      <c r="C453" s="36" t="s">
        <v>138</v>
      </c>
      <c r="D453" s="36" t="s">
        <v>134</v>
      </c>
      <c r="E453" s="36">
        <v>50</v>
      </c>
      <c r="F453" s="36" t="s">
        <v>154</v>
      </c>
      <c r="G453" s="36" t="s">
        <v>174</v>
      </c>
      <c r="H453" s="106">
        <f t="shared" si="181"/>
        <v>19</v>
      </c>
      <c r="I453" s="106">
        <v>19.5</v>
      </c>
      <c r="J453" s="107">
        <f t="shared" si="164"/>
        <v>0.5</v>
      </c>
      <c r="K453" s="108">
        <v>0.68</v>
      </c>
      <c r="L453" s="106">
        <f t="shared" si="165"/>
        <v>0.34</v>
      </c>
      <c r="M453" s="106"/>
      <c r="N453" s="106"/>
      <c r="O453" s="36">
        <f t="shared" si="182"/>
        <v>0.34</v>
      </c>
      <c r="P453" s="36">
        <v>17</v>
      </c>
      <c r="Q453" s="36">
        <v>20</v>
      </c>
      <c r="R453" s="36">
        <v>0.3</v>
      </c>
      <c r="S453" s="36">
        <v>0</v>
      </c>
      <c r="T453" s="112">
        <f t="shared" si="176"/>
        <v>0</v>
      </c>
      <c r="U453" s="36">
        <v>7</v>
      </c>
      <c r="V453" s="36"/>
      <c r="W453" s="36">
        <f t="shared" si="179"/>
        <v>7</v>
      </c>
      <c r="X453" s="36">
        <f t="shared" si="180"/>
        <v>42.857142857142854</v>
      </c>
      <c r="Y453" s="106">
        <f t="shared" ref="Y453:Y516" si="188">+X453/1000</f>
        <v>4.2857142857142858E-2</v>
      </c>
      <c r="Z453" s="36">
        <v>0</v>
      </c>
      <c r="AA453" s="36" t="s">
        <v>330</v>
      </c>
      <c r="AB453" s="36" t="s">
        <v>333</v>
      </c>
      <c r="AC453" s="36" t="s">
        <v>335</v>
      </c>
      <c r="AD453" s="36">
        <v>20</v>
      </c>
      <c r="AE453" s="36">
        <v>17</v>
      </c>
      <c r="AF453" s="36" t="s">
        <v>34</v>
      </c>
      <c r="AG453" s="36"/>
      <c r="AH453" s="36"/>
      <c r="AI453" s="36" t="s">
        <v>69</v>
      </c>
      <c r="AJ453" s="36" t="s">
        <v>81</v>
      </c>
      <c r="AK453" s="36" t="s">
        <v>100</v>
      </c>
      <c r="AL453" s="36" t="s">
        <v>109</v>
      </c>
      <c r="AM453" s="36" t="s">
        <v>122</v>
      </c>
      <c r="AN453" s="36" t="s">
        <v>198</v>
      </c>
      <c r="AO453" s="36"/>
      <c r="AP453" s="36"/>
      <c r="AQ453" s="36">
        <f>+VLOOKUP(AI453,Leyenda!$B$30:$E$34,3,FALSE)</f>
        <v>0</v>
      </c>
      <c r="AR453" s="36">
        <f>+VLOOKUP('3. Blasting'!AJ453,Meteorizacion,3,FALSE)</f>
        <v>0</v>
      </c>
      <c r="AS453" s="36">
        <f>+VLOOKUP('3. Blasting'!AK453,Apertura,3,FALSE)</f>
        <v>0</v>
      </c>
      <c r="AT453" s="36">
        <f>+VLOOKUP('3. Blasting'!AL453,Leyenda!$B$55:$D$59,3,FALSE)</f>
        <v>1</v>
      </c>
      <c r="AU453" s="36">
        <f>+VLOOKUP('3. Blasting'!AM453,Relleno,3,FALSE)</f>
        <v>0</v>
      </c>
      <c r="AV453" s="36">
        <f t="shared" si="177"/>
        <v>1</v>
      </c>
      <c r="AW453" s="50">
        <f t="shared" si="166"/>
        <v>0</v>
      </c>
      <c r="AX453" s="50">
        <f>VLOOKUP(AF453,Leyenda!$B$4:$D$10,3,FALSE)</f>
        <v>0</v>
      </c>
      <c r="AY453" s="50">
        <f t="shared" ref="AY453:AY517" si="189">IF(P453="",ROUND((IF(P453&lt;=400,1.5478*POWER(P453,0.3351),-2*POWER(10,-6)*POWER(P453,2)+0.0091*P453+8.1704)),0),ROUND((IF(P453&lt;=400,1.5478*POWER(P453,0.3351),-2*POWER(10,-6)*POWER(P453,2)+0.0091*P453+8.1704)),0))</f>
        <v>4</v>
      </c>
      <c r="AZ453" s="50">
        <f t="shared" si="167"/>
        <v>1</v>
      </c>
      <c r="BA453" s="50">
        <f>VLOOKUP(AN453,Leyenda!$B$70:$D$75,3,FALSE)</f>
        <v>15</v>
      </c>
      <c r="BB453" s="110">
        <f t="shared" si="168"/>
        <v>1.5</v>
      </c>
      <c r="BC453" s="110">
        <f>VLOOKUP(AF453,Leyenda!$B$4:$E$10,4,FALSE)</f>
        <v>0</v>
      </c>
      <c r="BD453" s="110">
        <f t="shared" si="169"/>
        <v>5</v>
      </c>
      <c r="BE453" s="110">
        <f t="shared" si="170"/>
        <v>0</v>
      </c>
      <c r="BF453" s="110">
        <f>+VLOOKUP('3. Blasting'!AK453,Leyenda!$B$47:$E$51,4,FALSE)</f>
        <v>0</v>
      </c>
      <c r="BG453" s="110">
        <f>+VLOOKUP('3. Blasting'!AL453,Leyenda!$B$55:$E$59,4,FALSE)</f>
        <v>1</v>
      </c>
      <c r="BH453" s="110">
        <f>+VLOOKUP('3. Blasting'!AM453,Leyenda!$B$63:$E$67,3,FALSE)</f>
        <v>0</v>
      </c>
      <c r="BI453" s="110">
        <f>+VLOOKUP('3. Blasting'!AJ453,Leyenda!$B$39:$E$43,4,FALSE)</f>
        <v>0</v>
      </c>
      <c r="BJ453" s="110">
        <f>+VLOOKUP('3. Blasting'!AI453,Leyenda!$B$30:$E$34,4,FALSE)</f>
        <v>0</v>
      </c>
      <c r="BK453" s="110">
        <f>VLOOKUP(AN453,Leyenda!$B$71:$E$75,4,FALSE)</f>
        <v>10</v>
      </c>
      <c r="BL453" s="110">
        <f t="shared" si="171"/>
        <v>16</v>
      </c>
      <c r="BM453" s="36">
        <f t="shared" si="172"/>
        <v>20</v>
      </c>
      <c r="BN453" s="36"/>
      <c r="BO453" s="36"/>
      <c r="BS453">
        <f t="shared" ref="BS453:BS516" si="190">25*M453-50</f>
        <v>-50</v>
      </c>
      <c r="BT453">
        <f t="shared" ref="BT453:BT516" si="191">0.05*N453</f>
        <v>0</v>
      </c>
      <c r="BU453">
        <f t="shared" ref="BU453:BU516" si="192">0.5*((BP453+BQ453)+BR453+BS453+BT453)</f>
        <v>-25</v>
      </c>
      <c r="BV453" s="1">
        <f t="shared" si="186"/>
        <v>-0.1</v>
      </c>
      <c r="BW453" s="1">
        <f t="shared" si="187"/>
        <v>0</v>
      </c>
    </row>
    <row r="454" spans="1:75" x14ac:dyDescent="0.25">
      <c r="A454" s="18" t="s">
        <v>6</v>
      </c>
      <c r="B454" s="18">
        <v>2024</v>
      </c>
      <c r="C454" s="18" t="s">
        <v>138</v>
      </c>
      <c r="D454" s="18" t="s">
        <v>134</v>
      </c>
      <c r="E454" s="18">
        <v>40</v>
      </c>
      <c r="F454" s="18" t="s">
        <v>153</v>
      </c>
      <c r="G454" s="18" t="s">
        <v>174</v>
      </c>
      <c r="H454" s="31">
        <f t="shared" si="181"/>
        <v>19.5</v>
      </c>
      <c r="I454" s="31">
        <v>20</v>
      </c>
      <c r="J454" s="4">
        <f t="shared" si="164"/>
        <v>0.5</v>
      </c>
      <c r="K454" s="5">
        <v>0.7</v>
      </c>
      <c r="L454" s="31">
        <f t="shared" ref="L454:L518" si="193">+J454*K454</f>
        <v>0.35</v>
      </c>
      <c r="M454" s="31">
        <v>2.14</v>
      </c>
      <c r="N454" s="31">
        <v>31.3</v>
      </c>
      <c r="O454" s="18">
        <f t="shared" si="182"/>
        <v>0.35</v>
      </c>
      <c r="P454" s="18">
        <v>17.5</v>
      </c>
      <c r="Q454" s="18">
        <v>20</v>
      </c>
      <c r="R454" s="18">
        <v>0.33</v>
      </c>
      <c r="S454" s="18">
        <v>0</v>
      </c>
      <c r="T454" s="65">
        <f t="shared" si="176"/>
        <v>0</v>
      </c>
      <c r="U454" s="18">
        <v>4</v>
      </c>
      <c r="V454" s="18"/>
      <c r="W454" s="18">
        <f t="shared" si="179"/>
        <v>4</v>
      </c>
      <c r="X454" s="18">
        <f t="shared" si="180"/>
        <v>82.5</v>
      </c>
      <c r="Y454" s="31">
        <f t="shared" si="188"/>
        <v>8.2500000000000004E-2</v>
      </c>
      <c r="Z454" s="18">
        <v>0</v>
      </c>
      <c r="AA454" s="18" t="s">
        <v>330</v>
      </c>
      <c r="AB454" s="18" t="s">
        <v>333</v>
      </c>
      <c r="AC454" s="18" t="s">
        <v>335</v>
      </c>
      <c r="AD454" s="18">
        <v>20</v>
      </c>
      <c r="AE454" s="18">
        <v>17.5</v>
      </c>
      <c r="AF454" s="18" t="s">
        <v>34</v>
      </c>
      <c r="AG454" s="18"/>
      <c r="AH454" s="18"/>
      <c r="AI454" s="18" t="s">
        <v>69</v>
      </c>
      <c r="AJ454" s="18" t="s">
        <v>81</v>
      </c>
      <c r="AK454" s="18" t="s">
        <v>100</v>
      </c>
      <c r="AL454" s="18" t="s">
        <v>107</v>
      </c>
      <c r="AM454" s="18" t="s">
        <v>120</v>
      </c>
      <c r="AN454" s="18" t="s">
        <v>247</v>
      </c>
      <c r="AO454" s="18"/>
      <c r="AP454" s="18"/>
      <c r="AQ454" s="18">
        <f>+VLOOKUP(AI454,Leyenda!$B$30:$E$34,3,FALSE)</f>
        <v>0</v>
      </c>
      <c r="AR454" s="18">
        <f>+VLOOKUP('3. Blasting'!AJ454,Meteorizacion,3,FALSE)</f>
        <v>0</v>
      </c>
      <c r="AS454" s="18">
        <f>+VLOOKUP('3. Blasting'!AK454,Apertura,3,FALSE)</f>
        <v>0</v>
      </c>
      <c r="AT454" s="18">
        <f>+VLOOKUP('3. Blasting'!AL454,Leyenda!$B$55:$D$59,3,FALSE)</f>
        <v>3</v>
      </c>
      <c r="AU454" s="18">
        <f>+VLOOKUP('3. Blasting'!AM454,Relleno,3,FALSE)</f>
        <v>2</v>
      </c>
      <c r="AV454" s="18">
        <f t="shared" si="177"/>
        <v>5</v>
      </c>
      <c r="AW454" s="49">
        <f t="shared" ref="AW454:AW518" si="194">ROUND(-0.0002*POWER(Z454,2)+0.2197*Z454,0)</f>
        <v>0</v>
      </c>
      <c r="AX454" s="49">
        <f>VLOOKUP(AF454,Leyenda!$B$4:$D$10,3,FALSE)</f>
        <v>0</v>
      </c>
      <c r="AY454" s="49">
        <f t="shared" si="189"/>
        <v>4</v>
      </c>
      <c r="AZ454" s="49">
        <f t="shared" ref="AZ454:AZ518" si="195">+AV454</f>
        <v>5</v>
      </c>
      <c r="BA454" s="49">
        <f>VLOOKUP(AN454,Leyenda!$B$70:$D$75,3,FALSE)</f>
        <v>10</v>
      </c>
      <c r="BB454" s="67">
        <f t="shared" ref="BB454:BB518" si="196">1.5*AV454+(T454*0.5)</f>
        <v>7.5</v>
      </c>
      <c r="BC454" s="67">
        <f>VLOOKUP(AF454,Leyenda!$B$4:$E$10,4,FALSE)</f>
        <v>0</v>
      </c>
      <c r="BD454" s="67">
        <f t="shared" ref="BD454:BD518" si="197">IF(X454="",ROUND(IF(X454&lt;=50,5,IF(X454&gt;=3000,30,6.038*LN(X454)-19.63)),0),ROUND(IF(X454&lt;=50,5,IF(X454&gt;=3000,30,6.038*LN(X454)-19.63)),0))</f>
        <v>7</v>
      </c>
      <c r="BE454" s="67">
        <f t="shared" ref="BE454:BE518" si="198">ROUND(-0.0002*POWER(T454,2)+0.2197*T454,0)</f>
        <v>0</v>
      </c>
      <c r="BF454" s="67">
        <f>+VLOOKUP('3. Blasting'!AK454,Leyenda!$B$47:$E$51,4,FALSE)</f>
        <v>0</v>
      </c>
      <c r="BG454" s="67">
        <f>+VLOOKUP('3. Blasting'!AL454,Leyenda!$B$55:$E$59,4,FALSE)</f>
        <v>3</v>
      </c>
      <c r="BH454" s="67">
        <f>+VLOOKUP('3. Blasting'!AM454,Leyenda!$B$63:$E$67,3,FALSE)</f>
        <v>2</v>
      </c>
      <c r="BI454" s="67">
        <f>+VLOOKUP('3. Blasting'!AJ454,Leyenda!$B$39:$E$43,4,FALSE)</f>
        <v>0</v>
      </c>
      <c r="BJ454" s="67">
        <f>+VLOOKUP('3. Blasting'!AI454,Leyenda!$B$30:$E$34,4,FALSE)</f>
        <v>0</v>
      </c>
      <c r="BK454" s="67">
        <f>VLOOKUP(AN454,Leyenda!$B$71:$E$75,4,FALSE)</f>
        <v>7</v>
      </c>
      <c r="BL454" s="125">
        <f t="shared" ref="BL454:BL518" si="199">+BC454+BD454+BE454+BF454+BG454+BH454+BI454+BJ454+BK454</f>
        <v>19</v>
      </c>
      <c r="BM454" s="85">
        <f t="shared" ref="BM454:BM518" si="200">+AX454+AY454+AW454+AZ454+BA454</f>
        <v>19</v>
      </c>
      <c r="BN454" s="18" t="e">
        <f t="shared" ref="BN454:BN473" si="201">+CORREL(BB454:BB803,BL454:BL803)</f>
        <v>#N/A</v>
      </c>
      <c r="BO454" s="18"/>
      <c r="BP454" s="6">
        <f t="shared" ref="BP454:BP473" si="202">+IF(BL454&lt;30,10,IF(BL454&lt;=41,20,30))</f>
        <v>10</v>
      </c>
      <c r="BQ454" s="6">
        <f t="shared" ref="BQ454:BQ473" si="203">+IF(Y454&lt;0.1,10,IF(AND(Y454&gt;0.1,Y454&lt;1),20,50))</f>
        <v>10</v>
      </c>
      <c r="BR454" s="6">
        <v>20</v>
      </c>
      <c r="BS454" s="6">
        <f t="shared" si="190"/>
        <v>3.5</v>
      </c>
      <c r="BT454" s="6">
        <f t="shared" si="191"/>
        <v>1.5650000000000002</v>
      </c>
      <c r="BU454" s="6">
        <f t="shared" si="192"/>
        <v>22.532499999999999</v>
      </c>
      <c r="BV454" s="18">
        <f t="shared" si="186"/>
        <v>9.0130000000000002E-2</v>
      </c>
      <c r="BW454" s="18">
        <f t="shared" si="187"/>
        <v>0.19287820000000003</v>
      </c>
    </row>
    <row r="455" spans="1:75" x14ac:dyDescent="0.25">
      <c r="A455" s="18" t="s">
        <v>6</v>
      </c>
      <c r="B455" s="18">
        <v>2024</v>
      </c>
      <c r="C455" s="18" t="s">
        <v>138</v>
      </c>
      <c r="D455" s="18" t="s">
        <v>134</v>
      </c>
      <c r="E455" s="18">
        <v>40</v>
      </c>
      <c r="F455" s="18" t="s">
        <v>153</v>
      </c>
      <c r="G455" s="18" t="s">
        <v>175</v>
      </c>
      <c r="H455" s="31">
        <f t="shared" si="181"/>
        <v>20</v>
      </c>
      <c r="I455" s="31">
        <v>20.5</v>
      </c>
      <c r="J455" s="4">
        <f t="shared" ref="J455:J519" si="204">+I455-H455</f>
        <v>0.5</v>
      </c>
      <c r="K455" s="5">
        <v>1</v>
      </c>
      <c r="L455" s="31">
        <f t="shared" si="193"/>
        <v>0.5</v>
      </c>
      <c r="M455" s="31">
        <v>2.14</v>
      </c>
      <c r="N455" s="31">
        <v>31.3</v>
      </c>
      <c r="O455" s="18">
        <f t="shared" si="182"/>
        <v>0.5</v>
      </c>
      <c r="P455" s="18">
        <v>25</v>
      </c>
      <c r="Q455" s="18">
        <v>20</v>
      </c>
      <c r="R455" s="18">
        <v>0.46</v>
      </c>
      <c r="S455" s="18">
        <v>0.27</v>
      </c>
      <c r="T455" s="65">
        <f t="shared" si="176"/>
        <v>54</v>
      </c>
      <c r="U455" s="18">
        <v>4</v>
      </c>
      <c r="V455" s="18"/>
      <c r="W455" s="18">
        <f t="shared" si="179"/>
        <v>4</v>
      </c>
      <c r="X455" s="18">
        <f t="shared" si="180"/>
        <v>115</v>
      </c>
      <c r="Y455" s="31">
        <f t="shared" si="188"/>
        <v>0.115</v>
      </c>
      <c r="Z455" s="18">
        <v>0</v>
      </c>
      <c r="AA455" s="18" t="s">
        <v>330</v>
      </c>
      <c r="AB455" s="18" t="s">
        <v>333</v>
      </c>
      <c r="AC455" s="18" t="s">
        <v>335</v>
      </c>
      <c r="AD455" s="18">
        <v>20</v>
      </c>
      <c r="AE455" s="18">
        <v>25</v>
      </c>
      <c r="AF455" s="18" t="s">
        <v>34</v>
      </c>
      <c r="AG455" s="18"/>
      <c r="AH455" s="18"/>
      <c r="AI455" s="18" t="s">
        <v>69</v>
      </c>
      <c r="AJ455" s="18" t="s">
        <v>81</v>
      </c>
      <c r="AK455" s="18" t="s">
        <v>100</v>
      </c>
      <c r="AL455" s="18" t="s">
        <v>107</v>
      </c>
      <c r="AM455" s="18" t="s">
        <v>120</v>
      </c>
      <c r="AN455" s="18" t="s">
        <v>247</v>
      </c>
      <c r="AO455" s="18"/>
      <c r="AP455" s="18"/>
      <c r="AQ455" s="18">
        <f>+VLOOKUP(AI455,Leyenda!$B$30:$E$34,3,FALSE)</f>
        <v>0</v>
      </c>
      <c r="AR455" s="18">
        <f>+VLOOKUP('3. Blasting'!AJ455,Meteorizacion,3,FALSE)</f>
        <v>0</v>
      </c>
      <c r="AS455" s="18">
        <f>+VLOOKUP('3. Blasting'!AK455,Apertura,3,FALSE)</f>
        <v>0</v>
      </c>
      <c r="AT455" s="18">
        <f>+VLOOKUP('3. Blasting'!AL455,Leyenda!$B$55:$D$59,3,FALSE)</f>
        <v>3</v>
      </c>
      <c r="AU455" s="18">
        <f>+VLOOKUP('3. Blasting'!AM455,Relleno,3,FALSE)</f>
        <v>2</v>
      </c>
      <c r="AV455" s="18">
        <f t="shared" si="177"/>
        <v>5</v>
      </c>
      <c r="AW455" s="49">
        <f t="shared" si="194"/>
        <v>0</v>
      </c>
      <c r="AX455" s="49">
        <f>VLOOKUP(AF455,Leyenda!$B$4:$D$10,3,FALSE)</f>
        <v>0</v>
      </c>
      <c r="AY455" s="49">
        <f t="shared" si="189"/>
        <v>5</v>
      </c>
      <c r="AZ455" s="49">
        <f t="shared" si="195"/>
        <v>5</v>
      </c>
      <c r="BA455" s="49">
        <f>VLOOKUP(AN455,Leyenda!$B$70:$D$75,3,FALSE)</f>
        <v>10</v>
      </c>
      <c r="BB455" s="67">
        <f t="shared" si="196"/>
        <v>34.5</v>
      </c>
      <c r="BC455" s="67">
        <f>VLOOKUP(AF455,Leyenda!$B$4:$E$10,4,FALSE)</f>
        <v>0</v>
      </c>
      <c r="BD455" s="67">
        <f t="shared" si="197"/>
        <v>9</v>
      </c>
      <c r="BE455" s="67">
        <f t="shared" si="198"/>
        <v>11</v>
      </c>
      <c r="BF455" s="67">
        <f>+VLOOKUP('3. Blasting'!AK455,Leyenda!$B$47:$E$51,4,FALSE)</f>
        <v>0</v>
      </c>
      <c r="BG455" s="67">
        <f>+VLOOKUP('3. Blasting'!AL455,Leyenda!$B$55:$E$59,4,FALSE)</f>
        <v>3</v>
      </c>
      <c r="BH455" s="67">
        <f>+VLOOKUP('3. Blasting'!AM455,Leyenda!$B$63:$E$67,3,FALSE)</f>
        <v>2</v>
      </c>
      <c r="BI455" s="67">
        <f>+VLOOKUP('3. Blasting'!AJ455,Leyenda!$B$39:$E$43,4,FALSE)</f>
        <v>0</v>
      </c>
      <c r="BJ455" s="67">
        <f>+VLOOKUP('3. Blasting'!AI455,Leyenda!$B$30:$E$34,4,FALSE)</f>
        <v>0</v>
      </c>
      <c r="BK455" s="67">
        <f>VLOOKUP(AN455,Leyenda!$B$71:$E$75,4,FALSE)</f>
        <v>7</v>
      </c>
      <c r="BL455" s="125">
        <f t="shared" si="199"/>
        <v>32</v>
      </c>
      <c r="BM455" s="85">
        <f t="shared" si="200"/>
        <v>20</v>
      </c>
      <c r="BN455" s="18" t="e">
        <f t="shared" si="201"/>
        <v>#N/A</v>
      </c>
      <c r="BO455" s="18"/>
      <c r="BP455" s="6">
        <f t="shared" si="202"/>
        <v>20</v>
      </c>
      <c r="BQ455" s="6">
        <f t="shared" si="203"/>
        <v>20</v>
      </c>
      <c r="BR455" s="6">
        <v>20</v>
      </c>
      <c r="BS455" s="6">
        <f t="shared" si="190"/>
        <v>3.5</v>
      </c>
      <c r="BT455" s="6">
        <f t="shared" si="191"/>
        <v>1.5650000000000002</v>
      </c>
      <c r="BU455" s="6">
        <f t="shared" si="192"/>
        <v>32.532499999999999</v>
      </c>
      <c r="BV455" s="18">
        <f t="shared" si="186"/>
        <v>0.13013</v>
      </c>
      <c r="BW455" s="18">
        <f t="shared" si="187"/>
        <v>0.27847820000000001</v>
      </c>
    </row>
    <row r="456" spans="1:75" x14ac:dyDescent="0.25">
      <c r="A456" s="18" t="s">
        <v>6</v>
      </c>
      <c r="B456" s="18">
        <v>2024</v>
      </c>
      <c r="C456" s="18" t="s">
        <v>138</v>
      </c>
      <c r="D456" s="18" t="s">
        <v>134</v>
      </c>
      <c r="E456" s="18">
        <v>40</v>
      </c>
      <c r="F456" s="18" t="s">
        <v>153</v>
      </c>
      <c r="G456" s="18" t="s">
        <v>175</v>
      </c>
      <c r="H456" s="31">
        <f t="shared" si="181"/>
        <v>20.5</v>
      </c>
      <c r="I456" s="31">
        <v>21</v>
      </c>
      <c r="J456" s="4">
        <f t="shared" si="204"/>
        <v>0.5</v>
      </c>
      <c r="K456" s="5">
        <v>0.96</v>
      </c>
      <c r="L456" s="31">
        <f t="shared" si="193"/>
        <v>0.48</v>
      </c>
      <c r="M456" s="31">
        <v>2.14</v>
      </c>
      <c r="N456" s="31">
        <v>31.3</v>
      </c>
      <c r="O456" s="18">
        <f t="shared" si="182"/>
        <v>0.48</v>
      </c>
      <c r="P456" s="18">
        <v>24</v>
      </c>
      <c r="Q456" s="18">
        <v>20</v>
      </c>
      <c r="R456" s="18">
        <v>0.36</v>
      </c>
      <c r="S456" s="18">
        <v>0.26</v>
      </c>
      <c r="T456" s="65">
        <f t="shared" si="176"/>
        <v>52</v>
      </c>
      <c r="U456" s="18">
        <v>4</v>
      </c>
      <c r="V456" s="18"/>
      <c r="W456" s="18">
        <f t="shared" si="179"/>
        <v>4</v>
      </c>
      <c r="X456" s="18">
        <f t="shared" si="180"/>
        <v>90</v>
      </c>
      <c r="Y456" s="31">
        <f t="shared" si="188"/>
        <v>0.09</v>
      </c>
      <c r="Z456" s="18">
        <v>0</v>
      </c>
      <c r="AA456" s="18" t="s">
        <v>330</v>
      </c>
      <c r="AB456" s="18" t="s">
        <v>333</v>
      </c>
      <c r="AC456" s="18" t="s">
        <v>335</v>
      </c>
      <c r="AD456" s="18">
        <v>20</v>
      </c>
      <c r="AE456" s="18">
        <v>24</v>
      </c>
      <c r="AF456" s="18" t="s">
        <v>34</v>
      </c>
      <c r="AG456" s="18"/>
      <c r="AH456" s="18"/>
      <c r="AI456" s="18" t="s">
        <v>69</v>
      </c>
      <c r="AJ456" s="18" t="s">
        <v>81</v>
      </c>
      <c r="AK456" s="18" t="s">
        <v>100</v>
      </c>
      <c r="AL456" s="18" t="s">
        <v>107</v>
      </c>
      <c r="AM456" s="18" t="s">
        <v>120</v>
      </c>
      <c r="AN456" s="18" t="s">
        <v>247</v>
      </c>
      <c r="AO456" s="18"/>
      <c r="AP456" s="18"/>
      <c r="AQ456" s="18">
        <f>+VLOOKUP(AI456,Leyenda!$B$30:$E$34,3,FALSE)</f>
        <v>0</v>
      </c>
      <c r="AR456" s="18">
        <f>+VLOOKUP('3. Blasting'!AJ456,Meteorizacion,3,FALSE)</f>
        <v>0</v>
      </c>
      <c r="AS456" s="18">
        <f>+VLOOKUP('3. Blasting'!AK456,Apertura,3,FALSE)</f>
        <v>0</v>
      </c>
      <c r="AT456" s="18">
        <f>+VLOOKUP('3. Blasting'!AL456,Leyenda!$B$55:$D$59,3,FALSE)</f>
        <v>3</v>
      </c>
      <c r="AU456" s="18">
        <f>+VLOOKUP('3. Blasting'!AM456,Relleno,3,FALSE)</f>
        <v>2</v>
      </c>
      <c r="AV456" s="18">
        <f t="shared" si="177"/>
        <v>5</v>
      </c>
      <c r="AW456" s="49">
        <f t="shared" si="194"/>
        <v>0</v>
      </c>
      <c r="AX456" s="49">
        <f>VLOOKUP(AF456,Leyenda!$B$4:$D$10,3,FALSE)</f>
        <v>0</v>
      </c>
      <c r="AY456" s="49">
        <f t="shared" si="189"/>
        <v>4</v>
      </c>
      <c r="AZ456" s="49">
        <f t="shared" si="195"/>
        <v>5</v>
      </c>
      <c r="BA456" s="49">
        <f>VLOOKUP(AN456,Leyenda!$B$70:$D$75,3,FALSE)</f>
        <v>10</v>
      </c>
      <c r="BB456" s="67">
        <f t="shared" si="196"/>
        <v>33.5</v>
      </c>
      <c r="BC456" s="67">
        <f>VLOOKUP(AF456,Leyenda!$B$4:$E$10,4,FALSE)</f>
        <v>0</v>
      </c>
      <c r="BD456" s="67">
        <f t="shared" si="197"/>
        <v>8</v>
      </c>
      <c r="BE456" s="67">
        <f t="shared" si="198"/>
        <v>11</v>
      </c>
      <c r="BF456" s="67">
        <f>+VLOOKUP('3. Blasting'!AK456,Leyenda!$B$47:$E$51,4,FALSE)</f>
        <v>0</v>
      </c>
      <c r="BG456" s="67">
        <f>+VLOOKUP('3. Blasting'!AL456,Leyenda!$B$55:$E$59,4,FALSE)</f>
        <v>3</v>
      </c>
      <c r="BH456" s="67">
        <f>+VLOOKUP('3. Blasting'!AM456,Leyenda!$B$63:$E$67,3,FALSE)</f>
        <v>2</v>
      </c>
      <c r="BI456" s="67">
        <f>+VLOOKUP('3. Blasting'!AJ456,Leyenda!$B$39:$E$43,4,FALSE)</f>
        <v>0</v>
      </c>
      <c r="BJ456" s="67">
        <f>+VLOOKUP('3. Blasting'!AI456,Leyenda!$B$30:$E$34,4,FALSE)</f>
        <v>0</v>
      </c>
      <c r="BK456" s="67">
        <f>VLOOKUP(AN456,Leyenda!$B$71:$E$75,4,FALSE)</f>
        <v>7</v>
      </c>
      <c r="BL456" s="125">
        <f t="shared" si="199"/>
        <v>31</v>
      </c>
      <c r="BM456" s="85">
        <f t="shared" si="200"/>
        <v>19</v>
      </c>
      <c r="BN456" s="18" t="e">
        <f t="shared" si="201"/>
        <v>#N/A</v>
      </c>
      <c r="BO456" s="18"/>
      <c r="BP456" s="6">
        <f t="shared" si="202"/>
        <v>20</v>
      </c>
      <c r="BQ456" s="6">
        <f t="shared" si="203"/>
        <v>10</v>
      </c>
      <c r="BR456" s="6">
        <v>20</v>
      </c>
      <c r="BS456" s="6">
        <f t="shared" si="190"/>
        <v>3.5</v>
      </c>
      <c r="BT456" s="6">
        <f t="shared" si="191"/>
        <v>1.5650000000000002</v>
      </c>
      <c r="BU456" s="6">
        <f t="shared" si="192"/>
        <v>27.532499999999999</v>
      </c>
      <c r="BV456" s="18">
        <f t="shared" si="186"/>
        <v>0.11012999999999999</v>
      </c>
      <c r="BW456" s="18">
        <f t="shared" si="187"/>
        <v>0.2356782</v>
      </c>
    </row>
    <row r="457" spans="1:75" x14ac:dyDescent="0.25">
      <c r="A457" s="18" t="s">
        <v>6</v>
      </c>
      <c r="B457" s="18">
        <v>2024</v>
      </c>
      <c r="C457" s="18" t="s">
        <v>138</v>
      </c>
      <c r="D457" s="18" t="s">
        <v>134</v>
      </c>
      <c r="E457" s="18">
        <v>40</v>
      </c>
      <c r="F457" s="18" t="s">
        <v>153</v>
      </c>
      <c r="G457" s="18" t="s">
        <v>175</v>
      </c>
      <c r="H457" s="31">
        <f t="shared" si="181"/>
        <v>21</v>
      </c>
      <c r="I457" s="31">
        <v>21.5</v>
      </c>
      <c r="J457" s="4">
        <f t="shared" si="204"/>
        <v>0.5</v>
      </c>
      <c r="K457" s="5">
        <v>0.88</v>
      </c>
      <c r="L457" s="31">
        <f t="shared" si="193"/>
        <v>0.44</v>
      </c>
      <c r="M457" s="31">
        <v>2.14</v>
      </c>
      <c r="N457" s="31">
        <v>31.3</v>
      </c>
      <c r="O457" s="18">
        <f t="shared" si="182"/>
        <v>0.44</v>
      </c>
      <c r="P457" s="18">
        <v>22</v>
      </c>
      <c r="Q457" s="18">
        <v>20</v>
      </c>
      <c r="R457" s="18">
        <v>0.39</v>
      </c>
      <c r="S457" s="18">
        <v>0.17</v>
      </c>
      <c r="T457" s="65">
        <f t="shared" si="176"/>
        <v>34</v>
      </c>
      <c r="U457" s="18">
        <v>4</v>
      </c>
      <c r="V457" s="18"/>
      <c r="W457" s="18">
        <f t="shared" si="179"/>
        <v>4</v>
      </c>
      <c r="X457" s="18">
        <f t="shared" si="180"/>
        <v>97.5</v>
      </c>
      <c r="Y457" s="31">
        <f t="shared" si="188"/>
        <v>9.7500000000000003E-2</v>
      </c>
      <c r="Z457" s="18">
        <v>0</v>
      </c>
      <c r="AA457" s="18" t="s">
        <v>330</v>
      </c>
      <c r="AB457" s="18" t="s">
        <v>333</v>
      </c>
      <c r="AC457" s="18" t="s">
        <v>335</v>
      </c>
      <c r="AD457" s="18">
        <v>20</v>
      </c>
      <c r="AE457" s="18">
        <v>22</v>
      </c>
      <c r="AF457" s="18" t="s">
        <v>34</v>
      </c>
      <c r="AG457" s="18"/>
      <c r="AH457" s="18"/>
      <c r="AI457" s="18" t="s">
        <v>69</v>
      </c>
      <c r="AJ457" s="18" t="s">
        <v>81</v>
      </c>
      <c r="AK457" s="18" t="s">
        <v>100</v>
      </c>
      <c r="AL457" s="18" t="s">
        <v>107</v>
      </c>
      <c r="AM457" s="18" t="s">
        <v>120</v>
      </c>
      <c r="AN457" s="18" t="s">
        <v>247</v>
      </c>
      <c r="AO457" s="18"/>
      <c r="AP457" s="18"/>
      <c r="AQ457" s="18">
        <f>+VLOOKUP(AI457,Leyenda!$B$30:$E$34,3,FALSE)</f>
        <v>0</v>
      </c>
      <c r="AR457" s="18">
        <f>+VLOOKUP('3. Blasting'!AJ457,Meteorizacion,3,FALSE)</f>
        <v>0</v>
      </c>
      <c r="AS457" s="18">
        <f>+VLOOKUP('3. Blasting'!AK457,Apertura,3,FALSE)</f>
        <v>0</v>
      </c>
      <c r="AT457" s="18">
        <f>+VLOOKUP('3. Blasting'!AL457,Leyenda!$B$55:$D$59,3,FALSE)</f>
        <v>3</v>
      </c>
      <c r="AU457" s="18">
        <f>+VLOOKUP('3. Blasting'!AM457,Relleno,3,FALSE)</f>
        <v>2</v>
      </c>
      <c r="AV457" s="18">
        <f t="shared" si="177"/>
        <v>5</v>
      </c>
      <c r="AW457" s="49">
        <f t="shared" si="194"/>
        <v>0</v>
      </c>
      <c r="AX457" s="49">
        <f>VLOOKUP(AF457,Leyenda!$B$4:$D$10,3,FALSE)</f>
        <v>0</v>
      </c>
      <c r="AY457" s="49">
        <f t="shared" si="189"/>
        <v>4</v>
      </c>
      <c r="AZ457" s="49">
        <f t="shared" si="195"/>
        <v>5</v>
      </c>
      <c r="BA457" s="49">
        <f>VLOOKUP(AN457,Leyenda!$B$70:$D$75,3,FALSE)</f>
        <v>10</v>
      </c>
      <c r="BB457" s="67">
        <f t="shared" si="196"/>
        <v>24.5</v>
      </c>
      <c r="BC457" s="67">
        <f>VLOOKUP(AF457,Leyenda!$B$4:$E$10,4,FALSE)</f>
        <v>0</v>
      </c>
      <c r="BD457" s="67">
        <f t="shared" si="197"/>
        <v>8</v>
      </c>
      <c r="BE457" s="67">
        <f t="shared" si="198"/>
        <v>7</v>
      </c>
      <c r="BF457" s="67">
        <f>+VLOOKUP('3. Blasting'!AK457,Leyenda!$B$47:$E$51,4,FALSE)</f>
        <v>0</v>
      </c>
      <c r="BG457" s="67">
        <f>+VLOOKUP('3. Blasting'!AL457,Leyenda!$B$55:$E$59,4,FALSE)</f>
        <v>3</v>
      </c>
      <c r="BH457" s="67">
        <f>+VLOOKUP('3. Blasting'!AM457,Leyenda!$B$63:$E$67,3,FALSE)</f>
        <v>2</v>
      </c>
      <c r="BI457" s="67">
        <f>+VLOOKUP('3. Blasting'!AJ457,Leyenda!$B$39:$E$43,4,FALSE)</f>
        <v>0</v>
      </c>
      <c r="BJ457" s="67">
        <f>+VLOOKUP('3. Blasting'!AI457,Leyenda!$B$30:$E$34,4,FALSE)</f>
        <v>0</v>
      </c>
      <c r="BK457" s="67">
        <f>VLOOKUP(AN457,Leyenda!$B$71:$E$75,4,FALSE)</f>
        <v>7</v>
      </c>
      <c r="BL457" s="125">
        <f t="shared" si="199"/>
        <v>27</v>
      </c>
      <c r="BM457" s="85">
        <f t="shared" si="200"/>
        <v>19</v>
      </c>
      <c r="BN457" s="18" t="e">
        <f t="shared" si="201"/>
        <v>#N/A</v>
      </c>
      <c r="BO457" s="18"/>
      <c r="BP457" s="6">
        <f t="shared" si="202"/>
        <v>10</v>
      </c>
      <c r="BQ457" s="6">
        <f t="shared" si="203"/>
        <v>10</v>
      </c>
      <c r="BR457" s="6">
        <v>20</v>
      </c>
      <c r="BS457" s="6">
        <f t="shared" si="190"/>
        <v>3.5</v>
      </c>
      <c r="BT457" s="6">
        <f t="shared" si="191"/>
        <v>1.5650000000000002</v>
      </c>
      <c r="BU457" s="6">
        <f t="shared" si="192"/>
        <v>22.532499999999999</v>
      </c>
      <c r="BV457" s="18">
        <f t="shared" si="186"/>
        <v>9.0130000000000002E-2</v>
      </c>
      <c r="BW457" s="18">
        <f t="shared" si="187"/>
        <v>0.19287820000000003</v>
      </c>
    </row>
    <row r="458" spans="1:75" x14ac:dyDescent="0.25">
      <c r="A458" s="18" t="s">
        <v>6</v>
      </c>
      <c r="B458" s="18">
        <v>2024</v>
      </c>
      <c r="C458" s="18" t="s">
        <v>138</v>
      </c>
      <c r="D458" s="18" t="s">
        <v>134</v>
      </c>
      <c r="E458" s="18">
        <v>40</v>
      </c>
      <c r="F458" s="18" t="s">
        <v>153</v>
      </c>
      <c r="G458" s="18" t="s">
        <v>175</v>
      </c>
      <c r="H458" s="31">
        <f t="shared" si="181"/>
        <v>21.5</v>
      </c>
      <c r="I458" s="31">
        <v>22</v>
      </c>
      <c r="J458" s="4">
        <f t="shared" si="204"/>
        <v>0.5</v>
      </c>
      <c r="K458" s="5">
        <v>1</v>
      </c>
      <c r="L458" s="31">
        <f t="shared" si="193"/>
        <v>0.5</v>
      </c>
      <c r="M458" s="31">
        <v>2.14</v>
      </c>
      <c r="N458" s="31">
        <v>31.3</v>
      </c>
      <c r="O458" s="18">
        <f t="shared" si="182"/>
        <v>0.5</v>
      </c>
      <c r="P458" s="18">
        <v>25</v>
      </c>
      <c r="Q458" s="18">
        <v>20</v>
      </c>
      <c r="R458" s="18">
        <v>0.48</v>
      </c>
      <c r="S458" s="18">
        <v>0.14000000000000001</v>
      </c>
      <c r="T458" s="65">
        <f t="shared" si="176"/>
        <v>28.000000000000004</v>
      </c>
      <c r="U458" s="18">
        <v>8</v>
      </c>
      <c r="V458" s="18"/>
      <c r="W458" s="18">
        <f t="shared" si="179"/>
        <v>8</v>
      </c>
      <c r="X458" s="18">
        <f t="shared" si="180"/>
        <v>60</v>
      </c>
      <c r="Y458" s="31">
        <f t="shared" si="188"/>
        <v>0.06</v>
      </c>
      <c r="Z458" s="18">
        <v>0</v>
      </c>
      <c r="AA458" s="18" t="s">
        <v>330</v>
      </c>
      <c r="AB458" s="18" t="s">
        <v>333</v>
      </c>
      <c r="AC458" s="18" t="s">
        <v>335</v>
      </c>
      <c r="AD458" s="18">
        <v>20</v>
      </c>
      <c r="AE458" s="18">
        <v>25</v>
      </c>
      <c r="AF458" s="18" t="s">
        <v>34</v>
      </c>
      <c r="AG458" s="18"/>
      <c r="AH458" s="18"/>
      <c r="AI458" s="18" t="s">
        <v>69</v>
      </c>
      <c r="AJ458" s="18" t="s">
        <v>81</v>
      </c>
      <c r="AK458" s="18" t="s">
        <v>100</v>
      </c>
      <c r="AL458" s="18" t="s">
        <v>107</v>
      </c>
      <c r="AM458" s="18" t="s">
        <v>120</v>
      </c>
      <c r="AN458" s="18" t="s">
        <v>247</v>
      </c>
      <c r="AO458" s="18"/>
      <c r="AP458" s="18"/>
      <c r="AQ458" s="18">
        <f>+VLOOKUP(AI458,Leyenda!$B$30:$E$34,3,FALSE)</f>
        <v>0</v>
      </c>
      <c r="AR458" s="18">
        <f>+VLOOKUP('3. Blasting'!AJ458,Meteorizacion,3,FALSE)</f>
        <v>0</v>
      </c>
      <c r="AS458" s="18">
        <f>+VLOOKUP('3. Blasting'!AK458,Apertura,3,FALSE)</f>
        <v>0</v>
      </c>
      <c r="AT458" s="18">
        <f>+VLOOKUP('3. Blasting'!AL458,Leyenda!$B$55:$D$59,3,FALSE)</f>
        <v>3</v>
      </c>
      <c r="AU458" s="18">
        <f>+VLOOKUP('3. Blasting'!AM458,Relleno,3,FALSE)</f>
        <v>2</v>
      </c>
      <c r="AV458" s="18">
        <f t="shared" si="177"/>
        <v>5</v>
      </c>
      <c r="AW458" s="49">
        <f t="shared" si="194"/>
        <v>0</v>
      </c>
      <c r="AX458" s="49">
        <f>VLOOKUP(AF458,Leyenda!$B$4:$D$10,3,FALSE)</f>
        <v>0</v>
      </c>
      <c r="AY458" s="49">
        <f t="shared" si="189"/>
        <v>5</v>
      </c>
      <c r="AZ458" s="49">
        <f t="shared" si="195"/>
        <v>5</v>
      </c>
      <c r="BA458" s="49">
        <f>VLOOKUP(AN458,Leyenda!$B$70:$D$75,3,FALSE)</f>
        <v>10</v>
      </c>
      <c r="BB458" s="67">
        <f t="shared" si="196"/>
        <v>21.5</v>
      </c>
      <c r="BC458" s="67">
        <f>VLOOKUP(AF458,Leyenda!$B$4:$E$10,4,FALSE)</f>
        <v>0</v>
      </c>
      <c r="BD458" s="67">
        <f t="shared" si="197"/>
        <v>5</v>
      </c>
      <c r="BE458" s="67">
        <f t="shared" si="198"/>
        <v>6</v>
      </c>
      <c r="BF458" s="67">
        <f>+VLOOKUP('3. Blasting'!AK458,Leyenda!$B$47:$E$51,4,FALSE)</f>
        <v>0</v>
      </c>
      <c r="BG458" s="67">
        <f>+VLOOKUP('3. Blasting'!AL458,Leyenda!$B$55:$E$59,4,FALSE)</f>
        <v>3</v>
      </c>
      <c r="BH458" s="67">
        <f>+VLOOKUP('3. Blasting'!AM458,Leyenda!$B$63:$E$67,3,FALSE)</f>
        <v>2</v>
      </c>
      <c r="BI458" s="67">
        <f>+VLOOKUP('3. Blasting'!AJ458,Leyenda!$B$39:$E$43,4,FALSE)</f>
        <v>0</v>
      </c>
      <c r="BJ458" s="67">
        <f>+VLOOKUP('3. Blasting'!AI458,Leyenda!$B$30:$E$34,4,FALSE)</f>
        <v>0</v>
      </c>
      <c r="BK458" s="67">
        <f>VLOOKUP(AN458,Leyenda!$B$71:$E$75,4,FALSE)</f>
        <v>7</v>
      </c>
      <c r="BL458" s="125">
        <f t="shared" si="199"/>
        <v>23</v>
      </c>
      <c r="BM458" s="85">
        <f t="shared" si="200"/>
        <v>20</v>
      </c>
      <c r="BN458" s="18" t="e">
        <f t="shared" si="201"/>
        <v>#N/A</v>
      </c>
      <c r="BO458" s="18"/>
      <c r="BP458" s="6">
        <f t="shared" si="202"/>
        <v>10</v>
      </c>
      <c r="BQ458" s="6">
        <f t="shared" si="203"/>
        <v>10</v>
      </c>
      <c r="BR458" s="6">
        <v>20</v>
      </c>
      <c r="BS458" s="6">
        <f t="shared" si="190"/>
        <v>3.5</v>
      </c>
      <c r="BT458" s="6">
        <f t="shared" si="191"/>
        <v>1.5650000000000002</v>
      </c>
      <c r="BU458" s="6">
        <f t="shared" si="192"/>
        <v>22.532499999999999</v>
      </c>
      <c r="BV458" s="18">
        <f t="shared" si="186"/>
        <v>9.0130000000000002E-2</v>
      </c>
      <c r="BW458" s="18">
        <f t="shared" si="187"/>
        <v>0.19287820000000003</v>
      </c>
    </row>
    <row r="459" spans="1:75" x14ac:dyDescent="0.25">
      <c r="A459" s="18" t="s">
        <v>6</v>
      </c>
      <c r="B459" s="18">
        <v>2024</v>
      </c>
      <c r="C459" s="18" t="s">
        <v>138</v>
      </c>
      <c r="D459" s="18" t="s">
        <v>134</v>
      </c>
      <c r="E459" s="18">
        <v>40</v>
      </c>
      <c r="F459" s="18" t="s">
        <v>153</v>
      </c>
      <c r="G459" s="18" t="s">
        <v>175</v>
      </c>
      <c r="H459" s="31">
        <f t="shared" si="181"/>
        <v>22</v>
      </c>
      <c r="I459" s="31">
        <v>22.5</v>
      </c>
      <c r="J459" s="4">
        <f t="shared" si="204"/>
        <v>0.5</v>
      </c>
      <c r="K459" s="5">
        <v>0.94</v>
      </c>
      <c r="L459" s="31">
        <f t="shared" si="193"/>
        <v>0.47</v>
      </c>
      <c r="M459" s="31">
        <v>2.14</v>
      </c>
      <c r="N459" s="31">
        <v>31.3</v>
      </c>
      <c r="O459" s="18">
        <f t="shared" si="182"/>
        <v>0.47</v>
      </c>
      <c r="P459" s="18">
        <v>23.5</v>
      </c>
      <c r="Q459" s="18">
        <v>20</v>
      </c>
      <c r="R459" s="18">
        <v>0.39</v>
      </c>
      <c r="S459" s="18">
        <v>0</v>
      </c>
      <c r="T459" s="65">
        <f t="shared" si="176"/>
        <v>0</v>
      </c>
      <c r="U459" s="18">
        <v>8</v>
      </c>
      <c r="V459" s="18"/>
      <c r="W459" s="18">
        <f t="shared" si="179"/>
        <v>8</v>
      </c>
      <c r="X459" s="18">
        <f t="shared" si="180"/>
        <v>48.75</v>
      </c>
      <c r="Y459" s="31">
        <f t="shared" si="188"/>
        <v>4.8750000000000002E-2</v>
      </c>
      <c r="Z459" s="18">
        <v>0</v>
      </c>
      <c r="AA459" s="18" t="s">
        <v>330</v>
      </c>
      <c r="AB459" s="18" t="s">
        <v>333</v>
      </c>
      <c r="AC459" s="18" t="s">
        <v>335</v>
      </c>
      <c r="AD459" s="18">
        <v>20</v>
      </c>
      <c r="AE459" s="18">
        <v>23.5</v>
      </c>
      <c r="AF459" s="18" t="s">
        <v>34</v>
      </c>
      <c r="AG459" s="18"/>
      <c r="AH459" s="18"/>
      <c r="AI459" s="18" t="s">
        <v>69</v>
      </c>
      <c r="AJ459" s="18" t="s">
        <v>81</v>
      </c>
      <c r="AK459" s="18" t="s">
        <v>100</v>
      </c>
      <c r="AL459" s="18" t="s">
        <v>107</v>
      </c>
      <c r="AM459" s="18" t="s">
        <v>120</v>
      </c>
      <c r="AN459" s="18" t="s">
        <v>247</v>
      </c>
      <c r="AO459" s="18"/>
      <c r="AP459" s="18"/>
      <c r="AQ459" s="18">
        <f>+VLOOKUP(AI459,Leyenda!$B$30:$E$34,3,FALSE)</f>
        <v>0</v>
      </c>
      <c r="AR459" s="18">
        <f>+VLOOKUP('3. Blasting'!AJ459,Meteorizacion,3,FALSE)</f>
        <v>0</v>
      </c>
      <c r="AS459" s="18">
        <f>+VLOOKUP('3. Blasting'!AK459,Apertura,3,FALSE)</f>
        <v>0</v>
      </c>
      <c r="AT459" s="18">
        <f>+VLOOKUP('3. Blasting'!AL459,Leyenda!$B$55:$D$59,3,FALSE)</f>
        <v>3</v>
      </c>
      <c r="AU459" s="18">
        <f>+VLOOKUP('3. Blasting'!AM459,Relleno,3,FALSE)</f>
        <v>2</v>
      </c>
      <c r="AV459" s="18">
        <f t="shared" si="177"/>
        <v>5</v>
      </c>
      <c r="AW459" s="49">
        <f t="shared" si="194"/>
        <v>0</v>
      </c>
      <c r="AX459" s="49">
        <f>VLOOKUP(AF459,Leyenda!$B$4:$D$10,3,FALSE)</f>
        <v>0</v>
      </c>
      <c r="AY459" s="49">
        <f t="shared" si="189"/>
        <v>4</v>
      </c>
      <c r="AZ459" s="49">
        <f t="shared" si="195"/>
        <v>5</v>
      </c>
      <c r="BA459" s="49">
        <f>VLOOKUP(AN459,Leyenda!$B$70:$D$75,3,FALSE)</f>
        <v>10</v>
      </c>
      <c r="BB459" s="67">
        <f t="shared" si="196"/>
        <v>7.5</v>
      </c>
      <c r="BC459" s="67">
        <f>VLOOKUP(AF459,Leyenda!$B$4:$E$10,4,FALSE)</f>
        <v>0</v>
      </c>
      <c r="BD459" s="67">
        <f t="shared" si="197"/>
        <v>5</v>
      </c>
      <c r="BE459" s="67">
        <f t="shared" si="198"/>
        <v>0</v>
      </c>
      <c r="BF459" s="67">
        <f>+VLOOKUP('3. Blasting'!AK459,Leyenda!$B$47:$E$51,4,FALSE)</f>
        <v>0</v>
      </c>
      <c r="BG459" s="67">
        <f>+VLOOKUP('3. Blasting'!AL459,Leyenda!$B$55:$E$59,4,FALSE)</f>
        <v>3</v>
      </c>
      <c r="BH459" s="67">
        <f>+VLOOKUP('3. Blasting'!AM459,Leyenda!$B$63:$E$67,3,FALSE)</f>
        <v>2</v>
      </c>
      <c r="BI459" s="67">
        <f>+VLOOKUP('3. Blasting'!AJ459,Leyenda!$B$39:$E$43,4,FALSE)</f>
        <v>0</v>
      </c>
      <c r="BJ459" s="67">
        <f>+VLOOKUP('3. Blasting'!AI459,Leyenda!$B$30:$E$34,4,FALSE)</f>
        <v>0</v>
      </c>
      <c r="BK459" s="67">
        <f>VLOOKUP(AN459,Leyenda!$B$71:$E$75,4,FALSE)</f>
        <v>7</v>
      </c>
      <c r="BL459" s="125">
        <f t="shared" si="199"/>
        <v>17</v>
      </c>
      <c r="BM459" s="85">
        <f t="shared" si="200"/>
        <v>19</v>
      </c>
      <c r="BN459" s="18" t="e">
        <f t="shared" si="201"/>
        <v>#N/A</v>
      </c>
      <c r="BO459" s="18"/>
      <c r="BP459" s="6">
        <f t="shared" si="202"/>
        <v>10</v>
      </c>
      <c r="BQ459" s="6">
        <f t="shared" si="203"/>
        <v>10</v>
      </c>
      <c r="BR459" s="6">
        <v>20</v>
      </c>
      <c r="BS459" s="6">
        <f t="shared" si="190"/>
        <v>3.5</v>
      </c>
      <c r="BT459" s="6">
        <f t="shared" si="191"/>
        <v>1.5650000000000002</v>
      </c>
      <c r="BU459" s="6">
        <f t="shared" si="192"/>
        <v>22.532499999999999</v>
      </c>
      <c r="BV459" s="18">
        <f t="shared" si="186"/>
        <v>9.0130000000000002E-2</v>
      </c>
      <c r="BW459" s="18">
        <f t="shared" si="187"/>
        <v>0.19287820000000003</v>
      </c>
    </row>
    <row r="460" spans="1:75" x14ac:dyDescent="0.25">
      <c r="A460" s="18" t="s">
        <v>6</v>
      </c>
      <c r="B460" s="18">
        <v>2024</v>
      </c>
      <c r="C460" s="18" t="s">
        <v>138</v>
      </c>
      <c r="D460" s="18" t="s">
        <v>134</v>
      </c>
      <c r="E460" s="18">
        <v>40</v>
      </c>
      <c r="F460" s="18" t="s">
        <v>153</v>
      </c>
      <c r="G460" s="18" t="s">
        <v>175</v>
      </c>
      <c r="H460" s="31">
        <f t="shared" si="181"/>
        <v>22.5</v>
      </c>
      <c r="I460" s="31">
        <v>23</v>
      </c>
      <c r="J460" s="4">
        <f t="shared" si="204"/>
        <v>0.5</v>
      </c>
      <c r="K460" s="5">
        <v>0.9</v>
      </c>
      <c r="L460" s="31">
        <f t="shared" si="193"/>
        <v>0.45</v>
      </c>
      <c r="M460" s="31">
        <v>2.14</v>
      </c>
      <c r="N460" s="31">
        <v>31.3</v>
      </c>
      <c r="O460" s="18">
        <f t="shared" si="182"/>
        <v>0.45</v>
      </c>
      <c r="P460" s="18">
        <v>45</v>
      </c>
      <c r="Q460" s="18">
        <v>20</v>
      </c>
      <c r="R460" s="18">
        <v>0.38</v>
      </c>
      <c r="S460" s="18">
        <v>0.25</v>
      </c>
      <c r="T460" s="65">
        <f t="shared" ref="T460:T524" si="205">+S460/J460*100</f>
        <v>50</v>
      </c>
      <c r="U460" s="18">
        <v>4</v>
      </c>
      <c r="V460" s="18"/>
      <c r="W460" s="18">
        <f t="shared" si="179"/>
        <v>4</v>
      </c>
      <c r="X460" s="18">
        <f t="shared" si="180"/>
        <v>95</v>
      </c>
      <c r="Y460" s="31">
        <f t="shared" si="188"/>
        <v>9.5000000000000001E-2</v>
      </c>
      <c r="Z460" s="18">
        <v>0</v>
      </c>
      <c r="AA460" s="18" t="s">
        <v>330</v>
      </c>
      <c r="AB460" s="18" t="s">
        <v>333</v>
      </c>
      <c r="AC460" s="18" t="s">
        <v>335</v>
      </c>
      <c r="AD460" s="18">
        <v>20</v>
      </c>
      <c r="AE460" s="18">
        <v>45</v>
      </c>
      <c r="AF460" s="18" t="s">
        <v>34</v>
      </c>
      <c r="AG460" s="18"/>
      <c r="AH460" s="18"/>
      <c r="AI460" s="18" t="s">
        <v>69</v>
      </c>
      <c r="AJ460" s="18" t="s">
        <v>81</v>
      </c>
      <c r="AK460" s="18" t="s">
        <v>100</v>
      </c>
      <c r="AL460" s="18" t="s">
        <v>107</v>
      </c>
      <c r="AM460" s="18" t="s">
        <v>120</v>
      </c>
      <c r="AN460" s="18" t="s">
        <v>247</v>
      </c>
      <c r="AO460" s="18"/>
      <c r="AP460" s="18"/>
      <c r="AQ460" s="18">
        <f>+VLOOKUP(AI460,Leyenda!$B$30:$E$34,3,FALSE)</f>
        <v>0</v>
      </c>
      <c r="AR460" s="18">
        <f>+VLOOKUP('3. Blasting'!AJ460,Meteorizacion,3,FALSE)</f>
        <v>0</v>
      </c>
      <c r="AS460" s="18">
        <f>+VLOOKUP('3. Blasting'!AK460,Apertura,3,FALSE)</f>
        <v>0</v>
      </c>
      <c r="AT460" s="18">
        <f>+VLOOKUP('3. Blasting'!AL460,Leyenda!$B$55:$D$59,3,FALSE)</f>
        <v>3</v>
      </c>
      <c r="AU460" s="18">
        <f>+VLOOKUP('3. Blasting'!AM460,Relleno,3,FALSE)</f>
        <v>2</v>
      </c>
      <c r="AV460" s="18">
        <f t="shared" ref="AV460:AV524" si="206">+SUM(AQ460:AU460)</f>
        <v>5</v>
      </c>
      <c r="AW460" s="49">
        <f t="shared" si="194"/>
        <v>0</v>
      </c>
      <c r="AX460" s="49">
        <f>VLOOKUP(AF460,Leyenda!$B$4:$D$10,3,FALSE)</f>
        <v>0</v>
      </c>
      <c r="AY460" s="49">
        <f t="shared" si="189"/>
        <v>6</v>
      </c>
      <c r="AZ460" s="49">
        <f t="shared" si="195"/>
        <v>5</v>
      </c>
      <c r="BA460" s="49">
        <f>VLOOKUP(AN460,Leyenda!$B$70:$D$75,3,FALSE)</f>
        <v>10</v>
      </c>
      <c r="BB460" s="67">
        <f t="shared" si="196"/>
        <v>32.5</v>
      </c>
      <c r="BC460" s="67">
        <f>VLOOKUP(AF460,Leyenda!$B$4:$E$10,4,FALSE)</f>
        <v>0</v>
      </c>
      <c r="BD460" s="67">
        <f t="shared" si="197"/>
        <v>8</v>
      </c>
      <c r="BE460" s="67">
        <f t="shared" si="198"/>
        <v>10</v>
      </c>
      <c r="BF460" s="67">
        <f>+VLOOKUP('3. Blasting'!AK460,Leyenda!$B$47:$E$51,4,FALSE)</f>
        <v>0</v>
      </c>
      <c r="BG460" s="67">
        <f>+VLOOKUP('3. Blasting'!AL460,Leyenda!$B$55:$E$59,4,FALSE)</f>
        <v>3</v>
      </c>
      <c r="BH460" s="67">
        <f>+VLOOKUP('3. Blasting'!AM460,Leyenda!$B$63:$E$67,3,FALSE)</f>
        <v>2</v>
      </c>
      <c r="BI460" s="67">
        <f>+VLOOKUP('3. Blasting'!AJ460,Leyenda!$B$39:$E$43,4,FALSE)</f>
        <v>0</v>
      </c>
      <c r="BJ460" s="67">
        <f>+VLOOKUP('3. Blasting'!AI460,Leyenda!$B$30:$E$34,4,FALSE)</f>
        <v>0</v>
      </c>
      <c r="BK460" s="67">
        <f>VLOOKUP(AN460,Leyenda!$B$71:$E$75,4,FALSE)</f>
        <v>7</v>
      </c>
      <c r="BL460" s="125">
        <f t="shared" si="199"/>
        <v>30</v>
      </c>
      <c r="BM460" s="85">
        <f t="shared" si="200"/>
        <v>21</v>
      </c>
      <c r="BN460" s="18" t="e">
        <f t="shared" si="201"/>
        <v>#N/A</v>
      </c>
      <c r="BO460" s="18"/>
      <c r="BP460" s="6">
        <f t="shared" si="202"/>
        <v>20</v>
      </c>
      <c r="BQ460" s="6">
        <f t="shared" si="203"/>
        <v>10</v>
      </c>
      <c r="BR460" s="6">
        <v>20</v>
      </c>
      <c r="BS460" s="6">
        <f t="shared" si="190"/>
        <v>3.5</v>
      </c>
      <c r="BT460" s="6">
        <f t="shared" si="191"/>
        <v>1.5650000000000002</v>
      </c>
      <c r="BU460" s="6">
        <f t="shared" si="192"/>
        <v>27.532499999999999</v>
      </c>
      <c r="BV460" s="18">
        <f t="shared" si="186"/>
        <v>0.11012999999999999</v>
      </c>
      <c r="BW460" s="18">
        <f t="shared" si="187"/>
        <v>0.2356782</v>
      </c>
    </row>
    <row r="461" spans="1:75" x14ac:dyDescent="0.25">
      <c r="A461" s="18" t="s">
        <v>6</v>
      </c>
      <c r="B461" s="18">
        <v>2024</v>
      </c>
      <c r="C461" s="18" t="s">
        <v>138</v>
      </c>
      <c r="D461" s="18" t="s">
        <v>134</v>
      </c>
      <c r="E461" s="18">
        <v>40</v>
      </c>
      <c r="F461" s="18" t="s">
        <v>153</v>
      </c>
      <c r="G461" s="18" t="s">
        <v>175</v>
      </c>
      <c r="H461" s="31">
        <v>23</v>
      </c>
      <c r="I461" s="31">
        <v>23.5</v>
      </c>
      <c r="J461" s="4">
        <f t="shared" si="204"/>
        <v>0.5</v>
      </c>
      <c r="K461" s="5">
        <v>0.9</v>
      </c>
      <c r="L461" s="31">
        <f t="shared" si="193"/>
        <v>0.45</v>
      </c>
      <c r="M461" s="31">
        <v>2.14</v>
      </c>
      <c r="N461" s="31">
        <v>31.3</v>
      </c>
      <c r="O461" s="18"/>
      <c r="P461" s="18"/>
      <c r="Q461" s="18"/>
      <c r="R461" s="18">
        <f>0.13+0.21</f>
        <v>0.33999999999999997</v>
      </c>
      <c r="S461" s="18">
        <v>0.1</v>
      </c>
      <c r="T461" s="65">
        <f t="shared" si="205"/>
        <v>20</v>
      </c>
      <c r="U461" s="18">
        <v>3</v>
      </c>
      <c r="V461" s="18"/>
      <c r="W461" s="18">
        <f t="shared" si="179"/>
        <v>3</v>
      </c>
      <c r="X461" s="18">
        <f t="shared" si="180"/>
        <v>113.33333333333331</v>
      </c>
      <c r="Y461" s="31">
        <f t="shared" si="188"/>
        <v>0.11333333333333331</v>
      </c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49"/>
      <c r="AX461" s="49"/>
      <c r="AY461" s="49"/>
      <c r="AZ461" s="49"/>
      <c r="BA461" s="49"/>
      <c r="BB461" s="67"/>
      <c r="BC461" s="67"/>
      <c r="BD461" s="67"/>
      <c r="BE461" s="67"/>
      <c r="BF461" s="67"/>
      <c r="BG461" s="67"/>
      <c r="BH461" s="67"/>
      <c r="BI461" s="67"/>
      <c r="BJ461" s="67"/>
      <c r="BK461" s="67"/>
      <c r="BL461" s="125"/>
      <c r="BM461" s="85"/>
      <c r="BN461" s="18" t="e">
        <f t="shared" si="201"/>
        <v>#N/A</v>
      </c>
      <c r="BO461" s="18"/>
      <c r="BP461" s="6">
        <f t="shared" si="202"/>
        <v>10</v>
      </c>
      <c r="BQ461" s="6">
        <f t="shared" si="203"/>
        <v>20</v>
      </c>
      <c r="BR461" s="6">
        <v>20</v>
      </c>
      <c r="BS461" s="6">
        <f t="shared" si="190"/>
        <v>3.5</v>
      </c>
      <c r="BT461" s="6">
        <f t="shared" si="191"/>
        <v>1.5650000000000002</v>
      </c>
      <c r="BU461" s="6">
        <f t="shared" si="192"/>
        <v>27.532499999999999</v>
      </c>
      <c r="BV461" s="18">
        <f t="shared" si="186"/>
        <v>0.11012999999999999</v>
      </c>
      <c r="BW461" s="18">
        <f t="shared" si="187"/>
        <v>0.2356782</v>
      </c>
    </row>
    <row r="462" spans="1:75" x14ac:dyDescent="0.25">
      <c r="A462" s="18" t="s">
        <v>6</v>
      </c>
      <c r="B462" s="18">
        <v>2024</v>
      </c>
      <c r="C462" s="18" t="s">
        <v>138</v>
      </c>
      <c r="D462" s="18" t="s">
        <v>134</v>
      </c>
      <c r="E462" s="18">
        <v>40</v>
      </c>
      <c r="F462" s="18" t="s">
        <v>153</v>
      </c>
      <c r="G462" s="18" t="s">
        <v>176</v>
      </c>
      <c r="H462" s="31">
        <f>+I460</f>
        <v>23</v>
      </c>
      <c r="I462" s="31">
        <v>24.5</v>
      </c>
      <c r="J462" s="4">
        <f t="shared" si="204"/>
        <v>1.5</v>
      </c>
      <c r="K462" s="5">
        <v>0.96</v>
      </c>
      <c r="L462" s="31">
        <f t="shared" si="193"/>
        <v>1.44</v>
      </c>
      <c r="M462" s="31">
        <v>2.14</v>
      </c>
      <c r="N462" s="31">
        <v>31.3</v>
      </c>
      <c r="O462" s="18">
        <f t="shared" si="182"/>
        <v>1.44</v>
      </c>
      <c r="P462" s="18">
        <v>48</v>
      </c>
      <c r="Q462" s="18">
        <v>20</v>
      </c>
      <c r="R462" s="18">
        <v>0.48</v>
      </c>
      <c r="S462" s="18">
        <v>0</v>
      </c>
      <c r="T462" s="65">
        <f t="shared" si="205"/>
        <v>0</v>
      </c>
      <c r="U462" s="18">
        <v>6</v>
      </c>
      <c r="V462" s="18"/>
      <c r="W462" s="18">
        <f t="shared" si="179"/>
        <v>6</v>
      </c>
      <c r="X462" s="18">
        <f t="shared" si="180"/>
        <v>80</v>
      </c>
      <c r="Y462" s="31">
        <f t="shared" si="188"/>
        <v>0.08</v>
      </c>
      <c r="Z462" s="18">
        <v>0</v>
      </c>
      <c r="AA462" s="18" t="s">
        <v>330</v>
      </c>
      <c r="AB462" s="18" t="s">
        <v>333</v>
      </c>
      <c r="AC462" s="18" t="s">
        <v>335</v>
      </c>
      <c r="AD462" s="18">
        <v>20</v>
      </c>
      <c r="AE462" s="18">
        <v>48</v>
      </c>
      <c r="AF462" s="18" t="s">
        <v>34</v>
      </c>
      <c r="AG462" s="18"/>
      <c r="AH462" s="18"/>
      <c r="AI462" s="18" t="s">
        <v>69</v>
      </c>
      <c r="AJ462" s="18" t="s">
        <v>81</v>
      </c>
      <c r="AK462" s="18" t="s">
        <v>100</v>
      </c>
      <c r="AL462" s="18" t="s">
        <v>107</v>
      </c>
      <c r="AM462" s="18" t="s">
        <v>120</v>
      </c>
      <c r="AN462" s="18" t="s">
        <v>247</v>
      </c>
      <c r="AO462" s="18"/>
      <c r="AP462" s="18"/>
      <c r="AQ462" s="18">
        <f>+VLOOKUP(AI462,Leyenda!$B$30:$E$34,3,FALSE)</f>
        <v>0</v>
      </c>
      <c r="AR462" s="18">
        <f>+VLOOKUP('3. Blasting'!AJ462,Meteorizacion,3,FALSE)</f>
        <v>0</v>
      </c>
      <c r="AS462" s="18">
        <f>+VLOOKUP('3. Blasting'!AK462,Apertura,3,FALSE)</f>
        <v>0</v>
      </c>
      <c r="AT462" s="18">
        <f>+VLOOKUP('3. Blasting'!AL462,Leyenda!$B$55:$D$59,3,FALSE)</f>
        <v>3</v>
      </c>
      <c r="AU462" s="18">
        <f>+VLOOKUP('3. Blasting'!AM462,Relleno,3,FALSE)</f>
        <v>2</v>
      </c>
      <c r="AV462" s="18">
        <f t="shared" si="206"/>
        <v>5</v>
      </c>
      <c r="AW462" s="49">
        <f t="shared" si="194"/>
        <v>0</v>
      </c>
      <c r="AX462" s="49">
        <f>VLOOKUP(AF462,Leyenda!$B$4:$D$10,3,FALSE)</f>
        <v>0</v>
      </c>
      <c r="AY462" s="49">
        <f t="shared" si="189"/>
        <v>6</v>
      </c>
      <c r="AZ462" s="49">
        <f t="shared" si="195"/>
        <v>5</v>
      </c>
      <c r="BA462" s="49">
        <f>VLOOKUP(AN462,Leyenda!$B$70:$D$75,3,FALSE)</f>
        <v>10</v>
      </c>
      <c r="BB462" s="67">
        <f t="shared" si="196"/>
        <v>7.5</v>
      </c>
      <c r="BC462" s="67">
        <f>VLOOKUP(AF462,Leyenda!$B$4:$E$10,4,FALSE)</f>
        <v>0</v>
      </c>
      <c r="BD462" s="67">
        <f t="shared" si="197"/>
        <v>7</v>
      </c>
      <c r="BE462" s="67">
        <f t="shared" si="198"/>
        <v>0</v>
      </c>
      <c r="BF462" s="67">
        <f>+VLOOKUP('3. Blasting'!AK462,Leyenda!$B$47:$E$51,4,FALSE)</f>
        <v>0</v>
      </c>
      <c r="BG462" s="67">
        <f>+VLOOKUP('3. Blasting'!AL462,Leyenda!$B$55:$E$59,4,FALSE)</f>
        <v>3</v>
      </c>
      <c r="BH462" s="67">
        <f>+VLOOKUP('3. Blasting'!AM462,Leyenda!$B$63:$E$67,3,FALSE)</f>
        <v>2</v>
      </c>
      <c r="BI462" s="67">
        <f>+VLOOKUP('3. Blasting'!AJ462,Leyenda!$B$39:$E$43,4,FALSE)</f>
        <v>0</v>
      </c>
      <c r="BJ462" s="67">
        <f>+VLOOKUP('3. Blasting'!AI462,Leyenda!$B$30:$E$34,4,FALSE)</f>
        <v>0</v>
      </c>
      <c r="BK462" s="67">
        <f>VLOOKUP(AN462,Leyenda!$B$71:$E$75,4,FALSE)</f>
        <v>7</v>
      </c>
      <c r="BL462" s="125">
        <f t="shared" si="199"/>
        <v>19</v>
      </c>
      <c r="BM462" s="85">
        <f t="shared" si="200"/>
        <v>21</v>
      </c>
      <c r="BN462" s="18" t="e">
        <f t="shared" si="201"/>
        <v>#N/A</v>
      </c>
      <c r="BO462" s="18"/>
      <c r="BP462" s="6">
        <f t="shared" si="202"/>
        <v>10</v>
      </c>
      <c r="BQ462" s="6">
        <f t="shared" si="203"/>
        <v>10</v>
      </c>
      <c r="BR462" s="6">
        <v>20</v>
      </c>
      <c r="BS462" s="6">
        <f t="shared" si="190"/>
        <v>3.5</v>
      </c>
      <c r="BT462" s="6">
        <f t="shared" si="191"/>
        <v>1.5650000000000002</v>
      </c>
      <c r="BU462" s="6">
        <f t="shared" si="192"/>
        <v>22.532499999999999</v>
      </c>
      <c r="BV462" s="18">
        <f t="shared" si="186"/>
        <v>9.0130000000000002E-2</v>
      </c>
      <c r="BW462" s="18">
        <f t="shared" si="187"/>
        <v>0.19287820000000003</v>
      </c>
    </row>
    <row r="463" spans="1:75" x14ac:dyDescent="0.25">
      <c r="A463" s="18" t="s">
        <v>6</v>
      </c>
      <c r="B463" s="18">
        <v>2024</v>
      </c>
      <c r="C463" s="18" t="s">
        <v>138</v>
      </c>
      <c r="D463" s="18" t="s">
        <v>134</v>
      </c>
      <c r="E463" s="18">
        <v>40</v>
      </c>
      <c r="F463" s="18" t="s">
        <v>153</v>
      </c>
      <c r="G463" s="18" t="s">
        <v>176</v>
      </c>
      <c r="H463" s="31">
        <f t="shared" si="181"/>
        <v>24.5</v>
      </c>
      <c r="I463" s="31">
        <v>25</v>
      </c>
      <c r="J463" s="4">
        <f t="shared" si="204"/>
        <v>0.5</v>
      </c>
      <c r="K463" s="5">
        <v>0.9</v>
      </c>
      <c r="L463" s="31">
        <f t="shared" si="193"/>
        <v>0.45</v>
      </c>
      <c r="M463" s="31">
        <v>2.14</v>
      </c>
      <c r="N463" s="31">
        <v>31.3</v>
      </c>
      <c r="O463" s="18">
        <f t="shared" si="182"/>
        <v>0.45</v>
      </c>
      <c r="P463" s="18">
        <v>22.5</v>
      </c>
      <c r="Q463" s="18">
        <v>20</v>
      </c>
      <c r="R463" s="18">
        <v>0.42</v>
      </c>
      <c r="S463" s="18">
        <v>0.22</v>
      </c>
      <c r="T463" s="65">
        <f t="shared" si="205"/>
        <v>44</v>
      </c>
      <c r="U463" s="18">
        <v>4</v>
      </c>
      <c r="V463" s="18"/>
      <c r="W463" s="18">
        <f t="shared" si="179"/>
        <v>4</v>
      </c>
      <c r="X463" s="18">
        <f t="shared" si="180"/>
        <v>105</v>
      </c>
      <c r="Y463" s="31">
        <f t="shared" si="188"/>
        <v>0.105</v>
      </c>
      <c r="Z463" s="18">
        <v>0</v>
      </c>
      <c r="AA463" s="18" t="s">
        <v>330</v>
      </c>
      <c r="AB463" s="18" t="s">
        <v>333</v>
      </c>
      <c r="AC463" s="18" t="s">
        <v>335</v>
      </c>
      <c r="AD463" s="18">
        <v>20</v>
      </c>
      <c r="AE463" s="18">
        <v>22.5</v>
      </c>
      <c r="AF463" s="18" t="s">
        <v>34</v>
      </c>
      <c r="AG463" s="18"/>
      <c r="AH463" s="18"/>
      <c r="AI463" s="18" t="s">
        <v>69</v>
      </c>
      <c r="AJ463" s="18" t="s">
        <v>81</v>
      </c>
      <c r="AK463" s="18" t="s">
        <v>100</v>
      </c>
      <c r="AL463" s="18" t="s">
        <v>107</v>
      </c>
      <c r="AM463" s="18" t="s">
        <v>120</v>
      </c>
      <c r="AN463" s="18" t="s">
        <v>247</v>
      </c>
      <c r="AO463" s="18"/>
      <c r="AP463" s="18"/>
      <c r="AQ463" s="18">
        <f>+VLOOKUP(AI463,Leyenda!$B$30:$E$34,3,FALSE)</f>
        <v>0</v>
      </c>
      <c r="AR463" s="18">
        <f>+VLOOKUP('3. Blasting'!AJ463,Meteorizacion,3,FALSE)</f>
        <v>0</v>
      </c>
      <c r="AS463" s="18">
        <f>+VLOOKUP('3. Blasting'!AK463,Apertura,3,FALSE)</f>
        <v>0</v>
      </c>
      <c r="AT463" s="18">
        <f>+VLOOKUP('3. Blasting'!AL463,Leyenda!$B$55:$D$59,3,FALSE)</f>
        <v>3</v>
      </c>
      <c r="AU463" s="18">
        <f>+VLOOKUP('3. Blasting'!AM463,Relleno,3,FALSE)</f>
        <v>2</v>
      </c>
      <c r="AV463" s="18">
        <f t="shared" si="206"/>
        <v>5</v>
      </c>
      <c r="AW463" s="49">
        <f t="shared" si="194"/>
        <v>0</v>
      </c>
      <c r="AX463" s="49">
        <f>VLOOKUP(AF463,Leyenda!$B$4:$D$10,3,FALSE)</f>
        <v>0</v>
      </c>
      <c r="AY463" s="49">
        <f t="shared" si="189"/>
        <v>4</v>
      </c>
      <c r="AZ463" s="49">
        <f t="shared" si="195"/>
        <v>5</v>
      </c>
      <c r="BA463" s="49">
        <f>VLOOKUP(AN463,Leyenda!$B$70:$D$75,3,FALSE)</f>
        <v>10</v>
      </c>
      <c r="BB463" s="67">
        <f t="shared" si="196"/>
        <v>29.5</v>
      </c>
      <c r="BC463" s="67">
        <f>VLOOKUP(AF463,Leyenda!$B$4:$E$10,4,FALSE)</f>
        <v>0</v>
      </c>
      <c r="BD463" s="67">
        <f t="shared" si="197"/>
        <v>8</v>
      </c>
      <c r="BE463" s="67">
        <f t="shared" si="198"/>
        <v>9</v>
      </c>
      <c r="BF463" s="67">
        <f>+VLOOKUP('3. Blasting'!AK463,Leyenda!$B$47:$E$51,4,FALSE)</f>
        <v>0</v>
      </c>
      <c r="BG463" s="67">
        <f>+VLOOKUP('3. Blasting'!AL463,Leyenda!$B$55:$E$59,4,FALSE)</f>
        <v>3</v>
      </c>
      <c r="BH463" s="67">
        <f>+VLOOKUP('3. Blasting'!AM463,Leyenda!$B$63:$E$67,3,FALSE)</f>
        <v>2</v>
      </c>
      <c r="BI463" s="67">
        <f>+VLOOKUP('3. Blasting'!AJ463,Leyenda!$B$39:$E$43,4,FALSE)</f>
        <v>0</v>
      </c>
      <c r="BJ463" s="67">
        <f>+VLOOKUP('3. Blasting'!AI463,Leyenda!$B$30:$E$34,4,FALSE)</f>
        <v>0</v>
      </c>
      <c r="BK463" s="67">
        <f>VLOOKUP(AN463,Leyenda!$B$71:$E$75,4,FALSE)</f>
        <v>7</v>
      </c>
      <c r="BL463" s="125">
        <f t="shared" si="199"/>
        <v>29</v>
      </c>
      <c r="BM463" s="85">
        <f t="shared" si="200"/>
        <v>19</v>
      </c>
      <c r="BN463" s="18" t="e">
        <f t="shared" si="201"/>
        <v>#N/A</v>
      </c>
      <c r="BO463" s="18"/>
      <c r="BP463" s="6">
        <f t="shared" si="202"/>
        <v>10</v>
      </c>
      <c r="BQ463" s="6">
        <f t="shared" si="203"/>
        <v>20</v>
      </c>
      <c r="BR463" s="6">
        <v>20</v>
      </c>
      <c r="BS463" s="6">
        <f t="shared" si="190"/>
        <v>3.5</v>
      </c>
      <c r="BT463" s="6">
        <f t="shared" si="191"/>
        <v>1.5650000000000002</v>
      </c>
      <c r="BU463" s="6">
        <f t="shared" si="192"/>
        <v>27.532499999999999</v>
      </c>
      <c r="BV463" s="18">
        <f t="shared" si="186"/>
        <v>0.11012999999999999</v>
      </c>
      <c r="BW463" s="18">
        <f t="shared" si="187"/>
        <v>0.2356782</v>
      </c>
    </row>
    <row r="464" spans="1:75" x14ac:dyDescent="0.25">
      <c r="A464" s="18" t="s">
        <v>6</v>
      </c>
      <c r="B464" s="18">
        <v>2024</v>
      </c>
      <c r="C464" s="18" t="s">
        <v>138</v>
      </c>
      <c r="D464" s="18" t="s">
        <v>134</v>
      </c>
      <c r="E464" s="18">
        <v>40</v>
      </c>
      <c r="F464" s="18" t="s">
        <v>153</v>
      </c>
      <c r="G464" s="18" t="s">
        <v>177</v>
      </c>
      <c r="H464" s="31">
        <f>+I463</f>
        <v>25</v>
      </c>
      <c r="I464" s="31">
        <v>25.5</v>
      </c>
      <c r="J464" s="4">
        <f t="shared" si="204"/>
        <v>0.5</v>
      </c>
      <c r="K464" s="5">
        <v>0.9</v>
      </c>
      <c r="L464" s="31">
        <f t="shared" si="193"/>
        <v>0.45</v>
      </c>
      <c r="M464" s="31">
        <v>2.14</v>
      </c>
      <c r="N464" s="31">
        <v>31.3</v>
      </c>
      <c r="O464" s="18">
        <f t="shared" si="182"/>
        <v>0.45</v>
      </c>
      <c r="P464" s="18">
        <v>22.5</v>
      </c>
      <c r="Q464" s="18">
        <v>20</v>
      </c>
      <c r="R464" s="18">
        <v>0.43</v>
      </c>
      <c r="S464" s="18">
        <v>0.11</v>
      </c>
      <c r="T464" s="65">
        <f t="shared" si="205"/>
        <v>22</v>
      </c>
      <c r="U464" s="18">
        <v>6</v>
      </c>
      <c r="V464" s="18"/>
      <c r="W464" s="18">
        <f t="shared" si="179"/>
        <v>6</v>
      </c>
      <c r="X464" s="18">
        <f t="shared" si="180"/>
        <v>71.666666666666671</v>
      </c>
      <c r="Y464" s="31">
        <f t="shared" si="188"/>
        <v>7.166666666666667E-2</v>
      </c>
      <c r="Z464" s="18">
        <v>0</v>
      </c>
      <c r="AA464" s="18" t="s">
        <v>330</v>
      </c>
      <c r="AB464" s="18" t="s">
        <v>333</v>
      </c>
      <c r="AC464" s="18" t="s">
        <v>335</v>
      </c>
      <c r="AD464" s="18">
        <v>20</v>
      </c>
      <c r="AE464" s="18">
        <v>22.5</v>
      </c>
      <c r="AF464" s="18" t="s">
        <v>34</v>
      </c>
      <c r="AG464" s="18"/>
      <c r="AH464" s="18"/>
      <c r="AI464" s="18" t="s">
        <v>69</v>
      </c>
      <c r="AJ464" s="18" t="s">
        <v>81</v>
      </c>
      <c r="AK464" s="18" t="s">
        <v>100</v>
      </c>
      <c r="AL464" s="18" t="s">
        <v>107</v>
      </c>
      <c r="AM464" s="18" t="s">
        <v>120</v>
      </c>
      <c r="AN464" s="18" t="s">
        <v>247</v>
      </c>
      <c r="AO464" s="18"/>
      <c r="AP464" s="18"/>
      <c r="AQ464" s="18">
        <f>+VLOOKUP(AI464,Leyenda!$B$30:$E$34,3,FALSE)</f>
        <v>0</v>
      </c>
      <c r="AR464" s="18">
        <f>+VLOOKUP('3. Blasting'!AJ464,Meteorizacion,3,FALSE)</f>
        <v>0</v>
      </c>
      <c r="AS464" s="18">
        <f>+VLOOKUP('3. Blasting'!AK464,Apertura,3,FALSE)</f>
        <v>0</v>
      </c>
      <c r="AT464" s="18">
        <f>+VLOOKUP('3. Blasting'!AL464,Leyenda!$B$55:$D$59,3,FALSE)</f>
        <v>3</v>
      </c>
      <c r="AU464" s="18">
        <f>+VLOOKUP('3. Blasting'!AM464,Relleno,3,FALSE)</f>
        <v>2</v>
      </c>
      <c r="AV464" s="18">
        <f t="shared" si="206"/>
        <v>5</v>
      </c>
      <c r="AW464" s="49">
        <f t="shared" si="194"/>
        <v>0</v>
      </c>
      <c r="AX464" s="49">
        <f>VLOOKUP(AF464,Leyenda!$B$4:$D$10,3,FALSE)</f>
        <v>0</v>
      </c>
      <c r="AY464" s="49">
        <f t="shared" si="189"/>
        <v>4</v>
      </c>
      <c r="AZ464" s="49">
        <f t="shared" si="195"/>
        <v>5</v>
      </c>
      <c r="BA464" s="49">
        <f>VLOOKUP(AN464,Leyenda!$B$70:$D$75,3,FALSE)</f>
        <v>10</v>
      </c>
      <c r="BB464" s="67">
        <f t="shared" si="196"/>
        <v>18.5</v>
      </c>
      <c r="BC464" s="67">
        <f>VLOOKUP(AF464,Leyenda!$B$4:$E$10,4,FALSE)</f>
        <v>0</v>
      </c>
      <c r="BD464" s="67">
        <f t="shared" si="197"/>
        <v>6</v>
      </c>
      <c r="BE464" s="67">
        <f t="shared" si="198"/>
        <v>5</v>
      </c>
      <c r="BF464" s="67">
        <f>+VLOOKUP('3. Blasting'!AK464,Leyenda!$B$47:$E$51,4,FALSE)</f>
        <v>0</v>
      </c>
      <c r="BG464" s="67">
        <f>+VLOOKUP('3. Blasting'!AL464,Leyenda!$B$55:$E$59,4,FALSE)</f>
        <v>3</v>
      </c>
      <c r="BH464" s="67">
        <f>+VLOOKUP('3. Blasting'!AM464,Leyenda!$B$63:$E$67,3,FALSE)</f>
        <v>2</v>
      </c>
      <c r="BI464" s="67">
        <f>+VLOOKUP('3. Blasting'!AJ464,Leyenda!$B$39:$E$43,4,FALSE)</f>
        <v>0</v>
      </c>
      <c r="BJ464" s="67">
        <f>+VLOOKUP('3. Blasting'!AI464,Leyenda!$B$30:$E$34,4,FALSE)</f>
        <v>0</v>
      </c>
      <c r="BK464" s="67">
        <f>VLOOKUP(AN464,Leyenda!$B$71:$E$75,4,FALSE)</f>
        <v>7</v>
      </c>
      <c r="BL464" s="125">
        <f t="shared" si="199"/>
        <v>23</v>
      </c>
      <c r="BM464" s="85">
        <f t="shared" si="200"/>
        <v>19</v>
      </c>
      <c r="BN464" s="18" t="e">
        <f t="shared" si="201"/>
        <v>#N/A</v>
      </c>
      <c r="BO464" s="18"/>
      <c r="BP464" s="6">
        <f t="shared" si="202"/>
        <v>10</v>
      </c>
      <c r="BQ464" s="6">
        <f t="shared" si="203"/>
        <v>10</v>
      </c>
      <c r="BR464" s="6">
        <v>20</v>
      </c>
      <c r="BS464" s="6">
        <f t="shared" si="190"/>
        <v>3.5</v>
      </c>
      <c r="BT464" s="6">
        <f t="shared" si="191"/>
        <v>1.5650000000000002</v>
      </c>
      <c r="BU464" s="6">
        <f t="shared" si="192"/>
        <v>22.532499999999999</v>
      </c>
      <c r="BV464" s="18">
        <f t="shared" si="186"/>
        <v>9.0130000000000002E-2</v>
      </c>
      <c r="BW464" s="18">
        <f t="shared" si="187"/>
        <v>0.19287820000000003</v>
      </c>
    </row>
    <row r="465" spans="1:75" x14ac:dyDescent="0.25">
      <c r="A465" s="18" t="s">
        <v>6</v>
      </c>
      <c r="B465" s="18">
        <v>2024</v>
      </c>
      <c r="C465" s="18" t="s">
        <v>138</v>
      </c>
      <c r="D465" s="18" t="s">
        <v>134</v>
      </c>
      <c r="E465" s="18">
        <v>40</v>
      </c>
      <c r="F465" s="18" t="s">
        <v>153</v>
      </c>
      <c r="G465" s="18" t="s">
        <v>177</v>
      </c>
      <c r="H465" s="31">
        <f t="shared" ref="H465:H473" si="207">+I464</f>
        <v>25.5</v>
      </c>
      <c r="I465" s="31">
        <v>26</v>
      </c>
      <c r="J465" s="4">
        <f t="shared" si="204"/>
        <v>0.5</v>
      </c>
      <c r="K465" s="5">
        <v>1</v>
      </c>
      <c r="L465" s="31">
        <f t="shared" si="193"/>
        <v>0.5</v>
      </c>
      <c r="M465" s="31">
        <v>2.14</v>
      </c>
      <c r="N465" s="31">
        <v>31.3</v>
      </c>
      <c r="O465" s="18">
        <f t="shared" si="182"/>
        <v>0.5</v>
      </c>
      <c r="P465" s="18">
        <v>25</v>
      </c>
      <c r="Q465" s="18">
        <v>20</v>
      </c>
      <c r="R465" s="18">
        <v>0.39</v>
      </c>
      <c r="S465" s="18">
        <v>0.15</v>
      </c>
      <c r="T465" s="65">
        <f t="shared" si="205"/>
        <v>30</v>
      </c>
      <c r="U465" s="18">
        <v>3</v>
      </c>
      <c r="V465" s="18"/>
      <c r="W465" s="18">
        <f t="shared" si="179"/>
        <v>3</v>
      </c>
      <c r="X465" s="18">
        <f t="shared" si="180"/>
        <v>130</v>
      </c>
      <c r="Y465" s="31">
        <f t="shared" si="188"/>
        <v>0.13</v>
      </c>
      <c r="Z465" s="18">
        <v>0</v>
      </c>
      <c r="AA465" s="18" t="s">
        <v>330</v>
      </c>
      <c r="AB465" s="18" t="s">
        <v>333</v>
      </c>
      <c r="AC465" s="18" t="s">
        <v>335</v>
      </c>
      <c r="AD465" s="18">
        <v>20</v>
      </c>
      <c r="AE465" s="18">
        <v>25</v>
      </c>
      <c r="AF465" s="18" t="s">
        <v>34</v>
      </c>
      <c r="AG465" s="18"/>
      <c r="AH465" s="18"/>
      <c r="AI465" s="18" t="s">
        <v>69</v>
      </c>
      <c r="AJ465" s="18" t="s">
        <v>81</v>
      </c>
      <c r="AK465" s="18" t="s">
        <v>100</v>
      </c>
      <c r="AL465" s="18" t="s">
        <v>107</v>
      </c>
      <c r="AM465" s="18" t="s">
        <v>120</v>
      </c>
      <c r="AN465" s="18" t="s">
        <v>247</v>
      </c>
      <c r="AO465" s="18"/>
      <c r="AP465" s="18"/>
      <c r="AQ465" s="18">
        <f>+VLOOKUP(AI465,Leyenda!$B$30:$E$34,3,FALSE)</f>
        <v>0</v>
      </c>
      <c r="AR465" s="18">
        <f>+VLOOKUP('3. Blasting'!AJ465,Meteorizacion,3,FALSE)</f>
        <v>0</v>
      </c>
      <c r="AS465" s="18">
        <f>+VLOOKUP('3. Blasting'!AK465,Apertura,3,FALSE)</f>
        <v>0</v>
      </c>
      <c r="AT465" s="18">
        <f>+VLOOKUP('3. Blasting'!AL465,Leyenda!$B$55:$D$59,3,FALSE)</f>
        <v>3</v>
      </c>
      <c r="AU465" s="18">
        <f>+VLOOKUP('3. Blasting'!AM465,Relleno,3,FALSE)</f>
        <v>2</v>
      </c>
      <c r="AV465" s="18">
        <f t="shared" si="206"/>
        <v>5</v>
      </c>
      <c r="AW465" s="49">
        <f t="shared" si="194"/>
        <v>0</v>
      </c>
      <c r="AX465" s="49">
        <f>VLOOKUP(AF465,Leyenda!$B$4:$D$10,3,FALSE)</f>
        <v>0</v>
      </c>
      <c r="AY465" s="49">
        <f t="shared" si="189"/>
        <v>5</v>
      </c>
      <c r="AZ465" s="49">
        <f t="shared" si="195"/>
        <v>5</v>
      </c>
      <c r="BA465" s="49">
        <f>VLOOKUP(AN465,Leyenda!$B$70:$D$75,3,FALSE)</f>
        <v>10</v>
      </c>
      <c r="BB465" s="67">
        <f t="shared" si="196"/>
        <v>22.5</v>
      </c>
      <c r="BC465" s="67">
        <f>VLOOKUP(AF465,Leyenda!$B$4:$E$10,4,FALSE)</f>
        <v>0</v>
      </c>
      <c r="BD465" s="67">
        <f t="shared" si="197"/>
        <v>10</v>
      </c>
      <c r="BE465" s="67">
        <f t="shared" si="198"/>
        <v>6</v>
      </c>
      <c r="BF465" s="67">
        <f>+VLOOKUP('3. Blasting'!AK465,Leyenda!$B$47:$E$51,4,FALSE)</f>
        <v>0</v>
      </c>
      <c r="BG465" s="67">
        <f>+VLOOKUP('3. Blasting'!AL465,Leyenda!$B$55:$E$59,4,FALSE)</f>
        <v>3</v>
      </c>
      <c r="BH465" s="67">
        <f>+VLOOKUP('3. Blasting'!AM465,Leyenda!$B$63:$E$67,3,FALSE)</f>
        <v>2</v>
      </c>
      <c r="BI465" s="67">
        <f>+VLOOKUP('3. Blasting'!AJ465,Leyenda!$B$39:$E$43,4,FALSE)</f>
        <v>0</v>
      </c>
      <c r="BJ465" s="67">
        <f>+VLOOKUP('3. Blasting'!AI465,Leyenda!$B$30:$E$34,4,FALSE)</f>
        <v>0</v>
      </c>
      <c r="BK465" s="67">
        <f>VLOOKUP(AN465,Leyenda!$B$71:$E$75,4,FALSE)</f>
        <v>7</v>
      </c>
      <c r="BL465" s="125">
        <f t="shared" si="199"/>
        <v>28</v>
      </c>
      <c r="BM465" s="85">
        <f t="shared" si="200"/>
        <v>20</v>
      </c>
      <c r="BN465" s="18" t="e">
        <f t="shared" si="201"/>
        <v>#N/A</v>
      </c>
      <c r="BO465" s="18"/>
      <c r="BP465" s="6">
        <f t="shared" si="202"/>
        <v>10</v>
      </c>
      <c r="BQ465" s="6">
        <f t="shared" si="203"/>
        <v>20</v>
      </c>
      <c r="BR465" s="6">
        <v>20</v>
      </c>
      <c r="BS465" s="6">
        <f t="shared" si="190"/>
        <v>3.5</v>
      </c>
      <c r="BT465" s="6">
        <f t="shared" si="191"/>
        <v>1.5650000000000002</v>
      </c>
      <c r="BU465" s="6">
        <f t="shared" si="192"/>
        <v>27.532499999999999</v>
      </c>
      <c r="BV465" s="18">
        <f t="shared" si="186"/>
        <v>0.11012999999999999</v>
      </c>
      <c r="BW465" s="18">
        <f t="shared" si="187"/>
        <v>0.2356782</v>
      </c>
    </row>
    <row r="466" spans="1:75" x14ac:dyDescent="0.25">
      <c r="A466" s="18" t="s">
        <v>6</v>
      </c>
      <c r="B466" s="18">
        <v>2024</v>
      </c>
      <c r="C466" s="18" t="s">
        <v>138</v>
      </c>
      <c r="D466" s="18" t="s">
        <v>134</v>
      </c>
      <c r="E466" s="18">
        <v>40</v>
      </c>
      <c r="F466" s="18" t="s">
        <v>153</v>
      </c>
      <c r="G466" s="18" t="s">
        <v>177</v>
      </c>
      <c r="H466" s="31">
        <f t="shared" si="207"/>
        <v>26</v>
      </c>
      <c r="I466" s="31">
        <v>26.5</v>
      </c>
      <c r="J466" s="4">
        <f t="shared" si="204"/>
        <v>0.5</v>
      </c>
      <c r="K466" s="5">
        <v>1</v>
      </c>
      <c r="L466" s="31">
        <f t="shared" si="193"/>
        <v>0.5</v>
      </c>
      <c r="M466" s="31">
        <v>2.14</v>
      </c>
      <c r="N466" s="31">
        <v>31.3</v>
      </c>
      <c r="O466" s="18">
        <f t="shared" si="182"/>
        <v>0.5</v>
      </c>
      <c r="P466" s="18">
        <v>25</v>
      </c>
      <c r="Q466" s="18">
        <v>20</v>
      </c>
      <c r="R466" s="18">
        <v>0.44</v>
      </c>
      <c r="S466" s="18">
        <v>0.13</v>
      </c>
      <c r="T466" s="65">
        <f t="shared" si="205"/>
        <v>26</v>
      </c>
      <c r="U466" s="18">
        <v>6</v>
      </c>
      <c r="V466" s="18"/>
      <c r="W466" s="18">
        <f t="shared" si="179"/>
        <v>6</v>
      </c>
      <c r="X466" s="18">
        <f t="shared" si="180"/>
        <v>73.333333333333329</v>
      </c>
      <c r="Y466" s="31">
        <f t="shared" si="188"/>
        <v>7.3333333333333334E-2</v>
      </c>
      <c r="Z466" s="18">
        <v>0</v>
      </c>
      <c r="AA466" s="18" t="s">
        <v>330</v>
      </c>
      <c r="AB466" s="18" t="s">
        <v>333</v>
      </c>
      <c r="AC466" s="18" t="s">
        <v>335</v>
      </c>
      <c r="AD466" s="18">
        <v>20</v>
      </c>
      <c r="AE466" s="18">
        <v>25</v>
      </c>
      <c r="AF466" s="18" t="s">
        <v>34</v>
      </c>
      <c r="AG466" s="18"/>
      <c r="AH466" s="18"/>
      <c r="AI466" s="18" t="s">
        <v>69</v>
      </c>
      <c r="AJ466" s="18" t="s">
        <v>81</v>
      </c>
      <c r="AK466" s="18" t="s">
        <v>100</v>
      </c>
      <c r="AL466" s="18" t="s">
        <v>107</v>
      </c>
      <c r="AM466" s="18" t="s">
        <v>120</v>
      </c>
      <c r="AN466" s="18" t="s">
        <v>247</v>
      </c>
      <c r="AO466" s="18"/>
      <c r="AP466" s="18"/>
      <c r="AQ466" s="18">
        <f>+VLOOKUP(AI466,Leyenda!$B$30:$E$34,3,FALSE)</f>
        <v>0</v>
      </c>
      <c r="AR466" s="18">
        <f>+VLOOKUP('3. Blasting'!AJ466,Meteorizacion,3,FALSE)</f>
        <v>0</v>
      </c>
      <c r="AS466" s="18">
        <f>+VLOOKUP('3. Blasting'!AK466,Apertura,3,FALSE)</f>
        <v>0</v>
      </c>
      <c r="AT466" s="18">
        <f>+VLOOKUP('3. Blasting'!AL466,Leyenda!$B$55:$D$59,3,FALSE)</f>
        <v>3</v>
      </c>
      <c r="AU466" s="18">
        <f>+VLOOKUP('3. Blasting'!AM466,Relleno,3,FALSE)</f>
        <v>2</v>
      </c>
      <c r="AV466" s="18">
        <f t="shared" si="206"/>
        <v>5</v>
      </c>
      <c r="AW466" s="49">
        <f t="shared" si="194"/>
        <v>0</v>
      </c>
      <c r="AX466" s="49">
        <f>VLOOKUP(AF466,Leyenda!$B$4:$D$10,3,FALSE)</f>
        <v>0</v>
      </c>
      <c r="AY466" s="49">
        <f t="shared" si="189"/>
        <v>5</v>
      </c>
      <c r="AZ466" s="49">
        <f t="shared" si="195"/>
        <v>5</v>
      </c>
      <c r="BA466" s="49">
        <f>VLOOKUP(AN466,Leyenda!$B$70:$D$75,3,FALSE)</f>
        <v>10</v>
      </c>
      <c r="BB466" s="67">
        <f t="shared" si="196"/>
        <v>20.5</v>
      </c>
      <c r="BC466" s="67">
        <f>VLOOKUP(AF466,Leyenda!$B$4:$E$10,4,FALSE)</f>
        <v>0</v>
      </c>
      <c r="BD466" s="67">
        <f t="shared" si="197"/>
        <v>6</v>
      </c>
      <c r="BE466" s="67">
        <f t="shared" si="198"/>
        <v>6</v>
      </c>
      <c r="BF466" s="67">
        <f>+VLOOKUP('3. Blasting'!AK466,Leyenda!$B$47:$E$51,4,FALSE)</f>
        <v>0</v>
      </c>
      <c r="BG466" s="67">
        <f>+VLOOKUP('3. Blasting'!AL466,Leyenda!$B$55:$E$59,4,FALSE)</f>
        <v>3</v>
      </c>
      <c r="BH466" s="67">
        <f>+VLOOKUP('3. Blasting'!AM466,Leyenda!$B$63:$E$67,3,FALSE)</f>
        <v>2</v>
      </c>
      <c r="BI466" s="67">
        <f>+VLOOKUP('3. Blasting'!AJ466,Leyenda!$B$39:$E$43,4,FALSE)</f>
        <v>0</v>
      </c>
      <c r="BJ466" s="67">
        <f>+VLOOKUP('3. Blasting'!AI466,Leyenda!$B$30:$E$34,4,FALSE)</f>
        <v>0</v>
      </c>
      <c r="BK466" s="67">
        <f>VLOOKUP(AN466,Leyenda!$B$71:$E$75,4,FALSE)</f>
        <v>7</v>
      </c>
      <c r="BL466" s="125">
        <f t="shared" si="199"/>
        <v>24</v>
      </c>
      <c r="BM466" s="85">
        <f t="shared" si="200"/>
        <v>20</v>
      </c>
      <c r="BN466" s="18" t="e">
        <f t="shared" si="201"/>
        <v>#N/A</v>
      </c>
      <c r="BO466" s="18"/>
      <c r="BP466" s="6">
        <f t="shared" si="202"/>
        <v>10</v>
      </c>
      <c r="BQ466" s="6">
        <f t="shared" si="203"/>
        <v>10</v>
      </c>
      <c r="BR466" s="6">
        <v>20</v>
      </c>
      <c r="BS466" s="6">
        <f t="shared" si="190"/>
        <v>3.5</v>
      </c>
      <c r="BT466" s="6">
        <f t="shared" si="191"/>
        <v>1.5650000000000002</v>
      </c>
      <c r="BU466" s="6">
        <f t="shared" si="192"/>
        <v>22.532499999999999</v>
      </c>
      <c r="BV466" s="18">
        <f t="shared" si="186"/>
        <v>9.0130000000000002E-2</v>
      </c>
      <c r="BW466" s="18">
        <f t="shared" si="187"/>
        <v>0.19287820000000003</v>
      </c>
    </row>
    <row r="467" spans="1:75" x14ac:dyDescent="0.25">
      <c r="A467" s="18" t="s">
        <v>6</v>
      </c>
      <c r="B467" s="18">
        <v>2024</v>
      </c>
      <c r="C467" s="18" t="s">
        <v>138</v>
      </c>
      <c r="D467" s="18" t="s">
        <v>134</v>
      </c>
      <c r="E467" s="18">
        <v>40</v>
      </c>
      <c r="F467" s="18" t="s">
        <v>153</v>
      </c>
      <c r="G467" s="18" t="s">
        <v>177</v>
      </c>
      <c r="H467" s="31">
        <f t="shared" si="207"/>
        <v>26.5</v>
      </c>
      <c r="I467" s="31">
        <v>27</v>
      </c>
      <c r="J467" s="4">
        <f t="shared" si="204"/>
        <v>0.5</v>
      </c>
      <c r="K467" s="5">
        <v>1</v>
      </c>
      <c r="L467" s="31">
        <f t="shared" si="193"/>
        <v>0.5</v>
      </c>
      <c r="M467" s="31">
        <v>2.14</v>
      </c>
      <c r="N467" s="31">
        <v>31.3</v>
      </c>
      <c r="O467" s="18">
        <f t="shared" si="182"/>
        <v>0.5</v>
      </c>
      <c r="P467" s="18">
        <v>25</v>
      </c>
      <c r="Q467" s="18">
        <v>20</v>
      </c>
      <c r="R467" s="18">
        <v>0.45</v>
      </c>
      <c r="S467" s="18">
        <v>0</v>
      </c>
      <c r="T467" s="65">
        <f t="shared" si="205"/>
        <v>0</v>
      </c>
      <c r="U467" s="18">
        <v>7</v>
      </c>
      <c r="V467" s="18"/>
      <c r="W467" s="18">
        <f t="shared" si="179"/>
        <v>7</v>
      </c>
      <c r="X467" s="18">
        <f t="shared" si="180"/>
        <v>64.285714285714292</v>
      </c>
      <c r="Y467" s="31">
        <f t="shared" si="188"/>
        <v>6.4285714285714293E-2</v>
      </c>
      <c r="Z467" s="18">
        <v>0</v>
      </c>
      <c r="AA467" s="18" t="s">
        <v>330</v>
      </c>
      <c r="AB467" s="18" t="s">
        <v>333</v>
      </c>
      <c r="AC467" s="18" t="s">
        <v>335</v>
      </c>
      <c r="AD467" s="18">
        <v>20</v>
      </c>
      <c r="AE467" s="18">
        <v>25</v>
      </c>
      <c r="AF467" s="18" t="s">
        <v>34</v>
      </c>
      <c r="AG467" s="18"/>
      <c r="AH467" s="18"/>
      <c r="AI467" s="18" t="s">
        <v>69</v>
      </c>
      <c r="AJ467" s="18" t="s">
        <v>81</v>
      </c>
      <c r="AK467" s="18" t="s">
        <v>100</v>
      </c>
      <c r="AL467" s="18" t="s">
        <v>107</v>
      </c>
      <c r="AM467" s="18" t="s">
        <v>120</v>
      </c>
      <c r="AN467" s="18" t="s">
        <v>247</v>
      </c>
      <c r="AO467" s="18"/>
      <c r="AP467" s="18"/>
      <c r="AQ467" s="18">
        <f>+VLOOKUP(AI467,Leyenda!$B$30:$E$34,3,FALSE)</f>
        <v>0</v>
      </c>
      <c r="AR467" s="18">
        <f>+VLOOKUP('3. Blasting'!AJ467,Meteorizacion,3,FALSE)</f>
        <v>0</v>
      </c>
      <c r="AS467" s="18">
        <f>+VLOOKUP('3. Blasting'!AK467,Apertura,3,FALSE)</f>
        <v>0</v>
      </c>
      <c r="AT467" s="18">
        <f>+VLOOKUP('3. Blasting'!AL467,Leyenda!$B$55:$D$59,3,FALSE)</f>
        <v>3</v>
      </c>
      <c r="AU467" s="18">
        <f>+VLOOKUP('3. Blasting'!AM467,Relleno,3,FALSE)</f>
        <v>2</v>
      </c>
      <c r="AV467" s="18">
        <f t="shared" si="206"/>
        <v>5</v>
      </c>
      <c r="AW467" s="49">
        <f t="shared" si="194"/>
        <v>0</v>
      </c>
      <c r="AX467" s="49">
        <f>VLOOKUP(AF467,Leyenda!$B$4:$D$10,3,FALSE)</f>
        <v>0</v>
      </c>
      <c r="AY467" s="49">
        <f t="shared" si="189"/>
        <v>5</v>
      </c>
      <c r="AZ467" s="49">
        <f t="shared" si="195"/>
        <v>5</v>
      </c>
      <c r="BA467" s="49">
        <f>VLOOKUP(AN467,Leyenda!$B$70:$D$75,3,FALSE)</f>
        <v>10</v>
      </c>
      <c r="BB467" s="67">
        <f t="shared" si="196"/>
        <v>7.5</v>
      </c>
      <c r="BC467" s="67">
        <f>VLOOKUP(AF467,Leyenda!$B$4:$E$10,4,FALSE)</f>
        <v>0</v>
      </c>
      <c r="BD467" s="67">
        <f t="shared" si="197"/>
        <v>6</v>
      </c>
      <c r="BE467" s="67">
        <f t="shared" si="198"/>
        <v>0</v>
      </c>
      <c r="BF467" s="67">
        <f>+VLOOKUP('3. Blasting'!AK467,Leyenda!$B$47:$E$51,4,FALSE)</f>
        <v>0</v>
      </c>
      <c r="BG467" s="67">
        <f>+VLOOKUP('3. Blasting'!AL467,Leyenda!$B$55:$E$59,4,FALSE)</f>
        <v>3</v>
      </c>
      <c r="BH467" s="67">
        <f>+VLOOKUP('3. Blasting'!AM467,Leyenda!$B$63:$E$67,3,FALSE)</f>
        <v>2</v>
      </c>
      <c r="BI467" s="67">
        <f>+VLOOKUP('3. Blasting'!AJ467,Leyenda!$B$39:$E$43,4,FALSE)</f>
        <v>0</v>
      </c>
      <c r="BJ467" s="67">
        <f>+VLOOKUP('3. Blasting'!AI467,Leyenda!$B$30:$E$34,4,FALSE)</f>
        <v>0</v>
      </c>
      <c r="BK467" s="67">
        <f>VLOOKUP(AN467,Leyenda!$B$71:$E$75,4,FALSE)</f>
        <v>7</v>
      </c>
      <c r="BL467" s="125">
        <f t="shared" si="199"/>
        <v>18</v>
      </c>
      <c r="BM467" s="85">
        <f t="shared" si="200"/>
        <v>20</v>
      </c>
      <c r="BN467" s="18" t="e">
        <f t="shared" si="201"/>
        <v>#N/A</v>
      </c>
      <c r="BO467" s="18"/>
      <c r="BP467" s="6">
        <f t="shared" si="202"/>
        <v>10</v>
      </c>
      <c r="BQ467" s="6">
        <f t="shared" si="203"/>
        <v>10</v>
      </c>
      <c r="BR467" s="6">
        <v>20</v>
      </c>
      <c r="BS467" s="6">
        <f t="shared" si="190"/>
        <v>3.5</v>
      </c>
      <c r="BT467" s="6">
        <f t="shared" si="191"/>
        <v>1.5650000000000002</v>
      </c>
      <c r="BU467" s="6">
        <f t="shared" si="192"/>
        <v>22.532499999999999</v>
      </c>
      <c r="BV467" s="18">
        <f t="shared" si="186"/>
        <v>9.0130000000000002E-2</v>
      </c>
      <c r="BW467" s="18">
        <f t="shared" si="187"/>
        <v>0.19287820000000003</v>
      </c>
    </row>
    <row r="468" spans="1:75" x14ac:dyDescent="0.25">
      <c r="A468" s="18" t="s">
        <v>6</v>
      </c>
      <c r="B468" s="18">
        <v>2024</v>
      </c>
      <c r="C468" s="18" t="s">
        <v>138</v>
      </c>
      <c r="D468" s="18" t="s">
        <v>134</v>
      </c>
      <c r="E468" s="18">
        <v>40</v>
      </c>
      <c r="F468" s="18" t="s">
        <v>153</v>
      </c>
      <c r="G468" s="18" t="s">
        <v>177</v>
      </c>
      <c r="H468" s="31">
        <f t="shared" si="207"/>
        <v>27</v>
      </c>
      <c r="I468" s="31">
        <v>27.5</v>
      </c>
      <c r="J468" s="4">
        <f t="shared" si="204"/>
        <v>0.5</v>
      </c>
      <c r="K468" s="5">
        <v>0.92</v>
      </c>
      <c r="L468" s="31">
        <f t="shared" si="193"/>
        <v>0.46</v>
      </c>
      <c r="M468" s="31">
        <v>2.14</v>
      </c>
      <c r="N468" s="31">
        <v>31.3</v>
      </c>
      <c r="O468" s="18">
        <f t="shared" si="182"/>
        <v>0.46</v>
      </c>
      <c r="P468" s="18">
        <v>23</v>
      </c>
      <c r="Q468" s="18">
        <v>20</v>
      </c>
      <c r="R468" s="18">
        <v>0.39</v>
      </c>
      <c r="S468" s="18">
        <v>0.33</v>
      </c>
      <c r="T468" s="65">
        <f t="shared" si="205"/>
        <v>66</v>
      </c>
      <c r="U468" s="18">
        <v>3</v>
      </c>
      <c r="V468" s="18"/>
      <c r="W468" s="18">
        <f t="shared" si="179"/>
        <v>3</v>
      </c>
      <c r="X468" s="18">
        <f t="shared" si="180"/>
        <v>130</v>
      </c>
      <c r="Y468" s="31">
        <f t="shared" si="188"/>
        <v>0.13</v>
      </c>
      <c r="Z468" s="18">
        <v>0</v>
      </c>
      <c r="AA468" s="18" t="s">
        <v>330</v>
      </c>
      <c r="AB468" s="18" t="s">
        <v>333</v>
      </c>
      <c r="AC468" s="18" t="s">
        <v>335</v>
      </c>
      <c r="AD468" s="18">
        <v>20</v>
      </c>
      <c r="AE468" s="18">
        <v>23</v>
      </c>
      <c r="AF468" s="18" t="s">
        <v>34</v>
      </c>
      <c r="AG468" s="18"/>
      <c r="AH468" s="18"/>
      <c r="AI468" s="18" t="s">
        <v>69</v>
      </c>
      <c r="AJ468" s="18" t="s">
        <v>81</v>
      </c>
      <c r="AK468" s="18" t="s">
        <v>100</v>
      </c>
      <c r="AL468" s="18" t="s">
        <v>107</v>
      </c>
      <c r="AM468" s="18" t="s">
        <v>120</v>
      </c>
      <c r="AN468" s="18" t="s">
        <v>247</v>
      </c>
      <c r="AO468" s="18"/>
      <c r="AP468" s="18"/>
      <c r="AQ468" s="18">
        <f>+VLOOKUP(AI468,Leyenda!$B$30:$E$34,3,FALSE)</f>
        <v>0</v>
      </c>
      <c r="AR468" s="18">
        <f>+VLOOKUP('3. Blasting'!AJ468,Meteorizacion,3,FALSE)</f>
        <v>0</v>
      </c>
      <c r="AS468" s="18">
        <f>+VLOOKUP('3. Blasting'!AK468,Apertura,3,FALSE)</f>
        <v>0</v>
      </c>
      <c r="AT468" s="18">
        <f>+VLOOKUP('3. Blasting'!AL468,Leyenda!$B$55:$D$59,3,FALSE)</f>
        <v>3</v>
      </c>
      <c r="AU468" s="18">
        <f>+VLOOKUP('3. Blasting'!AM468,Relleno,3,FALSE)</f>
        <v>2</v>
      </c>
      <c r="AV468" s="18">
        <f t="shared" si="206"/>
        <v>5</v>
      </c>
      <c r="AW468" s="49">
        <f t="shared" si="194"/>
        <v>0</v>
      </c>
      <c r="AX468" s="49">
        <f>VLOOKUP(AF468,Leyenda!$B$4:$D$10,3,FALSE)</f>
        <v>0</v>
      </c>
      <c r="AY468" s="49">
        <f t="shared" si="189"/>
        <v>4</v>
      </c>
      <c r="AZ468" s="49">
        <f t="shared" si="195"/>
        <v>5</v>
      </c>
      <c r="BA468" s="49">
        <f>VLOOKUP(AN468,Leyenda!$B$70:$D$75,3,FALSE)</f>
        <v>10</v>
      </c>
      <c r="BB468" s="67">
        <f t="shared" si="196"/>
        <v>40.5</v>
      </c>
      <c r="BC468" s="67">
        <f>VLOOKUP(AF468,Leyenda!$B$4:$E$10,4,FALSE)</f>
        <v>0</v>
      </c>
      <c r="BD468" s="67">
        <f t="shared" si="197"/>
        <v>10</v>
      </c>
      <c r="BE468" s="67">
        <f t="shared" si="198"/>
        <v>14</v>
      </c>
      <c r="BF468" s="67">
        <f>+VLOOKUP('3. Blasting'!AK468,Leyenda!$B$47:$E$51,4,FALSE)</f>
        <v>0</v>
      </c>
      <c r="BG468" s="67">
        <f>+VLOOKUP('3. Blasting'!AL468,Leyenda!$B$55:$E$59,4,FALSE)</f>
        <v>3</v>
      </c>
      <c r="BH468" s="67">
        <f>+VLOOKUP('3. Blasting'!AM468,Leyenda!$B$63:$E$67,3,FALSE)</f>
        <v>2</v>
      </c>
      <c r="BI468" s="67">
        <f>+VLOOKUP('3. Blasting'!AJ468,Leyenda!$B$39:$E$43,4,FALSE)</f>
        <v>0</v>
      </c>
      <c r="BJ468" s="67">
        <f>+VLOOKUP('3. Blasting'!AI468,Leyenda!$B$30:$E$34,4,FALSE)</f>
        <v>0</v>
      </c>
      <c r="BK468" s="67">
        <f>VLOOKUP(AN468,Leyenda!$B$71:$E$75,4,FALSE)</f>
        <v>7</v>
      </c>
      <c r="BL468" s="125">
        <f t="shared" si="199"/>
        <v>36</v>
      </c>
      <c r="BM468" s="85">
        <f t="shared" si="200"/>
        <v>19</v>
      </c>
      <c r="BN468" s="18" t="e">
        <f t="shared" si="201"/>
        <v>#N/A</v>
      </c>
      <c r="BO468" s="18"/>
      <c r="BP468" s="6">
        <f t="shared" si="202"/>
        <v>20</v>
      </c>
      <c r="BQ468" s="6">
        <f t="shared" si="203"/>
        <v>20</v>
      </c>
      <c r="BR468" s="6">
        <v>20</v>
      </c>
      <c r="BS468" s="6">
        <f t="shared" si="190"/>
        <v>3.5</v>
      </c>
      <c r="BT468" s="6">
        <f t="shared" si="191"/>
        <v>1.5650000000000002</v>
      </c>
      <c r="BU468" s="6">
        <f t="shared" si="192"/>
        <v>32.532499999999999</v>
      </c>
      <c r="BV468" s="18">
        <f t="shared" si="186"/>
        <v>0.13013</v>
      </c>
      <c r="BW468" s="18">
        <f t="shared" si="187"/>
        <v>0.27847820000000001</v>
      </c>
    </row>
    <row r="469" spans="1:75" x14ac:dyDescent="0.25">
      <c r="A469" s="18" t="s">
        <v>6</v>
      </c>
      <c r="B469" s="18">
        <v>2024</v>
      </c>
      <c r="C469" s="18" t="s">
        <v>138</v>
      </c>
      <c r="D469" s="18" t="s">
        <v>134</v>
      </c>
      <c r="E469" s="18">
        <v>40</v>
      </c>
      <c r="F469" s="18" t="s">
        <v>153</v>
      </c>
      <c r="G469" s="18" t="s">
        <v>177</v>
      </c>
      <c r="H469" s="31">
        <f t="shared" si="207"/>
        <v>27.5</v>
      </c>
      <c r="I469" s="31">
        <v>28</v>
      </c>
      <c r="J469" s="4">
        <f t="shared" si="204"/>
        <v>0.5</v>
      </c>
      <c r="K469" s="5">
        <v>1</v>
      </c>
      <c r="L469" s="31">
        <f t="shared" si="193"/>
        <v>0.5</v>
      </c>
      <c r="M469" s="31">
        <v>2.14</v>
      </c>
      <c r="N469" s="31">
        <v>31.3</v>
      </c>
      <c r="O469" s="18">
        <f t="shared" si="182"/>
        <v>0.5</v>
      </c>
      <c r="P469" s="18">
        <v>25</v>
      </c>
      <c r="Q469" s="18">
        <v>20</v>
      </c>
      <c r="R469" s="18">
        <v>0.41</v>
      </c>
      <c r="S469" s="18">
        <v>0.18</v>
      </c>
      <c r="T469" s="65">
        <f t="shared" si="205"/>
        <v>36</v>
      </c>
      <c r="U469" s="18">
        <v>3</v>
      </c>
      <c r="V469" s="18"/>
      <c r="W469" s="18">
        <f t="shared" si="179"/>
        <v>3</v>
      </c>
      <c r="X469" s="18">
        <f t="shared" si="180"/>
        <v>136.66666666666666</v>
      </c>
      <c r="Y469" s="31">
        <f t="shared" si="188"/>
        <v>0.13666666666666666</v>
      </c>
      <c r="Z469" s="18">
        <v>0</v>
      </c>
      <c r="AA469" s="18" t="s">
        <v>330</v>
      </c>
      <c r="AB469" s="18" t="s">
        <v>333</v>
      </c>
      <c r="AC469" s="18" t="s">
        <v>335</v>
      </c>
      <c r="AD469" s="18">
        <v>20</v>
      </c>
      <c r="AE469" s="18">
        <v>25</v>
      </c>
      <c r="AF469" s="18" t="s">
        <v>34</v>
      </c>
      <c r="AG469" s="18"/>
      <c r="AH469" s="18"/>
      <c r="AI469" s="18" t="s">
        <v>69</v>
      </c>
      <c r="AJ469" s="18" t="s">
        <v>81</v>
      </c>
      <c r="AK469" s="18" t="s">
        <v>100</v>
      </c>
      <c r="AL469" s="18" t="s">
        <v>107</v>
      </c>
      <c r="AM469" s="18" t="s">
        <v>120</v>
      </c>
      <c r="AN469" s="18" t="s">
        <v>247</v>
      </c>
      <c r="AO469" s="18"/>
      <c r="AP469" s="18"/>
      <c r="AQ469" s="18">
        <f>+VLOOKUP(AI469,Leyenda!$B$30:$E$34,3,FALSE)</f>
        <v>0</v>
      </c>
      <c r="AR469" s="18">
        <f>+VLOOKUP('3. Blasting'!AJ469,Meteorizacion,3,FALSE)</f>
        <v>0</v>
      </c>
      <c r="AS469" s="18">
        <f>+VLOOKUP('3. Blasting'!AK469,Apertura,3,FALSE)</f>
        <v>0</v>
      </c>
      <c r="AT469" s="18">
        <f>+VLOOKUP('3. Blasting'!AL469,Leyenda!$B$55:$D$59,3,FALSE)</f>
        <v>3</v>
      </c>
      <c r="AU469" s="18">
        <f>+VLOOKUP('3. Blasting'!AM469,Relleno,3,FALSE)</f>
        <v>2</v>
      </c>
      <c r="AV469" s="18">
        <f t="shared" si="206"/>
        <v>5</v>
      </c>
      <c r="AW469" s="49">
        <f t="shared" si="194"/>
        <v>0</v>
      </c>
      <c r="AX469" s="49">
        <f>VLOOKUP(AF469,Leyenda!$B$4:$D$10,3,FALSE)</f>
        <v>0</v>
      </c>
      <c r="AY469" s="49">
        <f t="shared" si="189"/>
        <v>5</v>
      </c>
      <c r="AZ469" s="49">
        <f t="shared" si="195"/>
        <v>5</v>
      </c>
      <c r="BA469" s="49">
        <f>VLOOKUP(AN469,Leyenda!$B$70:$D$75,3,FALSE)</f>
        <v>10</v>
      </c>
      <c r="BB469" s="67">
        <f t="shared" si="196"/>
        <v>25.5</v>
      </c>
      <c r="BC469" s="67">
        <f>VLOOKUP(AF469,Leyenda!$B$4:$E$10,4,FALSE)</f>
        <v>0</v>
      </c>
      <c r="BD469" s="67">
        <f t="shared" si="197"/>
        <v>10</v>
      </c>
      <c r="BE469" s="67">
        <f t="shared" si="198"/>
        <v>8</v>
      </c>
      <c r="BF469" s="67">
        <f>+VLOOKUP('3. Blasting'!AK469,Leyenda!$B$47:$E$51,4,FALSE)</f>
        <v>0</v>
      </c>
      <c r="BG469" s="67">
        <f>+VLOOKUP('3. Blasting'!AL469,Leyenda!$B$55:$E$59,4,FALSE)</f>
        <v>3</v>
      </c>
      <c r="BH469" s="67">
        <f>+VLOOKUP('3. Blasting'!AM469,Leyenda!$B$63:$E$67,3,FALSE)</f>
        <v>2</v>
      </c>
      <c r="BI469" s="67">
        <f>+VLOOKUP('3. Blasting'!AJ469,Leyenda!$B$39:$E$43,4,FALSE)</f>
        <v>0</v>
      </c>
      <c r="BJ469" s="67">
        <f>+VLOOKUP('3. Blasting'!AI469,Leyenda!$B$30:$E$34,4,FALSE)</f>
        <v>0</v>
      </c>
      <c r="BK469" s="67">
        <f>VLOOKUP(AN469,Leyenda!$B$71:$E$75,4,FALSE)</f>
        <v>7</v>
      </c>
      <c r="BL469" s="125">
        <f t="shared" si="199"/>
        <v>30</v>
      </c>
      <c r="BM469" s="85">
        <f t="shared" si="200"/>
        <v>20</v>
      </c>
      <c r="BN469" s="18" t="e">
        <f t="shared" si="201"/>
        <v>#N/A</v>
      </c>
      <c r="BO469" s="18"/>
      <c r="BP469" s="6">
        <f t="shared" si="202"/>
        <v>20</v>
      </c>
      <c r="BQ469" s="6">
        <f t="shared" si="203"/>
        <v>20</v>
      </c>
      <c r="BR469" s="6">
        <v>20</v>
      </c>
      <c r="BS469" s="6">
        <f t="shared" si="190"/>
        <v>3.5</v>
      </c>
      <c r="BT469" s="6">
        <f t="shared" si="191"/>
        <v>1.5650000000000002</v>
      </c>
      <c r="BU469" s="6">
        <f t="shared" si="192"/>
        <v>32.532499999999999</v>
      </c>
      <c r="BV469" s="18">
        <f t="shared" si="186"/>
        <v>0.13013</v>
      </c>
      <c r="BW469" s="18">
        <f t="shared" si="187"/>
        <v>0.27847820000000001</v>
      </c>
    </row>
    <row r="470" spans="1:75" x14ac:dyDescent="0.25">
      <c r="A470" s="18" t="s">
        <v>6</v>
      </c>
      <c r="B470" s="18">
        <v>2024</v>
      </c>
      <c r="C470" s="18" t="s">
        <v>138</v>
      </c>
      <c r="D470" s="18" t="s">
        <v>134</v>
      </c>
      <c r="E470" s="18">
        <v>40</v>
      </c>
      <c r="F470" s="18" t="s">
        <v>153</v>
      </c>
      <c r="G470" s="18" t="s">
        <v>177</v>
      </c>
      <c r="H470" s="31">
        <f t="shared" si="207"/>
        <v>28</v>
      </c>
      <c r="I470" s="31">
        <v>28.5</v>
      </c>
      <c r="J470" s="4">
        <f t="shared" si="204"/>
        <v>0.5</v>
      </c>
      <c r="K470" s="5">
        <v>0.94</v>
      </c>
      <c r="L470" s="31">
        <f t="shared" si="193"/>
        <v>0.47</v>
      </c>
      <c r="M470" s="31">
        <v>2.14</v>
      </c>
      <c r="N470" s="31">
        <v>31.3</v>
      </c>
      <c r="O470" s="18">
        <f t="shared" si="182"/>
        <v>0.47</v>
      </c>
      <c r="P470" s="18">
        <v>23.5</v>
      </c>
      <c r="Q470" s="18">
        <v>20</v>
      </c>
      <c r="R470" s="18">
        <v>0.41</v>
      </c>
      <c r="S470" s="18">
        <v>0.25</v>
      </c>
      <c r="T470" s="65">
        <f t="shared" si="205"/>
        <v>50</v>
      </c>
      <c r="U470" s="18">
        <v>3</v>
      </c>
      <c r="V470" s="18"/>
      <c r="W470" s="18">
        <f t="shared" si="179"/>
        <v>3</v>
      </c>
      <c r="X470" s="18">
        <f t="shared" si="180"/>
        <v>136.66666666666666</v>
      </c>
      <c r="Y470" s="31">
        <f t="shared" si="188"/>
        <v>0.13666666666666666</v>
      </c>
      <c r="Z470" s="18">
        <v>0</v>
      </c>
      <c r="AA470" s="18" t="s">
        <v>330</v>
      </c>
      <c r="AB470" s="18" t="s">
        <v>333</v>
      </c>
      <c r="AC470" s="18" t="s">
        <v>335</v>
      </c>
      <c r="AD470" s="18">
        <v>20</v>
      </c>
      <c r="AE470" s="18">
        <v>23.5</v>
      </c>
      <c r="AF470" s="18" t="s">
        <v>34</v>
      </c>
      <c r="AG470" s="18"/>
      <c r="AH470" s="18"/>
      <c r="AI470" s="18" t="s">
        <v>69</v>
      </c>
      <c r="AJ470" s="18" t="s">
        <v>81</v>
      </c>
      <c r="AK470" s="18" t="s">
        <v>100</v>
      </c>
      <c r="AL470" s="18" t="s">
        <v>107</v>
      </c>
      <c r="AM470" s="18" t="s">
        <v>120</v>
      </c>
      <c r="AN470" s="18" t="s">
        <v>247</v>
      </c>
      <c r="AO470" s="18"/>
      <c r="AP470" s="18"/>
      <c r="AQ470" s="18">
        <f>+VLOOKUP(AI470,Leyenda!$B$30:$E$34,3,FALSE)</f>
        <v>0</v>
      </c>
      <c r="AR470" s="18">
        <f>+VLOOKUP('3. Blasting'!AJ470,Meteorizacion,3,FALSE)</f>
        <v>0</v>
      </c>
      <c r="AS470" s="18">
        <f>+VLOOKUP('3. Blasting'!AK470,Apertura,3,FALSE)</f>
        <v>0</v>
      </c>
      <c r="AT470" s="18">
        <f>+VLOOKUP('3. Blasting'!AL470,Leyenda!$B$55:$D$59,3,FALSE)</f>
        <v>3</v>
      </c>
      <c r="AU470" s="18">
        <f>+VLOOKUP('3. Blasting'!AM470,Relleno,3,FALSE)</f>
        <v>2</v>
      </c>
      <c r="AV470" s="18">
        <f t="shared" si="206"/>
        <v>5</v>
      </c>
      <c r="AW470" s="49">
        <f t="shared" si="194"/>
        <v>0</v>
      </c>
      <c r="AX470" s="49">
        <f>VLOOKUP(AF470,Leyenda!$B$4:$D$10,3,FALSE)</f>
        <v>0</v>
      </c>
      <c r="AY470" s="49">
        <f t="shared" si="189"/>
        <v>4</v>
      </c>
      <c r="AZ470" s="49">
        <f t="shared" si="195"/>
        <v>5</v>
      </c>
      <c r="BA470" s="49">
        <f>VLOOKUP(AN470,Leyenda!$B$70:$D$75,3,FALSE)</f>
        <v>10</v>
      </c>
      <c r="BB470" s="67">
        <f t="shared" si="196"/>
        <v>32.5</v>
      </c>
      <c r="BC470" s="67">
        <f>VLOOKUP(AF470,Leyenda!$B$4:$E$10,4,FALSE)</f>
        <v>0</v>
      </c>
      <c r="BD470" s="67">
        <f t="shared" si="197"/>
        <v>10</v>
      </c>
      <c r="BE470" s="67">
        <f t="shared" si="198"/>
        <v>10</v>
      </c>
      <c r="BF470" s="67">
        <f>+VLOOKUP('3. Blasting'!AK470,Leyenda!$B$47:$E$51,4,FALSE)</f>
        <v>0</v>
      </c>
      <c r="BG470" s="67">
        <f>+VLOOKUP('3. Blasting'!AL470,Leyenda!$B$55:$E$59,4,FALSE)</f>
        <v>3</v>
      </c>
      <c r="BH470" s="67">
        <f>+VLOOKUP('3. Blasting'!AM470,Leyenda!$B$63:$E$67,3,FALSE)</f>
        <v>2</v>
      </c>
      <c r="BI470" s="67">
        <f>+VLOOKUP('3. Blasting'!AJ470,Leyenda!$B$39:$E$43,4,FALSE)</f>
        <v>0</v>
      </c>
      <c r="BJ470" s="67">
        <f>+VLOOKUP('3. Blasting'!AI470,Leyenda!$B$30:$E$34,4,FALSE)</f>
        <v>0</v>
      </c>
      <c r="BK470" s="67">
        <f>VLOOKUP(AN470,Leyenda!$B$71:$E$75,4,FALSE)</f>
        <v>7</v>
      </c>
      <c r="BL470" s="125">
        <f t="shared" si="199"/>
        <v>32</v>
      </c>
      <c r="BM470" s="85">
        <f t="shared" si="200"/>
        <v>19</v>
      </c>
      <c r="BN470" s="18" t="e">
        <f t="shared" si="201"/>
        <v>#N/A</v>
      </c>
      <c r="BO470" s="18"/>
      <c r="BP470" s="6">
        <f t="shared" si="202"/>
        <v>20</v>
      </c>
      <c r="BQ470" s="6">
        <f t="shared" si="203"/>
        <v>20</v>
      </c>
      <c r="BR470" s="6">
        <v>20</v>
      </c>
      <c r="BS470" s="6">
        <f t="shared" si="190"/>
        <v>3.5</v>
      </c>
      <c r="BT470" s="6">
        <f t="shared" si="191"/>
        <v>1.5650000000000002</v>
      </c>
      <c r="BU470" s="6">
        <f t="shared" si="192"/>
        <v>32.532499999999999</v>
      </c>
      <c r="BV470" s="18">
        <f t="shared" si="186"/>
        <v>0.13013</v>
      </c>
      <c r="BW470" s="18">
        <f t="shared" si="187"/>
        <v>0.27847820000000001</v>
      </c>
    </row>
    <row r="471" spans="1:75" x14ac:dyDescent="0.25">
      <c r="A471" s="18" t="s">
        <v>6</v>
      </c>
      <c r="B471" s="18">
        <v>2024</v>
      </c>
      <c r="C471" s="18" t="s">
        <v>138</v>
      </c>
      <c r="D471" s="18" t="s">
        <v>134</v>
      </c>
      <c r="E471" s="18">
        <v>40</v>
      </c>
      <c r="F471" s="18" t="s">
        <v>153</v>
      </c>
      <c r="G471" s="18" t="s">
        <v>177</v>
      </c>
      <c r="H471" s="31">
        <f t="shared" si="207"/>
        <v>28.5</v>
      </c>
      <c r="I471" s="31">
        <v>29</v>
      </c>
      <c r="J471" s="4">
        <f t="shared" si="204"/>
        <v>0.5</v>
      </c>
      <c r="K471" s="5">
        <v>0.2</v>
      </c>
      <c r="L471" s="31">
        <f t="shared" si="193"/>
        <v>0.1</v>
      </c>
      <c r="M471" s="31">
        <v>2.14</v>
      </c>
      <c r="N471" s="31">
        <v>31.3</v>
      </c>
      <c r="O471" s="18">
        <f t="shared" si="182"/>
        <v>0.1</v>
      </c>
      <c r="P471" s="18">
        <v>5</v>
      </c>
      <c r="Q471" s="18">
        <v>20</v>
      </c>
      <c r="R471" s="18">
        <v>0.2</v>
      </c>
      <c r="S471" s="18">
        <v>0</v>
      </c>
      <c r="T471" s="65">
        <f t="shared" si="205"/>
        <v>0</v>
      </c>
      <c r="U471" s="18">
        <v>5</v>
      </c>
      <c r="V471" s="18"/>
      <c r="W471" s="18">
        <f t="shared" si="179"/>
        <v>5</v>
      </c>
      <c r="X471" s="18">
        <f t="shared" si="180"/>
        <v>40</v>
      </c>
      <c r="Y471" s="31">
        <f t="shared" si="188"/>
        <v>0.04</v>
      </c>
      <c r="Z471" s="18">
        <v>0</v>
      </c>
      <c r="AA471" s="18" t="s">
        <v>330</v>
      </c>
      <c r="AB471" s="18" t="s">
        <v>333</v>
      </c>
      <c r="AC471" s="18" t="s">
        <v>335</v>
      </c>
      <c r="AD471" s="18">
        <v>20</v>
      </c>
      <c r="AE471" s="18">
        <v>5</v>
      </c>
      <c r="AF471" s="18" t="s">
        <v>34</v>
      </c>
      <c r="AG471" s="18"/>
      <c r="AH471" s="18"/>
      <c r="AI471" s="18" t="s">
        <v>69</v>
      </c>
      <c r="AJ471" s="18" t="s">
        <v>81</v>
      </c>
      <c r="AK471" s="18" t="s">
        <v>100</v>
      </c>
      <c r="AL471" s="18" t="s">
        <v>107</v>
      </c>
      <c r="AM471" s="18" t="s">
        <v>120</v>
      </c>
      <c r="AN471" s="18" t="s">
        <v>247</v>
      </c>
      <c r="AO471" s="18"/>
      <c r="AP471" s="18"/>
      <c r="AQ471" s="18">
        <f>+VLOOKUP(AI471,Leyenda!$B$30:$E$34,3,FALSE)</f>
        <v>0</v>
      </c>
      <c r="AR471" s="18">
        <f>+VLOOKUP('3. Blasting'!AJ471,Meteorizacion,3,FALSE)</f>
        <v>0</v>
      </c>
      <c r="AS471" s="18">
        <f>+VLOOKUP('3. Blasting'!AK471,Apertura,3,FALSE)</f>
        <v>0</v>
      </c>
      <c r="AT471" s="18">
        <f>+VLOOKUP('3. Blasting'!AL471,Leyenda!$B$55:$D$59,3,FALSE)</f>
        <v>3</v>
      </c>
      <c r="AU471" s="18">
        <f>+VLOOKUP('3. Blasting'!AM471,Relleno,3,FALSE)</f>
        <v>2</v>
      </c>
      <c r="AV471" s="18">
        <f t="shared" si="206"/>
        <v>5</v>
      </c>
      <c r="AW471" s="49">
        <f t="shared" si="194"/>
        <v>0</v>
      </c>
      <c r="AX471" s="49">
        <f>VLOOKUP(AF471,Leyenda!$B$4:$D$10,3,FALSE)</f>
        <v>0</v>
      </c>
      <c r="AY471" s="49">
        <f t="shared" si="189"/>
        <v>3</v>
      </c>
      <c r="AZ471" s="49">
        <f t="shared" si="195"/>
        <v>5</v>
      </c>
      <c r="BA471" s="49">
        <f>VLOOKUP(AN471,Leyenda!$B$70:$D$75,3,FALSE)</f>
        <v>10</v>
      </c>
      <c r="BB471" s="67">
        <f t="shared" si="196"/>
        <v>7.5</v>
      </c>
      <c r="BC471" s="67">
        <f>VLOOKUP(AF471,Leyenda!$B$4:$E$10,4,FALSE)</f>
        <v>0</v>
      </c>
      <c r="BD471" s="67">
        <f t="shared" si="197"/>
        <v>5</v>
      </c>
      <c r="BE471" s="67">
        <f t="shared" si="198"/>
        <v>0</v>
      </c>
      <c r="BF471" s="67">
        <f>+VLOOKUP('3. Blasting'!AK471,Leyenda!$B$47:$E$51,4,FALSE)</f>
        <v>0</v>
      </c>
      <c r="BG471" s="67">
        <f>+VLOOKUP('3. Blasting'!AL471,Leyenda!$B$55:$E$59,4,FALSE)</f>
        <v>3</v>
      </c>
      <c r="BH471" s="67">
        <f>+VLOOKUP('3. Blasting'!AM471,Leyenda!$B$63:$E$67,3,FALSE)</f>
        <v>2</v>
      </c>
      <c r="BI471" s="67">
        <f>+VLOOKUP('3. Blasting'!AJ471,Leyenda!$B$39:$E$43,4,FALSE)</f>
        <v>0</v>
      </c>
      <c r="BJ471" s="67">
        <f>+VLOOKUP('3. Blasting'!AI471,Leyenda!$B$30:$E$34,4,FALSE)</f>
        <v>0</v>
      </c>
      <c r="BK471" s="67">
        <f>VLOOKUP(AN471,Leyenda!$B$71:$E$75,4,FALSE)</f>
        <v>7</v>
      </c>
      <c r="BL471" s="125">
        <f t="shared" si="199"/>
        <v>17</v>
      </c>
      <c r="BM471" s="85">
        <f t="shared" si="200"/>
        <v>18</v>
      </c>
      <c r="BN471" s="18" t="e">
        <f t="shared" si="201"/>
        <v>#N/A</v>
      </c>
      <c r="BO471" s="18"/>
      <c r="BP471" s="6">
        <f t="shared" si="202"/>
        <v>10</v>
      </c>
      <c r="BQ471" s="6">
        <f t="shared" si="203"/>
        <v>10</v>
      </c>
      <c r="BR471" s="6">
        <v>20</v>
      </c>
      <c r="BS471" s="6">
        <f t="shared" si="190"/>
        <v>3.5</v>
      </c>
      <c r="BT471" s="6">
        <f t="shared" si="191"/>
        <v>1.5650000000000002</v>
      </c>
      <c r="BU471" s="6">
        <f t="shared" si="192"/>
        <v>22.532499999999999</v>
      </c>
      <c r="BV471" s="18">
        <f t="shared" si="186"/>
        <v>9.0130000000000002E-2</v>
      </c>
      <c r="BW471" s="18">
        <f t="shared" si="187"/>
        <v>0.19287820000000003</v>
      </c>
    </row>
    <row r="472" spans="1:75" x14ac:dyDescent="0.25">
      <c r="A472" s="18" t="s">
        <v>6</v>
      </c>
      <c r="B472" s="18">
        <v>2024</v>
      </c>
      <c r="C472" s="18" t="s">
        <v>138</v>
      </c>
      <c r="D472" s="18" t="s">
        <v>134</v>
      </c>
      <c r="E472" s="18">
        <v>40</v>
      </c>
      <c r="F472" s="18" t="s">
        <v>153</v>
      </c>
      <c r="G472" s="18" t="s">
        <v>178</v>
      </c>
      <c r="H472" s="31">
        <f t="shared" si="207"/>
        <v>29</v>
      </c>
      <c r="I472" s="31">
        <v>29.5</v>
      </c>
      <c r="J472" s="4">
        <f t="shared" si="204"/>
        <v>0.5</v>
      </c>
      <c r="K472" s="5">
        <v>0.54</v>
      </c>
      <c r="L472" s="31">
        <f t="shared" si="193"/>
        <v>0.27</v>
      </c>
      <c r="M472" s="31">
        <v>2.14</v>
      </c>
      <c r="N472" s="31">
        <v>31.3</v>
      </c>
      <c r="O472" s="18">
        <f t="shared" si="182"/>
        <v>0.27</v>
      </c>
      <c r="P472" s="18">
        <v>13.5</v>
      </c>
      <c r="Q472" s="18">
        <v>20</v>
      </c>
      <c r="R472" s="18">
        <v>0.23</v>
      </c>
      <c r="S472" s="18">
        <v>0</v>
      </c>
      <c r="T472" s="65">
        <f t="shared" si="205"/>
        <v>0</v>
      </c>
      <c r="U472" s="18">
        <v>4</v>
      </c>
      <c r="V472" s="18"/>
      <c r="W472" s="18">
        <f t="shared" si="179"/>
        <v>4</v>
      </c>
      <c r="X472" s="18">
        <f t="shared" si="180"/>
        <v>57.5</v>
      </c>
      <c r="Y472" s="31">
        <f t="shared" si="188"/>
        <v>5.7500000000000002E-2</v>
      </c>
      <c r="Z472" s="18">
        <v>0</v>
      </c>
      <c r="AA472" s="18" t="s">
        <v>330</v>
      </c>
      <c r="AB472" s="18" t="s">
        <v>333</v>
      </c>
      <c r="AC472" s="18" t="s">
        <v>335</v>
      </c>
      <c r="AD472" s="18">
        <v>20</v>
      </c>
      <c r="AE472" s="18">
        <v>13.5</v>
      </c>
      <c r="AF472" s="18" t="s">
        <v>34</v>
      </c>
      <c r="AG472" s="18"/>
      <c r="AH472" s="18"/>
      <c r="AI472" s="18" t="s">
        <v>69</v>
      </c>
      <c r="AJ472" s="18" t="s">
        <v>81</v>
      </c>
      <c r="AK472" s="18" t="s">
        <v>100</v>
      </c>
      <c r="AL472" s="18" t="s">
        <v>107</v>
      </c>
      <c r="AM472" s="18" t="s">
        <v>120</v>
      </c>
      <c r="AN472" s="18" t="s">
        <v>247</v>
      </c>
      <c r="AO472" s="18"/>
      <c r="AP472" s="18"/>
      <c r="AQ472" s="18">
        <f>+VLOOKUP(AI472,Leyenda!$B$30:$E$34,3,FALSE)</f>
        <v>0</v>
      </c>
      <c r="AR472" s="18">
        <f>+VLOOKUP('3. Blasting'!AJ472,Meteorizacion,3,FALSE)</f>
        <v>0</v>
      </c>
      <c r="AS472" s="18">
        <f>+VLOOKUP('3. Blasting'!AK472,Apertura,3,FALSE)</f>
        <v>0</v>
      </c>
      <c r="AT472" s="18">
        <f>+VLOOKUP('3. Blasting'!AL472,Leyenda!$B$55:$D$59,3,FALSE)</f>
        <v>3</v>
      </c>
      <c r="AU472" s="18">
        <f>+VLOOKUP('3. Blasting'!AM472,Relleno,3,FALSE)</f>
        <v>2</v>
      </c>
      <c r="AV472" s="18">
        <f t="shared" si="206"/>
        <v>5</v>
      </c>
      <c r="AW472" s="49">
        <f t="shared" si="194"/>
        <v>0</v>
      </c>
      <c r="AX472" s="49">
        <f>VLOOKUP(AF472,Leyenda!$B$4:$D$10,3,FALSE)</f>
        <v>0</v>
      </c>
      <c r="AY472" s="49">
        <f t="shared" si="189"/>
        <v>4</v>
      </c>
      <c r="AZ472" s="49">
        <f t="shared" si="195"/>
        <v>5</v>
      </c>
      <c r="BA472" s="49">
        <f>VLOOKUP(AN472,Leyenda!$B$70:$D$75,3,FALSE)</f>
        <v>10</v>
      </c>
      <c r="BB472" s="67">
        <f t="shared" si="196"/>
        <v>7.5</v>
      </c>
      <c r="BC472" s="67">
        <f>VLOOKUP(AF472,Leyenda!$B$4:$E$10,4,FALSE)</f>
        <v>0</v>
      </c>
      <c r="BD472" s="67">
        <f t="shared" si="197"/>
        <v>5</v>
      </c>
      <c r="BE472" s="67">
        <f t="shared" si="198"/>
        <v>0</v>
      </c>
      <c r="BF472" s="67">
        <f>+VLOOKUP('3. Blasting'!AK472,Leyenda!$B$47:$E$51,4,FALSE)</f>
        <v>0</v>
      </c>
      <c r="BG472" s="67">
        <f>+VLOOKUP('3. Blasting'!AL472,Leyenda!$B$55:$E$59,4,FALSE)</f>
        <v>3</v>
      </c>
      <c r="BH472" s="67">
        <f>+VLOOKUP('3. Blasting'!AM472,Leyenda!$B$63:$E$67,3,FALSE)</f>
        <v>2</v>
      </c>
      <c r="BI472" s="67">
        <f>+VLOOKUP('3. Blasting'!AJ472,Leyenda!$B$39:$E$43,4,FALSE)</f>
        <v>0</v>
      </c>
      <c r="BJ472" s="67">
        <f>+VLOOKUP('3. Blasting'!AI472,Leyenda!$B$30:$E$34,4,FALSE)</f>
        <v>0</v>
      </c>
      <c r="BK472" s="67">
        <f>VLOOKUP(AN472,Leyenda!$B$71:$E$75,4,FALSE)</f>
        <v>7</v>
      </c>
      <c r="BL472" s="125">
        <f t="shared" si="199"/>
        <v>17</v>
      </c>
      <c r="BM472" s="85">
        <f t="shared" si="200"/>
        <v>19</v>
      </c>
      <c r="BN472" s="18" t="e">
        <f t="shared" si="201"/>
        <v>#N/A</v>
      </c>
      <c r="BO472" s="18"/>
      <c r="BP472" s="6">
        <f t="shared" si="202"/>
        <v>10</v>
      </c>
      <c r="BQ472" s="6">
        <f t="shared" si="203"/>
        <v>10</v>
      </c>
      <c r="BR472" s="6">
        <v>20</v>
      </c>
      <c r="BS472" s="6">
        <f t="shared" si="190"/>
        <v>3.5</v>
      </c>
      <c r="BT472" s="6">
        <f t="shared" si="191"/>
        <v>1.5650000000000002</v>
      </c>
      <c r="BU472" s="6">
        <f t="shared" si="192"/>
        <v>22.532499999999999</v>
      </c>
      <c r="BV472" s="18">
        <f t="shared" si="186"/>
        <v>9.0130000000000002E-2</v>
      </c>
      <c r="BW472" s="18">
        <f t="shared" si="187"/>
        <v>0.19287820000000003</v>
      </c>
    </row>
    <row r="473" spans="1:75" x14ac:dyDescent="0.25">
      <c r="A473" s="18" t="s">
        <v>6</v>
      </c>
      <c r="B473" s="18">
        <v>2024</v>
      </c>
      <c r="C473" s="18" t="s">
        <v>138</v>
      </c>
      <c r="D473" s="18" t="s">
        <v>134</v>
      </c>
      <c r="E473" s="18">
        <v>40</v>
      </c>
      <c r="F473" s="18" t="s">
        <v>153</v>
      </c>
      <c r="G473" s="18" t="s">
        <v>178</v>
      </c>
      <c r="H473" s="31">
        <f t="shared" si="207"/>
        <v>29.5</v>
      </c>
      <c r="I473" s="31">
        <v>30</v>
      </c>
      <c r="J473" s="4">
        <f t="shared" si="204"/>
        <v>0.5</v>
      </c>
      <c r="K473" s="32">
        <v>0.46</v>
      </c>
      <c r="L473" s="31">
        <f t="shared" si="193"/>
        <v>0.23</v>
      </c>
      <c r="M473" s="31">
        <v>2.14</v>
      </c>
      <c r="N473" s="31">
        <v>31.3</v>
      </c>
      <c r="O473" s="18">
        <f t="shared" si="182"/>
        <v>0.23</v>
      </c>
      <c r="P473" s="18">
        <v>11.5</v>
      </c>
      <c r="Q473" s="18">
        <v>20</v>
      </c>
      <c r="R473" s="18">
        <v>0.22</v>
      </c>
      <c r="S473" s="18">
        <v>0</v>
      </c>
      <c r="T473" s="65">
        <f t="shared" si="205"/>
        <v>0</v>
      </c>
      <c r="U473" s="18">
        <v>4</v>
      </c>
      <c r="V473" s="18"/>
      <c r="W473" s="18">
        <f t="shared" si="179"/>
        <v>4</v>
      </c>
      <c r="X473" s="18">
        <f t="shared" si="180"/>
        <v>55</v>
      </c>
      <c r="Y473" s="31">
        <f t="shared" si="188"/>
        <v>5.5E-2</v>
      </c>
      <c r="Z473" s="18">
        <v>0</v>
      </c>
      <c r="AA473" s="18" t="s">
        <v>330</v>
      </c>
      <c r="AB473" s="18" t="s">
        <v>333</v>
      </c>
      <c r="AC473" s="18" t="s">
        <v>336</v>
      </c>
      <c r="AD473" s="18">
        <v>20</v>
      </c>
      <c r="AE473" s="18">
        <v>11.5</v>
      </c>
      <c r="AF473" s="18" t="s">
        <v>32</v>
      </c>
      <c r="AG473" s="18"/>
      <c r="AH473" s="18"/>
      <c r="AI473" s="18" t="s">
        <v>69</v>
      </c>
      <c r="AJ473" s="18" t="s">
        <v>81</v>
      </c>
      <c r="AK473" s="18" t="s">
        <v>100</v>
      </c>
      <c r="AL473" s="18" t="s">
        <v>107</v>
      </c>
      <c r="AM473" s="18" t="s">
        <v>120</v>
      </c>
      <c r="AN473" s="18" t="s">
        <v>247</v>
      </c>
      <c r="AO473" s="18"/>
      <c r="AP473" s="18"/>
      <c r="AQ473" s="18">
        <f>+VLOOKUP(AI473,Leyenda!$B$30:$E$34,3,FALSE)</f>
        <v>0</v>
      </c>
      <c r="AR473" s="18">
        <f>+VLOOKUP('3. Blasting'!AJ473,Meteorizacion,3,FALSE)</f>
        <v>0</v>
      </c>
      <c r="AS473" s="18">
        <f>+VLOOKUP('3. Blasting'!AK473,Apertura,3,FALSE)</f>
        <v>0</v>
      </c>
      <c r="AT473" s="18">
        <f>+VLOOKUP('3. Blasting'!AL473,Leyenda!$B$55:$D$59,3,FALSE)</f>
        <v>3</v>
      </c>
      <c r="AU473" s="18">
        <f>+VLOOKUP('3. Blasting'!AM473,Relleno,3,FALSE)</f>
        <v>2</v>
      </c>
      <c r="AV473" s="18">
        <f t="shared" si="206"/>
        <v>5</v>
      </c>
      <c r="AW473" s="49">
        <f t="shared" si="194"/>
        <v>0</v>
      </c>
      <c r="AX473" s="49">
        <f>VLOOKUP(AF473,Leyenda!$B$4:$D$10,3,FALSE)</f>
        <v>1</v>
      </c>
      <c r="AY473" s="49">
        <f t="shared" si="189"/>
        <v>4</v>
      </c>
      <c r="AZ473" s="49">
        <f t="shared" si="195"/>
        <v>5</v>
      </c>
      <c r="BA473" s="49">
        <f>VLOOKUP(AN473,Leyenda!$B$70:$D$75,3,FALSE)</f>
        <v>10</v>
      </c>
      <c r="BB473" s="67">
        <f t="shared" si="196"/>
        <v>7.5</v>
      </c>
      <c r="BC473" s="67">
        <f>VLOOKUP(AF473,Leyenda!$B$4:$E$10,4,FALSE)</f>
        <v>1</v>
      </c>
      <c r="BD473" s="67">
        <f t="shared" si="197"/>
        <v>5</v>
      </c>
      <c r="BE473" s="67">
        <f t="shared" si="198"/>
        <v>0</v>
      </c>
      <c r="BF473" s="67">
        <f>+VLOOKUP('3. Blasting'!AK473,Leyenda!$B$47:$E$51,4,FALSE)</f>
        <v>0</v>
      </c>
      <c r="BG473" s="67">
        <f>+VLOOKUP('3. Blasting'!AL473,Leyenda!$B$55:$E$59,4,FALSE)</f>
        <v>3</v>
      </c>
      <c r="BH473" s="67">
        <f>+VLOOKUP('3. Blasting'!AM473,Leyenda!$B$63:$E$67,3,FALSE)</f>
        <v>2</v>
      </c>
      <c r="BI473" s="67">
        <f>+VLOOKUP('3. Blasting'!AJ473,Leyenda!$B$39:$E$43,4,FALSE)</f>
        <v>0</v>
      </c>
      <c r="BJ473" s="67">
        <f>+VLOOKUP('3. Blasting'!AI473,Leyenda!$B$30:$E$34,4,FALSE)</f>
        <v>0</v>
      </c>
      <c r="BK473" s="67">
        <f>VLOOKUP(AN473,Leyenda!$B$71:$E$75,4,FALSE)</f>
        <v>7</v>
      </c>
      <c r="BL473" s="125">
        <f t="shared" si="199"/>
        <v>18</v>
      </c>
      <c r="BM473" s="85">
        <f t="shared" si="200"/>
        <v>20</v>
      </c>
      <c r="BN473" s="18" t="e">
        <f t="shared" si="201"/>
        <v>#N/A</v>
      </c>
      <c r="BO473" s="18"/>
      <c r="BP473" s="6">
        <f t="shared" si="202"/>
        <v>10</v>
      </c>
      <c r="BQ473" s="6">
        <f t="shared" si="203"/>
        <v>10</v>
      </c>
      <c r="BR473" s="6">
        <v>20</v>
      </c>
      <c r="BS473" s="6">
        <f t="shared" si="190"/>
        <v>3.5</v>
      </c>
      <c r="BT473" s="6">
        <f t="shared" si="191"/>
        <v>1.5650000000000002</v>
      </c>
      <c r="BU473" s="6">
        <f t="shared" si="192"/>
        <v>22.532499999999999</v>
      </c>
      <c r="BV473" s="18">
        <f t="shared" si="186"/>
        <v>9.0130000000000002E-2</v>
      </c>
      <c r="BW473" s="18">
        <f t="shared" si="187"/>
        <v>0.19287820000000003</v>
      </c>
    </row>
    <row r="474" spans="1:75" hidden="1" x14ac:dyDescent="0.25">
      <c r="A474" s="35" t="s">
        <v>6</v>
      </c>
      <c r="B474" s="35">
        <v>2024</v>
      </c>
      <c r="C474" s="35" t="s">
        <v>140</v>
      </c>
      <c r="D474" s="35" t="s">
        <v>139</v>
      </c>
      <c r="E474" s="35"/>
      <c r="F474" s="35"/>
      <c r="G474" s="35" t="s">
        <v>141</v>
      </c>
      <c r="H474" s="35">
        <v>0</v>
      </c>
      <c r="I474" s="114">
        <v>0.3</v>
      </c>
      <c r="J474" s="115">
        <f t="shared" si="204"/>
        <v>0.3</v>
      </c>
      <c r="K474" s="123">
        <v>0.96</v>
      </c>
      <c r="L474" s="114">
        <f t="shared" si="193"/>
        <v>0.28799999999999998</v>
      </c>
      <c r="M474" s="114"/>
      <c r="N474" s="114"/>
      <c r="O474" s="35">
        <f t="shared" si="182"/>
        <v>0.28799999999999998</v>
      </c>
      <c r="P474" s="35">
        <v>14.4</v>
      </c>
      <c r="Q474" s="35">
        <v>20</v>
      </c>
      <c r="R474" s="35">
        <v>0.26</v>
      </c>
      <c r="S474" s="35">
        <v>0</v>
      </c>
      <c r="T474" s="122">
        <f t="shared" si="205"/>
        <v>0</v>
      </c>
      <c r="U474" s="35">
        <v>5</v>
      </c>
      <c r="V474" s="35"/>
      <c r="W474" s="35">
        <f t="shared" si="179"/>
        <v>5</v>
      </c>
      <c r="X474" s="35">
        <f t="shared" si="180"/>
        <v>52</v>
      </c>
      <c r="Y474" s="114">
        <f t="shared" si="188"/>
        <v>5.1999999999999998E-2</v>
      </c>
      <c r="Z474" s="35">
        <v>68.75</v>
      </c>
      <c r="AA474" s="35" t="s">
        <v>100</v>
      </c>
      <c r="AB474" s="35" t="s">
        <v>333</v>
      </c>
      <c r="AC474" s="35" t="s">
        <v>335</v>
      </c>
      <c r="AD474" s="35">
        <v>20</v>
      </c>
      <c r="AE474" s="35">
        <v>14.4</v>
      </c>
      <c r="AF474" s="35" t="s">
        <v>34</v>
      </c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 t="e">
        <f>+VLOOKUP(AI474,Leyenda!$B$30:$E$34,3,FALSE)</f>
        <v>#N/A</v>
      </c>
      <c r="AR474" s="35" t="e">
        <f>+VLOOKUP('3. Blasting'!AJ474,Meteorizacion,3,FALSE)</f>
        <v>#N/A</v>
      </c>
      <c r="AS474" s="35" t="e">
        <f>+VLOOKUP('3. Blasting'!AK474,Apertura,3,FALSE)</f>
        <v>#N/A</v>
      </c>
      <c r="AT474" s="35" t="e">
        <f>+VLOOKUP('3. Blasting'!AL474,Leyenda!$B$55:$D$59,3,FALSE)</f>
        <v>#N/A</v>
      </c>
      <c r="AU474" s="35" t="e">
        <f>+VLOOKUP('3. Blasting'!AM474,Relleno,3,FALSE)</f>
        <v>#N/A</v>
      </c>
      <c r="AV474" s="35" t="e">
        <f t="shared" si="206"/>
        <v>#N/A</v>
      </c>
      <c r="AW474" s="118">
        <f t="shared" si="194"/>
        <v>14</v>
      </c>
      <c r="AX474" s="118">
        <f>VLOOKUP(AF474,Leyenda!$B$4:$D$10,3,FALSE)</f>
        <v>0</v>
      </c>
      <c r="AY474" s="119">
        <f t="shared" si="189"/>
        <v>4</v>
      </c>
      <c r="AZ474" s="118" t="e">
        <f t="shared" si="195"/>
        <v>#N/A</v>
      </c>
      <c r="BA474" s="118" t="e">
        <f>VLOOKUP(AN474,Leyenda!$B$70:$D$75,3,FALSE)</f>
        <v>#N/A</v>
      </c>
      <c r="BB474" s="120" t="e">
        <f t="shared" si="196"/>
        <v>#N/A</v>
      </c>
      <c r="BC474" s="120">
        <f>VLOOKUP(AF474,Leyenda!$B$4:$E$10,4,FALSE)</f>
        <v>0</v>
      </c>
      <c r="BD474" s="120">
        <f t="shared" si="197"/>
        <v>4</v>
      </c>
      <c r="BE474" s="120">
        <f t="shared" si="198"/>
        <v>0</v>
      </c>
      <c r="BF474" s="120" t="e">
        <f>+VLOOKUP('3. Blasting'!AK474,Leyenda!$B$47:$E$51,4,FALSE)</f>
        <v>#N/A</v>
      </c>
      <c r="BG474" s="120" t="e">
        <f>+VLOOKUP('3. Blasting'!AL474,Leyenda!$B$55:$E$59,4,FALSE)</f>
        <v>#N/A</v>
      </c>
      <c r="BH474" s="120" t="e">
        <f>+VLOOKUP('3. Blasting'!AM474,Leyenda!$B$63:$E$67,3,FALSE)</f>
        <v>#N/A</v>
      </c>
      <c r="BI474" s="120" t="e">
        <f>+VLOOKUP('3. Blasting'!AJ474,Leyenda!$B$39:$E$43,4,FALSE)</f>
        <v>#N/A</v>
      </c>
      <c r="BJ474" s="120" t="e">
        <f>+VLOOKUP('3. Blasting'!AI474,Leyenda!$B$30:$E$34,4,FALSE)</f>
        <v>#N/A</v>
      </c>
      <c r="BK474" s="120" t="e">
        <f>VLOOKUP(AN474,Leyenda!$B$71:$E$75,4,FALSE)</f>
        <v>#N/A</v>
      </c>
      <c r="BL474" s="120" t="e">
        <f t="shared" si="199"/>
        <v>#N/A</v>
      </c>
      <c r="BM474" s="35" t="e">
        <f t="shared" si="200"/>
        <v>#N/A</v>
      </c>
      <c r="BN474" s="35"/>
      <c r="BO474" s="35"/>
      <c r="BS474">
        <f t="shared" si="190"/>
        <v>-50</v>
      </c>
      <c r="BT474">
        <f t="shared" si="191"/>
        <v>0</v>
      </c>
      <c r="BU474">
        <f t="shared" si="192"/>
        <v>-25</v>
      </c>
      <c r="BV474" s="1">
        <f t="shared" si="186"/>
        <v>-0.1</v>
      </c>
      <c r="BW474" s="1">
        <f t="shared" si="187"/>
        <v>0</v>
      </c>
    </row>
    <row r="475" spans="1:75" hidden="1" x14ac:dyDescent="0.25">
      <c r="A475" s="18" t="s">
        <v>6</v>
      </c>
      <c r="B475" s="18">
        <v>2024</v>
      </c>
      <c r="C475" s="18" t="s">
        <v>140</v>
      </c>
      <c r="D475" s="18" t="s">
        <v>139</v>
      </c>
      <c r="E475" s="18"/>
      <c r="F475" s="18"/>
      <c r="G475" s="18" t="s">
        <v>141</v>
      </c>
      <c r="H475" s="31">
        <f>+I474</f>
        <v>0.3</v>
      </c>
      <c r="I475" s="31">
        <v>1</v>
      </c>
      <c r="J475" s="4">
        <f t="shared" si="204"/>
        <v>0.7</v>
      </c>
      <c r="K475" s="32">
        <v>0.91</v>
      </c>
      <c r="L475" s="31">
        <f t="shared" si="193"/>
        <v>0.63700000000000001</v>
      </c>
      <c r="M475" s="31"/>
      <c r="N475" s="31"/>
      <c r="O475" s="18">
        <f t="shared" si="182"/>
        <v>0.63700000000000001</v>
      </c>
      <c r="P475" s="18">
        <v>31.85</v>
      </c>
      <c r="Q475" s="18">
        <v>20</v>
      </c>
      <c r="R475" s="18"/>
      <c r="S475" s="18"/>
      <c r="T475" s="65">
        <f t="shared" si="205"/>
        <v>0</v>
      </c>
      <c r="U475" s="18"/>
      <c r="V475" s="18"/>
      <c r="W475" s="18"/>
      <c r="X475" s="18" t="str">
        <f t="shared" si="180"/>
        <v/>
      </c>
      <c r="Y475" s="31" t="e">
        <f t="shared" si="188"/>
        <v>#VALUE!</v>
      </c>
      <c r="Z475" s="18">
        <v>52</v>
      </c>
      <c r="AA475" s="18" t="s">
        <v>96</v>
      </c>
      <c r="AB475" s="18" t="s">
        <v>333</v>
      </c>
      <c r="AC475" s="18" t="s">
        <v>334</v>
      </c>
      <c r="AD475" s="18">
        <v>20</v>
      </c>
      <c r="AE475" s="18">
        <v>31.85</v>
      </c>
      <c r="AF475" s="18" t="s">
        <v>27</v>
      </c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 t="e">
        <f>+VLOOKUP(AI475,Leyenda!$B$30:$E$34,3,FALSE)</f>
        <v>#N/A</v>
      </c>
      <c r="AR475" s="18" t="e">
        <f>+VLOOKUP('3. Blasting'!AJ475,Meteorizacion,3,FALSE)</f>
        <v>#N/A</v>
      </c>
      <c r="AS475" s="18" t="e">
        <f>+VLOOKUP('3. Blasting'!AK475,Apertura,3,FALSE)</f>
        <v>#N/A</v>
      </c>
      <c r="AT475" s="18" t="e">
        <f>+VLOOKUP('3. Blasting'!AL475,Leyenda!$B$55:$D$59,3,FALSE)</f>
        <v>#N/A</v>
      </c>
      <c r="AU475" s="18" t="e">
        <f>+VLOOKUP('3. Blasting'!AM475,Relleno,3,FALSE)</f>
        <v>#N/A</v>
      </c>
      <c r="AV475" s="18" t="e">
        <f t="shared" si="206"/>
        <v>#N/A</v>
      </c>
      <c r="AW475" s="49">
        <f t="shared" si="194"/>
        <v>11</v>
      </c>
      <c r="AX475" s="49">
        <f>VLOOKUP(AF475,Leyenda!$B$4:$D$10,3,FALSE)</f>
        <v>4</v>
      </c>
      <c r="AY475" s="50">
        <f t="shared" si="189"/>
        <v>5</v>
      </c>
      <c r="AZ475" s="49" t="e">
        <f t="shared" si="195"/>
        <v>#N/A</v>
      </c>
      <c r="BA475" s="49" t="e">
        <f>VLOOKUP(AN475,Leyenda!$B$70:$D$75,3,FALSE)</f>
        <v>#N/A</v>
      </c>
      <c r="BB475" s="67" t="e">
        <f t="shared" si="196"/>
        <v>#N/A</v>
      </c>
      <c r="BC475" s="67">
        <f>VLOOKUP(AF475,Leyenda!$B$4:$E$10,4,FALSE)</f>
        <v>4</v>
      </c>
      <c r="BD475" s="67">
        <f t="shared" si="197"/>
        <v>30</v>
      </c>
      <c r="BE475" s="67">
        <f t="shared" si="198"/>
        <v>0</v>
      </c>
      <c r="BF475" s="67" t="e">
        <f>+VLOOKUP('3. Blasting'!AK475,Leyenda!$B$47:$E$51,4,FALSE)</f>
        <v>#N/A</v>
      </c>
      <c r="BG475" s="67" t="e">
        <f>+VLOOKUP('3. Blasting'!AL475,Leyenda!$B$55:$E$59,4,FALSE)</f>
        <v>#N/A</v>
      </c>
      <c r="BH475" s="67" t="e">
        <f>+VLOOKUP('3. Blasting'!AM475,Leyenda!$B$63:$E$67,3,FALSE)</f>
        <v>#N/A</v>
      </c>
      <c r="BI475" s="67" t="e">
        <f>+VLOOKUP('3. Blasting'!AJ475,Leyenda!$B$39:$E$43,4,FALSE)</f>
        <v>#N/A</v>
      </c>
      <c r="BJ475" s="67" t="e">
        <f>+VLOOKUP('3. Blasting'!AI475,Leyenda!$B$30:$E$34,4,FALSE)</f>
        <v>#N/A</v>
      </c>
      <c r="BK475" s="67" t="e">
        <f>VLOOKUP(AN475,Leyenda!$B$71:$E$75,4,FALSE)</f>
        <v>#N/A</v>
      </c>
      <c r="BL475" s="67" t="e">
        <f t="shared" si="199"/>
        <v>#N/A</v>
      </c>
      <c r="BM475" s="18" t="e">
        <f t="shared" si="200"/>
        <v>#N/A</v>
      </c>
      <c r="BN475" s="18"/>
      <c r="BO475" s="18"/>
      <c r="BS475">
        <f t="shared" si="190"/>
        <v>-50</v>
      </c>
      <c r="BT475">
        <f t="shared" si="191"/>
        <v>0</v>
      </c>
      <c r="BU475">
        <f t="shared" si="192"/>
        <v>-25</v>
      </c>
      <c r="BV475" s="1">
        <f t="shared" si="186"/>
        <v>-0.1</v>
      </c>
      <c r="BW475" s="1">
        <f t="shared" si="187"/>
        <v>0</v>
      </c>
    </row>
    <row r="476" spans="1:75" hidden="1" x14ac:dyDescent="0.25">
      <c r="A476" s="18" t="s">
        <v>6</v>
      </c>
      <c r="B476" s="18">
        <v>2024</v>
      </c>
      <c r="C476" s="18" t="s">
        <v>140</v>
      </c>
      <c r="D476" s="18" t="s">
        <v>139</v>
      </c>
      <c r="E476" s="18"/>
      <c r="F476" s="18"/>
      <c r="G476" s="18" t="s">
        <v>141</v>
      </c>
      <c r="H476" s="31">
        <f t="shared" ref="H476:H488" si="208">+I475</f>
        <v>1</v>
      </c>
      <c r="I476" s="31">
        <v>1.5</v>
      </c>
      <c r="J476" s="4">
        <f t="shared" si="204"/>
        <v>0.5</v>
      </c>
      <c r="K476" s="32">
        <v>1</v>
      </c>
      <c r="L476" s="31">
        <f t="shared" si="193"/>
        <v>0.5</v>
      </c>
      <c r="M476" s="31"/>
      <c r="N476" s="31"/>
      <c r="O476" s="18">
        <f t="shared" si="182"/>
        <v>0.5</v>
      </c>
      <c r="P476" s="18">
        <v>25</v>
      </c>
      <c r="Q476" s="18">
        <v>20</v>
      </c>
      <c r="R476" s="18"/>
      <c r="S476" s="18"/>
      <c r="T476" s="65">
        <f t="shared" si="205"/>
        <v>0</v>
      </c>
      <c r="U476" s="18"/>
      <c r="V476" s="18"/>
      <c r="W476" s="18"/>
      <c r="X476" s="18" t="str">
        <f t="shared" si="180"/>
        <v/>
      </c>
      <c r="Y476" s="31" t="e">
        <f t="shared" si="188"/>
        <v>#VALUE!</v>
      </c>
      <c r="Z476" s="18">
        <v>0</v>
      </c>
      <c r="AA476" s="18" t="s">
        <v>96</v>
      </c>
      <c r="AB476" s="18" t="s">
        <v>333</v>
      </c>
      <c r="AC476" s="18" t="s">
        <v>334</v>
      </c>
      <c r="AD476" s="18">
        <v>20</v>
      </c>
      <c r="AE476" s="18">
        <v>25</v>
      </c>
      <c r="AF476" s="18" t="s">
        <v>27</v>
      </c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 t="e">
        <f>+VLOOKUP(AI476,Leyenda!$B$30:$E$34,3,FALSE)</f>
        <v>#N/A</v>
      </c>
      <c r="AR476" s="18" t="e">
        <f>+VLOOKUP('3. Blasting'!AJ476,Meteorizacion,3,FALSE)</f>
        <v>#N/A</v>
      </c>
      <c r="AS476" s="18" t="e">
        <f>+VLOOKUP('3. Blasting'!AK476,Apertura,3,FALSE)</f>
        <v>#N/A</v>
      </c>
      <c r="AT476" s="18" t="e">
        <f>+VLOOKUP('3. Blasting'!AL476,Leyenda!$B$55:$D$59,3,FALSE)</f>
        <v>#N/A</v>
      </c>
      <c r="AU476" s="18" t="e">
        <f>+VLOOKUP('3. Blasting'!AM476,Relleno,3,FALSE)</f>
        <v>#N/A</v>
      </c>
      <c r="AV476" s="18" t="e">
        <f t="shared" si="206"/>
        <v>#N/A</v>
      </c>
      <c r="AW476" s="49">
        <f t="shared" si="194"/>
        <v>0</v>
      </c>
      <c r="AX476" s="49">
        <f>VLOOKUP(AF476,Leyenda!$B$4:$D$10,3,FALSE)</f>
        <v>4</v>
      </c>
      <c r="AY476" s="50">
        <f t="shared" si="189"/>
        <v>5</v>
      </c>
      <c r="AZ476" s="49" t="e">
        <f t="shared" si="195"/>
        <v>#N/A</v>
      </c>
      <c r="BA476" s="49" t="e">
        <f>VLOOKUP(AN476,Leyenda!$B$70:$D$75,3,FALSE)</f>
        <v>#N/A</v>
      </c>
      <c r="BB476" s="67" t="e">
        <f t="shared" si="196"/>
        <v>#N/A</v>
      </c>
      <c r="BC476" s="67">
        <f>VLOOKUP(AF476,Leyenda!$B$4:$E$10,4,FALSE)</f>
        <v>4</v>
      </c>
      <c r="BD476" s="67">
        <f t="shared" si="197"/>
        <v>30</v>
      </c>
      <c r="BE476" s="67">
        <f t="shared" si="198"/>
        <v>0</v>
      </c>
      <c r="BF476" s="67" t="e">
        <f>+VLOOKUP('3. Blasting'!AK476,Leyenda!$B$47:$E$51,4,FALSE)</f>
        <v>#N/A</v>
      </c>
      <c r="BG476" s="67" t="e">
        <f>+VLOOKUP('3. Blasting'!AL476,Leyenda!$B$55:$E$59,4,FALSE)</f>
        <v>#N/A</v>
      </c>
      <c r="BH476" s="67" t="e">
        <f>+VLOOKUP('3. Blasting'!AM476,Leyenda!$B$63:$E$67,3,FALSE)</f>
        <v>#N/A</v>
      </c>
      <c r="BI476" s="67" t="e">
        <f>+VLOOKUP('3. Blasting'!AJ476,Leyenda!$B$39:$E$43,4,FALSE)</f>
        <v>#N/A</v>
      </c>
      <c r="BJ476" s="67" t="e">
        <f>+VLOOKUP('3. Blasting'!AI476,Leyenda!$B$30:$E$34,4,FALSE)</f>
        <v>#N/A</v>
      </c>
      <c r="BK476" s="67" t="e">
        <f>VLOOKUP(AN476,Leyenda!$B$71:$E$75,4,FALSE)</f>
        <v>#N/A</v>
      </c>
      <c r="BL476" s="67" t="e">
        <f t="shared" si="199"/>
        <v>#N/A</v>
      </c>
      <c r="BM476" s="18" t="e">
        <f t="shared" si="200"/>
        <v>#N/A</v>
      </c>
      <c r="BN476" s="18"/>
      <c r="BO476" s="18"/>
      <c r="BS476">
        <f t="shared" si="190"/>
        <v>-50</v>
      </c>
      <c r="BT476">
        <f t="shared" si="191"/>
        <v>0</v>
      </c>
      <c r="BU476">
        <f t="shared" si="192"/>
        <v>-25</v>
      </c>
      <c r="BV476" s="1">
        <f t="shared" si="186"/>
        <v>-0.1</v>
      </c>
      <c r="BW476" s="1">
        <f t="shared" si="187"/>
        <v>0</v>
      </c>
    </row>
    <row r="477" spans="1:75" hidden="1" x14ac:dyDescent="0.25">
      <c r="A477" s="18" t="s">
        <v>6</v>
      </c>
      <c r="B477" s="18">
        <v>2024</v>
      </c>
      <c r="C477" s="18" t="s">
        <v>140</v>
      </c>
      <c r="D477" s="18" t="s">
        <v>139</v>
      </c>
      <c r="E477" s="18"/>
      <c r="F477" s="18"/>
      <c r="G477" s="18" t="s">
        <v>141</v>
      </c>
      <c r="H477" s="31">
        <f t="shared" si="208"/>
        <v>1.5</v>
      </c>
      <c r="I477" s="31">
        <v>2</v>
      </c>
      <c r="J477" s="4">
        <f t="shared" si="204"/>
        <v>0.5</v>
      </c>
      <c r="K477" s="32">
        <v>0.78</v>
      </c>
      <c r="L477" s="31">
        <f t="shared" si="193"/>
        <v>0.39</v>
      </c>
      <c r="M477" s="31"/>
      <c r="N477" s="31"/>
      <c r="O477" s="18">
        <f t="shared" si="182"/>
        <v>0.39</v>
      </c>
      <c r="P477" s="18">
        <v>19.5</v>
      </c>
      <c r="Q477" s="18">
        <v>20</v>
      </c>
      <c r="R477" s="18"/>
      <c r="S477" s="18"/>
      <c r="T477" s="65">
        <f t="shared" si="205"/>
        <v>0</v>
      </c>
      <c r="U477" s="18"/>
      <c r="V477" s="18"/>
      <c r="W477" s="18"/>
      <c r="X477" s="18" t="str">
        <f t="shared" si="180"/>
        <v/>
      </c>
      <c r="Y477" s="31" t="e">
        <f t="shared" si="188"/>
        <v>#VALUE!</v>
      </c>
      <c r="Z477" s="18">
        <v>0</v>
      </c>
      <c r="AA477" s="18" t="s">
        <v>96</v>
      </c>
      <c r="AB477" s="18" t="s">
        <v>333</v>
      </c>
      <c r="AC477" s="18" t="s">
        <v>334</v>
      </c>
      <c r="AD477" s="18">
        <v>20</v>
      </c>
      <c r="AE477" s="18">
        <v>19.5</v>
      </c>
      <c r="AF477" s="18" t="s">
        <v>27</v>
      </c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 t="e">
        <f>+VLOOKUP(AI477,Leyenda!$B$30:$E$34,3,FALSE)</f>
        <v>#N/A</v>
      </c>
      <c r="AR477" s="18" t="e">
        <f>+VLOOKUP('3. Blasting'!AJ477,Meteorizacion,3,FALSE)</f>
        <v>#N/A</v>
      </c>
      <c r="AS477" s="18" t="e">
        <f>+VLOOKUP('3. Blasting'!AK477,Apertura,3,FALSE)</f>
        <v>#N/A</v>
      </c>
      <c r="AT477" s="18" t="e">
        <f>+VLOOKUP('3. Blasting'!AL477,Leyenda!$B$55:$D$59,3,FALSE)</f>
        <v>#N/A</v>
      </c>
      <c r="AU477" s="18" t="e">
        <f>+VLOOKUP('3. Blasting'!AM477,Relleno,3,FALSE)</f>
        <v>#N/A</v>
      </c>
      <c r="AV477" s="18" t="e">
        <f t="shared" si="206"/>
        <v>#N/A</v>
      </c>
      <c r="AW477" s="49">
        <f t="shared" si="194"/>
        <v>0</v>
      </c>
      <c r="AX477" s="49">
        <f>VLOOKUP(AF477,Leyenda!$B$4:$D$10,3,FALSE)</f>
        <v>4</v>
      </c>
      <c r="AY477" s="50">
        <f t="shared" si="189"/>
        <v>4</v>
      </c>
      <c r="AZ477" s="49" t="e">
        <f t="shared" si="195"/>
        <v>#N/A</v>
      </c>
      <c r="BA477" s="49" t="e">
        <f>VLOOKUP(AN477,Leyenda!$B$70:$D$75,3,FALSE)</f>
        <v>#N/A</v>
      </c>
      <c r="BB477" s="67" t="e">
        <f t="shared" si="196"/>
        <v>#N/A</v>
      </c>
      <c r="BC477" s="67">
        <f>VLOOKUP(AF477,Leyenda!$B$4:$E$10,4,FALSE)</f>
        <v>4</v>
      </c>
      <c r="BD477" s="67">
        <f t="shared" si="197"/>
        <v>30</v>
      </c>
      <c r="BE477" s="67">
        <f t="shared" si="198"/>
        <v>0</v>
      </c>
      <c r="BF477" s="67" t="e">
        <f>+VLOOKUP('3. Blasting'!AK477,Leyenda!$B$47:$E$51,4,FALSE)</f>
        <v>#N/A</v>
      </c>
      <c r="BG477" s="67" t="e">
        <f>+VLOOKUP('3. Blasting'!AL477,Leyenda!$B$55:$E$59,4,FALSE)</f>
        <v>#N/A</v>
      </c>
      <c r="BH477" s="67" t="e">
        <f>+VLOOKUP('3. Blasting'!AM477,Leyenda!$B$63:$E$67,3,FALSE)</f>
        <v>#N/A</v>
      </c>
      <c r="BI477" s="67" t="e">
        <f>+VLOOKUP('3. Blasting'!AJ477,Leyenda!$B$39:$E$43,4,FALSE)</f>
        <v>#N/A</v>
      </c>
      <c r="BJ477" s="67" t="e">
        <f>+VLOOKUP('3. Blasting'!AI477,Leyenda!$B$30:$E$34,4,FALSE)</f>
        <v>#N/A</v>
      </c>
      <c r="BK477" s="67" t="e">
        <f>VLOOKUP(AN477,Leyenda!$B$71:$E$75,4,FALSE)</f>
        <v>#N/A</v>
      </c>
      <c r="BL477" s="67" t="e">
        <f t="shared" si="199"/>
        <v>#N/A</v>
      </c>
      <c r="BM477" s="18" t="e">
        <f t="shared" si="200"/>
        <v>#N/A</v>
      </c>
      <c r="BN477" s="18"/>
      <c r="BO477" s="18"/>
      <c r="BS477">
        <f t="shared" si="190"/>
        <v>-50</v>
      </c>
      <c r="BT477">
        <f t="shared" si="191"/>
        <v>0</v>
      </c>
      <c r="BU477">
        <f t="shared" si="192"/>
        <v>-25</v>
      </c>
      <c r="BV477" s="1">
        <f t="shared" si="186"/>
        <v>-0.1</v>
      </c>
      <c r="BW477" s="1">
        <f t="shared" si="187"/>
        <v>0</v>
      </c>
    </row>
    <row r="478" spans="1:75" hidden="1" x14ac:dyDescent="0.25">
      <c r="A478" s="18" t="s">
        <v>6</v>
      </c>
      <c r="B478" s="18">
        <v>2024</v>
      </c>
      <c r="C478" s="18" t="s">
        <v>140</v>
      </c>
      <c r="D478" s="18" t="s">
        <v>139</v>
      </c>
      <c r="E478" s="18"/>
      <c r="F478" s="18"/>
      <c r="G478" s="18" t="s">
        <v>141</v>
      </c>
      <c r="H478" s="31">
        <f t="shared" si="208"/>
        <v>2</v>
      </c>
      <c r="I478" s="31">
        <v>2.5</v>
      </c>
      <c r="J478" s="4">
        <f t="shared" si="204"/>
        <v>0.5</v>
      </c>
      <c r="K478" s="32">
        <v>0.7</v>
      </c>
      <c r="L478" s="31">
        <f t="shared" si="193"/>
        <v>0.35</v>
      </c>
      <c r="M478" s="31"/>
      <c r="N478" s="31"/>
      <c r="O478" s="18">
        <f t="shared" si="182"/>
        <v>0.35</v>
      </c>
      <c r="P478" s="18">
        <v>17.5</v>
      </c>
      <c r="Q478" s="18">
        <v>20</v>
      </c>
      <c r="R478" s="18"/>
      <c r="S478" s="18"/>
      <c r="T478" s="65">
        <f t="shared" si="205"/>
        <v>0</v>
      </c>
      <c r="U478" s="18"/>
      <c r="V478" s="18"/>
      <c r="W478" s="18"/>
      <c r="X478" s="18" t="str">
        <f t="shared" si="180"/>
        <v/>
      </c>
      <c r="Y478" s="31" t="e">
        <f t="shared" si="188"/>
        <v>#VALUE!</v>
      </c>
      <c r="Z478" s="18">
        <v>0</v>
      </c>
      <c r="AA478" s="18" t="s">
        <v>96</v>
      </c>
      <c r="AB478" s="18" t="s">
        <v>333</v>
      </c>
      <c r="AC478" s="18" t="s">
        <v>334</v>
      </c>
      <c r="AD478" s="18">
        <v>20</v>
      </c>
      <c r="AE478" s="18">
        <v>17.5</v>
      </c>
      <c r="AF478" s="18" t="s">
        <v>27</v>
      </c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 t="e">
        <f>+VLOOKUP(AI478,Leyenda!$B$30:$E$34,3,FALSE)</f>
        <v>#N/A</v>
      </c>
      <c r="AR478" s="18" t="e">
        <f>+VLOOKUP('3. Blasting'!AJ478,Meteorizacion,3,FALSE)</f>
        <v>#N/A</v>
      </c>
      <c r="AS478" s="18" t="e">
        <f>+VLOOKUP('3. Blasting'!AK478,Apertura,3,FALSE)</f>
        <v>#N/A</v>
      </c>
      <c r="AT478" s="18" t="e">
        <f>+VLOOKUP('3. Blasting'!AL478,Leyenda!$B$55:$D$59,3,FALSE)</f>
        <v>#N/A</v>
      </c>
      <c r="AU478" s="18" t="e">
        <f>+VLOOKUP('3. Blasting'!AM478,Relleno,3,FALSE)</f>
        <v>#N/A</v>
      </c>
      <c r="AV478" s="18" t="e">
        <f t="shared" si="206"/>
        <v>#N/A</v>
      </c>
      <c r="AW478" s="49">
        <f t="shared" si="194"/>
        <v>0</v>
      </c>
      <c r="AX478" s="49">
        <f>VLOOKUP(AF478,Leyenda!$B$4:$D$10,3,FALSE)</f>
        <v>4</v>
      </c>
      <c r="AY478" s="50">
        <f t="shared" si="189"/>
        <v>4</v>
      </c>
      <c r="AZ478" s="49" t="e">
        <f t="shared" si="195"/>
        <v>#N/A</v>
      </c>
      <c r="BA478" s="49" t="e">
        <f>VLOOKUP(AN478,Leyenda!$B$70:$D$75,3,FALSE)</f>
        <v>#N/A</v>
      </c>
      <c r="BB478" s="67" t="e">
        <f t="shared" si="196"/>
        <v>#N/A</v>
      </c>
      <c r="BC478" s="67">
        <f>VLOOKUP(AF478,Leyenda!$B$4:$E$10,4,FALSE)</f>
        <v>4</v>
      </c>
      <c r="BD478" s="67">
        <f t="shared" si="197"/>
        <v>30</v>
      </c>
      <c r="BE478" s="67">
        <f t="shared" si="198"/>
        <v>0</v>
      </c>
      <c r="BF478" s="67" t="e">
        <f>+VLOOKUP('3. Blasting'!AK478,Leyenda!$B$47:$E$51,4,FALSE)</f>
        <v>#N/A</v>
      </c>
      <c r="BG478" s="67" t="e">
        <f>+VLOOKUP('3. Blasting'!AL478,Leyenda!$B$55:$E$59,4,FALSE)</f>
        <v>#N/A</v>
      </c>
      <c r="BH478" s="67" t="e">
        <f>+VLOOKUP('3. Blasting'!AM478,Leyenda!$B$63:$E$67,3,FALSE)</f>
        <v>#N/A</v>
      </c>
      <c r="BI478" s="67" t="e">
        <f>+VLOOKUP('3. Blasting'!AJ478,Leyenda!$B$39:$E$43,4,FALSE)</f>
        <v>#N/A</v>
      </c>
      <c r="BJ478" s="67" t="e">
        <f>+VLOOKUP('3. Blasting'!AI478,Leyenda!$B$30:$E$34,4,FALSE)</f>
        <v>#N/A</v>
      </c>
      <c r="BK478" s="67" t="e">
        <f>VLOOKUP(AN478,Leyenda!$B$71:$E$75,4,FALSE)</f>
        <v>#N/A</v>
      </c>
      <c r="BL478" s="67" t="e">
        <f t="shared" si="199"/>
        <v>#N/A</v>
      </c>
      <c r="BM478" s="18" t="e">
        <f t="shared" si="200"/>
        <v>#N/A</v>
      </c>
      <c r="BN478" s="18"/>
      <c r="BO478" s="18"/>
      <c r="BS478">
        <f t="shared" si="190"/>
        <v>-50</v>
      </c>
      <c r="BT478">
        <f t="shared" si="191"/>
        <v>0</v>
      </c>
      <c r="BU478">
        <f t="shared" si="192"/>
        <v>-25</v>
      </c>
      <c r="BV478" s="1">
        <f t="shared" si="186"/>
        <v>-0.1</v>
      </c>
      <c r="BW478" s="1">
        <f t="shared" si="187"/>
        <v>0</v>
      </c>
    </row>
    <row r="479" spans="1:75" hidden="1" x14ac:dyDescent="0.25">
      <c r="A479" s="18" t="s">
        <v>6</v>
      </c>
      <c r="B479" s="18">
        <v>2024</v>
      </c>
      <c r="C479" s="18" t="s">
        <v>140</v>
      </c>
      <c r="D479" s="18" t="s">
        <v>139</v>
      </c>
      <c r="E479" s="18"/>
      <c r="F479" s="18"/>
      <c r="G479" s="18" t="s">
        <v>141</v>
      </c>
      <c r="H479" s="31">
        <f t="shared" si="208"/>
        <v>2.5</v>
      </c>
      <c r="I479" s="31">
        <v>3</v>
      </c>
      <c r="J479" s="4">
        <f t="shared" si="204"/>
        <v>0.5</v>
      </c>
      <c r="K479" s="32">
        <v>0.92</v>
      </c>
      <c r="L479" s="31">
        <f t="shared" si="193"/>
        <v>0.46</v>
      </c>
      <c r="M479" s="31"/>
      <c r="N479" s="31"/>
      <c r="O479" s="18">
        <f t="shared" si="182"/>
        <v>0.46</v>
      </c>
      <c r="P479" s="18">
        <v>23</v>
      </c>
      <c r="Q479" s="18">
        <v>20</v>
      </c>
      <c r="R479" s="18"/>
      <c r="S479" s="18"/>
      <c r="T479" s="65">
        <f t="shared" si="205"/>
        <v>0</v>
      </c>
      <c r="U479" s="18"/>
      <c r="V479" s="18"/>
      <c r="W479" s="18"/>
      <c r="X479" s="18" t="str">
        <f>+IF(R479=0,"",(R479*1000)/W479)</f>
        <v/>
      </c>
      <c r="Y479" s="31" t="e">
        <f t="shared" si="188"/>
        <v>#VALUE!</v>
      </c>
      <c r="Z479" s="18">
        <v>0</v>
      </c>
      <c r="AA479" s="18" t="s">
        <v>96</v>
      </c>
      <c r="AB479" s="18" t="s">
        <v>333</v>
      </c>
      <c r="AC479" s="18" t="s">
        <v>334</v>
      </c>
      <c r="AD479" s="18">
        <v>20</v>
      </c>
      <c r="AE479" s="18">
        <v>23</v>
      </c>
      <c r="AF479" s="18" t="s">
        <v>27</v>
      </c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 t="e">
        <f>+VLOOKUP(AI479,Leyenda!$B$30:$E$34,3,FALSE)</f>
        <v>#N/A</v>
      </c>
      <c r="AR479" s="18" t="e">
        <f>+VLOOKUP('3. Blasting'!AJ479,Meteorizacion,3,FALSE)</f>
        <v>#N/A</v>
      </c>
      <c r="AS479" s="18" t="e">
        <f>+VLOOKUP('3. Blasting'!AK479,Apertura,3,FALSE)</f>
        <v>#N/A</v>
      </c>
      <c r="AT479" s="18" t="e">
        <f>+VLOOKUP('3. Blasting'!AL479,Leyenda!$B$55:$D$59,3,FALSE)</f>
        <v>#N/A</v>
      </c>
      <c r="AU479" s="18" t="e">
        <f>+VLOOKUP('3. Blasting'!AM479,Relleno,3,FALSE)</f>
        <v>#N/A</v>
      </c>
      <c r="AV479" s="18" t="e">
        <f t="shared" si="206"/>
        <v>#N/A</v>
      </c>
      <c r="AW479" s="49">
        <f t="shared" si="194"/>
        <v>0</v>
      </c>
      <c r="AX479" s="49">
        <f>VLOOKUP(AF479,Leyenda!$B$4:$D$10,3,FALSE)</f>
        <v>4</v>
      </c>
      <c r="AY479" s="50">
        <f t="shared" si="189"/>
        <v>4</v>
      </c>
      <c r="AZ479" s="49" t="e">
        <f t="shared" si="195"/>
        <v>#N/A</v>
      </c>
      <c r="BA479" s="49" t="e">
        <f>VLOOKUP(AN479,Leyenda!$B$70:$D$75,3,FALSE)</f>
        <v>#N/A</v>
      </c>
      <c r="BB479" s="67" t="e">
        <f t="shared" si="196"/>
        <v>#N/A</v>
      </c>
      <c r="BC479" s="67">
        <f>VLOOKUP(AF479,Leyenda!$B$4:$E$10,4,FALSE)</f>
        <v>4</v>
      </c>
      <c r="BD479" s="67">
        <f t="shared" si="197"/>
        <v>30</v>
      </c>
      <c r="BE479" s="67">
        <f t="shared" si="198"/>
        <v>0</v>
      </c>
      <c r="BF479" s="67" t="e">
        <f>+VLOOKUP('3. Blasting'!AK479,Leyenda!$B$47:$E$51,4,FALSE)</f>
        <v>#N/A</v>
      </c>
      <c r="BG479" s="67" t="e">
        <f>+VLOOKUP('3. Blasting'!AL479,Leyenda!$B$55:$E$59,4,FALSE)</f>
        <v>#N/A</v>
      </c>
      <c r="BH479" s="67" t="e">
        <f>+VLOOKUP('3. Blasting'!AM479,Leyenda!$B$63:$E$67,3,FALSE)</f>
        <v>#N/A</v>
      </c>
      <c r="BI479" s="67" t="e">
        <f>+VLOOKUP('3. Blasting'!AJ479,Leyenda!$B$39:$E$43,4,FALSE)</f>
        <v>#N/A</v>
      </c>
      <c r="BJ479" s="67" t="e">
        <f>+VLOOKUP('3. Blasting'!AI479,Leyenda!$B$30:$E$34,4,FALSE)</f>
        <v>#N/A</v>
      </c>
      <c r="BK479" s="67" t="e">
        <f>VLOOKUP(AN479,Leyenda!$B$71:$E$75,4,FALSE)</f>
        <v>#N/A</v>
      </c>
      <c r="BL479" s="67" t="e">
        <f t="shared" si="199"/>
        <v>#N/A</v>
      </c>
      <c r="BM479" s="18" t="e">
        <f t="shared" si="200"/>
        <v>#N/A</v>
      </c>
      <c r="BN479" s="18"/>
      <c r="BO479" s="18"/>
      <c r="BS479">
        <f t="shared" si="190"/>
        <v>-50</v>
      </c>
      <c r="BT479">
        <f t="shared" si="191"/>
        <v>0</v>
      </c>
      <c r="BU479">
        <f t="shared" si="192"/>
        <v>-25</v>
      </c>
      <c r="BV479" s="1">
        <f t="shared" si="186"/>
        <v>-0.1</v>
      </c>
      <c r="BW479" s="1">
        <f t="shared" si="187"/>
        <v>0</v>
      </c>
    </row>
    <row r="480" spans="1:75" hidden="1" x14ac:dyDescent="0.25">
      <c r="A480" s="18" t="s">
        <v>6</v>
      </c>
      <c r="B480" s="18">
        <v>2024</v>
      </c>
      <c r="C480" s="18" t="s">
        <v>140</v>
      </c>
      <c r="D480" s="18" t="s">
        <v>139</v>
      </c>
      <c r="E480" s="18"/>
      <c r="F480" s="18"/>
      <c r="G480" s="18" t="s">
        <v>141</v>
      </c>
      <c r="H480" s="31">
        <f t="shared" si="208"/>
        <v>3</v>
      </c>
      <c r="I480" s="31">
        <v>3.1</v>
      </c>
      <c r="J480" s="4">
        <f t="shared" si="204"/>
        <v>0.10000000000000009</v>
      </c>
      <c r="K480" s="32">
        <v>1</v>
      </c>
      <c r="L480" s="31">
        <f t="shared" si="193"/>
        <v>0.10000000000000009</v>
      </c>
      <c r="M480" s="31"/>
      <c r="N480" s="31"/>
      <c r="O480" s="18">
        <f t="shared" si="182"/>
        <v>0.10000000000000009</v>
      </c>
      <c r="P480" s="18">
        <v>5.0000000000000044</v>
      </c>
      <c r="Q480" s="18">
        <v>20</v>
      </c>
      <c r="R480" s="18"/>
      <c r="S480" s="18"/>
      <c r="T480" s="65">
        <f t="shared" si="205"/>
        <v>0</v>
      </c>
      <c r="U480" s="18"/>
      <c r="V480" s="18"/>
      <c r="W480" s="18"/>
      <c r="X480" s="18"/>
      <c r="Y480" s="31">
        <f t="shared" si="188"/>
        <v>0</v>
      </c>
      <c r="Z480" s="18">
        <v>0</v>
      </c>
      <c r="AA480" s="18" t="s">
        <v>96</v>
      </c>
      <c r="AB480" s="18" t="s">
        <v>333</v>
      </c>
      <c r="AC480" s="18" t="s">
        <v>334</v>
      </c>
      <c r="AD480" s="18">
        <v>20</v>
      </c>
      <c r="AE480" s="18">
        <v>5.0000000000000044</v>
      </c>
      <c r="AF480" s="18" t="s">
        <v>27</v>
      </c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 t="e">
        <f>+VLOOKUP(AI480,Leyenda!$B$30:$E$34,3,FALSE)</f>
        <v>#N/A</v>
      </c>
      <c r="AR480" s="18" t="e">
        <f>+VLOOKUP('3. Blasting'!AJ480,Meteorizacion,3,FALSE)</f>
        <v>#N/A</v>
      </c>
      <c r="AS480" s="18" t="e">
        <f>+VLOOKUP('3. Blasting'!AK480,Apertura,3,FALSE)</f>
        <v>#N/A</v>
      </c>
      <c r="AT480" s="18" t="e">
        <f>+VLOOKUP('3. Blasting'!AL480,Leyenda!$B$55:$D$59,3,FALSE)</f>
        <v>#N/A</v>
      </c>
      <c r="AU480" s="18" t="e">
        <f>+VLOOKUP('3. Blasting'!AM480,Relleno,3,FALSE)</f>
        <v>#N/A</v>
      </c>
      <c r="AV480" s="18" t="e">
        <f t="shared" si="206"/>
        <v>#N/A</v>
      </c>
      <c r="AW480" s="49">
        <f t="shared" si="194"/>
        <v>0</v>
      </c>
      <c r="AX480" s="49">
        <f>VLOOKUP(AF480,Leyenda!$B$4:$D$10,3,FALSE)</f>
        <v>4</v>
      </c>
      <c r="AY480" s="50">
        <f t="shared" si="189"/>
        <v>3</v>
      </c>
      <c r="AZ480" s="49" t="e">
        <f t="shared" si="195"/>
        <v>#N/A</v>
      </c>
      <c r="BA480" s="49" t="e">
        <f>VLOOKUP(AN480,Leyenda!$B$70:$D$75,3,FALSE)</f>
        <v>#N/A</v>
      </c>
      <c r="BB480" s="67" t="e">
        <f t="shared" si="196"/>
        <v>#N/A</v>
      </c>
      <c r="BC480" s="67">
        <f>VLOOKUP(AF480,Leyenda!$B$4:$E$10,4,FALSE)</f>
        <v>4</v>
      </c>
      <c r="BD480" s="67">
        <f t="shared" si="197"/>
        <v>5</v>
      </c>
      <c r="BE480" s="67">
        <f t="shared" si="198"/>
        <v>0</v>
      </c>
      <c r="BF480" s="67" t="e">
        <f>+VLOOKUP('3. Blasting'!AK480,Leyenda!$B$47:$E$51,4,FALSE)</f>
        <v>#N/A</v>
      </c>
      <c r="BG480" s="67" t="e">
        <f>+VLOOKUP('3. Blasting'!AL480,Leyenda!$B$55:$E$59,4,FALSE)</f>
        <v>#N/A</v>
      </c>
      <c r="BH480" s="67" t="e">
        <f>+VLOOKUP('3. Blasting'!AM480,Leyenda!$B$63:$E$67,3,FALSE)</f>
        <v>#N/A</v>
      </c>
      <c r="BI480" s="67" t="e">
        <f>+VLOOKUP('3. Blasting'!AJ480,Leyenda!$B$39:$E$43,4,FALSE)</f>
        <v>#N/A</v>
      </c>
      <c r="BJ480" s="67" t="e">
        <f>+VLOOKUP('3. Blasting'!AI480,Leyenda!$B$30:$E$34,4,FALSE)</f>
        <v>#N/A</v>
      </c>
      <c r="BK480" s="67" t="e">
        <f>VLOOKUP(AN480,Leyenda!$B$71:$E$75,4,FALSE)</f>
        <v>#N/A</v>
      </c>
      <c r="BL480" s="67" t="e">
        <f t="shared" si="199"/>
        <v>#N/A</v>
      </c>
      <c r="BM480" s="18" t="e">
        <f t="shared" si="200"/>
        <v>#N/A</v>
      </c>
      <c r="BN480" s="18"/>
      <c r="BO480" s="18"/>
      <c r="BS480">
        <f t="shared" si="190"/>
        <v>-50</v>
      </c>
      <c r="BT480">
        <f t="shared" si="191"/>
        <v>0</v>
      </c>
      <c r="BU480">
        <f t="shared" si="192"/>
        <v>-25</v>
      </c>
      <c r="BV480" s="1">
        <f t="shared" si="186"/>
        <v>-0.1</v>
      </c>
      <c r="BW480" s="1">
        <f t="shared" si="187"/>
        <v>0</v>
      </c>
    </row>
    <row r="481" spans="1:75" hidden="1" x14ac:dyDescent="0.25">
      <c r="A481" s="18" t="s">
        <v>6</v>
      </c>
      <c r="B481" s="18">
        <v>2024</v>
      </c>
      <c r="C481" s="18" t="s">
        <v>140</v>
      </c>
      <c r="D481" s="18" t="s">
        <v>139</v>
      </c>
      <c r="E481" s="18"/>
      <c r="F481" s="18"/>
      <c r="G481" s="18" t="s">
        <v>141</v>
      </c>
      <c r="H481" s="31">
        <f t="shared" si="208"/>
        <v>3.1</v>
      </c>
      <c r="I481" s="31">
        <v>3.5</v>
      </c>
      <c r="J481" s="4">
        <f t="shared" si="204"/>
        <v>0.39999999999999991</v>
      </c>
      <c r="K481" s="32">
        <v>0.25</v>
      </c>
      <c r="L481" s="31">
        <f t="shared" si="193"/>
        <v>9.9999999999999978E-2</v>
      </c>
      <c r="M481" s="31"/>
      <c r="N481" s="31"/>
      <c r="O481" s="18">
        <f t="shared" si="182"/>
        <v>9.9999999999999978E-2</v>
      </c>
      <c r="P481" s="18">
        <v>4.9999999999999982</v>
      </c>
      <c r="Q481" s="18">
        <v>20</v>
      </c>
      <c r="R481" s="18"/>
      <c r="S481" s="18"/>
      <c r="T481" s="65">
        <f t="shared" si="205"/>
        <v>0</v>
      </c>
      <c r="U481" s="18"/>
      <c r="V481" s="18"/>
      <c r="W481" s="18"/>
      <c r="X481" s="18"/>
      <c r="Y481" s="31">
        <f t="shared" si="188"/>
        <v>0</v>
      </c>
      <c r="Z481" s="18">
        <v>0</v>
      </c>
      <c r="AA481" s="18" t="s">
        <v>96</v>
      </c>
      <c r="AB481" s="18" t="s">
        <v>333</v>
      </c>
      <c r="AC481" s="18" t="s">
        <v>334</v>
      </c>
      <c r="AD481" s="18">
        <v>20</v>
      </c>
      <c r="AE481" s="18">
        <v>4.9999999999999982</v>
      </c>
      <c r="AF481" s="18" t="s">
        <v>27</v>
      </c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 t="e">
        <f>+VLOOKUP(AI481,Leyenda!$B$30:$E$34,3,FALSE)</f>
        <v>#N/A</v>
      </c>
      <c r="AR481" s="18" t="e">
        <f>+VLOOKUP('3. Blasting'!AJ481,Meteorizacion,3,FALSE)</f>
        <v>#N/A</v>
      </c>
      <c r="AS481" s="18" t="e">
        <f>+VLOOKUP('3. Blasting'!AK481,Apertura,3,FALSE)</f>
        <v>#N/A</v>
      </c>
      <c r="AT481" s="18" t="e">
        <f>+VLOOKUP('3. Blasting'!AL481,Leyenda!$B$55:$D$59,3,FALSE)</f>
        <v>#N/A</v>
      </c>
      <c r="AU481" s="18" t="e">
        <f>+VLOOKUP('3. Blasting'!AM481,Relleno,3,FALSE)</f>
        <v>#N/A</v>
      </c>
      <c r="AV481" s="18" t="e">
        <f t="shared" si="206"/>
        <v>#N/A</v>
      </c>
      <c r="AW481" s="49">
        <f t="shared" si="194"/>
        <v>0</v>
      </c>
      <c r="AX481" s="49">
        <f>VLOOKUP(AF481,Leyenda!$B$4:$D$10,3,FALSE)</f>
        <v>4</v>
      </c>
      <c r="AY481" s="50">
        <f t="shared" si="189"/>
        <v>3</v>
      </c>
      <c r="AZ481" s="49" t="e">
        <f t="shared" si="195"/>
        <v>#N/A</v>
      </c>
      <c r="BA481" s="49" t="e">
        <f>VLOOKUP(AN481,Leyenda!$B$70:$D$75,3,FALSE)</f>
        <v>#N/A</v>
      </c>
      <c r="BB481" s="67" t="e">
        <f t="shared" si="196"/>
        <v>#N/A</v>
      </c>
      <c r="BC481" s="67">
        <f>VLOOKUP(AF481,Leyenda!$B$4:$E$10,4,FALSE)</f>
        <v>4</v>
      </c>
      <c r="BD481" s="67">
        <f t="shared" si="197"/>
        <v>5</v>
      </c>
      <c r="BE481" s="67">
        <f t="shared" si="198"/>
        <v>0</v>
      </c>
      <c r="BF481" s="67" t="e">
        <f>+VLOOKUP('3. Blasting'!AK481,Leyenda!$B$47:$E$51,4,FALSE)</f>
        <v>#N/A</v>
      </c>
      <c r="BG481" s="67" t="e">
        <f>+VLOOKUP('3. Blasting'!AL481,Leyenda!$B$55:$E$59,4,FALSE)</f>
        <v>#N/A</v>
      </c>
      <c r="BH481" s="67" t="e">
        <f>+VLOOKUP('3. Blasting'!AM481,Leyenda!$B$63:$E$67,3,FALSE)</f>
        <v>#N/A</v>
      </c>
      <c r="BI481" s="67" t="e">
        <f>+VLOOKUP('3. Blasting'!AJ481,Leyenda!$B$39:$E$43,4,FALSE)</f>
        <v>#N/A</v>
      </c>
      <c r="BJ481" s="67" t="e">
        <f>+VLOOKUP('3. Blasting'!AI481,Leyenda!$B$30:$E$34,4,FALSE)</f>
        <v>#N/A</v>
      </c>
      <c r="BK481" s="67" t="e">
        <f>VLOOKUP(AN481,Leyenda!$B$71:$E$75,4,FALSE)</f>
        <v>#N/A</v>
      </c>
      <c r="BL481" s="67" t="e">
        <f t="shared" si="199"/>
        <v>#N/A</v>
      </c>
      <c r="BM481" s="18" t="e">
        <f t="shared" si="200"/>
        <v>#N/A</v>
      </c>
      <c r="BN481" s="18"/>
      <c r="BO481" s="18"/>
      <c r="BS481">
        <f t="shared" si="190"/>
        <v>-50</v>
      </c>
      <c r="BT481">
        <f t="shared" si="191"/>
        <v>0</v>
      </c>
      <c r="BU481">
        <f t="shared" si="192"/>
        <v>-25</v>
      </c>
      <c r="BV481" s="1">
        <f t="shared" si="186"/>
        <v>-0.1</v>
      </c>
      <c r="BW481" s="1">
        <f t="shared" si="187"/>
        <v>0</v>
      </c>
    </row>
    <row r="482" spans="1:75" hidden="1" x14ac:dyDescent="0.25">
      <c r="A482" s="18" t="s">
        <v>6</v>
      </c>
      <c r="B482" s="18">
        <v>2024</v>
      </c>
      <c r="C482" s="18" t="s">
        <v>140</v>
      </c>
      <c r="D482" s="18" t="s">
        <v>139</v>
      </c>
      <c r="E482" s="18"/>
      <c r="F482" s="18"/>
      <c r="G482" s="18" t="s">
        <v>141</v>
      </c>
      <c r="H482" s="31">
        <f t="shared" si="208"/>
        <v>3.5</v>
      </c>
      <c r="I482" s="31">
        <v>3.7</v>
      </c>
      <c r="J482" s="4">
        <f t="shared" si="204"/>
        <v>0.20000000000000018</v>
      </c>
      <c r="K482" s="32">
        <v>1</v>
      </c>
      <c r="L482" s="31">
        <f t="shared" si="193"/>
        <v>0.20000000000000018</v>
      </c>
      <c r="M482" s="31"/>
      <c r="N482" s="31"/>
      <c r="O482" s="18">
        <f t="shared" si="182"/>
        <v>0.20000000000000018</v>
      </c>
      <c r="P482" s="18">
        <v>10.000000000000009</v>
      </c>
      <c r="Q482" s="18">
        <v>20</v>
      </c>
      <c r="R482" s="18"/>
      <c r="S482" s="18"/>
      <c r="T482" s="65">
        <f t="shared" si="205"/>
        <v>0</v>
      </c>
      <c r="U482" s="18"/>
      <c r="V482" s="18"/>
      <c r="W482" s="18"/>
      <c r="X482" s="18"/>
      <c r="Y482" s="31">
        <f t="shared" si="188"/>
        <v>0</v>
      </c>
      <c r="Z482" s="18">
        <v>0</v>
      </c>
      <c r="AA482" s="18" t="s">
        <v>96</v>
      </c>
      <c r="AB482" s="18" t="s">
        <v>333</v>
      </c>
      <c r="AC482" s="18" t="s">
        <v>337</v>
      </c>
      <c r="AD482" s="18">
        <v>20</v>
      </c>
      <c r="AE482" s="18">
        <v>10.000000000000009</v>
      </c>
      <c r="AF482" s="18" t="s">
        <v>29</v>
      </c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 t="e">
        <f>+VLOOKUP(AI482,Leyenda!$B$30:$E$34,3,FALSE)</f>
        <v>#N/A</v>
      </c>
      <c r="AR482" s="18" t="e">
        <f>+VLOOKUP('3. Blasting'!AJ482,Meteorizacion,3,FALSE)</f>
        <v>#N/A</v>
      </c>
      <c r="AS482" s="18" t="e">
        <f>+VLOOKUP('3. Blasting'!AK482,Apertura,3,FALSE)</f>
        <v>#N/A</v>
      </c>
      <c r="AT482" s="18" t="e">
        <f>+VLOOKUP('3. Blasting'!AL482,Leyenda!$B$55:$D$59,3,FALSE)</f>
        <v>#N/A</v>
      </c>
      <c r="AU482" s="18" t="e">
        <f>+VLOOKUP('3. Blasting'!AM482,Relleno,3,FALSE)</f>
        <v>#N/A</v>
      </c>
      <c r="AV482" s="18" t="e">
        <f t="shared" si="206"/>
        <v>#N/A</v>
      </c>
      <c r="AW482" s="49">
        <f t="shared" si="194"/>
        <v>0</v>
      </c>
      <c r="AX482" s="49">
        <f>VLOOKUP(AF482,Leyenda!$B$4:$D$10,3,FALSE)</f>
        <v>2</v>
      </c>
      <c r="AY482" s="50">
        <f t="shared" si="189"/>
        <v>3</v>
      </c>
      <c r="AZ482" s="49" t="e">
        <f t="shared" si="195"/>
        <v>#N/A</v>
      </c>
      <c r="BA482" s="49" t="e">
        <f>VLOOKUP(AN482,Leyenda!$B$70:$D$75,3,FALSE)</f>
        <v>#N/A</v>
      </c>
      <c r="BB482" s="67" t="e">
        <f t="shared" si="196"/>
        <v>#N/A</v>
      </c>
      <c r="BC482" s="67">
        <f>VLOOKUP(AF482,Leyenda!$B$4:$E$10,4,FALSE)</f>
        <v>2</v>
      </c>
      <c r="BD482" s="67">
        <f t="shared" si="197"/>
        <v>5</v>
      </c>
      <c r="BE482" s="67">
        <f t="shared" si="198"/>
        <v>0</v>
      </c>
      <c r="BF482" s="67" t="e">
        <f>+VLOOKUP('3. Blasting'!AK482,Leyenda!$B$47:$E$51,4,FALSE)</f>
        <v>#N/A</v>
      </c>
      <c r="BG482" s="67" t="e">
        <f>+VLOOKUP('3. Blasting'!AL482,Leyenda!$B$55:$E$59,4,FALSE)</f>
        <v>#N/A</v>
      </c>
      <c r="BH482" s="67" t="e">
        <f>+VLOOKUP('3. Blasting'!AM482,Leyenda!$B$63:$E$67,3,FALSE)</f>
        <v>#N/A</v>
      </c>
      <c r="BI482" s="67" t="e">
        <f>+VLOOKUP('3. Blasting'!AJ482,Leyenda!$B$39:$E$43,4,FALSE)</f>
        <v>#N/A</v>
      </c>
      <c r="BJ482" s="67" t="e">
        <f>+VLOOKUP('3. Blasting'!AI482,Leyenda!$B$30:$E$34,4,FALSE)</f>
        <v>#N/A</v>
      </c>
      <c r="BK482" s="67" t="e">
        <f>VLOOKUP(AN482,Leyenda!$B$71:$E$75,4,FALSE)</f>
        <v>#N/A</v>
      </c>
      <c r="BL482" s="67" t="e">
        <f t="shared" si="199"/>
        <v>#N/A</v>
      </c>
      <c r="BM482" s="18" t="e">
        <f t="shared" si="200"/>
        <v>#N/A</v>
      </c>
      <c r="BN482" s="18"/>
      <c r="BO482" s="18"/>
      <c r="BS482">
        <f t="shared" si="190"/>
        <v>-50</v>
      </c>
      <c r="BT482">
        <f t="shared" si="191"/>
        <v>0</v>
      </c>
      <c r="BU482">
        <f t="shared" si="192"/>
        <v>-25</v>
      </c>
      <c r="BV482" s="1">
        <f t="shared" si="186"/>
        <v>-0.1</v>
      </c>
      <c r="BW482" s="1">
        <f t="shared" si="187"/>
        <v>0</v>
      </c>
    </row>
    <row r="483" spans="1:75" hidden="1" x14ac:dyDescent="0.25">
      <c r="A483" s="18" t="s">
        <v>6</v>
      </c>
      <c r="B483" s="18">
        <v>2024</v>
      </c>
      <c r="C483" s="18" t="s">
        <v>140</v>
      </c>
      <c r="D483" s="18" t="s">
        <v>139</v>
      </c>
      <c r="E483" s="18"/>
      <c r="F483" s="18"/>
      <c r="G483" s="18" t="s">
        <v>141</v>
      </c>
      <c r="H483" s="31">
        <f t="shared" si="208"/>
        <v>3.7</v>
      </c>
      <c r="I483" s="31">
        <v>4</v>
      </c>
      <c r="J483" s="4">
        <f t="shared" si="204"/>
        <v>0.29999999999999982</v>
      </c>
      <c r="K483" s="32">
        <v>0.83</v>
      </c>
      <c r="L483" s="31">
        <f t="shared" si="193"/>
        <v>0.24899999999999983</v>
      </c>
      <c r="M483" s="31"/>
      <c r="N483" s="31"/>
      <c r="O483" s="18">
        <f t="shared" si="182"/>
        <v>0.24899999999999983</v>
      </c>
      <c r="P483" s="18">
        <v>12.449999999999992</v>
      </c>
      <c r="Q483" s="18">
        <v>20</v>
      </c>
      <c r="R483" s="18"/>
      <c r="S483" s="18"/>
      <c r="T483" s="65">
        <f t="shared" si="205"/>
        <v>0</v>
      </c>
      <c r="U483" s="18"/>
      <c r="V483" s="18"/>
      <c r="W483" s="18"/>
      <c r="X483" s="18"/>
      <c r="Y483" s="31">
        <f t="shared" si="188"/>
        <v>0</v>
      </c>
      <c r="Z483" s="18">
        <v>0</v>
      </c>
      <c r="AA483" s="18" t="s">
        <v>96</v>
      </c>
      <c r="AB483" s="18" t="s">
        <v>333</v>
      </c>
      <c r="AC483" s="18" t="s">
        <v>334</v>
      </c>
      <c r="AD483" s="18">
        <v>20</v>
      </c>
      <c r="AE483" s="18">
        <v>12.449999999999992</v>
      </c>
      <c r="AF483" s="18" t="s">
        <v>27</v>
      </c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 t="e">
        <f>+VLOOKUP(AI483,Leyenda!$B$30:$E$34,3,FALSE)</f>
        <v>#N/A</v>
      </c>
      <c r="AR483" s="18" t="e">
        <f>+VLOOKUP('3. Blasting'!AJ483,Meteorizacion,3,FALSE)</f>
        <v>#N/A</v>
      </c>
      <c r="AS483" s="18" t="e">
        <f>+VLOOKUP('3. Blasting'!AK483,Apertura,3,FALSE)</f>
        <v>#N/A</v>
      </c>
      <c r="AT483" s="18" t="e">
        <f>+VLOOKUP('3. Blasting'!AL483,Leyenda!$B$55:$D$59,3,FALSE)</f>
        <v>#N/A</v>
      </c>
      <c r="AU483" s="18" t="e">
        <f>+VLOOKUP('3. Blasting'!AM483,Relleno,3,FALSE)</f>
        <v>#N/A</v>
      </c>
      <c r="AV483" s="18" t="e">
        <f t="shared" si="206"/>
        <v>#N/A</v>
      </c>
      <c r="AW483" s="49">
        <f t="shared" si="194"/>
        <v>0</v>
      </c>
      <c r="AX483" s="49">
        <f>VLOOKUP(AF483,Leyenda!$B$4:$D$10,3,FALSE)</f>
        <v>4</v>
      </c>
      <c r="AY483" s="50">
        <f t="shared" si="189"/>
        <v>4</v>
      </c>
      <c r="AZ483" s="49" t="e">
        <f t="shared" si="195"/>
        <v>#N/A</v>
      </c>
      <c r="BA483" s="49" t="e">
        <f>VLOOKUP(AN483,Leyenda!$B$70:$D$75,3,FALSE)</f>
        <v>#N/A</v>
      </c>
      <c r="BB483" s="67" t="e">
        <f t="shared" si="196"/>
        <v>#N/A</v>
      </c>
      <c r="BC483" s="67">
        <f>VLOOKUP(AF483,Leyenda!$B$4:$E$10,4,FALSE)</f>
        <v>4</v>
      </c>
      <c r="BD483" s="67">
        <f t="shared" si="197"/>
        <v>5</v>
      </c>
      <c r="BE483" s="67">
        <f t="shared" si="198"/>
        <v>0</v>
      </c>
      <c r="BF483" s="67" t="e">
        <f>+VLOOKUP('3. Blasting'!AK483,Leyenda!$B$47:$E$51,4,FALSE)</f>
        <v>#N/A</v>
      </c>
      <c r="BG483" s="67" t="e">
        <f>+VLOOKUP('3. Blasting'!AL483,Leyenda!$B$55:$E$59,4,FALSE)</f>
        <v>#N/A</v>
      </c>
      <c r="BH483" s="67" t="e">
        <f>+VLOOKUP('3. Blasting'!AM483,Leyenda!$B$63:$E$67,3,FALSE)</f>
        <v>#N/A</v>
      </c>
      <c r="BI483" s="67" t="e">
        <f>+VLOOKUP('3. Blasting'!AJ483,Leyenda!$B$39:$E$43,4,FALSE)</f>
        <v>#N/A</v>
      </c>
      <c r="BJ483" s="67" t="e">
        <f>+VLOOKUP('3. Blasting'!AI483,Leyenda!$B$30:$E$34,4,FALSE)</f>
        <v>#N/A</v>
      </c>
      <c r="BK483" s="67" t="e">
        <f>VLOOKUP(AN483,Leyenda!$B$71:$E$75,4,FALSE)</f>
        <v>#N/A</v>
      </c>
      <c r="BL483" s="67" t="e">
        <f t="shared" si="199"/>
        <v>#N/A</v>
      </c>
      <c r="BM483" s="18" t="e">
        <f t="shared" si="200"/>
        <v>#N/A</v>
      </c>
      <c r="BN483" s="18"/>
      <c r="BO483" s="18"/>
      <c r="BS483">
        <f t="shared" si="190"/>
        <v>-50</v>
      </c>
      <c r="BT483">
        <f t="shared" si="191"/>
        <v>0</v>
      </c>
      <c r="BU483">
        <f t="shared" si="192"/>
        <v>-25</v>
      </c>
      <c r="BV483" s="1">
        <f t="shared" si="186"/>
        <v>-0.1</v>
      </c>
      <c r="BW483" s="1">
        <f t="shared" si="187"/>
        <v>0</v>
      </c>
    </row>
    <row r="484" spans="1:75" hidden="1" x14ac:dyDescent="0.25">
      <c r="A484" s="18" t="s">
        <v>6</v>
      </c>
      <c r="B484" s="18">
        <v>2024</v>
      </c>
      <c r="C484" s="18" t="s">
        <v>140</v>
      </c>
      <c r="D484" s="18" t="s">
        <v>139</v>
      </c>
      <c r="E484" s="18"/>
      <c r="F484" s="18"/>
      <c r="G484" s="18" t="s">
        <v>142</v>
      </c>
      <c r="H484" s="31">
        <f t="shared" si="208"/>
        <v>4</v>
      </c>
      <c r="I484" s="31">
        <v>4.5</v>
      </c>
      <c r="J484" s="4">
        <f t="shared" si="204"/>
        <v>0.5</v>
      </c>
      <c r="K484" s="32">
        <v>0.64</v>
      </c>
      <c r="L484" s="31">
        <f t="shared" si="193"/>
        <v>0.32</v>
      </c>
      <c r="M484" s="31"/>
      <c r="N484" s="31"/>
      <c r="O484" s="18">
        <f t="shared" si="182"/>
        <v>0.32</v>
      </c>
      <c r="P484" s="18">
        <v>16</v>
      </c>
      <c r="Q484" s="18">
        <v>20</v>
      </c>
      <c r="R484" s="18"/>
      <c r="S484" s="18"/>
      <c r="T484" s="65">
        <f t="shared" si="205"/>
        <v>0</v>
      </c>
      <c r="U484" s="18"/>
      <c r="V484" s="18"/>
      <c r="W484" s="18"/>
      <c r="X484" s="18"/>
      <c r="Y484" s="31">
        <f t="shared" si="188"/>
        <v>0</v>
      </c>
      <c r="Z484" s="18">
        <v>0</v>
      </c>
      <c r="AA484" s="18" t="s">
        <v>96</v>
      </c>
      <c r="AB484" s="18" t="s">
        <v>333</v>
      </c>
      <c r="AC484" s="18" t="s">
        <v>337</v>
      </c>
      <c r="AD484" s="18">
        <v>20</v>
      </c>
      <c r="AE484" s="18">
        <v>16</v>
      </c>
      <c r="AF484" s="18" t="s">
        <v>29</v>
      </c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 t="e">
        <f>+VLOOKUP(AI484,Leyenda!$B$30:$E$34,3,FALSE)</f>
        <v>#N/A</v>
      </c>
      <c r="AR484" s="18" t="e">
        <f>+VLOOKUP('3. Blasting'!AJ484,Meteorizacion,3,FALSE)</f>
        <v>#N/A</v>
      </c>
      <c r="AS484" s="18" t="e">
        <f>+VLOOKUP('3. Blasting'!AK484,Apertura,3,FALSE)</f>
        <v>#N/A</v>
      </c>
      <c r="AT484" s="18" t="e">
        <f>+VLOOKUP('3. Blasting'!AL484,Leyenda!$B$55:$D$59,3,FALSE)</f>
        <v>#N/A</v>
      </c>
      <c r="AU484" s="18" t="e">
        <f>+VLOOKUP('3. Blasting'!AM484,Relleno,3,FALSE)</f>
        <v>#N/A</v>
      </c>
      <c r="AV484" s="18" t="e">
        <f t="shared" si="206"/>
        <v>#N/A</v>
      </c>
      <c r="AW484" s="49">
        <f t="shared" si="194"/>
        <v>0</v>
      </c>
      <c r="AX484" s="49">
        <f>VLOOKUP(AF484,Leyenda!$B$4:$D$10,3,FALSE)</f>
        <v>2</v>
      </c>
      <c r="AY484" s="50">
        <f t="shared" si="189"/>
        <v>4</v>
      </c>
      <c r="AZ484" s="49" t="e">
        <f t="shared" si="195"/>
        <v>#N/A</v>
      </c>
      <c r="BA484" s="49" t="e">
        <f>VLOOKUP(AN484,Leyenda!$B$70:$D$75,3,FALSE)</f>
        <v>#N/A</v>
      </c>
      <c r="BB484" s="67" t="e">
        <f t="shared" si="196"/>
        <v>#N/A</v>
      </c>
      <c r="BC484" s="67">
        <f>VLOOKUP(AF484,Leyenda!$B$4:$E$10,4,FALSE)</f>
        <v>2</v>
      </c>
      <c r="BD484" s="67">
        <f t="shared" si="197"/>
        <v>5</v>
      </c>
      <c r="BE484" s="67">
        <f t="shared" si="198"/>
        <v>0</v>
      </c>
      <c r="BF484" s="67" t="e">
        <f>+VLOOKUP('3. Blasting'!AK484,Leyenda!$B$47:$E$51,4,FALSE)</f>
        <v>#N/A</v>
      </c>
      <c r="BG484" s="67" t="e">
        <f>+VLOOKUP('3. Blasting'!AL484,Leyenda!$B$55:$E$59,4,FALSE)</f>
        <v>#N/A</v>
      </c>
      <c r="BH484" s="67" t="e">
        <f>+VLOOKUP('3. Blasting'!AM484,Leyenda!$B$63:$E$67,3,FALSE)</f>
        <v>#N/A</v>
      </c>
      <c r="BI484" s="67" t="e">
        <f>+VLOOKUP('3. Blasting'!AJ484,Leyenda!$B$39:$E$43,4,FALSE)</f>
        <v>#N/A</v>
      </c>
      <c r="BJ484" s="67" t="e">
        <f>+VLOOKUP('3. Blasting'!AI484,Leyenda!$B$30:$E$34,4,FALSE)</f>
        <v>#N/A</v>
      </c>
      <c r="BK484" s="67" t="e">
        <f>VLOOKUP(AN484,Leyenda!$B$71:$E$75,4,FALSE)</f>
        <v>#N/A</v>
      </c>
      <c r="BL484" s="67" t="e">
        <f t="shared" si="199"/>
        <v>#N/A</v>
      </c>
      <c r="BM484" s="18" t="e">
        <f t="shared" si="200"/>
        <v>#N/A</v>
      </c>
      <c r="BN484" s="18"/>
      <c r="BO484" s="18"/>
      <c r="BS484">
        <f t="shared" si="190"/>
        <v>-50</v>
      </c>
      <c r="BT484">
        <f t="shared" si="191"/>
        <v>0</v>
      </c>
      <c r="BU484">
        <f t="shared" si="192"/>
        <v>-25</v>
      </c>
      <c r="BV484" s="1">
        <f t="shared" si="186"/>
        <v>-0.1</v>
      </c>
      <c r="BW484" s="1">
        <f t="shared" si="187"/>
        <v>0</v>
      </c>
    </row>
    <row r="485" spans="1:75" hidden="1" x14ac:dyDescent="0.25">
      <c r="A485" s="18" t="s">
        <v>6</v>
      </c>
      <c r="B485" s="18">
        <v>2024</v>
      </c>
      <c r="C485" s="18" t="s">
        <v>140</v>
      </c>
      <c r="D485" s="18" t="s">
        <v>139</v>
      </c>
      <c r="E485" s="18"/>
      <c r="F485" s="18"/>
      <c r="G485" s="18" t="s">
        <v>142</v>
      </c>
      <c r="H485" s="31">
        <f t="shared" si="208"/>
        <v>4.5</v>
      </c>
      <c r="I485" s="31">
        <v>5</v>
      </c>
      <c r="J485" s="4">
        <f t="shared" si="204"/>
        <v>0.5</v>
      </c>
      <c r="K485" s="32">
        <v>0.8</v>
      </c>
      <c r="L485" s="31">
        <f t="shared" si="193"/>
        <v>0.4</v>
      </c>
      <c r="M485" s="31"/>
      <c r="N485" s="31"/>
      <c r="O485" s="18">
        <f t="shared" si="182"/>
        <v>0.4</v>
      </c>
      <c r="P485" s="18">
        <v>20</v>
      </c>
      <c r="Q485" s="18">
        <v>20</v>
      </c>
      <c r="R485" s="18"/>
      <c r="S485" s="18"/>
      <c r="T485" s="65">
        <f t="shared" si="205"/>
        <v>0</v>
      </c>
      <c r="U485" s="18"/>
      <c r="V485" s="18"/>
      <c r="W485" s="18"/>
      <c r="X485" s="18"/>
      <c r="Y485" s="31">
        <f t="shared" si="188"/>
        <v>0</v>
      </c>
      <c r="Z485" s="18">
        <v>0</v>
      </c>
      <c r="AA485" s="18" t="s">
        <v>96</v>
      </c>
      <c r="AB485" s="18" t="s">
        <v>333</v>
      </c>
      <c r="AC485" s="18" t="s">
        <v>336</v>
      </c>
      <c r="AD485" s="18">
        <v>20</v>
      </c>
      <c r="AE485" s="18">
        <v>20</v>
      </c>
      <c r="AF485" s="18" t="s">
        <v>32</v>
      </c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 t="e">
        <f>+VLOOKUP(AI485,Leyenda!$B$30:$E$34,3,FALSE)</f>
        <v>#N/A</v>
      </c>
      <c r="AR485" s="18" t="e">
        <f>+VLOOKUP('3. Blasting'!AJ485,Meteorizacion,3,FALSE)</f>
        <v>#N/A</v>
      </c>
      <c r="AS485" s="18" t="e">
        <f>+VLOOKUP('3. Blasting'!AK485,Apertura,3,FALSE)</f>
        <v>#N/A</v>
      </c>
      <c r="AT485" s="18" t="e">
        <f>+VLOOKUP('3. Blasting'!AL485,Leyenda!$B$55:$D$59,3,FALSE)</f>
        <v>#N/A</v>
      </c>
      <c r="AU485" s="18" t="e">
        <f>+VLOOKUP('3. Blasting'!AM485,Relleno,3,FALSE)</f>
        <v>#N/A</v>
      </c>
      <c r="AV485" s="18" t="e">
        <f t="shared" si="206"/>
        <v>#N/A</v>
      </c>
      <c r="AW485" s="49">
        <f t="shared" si="194"/>
        <v>0</v>
      </c>
      <c r="AX485" s="49">
        <f>VLOOKUP(AF485,Leyenda!$B$4:$D$10,3,FALSE)</f>
        <v>1</v>
      </c>
      <c r="AY485" s="50">
        <f t="shared" si="189"/>
        <v>4</v>
      </c>
      <c r="AZ485" s="49" t="e">
        <f t="shared" si="195"/>
        <v>#N/A</v>
      </c>
      <c r="BA485" s="49" t="e">
        <f>VLOOKUP(AN485,Leyenda!$B$70:$D$75,3,FALSE)</f>
        <v>#N/A</v>
      </c>
      <c r="BB485" s="67" t="e">
        <f t="shared" si="196"/>
        <v>#N/A</v>
      </c>
      <c r="BC485" s="67">
        <f>VLOOKUP(AF485,Leyenda!$B$4:$E$10,4,FALSE)</f>
        <v>1</v>
      </c>
      <c r="BD485" s="67">
        <f t="shared" si="197"/>
        <v>5</v>
      </c>
      <c r="BE485" s="67">
        <f t="shared" si="198"/>
        <v>0</v>
      </c>
      <c r="BF485" s="67" t="e">
        <f>+VLOOKUP('3. Blasting'!AK485,Leyenda!$B$47:$E$51,4,FALSE)</f>
        <v>#N/A</v>
      </c>
      <c r="BG485" s="67" t="e">
        <f>+VLOOKUP('3. Blasting'!AL485,Leyenda!$B$55:$E$59,4,FALSE)</f>
        <v>#N/A</v>
      </c>
      <c r="BH485" s="67" t="e">
        <f>+VLOOKUP('3. Blasting'!AM485,Leyenda!$B$63:$E$67,3,FALSE)</f>
        <v>#N/A</v>
      </c>
      <c r="BI485" s="67" t="e">
        <f>+VLOOKUP('3. Blasting'!AJ485,Leyenda!$B$39:$E$43,4,FALSE)</f>
        <v>#N/A</v>
      </c>
      <c r="BJ485" s="67" t="e">
        <f>+VLOOKUP('3. Blasting'!AI485,Leyenda!$B$30:$E$34,4,FALSE)</f>
        <v>#N/A</v>
      </c>
      <c r="BK485" s="67" t="e">
        <f>VLOOKUP(AN485,Leyenda!$B$71:$E$75,4,FALSE)</f>
        <v>#N/A</v>
      </c>
      <c r="BL485" s="67" t="e">
        <f t="shared" si="199"/>
        <v>#N/A</v>
      </c>
      <c r="BM485" s="18" t="e">
        <f t="shared" si="200"/>
        <v>#N/A</v>
      </c>
      <c r="BN485" s="18"/>
      <c r="BO485" s="18"/>
      <c r="BS485">
        <f t="shared" si="190"/>
        <v>-50</v>
      </c>
      <c r="BT485">
        <f t="shared" si="191"/>
        <v>0</v>
      </c>
      <c r="BU485">
        <f t="shared" si="192"/>
        <v>-25</v>
      </c>
      <c r="BV485" s="1">
        <f t="shared" si="186"/>
        <v>-0.1</v>
      </c>
      <c r="BW485" s="1">
        <f t="shared" si="187"/>
        <v>0</v>
      </c>
    </row>
    <row r="486" spans="1:75" hidden="1" x14ac:dyDescent="0.25">
      <c r="A486" s="18" t="s">
        <v>6</v>
      </c>
      <c r="B486" s="18">
        <v>2024</v>
      </c>
      <c r="C486" s="18" t="s">
        <v>140</v>
      </c>
      <c r="D486" s="18" t="s">
        <v>139</v>
      </c>
      <c r="E486" s="18"/>
      <c r="F486" s="18"/>
      <c r="G486" s="18" t="s">
        <v>142</v>
      </c>
      <c r="H486" s="31">
        <f t="shared" si="208"/>
        <v>5</v>
      </c>
      <c r="I486" s="31">
        <v>7</v>
      </c>
      <c r="J486" s="4">
        <f t="shared" si="204"/>
        <v>2</v>
      </c>
      <c r="K486" s="32"/>
      <c r="L486" s="31">
        <f t="shared" si="193"/>
        <v>0</v>
      </c>
      <c r="M486" s="31"/>
      <c r="N486" s="31"/>
      <c r="O486" s="18">
        <f t="shared" si="182"/>
        <v>0</v>
      </c>
      <c r="P486" s="18" t="s">
        <v>348</v>
      </c>
      <c r="Q486" s="18">
        <v>20</v>
      </c>
      <c r="R486" s="18"/>
      <c r="S486" s="18"/>
      <c r="T486" s="65">
        <f t="shared" si="205"/>
        <v>0</v>
      </c>
      <c r="U486" s="18"/>
      <c r="V486" s="18"/>
      <c r="W486" s="18"/>
      <c r="X486" s="18"/>
      <c r="Y486" s="31">
        <f t="shared" si="188"/>
        <v>0</v>
      </c>
      <c r="Z486" s="18">
        <v>0</v>
      </c>
      <c r="AA486" s="18" t="s">
        <v>100</v>
      </c>
      <c r="AB486" s="18" t="s">
        <v>333</v>
      </c>
      <c r="AC486" s="18" t="s">
        <v>335</v>
      </c>
      <c r="AD486" s="18">
        <v>20</v>
      </c>
      <c r="AE486" s="18" t="s">
        <v>348</v>
      </c>
      <c r="AF486" s="18" t="s">
        <v>34</v>
      </c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 t="e">
        <f>+VLOOKUP(AI486,Leyenda!$B$30:$E$34,3,FALSE)</f>
        <v>#N/A</v>
      </c>
      <c r="AR486" s="18" t="e">
        <f>+VLOOKUP('3. Blasting'!AJ486,Meteorizacion,3,FALSE)</f>
        <v>#N/A</v>
      </c>
      <c r="AS486" s="18" t="e">
        <f>+VLOOKUP('3. Blasting'!AK486,Apertura,3,FALSE)</f>
        <v>#N/A</v>
      </c>
      <c r="AT486" s="18" t="e">
        <f>+VLOOKUP('3. Blasting'!AL486,Leyenda!$B$55:$D$59,3,FALSE)</f>
        <v>#N/A</v>
      </c>
      <c r="AU486" s="18" t="e">
        <f>+VLOOKUP('3. Blasting'!AM486,Relleno,3,FALSE)</f>
        <v>#N/A</v>
      </c>
      <c r="AV486" s="18" t="e">
        <f t="shared" si="206"/>
        <v>#N/A</v>
      </c>
      <c r="AW486" s="49">
        <f t="shared" si="194"/>
        <v>0</v>
      </c>
      <c r="AX486" s="49">
        <f>VLOOKUP(AF486,Leyenda!$B$4:$D$10,3,FALSE)</f>
        <v>0</v>
      </c>
      <c r="AY486" s="50" t="e">
        <f t="shared" si="189"/>
        <v>#VALUE!</v>
      </c>
      <c r="AZ486" s="49" t="e">
        <f t="shared" si="195"/>
        <v>#N/A</v>
      </c>
      <c r="BA486" s="49" t="e">
        <f>VLOOKUP(AN486,Leyenda!$B$70:$D$75,3,FALSE)</f>
        <v>#N/A</v>
      </c>
      <c r="BB486" s="67" t="e">
        <f t="shared" si="196"/>
        <v>#N/A</v>
      </c>
      <c r="BC486" s="67">
        <f>VLOOKUP(AF486,Leyenda!$B$4:$E$10,4,FALSE)</f>
        <v>0</v>
      </c>
      <c r="BD486" s="67">
        <f t="shared" si="197"/>
        <v>5</v>
      </c>
      <c r="BE486" s="67">
        <f t="shared" si="198"/>
        <v>0</v>
      </c>
      <c r="BF486" s="67" t="e">
        <f>+VLOOKUP('3. Blasting'!AK486,Leyenda!$B$47:$E$51,4,FALSE)</f>
        <v>#N/A</v>
      </c>
      <c r="BG486" s="67" t="e">
        <f>+VLOOKUP('3. Blasting'!AL486,Leyenda!$B$55:$E$59,4,FALSE)</f>
        <v>#N/A</v>
      </c>
      <c r="BH486" s="67" t="e">
        <f>+VLOOKUP('3. Blasting'!AM486,Leyenda!$B$63:$E$67,3,FALSE)</f>
        <v>#N/A</v>
      </c>
      <c r="BI486" s="67" t="e">
        <f>+VLOOKUP('3. Blasting'!AJ486,Leyenda!$B$39:$E$43,4,FALSE)</f>
        <v>#N/A</v>
      </c>
      <c r="BJ486" s="67" t="e">
        <f>+VLOOKUP('3. Blasting'!AI486,Leyenda!$B$30:$E$34,4,FALSE)</f>
        <v>#N/A</v>
      </c>
      <c r="BK486" s="67" t="e">
        <f>VLOOKUP(AN486,Leyenda!$B$71:$E$75,4,FALSE)</f>
        <v>#N/A</v>
      </c>
      <c r="BL486" s="67" t="e">
        <f t="shared" si="199"/>
        <v>#N/A</v>
      </c>
      <c r="BM486" s="18" t="e">
        <f t="shared" si="200"/>
        <v>#VALUE!</v>
      </c>
      <c r="BN486" s="18"/>
      <c r="BO486" s="18"/>
      <c r="BS486">
        <f t="shared" si="190"/>
        <v>-50</v>
      </c>
      <c r="BT486">
        <f t="shared" si="191"/>
        <v>0</v>
      </c>
      <c r="BU486">
        <f t="shared" si="192"/>
        <v>-25</v>
      </c>
      <c r="BV486" s="1">
        <f t="shared" si="186"/>
        <v>-0.1</v>
      </c>
      <c r="BW486" s="1">
        <f t="shared" si="187"/>
        <v>0</v>
      </c>
    </row>
    <row r="487" spans="1:75" hidden="1" x14ac:dyDescent="0.25">
      <c r="A487" s="18" t="s">
        <v>6</v>
      </c>
      <c r="B487" s="18">
        <v>2024</v>
      </c>
      <c r="C487" s="18" t="s">
        <v>140</v>
      </c>
      <c r="D487" s="18" t="s">
        <v>139</v>
      </c>
      <c r="E487" s="18"/>
      <c r="F487" s="18"/>
      <c r="G487" s="18" t="s">
        <v>144</v>
      </c>
      <c r="H487" s="31">
        <f t="shared" si="208"/>
        <v>7</v>
      </c>
      <c r="I487" s="31">
        <v>7.65</v>
      </c>
      <c r="J487" s="4">
        <f t="shared" si="204"/>
        <v>0.65000000000000036</v>
      </c>
      <c r="K487" s="32"/>
      <c r="L487" s="31">
        <f t="shared" si="193"/>
        <v>0</v>
      </c>
      <c r="M487" s="31"/>
      <c r="N487" s="31"/>
      <c r="O487" s="18">
        <f t="shared" si="182"/>
        <v>0</v>
      </c>
      <c r="P487" s="18" t="s">
        <v>348</v>
      </c>
      <c r="Q487" s="18">
        <v>20</v>
      </c>
      <c r="R487" s="18"/>
      <c r="S487" s="18"/>
      <c r="T487" s="65">
        <f t="shared" si="205"/>
        <v>0</v>
      </c>
      <c r="U487" s="18"/>
      <c r="V487" s="18"/>
      <c r="W487" s="18"/>
      <c r="X487" s="18"/>
      <c r="Y487" s="31">
        <f t="shared" si="188"/>
        <v>0</v>
      </c>
      <c r="Z487" s="18">
        <v>0</v>
      </c>
      <c r="AA487" s="18" t="s">
        <v>100</v>
      </c>
      <c r="AB487" s="18" t="s">
        <v>333</v>
      </c>
      <c r="AC487" s="18" t="s">
        <v>335</v>
      </c>
      <c r="AD487" s="18">
        <v>20</v>
      </c>
      <c r="AE487" s="18" t="s">
        <v>348</v>
      </c>
      <c r="AF487" s="18" t="s">
        <v>34</v>
      </c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 t="e">
        <f>+VLOOKUP(AI487,Leyenda!$B$30:$E$34,3,FALSE)</f>
        <v>#N/A</v>
      </c>
      <c r="AR487" s="18" t="e">
        <f>+VLOOKUP('3. Blasting'!AJ487,Meteorizacion,3,FALSE)</f>
        <v>#N/A</v>
      </c>
      <c r="AS487" s="18" t="e">
        <f>+VLOOKUP('3. Blasting'!AK487,Apertura,3,FALSE)</f>
        <v>#N/A</v>
      </c>
      <c r="AT487" s="18" t="e">
        <f>+VLOOKUP('3. Blasting'!AL487,Leyenda!$B$55:$D$59,3,FALSE)</f>
        <v>#N/A</v>
      </c>
      <c r="AU487" s="18" t="e">
        <f>+VLOOKUP('3. Blasting'!AM487,Relleno,3,FALSE)</f>
        <v>#N/A</v>
      </c>
      <c r="AV487" s="18" t="e">
        <f t="shared" si="206"/>
        <v>#N/A</v>
      </c>
      <c r="AW487" s="49">
        <f t="shared" si="194"/>
        <v>0</v>
      </c>
      <c r="AX487" s="49">
        <f>VLOOKUP(AF487,Leyenda!$B$4:$D$10,3,FALSE)</f>
        <v>0</v>
      </c>
      <c r="AY487" s="50" t="e">
        <f t="shared" si="189"/>
        <v>#VALUE!</v>
      </c>
      <c r="AZ487" s="49" t="e">
        <f t="shared" si="195"/>
        <v>#N/A</v>
      </c>
      <c r="BA487" s="49" t="e">
        <f>VLOOKUP(AN487,Leyenda!$B$70:$D$75,3,FALSE)</f>
        <v>#N/A</v>
      </c>
      <c r="BB487" s="67" t="e">
        <f t="shared" si="196"/>
        <v>#N/A</v>
      </c>
      <c r="BC487" s="67">
        <f>VLOOKUP(AF487,Leyenda!$B$4:$E$10,4,FALSE)</f>
        <v>0</v>
      </c>
      <c r="BD487" s="67">
        <f t="shared" si="197"/>
        <v>5</v>
      </c>
      <c r="BE487" s="67">
        <f t="shared" si="198"/>
        <v>0</v>
      </c>
      <c r="BF487" s="67" t="e">
        <f>+VLOOKUP('3. Blasting'!AK487,Leyenda!$B$47:$E$51,4,FALSE)</f>
        <v>#N/A</v>
      </c>
      <c r="BG487" s="67" t="e">
        <f>+VLOOKUP('3. Blasting'!AL487,Leyenda!$B$55:$E$59,4,FALSE)</f>
        <v>#N/A</v>
      </c>
      <c r="BH487" s="67" t="e">
        <f>+VLOOKUP('3. Blasting'!AM487,Leyenda!$B$63:$E$67,3,FALSE)</f>
        <v>#N/A</v>
      </c>
      <c r="BI487" s="67" t="e">
        <f>+VLOOKUP('3. Blasting'!AJ487,Leyenda!$B$39:$E$43,4,FALSE)</f>
        <v>#N/A</v>
      </c>
      <c r="BJ487" s="67" t="e">
        <f>+VLOOKUP('3. Blasting'!AI487,Leyenda!$B$30:$E$34,4,FALSE)</f>
        <v>#N/A</v>
      </c>
      <c r="BK487" s="67" t="e">
        <f>VLOOKUP(AN487,Leyenda!$B$71:$E$75,4,FALSE)</f>
        <v>#N/A</v>
      </c>
      <c r="BL487" s="67" t="e">
        <f t="shared" si="199"/>
        <v>#N/A</v>
      </c>
      <c r="BM487" s="18" t="e">
        <f t="shared" si="200"/>
        <v>#VALUE!</v>
      </c>
      <c r="BN487" s="18"/>
      <c r="BO487" s="18"/>
      <c r="BS487">
        <f t="shared" si="190"/>
        <v>-50</v>
      </c>
      <c r="BT487">
        <f t="shared" si="191"/>
        <v>0</v>
      </c>
      <c r="BU487">
        <f t="shared" si="192"/>
        <v>-25</v>
      </c>
      <c r="BV487" s="1">
        <f t="shared" si="186"/>
        <v>-0.1</v>
      </c>
      <c r="BW487" s="1">
        <f t="shared" si="187"/>
        <v>0</v>
      </c>
    </row>
    <row r="488" spans="1:75" hidden="1" x14ac:dyDescent="0.25">
      <c r="A488" s="18" t="s">
        <v>6</v>
      </c>
      <c r="B488" s="18">
        <v>2024</v>
      </c>
      <c r="C488" s="18" t="s">
        <v>140</v>
      </c>
      <c r="D488" s="18" t="s">
        <v>139</v>
      </c>
      <c r="E488" s="18"/>
      <c r="F488" s="18"/>
      <c r="G488" s="18" t="s">
        <v>143</v>
      </c>
      <c r="H488" s="31">
        <f t="shared" si="208"/>
        <v>7.65</v>
      </c>
      <c r="I488" s="31">
        <v>10</v>
      </c>
      <c r="J488" s="4">
        <f t="shared" si="204"/>
        <v>2.3499999999999996</v>
      </c>
      <c r="K488" s="32"/>
      <c r="L488" s="31">
        <f t="shared" si="193"/>
        <v>0</v>
      </c>
      <c r="M488" s="31"/>
      <c r="N488" s="31"/>
      <c r="O488" s="18">
        <f t="shared" si="182"/>
        <v>0</v>
      </c>
      <c r="P488" s="18" t="s">
        <v>348</v>
      </c>
      <c r="Q488" s="18">
        <v>20</v>
      </c>
      <c r="R488" s="18"/>
      <c r="S488" s="18"/>
      <c r="T488" s="65">
        <f t="shared" si="205"/>
        <v>0</v>
      </c>
      <c r="U488" s="18"/>
      <c r="V488" s="18"/>
      <c r="W488" s="18"/>
      <c r="X488" s="18"/>
      <c r="Y488" s="31">
        <f t="shared" si="188"/>
        <v>0</v>
      </c>
      <c r="Z488" s="18">
        <v>0</v>
      </c>
      <c r="AA488" s="18" t="s">
        <v>100</v>
      </c>
      <c r="AB488" s="18" t="s">
        <v>333</v>
      </c>
      <c r="AC488" s="18" t="s">
        <v>335</v>
      </c>
      <c r="AD488" s="18">
        <v>20</v>
      </c>
      <c r="AE488" s="18" t="s">
        <v>348</v>
      </c>
      <c r="AF488" s="18" t="s">
        <v>34</v>
      </c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 t="e">
        <f>+VLOOKUP(AI488,Leyenda!$B$30:$E$34,3,FALSE)</f>
        <v>#N/A</v>
      </c>
      <c r="AR488" s="18" t="e">
        <f>+VLOOKUP('3. Blasting'!AJ488,Meteorizacion,3,FALSE)</f>
        <v>#N/A</v>
      </c>
      <c r="AS488" s="18" t="e">
        <f>+VLOOKUP('3. Blasting'!AK488,Apertura,3,FALSE)</f>
        <v>#N/A</v>
      </c>
      <c r="AT488" s="18" t="e">
        <f>+VLOOKUP('3. Blasting'!AL488,Leyenda!$B$55:$D$59,3,FALSE)</f>
        <v>#N/A</v>
      </c>
      <c r="AU488" s="18" t="e">
        <f>+VLOOKUP('3. Blasting'!AM488,Relleno,3,FALSE)</f>
        <v>#N/A</v>
      </c>
      <c r="AV488" s="18" t="e">
        <f t="shared" si="206"/>
        <v>#N/A</v>
      </c>
      <c r="AW488" s="49">
        <f t="shared" si="194"/>
        <v>0</v>
      </c>
      <c r="AX488" s="49">
        <f>VLOOKUP(AF488,Leyenda!$B$4:$D$10,3,FALSE)</f>
        <v>0</v>
      </c>
      <c r="AY488" s="50" t="e">
        <f t="shared" si="189"/>
        <v>#VALUE!</v>
      </c>
      <c r="AZ488" s="49" t="e">
        <f t="shared" si="195"/>
        <v>#N/A</v>
      </c>
      <c r="BA488" s="49" t="e">
        <f>VLOOKUP(AN488,Leyenda!$B$70:$D$75,3,FALSE)</f>
        <v>#N/A</v>
      </c>
      <c r="BB488" s="67" t="e">
        <f t="shared" si="196"/>
        <v>#N/A</v>
      </c>
      <c r="BC488" s="67">
        <f>VLOOKUP(AF488,Leyenda!$B$4:$E$10,4,FALSE)</f>
        <v>0</v>
      </c>
      <c r="BD488" s="67">
        <f t="shared" si="197"/>
        <v>5</v>
      </c>
      <c r="BE488" s="67">
        <f t="shared" si="198"/>
        <v>0</v>
      </c>
      <c r="BF488" s="67" t="e">
        <f>+VLOOKUP('3. Blasting'!AK488,Leyenda!$B$47:$E$51,4,FALSE)</f>
        <v>#N/A</v>
      </c>
      <c r="BG488" s="67" t="e">
        <f>+VLOOKUP('3. Blasting'!AL488,Leyenda!$B$55:$E$59,4,FALSE)</f>
        <v>#N/A</v>
      </c>
      <c r="BH488" s="67" t="e">
        <f>+VLOOKUP('3. Blasting'!AM488,Leyenda!$B$63:$E$67,3,FALSE)</f>
        <v>#N/A</v>
      </c>
      <c r="BI488" s="67" t="e">
        <f>+VLOOKUP('3. Blasting'!AJ488,Leyenda!$B$39:$E$43,4,FALSE)</f>
        <v>#N/A</v>
      </c>
      <c r="BJ488" s="67" t="e">
        <f>+VLOOKUP('3. Blasting'!AI488,Leyenda!$B$30:$E$34,4,FALSE)</f>
        <v>#N/A</v>
      </c>
      <c r="BK488" s="67" t="e">
        <f>VLOOKUP(AN488,Leyenda!$B$71:$E$75,4,FALSE)</f>
        <v>#N/A</v>
      </c>
      <c r="BL488" s="67" t="e">
        <f t="shared" si="199"/>
        <v>#N/A</v>
      </c>
      <c r="BM488" s="18" t="e">
        <f t="shared" si="200"/>
        <v>#VALUE!</v>
      </c>
      <c r="BN488" s="18"/>
      <c r="BO488" s="18"/>
      <c r="BS488">
        <f t="shared" si="190"/>
        <v>-50</v>
      </c>
      <c r="BT488">
        <f t="shared" si="191"/>
        <v>0</v>
      </c>
      <c r="BU488">
        <f t="shared" si="192"/>
        <v>-25</v>
      </c>
      <c r="BV488" s="1">
        <f t="shared" si="186"/>
        <v>-0.1</v>
      </c>
      <c r="BW488" s="1">
        <f t="shared" si="187"/>
        <v>0</v>
      </c>
    </row>
    <row r="489" spans="1:75" hidden="1" x14ac:dyDescent="0.25">
      <c r="A489" s="18" t="s">
        <v>6</v>
      </c>
      <c r="B489" s="18">
        <v>2024</v>
      </c>
      <c r="C489" s="18" t="s">
        <v>140</v>
      </c>
      <c r="D489" s="18" t="s">
        <v>145</v>
      </c>
      <c r="E489" s="18"/>
      <c r="F489" s="18"/>
      <c r="G489" s="18" t="s">
        <v>146</v>
      </c>
      <c r="H489" s="18">
        <v>0</v>
      </c>
      <c r="I489" s="31">
        <v>0.7</v>
      </c>
      <c r="J489" s="4">
        <f t="shared" si="204"/>
        <v>0.7</v>
      </c>
      <c r="K489" s="32"/>
      <c r="L489" s="31">
        <f t="shared" si="193"/>
        <v>0</v>
      </c>
      <c r="M489" s="31"/>
      <c r="N489" s="31"/>
      <c r="O489" s="18">
        <f t="shared" si="182"/>
        <v>0</v>
      </c>
      <c r="P489" s="18" t="s">
        <v>348</v>
      </c>
      <c r="Q489" s="18" t="e">
        <v>#N/A</v>
      </c>
      <c r="R489" s="18"/>
      <c r="S489" s="18"/>
      <c r="T489" s="65">
        <f t="shared" si="205"/>
        <v>0</v>
      </c>
      <c r="U489" s="18"/>
      <c r="V489" s="18"/>
      <c r="W489" s="18"/>
      <c r="X489" s="18"/>
      <c r="Y489" s="31">
        <f t="shared" si="188"/>
        <v>0</v>
      </c>
      <c r="Z489" s="18">
        <v>0</v>
      </c>
      <c r="AA489" s="18"/>
      <c r="AB489" s="18"/>
      <c r="AC489" s="18"/>
      <c r="AD489" s="18" t="e">
        <v>#N/A</v>
      </c>
      <c r="AE489" s="18" t="s">
        <v>348</v>
      </c>
      <c r="AF489" s="18" t="e">
        <v>#N/A</v>
      </c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 t="e">
        <f>+VLOOKUP(AI489,Leyenda!$B$30:$E$34,3,FALSE)</f>
        <v>#N/A</v>
      </c>
      <c r="AR489" s="18" t="e">
        <f>+VLOOKUP('3. Blasting'!AJ489,Meteorizacion,3,FALSE)</f>
        <v>#N/A</v>
      </c>
      <c r="AS489" s="18" t="e">
        <f>+VLOOKUP('3. Blasting'!AK489,Apertura,3,FALSE)</f>
        <v>#N/A</v>
      </c>
      <c r="AT489" s="18" t="e">
        <f>+VLOOKUP('3. Blasting'!AL489,Leyenda!$B$55:$D$59,3,FALSE)</f>
        <v>#N/A</v>
      </c>
      <c r="AU489" s="18" t="e">
        <f>+VLOOKUP('3. Blasting'!AM489,Relleno,3,FALSE)</f>
        <v>#N/A</v>
      </c>
      <c r="AV489" s="18" t="e">
        <f t="shared" si="206"/>
        <v>#N/A</v>
      </c>
      <c r="AW489" s="49">
        <f t="shared" si="194"/>
        <v>0</v>
      </c>
      <c r="AX489" s="49" t="e">
        <f>VLOOKUP(AF489,Leyenda!$B$4:$D$10,3,FALSE)</f>
        <v>#N/A</v>
      </c>
      <c r="AY489" s="50" t="e">
        <f t="shared" si="189"/>
        <v>#VALUE!</v>
      </c>
      <c r="AZ489" s="49" t="e">
        <f t="shared" si="195"/>
        <v>#N/A</v>
      </c>
      <c r="BA489" s="49" t="e">
        <f>VLOOKUP(AN489,Leyenda!$B$70:$D$75,3,FALSE)</f>
        <v>#N/A</v>
      </c>
      <c r="BB489" s="67" t="e">
        <f t="shared" si="196"/>
        <v>#N/A</v>
      </c>
      <c r="BC489" s="67" t="e">
        <f>VLOOKUP(AF489,Leyenda!$B$4:$E$10,4,FALSE)</f>
        <v>#N/A</v>
      </c>
      <c r="BD489" s="67">
        <f t="shared" si="197"/>
        <v>5</v>
      </c>
      <c r="BE489" s="67">
        <f t="shared" si="198"/>
        <v>0</v>
      </c>
      <c r="BF489" s="67" t="e">
        <f>+VLOOKUP('3. Blasting'!AK489,Leyenda!$B$47:$E$51,4,FALSE)</f>
        <v>#N/A</v>
      </c>
      <c r="BG489" s="67" t="e">
        <f>+VLOOKUP('3. Blasting'!AL489,Leyenda!$B$55:$E$59,4,FALSE)</f>
        <v>#N/A</v>
      </c>
      <c r="BH489" s="67" t="e">
        <f>+VLOOKUP('3. Blasting'!AM489,Leyenda!$B$63:$E$67,3,FALSE)</f>
        <v>#N/A</v>
      </c>
      <c r="BI489" s="67" t="e">
        <f>+VLOOKUP('3. Blasting'!AJ489,Leyenda!$B$39:$E$43,4,FALSE)</f>
        <v>#N/A</v>
      </c>
      <c r="BJ489" s="67" t="e">
        <f>+VLOOKUP('3. Blasting'!AI489,Leyenda!$B$30:$E$34,4,FALSE)</f>
        <v>#N/A</v>
      </c>
      <c r="BK489" s="67" t="e">
        <f>VLOOKUP(AN489,Leyenda!$B$71:$E$75,4,FALSE)</f>
        <v>#N/A</v>
      </c>
      <c r="BL489" s="67" t="e">
        <f t="shared" si="199"/>
        <v>#N/A</v>
      </c>
      <c r="BM489" s="18" t="e">
        <f t="shared" si="200"/>
        <v>#N/A</v>
      </c>
      <c r="BN489" s="18"/>
      <c r="BO489" s="18"/>
      <c r="BS489">
        <f t="shared" si="190"/>
        <v>-50</v>
      </c>
      <c r="BT489">
        <f t="shared" si="191"/>
        <v>0</v>
      </c>
      <c r="BU489">
        <f t="shared" si="192"/>
        <v>-25</v>
      </c>
      <c r="BV489" s="1">
        <f t="shared" si="186"/>
        <v>-0.1</v>
      </c>
      <c r="BW489" s="1">
        <f t="shared" si="187"/>
        <v>0</v>
      </c>
    </row>
    <row r="490" spans="1:75" hidden="1" x14ac:dyDescent="0.25">
      <c r="A490" s="18" t="s">
        <v>6</v>
      </c>
      <c r="B490" s="18">
        <v>2024</v>
      </c>
      <c r="C490" s="18" t="s">
        <v>140</v>
      </c>
      <c r="D490" s="18" t="s">
        <v>145</v>
      </c>
      <c r="E490" s="18"/>
      <c r="F490" s="18"/>
      <c r="G490" s="18" t="s">
        <v>147</v>
      </c>
      <c r="H490" s="31">
        <f t="shared" ref="H490:H495" si="209">+I489</f>
        <v>0.7</v>
      </c>
      <c r="I490" s="31">
        <v>1.5</v>
      </c>
      <c r="J490" s="4">
        <f t="shared" si="204"/>
        <v>0.8</v>
      </c>
      <c r="K490" s="32"/>
      <c r="L490" s="31">
        <f t="shared" si="193"/>
        <v>0</v>
      </c>
      <c r="M490" s="31"/>
      <c r="N490" s="31"/>
      <c r="O490" s="18">
        <f t="shared" si="182"/>
        <v>0</v>
      </c>
      <c r="P490" s="18" t="s">
        <v>348</v>
      </c>
      <c r="Q490" s="18" t="e">
        <v>#N/A</v>
      </c>
      <c r="R490" s="18"/>
      <c r="S490" s="18"/>
      <c r="T490" s="65">
        <f t="shared" si="205"/>
        <v>0</v>
      </c>
      <c r="U490" s="18"/>
      <c r="V490" s="18"/>
      <c r="W490" s="18"/>
      <c r="X490" s="18"/>
      <c r="Y490" s="31">
        <f t="shared" si="188"/>
        <v>0</v>
      </c>
      <c r="Z490" s="18">
        <v>0</v>
      </c>
      <c r="AA490" s="18"/>
      <c r="AB490" s="18"/>
      <c r="AC490" s="18"/>
      <c r="AD490" s="18" t="e">
        <v>#N/A</v>
      </c>
      <c r="AE490" s="18" t="s">
        <v>348</v>
      </c>
      <c r="AF490" s="18" t="e">
        <v>#N/A</v>
      </c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 t="e">
        <f>+VLOOKUP(AI490,Leyenda!$B$30:$E$34,3,FALSE)</f>
        <v>#N/A</v>
      </c>
      <c r="AR490" s="18" t="e">
        <f>+VLOOKUP('3. Blasting'!AJ490,Meteorizacion,3,FALSE)</f>
        <v>#N/A</v>
      </c>
      <c r="AS490" s="18" t="e">
        <f>+VLOOKUP('3. Blasting'!AK490,Apertura,3,FALSE)</f>
        <v>#N/A</v>
      </c>
      <c r="AT490" s="18" t="e">
        <f>+VLOOKUP('3. Blasting'!AL490,Leyenda!$B$55:$D$59,3,FALSE)</f>
        <v>#N/A</v>
      </c>
      <c r="AU490" s="18" t="e">
        <f>+VLOOKUP('3. Blasting'!AM490,Relleno,3,FALSE)</f>
        <v>#N/A</v>
      </c>
      <c r="AV490" s="18" t="e">
        <f t="shared" si="206"/>
        <v>#N/A</v>
      </c>
      <c r="AW490" s="49">
        <f t="shared" si="194"/>
        <v>0</v>
      </c>
      <c r="AX490" s="49" t="e">
        <f>VLOOKUP(AF490,Leyenda!$B$4:$D$10,3,FALSE)</f>
        <v>#N/A</v>
      </c>
      <c r="AY490" s="50" t="e">
        <f t="shared" si="189"/>
        <v>#VALUE!</v>
      </c>
      <c r="AZ490" s="49" t="e">
        <f t="shared" si="195"/>
        <v>#N/A</v>
      </c>
      <c r="BA490" s="49" t="e">
        <f>VLOOKUP(AN490,Leyenda!$B$70:$D$75,3,FALSE)</f>
        <v>#N/A</v>
      </c>
      <c r="BB490" s="67" t="e">
        <f t="shared" si="196"/>
        <v>#N/A</v>
      </c>
      <c r="BC490" s="67" t="e">
        <f>VLOOKUP(AF490,Leyenda!$B$4:$E$10,4,FALSE)</f>
        <v>#N/A</v>
      </c>
      <c r="BD490" s="67">
        <f t="shared" si="197"/>
        <v>5</v>
      </c>
      <c r="BE490" s="67">
        <f t="shared" si="198"/>
        <v>0</v>
      </c>
      <c r="BF490" s="67" t="e">
        <f>+VLOOKUP('3. Blasting'!AK490,Leyenda!$B$47:$E$51,4,FALSE)</f>
        <v>#N/A</v>
      </c>
      <c r="BG490" s="67" t="e">
        <f>+VLOOKUP('3. Blasting'!AL490,Leyenda!$B$55:$E$59,4,FALSE)</f>
        <v>#N/A</v>
      </c>
      <c r="BH490" s="67" t="e">
        <f>+VLOOKUP('3. Blasting'!AM490,Leyenda!$B$63:$E$67,3,FALSE)</f>
        <v>#N/A</v>
      </c>
      <c r="BI490" s="67" t="e">
        <f>+VLOOKUP('3. Blasting'!AJ490,Leyenda!$B$39:$E$43,4,FALSE)</f>
        <v>#N/A</v>
      </c>
      <c r="BJ490" s="67" t="e">
        <f>+VLOOKUP('3. Blasting'!AI490,Leyenda!$B$30:$E$34,4,FALSE)</f>
        <v>#N/A</v>
      </c>
      <c r="BK490" s="67" t="e">
        <f>VLOOKUP(AN490,Leyenda!$B$71:$E$75,4,FALSE)</f>
        <v>#N/A</v>
      </c>
      <c r="BL490" s="67" t="e">
        <f t="shared" si="199"/>
        <v>#N/A</v>
      </c>
      <c r="BM490" s="18" t="e">
        <f t="shared" si="200"/>
        <v>#N/A</v>
      </c>
      <c r="BN490" s="18"/>
      <c r="BO490" s="18"/>
      <c r="BS490">
        <f t="shared" si="190"/>
        <v>-50</v>
      </c>
      <c r="BT490">
        <f t="shared" si="191"/>
        <v>0</v>
      </c>
      <c r="BU490">
        <f t="shared" si="192"/>
        <v>-25</v>
      </c>
      <c r="BV490" s="1">
        <f t="shared" si="186"/>
        <v>-0.1</v>
      </c>
      <c r="BW490" s="1">
        <f t="shared" si="187"/>
        <v>0</v>
      </c>
    </row>
    <row r="491" spans="1:75" hidden="1" x14ac:dyDescent="0.25">
      <c r="A491" s="18" t="s">
        <v>6</v>
      </c>
      <c r="B491" s="18">
        <v>2024</v>
      </c>
      <c r="C491" s="18" t="s">
        <v>140</v>
      </c>
      <c r="D491" s="18" t="s">
        <v>145</v>
      </c>
      <c r="E491" s="18"/>
      <c r="F491" s="18"/>
      <c r="G491" s="18" t="s">
        <v>147</v>
      </c>
      <c r="H491" s="31">
        <f t="shared" si="209"/>
        <v>1.5</v>
      </c>
      <c r="I491" s="31">
        <v>2</v>
      </c>
      <c r="J491" s="4">
        <f t="shared" si="204"/>
        <v>0.5</v>
      </c>
      <c r="K491" s="32">
        <v>1</v>
      </c>
      <c r="L491" s="31">
        <f t="shared" si="193"/>
        <v>0.5</v>
      </c>
      <c r="M491" s="31"/>
      <c r="N491" s="31"/>
      <c r="O491" s="18">
        <f t="shared" si="182"/>
        <v>0.5</v>
      </c>
      <c r="P491" s="18" t="e">
        <v>#N/A</v>
      </c>
      <c r="Q491" s="18" t="e">
        <v>#N/A</v>
      </c>
      <c r="R491" s="18"/>
      <c r="S491" s="18"/>
      <c r="T491" s="65">
        <f t="shared" si="205"/>
        <v>0</v>
      </c>
      <c r="U491" s="18"/>
      <c r="V491" s="18"/>
      <c r="W491" s="18"/>
      <c r="X491" s="18"/>
      <c r="Y491" s="31">
        <f t="shared" si="188"/>
        <v>0</v>
      </c>
      <c r="Z491" s="18">
        <v>60</v>
      </c>
      <c r="AA491" s="18" t="s">
        <v>330</v>
      </c>
      <c r="AB491" s="18"/>
      <c r="AC491" s="18" t="s">
        <v>334</v>
      </c>
      <c r="AD491" s="18" t="e">
        <v>#N/A</v>
      </c>
      <c r="AE491" s="18" t="e">
        <v>#N/A</v>
      </c>
      <c r="AF491" s="18" t="s">
        <v>27</v>
      </c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 t="e">
        <f>+VLOOKUP(AI491,Leyenda!$B$30:$E$34,3,FALSE)</f>
        <v>#N/A</v>
      </c>
      <c r="AR491" s="18" t="e">
        <f>+VLOOKUP('3. Blasting'!AJ491,Meteorizacion,3,FALSE)</f>
        <v>#N/A</v>
      </c>
      <c r="AS491" s="18" t="e">
        <f>+VLOOKUP('3. Blasting'!AK491,Apertura,3,FALSE)</f>
        <v>#N/A</v>
      </c>
      <c r="AT491" s="18" t="e">
        <f>+VLOOKUP('3. Blasting'!AL491,Leyenda!$B$55:$D$59,3,FALSE)</f>
        <v>#N/A</v>
      </c>
      <c r="AU491" s="18" t="e">
        <f>+VLOOKUP('3. Blasting'!AM491,Relleno,3,FALSE)</f>
        <v>#N/A</v>
      </c>
      <c r="AV491" s="18" t="e">
        <f t="shared" si="206"/>
        <v>#N/A</v>
      </c>
      <c r="AW491" s="49">
        <f t="shared" si="194"/>
        <v>12</v>
      </c>
      <c r="AX491" s="49">
        <f>VLOOKUP(AF491,Leyenda!$B$4:$D$10,3,FALSE)</f>
        <v>4</v>
      </c>
      <c r="AY491" s="50" t="e">
        <f t="shared" si="189"/>
        <v>#N/A</v>
      </c>
      <c r="AZ491" s="49" t="e">
        <f t="shared" si="195"/>
        <v>#N/A</v>
      </c>
      <c r="BA491" s="49" t="e">
        <f>VLOOKUP(AN491,Leyenda!$B$70:$D$75,3,FALSE)</f>
        <v>#N/A</v>
      </c>
      <c r="BB491" s="67" t="e">
        <f t="shared" si="196"/>
        <v>#N/A</v>
      </c>
      <c r="BC491" s="67">
        <f>VLOOKUP(AF491,Leyenda!$B$4:$E$10,4,FALSE)</f>
        <v>4</v>
      </c>
      <c r="BD491" s="67">
        <f t="shared" si="197"/>
        <v>5</v>
      </c>
      <c r="BE491" s="67">
        <f t="shared" si="198"/>
        <v>0</v>
      </c>
      <c r="BF491" s="67" t="e">
        <f>+VLOOKUP('3. Blasting'!AK491,Leyenda!$B$47:$E$51,4,FALSE)</f>
        <v>#N/A</v>
      </c>
      <c r="BG491" s="67" t="e">
        <f>+VLOOKUP('3. Blasting'!AL491,Leyenda!$B$55:$E$59,4,FALSE)</f>
        <v>#N/A</v>
      </c>
      <c r="BH491" s="67" t="e">
        <f>+VLOOKUP('3. Blasting'!AM491,Leyenda!$B$63:$E$67,3,FALSE)</f>
        <v>#N/A</v>
      </c>
      <c r="BI491" s="67" t="e">
        <f>+VLOOKUP('3. Blasting'!AJ491,Leyenda!$B$39:$E$43,4,FALSE)</f>
        <v>#N/A</v>
      </c>
      <c r="BJ491" s="67" t="e">
        <f>+VLOOKUP('3. Blasting'!AI491,Leyenda!$B$30:$E$34,4,FALSE)</f>
        <v>#N/A</v>
      </c>
      <c r="BK491" s="67" t="e">
        <f>VLOOKUP(AN491,Leyenda!$B$71:$E$75,4,FALSE)</f>
        <v>#N/A</v>
      </c>
      <c r="BL491" s="67" t="e">
        <f t="shared" si="199"/>
        <v>#N/A</v>
      </c>
      <c r="BM491" s="18" t="e">
        <f t="shared" si="200"/>
        <v>#N/A</v>
      </c>
      <c r="BN491" s="18"/>
      <c r="BO491" s="18"/>
      <c r="BS491">
        <f t="shared" si="190"/>
        <v>-50</v>
      </c>
      <c r="BT491">
        <f t="shared" si="191"/>
        <v>0</v>
      </c>
      <c r="BU491">
        <f t="shared" si="192"/>
        <v>-25</v>
      </c>
      <c r="BV491" s="1">
        <f t="shared" si="186"/>
        <v>-0.1</v>
      </c>
      <c r="BW491" s="1">
        <f t="shared" si="187"/>
        <v>0</v>
      </c>
    </row>
    <row r="492" spans="1:75" hidden="1" x14ac:dyDescent="0.25">
      <c r="A492" s="18" t="s">
        <v>6</v>
      </c>
      <c r="B492" s="18">
        <v>2024</v>
      </c>
      <c r="C492" s="18" t="s">
        <v>140</v>
      </c>
      <c r="D492" s="18" t="s">
        <v>145</v>
      </c>
      <c r="E492" s="18"/>
      <c r="F492" s="18"/>
      <c r="G492" s="18" t="s">
        <v>147</v>
      </c>
      <c r="H492" s="31">
        <f t="shared" si="209"/>
        <v>2</v>
      </c>
      <c r="I492" s="31">
        <v>2.5</v>
      </c>
      <c r="J492" s="4">
        <f t="shared" si="204"/>
        <v>0.5</v>
      </c>
      <c r="K492" s="32">
        <v>0.52</v>
      </c>
      <c r="L492" s="31">
        <f t="shared" si="193"/>
        <v>0.26</v>
      </c>
      <c r="M492" s="31"/>
      <c r="N492" s="31"/>
      <c r="O492" s="18">
        <f t="shared" si="182"/>
        <v>0.26</v>
      </c>
      <c r="P492" s="18" t="e">
        <v>#N/A</v>
      </c>
      <c r="Q492" s="18" t="e">
        <v>#N/A</v>
      </c>
      <c r="R492" s="18"/>
      <c r="S492" s="18"/>
      <c r="T492" s="65">
        <f t="shared" si="205"/>
        <v>0</v>
      </c>
      <c r="U492" s="18"/>
      <c r="V492" s="18"/>
      <c r="W492" s="18"/>
      <c r="X492" s="18"/>
      <c r="Y492" s="31">
        <f t="shared" si="188"/>
        <v>0</v>
      </c>
      <c r="Z492" s="18">
        <v>0</v>
      </c>
      <c r="AA492" s="18" t="s">
        <v>330</v>
      </c>
      <c r="AB492" s="18"/>
      <c r="AC492" s="18" t="s">
        <v>334</v>
      </c>
      <c r="AD492" s="18" t="e">
        <v>#N/A</v>
      </c>
      <c r="AE492" s="18" t="e">
        <v>#N/A</v>
      </c>
      <c r="AF492" s="18" t="s">
        <v>27</v>
      </c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 t="e">
        <f>+VLOOKUP(AI492,Leyenda!$B$30:$E$34,3,FALSE)</f>
        <v>#N/A</v>
      </c>
      <c r="AR492" s="18" t="e">
        <f>+VLOOKUP('3. Blasting'!AJ492,Meteorizacion,3,FALSE)</f>
        <v>#N/A</v>
      </c>
      <c r="AS492" s="18" t="e">
        <f>+VLOOKUP('3. Blasting'!AK492,Apertura,3,FALSE)</f>
        <v>#N/A</v>
      </c>
      <c r="AT492" s="18" t="e">
        <f>+VLOOKUP('3. Blasting'!AL492,Leyenda!$B$55:$D$59,3,FALSE)</f>
        <v>#N/A</v>
      </c>
      <c r="AU492" s="18" t="e">
        <f>+VLOOKUP('3. Blasting'!AM492,Relleno,3,FALSE)</f>
        <v>#N/A</v>
      </c>
      <c r="AV492" s="18" t="e">
        <f t="shared" si="206"/>
        <v>#N/A</v>
      </c>
      <c r="AW492" s="49">
        <f t="shared" si="194"/>
        <v>0</v>
      </c>
      <c r="AX492" s="49">
        <f>VLOOKUP(AF492,Leyenda!$B$4:$D$10,3,FALSE)</f>
        <v>4</v>
      </c>
      <c r="AY492" s="50" t="e">
        <f t="shared" si="189"/>
        <v>#N/A</v>
      </c>
      <c r="AZ492" s="49" t="e">
        <f t="shared" si="195"/>
        <v>#N/A</v>
      </c>
      <c r="BA492" s="49" t="e">
        <f>VLOOKUP(AN492,Leyenda!$B$70:$D$75,3,FALSE)</f>
        <v>#N/A</v>
      </c>
      <c r="BB492" s="67" t="e">
        <f t="shared" si="196"/>
        <v>#N/A</v>
      </c>
      <c r="BC492" s="67">
        <f>VLOOKUP(AF492,Leyenda!$B$4:$E$10,4,FALSE)</f>
        <v>4</v>
      </c>
      <c r="BD492" s="67">
        <f t="shared" si="197"/>
        <v>5</v>
      </c>
      <c r="BE492" s="67">
        <f t="shared" si="198"/>
        <v>0</v>
      </c>
      <c r="BF492" s="67" t="e">
        <f>+VLOOKUP('3. Blasting'!AK492,Leyenda!$B$47:$E$51,4,FALSE)</f>
        <v>#N/A</v>
      </c>
      <c r="BG492" s="67" t="e">
        <f>+VLOOKUP('3. Blasting'!AL492,Leyenda!$B$55:$E$59,4,FALSE)</f>
        <v>#N/A</v>
      </c>
      <c r="BH492" s="67" t="e">
        <f>+VLOOKUP('3. Blasting'!AM492,Leyenda!$B$63:$E$67,3,FALSE)</f>
        <v>#N/A</v>
      </c>
      <c r="BI492" s="67" t="e">
        <f>+VLOOKUP('3. Blasting'!AJ492,Leyenda!$B$39:$E$43,4,FALSE)</f>
        <v>#N/A</v>
      </c>
      <c r="BJ492" s="67" t="e">
        <f>+VLOOKUP('3. Blasting'!AI492,Leyenda!$B$30:$E$34,4,FALSE)</f>
        <v>#N/A</v>
      </c>
      <c r="BK492" s="67" t="e">
        <f>VLOOKUP(AN492,Leyenda!$B$71:$E$75,4,FALSE)</f>
        <v>#N/A</v>
      </c>
      <c r="BL492" s="67" t="e">
        <f t="shared" si="199"/>
        <v>#N/A</v>
      </c>
      <c r="BM492" s="18" t="e">
        <f t="shared" si="200"/>
        <v>#N/A</v>
      </c>
      <c r="BN492" s="18"/>
      <c r="BO492" s="18"/>
      <c r="BS492">
        <f t="shared" si="190"/>
        <v>-50</v>
      </c>
      <c r="BT492">
        <f t="shared" si="191"/>
        <v>0</v>
      </c>
      <c r="BU492">
        <f t="shared" si="192"/>
        <v>-25</v>
      </c>
      <c r="BV492" s="1">
        <f t="shared" si="186"/>
        <v>-0.1</v>
      </c>
      <c r="BW492" s="1">
        <f t="shared" si="187"/>
        <v>0</v>
      </c>
    </row>
    <row r="493" spans="1:75" hidden="1" x14ac:dyDescent="0.25">
      <c r="A493" s="18" t="s">
        <v>6</v>
      </c>
      <c r="B493" s="18">
        <v>2024</v>
      </c>
      <c r="C493" s="18" t="s">
        <v>140</v>
      </c>
      <c r="D493" s="18" t="s">
        <v>145</v>
      </c>
      <c r="E493" s="18"/>
      <c r="F493" s="18"/>
      <c r="G493" s="18" t="s">
        <v>147</v>
      </c>
      <c r="H493" s="31">
        <f t="shared" si="209"/>
        <v>2.5</v>
      </c>
      <c r="I493" s="31">
        <v>3</v>
      </c>
      <c r="J493" s="4">
        <f t="shared" si="204"/>
        <v>0.5</v>
      </c>
      <c r="K493" s="32">
        <v>0.66</v>
      </c>
      <c r="L493" s="31">
        <f t="shared" si="193"/>
        <v>0.33</v>
      </c>
      <c r="M493" s="31"/>
      <c r="N493" s="31"/>
      <c r="O493" s="18">
        <f t="shared" si="182"/>
        <v>0.33</v>
      </c>
      <c r="P493" s="18" t="e">
        <v>#N/A</v>
      </c>
      <c r="Q493" s="18" t="e">
        <v>#N/A</v>
      </c>
      <c r="R493" s="18"/>
      <c r="S493" s="18"/>
      <c r="T493" s="65">
        <f t="shared" si="205"/>
        <v>0</v>
      </c>
      <c r="U493" s="18"/>
      <c r="V493" s="18"/>
      <c r="W493" s="18"/>
      <c r="X493" s="18"/>
      <c r="Y493" s="31">
        <f t="shared" si="188"/>
        <v>0</v>
      </c>
      <c r="Z493" s="18">
        <v>0</v>
      </c>
      <c r="AA493" s="18" t="s">
        <v>330</v>
      </c>
      <c r="AB493" s="18"/>
      <c r="AC493" s="18" t="s">
        <v>334</v>
      </c>
      <c r="AD493" s="18" t="e">
        <v>#N/A</v>
      </c>
      <c r="AE493" s="18" t="e">
        <v>#N/A</v>
      </c>
      <c r="AF493" s="18" t="s">
        <v>27</v>
      </c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 t="e">
        <f>+VLOOKUP(AI493,Leyenda!$B$30:$E$34,3,FALSE)</f>
        <v>#N/A</v>
      </c>
      <c r="AR493" s="18" t="e">
        <f>+VLOOKUP('3. Blasting'!AJ493,Meteorizacion,3,FALSE)</f>
        <v>#N/A</v>
      </c>
      <c r="AS493" s="18" t="e">
        <f>+VLOOKUP('3. Blasting'!AK493,Apertura,3,FALSE)</f>
        <v>#N/A</v>
      </c>
      <c r="AT493" s="18" t="e">
        <f>+VLOOKUP('3. Blasting'!AL493,Leyenda!$B$55:$D$59,3,FALSE)</f>
        <v>#N/A</v>
      </c>
      <c r="AU493" s="18" t="e">
        <f>+VLOOKUP('3. Blasting'!AM493,Relleno,3,FALSE)</f>
        <v>#N/A</v>
      </c>
      <c r="AV493" s="18" t="e">
        <f t="shared" si="206"/>
        <v>#N/A</v>
      </c>
      <c r="AW493" s="49">
        <f t="shared" si="194"/>
        <v>0</v>
      </c>
      <c r="AX493" s="49">
        <f>VLOOKUP(AF493,Leyenda!$B$4:$D$10,3,FALSE)</f>
        <v>4</v>
      </c>
      <c r="AY493" s="50" t="e">
        <f t="shared" si="189"/>
        <v>#N/A</v>
      </c>
      <c r="AZ493" s="49" t="e">
        <f t="shared" si="195"/>
        <v>#N/A</v>
      </c>
      <c r="BA493" s="49" t="e">
        <f>VLOOKUP(AN493,Leyenda!$B$70:$D$75,3,FALSE)</f>
        <v>#N/A</v>
      </c>
      <c r="BB493" s="67" t="e">
        <f t="shared" si="196"/>
        <v>#N/A</v>
      </c>
      <c r="BC493" s="67">
        <f>VLOOKUP(AF493,Leyenda!$B$4:$E$10,4,FALSE)</f>
        <v>4</v>
      </c>
      <c r="BD493" s="67">
        <f t="shared" si="197"/>
        <v>5</v>
      </c>
      <c r="BE493" s="67">
        <f t="shared" si="198"/>
        <v>0</v>
      </c>
      <c r="BF493" s="67" t="e">
        <f>+VLOOKUP('3. Blasting'!AK493,Leyenda!$B$47:$E$51,4,FALSE)</f>
        <v>#N/A</v>
      </c>
      <c r="BG493" s="67" t="e">
        <f>+VLOOKUP('3. Blasting'!AL493,Leyenda!$B$55:$E$59,4,FALSE)</f>
        <v>#N/A</v>
      </c>
      <c r="BH493" s="67" t="e">
        <f>+VLOOKUP('3. Blasting'!AM493,Leyenda!$B$63:$E$67,3,FALSE)</f>
        <v>#N/A</v>
      </c>
      <c r="BI493" s="67" t="e">
        <f>+VLOOKUP('3. Blasting'!AJ493,Leyenda!$B$39:$E$43,4,FALSE)</f>
        <v>#N/A</v>
      </c>
      <c r="BJ493" s="67" t="e">
        <f>+VLOOKUP('3. Blasting'!AI493,Leyenda!$B$30:$E$34,4,FALSE)</f>
        <v>#N/A</v>
      </c>
      <c r="BK493" s="67" t="e">
        <f>VLOOKUP(AN493,Leyenda!$B$71:$E$75,4,FALSE)</f>
        <v>#N/A</v>
      </c>
      <c r="BL493" s="67" t="e">
        <f t="shared" si="199"/>
        <v>#N/A</v>
      </c>
      <c r="BM493" s="18" t="e">
        <f t="shared" si="200"/>
        <v>#N/A</v>
      </c>
      <c r="BN493" s="18"/>
      <c r="BO493" s="18"/>
      <c r="BS493">
        <f t="shared" si="190"/>
        <v>-50</v>
      </c>
      <c r="BT493">
        <f t="shared" si="191"/>
        <v>0</v>
      </c>
      <c r="BU493">
        <f t="shared" si="192"/>
        <v>-25</v>
      </c>
      <c r="BV493" s="1">
        <f t="shared" si="186"/>
        <v>-0.1</v>
      </c>
      <c r="BW493" s="1">
        <f t="shared" si="187"/>
        <v>0</v>
      </c>
    </row>
    <row r="494" spans="1:75" hidden="1" x14ac:dyDescent="0.25">
      <c r="A494" s="18" t="s">
        <v>6</v>
      </c>
      <c r="B494" s="18">
        <v>2024</v>
      </c>
      <c r="C494" s="18" t="s">
        <v>140</v>
      </c>
      <c r="D494" s="18" t="s">
        <v>145</v>
      </c>
      <c r="E494" s="18"/>
      <c r="F494" s="18"/>
      <c r="G494" s="18" t="s">
        <v>147</v>
      </c>
      <c r="H494" s="31">
        <f t="shared" si="209"/>
        <v>3</v>
      </c>
      <c r="I494" s="31">
        <v>3.5</v>
      </c>
      <c r="J494" s="4">
        <f t="shared" si="204"/>
        <v>0.5</v>
      </c>
      <c r="K494" s="32">
        <v>0.57999999999999996</v>
      </c>
      <c r="L494" s="31">
        <f t="shared" si="193"/>
        <v>0.28999999999999998</v>
      </c>
      <c r="M494" s="31"/>
      <c r="N494" s="31"/>
      <c r="O494" s="18">
        <f t="shared" si="182"/>
        <v>0.28999999999999998</v>
      </c>
      <c r="P494" s="18" t="e">
        <v>#N/A</v>
      </c>
      <c r="Q494" s="18" t="e">
        <v>#N/A</v>
      </c>
      <c r="R494" s="18"/>
      <c r="S494" s="18"/>
      <c r="T494" s="65">
        <f t="shared" si="205"/>
        <v>0</v>
      </c>
      <c r="U494" s="18"/>
      <c r="V494" s="18"/>
      <c r="W494" s="18"/>
      <c r="X494" s="18"/>
      <c r="Y494" s="31">
        <f t="shared" si="188"/>
        <v>0</v>
      </c>
      <c r="Z494" s="18">
        <v>0</v>
      </c>
      <c r="AA494" s="18" t="s">
        <v>330</v>
      </c>
      <c r="AB494" s="18"/>
      <c r="AC494" s="18" t="s">
        <v>334</v>
      </c>
      <c r="AD494" s="18" t="e">
        <v>#N/A</v>
      </c>
      <c r="AE494" s="18" t="e">
        <v>#N/A</v>
      </c>
      <c r="AF494" s="18" t="s">
        <v>27</v>
      </c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 t="e">
        <f>+VLOOKUP(AI494,Leyenda!$B$30:$E$34,3,FALSE)</f>
        <v>#N/A</v>
      </c>
      <c r="AR494" s="18" t="e">
        <f>+VLOOKUP('3. Blasting'!AJ494,Meteorizacion,3,FALSE)</f>
        <v>#N/A</v>
      </c>
      <c r="AS494" s="18" t="e">
        <f>+VLOOKUP('3. Blasting'!AK494,Apertura,3,FALSE)</f>
        <v>#N/A</v>
      </c>
      <c r="AT494" s="18" t="e">
        <f>+VLOOKUP('3. Blasting'!AL494,Leyenda!$B$55:$D$59,3,FALSE)</f>
        <v>#N/A</v>
      </c>
      <c r="AU494" s="18" t="e">
        <f>+VLOOKUP('3. Blasting'!AM494,Relleno,3,FALSE)</f>
        <v>#N/A</v>
      </c>
      <c r="AV494" s="18" t="e">
        <f t="shared" si="206"/>
        <v>#N/A</v>
      </c>
      <c r="AW494" s="49">
        <f t="shared" si="194"/>
        <v>0</v>
      </c>
      <c r="AX494" s="49">
        <f>VLOOKUP(AF494,Leyenda!$B$4:$D$10,3,FALSE)</f>
        <v>4</v>
      </c>
      <c r="AY494" s="50" t="e">
        <f t="shared" si="189"/>
        <v>#N/A</v>
      </c>
      <c r="AZ494" s="49" t="e">
        <f t="shared" si="195"/>
        <v>#N/A</v>
      </c>
      <c r="BA494" s="49" t="e">
        <f>VLOOKUP(AN494,Leyenda!$B$70:$D$75,3,FALSE)</f>
        <v>#N/A</v>
      </c>
      <c r="BB494" s="67" t="e">
        <f t="shared" si="196"/>
        <v>#N/A</v>
      </c>
      <c r="BC494" s="67">
        <f>VLOOKUP(AF494,Leyenda!$B$4:$E$10,4,FALSE)</f>
        <v>4</v>
      </c>
      <c r="BD494" s="67">
        <f t="shared" si="197"/>
        <v>5</v>
      </c>
      <c r="BE494" s="67">
        <f t="shared" si="198"/>
        <v>0</v>
      </c>
      <c r="BF494" s="67" t="e">
        <f>+VLOOKUP('3. Blasting'!AK494,Leyenda!$B$47:$E$51,4,FALSE)</f>
        <v>#N/A</v>
      </c>
      <c r="BG494" s="67" t="e">
        <f>+VLOOKUP('3. Blasting'!AL494,Leyenda!$B$55:$E$59,4,FALSE)</f>
        <v>#N/A</v>
      </c>
      <c r="BH494" s="67" t="e">
        <f>+VLOOKUP('3. Blasting'!AM494,Leyenda!$B$63:$E$67,3,FALSE)</f>
        <v>#N/A</v>
      </c>
      <c r="BI494" s="67" t="e">
        <f>+VLOOKUP('3. Blasting'!AJ494,Leyenda!$B$39:$E$43,4,FALSE)</f>
        <v>#N/A</v>
      </c>
      <c r="BJ494" s="67" t="e">
        <f>+VLOOKUP('3. Blasting'!AI494,Leyenda!$B$30:$E$34,4,FALSE)</f>
        <v>#N/A</v>
      </c>
      <c r="BK494" s="67" t="e">
        <f>VLOOKUP(AN494,Leyenda!$B$71:$E$75,4,FALSE)</f>
        <v>#N/A</v>
      </c>
      <c r="BL494" s="67" t="e">
        <f t="shared" si="199"/>
        <v>#N/A</v>
      </c>
      <c r="BM494" s="18" t="e">
        <f t="shared" si="200"/>
        <v>#N/A</v>
      </c>
      <c r="BN494" s="18"/>
      <c r="BO494" s="18"/>
      <c r="BS494">
        <f t="shared" si="190"/>
        <v>-50</v>
      </c>
      <c r="BT494">
        <f t="shared" si="191"/>
        <v>0</v>
      </c>
      <c r="BU494">
        <f t="shared" si="192"/>
        <v>-25</v>
      </c>
      <c r="BV494" s="1">
        <f t="shared" si="186"/>
        <v>-0.1</v>
      </c>
      <c r="BW494" s="1">
        <f t="shared" si="187"/>
        <v>0</v>
      </c>
    </row>
    <row r="495" spans="1:75" hidden="1" x14ac:dyDescent="0.25">
      <c r="A495" s="18" t="s">
        <v>6</v>
      </c>
      <c r="B495" s="18">
        <v>2024</v>
      </c>
      <c r="C495" s="18" t="s">
        <v>140</v>
      </c>
      <c r="D495" s="18" t="s">
        <v>145</v>
      </c>
      <c r="E495" s="18"/>
      <c r="F495" s="18"/>
      <c r="G495" s="18" t="s">
        <v>148</v>
      </c>
      <c r="H495" s="31">
        <f t="shared" si="209"/>
        <v>3.5</v>
      </c>
      <c r="I495" s="31">
        <v>5.5</v>
      </c>
      <c r="J495" s="4">
        <f t="shared" si="204"/>
        <v>2</v>
      </c>
      <c r="K495" s="32">
        <v>1</v>
      </c>
      <c r="L495" s="31">
        <f t="shared" si="193"/>
        <v>2</v>
      </c>
      <c r="M495" s="31"/>
      <c r="N495" s="31"/>
      <c r="O495" s="18">
        <f t="shared" si="182"/>
        <v>2</v>
      </c>
      <c r="P495" s="18" t="e">
        <v>#N/A</v>
      </c>
      <c r="Q495" s="18" t="e">
        <v>#N/A</v>
      </c>
      <c r="R495" s="18"/>
      <c r="S495" s="18"/>
      <c r="T495" s="65">
        <f t="shared" si="205"/>
        <v>0</v>
      </c>
      <c r="U495" s="18"/>
      <c r="V495" s="18"/>
      <c r="W495" s="18"/>
      <c r="X495" s="18"/>
      <c r="Y495" s="31">
        <f t="shared" si="188"/>
        <v>0</v>
      </c>
      <c r="Z495" s="18">
        <v>0</v>
      </c>
      <c r="AA495" s="18"/>
      <c r="AB495" s="18"/>
      <c r="AC495" s="18"/>
      <c r="AD495" s="18" t="e">
        <v>#N/A</v>
      </c>
      <c r="AE495" s="18" t="e">
        <v>#N/A</v>
      </c>
      <c r="AF495" s="18" t="e">
        <v>#N/A</v>
      </c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 t="e">
        <f>+VLOOKUP(AI495,Leyenda!$B$30:$E$34,3,FALSE)</f>
        <v>#N/A</v>
      </c>
      <c r="AR495" s="18" t="e">
        <f>+VLOOKUP('3. Blasting'!AJ495,Meteorizacion,3,FALSE)</f>
        <v>#N/A</v>
      </c>
      <c r="AS495" s="18" t="e">
        <f>+VLOOKUP('3. Blasting'!AK495,Apertura,3,FALSE)</f>
        <v>#N/A</v>
      </c>
      <c r="AT495" s="18" t="e">
        <f>+VLOOKUP('3. Blasting'!AL495,Leyenda!$B$55:$D$59,3,FALSE)</f>
        <v>#N/A</v>
      </c>
      <c r="AU495" s="18" t="e">
        <f>+VLOOKUP('3. Blasting'!AM495,Relleno,3,FALSE)</f>
        <v>#N/A</v>
      </c>
      <c r="AV495" s="18" t="e">
        <f t="shared" si="206"/>
        <v>#N/A</v>
      </c>
      <c r="AW495" s="49">
        <f t="shared" si="194"/>
        <v>0</v>
      </c>
      <c r="AX495" s="49" t="e">
        <f>VLOOKUP(AF495,Leyenda!$B$4:$D$10,3,FALSE)</f>
        <v>#N/A</v>
      </c>
      <c r="AY495" s="50" t="e">
        <f t="shared" si="189"/>
        <v>#N/A</v>
      </c>
      <c r="AZ495" s="49" t="e">
        <f t="shared" si="195"/>
        <v>#N/A</v>
      </c>
      <c r="BA495" s="49" t="e">
        <f>VLOOKUP(AN495,Leyenda!$B$70:$D$75,3,FALSE)</f>
        <v>#N/A</v>
      </c>
      <c r="BB495" s="67" t="e">
        <f t="shared" si="196"/>
        <v>#N/A</v>
      </c>
      <c r="BC495" s="67" t="e">
        <f>VLOOKUP(AF495,Leyenda!$B$4:$E$10,4,FALSE)</f>
        <v>#N/A</v>
      </c>
      <c r="BD495" s="67">
        <f t="shared" si="197"/>
        <v>5</v>
      </c>
      <c r="BE495" s="67">
        <f t="shared" si="198"/>
        <v>0</v>
      </c>
      <c r="BF495" s="67" t="e">
        <f>+VLOOKUP('3. Blasting'!AK495,Leyenda!$B$47:$E$51,4,FALSE)</f>
        <v>#N/A</v>
      </c>
      <c r="BG495" s="67" t="e">
        <f>+VLOOKUP('3. Blasting'!AL495,Leyenda!$B$55:$E$59,4,FALSE)</f>
        <v>#N/A</v>
      </c>
      <c r="BH495" s="67" t="e">
        <f>+VLOOKUP('3. Blasting'!AM495,Leyenda!$B$63:$E$67,3,FALSE)</f>
        <v>#N/A</v>
      </c>
      <c r="BI495" s="67" t="e">
        <f>+VLOOKUP('3. Blasting'!AJ495,Leyenda!$B$39:$E$43,4,FALSE)</f>
        <v>#N/A</v>
      </c>
      <c r="BJ495" s="67" t="e">
        <f>+VLOOKUP('3. Blasting'!AI495,Leyenda!$B$30:$E$34,4,FALSE)</f>
        <v>#N/A</v>
      </c>
      <c r="BK495" s="67" t="e">
        <f>VLOOKUP(AN495,Leyenda!$B$71:$E$75,4,FALSE)</f>
        <v>#N/A</v>
      </c>
      <c r="BL495" s="67" t="e">
        <f t="shared" si="199"/>
        <v>#N/A</v>
      </c>
      <c r="BM495" s="18" t="e">
        <f t="shared" si="200"/>
        <v>#N/A</v>
      </c>
      <c r="BN495" s="18"/>
      <c r="BO495" s="18"/>
      <c r="BS495">
        <f t="shared" si="190"/>
        <v>-50</v>
      </c>
      <c r="BT495">
        <f t="shared" si="191"/>
        <v>0</v>
      </c>
      <c r="BU495">
        <f t="shared" si="192"/>
        <v>-25</v>
      </c>
      <c r="BV495" s="1">
        <f t="shared" si="186"/>
        <v>-0.1</v>
      </c>
      <c r="BW495" s="1">
        <f t="shared" si="187"/>
        <v>0</v>
      </c>
    </row>
    <row r="496" spans="1:75" hidden="1" x14ac:dyDescent="0.25">
      <c r="A496" s="18" t="s">
        <v>6</v>
      </c>
      <c r="B496" s="18">
        <v>2024</v>
      </c>
      <c r="C496" s="18" t="s">
        <v>140</v>
      </c>
      <c r="D496" s="18" t="s">
        <v>149</v>
      </c>
      <c r="E496" s="18"/>
      <c r="F496" s="18"/>
      <c r="G496" s="18" t="s">
        <v>146</v>
      </c>
      <c r="H496" s="18">
        <v>0</v>
      </c>
      <c r="I496" s="31">
        <v>2.5</v>
      </c>
      <c r="J496" s="4">
        <f t="shared" si="204"/>
        <v>2.5</v>
      </c>
      <c r="K496" s="32"/>
      <c r="L496" s="31">
        <f t="shared" si="193"/>
        <v>0</v>
      </c>
      <c r="M496" s="31"/>
      <c r="N496" s="31"/>
      <c r="O496" s="18">
        <f t="shared" si="182"/>
        <v>0</v>
      </c>
      <c r="P496" s="18" t="s">
        <v>348</v>
      </c>
      <c r="Q496" s="18" t="e">
        <v>#N/A</v>
      </c>
      <c r="R496" s="18"/>
      <c r="S496" s="18"/>
      <c r="T496" s="65">
        <f t="shared" si="205"/>
        <v>0</v>
      </c>
      <c r="U496" s="18"/>
      <c r="V496" s="18"/>
      <c r="W496" s="18"/>
      <c r="X496" s="18"/>
      <c r="Y496" s="31">
        <f t="shared" si="188"/>
        <v>0</v>
      </c>
      <c r="Z496" s="18"/>
      <c r="AA496" s="18"/>
      <c r="AB496" s="18"/>
      <c r="AC496" s="18"/>
      <c r="AD496" s="18" t="e">
        <v>#N/A</v>
      </c>
      <c r="AE496" s="18" t="s">
        <v>348</v>
      </c>
      <c r="AF496" s="18" t="e">
        <v>#N/A</v>
      </c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 t="e">
        <f>+VLOOKUP(AI496,Leyenda!$B$30:$E$34,3,FALSE)</f>
        <v>#N/A</v>
      </c>
      <c r="AR496" s="18" t="e">
        <f>+VLOOKUP('3. Blasting'!AJ496,Meteorizacion,3,FALSE)</f>
        <v>#N/A</v>
      </c>
      <c r="AS496" s="18" t="e">
        <f>+VLOOKUP('3. Blasting'!AK496,Apertura,3,FALSE)</f>
        <v>#N/A</v>
      </c>
      <c r="AT496" s="18" t="e">
        <f>+VLOOKUP('3. Blasting'!AL496,Leyenda!$B$55:$D$59,3,FALSE)</f>
        <v>#N/A</v>
      </c>
      <c r="AU496" s="18" t="e">
        <f>+VLOOKUP('3. Blasting'!AM496,Relleno,3,FALSE)</f>
        <v>#N/A</v>
      </c>
      <c r="AV496" s="18" t="e">
        <f t="shared" si="206"/>
        <v>#N/A</v>
      </c>
      <c r="AW496" s="49">
        <f t="shared" si="194"/>
        <v>0</v>
      </c>
      <c r="AX496" s="49" t="e">
        <f>VLOOKUP(AF496,Leyenda!$B$4:$D$10,3,FALSE)</f>
        <v>#N/A</v>
      </c>
      <c r="AY496" s="50" t="e">
        <f t="shared" si="189"/>
        <v>#VALUE!</v>
      </c>
      <c r="AZ496" s="49" t="e">
        <f t="shared" si="195"/>
        <v>#N/A</v>
      </c>
      <c r="BA496" s="49" t="e">
        <f>VLOOKUP(AN496,Leyenda!$B$70:$D$75,3,FALSE)</f>
        <v>#N/A</v>
      </c>
      <c r="BB496" s="67" t="e">
        <f t="shared" si="196"/>
        <v>#N/A</v>
      </c>
      <c r="BC496" s="67" t="e">
        <f>VLOOKUP(AF496,Leyenda!$B$4:$E$10,4,FALSE)</f>
        <v>#N/A</v>
      </c>
      <c r="BD496" s="67">
        <f t="shared" si="197"/>
        <v>5</v>
      </c>
      <c r="BE496" s="67">
        <f t="shared" si="198"/>
        <v>0</v>
      </c>
      <c r="BF496" s="67" t="e">
        <f>+VLOOKUP('3. Blasting'!AK496,Leyenda!$B$47:$E$51,4,FALSE)</f>
        <v>#N/A</v>
      </c>
      <c r="BG496" s="67" t="e">
        <f>+VLOOKUP('3. Blasting'!AL496,Leyenda!$B$55:$E$59,4,FALSE)</f>
        <v>#N/A</v>
      </c>
      <c r="BH496" s="67" t="e">
        <f>+VLOOKUP('3. Blasting'!AM496,Leyenda!$B$63:$E$67,3,FALSE)</f>
        <v>#N/A</v>
      </c>
      <c r="BI496" s="67" t="e">
        <f>+VLOOKUP('3. Blasting'!AJ496,Leyenda!$B$39:$E$43,4,FALSE)</f>
        <v>#N/A</v>
      </c>
      <c r="BJ496" s="67" t="e">
        <f>+VLOOKUP('3. Blasting'!AI496,Leyenda!$B$30:$E$34,4,FALSE)</f>
        <v>#N/A</v>
      </c>
      <c r="BK496" s="67" t="e">
        <f>VLOOKUP(AN496,Leyenda!$B$71:$E$75,4,FALSE)</f>
        <v>#N/A</v>
      </c>
      <c r="BL496" s="67" t="e">
        <f t="shared" si="199"/>
        <v>#N/A</v>
      </c>
      <c r="BM496" s="18" t="e">
        <f t="shared" si="200"/>
        <v>#N/A</v>
      </c>
      <c r="BN496" s="18"/>
      <c r="BO496" s="18"/>
      <c r="BS496">
        <f t="shared" si="190"/>
        <v>-50</v>
      </c>
      <c r="BT496">
        <f t="shared" si="191"/>
        <v>0</v>
      </c>
      <c r="BU496">
        <f t="shared" si="192"/>
        <v>-25</v>
      </c>
      <c r="BV496" s="1">
        <f t="shared" si="186"/>
        <v>-0.1</v>
      </c>
      <c r="BW496" s="1">
        <f t="shared" si="187"/>
        <v>0</v>
      </c>
    </row>
    <row r="497" spans="1:75" hidden="1" x14ac:dyDescent="0.25">
      <c r="A497" s="18" t="s">
        <v>6</v>
      </c>
      <c r="B497" s="18">
        <v>2024</v>
      </c>
      <c r="C497" s="18" t="s">
        <v>140</v>
      </c>
      <c r="D497" s="18" t="s">
        <v>149</v>
      </c>
      <c r="E497" s="18"/>
      <c r="F497" s="18"/>
      <c r="G497" s="18" t="s">
        <v>150</v>
      </c>
      <c r="H497" s="31">
        <f>+I496</f>
        <v>2.5</v>
      </c>
      <c r="I497" s="31">
        <v>6</v>
      </c>
      <c r="J497" s="4">
        <f t="shared" si="204"/>
        <v>3.5</v>
      </c>
      <c r="K497" s="32"/>
      <c r="L497" s="31">
        <f t="shared" si="193"/>
        <v>0</v>
      </c>
      <c r="M497" s="31"/>
      <c r="N497" s="31"/>
      <c r="O497" s="18">
        <f t="shared" si="182"/>
        <v>0</v>
      </c>
      <c r="P497" s="18" t="s">
        <v>348</v>
      </c>
      <c r="Q497" s="18" t="e">
        <v>#N/A</v>
      </c>
      <c r="R497" s="18"/>
      <c r="S497" s="18"/>
      <c r="T497" s="65">
        <f t="shared" si="205"/>
        <v>0</v>
      </c>
      <c r="U497" s="18"/>
      <c r="V497" s="18"/>
      <c r="W497" s="18"/>
      <c r="X497" s="18"/>
      <c r="Y497" s="31">
        <f t="shared" si="188"/>
        <v>0</v>
      </c>
      <c r="Z497" s="18"/>
      <c r="AA497" s="18"/>
      <c r="AB497" s="18"/>
      <c r="AC497" s="18"/>
      <c r="AD497" s="18" t="e">
        <v>#N/A</v>
      </c>
      <c r="AE497" s="18" t="s">
        <v>348</v>
      </c>
      <c r="AF497" s="18" t="e">
        <v>#N/A</v>
      </c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 t="e">
        <f>+VLOOKUP(AI497,Leyenda!$B$30:$E$34,3,FALSE)</f>
        <v>#N/A</v>
      </c>
      <c r="AR497" s="18" t="e">
        <f>+VLOOKUP('3. Blasting'!AJ497,Meteorizacion,3,FALSE)</f>
        <v>#N/A</v>
      </c>
      <c r="AS497" s="18" t="e">
        <f>+VLOOKUP('3. Blasting'!AK497,Apertura,3,FALSE)</f>
        <v>#N/A</v>
      </c>
      <c r="AT497" s="18" t="e">
        <f>+VLOOKUP('3. Blasting'!AL497,Leyenda!$B$55:$D$59,3,FALSE)</f>
        <v>#N/A</v>
      </c>
      <c r="AU497" s="18" t="e">
        <f>+VLOOKUP('3. Blasting'!AM497,Relleno,3,FALSE)</f>
        <v>#N/A</v>
      </c>
      <c r="AV497" s="18" t="e">
        <f t="shared" si="206"/>
        <v>#N/A</v>
      </c>
      <c r="AW497" s="49">
        <f t="shared" si="194"/>
        <v>0</v>
      </c>
      <c r="AX497" s="49" t="e">
        <f>VLOOKUP(AF497,Leyenda!$B$4:$D$10,3,FALSE)</f>
        <v>#N/A</v>
      </c>
      <c r="AY497" s="50" t="e">
        <f t="shared" si="189"/>
        <v>#VALUE!</v>
      </c>
      <c r="AZ497" s="49" t="e">
        <f t="shared" si="195"/>
        <v>#N/A</v>
      </c>
      <c r="BA497" s="49" t="e">
        <f>VLOOKUP(AN497,Leyenda!$B$70:$D$75,3,FALSE)</f>
        <v>#N/A</v>
      </c>
      <c r="BB497" s="67" t="e">
        <f t="shared" si="196"/>
        <v>#N/A</v>
      </c>
      <c r="BC497" s="67" t="e">
        <f>VLOOKUP(AF497,Leyenda!$B$4:$E$10,4,FALSE)</f>
        <v>#N/A</v>
      </c>
      <c r="BD497" s="67">
        <f t="shared" si="197"/>
        <v>5</v>
      </c>
      <c r="BE497" s="67">
        <f t="shared" si="198"/>
        <v>0</v>
      </c>
      <c r="BF497" s="67" t="e">
        <f>+VLOOKUP('3. Blasting'!AK497,Leyenda!$B$47:$E$51,4,FALSE)</f>
        <v>#N/A</v>
      </c>
      <c r="BG497" s="67" t="e">
        <f>+VLOOKUP('3. Blasting'!AL497,Leyenda!$B$55:$E$59,4,FALSE)</f>
        <v>#N/A</v>
      </c>
      <c r="BH497" s="67" t="e">
        <f>+VLOOKUP('3. Blasting'!AM497,Leyenda!$B$63:$E$67,3,FALSE)</f>
        <v>#N/A</v>
      </c>
      <c r="BI497" s="67" t="e">
        <f>+VLOOKUP('3. Blasting'!AJ497,Leyenda!$B$39:$E$43,4,FALSE)</f>
        <v>#N/A</v>
      </c>
      <c r="BJ497" s="67" t="e">
        <f>+VLOOKUP('3. Blasting'!AI497,Leyenda!$B$30:$E$34,4,FALSE)</f>
        <v>#N/A</v>
      </c>
      <c r="BK497" s="67" t="e">
        <f>VLOOKUP(AN497,Leyenda!$B$71:$E$75,4,FALSE)</f>
        <v>#N/A</v>
      </c>
      <c r="BL497" s="67" t="e">
        <f t="shared" si="199"/>
        <v>#N/A</v>
      </c>
      <c r="BM497" s="18" t="e">
        <f t="shared" si="200"/>
        <v>#N/A</v>
      </c>
      <c r="BN497" s="18"/>
      <c r="BO497" s="18"/>
      <c r="BS497">
        <f t="shared" si="190"/>
        <v>-50</v>
      </c>
      <c r="BT497">
        <f t="shared" si="191"/>
        <v>0</v>
      </c>
      <c r="BU497">
        <f t="shared" si="192"/>
        <v>-25</v>
      </c>
      <c r="BV497" s="1">
        <f t="shared" si="186"/>
        <v>-0.1</v>
      </c>
      <c r="BW497" s="1">
        <f t="shared" si="187"/>
        <v>0</v>
      </c>
    </row>
    <row r="498" spans="1:75" hidden="1" x14ac:dyDescent="0.25">
      <c r="A498" s="18" t="s">
        <v>6</v>
      </c>
      <c r="B498" s="18">
        <v>2024</v>
      </c>
      <c r="C498" s="18" t="s">
        <v>140</v>
      </c>
      <c r="D498" s="18" t="s">
        <v>149</v>
      </c>
      <c r="E498" s="18"/>
      <c r="F498" s="18"/>
      <c r="G498" s="18" t="s">
        <v>150</v>
      </c>
      <c r="H498" s="31">
        <f t="shared" ref="H498:H508" si="210">+I497</f>
        <v>6</v>
      </c>
      <c r="I498" s="31">
        <v>7</v>
      </c>
      <c r="J498" s="4">
        <f t="shared" si="204"/>
        <v>1</v>
      </c>
      <c r="K498" s="32"/>
      <c r="L498" s="31">
        <f t="shared" si="193"/>
        <v>0</v>
      </c>
      <c r="M498" s="31"/>
      <c r="N498" s="31"/>
      <c r="O498" s="18">
        <f t="shared" si="182"/>
        <v>0</v>
      </c>
      <c r="P498" s="18" t="s">
        <v>348</v>
      </c>
      <c r="Q498" s="18" t="e">
        <v>#N/A</v>
      </c>
      <c r="R498" s="18"/>
      <c r="S498" s="18"/>
      <c r="T498" s="65">
        <f t="shared" si="205"/>
        <v>0</v>
      </c>
      <c r="U498" s="18"/>
      <c r="V498" s="18"/>
      <c r="W498" s="18"/>
      <c r="X498" s="18"/>
      <c r="Y498" s="31">
        <f t="shared" si="188"/>
        <v>0</v>
      </c>
      <c r="Z498" s="18"/>
      <c r="AA498" s="18"/>
      <c r="AB498" s="18"/>
      <c r="AC498" s="18"/>
      <c r="AD498" s="18" t="e">
        <v>#N/A</v>
      </c>
      <c r="AE498" s="18" t="s">
        <v>348</v>
      </c>
      <c r="AF498" s="18" t="e">
        <v>#N/A</v>
      </c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 t="e">
        <f>+VLOOKUP(AI498,Leyenda!$B$30:$E$34,3,FALSE)</f>
        <v>#N/A</v>
      </c>
      <c r="AR498" s="18" t="e">
        <f>+VLOOKUP('3. Blasting'!AJ498,Meteorizacion,3,FALSE)</f>
        <v>#N/A</v>
      </c>
      <c r="AS498" s="18" t="e">
        <f>+VLOOKUP('3. Blasting'!AK498,Apertura,3,FALSE)</f>
        <v>#N/A</v>
      </c>
      <c r="AT498" s="18" t="e">
        <f>+VLOOKUP('3. Blasting'!AL498,Leyenda!$B$55:$D$59,3,FALSE)</f>
        <v>#N/A</v>
      </c>
      <c r="AU498" s="18" t="e">
        <f>+VLOOKUP('3. Blasting'!AM498,Relleno,3,FALSE)</f>
        <v>#N/A</v>
      </c>
      <c r="AV498" s="18" t="e">
        <f t="shared" si="206"/>
        <v>#N/A</v>
      </c>
      <c r="AW498" s="49">
        <f t="shared" si="194"/>
        <v>0</v>
      </c>
      <c r="AX498" s="49" t="e">
        <f>VLOOKUP(AF498,Leyenda!$B$4:$D$10,3,FALSE)</f>
        <v>#N/A</v>
      </c>
      <c r="AY498" s="50" t="e">
        <f t="shared" si="189"/>
        <v>#VALUE!</v>
      </c>
      <c r="AZ498" s="49" t="e">
        <f t="shared" si="195"/>
        <v>#N/A</v>
      </c>
      <c r="BA498" s="49" t="e">
        <f>VLOOKUP(AN498,Leyenda!$B$70:$D$75,3,FALSE)</f>
        <v>#N/A</v>
      </c>
      <c r="BB498" s="67" t="e">
        <f t="shared" si="196"/>
        <v>#N/A</v>
      </c>
      <c r="BC498" s="67" t="e">
        <f>VLOOKUP(AF498,Leyenda!$B$4:$E$10,4,FALSE)</f>
        <v>#N/A</v>
      </c>
      <c r="BD498" s="67">
        <f t="shared" si="197"/>
        <v>5</v>
      </c>
      <c r="BE498" s="67">
        <f t="shared" si="198"/>
        <v>0</v>
      </c>
      <c r="BF498" s="67" t="e">
        <f>+VLOOKUP('3. Blasting'!AK498,Leyenda!$B$47:$E$51,4,FALSE)</f>
        <v>#N/A</v>
      </c>
      <c r="BG498" s="67" t="e">
        <f>+VLOOKUP('3. Blasting'!AL498,Leyenda!$B$55:$E$59,4,FALSE)</f>
        <v>#N/A</v>
      </c>
      <c r="BH498" s="67" t="e">
        <f>+VLOOKUP('3. Blasting'!AM498,Leyenda!$B$63:$E$67,3,FALSE)</f>
        <v>#N/A</v>
      </c>
      <c r="BI498" s="67" t="e">
        <f>+VLOOKUP('3. Blasting'!AJ498,Leyenda!$B$39:$E$43,4,FALSE)</f>
        <v>#N/A</v>
      </c>
      <c r="BJ498" s="67" t="e">
        <f>+VLOOKUP('3. Blasting'!AI498,Leyenda!$B$30:$E$34,4,FALSE)</f>
        <v>#N/A</v>
      </c>
      <c r="BK498" s="67" t="e">
        <f>VLOOKUP(AN498,Leyenda!$B$71:$E$75,4,FALSE)</f>
        <v>#N/A</v>
      </c>
      <c r="BL498" s="67" t="e">
        <f t="shared" si="199"/>
        <v>#N/A</v>
      </c>
      <c r="BM498" s="18" t="e">
        <f t="shared" si="200"/>
        <v>#N/A</v>
      </c>
      <c r="BN498" s="18"/>
      <c r="BO498" s="18"/>
      <c r="BS498">
        <f t="shared" si="190"/>
        <v>-50</v>
      </c>
      <c r="BT498">
        <f t="shared" si="191"/>
        <v>0</v>
      </c>
      <c r="BU498">
        <f t="shared" si="192"/>
        <v>-25</v>
      </c>
      <c r="BV498" s="1">
        <f t="shared" si="186"/>
        <v>-0.1</v>
      </c>
      <c r="BW498" s="1">
        <f t="shared" si="187"/>
        <v>0</v>
      </c>
    </row>
    <row r="499" spans="1:75" hidden="1" x14ac:dyDescent="0.25">
      <c r="A499" s="18" t="s">
        <v>6</v>
      </c>
      <c r="B499" s="18">
        <v>2024</v>
      </c>
      <c r="C499" s="18" t="s">
        <v>140</v>
      </c>
      <c r="D499" s="18" t="s">
        <v>149</v>
      </c>
      <c r="E499" s="18"/>
      <c r="F499" s="18"/>
      <c r="G499" s="18" t="s">
        <v>151</v>
      </c>
      <c r="H499" s="31">
        <f t="shared" si="210"/>
        <v>7</v>
      </c>
      <c r="I499" s="31">
        <v>8</v>
      </c>
      <c r="J499" s="4">
        <f t="shared" si="204"/>
        <v>1</v>
      </c>
      <c r="K499" s="32"/>
      <c r="L499" s="31">
        <f t="shared" si="193"/>
        <v>0</v>
      </c>
      <c r="M499" s="31"/>
      <c r="N499" s="31"/>
      <c r="O499" s="18">
        <f t="shared" si="182"/>
        <v>0</v>
      </c>
      <c r="P499" s="18" t="s">
        <v>348</v>
      </c>
      <c r="Q499" s="18" t="e">
        <v>#N/A</v>
      </c>
      <c r="R499" s="18"/>
      <c r="S499" s="18"/>
      <c r="T499" s="65">
        <f t="shared" si="205"/>
        <v>0</v>
      </c>
      <c r="U499" s="18"/>
      <c r="V499" s="18"/>
      <c r="W499" s="18"/>
      <c r="X499" s="18"/>
      <c r="Y499" s="31">
        <f t="shared" si="188"/>
        <v>0</v>
      </c>
      <c r="Z499" s="18"/>
      <c r="AA499" s="18"/>
      <c r="AB499" s="18"/>
      <c r="AC499" s="18"/>
      <c r="AD499" s="18" t="e">
        <v>#N/A</v>
      </c>
      <c r="AE499" s="18" t="s">
        <v>348</v>
      </c>
      <c r="AF499" s="18" t="e">
        <v>#N/A</v>
      </c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 t="e">
        <f>+VLOOKUP(AI499,Leyenda!$B$30:$E$34,3,FALSE)</f>
        <v>#N/A</v>
      </c>
      <c r="AR499" s="18" t="e">
        <f>+VLOOKUP('3. Blasting'!AJ499,Meteorizacion,3,FALSE)</f>
        <v>#N/A</v>
      </c>
      <c r="AS499" s="18" t="e">
        <f>+VLOOKUP('3. Blasting'!AK499,Apertura,3,FALSE)</f>
        <v>#N/A</v>
      </c>
      <c r="AT499" s="18" t="e">
        <f>+VLOOKUP('3. Blasting'!AL499,Leyenda!$B$55:$D$59,3,FALSE)</f>
        <v>#N/A</v>
      </c>
      <c r="AU499" s="18" t="e">
        <f>+VLOOKUP('3. Blasting'!AM499,Relleno,3,FALSE)</f>
        <v>#N/A</v>
      </c>
      <c r="AV499" s="18" t="e">
        <f t="shared" si="206"/>
        <v>#N/A</v>
      </c>
      <c r="AW499" s="49">
        <f t="shared" si="194"/>
        <v>0</v>
      </c>
      <c r="AX499" s="49" t="e">
        <f>VLOOKUP(AF499,Leyenda!$B$4:$D$10,3,FALSE)</f>
        <v>#N/A</v>
      </c>
      <c r="AY499" s="50" t="e">
        <f t="shared" si="189"/>
        <v>#VALUE!</v>
      </c>
      <c r="AZ499" s="49" t="e">
        <f t="shared" si="195"/>
        <v>#N/A</v>
      </c>
      <c r="BA499" s="49" t="e">
        <f>VLOOKUP(AN499,Leyenda!$B$70:$D$75,3,FALSE)</f>
        <v>#N/A</v>
      </c>
      <c r="BB499" s="67" t="e">
        <f t="shared" si="196"/>
        <v>#N/A</v>
      </c>
      <c r="BC499" s="67" t="e">
        <f>VLOOKUP(AF499,Leyenda!$B$4:$E$10,4,FALSE)</f>
        <v>#N/A</v>
      </c>
      <c r="BD499" s="67">
        <f t="shared" si="197"/>
        <v>5</v>
      </c>
      <c r="BE499" s="67">
        <f t="shared" si="198"/>
        <v>0</v>
      </c>
      <c r="BF499" s="67" t="e">
        <f>+VLOOKUP('3. Blasting'!AK499,Leyenda!$B$47:$E$51,4,FALSE)</f>
        <v>#N/A</v>
      </c>
      <c r="BG499" s="67" t="e">
        <f>+VLOOKUP('3. Blasting'!AL499,Leyenda!$B$55:$E$59,4,FALSE)</f>
        <v>#N/A</v>
      </c>
      <c r="BH499" s="67" t="e">
        <f>+VLOOKUP('3. Blasting'!AM499,Leyenda!$B$63:$E$67,3,FALSE)</f>
        <v>#N/A</v>
      </c>
      <c r="BI499" s="67" t="e">
        <f>+VLOOKUP('3. Blasting'!AJ499,Leyenda!$B$39:$E$43,4,FALSE)</f>
        <v>#N/A</v>
      </c>
      <c r="BJ499" s="67" t="e">
        <f>+VLOOKUP('3. Blasting'!AI499,Leyenda!$B$30:$E$34,4,FALSE)</f>
        <v>#N/A</v>
      </c>
      <c r="BK499" s="67" t="e">
        <f>VLOOKUP(AN499,Leyenda!$B$71:$E$75,4,FALSE)</f>
        <v>#N/A</v>
      </c>
      <c r="BL499" s="67" t="e">
        <f t="shared" si="199"/>
        <v>#N/A</v>
      </c>
      <c r="BM499" s="18" t="e">
        <f t="shared" si="200"/>
        <v>#N/A</v>
      </c>
      <c r="BN499" s="18"/>
      <c r="BO499" s="18"/>
      <c r="BS499">
        <f t="shared" si="190"/>
        <v>-50</v>
      </c>
      <c r="BT499">
        <f t="shared" si="191"/>
        <v>0</v>
      </c>
      <c r="BU499">
        <f t="shared" si="192"/>
        <v>-25</v>
      </c>
      <c r="BV499" s="1">
        <f t="shared" si="186"/>
        <v>-0.1</v>
      </c>
      <c r="BW499" s="1">
        <f t="shared" si="187"/>
        <v>0</v>
      </c>
    </row>
    <row r="500" spans="1:75" hidden="1" x14ac:dyDescent="0.25">
      <c r="A500" s="18" t="s">
        <v>6</v>
      </c>
      <c r="B500" s="18">
        <v>2024</v>
      </c>
      <c r="C500" s="18" t="s">
        <v>140</v>
      </c>
      <c r="D500" s="18" t="s">
        <v>149</v>
      </c>
      <c r="E500" s="18"/>
      <c r="F500" s="18"/>
      <c r="G500" s="18" t="s">
        <v>151</v>
      </c>
      <c r="H500" s="31">
        <f t="shared" si="210"/>
        <v>8</v>
      </c>
      <c r="I500" s="31">
        <v>9</v>
      </c>
      <c r="J500" s="4">
        <f t="shared" si="204"/>
        <v>1</v>
      </c>
      <c r="K500" s="18"/>
      <c r="L500" s="31">
        <f t="shared" si="193"/>
        <v>0</v>
      </c>
      <c r="M500" s="31"/>
      <c r="N500" s="31"/>
      <c r="O500" s="18">
        <f t="shared" si="182"/>
        <v>0</v>
      </c>
      <c r="P500" s="18" t="s">
        <v>348</v>
      </c>
      <c r="Q500" s="18" t="e">
        <v>#N/A</v>
      </c>
      <c r="R500" s="18"/>
      <c r="S500" s="18"/>
      <c r="T500" s="65">
        <f t="shared" si="205"/>
        <v>0</v>
      </c>
      <c r="U500" s="18"/>
      <c r="V500" s="18"/>
      <c r="W500" s="18"/>
      <c r="X500" s="18"/>
      <c r="Y500" s="31">
        <f t="shared" si="188"/>
        <v>0</v>
      </c>
      <c r="Z500" s="18"/>
      <c r="AA500" s="18"/>
      <c r="AB500" s="18"/>
      <c r="AC500" s="18"/>
      <c r="AD500" s="18" t="e">
        <v>#N/A</v>
      </c>
      <c r="AE500" s="18" t="s">
        <v>348</v>
      </c>
      <c r="AF500" s="18" t="e">
        <v>#N/A</v>
      </c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 t="e">
        <f>+VLOOKUP(AI500,Leyenda!$B$30:$E$34,3,FALSE)</f>
        <v>#N/A</v>
      </c>
      <c r="AR500" s="18" t="e">
        <f>+VLOOKUP('3. Blasting'!AJ500,Meteorizacion,3,FALSE)</f>
        <v>#N/A</v>
      </c>
      <c r="AS500" s="18" t="e">
        <f>+VLOOKUP('3. Blasting'!AK500,Apertura,3,FALSE)</f>
        <v>#N/A</v>
      </c>
      <c r="AT500" s="18" t="e">
        <f>+VLOOKUP('3. Blasting'!AL500,Leyenda!$B$55:$D$59,3,FALSE)</f>
        <v>#N/A</v>
      </c>
      <c r="AU500" s="18" t="e">
        <f>+VLOOKUP('3. Blasting'!AM500,Relleno,3,FALSE)</f>
        <v>#N/A</v>
      </c>
      <c r="AV500" s="18" t="e">
        <f t="shared" si="206"/>
        <v>#N/A</v>
      </c>
      <c r="AW500" s="49">
        <f t="shared" si="194"/>
        <v>0</v>
      </c>
      <c r="AX500" s="49" t="e">
        <f>VLOOKUP(AF500,Leyenda!$B$4:$D$10,3,FALSE)</f>
        <v>#N/A</v>
      </c>
      <c r="AY500" s="50" t="e">
        <f t="shared" si="189"/>
        <v>#VALUE!</v>
      </c>
      <c r="AZ500" s="49" t="e">
        <f t="shared" si="195"/>
        <v>#N/A</v>
      </c>
      <c r="BA500" s="49" t="e">
        <f>VLOOKUP(AN500,Leyenda!$B$70:$D$75,3,FALSE)</f>
        <v>#N/A</v>
      </c>
      <c r="BB500" s="67" t="e">
        <f t="shared" si="196"/>
        <v>#N/A</v>
      </c>
      <c r="BC500" s="67" t="e">
        <f>VLOOKUP(AF500,Leyenda!$B$4:$E$10,4,FALSE)</f>
        <v>#N/A</v>
      </c>
      <c r="BD500" s="67">
        <f t="shared" si="197"/>
        <v>5</v>
      </c>
      <c r="BE500" s="67">
        <f t="shared" si="198"/>
        <v>0</v>
      </c>
      <c r="BF500" s="67" t="e">
        <f>+VLOOKUP('3. Blasting'!AK500,Leyenda!$B$47:$E$51,4,FALSE)</f>
        <v>#N/A</v>
      </c>
      <c r="BG500" s="67" t="e">
        <f>+VLOOKUP('3. Blasting'!AL500,Leyenda!$B$55:$E$59,4,FALSE)</f>
        <v>#N/A</v>
      </c>
      <c r="BH500" s="67" t="e">
        <f>+VLOOKUP('3. Blasting'!AM500,Leyenda!$B$63:$E$67,3,FALSE)</f>
        <v>#N/A</v>
      </c>
      <c r="BI500" s="67" t="e">
        <f>+VLOOKUP('3. Blasting'!AJ500,Leyenda!$B$39:$E$43,4,FALSE)</f>
        <v>#N/A</v>
      </c>
      <c r="BJ500" s="67" t="e">
        <f>+VLOOKUP('3. Blasting'!AI500,Leyenda!$B$30:$E$34,4,FALSE)</f>
        <v>#N/A</v>
      </c>
      <c r="BK500" s="67" t="e">
        <f>VLOOKUP(AN500,Leyenda!$B$71:$E$75,4,FALSE)</f>
        <v>#N/A</v>
      </c>
      <c r="BL500" s="67" t="e">
        <f t="shared" si="199"/>
        <v>#N/A</v>
      </c>
      <c r="BM500" s="18" t="e">
        <f t="shared" si="200"/>
        <v>#N/A</v>
      </c>
      <c r="BN500" s="18"/>
      <c r="BO500" s="18"/>
      <c r="BS500">
        <f t="shared" si="190"/>
        <v>-50</v>
      </c>
      <c r="BT500">
        <f t="shared" si="191"/>
        <v>0</v>
      </c>
      <c r="BU500">
        <f t="shared" si="192"/>
        <v>-25</v>
      </c>
      <c r="BV500" s="1">
        <f t="shared" si="186"/>
        <v>-0.1</v>
      </c>
      <c r="BW500" s="1">
        <f t="shared" si="187"/>
        <v>0</v>
      </c>
    </row>
    <row r="501" spans="1:75" hidden="1" x14ac:dyDescent="0.25">
      <c r="A501" s="18" t="s">
        <v>6</v>
      </c>
      <c r="B501" s="18">
        <v>2024</v>
      </c>
      <c r="C501" s="18" t="s">
        <v>140</v>
      </c>
      <c r="D501" s="18" t="s">
        <v>149</v>
      </c>
      <c r="E501" s="18"/>
      <c r="F501" s="18"/>
      <c r="G501" s="18" t="s">
        <v>151</v>
      </c>
      <c r="H501" s="31">
        <f t="shared" si="210"/>
        <v>9</v>
      </c>
      <c r="I501" s="31">
        <v>10.199999999999999</v>
      </c>
      <c r="J501" s="4">
        <f t="shared" si="204"/>
        <v>1.1999999999999993</v>
      </c>
      <c r="K501" s="18"/>
      <c r="L501" s="31">
        <f t="shared" si="193"/>
        <v>0</v>
      </c>
      <c r="M501" s="31"/>
      <c r="N501" s="31"/>
      <c r="O501" s="18">
        <f t="shared" si="182"/>
        <v>0</v>
      </c>
      <c r="P501" s="18" t="s">
        <v>348</v>
      </c>
      <c r="Q501" s="18" t="e">
        <v>#N/A</v>
      </c>
      <c r="R501" s="18"/>
      <c r="S501" s="18"/>
      <c r="T501" s="65">
        <f t="shared" si="205"/>
        <v>0</v>
      </c>
      <c r="U501" s="18"/>
      <c r="V501" s="18"/>
      <c r="W501" s="18"/>
      <c r="X501" s="18"/>
      <c r="Y501" s="31">
        <f t="shared" si="188"/>
        <v>0</v>
      </c>
      <c r="Z501" s="18"/>
      <c r="AA501" s="18"/>
      <c r="AB501" s="18"/>
      <c r="AC501" s="18"/>
      <c r="AD501" s="18" t="e">
        <v>#N/A</v>
      </c>
      <c r="AE501" s="18" t="s">
        <v>348</v>
      </c>
      <c r="AF501" s="18" t="e">
        <v>#N/A</v>
      </c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 t="e">
        <f>+VLOOKUP(AI501,Leyenda!$B$30:$E$34,3,FALSE)</f>
        <v>#N/A</v>
      </c>
      <c r="AR501" s="18" t="e">
        <f>+VLOOKUP('3. Blasting'!AJ501,Meteorizacion,3,FALSE)</f>
        <v>#N/A</v>
      </c>
      <c r="AS501" s="18" t="e">
        <f>+VLOOKUP('3. Blasting'!AK501,Apertura,3,FALSE)</f>
        <v>#N/A</v>
      </c>
      <c r="AT501" s="18" t="e">
        <f>+VLOOKUP('3. Blasting'!AL501,Leyenda!$B$55:$D$59,3,FALSE)</f>
        <v>#N/A</v>
      </c>
      <c r="AU501" s="18" t="e">
        <f>+VLOOKUP('3. Blasting'!AM501,Relleno,3,FALSE)</f>
        <v>#N/A</v>
      </c>
      <c r="AV501" s="18" t="e">
        <f t="shared" si="206"/>
        <v>#N/A</v>
      </c>
      <c r="AW501" s="49">
        <f t="shared" si="194"/>
        <v>0</v>
      </c>
      <c r="AX501" s="49" t="e">
        <f>VLOOKUP(AF501,Leyenda!$B$4:$D$10,3,FALSE)</f>
        <v>#N/A</v>
      </c>
      <c r="AY501" s="50" t="e">
        <f t="shared" si="189"/>
        <v>#VALUE!</v>
      </c>
      <c r="AZ501" s="49" t="e">
        <f t="shared" si="195"/>
        <v>#N/A</v>
      </c>
      <c r="BA501" s="49" t="e">
        <f>VLOOKUP(AN501,Leyenda!$B$70:$D$75,3,FALSE)</f>
        <v>#N/A</v>
      </c>
      <c r="BB501" s="67" t="e">
        <f t="shared" si="196"/>
        <v>#N/A</v>
      </c>
      <c r="BC501" s="67" t="e">
        <f>VLOOKUP(AF501,Leyenda!$B$4:$E$10,4,FALSE)</f>
        <v>#N/A</v>
      </c>
      <c r="BD501" s="67">
        <f t="shared" si="197"/>
        <v>5</v>
      </c>
      <c r="BE501" s="67">
        <f t="shared" si="198"/>
        <v>0</v>
      </c>
      <c r="BF501" s="67" t="e">
        <f>+VLOOKUP('3. Blasting'!AK501,Leyenda!$B$47:$E$51,4,FALSE)</f>
        <v>#N/A</v>
      </c>
      <c r="BG501" s="67" t="e">
        <f>+VLOOKUP('3. Blasting'!AL501,Leyenda!$B$55:$E$59,4,FALSE)</f>
        <v>#N/A</v>
      </c>
      <c r="BH501" s="67" t="e">
        <f>+VLOOKUP('3. Blasting'!AM501,Leyenda!$B$63:$E$67,3,FALSE)</f>
        <v>#N/A</v>
      </c>
      <c r="BI501" s="67" t="e">
        <f>+VLOOKUP('3. Blasting'!AJ501,Leyenda!$B$39:$E$43,4,FALSE)</f>
        <v>#N/A</v>
      </c>
      <c r="BJ501" s="67" t="e">
        <f>+VLOOKUP('3. Blasting'!AI501,Leyenda!$B$30:$E$34,4,FALSE)</f>
        <v>#N/A</v>
      </c>
      <c r="BK501" s="67" t="e">
        <f>VLOOKUP(AN501,Leyenda!$B$71:$E$75,4,FALSE)</f>
        <v>#N/A</v>
      </c>
      <c r="BL501" s="67" t="e">
        <f t="shared" si="199"/>
        <v>#N/A</v>
      </c>
      <c r="BM501" s="18" t="e">
        <f t="shared" si="200"/>
        <v>#N/A</v>
      </c>
      <c r="BN501" s="18"/>
      <c r="BO501" s="18"/>
      <c r="BS501">
        <f t="shared" si="190"/>
        <v>-50</v>
      </c>
      <c r="BT501">
        <f t="shared" si="191"/>
        <v>0</v>
      </c>
      <c r="BU501">
        <f t="shared" si="192"/>
        <v>-25</v>
      </c>
      <c r="BV501" s="1">
        <f t="shared" si="186"/>
        <v>-0.1</v>
      </c>
      <c r="BW501" s="1">
        <f t="shared" si="187"/>
        <v>0</v>
      </c>
    </row>
    <row r="502" spans="1:75" hidden="1" x14ac:dyDescent="0.25">
      <c r="A502" s="18" t="s">
        <v>6</v>
      </c>
      <c r="B502" s="18">
        <v>2024</v>
      </c>
      <c r="C502" s="18" t="s">
        <v>140</v>
      </c>
      <c r="D502" s="18" t="s">
        <v>149</v>
      </c>
      <c r="E502" s="18"/>
      <c r="F502" s="18"/>
      <c r="G502" s="18" t="s">
        <v>151</v>
      </c>
      <c r="H502" s="31">
        <f t="shared" si="210"/>
        <v>10.199999999999999</v>
      </c>
      <c r="I502" s="31">
        <v>11.2</v>
      </c>
      <c r="J502" s="4">
        <f t="shared" si="204"/>
        <v>1</v>
      </c>
      <c r="K502" s="18"/>
      <c r="L502" s="31">
        <f t="shared" si="193"/>
        <v>0</v>
      </c>
      <c r="M502" s="31"/>
      <c r="N502" s="31"/>
      <c r="O502" s="18">
        <f t="shared" si="182"/>
        <v>0</v>
      </c>
      <c r="P502" s="18" t="s">
        <v>348</v>
      </c>
      <c r="Q502" s="18" t="e">
        <v>#N/A</v>
      </c>
      <c r="R502" s="18"/>
      <c r="S502" s="18"/>
      <c r="T502" s="65">
        <f t="shared" si="205"/>
        <v>0</v>
      </c>
      <c r="U502" s="18"/>
      <c r="V502" s="18"/>
      <c r="W502" s="18"/>
      <c r="X502" s="18"/>
      <c r="Y502" s="31">
        <f t="shared" si="188"/>
        <v>0</v>
      </c>
      <c r="Z502" s="18"/>
      <c r="AA502" s="18"/>
      <c r="AB502" s="18"/>
      <c r="AC502" s="18"/>
      <c r="AD502" s="18" t="e">
        <v>#N/A</v>
      </c>
      <c r="AE502" s="18" t="s">
        <v>348</v>
      </c>
      <c r="AF502" s="18" t="e">
        <v>#N/A</v>
      </c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 t="e">
        <f>+VLOOKUP(AI502,Leyenda!$B$30:$E$34,3,FALSE)</f>
        <v>#N/A</v>
      </c>
      <c r="AR502" s="18" t="e">
        <f>+VLOOKUP('3. Blasting'!AJ502,Meteorizacion,3,FALSE)</f>
        <v>#N/A</v>
      </c>
      <c r="AS502" s="18" t="e">
        <f>+VLOOKUP('3. Blasting'!AK502,Apertura,3,FALSE)</f>
        <v>#N/A</v>
      </c>
      <c r="AT502" s="18" t="e">
        <f>+VLOOKUP('3. Blasting'!AL502,Leyenda!$B$55:$D$59,3,FALSE)</f>
        <v>#N/A</v>
      </c>
      <c r="AU502" s="18" t="e">
        <f>+VLOOKUP('3. Blasting'!AM502,Relleno,3,FALSE)</f>
        <v>#N/A</v>
      </c>
      <c r="AV502" s="18" t="e">
        <f t="shared" si="206"/>
        <v>#N/A</v>
      </c>
      <c r="AW502" s="49">
        <f t="shared" si="194"/>
        <v>0</v>
      </c>
      <c r="AX502" s="49" t="e">
        <f>VLOOKUP(AF502,Leyenda!$B$4:$D$10,3,FALSE)</f>
        <v>#N/A</v>
      </c>
      <c r="AY502" s="50" t="e">
        <f t="shared" si="189"/>
        <v>#VALUE!</v>
      </c>
      <c r="AZ502" s="49" t="e">
        <f t="shared" si="195"/>
        <v>#N/A</v>
      </c>
      <c r="BA502" s="49" t="e">
        <f>VLOOKUP(AN502,Leyenda!$B$70:$D$75,3,FALSE)</f>
        <v>#N/A</v>
      </c>
      <c r="BB502" s="67" t="e">
        <f t="shared" si="196"/>
        <v>#N/A</v>
      </c>
      <c r="BC502" s="67" t="e">
        <f>VLOOKUP(AF502,Leyenda!$B$4:$E$10,4,FALSE)</f>
        <v>#N/A</v>
      </c>
      <c r="BD502" s="67">
        <f t="shared" si="197"/>
        <v>5</v>
      </c>
      <c r="BE502" s="67">
        <f t="shared" si="198"/>
        <v>0</v>
      </c>
      <c r="BF502" s="67" t="e">
        <f>+VLOOKUP('3. Blasting'!AK502,Leyenda!$B$47:$E$51,4,FALSE)</f>
        <v>#N/A</v>
      </c>
      <c r="BG502" s="67" t="e">
        <f>+VLOOKUP('3. Blasting'!AL502,Leyenda!$B$55:$E$59,4,FALSE)</f>
        <v>#N/A</v>
      </c>
      <c r="BH502" s="67" t="e">
        <f>+VLOOKUP('3. Blasting'!AM502,Leyenda!$B$63:$E$67,3,FALSE)</f>
        <v>#N/A</v>
      </c>
      <c r="BI502" s="67" t="e">
        <f>+VLOOKUP('3. Blasting'!AJ502,Leyenda!$B$39:$E$43,4,FALSE)</f>
        <v>#N/A</v>
      </c>
      <c r="BJ502" s="67" t="e">
        <f>+VLOOKUP('3. Blasting'!AI502,Leyenda!$B$30:$E$34,4,FALSE)</f>
        <v>#N/A</v>
      </c>
      <c r="BK502" s="67" t="e">
        <f>VLOOKUP(AN502,Leyenda!$B$71:$E$75,4,FALSE)</f>
        <v>#N/A</v>
      </c>
      <c r="BL502" s="67" t="e">
        <f t="shared" si="199"/>
        <v>#N/A</v>
      </c>
      <c r="BM502" s="18" t="e">
        <f t="shared" si="200"/>
        <v>#N/A</v>
      </c>
      <c r="BN502" s="18"/>
      <c r="BO502" s="18"/>
      <c r="BS502">
        <f t="shared" si="190"/>
        <v>-50</v>
      </c>
      <c r="BT502">
        <f t="shared" si="191"/>
        <v>0</v>
      </c>
      <c r="BU502">
        <f t="shared" si="192"/>
        <v>-25</v>
      </c>
      <c r="BV502" s="1">
        <f t="shared" si="186"/>
        <v>-0.1</v>
      </c>
      <c r="BW502" s="1">
        <f t="shared" si="187"/>
        <v>0</v>
      </c>
    </row>
    <row r="503" spans="1:75" hidden="1" x14ac:dyDescent="0.25">
      <c r="A503" s="18" t="s">
        <v>6</v>
      </c>
      <c r="B503" s="18">
        <v>2024</v>
      </c>
      <c r="C503" s="18" t="s">
        <v>140</v>
      </c>
      <c r="D503" s="18" t="s">
        <v>149</v>
      </c>
      <c r="E503" s="18"/>
      <c r="F503" s="18"/>
      <c r="G503" s="18" t="s">
        <v>151</v>
      </c>
      <c r="H503" s="31">
        <f t="shared" si="210"/>
        <v>11.2</v>
      </c>
      <c r="I503" s="31">
        <v>12</v>
      </c>
      <c r="J503" s="4">
        <f t="shared" si="204"/>
        <v>0.80000000000000071</v>
      </c>
      <c r="K503" s="18"/>
      <c r="L503" s="31">
        <f t="shared" si="193"/>
        <v>0</v>
      </c>
      <c r="M503" s="31"/>
      <c r="N503" s="31"/>
      <c r="O503" s="18">
        <f t="shared" si="182"/>
        <v>0</v>
      </c>
      <c r="P503" s="18" t="s">
        <v>348</v>
      </c>
      <c r="Q503" s="18" t="e">
        <v>#N/A</v>
      </c>
      <c r="R503" s="18"/>
      <c r="S503" s="18"/>
      <c r="T503" s="65">
        <f t="shared" si="205"/>
        <v>0</v>
      </c>
      <c r="U503" s="18"/>
      <c r="V503" s="18"/>
      <c r="W503" s="18"/>
      <c r="X503" s="18"/>
      <c r="Y503" s="31">
        <f t="shared" si="188"/>
        <v>0</v>
      </c>
      <c r="Z503" s="18"/>
      <c r="AA503" s="18"/>
      <c r="AB503" s="18"/>
      <c r="AC503" s="18"/>
      <c r="AD503" s="18" t="e">
        <v>#N/A</v>
      </c>
      <c r="AE503" s="18" t="s">
        <v>348</v>
      </c>
      <c r="AF503" s="18" t="e">
        <v>#N/A</v>
      </c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 t="e">
        <f>+VLOOKUP(AI503,Leyenda!$B$30:$E$34,3,FALSE)</f>
        <v>#N/A</v>
      </c>
      <c r="AR503" s="18" t="e">
        <f>+VLOOKUP('3. Blasting'!AJ503,Meteorizacion,3,FALSE)</f>
        <v>#N/A</v>
      </c>
      <c r="AS503" s="18" t="e">
        <f>+VLOOKUP('3. Blasting'!AK503,Apertura,3,FALSE)</f>
        <v>#N/A</v>
      </c>
      <c r="AT503" s="18" t="e">
        <f>+VLOOKUP('3. Blasting'!AL503,Leyenda!$B$55:$D$59,3,FALSE)</f>
        <v>#N/A</v>
      </c>
      <c r="AU503" s="18" t="e">
        <f>+VLOOKUP('3. Blasting'!AM503,Relleno,3,FALSE)</f>
        <v>#N/A</v>
      </c>
      <c r="AV503" s="18" t="e">
        <f t="shared" si="206"/>
        <v>#N/A</v>
      </c>
      <c r="AW503" s="49">
        <f t="shared" si="194"/>
        <v>0</v>
      </c>
      <c r="AX503" s="49" t="e">
        <f>VLOOKUP(AF503,Leyenda!$B$4:$D$10,3,FALSE)</f>
        <v>#N/A</v>
      </c>
      <c r="AY503" s="50" t="e">
        <f t="shared" si="189"/>
        <v>#VALUE!</v>
      </c>
      <c r="AZ503" s="49" t="e">
        <f t="shared" si="195"/>
        <v>#N/A</v>
      </c>
      <c r="BA503" s="49" t="e">
        <f>VLOOKUP(AN503,Leyenda!$B$70:$D$75,3,FALSE)</f>
        <v>#N/A</v>
      </c>
      <c r="BB503" s="67" t="e">
        <f t="shared" si="196"/>
        <v>#N/A</v>
      </c>
      <c r="BC503" s="67" t="e">
        <f>VLOOKUP(AF503,Leyenda!$B$4:$E$10,4,FALSE)</f>
        <v>#N/A</v>
      </c>
      <c r="BD503" s="67">
        <f t="shared" si="197"/>
        <v>5</v>
      </c>
      <c r="BE503" s="67">
        <f t="shared" si="198"/>
        <v>0</v>
      </c>
      <c r="BF503" s="67" t="e">
        <f>+VLOOKUP('3. Blasting'!AK503,Leyenda!$B$47:$E$51,4,FALSE)</f>
        <v>#N/A</v>
      </c>
      <c r="BG503" s="67" t="e">
        <f>+VLOOKUP('3. Blasting'!AL503,Leyenda!$B$55:$E$59,4,FALSE)</f>
        <v>#N/A</v>
      </c>
      <c r="BH503" s="67" t="e">
        <f>+VLOOKUP('3. Blasting'!AM503,Leyenda!$B$63:$E$67,3,FALSE)</f>
        <v>#N/A</v>
      </c>
      <c r="BI503" s="67" t="e">
        <f>+VLOOKUP('3. Blasting'!AJ503,Leyenda!$B$39:$E$43,4,FALSE)</f>
        <v>#N/A</v>
      </c>
      <c r="BJ503" s="67" t="e">
        <f>+VLOOKUP('3. Blasting'!AI503,Leyenda!$B$30:$E$34,4,FALSE)</f>
        <v>#N/A</v>
      </c>
      <c r="BK503" s="67" t="e">
        <f>VLOOKUP(AN503,Leyenda!$B$71:$E$75,4,FALSE)</f>
        <v>#N/A</v>
      </c>
      <c r="BL503" s="67" t="e">
        <f t="shared" si="199"/>
        <v>#N/A</v>
      </c>
      <c r="BM503" s="18" t="e">
        <f t="shared" si="200"/>
        <v>#N/A</v>
      </c>
      <c r="BN503" s="18"/>
      <c r="BO503" s="18"/>
      <c r="BS503">
        <f t="shared" si="190"/>
        <v>-50</v>
      </c>
      <c r="BT503">
        <f t="shared" si="191"/>
        <v>0</v>
      </c>
      <c r="BU503">
        <f t="shared" si="192"/>
        <v>-25</v>
      </c>
      <c r="BV503" s="1">
        <f t="shared" si="186"/>
        <v>-0.1</v>
      </c>
      <c r="BW503" s="1">
        <f t="shared" si="187"/>
        <v>0</v>
      </c>
    </row>
    <row r="504" spans="1:75" hidden="1" x14ac:dyDescent="0.25">
      <c r="A504" s="18" t="s">
        <v>6</v>
      </c>
      <c r="B504" s="18">
        <v>2024</v>
      </c>
      <c r="C504" s="18" t="s">
        <v>140</v>
      </c>
      <c r="D504" s="18" t="s">
        <v>149</v>
      </c>
      <c r="E504" s="18"/>
      <c r="F504" s="18"/>
      <c r="G504" s="18" t="s">
        <v>150</v>
      </c>
      <c r="H504" s="31">
        <f t="shared" si="210"/>
        <v>12</v>
      </c>
      <c r="I504" s="31">
        <v>13</v>
      </c>
      <c r="J504" s="4">
        <f t="shared" si="204"/>
        <v>1</v>
      </c>
      <c r="K504" s="18"/>
      <c r="L504" s="31">
        <f t="shared" si="193"/>
        <v>0</v>
      </c>
      <c r="M504" s="31"/>
      <c r="N504" s="31"/>
      <c r="O504" s="18">
        <f t="shared" si="182"/>
        <v>0</v>
      </c>
      <c r="P504" s="18" t="s">
        <v>348</v>
      </c>
      <c r="Q504" s="18" t="e">
        <v>#N/A</v>
      </c>
      <c r="R504" s="18"/>
      <c r="S504" s="18"/>
      <c r="T504" s="65">
        <f t="shared" si="205"/>
        <v>0</v>
      </c>
      <c r="U504" s="18"/>
      <c r="V504" s="18"/>
      <c r="W504" s="18"/>
      <c r="X504" s="18"/>
      <c r="Y504" s="31">
        <f t="shared" si="188"/>
        <v>0</v>
      </c>
      <c r="Z504" s="18"/>
      <c r="AA504" s="18"/>
      <c r="AB504" s="18"/>
      <c r="AC504" s="18"/>
      <c r="AD504" s="18" t="e">
        <v>#N/A</v>
      </c>
      <c r="AE504" s="18" t="s">
        <v>348</v>
      </c>
      <c r="AF504" s="18" t="e">
        <v>#N/A</v>
      </c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 t="e">
        <f>+VLOOKUP(AI504,Leyenda!$B$30:$E$34,3,FALSE)</f>
        <v>#N/A</v>
      </c>
      <c r="AR504" s="18" t="e">
        <f>+VLOOKUP('3. Blasting'!AJ504,Meteorizacion,3,FALSE)</f>
        <v>#N/A</v>
      </c>
      <c r="AS504" s="18" t="e">
        <f>+VLOOKUP('3. Blasting'!AK504,Apertura,3,FALSE)</f>
        <v>#N/A</v>
      </c>
      <c r="AT504" s="18" t="e">
        <f>+VLOOKUP('3. Blasting'!AL504,Leyenda!$B$55:$D$59,3,FALSE)</f>
        <v>#N/A</v>
      </c>
      <c r="AU504" s="18" t="e">
        <f>+VLOOKUP('3. Blasting'!AM504,Relleno,3,FALSE)</f>
        <v>#N/A</v>
      </c>
      <c r="AV504" s="18" t="e">
        <f t="shared" si="206"/>
        <v>#N/A</v>
      </c>
      <c r="AW504" s="49">
        <f t="shared" si="194"/>
        <v>0</v>
      </c>
      <c r="AX504" s="49" t="e">
        <f>VLOOKUP(AF504,Leyenda!$B$4:$D$10,3,FALSE)</f>
        <v>#N/A</v>
      </c>
      <c r="AY504" s="50" t="e">
        <f t="shared" si="189"/>
        <v>#VALUE!</v>
      </c>
      <c r="AZ504" s="49" t="e">
        <f t="shared" si="195"/>
        <v>#N/A</v>
      </c>
      <c r="BA504" s="49" t="e">
        <f>VLOOKUP(AN504,Leyenda!$B$70:$D$75,3,FALSE)</f>
        <v>#N/A</v>
      </c>
      <c r="BB504" s="67" t="e">
        <f t="shared" si="196"/>
        <v>#N/A</v>
      </c>
      <c r="BC504" s="67" t="e">
        <f>VLOOKUP(AF504,Leyenda!$B$4:$E$10,4,FALSE)</f>
        <v>#N/A</v>
      </c>
      <c r="BD504" s="67">
        <f t="shared" si="197"/>
        <v>5</v>
      </c>
      <c r="BE504" s="67">
        <f t="shared" si="198"/>
        <v>0</v>
      </c>
      <c r="BF504" s="67" t="e">
        <f>+VLOOKUP('3. Blasting'!AK504,Leyenda!$B$47:$E$51,4,FALSE)</f>
        <v>#N/A</v>
      </c>
      <c r="BG504" s="67" t="e">
        <f>+VLOOKUP('3. Blasting'!AL504,Leyenda!$B$55:$E$59,4,FALSE)</f>
        <v>#N/A</v>
      </c>
      <c r="BH504" s="67" t="e">
        <f>+VLOOKUP('3. Blasting'!AM504,Leyenda!$B$63:$E$67,3,FALSE)</f>
        <v>#N/A</v>
      </c>
      <c r="BI504" s="67" t="e">
        <f>+VLOOKUP('3. Blasting'!AJ504,Leyenda!$B$39:$E$43,4,FALSE)</f>
        <v>#N/A</v>
      </c>
      <c r="BJ504" s="67" t="e">
        <f>+VLOOKUP('3. Blasting'!AI504,Leyenda!$B$30:$E$34,4,FALSE)</f>
        <v>#N/A</v>
      </c>
      <c r="BK504" s="67" t="e">
        <f>VLOOKUP(AN504,Leyenda!$B$71:$E$75,4,FALSE)</f>
        <v>#N/A</v>
      </c>
      <c r="BL504" s="67" t="e">
        <f t="shared" si="199"/>
        <v>#N/A</v>
      </c>
      <c r="BM504" s="18" t="e">
        <f t="shared" si="200"/>
        <v>#N/A</v>
      </c>
      <c r="BN504" s="18"/>
      <c r="BO504" s="18"/>
      <c r="BS504">
        <f t="shared" si="190"/>
        <v>-50</v>
      </c>
      <c r="BT504">
        <f t="shared" si="191"/>
        <v>0</v>
      </c>
      <c r="BU504">
        <f t="shared" si="192"/>
        <v>-25</v>
      </c>
      <c r="BV504" s="1">
        <f t="shared" si="186"/>
        <v>-0.1</v>
      </c>
      <c r="BW504" s="1">
        <f t="shared" si="187"/>
        <v>0</v>
      </c>
    </row>
    <row r="505" spans="1:75" hidden="1" x14ac:dyDescent="0.25">
      <c r="A505" s="18" t="s">
        <v>6</v>
      </c>
      <c r="B505" s="18">
        <v>2024</v>
      </c>
      <c r="C505" s="18" t="s">
        <v>140</v>
      </c>
      <c r="D505" s="18" t="s">
        <v>149</v>
      </c>
      <c r="E505" s="18"/>
      <c r="F505" s="18"/>
      <c r="G505" s="18" t="s">
        <v>150</v>
      </c>
      <c r="H505" s="31">
        <f t="shared" si="210"/>
        <v>13</v>
      </c>
      <c r="I505" s="31">
        <v>13.5</v>
      </c>
      <c r="J505" s="4">
        <f t="shared" si="204"/>
        <v>0.5</v>
      </c>
      <c r="K505" s="18"/>
      <c r="L505" s="31">
        <f t="shared" si="193"/>
        <v>0</v>
      </c>
      <c r="M505" s="31"/>
      <c r="N505" s="31"/>
      <c r="O505" s="18">
        <f t="shared" si="182"/>
        <v>0</v>
      </c>
      <c r="P505" s="18" t="s">
        <v>348</v>
      </c>
      <c r="Q505" s="18" t="e">
        <v>#N/A</v>
      </c>
      <c r="R505" s="18"/>
      <c r="S505" s="18"/>
      <c r="T505" s="65">
        <f t="shared" si="205"/>
        <v>0</v>
      </c>
      <c r="U505" s="18"/>
      <c r="V505" s="18"/>
      <c r="W505" s="18"/>
      <c r="X505" s="18"/>
      <c r="Y505" s="31">
        <f t="shared" si="188"/>
        <v>0</v>
      </c>
      <c r="Z505" s="18"/>
      <c r="AA505" s="18"/>
      <c r="AB505" s="18"/>
      <c r="AC505" s="18"/>
      <c r="AD505" s="18" t="e">
        <v>#N/A</v>
      </c>
      <c r="AE505" s="18" t="s">
        <v>348</v>
      </c>
      <c r="AF505" s="18" t="e">
        <v>#N/A</v>
      </c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 t="e">
        <f>+VLOOKUP(AI505,Leyenda!$B$30:$E$34,3,FALSE)</f>
        <v>#N/A</v>
      </c>
      <c r="AR505" s="18" t="e">
        <f>+VLOOKUP('3. Blasting'!AJ505,Meteorizacion,3,FALSE)</f>
        <v>#N/A</v>
      </c>
      <c r="AS505" s="18" t="e">
        <f>+VLOOKUP('3. Blasting'!AK505,Apertura,3,FALSE)</f>
        <v>#N/A</v>
      </c>
      <c r="AT505" s="18" t="e">
        <f>+VLOOKUP('3. Blasting'!AL505,Leyenda!$B$55:$D$59,3,FALSE)</f>
        <v>#N/A</v>
      </c>
      <c r="AU505" s="18" t="e">
        <f>+VLOOKUP('3. Blasting'!AM505,Relleno,3,FALSE)</f>
        <v>#N/A</v>
      </c>
      <c r="AV505" s="18" t="e">
        <f t="shared" si="206"/>
        <v>#N/A</v>
      </c>
      <c r="AW505" s="49">
        <f t="shared" si="194"/>
        <v>0</v>
      </c>
      <c r="AX505" s="49" t="e">
        <f>VLOOKUP(AF505,Leyenda!$B$4:$D$10,3,FALSE)</f>
        <v>#N/A</v>
      </c>
      <c r="AY505" s="50" t="e">
        <f t="shared" si="189"/>
        <v>#VALUE!</v>
      </c>
      <c r="AZ505" s="49" t="e">
        <f t="shared" si="195"/>
        <v>#N/A</v>
      </c>
      <c r="BA505" s="49" t="e">
        <f>VLOOKUP(AN505,Leyenda!$B$70:$D$75,3,FALSE)</f>
        <v>#N/A</v>
      </c>
      <c r="BB505" s="67" t="e">
        <f t="shared" si="196"/>
        <v>#N/A</v>
      </c>
      <c r="BC505" s="67" t="e">
        <f>VLOOKUP(AF505,Leyenda!$B$4:$E$10,4,FALSE)</f>
        <v>#N/A</v>
      </c>
      <c r="BD505" s="67">
        <f t="shared" si="197"/>
        <v>5</v>
      </c>
      <c r="BE505" s="67">
        <f t="shared" si="198"/>
        <v>0</v>
      </c>
      <c r="BF505" s="67" t="e">
        <f>+VLOOKUP('3. Blasting'!AK505,Leyenda!$B$47:$E$51,4,FALSE)</f>
        <v>#N/A</v>
      </c>
      <c r="BG505" s="67" t="e">
        <f>+VLOOKUP('3. Blasting'!AL505,Leyenda!$B$55:$E$59,4,FALSE)</f>
        <v>#N/A</v>
      </c>
      <c r="BH505" s="67" t="e">
        <f>+VLOOKUP('3. Blasting'!AM505,Leyenda!$B$63:$E$67,3,FALSE)</f>
        <v>#N/A</v>
      </c>
      <c r="BI505" s="67" t="e">
        <f>+VLOOKUP('3. Blasting'!AJ505,Leyenda!$B$39:$E$43,4,FALSE)</f>
        <v>#N/A</v>
      </c>
      <c r="BJ505" s="67" t="e">
        <f>+VLOOKUP('3. Blasting'!AI505,Leyenda!$B$30:$E$34,4,FALSE)</f>
        <v>#N/A</v>
      </c>
      <c r="BK505" s="67" t="e">
        <f>VLOOKUP(AN505,Leyenda!$B$71:$E$75,4,FALSE)</f>
        <v>#N/A</v>
      </c>
      <c r="BL505" s="67" t="e">
        <f t="shared" si="199"/>
        <v>#N/A</v>
      </c>
      <c r="BM505" s="18" t="e">
        <f t="shared" si="200"/>
        <v>#N/A</v>
      </c>
      <c r="BN505" s="18"/>
      <c r="BO505" s="18"/>
      <c r="BS505">
        <f t="shared" si="190"/>
        <v>-50</v>
      </c>
      <c r="BT505">
        <f t="shared" si="191"/>
        <v>0</v>
      </c>
      <c r="BU505">
        <f t="shared" si="192"/>
        <v>-25</v>
      </c>
      <c r="BV505" s="1">
        <f t="shared" si="186"/>
        <v>-0.1</v>
      </c>
      <c r="BW505" s="1">
        <f t="shared" si="187"/>
        <v>0</v>
      </c>
    </row>
    <row r="506" spans="1:75" hidden="1" x14ac:dyDescent="0.25">
      <c r="A506" s="18" t="s">
        <v>6</v>
      </c>
      <c r="B506" s="18">
        <v>2024</v>
      </c>
      <c r="C506" s="18" t="s">
        <v>140</v>
      </c>
      <c r="D506" s="18" t="s">
        <v>149</v>
      </c>
      <c r="E506" s="18"/>
      <c r="F506" s="18"/>
      <c r="G506" s="18" t="s">
        <v>150</v>
      </c>
      <c r="H506" s="31">
        <f t="shared" si="210"/>
        <v>13.5</v>
      </c>
      <c r="I506" s="31">
        <v>14</v>
      </c>
      <c r="J506" s="4">
        <f t="shared" si="204"/>
        <v>0.5</v>
      </c>
      <c r="K506" s="18"/>
      <c r="L506" s="31">
        <f t="shared" si="193"/>
        <v>0</v>
      </c>
      <c r="M506" s="31"/>
      <c r="N506" s="31"/>
      <c r="O506" s="18">
        <f t="shared" si="182"/>
        <v>0</v>
      </c>
      <c r="P506" s="18" t="s">
        <v>348</v>
      </c>
      <c r="Q506" s="18" t="e">
        <v>#N/A</v>
      </c>
      <c r="R506" s="18"/>
      <c r="S506" s="18"/>
      <c r="T506" s="65">
        <f t="shared" si="205"/>
        <v>0</v>
      </c>
      <c r="U506" s="18"/>
      <c r="V506" s="18"/>
      <c r="W506" s="18"/>
      <c r="X506" s="18"/>
      <c r="Y506" s="31">
        <f t="shared" si="188"/>
        <v>0</v>
      </c>
      <c r="Z506" s="18"/>
      <c r="AA506" s="18"/>
      <c r="AB506" s="18"/>
      <c r="AC506" s="18"/>
      <c r="AD506" s="18" t="e">
        <v>#N/A</v>
      </c>
      <c r="AE506" s="18" t="s">
        <v>348</v>
      </c>
      <c r="AF506" s="18" t="e">
        <v>#N/A</v>
      </c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 t="e">
        <f>+VLOOKUP(AI506,Leyenda!$B$30:$E$34,3,FALSE)</f>
        <v>#N/A</v>
      </c>
      <c r="AR506" s="18" t="e">
        <f>+VLOOKUP('3. Blasting'!AJ506,Meteorizacion,3,FALSE)</f>
        <v>#N/A</v>
      </c>
      <c r="AS506" s="18" t="e">
        <f>+VLOOKUP('3. Blasting'!AK506,Apertura,3,FALSE)</f>
        <v>#N/A</v>
      </c>
      <c r="AT506" s="18" t="e">
        <f>+VLOOKUP('3. Blasting'!AL506,Leyenda!$B$55:$D$59,3,FALSE)</f>
        <v>#N/A</v>
      </c>
      <c r="AU506" s="18" t="e">
        <f>+VLOOKUP('3. Blasting'!AM506,Relleno,3,FALSE)</f>
        <v>#N/A</v>
      </c>
      <c r="AV506" s="18" t="e">
        <f t="shared" si="206"/>
        <v>#N/A</v>
      </c>
      <c r="AW506" s="49">
        <f t="shared" si="194"/>
        <v>0</v>
      </c>
      <c r="AX506" s="49" t="e">
        <f>VLOOKUP(AF506,Leyenda!$B$4:$D$10,3,FALSE)</f>
        <v>#N/A</v>
      </c>
      <c r="AY506" s="50" t="e">
        <f t="shared" si="189"/>
        <v>#VALUE!</v>
      </c>
      <c r="AZ506" s="49" t="e">
        <f t="shared" si="195"/>
        <v>#N/A</v>
      </c>
      <c r="BA506" s="49" t="e">
        <f>VLOOKUP(AN506,Leyenda!$B$70:$D$75,3,FALSE)</f>
        <v>#N/A</v>
      </c>
      <c r="BB506" s="67" t="e">
        <f t="shared" si="196"/>
        <v>#N/A</v>
      </c>
      <c r="BC506" s="67" t="e">
        <f>VLOOKUP(AF506,Leyenda!$B$4:$E$10,4,FALSE)</f>
        <v>#N/A</v>
      </c>
      <c r="BD506" s="67">
        <f t="shared" si="197"/>
        <v>5</v>
      </c>
      <c r="BE506" s="67">
        <f t="shared" si="198"/>
        <v>0</v>
      </c>
      <c r="BF506" s="67" t="e">
        <f>+VLOOKUP('3. Blasting'!AK506,Leyenda!$B$47:$E$51,4,FALSE)</f>
        <v>#N/A</v>
      </c>
      <c r="BG506" s="67" t="e">
        <f>+VLOOKUP('3. Blasting'!AL506,Leyenda!$B$55:$E$59,4,FALSE)</f>
        <v>#N/A</v>
      </c>
      <c r="BH506" s="67" t="e">
        <f>+VLOOKUP('3. Blasting'!AM506,Leyenda!$B$63:$E$67,3,FALSE)</f>
        <v>#N/A</v>
      </c>
      <c r="BI506" s="67" t="e">
        <f>+VLOOKUP('3. Blasting'!AJ506,Leyenda!$B$39:$E$43,4,FALSE)</f>
        <v>#N/A</v>
      </c>
      <c r="BJ506" s="67" t="e">
        <f>+VLOOKUP('3. Blasting'!AI506,Leyenda!$B$30:$E$34,4,FALSE)</f>
        <v>#N/A</v>
      </c>
      <c r="BK506" s="67" t="e">
        <f>VLOOKUP(AN506,Leyenda!$B$71:$E$75,4,FALSE)</f>
        <v>#N/A</v>
      </c>
      <c r="BL506" s="67" t="e">
        <f t="shared" si="199"/>
        <v>#N/A</v>
      </c>
      <c r="BM506" s="18" t="e">
        <f t="shared" si="200"/>
        <v>#N/A</v>
      </c>
      <c r="BN506" s="18"/>
      <c r="BO506" s="18"/>
      <c r="BS506">
        <f t="shared" si="190"/>
        <v>-50</v>
      </c>
      <c r="BT506">
        <f t="shared" si="191"/>
        <v>0</v>
      </c>
      <c r="BU506">
        <f t="shared" si="192"/>
        <v>-25</v>
      </c>
      <c r="BV506" s="1">
        <f t="shared" si="186"/>
        <v>-0.1</v>
      </c>
      <c r="BW506" s="1">
        <f t="shared" si="187"/>
        <v>0</v>
      </c>
    </row>
    <row r="507" spans="1:75" hidden="1" x14ac:dyDescent="0.25">
      <c r="A507" s="18" t="s">
        <v>6</v>
      </c>
      <c r="B507" s="18">
        <v>2024</v>
      </c>
      <c r="C507" s="18" t="s">
        <v>140</v>
      </c>
      <c r="D507" s="18" t="s">
        <v>149</v>
      </c>
      <c r="E507" s="18"/>
      <c r="F507" s="18"/>
      <c r="G507" s="18" t="s">
        <v>150</v>
      </c>
      <c r="H507" s="31">
        <f t="shared" si="210"/>
        <v>14</v>
      </c>
      <c r="I507" s="31">
        <v>14.7</v>
      </c>
      <c r="J507" s="4">
        <f t="shared" si="204"/>
        <v>0.69999999999999929</v>
      </c>
      <c r="K507" s="18"/>
      <c r="L507" s="31">
        <f t="shared" si="193"/>
        <v>0</v>
      </c>
      <c r="M507" s="31"/>
      <c r="N507" s="31"/>
      <c r="O507" s="18">
        <f t="shared" si="182"/>
        <v>0</v>
      </c>
      <c r="P507" s="18" t="s">
        <v>348</v>
      </c>
      <c r="Q507" s="18" t="e">
        <v>#N/A</v>
      </c>
      <c r="R507" s="18"/>
      <c r="S507" s="18"/>
      <c r="T507" s="65">
        <f t="shared" si="205"/>
        <v>0</v>
      </c>
      <c r="U507" s="18"/>
      <c r="V507" s="18"/>
      <c r="W507" s="18"/>
      <c r="X507" s="18"/>
      <c r="Y507" s="31">
        <f t="shared" si="188"/>
        <v>0</v>
      </c>
      <c r="Z507" s="18"/>
      <c r="AA507" s="18"/>
      <c r="AB507" s="18"/>
      <c r="AC507" s="18"/>
      <c r="AD507" s="18" t="e">
        <v>#N/A</v>
      </c>
      <c r="AE507" s="18" t="s">
        <v>348</v>
      </c>
      <c r="AF507" s="18" t="e">
        <v>#N/A</v>
      </c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 t="e">
        <f>+VLOOKUP(AI507,Leyenda!$B$30:$E$34,3,FALSE)</f>
        <v>#N/A</v>
      </c>
      <c r="AR507" s="18" t="e">
        <f>+VLOOKUP('3. Blasting'!AJ507,Meteorizacion,3,FALSE)</f>
        <v>#N/A</v>
      </c>
      <c r="AS507" s="18" t="e">
        <f>+VLOOKUP('3. Blasting'!AK507,Apertura,3,FALSE)</f>
        <v>#N/A</v>
      </c>
      <c r="AT507" s="18" t="e">
        <f>+VLOOKUP('3. Blasting'!AL507,Leyenda!$B$55:$D$59,3,FALSE)</f>
        <v>#N/A</v>
      </c>
      <c r="AU507" s="18" t="e">
        <f>+VLOOKUP('3. Blasting'!AM507,Relleno,3,FALSE)</f>
        <v>#N/A</v>
      </c>
      <c r="AV507" s="18" t="e">
        <f t="shared" si="206"/>
        <v>#N/A</v>
      </c>
      <c r="AW507" s="49">
        <f t="shared" si="194"/>
        <v>0</v>
      </c>
      <c r="AX507" s="49" t="e">
        <f>VLOOKUP(AF507,Leyenda!$B$4:$D$10,3,FALSE)</f>
        <v>#N/A</v>
      </c>
      <c r="AY507" s="50" t="e">
        <f t="shared" si="189"/>
        <v>#VALUE!</v>
      </c>
      <c r="AZ507" s="49" t="e">
        <f t="shared" si="195"/>
        <v>#N/A</v>
      </c>
      <c r="BA507" s="49" t="e">
        <f>VLOOKUP(AN507,Leyenda!$B$70:$D$75,3,FALSE)</f>
        <v>#N/A</v>
      </c>
      <c r="BB507" s="67" t="e">
        <f t="shared" si="196"/>
        <v>#N/A</v>
      </c>
      <c r="BC507" s="67" t="e">
        <f>VLOOKUP(AF507,Leyenda!$B$4:$E$10,4,FALSE)</f>
        <v>#N/A</v>
      </c>
      <c r="BD507" s="67">
        <f t="shared" si="197"/>
        <v>5</v>
      </c>
      <c r="BE507" s="67">
        <f t="shared" si="198"/>
        <v>0</v>
      </c>
      <c r="BF507" s="67" t="e">
        <f>+VLOOKUP('3. Blasting'!AK507,Leyenda!$B$47:$E$51,4,FALSE)</f>
        <v>#N/A</v>
      </c>
      <c r="BG507" s="67" t="e">
        <f>+VLOOKUP('3. Blasting'!AL507,Leyenda!$B$55:$E$59,4,FALSE)</f>
        <v>#N/A</v>
      </c>
      <c r="BH507" s="67" t="e">
        <f>+VLOOKUP('3. Blasting'!AM507,Leyenda!$B$63:$E$67,3,FALSE)</f>
        <v>#N/A</v>
      </c>
      <c r="BI507" s="67" t="e">
        <f>+VLOOKUP('3. Blasting'!AJ507,Leyenda!$B$39:$E$43,4,FALSE)</f>
        <v>#N/A</v>
      </c>
      <c r="BJ507" s="67" t="e">
        <f>+VLOOKUP('3. Blasting'!AI507,Leyenda!$B$30:$E$34,4,FALSE)</f>
        <v>#N/A</v>
      </c>
      <c r="BK507" s="67" t="e">
        <f>VLOOKUP(AN507,Leyenda!$B$71:$E$75,4,FALSE)</f>
        <v>#N/A</v>
      </c>
      <c r="BL507" s="67" t="e">
        <f t="shared" si="199"/>
        <v>#N/A</v>
      </c>
      <c r="BM507" s="18" t="e">
        <f t="shared" si="200"/>
        <v>#N/A</v>
      </c>
      <c r="BN507" s="18"/>
      <c r="BO507" s="18"/>
      <c r="BS507">
        <f t="shared" si="190"/>
        <v>-50</v>
      </c>
      <c r="BT507">
        <f t="shared" si="191"/>
        <v>0</v>
      </c>
      <c r="BU507">
        <f t="shared" si="192"/>
        <v>-25</v>
      </c>
      <c r="BV507" s="1">
        <f t="shared" si="186"/>
        <v>-0.1</v>
      </c>
      <c r="BW507" s="1">
        <f t="shared" si="187"/>
        <v>0</v>
      </c>
    </row>
    <row r="508" spans="1:75" hidden="1" x14ac:dyDescent="0.25">
      <c r="A508" s="36" t="s">
        <v>6</v>
      </c>
      <c r="B508" s="36">
        <v>2024</v>
      </c>
      <c r="C508" s="36" t="s">
        <v>140</v>
      </c>
      <c r="D508" s="36" t="s">
        <v>149</v>
      </c>
      <c r="E508" s="36"/>
      <c r="F508" s="36"/>
      <c r="G508" s="36" t="s">
        <v>150</v>
      </c>
      <c r="H508" s="106">
        <f t="shared" si="210"/>
        <v>14.7</v>
      </c>
      <c r="I508" s="106">
        <v>15</v>
      </c>
      <c r="J508" s="107">
        <f t="shared" si="204"/>
        <v>0.30000000000000071</v>
      </c>
      <c r="K508" s="36"/>
      <c r="L508" s="106">
        <f t="shared" si="193"/>
        <v>0</v>
      </c>
      <c r="M508" s="106"/>
      <c r="N508" s="106"/>
      <c r="O508" s="36">
        <f t="shared" si="182"/>
        <v>0</v>
      </c>
      <c r="P508" s="36" t="s">
        <v>348</v>
      </c>
      <c r="Q508" s="36" t="e">
        <v>#N/A</v>
      </c>
      <c r="R508" s="36"/>
      <c r="S508" s="36"/>
      <c r="T508" s="112">
        <f t="shared" si="205"/>
        <v>0</v>
      </c>
      <c r="U508" s="36"/>
      <c r="V508" s="36"/>
      <c r="W508" s="36"/>
      <c r="X508" s="36"/>
      <c r="Y508" s="106">
        <f t="shared" si="188"/>
        <v>0</v>
      </c>
      <c r="Z508" s="36"/>
      <c r="AA508" s="36"/>
      <c r="AB508" s="36"/>
      <c r="AC508" s="36"/>
      <c r="AD508" s="36" t="e">
        <v>#N/A</v>
      </c>
      <c r="AE508" s="36" t="s">
        <v>348</v>
      </c>
      <c r="AF508" s="36" t="e">
        <v>#N/A</v>
      </c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 t="e">
        <f>+VLOOKUP(AI508,Leyenda!$B$30:$E$34,3,FALSE)</f>
        <v>#N/A</v>
      </c>
      <c r="AR508" s="36" t="e">
        <f>+VLOOKUP('3. Blasting'!AJ508,Meteorizacion,3,FALSE)</f>
        <v>#N/A</v>
      </c>
      <c r="AS508" s="36" t="e">
        <f>+VLOOKUP('3. Blasting'!AK508,Apertura,3,FALSE)</f>
        <v>#N/A</v>
      </c>
      <c r="AT508" s="36" t="e">
        <f>+VLOOKUP('3. Blasting'!AL508,Leyenda!$B$55:$D$59,3,FALSE)</f>
        <v>#N/A</v>
      </c>
      <c r="AU508" s="36" t="e">
        <f>+VLOOKUP('3. Blasting'!AM508,Relleno,3,FALSE)</f>
        <v>#N/A</v>
      </c>
      <c r="AV508" s="36" t="e">
        <f t="shared" si="206"/>
        <v>#N/A</v>
      </c>
      <c r="AW508" s="50">
        <f t="shared" si="194"/>
        <v>0</v>
      </c>
      <c r="AX508" s="50" t="e">
        <f>VLOOKUP(AF508,Leyenda!$B$4:$D$10,3,FALSE)</f>
        <v>#N/A</v>
      </c>
      <c r="AY508" s="50" t="e">
        <f t="shared" si="189"/>
        <v>#VALUE!</v>
      </c>
      <c r="AZ508" s="50" t="e">
        <f t="shared" si="195"/>
        <v>#N/A</v>
      </c>
      <c r="BA508" s="50" t="e">
        <f>VLOOKUP(AN508,Leyenda!$B$70:$D$75,3,FALSE)</f>
        <v>#N/A</v>
      </c>
      <c r="BB508" s="110" t="e">
        <f t="shared" si="196"/>
        <v>#N/A</v>
      </c>
      <c r="BC508" s="110" t="e">
        <f>VLOOKUP(AF508,Leyenda!$B$4:$E$10,4,FALSE)</f>
        <v>#N/A</v>
      </c>
      <c r="BD508" s="110">
        <f t="shared" si="197"/>
        <v>5</v>
      </c>
      <c r="BE508" s="110">
        <f t="shared" si="198"/>
        <v>0</v>
      </c>
      <c r="BF508" s="110" t="e">
        <f>+VLOOKUP('3. Blasting'!AK508,Leyenda!$B$47:$E$51,4,FALSE)</f>
        <v>#N/A</v>
      </c>
      <c r="BG508" s="110" t="e">
        <f>+VLOOKUP('3. Blasting'!AL508,Leyenda!$B$55:$E$59,4,FALSE)</f>
        <v>#N/A</v>
      </c>
      <c r="BH508" s="110" t="e">
        <f>+VLOOKUP('3. Blasting'!AM508,Leyenda!$B$63:$E$67,3,FALSE)</f>
        <v>#N/A</v>
      </c>
      <c r="BI508" s="110" t="e">
        <f>+VLOOKUP('3. Blasting'!AJ508,Leyenda!$B$39:$E$43,4,FALSE)</f>
        <v>#N/A</v>
      </c>
      <c r="BJ508" s="110" t="e">
        <f>+VLOOKUP('3. Blasting'!AI508,Leyenda!$B$30:$E$34,4,FALSE)</f>
        <v>#N/A</v>
      </c>
      <c r="BK508" s="110" t="e">
        <f>VLOOKUP(AN508,Leyenda!$B$71:$E$75,4,FALSE)</f>
        <v>#N/A</v>
      </c>
      <c r="BL508" s="110" t="e">
        <f t="shared" si="199"/>
        <v>#N/A</v>
      </c>
      <c r="BM508" s="36" t="e">
        <f t="shared" si="200"/>
        <v>#N/A</v>
      </c>
      <c r="BN508" s="36"/>
      <c r="BO508" s="36"/>
      <c r="BS508">
        <f t="shared" si="190"/>
        <v>-50</v>
      </c>
      <c r="BT508">
        <f t="shared" si="191"/>
        <v>0</v>
      </c>
      <c r="BU508">
        <f t="shared" si="192"/>
        <v>-25</v>
      </c>
      <c r="BV508" s="1">
        <f t="shared" si="186"/>
        <v>-0.1</v>
      </c>
      <c r="BW508" s="1">
        <f t="shared" si="187"/>
        <v>0</v>
      </c>
    </row>
    <row r="509" spans="1:75" hidden="1" x14ac:dyDescent="0.25">
      <c r="A509" s="18" t="s">
        <v>6</v>
      </c>
      <c r="B509" s="18">
        <v>2024</v>
      </c>
      <c r="C509" s="18" t="s">
        <v>138</v>
      </c>
      <c r="D509" s="18" t="s">
        <v>266</v>
      </c>
      <c r="E509" s="18">
        <v>60</v>
      </c>
      <c r="F509" s="18" t="s">
        <v>136</v>
      </c>
      <c r="G509" s="18" t="s">
        <v>297</v>
      </c>
      <c r="H509" s="18">
        <v>0</v>
      </c>
      <c r="I509" s="31">
        <v>0.5</v>
      </c>
      <c r="J509" s="4">
        <f t="shared" si="204"/>
        <v>0.5</v>
      </c>
      <c r="K509" s="32">
        <v>1</v>
      </c>
      <c r="L509" s="31">
        <f t="shared" si="193"/>
        <v>0.5</v>
      </c>
      <c r="M509" s="31">
        <v>2.11</v>
      </c>
      <c r="N509" s="31">
        <v>16.600000000000001</v>
      </c>
      <c r="O509" s="18">
        <f t="shared" si="182"/>
        <v>0.5</v>
      </c>
      <c r="P509" s="18">
        <v>25</v>
      </c>
      <c r="Q509" s="18">
        <v>20</v>
      </c>
      <c r="R509" s="18">
        <v>0.5</v>
      </c>
      <c r="S509" s="18">
        <v>0.17</v>
      </c>
      <c r="T509" s="65">
        <f t="shared" si="205"/>
        <v>34</v>
      </c>
      <c r="U509" s="18">
        <v>4</v>
      </c>
      <c r="V509" s="18"/>
      <c r="W509" s="18">
        <f t="shared" ref="W509:W572" si="211">+U509+V509</f>
        <v>4</v>
      </c>
      <c r="X509" s="18">
        <f t="shared" ref="X509:X572" si="212">+IF(R509=0,"",(R509*1000)/W509)</f>
        <v>125</v>
      </c>
      <c r="Y509" s="31">
        <f t="shared" si="188"/>
        <v>0.125</v>
      </c>
      <c r="Z509" s="18">
        <v>0</v>
      </c>
      <c r="AA509" s="18" t="s">
        <v>330</v>
      </c>
      <c r="AB509" s="18" t="s">
        <v>333</v>
      </c>
      <c r="AC509" s="18" t="s">
        <v>335</v>
      </c>
      <c r="AD509" s="18">
        <v>20</v>
      </c>
      <c r="AE509" s="18">
        <v>25</v>
      </c>
      <c r="AF509" s="18" t="s">
        <v>34</v>
      </c>
      <c r="AG509" s="18" t="s">
        <v>199</v>
      </c>
      <c r="AH509" s="18" t="s">
        <v>199</v>
      </c>
      <c r="AI509" s="18" t="s">
        <v>69</v>
      </c>
      <c r="AJ509" s="18" t="s">
        <v>81</v>
      </c>
      <c r="AK509" s="18" t="s">
        <v>100</v>
      </c>
      <c r="AL509" s="18" t="s">
        <v>109</v>
      </c>
      <c r="AM509" s="18" t="s">
        <v>120</v>
      </c>
      <c r="AN509" s="18" t="s">
        <v>267</v>
      </c>
      <c r="AO509" s="18"/>
      <c r="AP509" s="18"/>
      <c r="AQ509" s="18">
        <f>+VLOOKUP(AI509,Leyenda!$B$30:$E$34,3,FALSE)</f>
        <v>0</v>
      </c>
      <c r="AR509" s="18">
        <f>+VLOOKUP('3. Blasting'!AJ509,Meteorizacion,3,FALSE)</f>
        <v>0</v>
      </c>
      <c r="AS509" s="18">
        <f>+VLOOKUP('3. Blasting'!AK509,Apertura,3,FALSE)</f>
        <v>0</v>
      </c>
      <c r="AT509" s="18">
        <f>+VLOOKUP('3. Blasting'!AL509,Leyenda!$B$55:$D$59,3,FALSE)</f>
        <v>1</v>
      </c>
      <c r="AU509" s="18">
        <f>+VLOOKUP('3. Blasting'!AM509,Relleno,3,FALSE)</f>
        <v>2</v>
      </c>
      <c r="AV509" s="18">
        <f t="shared" si="206"/>
        <v>3</v>
      </c>
      <c r="AW509" s="49">
        <f t="shared" si="194"/>
        <v>0</v>
      </c>
      <c r="AX509" s="49">
        <f>VLOOKUP(AF509,Leyenda!$B$4:$D$10,3,FALSE)</f>
        <v>0</v>
      </c>
      <c r="AY509" s="49">
        <f t="shared" si="189"/>
        <v>5</v>
      </c>
      <c r="AZ509" s="49">
        <f t="shared" si="195"/>
        <v>3</v>
      </c>
      <c r="BA509" s="49">
        <f>VLOOKUP(AN509,Leyenda!$B$70:$D$75,3,FALSE)</f>
        <v>15</v>
      </c>
      <c r="BB509" s="67">
        <f t="shared" si="196"/>
        <v>21.5</v>
      </c>
      <c r="BC509" s="67">
        <f>VLOOKUP(AF509,Leyenda!$B$4:$E$10,4,FALSE)</f>
        <v>0</v>
      </c>
      <c r="BD509" s="67">
        <f t="shared" si="197"/>
        <v>10</v>
      </c>
      <c r="BE509" s="67">
        <f t="shared" si="198"/>
        <v>7</v>
      </c>
      <c r="BF509" s="67">
        <f>+VLOOKUP('3. Blasting'!AK509,Leyenda!$B$47:$E$51,4,FALSE)</f>
        <v>0</v>
      </c>
      <c r="BG509" s="67">
        <f>+VLOOKUP('3. Blasting'!AL509,Leyenda!$B$55:$E$59,4,FALSE)</f>
        <v>1</v>
      </c>
      <c r="BH509" s="67">
        <f>+VLOOKUP('3. Blasting'!AM509,Leyenda!$B$63:$E$67,3,FALSE)</f>
        <v>2</v>
      </c>
      <c r="BI509" s="67">
        <f>+VLOOKUP('3. Blasting'!AJ509,Leyenda!$B$39:$E$43,4,FALSE)</f>
        <v>0</v>
      </c>
      <c r="BJ509" s="67">
        <f>+VLOOKUP('3. Blasting'!AI509,Leyenda!$B$30:$E$34,4,FALSE)</f>
        <v>0</v>
      </c>
      <c r="BK509" s="67">
        <f>VLOOKUP(AN509,Leyenda!$B$71:$E$75,4,FALSE)</f>
        <v>10</v>
      </c>
      <c r="BL509" s="67">
        <f t="shared" si="199"/>
        <v>30</v>
      </c>
      <c r="BM509" s="18">
        <f t="shared" si="200"/>
        <v>23</v>
      </c>
      <c r="BN509" s="18">
        <f t="shared" ref="BN509:BN532" si="213">+CORREL(BB509:BB858,BL509:BL858)</f>
        <v>0.94504044100004625</v>
      </c>
      <c r="BO509" s="18"/>
      <c r="BP509" s="6">
        <f t="shared" ref="BP509:BP532" si="214">+IF(BL509&lt;30,10,IF(BL509&lt;=41,20,30))</f>
        <v>20</v>
      </c>
      <c r="BQ509" s="6">
        <f t="shared" ref="BQ509:BQ532" si="215">+IF(Y509&lt;0.1,10,IF(AND(Y509&gt;0.1,Y509&lt;1),20,50))</f>
        <v>20</v>
      </c>
      <c r="BR509" s="6">
        <v>20</v>
      </c>
      <c r="BS509" s="6">
        <f t="shared" si="190"/>
        <v>2.75</v>
      </c>
      <c r="BT509" s="6">
        <f t="shared" si="191"/>
        <v>0.83000000000000007</v>
      </c>
      <c r="BU509" s="6">
        <f t="shared" si="192"/>
        <v>31.79</v>
      </c>
      <c r="BV509" s="18">
        <f t="shared" si="186"/>
        <v>0.12716</v>
      </c>
      <c r="BW509" s="18">
        <f t="shared" si="187"/>
        <v>0.26830759999999998</v>
      </c>
    </row>
    <row r="510" spans="1:75" hidden="1" x14ac:dyDescent="0.25">
      <c r="A510" s="18" t="s">
        <v>6</v>
      </c>
      <c r="B510" s="18">
        <v>2024</v>
      </c>
      <c r="C510" s="18" t="s">
        <v>138</v>
      </c>
      <c r="D510" s="18" t="s">
        <v>266</v>
      </c>
      <c r="E510" s="18">
        <v>60</v>
      </c>
      <c r="F510" s="18" t="s">
        <v>136</v>
      </c>
      <c r="G510" s="18" t="s">
        <v>297</v>
      </c>
      <c r="H510" s="31">
        <f>+I509</f>
        <v>0.5</v>
      </c>
      <c r="I510" s="31">
        <v>1</v>
      </c>
      <c r="J510" s="4">
        <f t="shared" si="204"/>
        <v>0.5</v>
      </c>
      <c r="K510" s="32">
        <v>0.76</v>
      </c>
      <c r="L510" s="31">
        <f t="shared" si="193"/>
        <v>0.38</v>
      </c>
      <c r="M510" s="31">
        <v>2.11</v>
      </c>
      <c r="N510" s="31">
        <v>16.600000000000001</v>
      </c>
      <c r="O510" s="18">
        <f t="shared" si="182"/>
        <v>0.38</v>
      </c>
      <c r="P510" s="18">
        <v>19</v>
      </c>
      <c r="Q510" s="18">
        <v>20</v>
      </c>
      <c r="R510" s="18">
        <v>0.38</v>
      </c>
      <c r="S510" s="18">
        <v>0</v>
      </c>
      <c r="T510" s="65">
        <f t="shared" si="205"/>
        <v>0</v>
      </c>
      <c r="U510" s="18">
        <v>7</v>
      </c>
      <c r="V510" s="18"/>
      <c r="W510" s="18">
        <f t="shared" si="211"/>
        <v>7</v>
      </c>
      <c r="X510" s="18">
        <f t="shared" si="212"/>
        <v>54.285714285714285</v>
      </c>
      <c r="Y510" s="31">
        <f t="shared" si="188"/>
        <v>5.4285714285714284E-2</v>
      </c>
      <c r="Z510" s="18">
        <v>0</v>
      </c>
      <c r="AA510" s="18" t="s">
        <v>330</v>
      </c>
      <c r="AB510" s="18" t="s">
        <v>333</v>
      </c>
      <c r="AC510" s="18" t="s">
        <v>335</v>
      </c>
      <c r="AD510" s="18">
        <v>20</v>
      </c>
      <c r="AE510" s="18">
        <v>19</v>
      </c>
      <c r="AF510" s="18" t="s">
        <v>34</v>
      </c>
      <c r="AG510" s="18" t="s">
        <v>199</v>
      </c>
      <c r="AH510" s="18" t="s">
        <v>199</v>
      </c>
      <c r="AI510" s="18" t="s">
        <v>69</v>
      </c>
      <c r="AJ510" s="18" t="s">
        <v>81</v>
      </c>
      <c r="AK510" s="18" t="s">
        <v>100</v>
      </c>
      <c r="AL510" s="18" t="s">
        <v>109</v>
      </c>
      <c r="AM510" s="18" t="s">
        <v>120</v>
      </c>
      <c r="AN510" s="18" t="s">
        <v>267</v>
      </c>
      <c r="AO510" s="18" t="s">
        <v>268</v>
      </c>
      <c r="AP510" s="18"/>
      <c r="AQ510" s="18">
        <f>+VLOOKUP(AI510,Leyenda!$B$30:$E$34,3,FALSE)</f>
        <v>0</v>
      </c>
      <c r="AR510" s="18">
        <f>+VLOOKUP('3. Blasting'!AJ510,Meteorizacion,3,FALSE)</f>
        <v>0</v>
      </c>
      <c r="AS510" s="18">
        <f>+VLOOKUP('3. Blasting'!AK510,Apertura,3,FALSE)</f>
        <v>0</v>
      </c>
      <c r="AT510" s="18">
        <f>+VLOOKUP('3. Blasting'!AL510,Leyenda!$B$55:$D$59,3,FALSE)</f>
        <v>1</v>
      </c>
      <c r="AU510" s="18">
        <f>+VLOOKUP('3. Blasting'!AM510,Relleno,3,FALSE)</f>
        <v>2</v>
      </c>
      <c r="AV510" s="18">
        <f t="shared" si="206"/>
        <v>3</v>
      </c>
      <c r="AW510" s="49">
        <f t="shared" si="194"/>
        <v>0</v>
      </c>
      <c r="AX510" s="49">
        <f>VLOOKUP(AF510,Leyenda!$B$4:$D$10,3,FALSE)</f>
        <v>0</v>
      </c>
      <c r="AY510" s="49">
        <f t="shared" si="189"/>
        <v>4</v>
      </c>
      <c r="AZ510" s="49">
        <f t="shared" si="195"/>
        <v>3</v>
      </c>
      <c r="BA510" s="49">
        <f>VLOOKUP(AN510,Leyenda!$B$70:$D$75,3,FALSE)</f>
        <v>15</v>
      </c>
      <c r="BB510" s="67">
        <f t="shared" si="196"/>
        <v>4.5</v>
      </c>
      <c r="BC510" s="67">
        <f>VLOOKUP(AF510,Leyenda!$B$4:$E$10,4,FALSE)</f>
        <v>0</v>
      </c>
      <c r="BD510" s="67">
        <f t="shared" si="197"/>
        <v>4</v>
      </c>
      <c r="BE510" s="67">
        <f t="shared" si="198"/>
        <v>0</v>
      </c>
      <c r="BF510" s="67">
        <f>+VLOOKUP('3. Blasting'!AK510,Leyenda!$B$47:$E$51,4,FALSE)</f>
        <v>0</v>
      </c>
      <c r="BG510" s="67">
        <f>+VLOOKUP('3. Blasting'!AL510,Leyenda!$B$55:$E$59,4,FALSE)</f>
        <v>1</v>
      </c>
      <c r="BH510" s="67">
        <f>+VLOOKUP('3. Blasting'!AM510,Leyenda!$B$63:$E$67,3,FALSE)</f>
        <v>2</v>
      </c>
      <c r="BI510" s="67">
        <f>+VLOOKUP('3. Blasting'!AJ510,Leyenda!$B$39:$E$43,4,FALSE)</f>
        <v>0</v>
      </c>
      <c r="BJ510" s="67">
        <f>+VLOOKUP('3. Blasting'!AI510,Leyenda!$B$30:$E$34,4,FALSE)</f>
        <v>0</v>
      </c>
      <c r="BK510" s="67">
        <f>VLOOKUP(AN510,Leyenda!$B$71:$E$75,4,FALSE)</f>
        <v>10</v>
      </c>
      <c r="BL510" s="67">
        <f t="shared" si="199"/>
        <v>17</v>
      </c>
      <c r="BM510" s="18">
        <f t="shared" si="200"/>
        <v>22</v>
      </c>
      <c r="BN510" s="18">
        <f t="shared" si="213"/>
        <v>0.94499904419494074</v>
      </c>
      <c r="BO510" s="18"/>
      <c r="BP510" s="6">
        <f t="shared" si="214"/>
        <v>10</v>
      </c>
      <c r="BQ510" s="6">
        <f t="shared" si="215"/>
        <v>10</v>
      </c>
      <c r="BR510" s="6">
        <v>20</v>
      </c>
      <c r="BS510" s="6">
        <f t="shared" si="190"/>
        <v>2.75</v>
      </c>
      <c r="BT510" s="6">
        <f t="shared" si="191"/>
        <v>0.83000000000000007</v>
      </c>
      <c r="BU510" s="6">
        <f t="shared" si="192"/>
        <v>21.79</v>
      </c>
      <c r="BV510" s="18">
        <f t="shared" si="186"/>
        <v>8.7160000000000001E-2</v>
      </c>
      <c r="BW510" s="18">
        <f t="shared" si="187"/>
        <v>0.1839076</v>
      </c>
    </row>
    <row r="511" spans="1:75" hidden="1" x14ac:dyDescent="0.25">
      <c r="A511" s="18" t="s">
        <v>6</v>
      </c>
      <c r="B511" s="18">
        <v>2024</v>
      </c>
      <c r="C511" s="18" t="s">
        <v>138</v>
      </c>
      <c r="D511" s="18" t="s">
        <v>266</v>
      </c>
      <c r="E511" s="18">
        <v>60</v>
      </c>
      <c r="F511" s="18" t="s">
        <v>136</v>
      </c>
      <c r="G511" s="18" t="s">
        <v>297</v>
      </c>
      <c r="H511" s="31">
        <f>+I510</f>
        <v>1</v>
      </c>
      <c r="I511" s="31">
        <f>+H511+0.5</f>
        <v>1.5</v>
      </c>
      <c r="J511" s="4">
        <f t="shared" si="204"/>
        <v>0.5</v>
      </c>
      <c r="K511" s="32">
        <v>0.24</v>
      </c>
      <c r="L511" s="31">
        <f t="shared" si="193"/>
        <v>0.12</v>
      </c>
      <c r="M511" s="31">
        <v>2.11</v>
      </c>
      <c r="N511" s="31">
        <v>16.600000000000001</v>
      </c>
      <c r="O511" s="18">
        <f t="shared" si="182"/>
        <v>0.12</v>
      </c>
      <c r="P511" s="18">
        <v>6</v>
      </c>
      <c r="Q511" s="18">
        <v>20</v>
      </c>
      <c r="R511" s="18">
        <v>0.12</v>
      </c>
      <c r="S511" s="18">
        <v>0</v>
      </c>
      <c r="T511" s="94">
        <f t="shared" si="205"/>
        <v>0</v>
      </c>
      <c r="U511" s="18">
        <v>5</v>
      </c>
      <c r="V511" s="18"/>
      <c r="W511" s="18">
        <f t="shared" si="211"/>
        <v>5</v>
      </c>
      <c r="X511" s="18">
        <f t="shared" si="212"/>
        <v>24</v>
      </c>
      <c r="Y511" s="31">
        <f t="shared" si="188"/>
        <v>2.4E-2</v>
      </c>
      <c r="Z511" s="18">
        <v>0</v>
      </c>
      <c r="AA511" s="18" t="s">
        <v>330</v>
      </c>
      <c r="AB511" s="18" t="s">
        <v>333</v>
      </c>
      <c r="AC511" s="18" t="s">
        <v>335</v>
      </c>
      <c r="AD511" s="18">
        <v>20</v>
      </c>
      <c r="AE511" s="18">
        <v>6</v>
      </c>
      <c r="AF511" s="18" t="s">
        <v>34</v>
      </c>
      <c r="AG511" s="18" t="s">
        <v>199</v>
      </c>
      <c r="AH511" s="18" t="s">
        <v>199</v>
      </c>
      <c r="AI511" s="18" t="s">
        <v>69</v>
      </c>
      <c r="AJ511" s="18" t="s">
        <v>81</v>
      </c>
      <c r="AK511" s="18" t="s">
        <v>100</v>
      </c>
      <c r="AL511" s="18" t="s">
        <v>109</v>
      </c>
      <c r="AM511" s="18" t="s">
        <v>120</v>
      </c>
      <c r="AN511" s="18" t="s">
        <v>267</v>
      </c>
      <c r="AO511" s="18" t="s">
        <v>268</v>
      </c>
      <c r="AP511" s="18"/>
      <c r="AQ511" s="18">
        <f>+VLOOKUP(AI511,Leyenda!$B$30:$E$34,3,FALSE)</f>
        <v>0</v>
      </c>
      <c r="AR511" s="18">
        <f>+VLOOKUP('3. Blasting'!AJ511,Meteorizacion,3,FALSE)</f>
        <v>0</v>
      </c>
      <c r="AS511" s="18">
        <f>+VLOOKUP('3. Blasting'!AK511,Apertura,3,FALSE)</f>
        <v>0</v>
      </c>
      <c r="AT511" s="18">
        <f>+VLOOKUP('3. Blasting'!AL511,Leyenda!$B$55:$D$59,3,FALSE)</f>
        <v>1</v>
      </c>
      <c r="AU511" s="18">
        <f>+VLOOKUP('3. Blasting'!AM511,Relleno,3,FALSE)</f>
        <v>2</v>
      </c>
      <c r="AV511" s="18">
        <f t="shared" si="206"/>
        <v>3</v>
      </c>
      <c r="AW511" s="18">
        <f t="shared" si="194"/>
        <v>0</v>
      </c>
      <c r="AX511" s="18">
        <f>VLOOKUP(AF511,Leyenda!$B$4:$D$10,3,FALSE)</f>
        <v>0</v>
      </c>
      <c r="AY511" s="18">
        <f t="shared" si="189"/>
        <v>3</v>
      </c>
      <c r="AZ511" s="18">
        <f t="shared" si="195"/>
        <v>3</v>
      </c>
      <c r="BA511" s="18">
        <f>VLOOKUP(AN511,Leyenda!$B$70:$D$75,3,FALSE)</f>
        <v>15</v>
      </c>
      <c r="BB511" s="4">
        <f t="shared" si="196"/>
        <v>4.5</v>
      </c>
      <c r="BC511" s="67">
        <f>VLOOKUP(AF511,Leyenda!$B$4:$E$10,4,FALSE)</f>
        <v>0</v>
      </c>
      <c r="BD511" s="67">
        <f t="shared" si="197"/>
        <v>5</v>
      </c>
      <c r="BE511" s="67">
        <f t="shared" si="198"/>
        <v>0</v>
      </c>
      <c r="BF511" s="67">
        <f>+VLOOKUP('3. Blasting'!AK511,Leyenda!$B$47:$E$51,4,FALSE)</f>
        <v>0</v>
      </c>
      <c r="BG511" s="67">
        <f>+VLOOKUP('3. Blasting'!AL511,Leyenda!$B$55:$E$59,4,FALSE)</f>
        <v>1</v>
      </c>
      <c r="BH511" s="67">
        <f>+VLOOKUP('3. Blasting'!AM511,Leyenda!$B$63:$E$67,3,FALSE)</f>
        <v>2</v>
      </c>
      <c r="BI511" s="67">
        <f>+VLOOKUP('3. Blasting'!AJ511,Leyenda!$B$39:$E$43,4,FALSE)</f>
        <v>0</v>
      </c>
      <c r="BJ511" s="67">
        <f>+VLOOKUP('3. Blasting'!AI511,Leyenda!$B$30:$E$34,4,FALSE)</f>
        <v>0</v>
      </c>
      <c r="BK511" s="67">
        <f>VLOOKUP(AN511,Leyenda!$B$71:$E$75,4,FALSE)</f>
        <v>10</v>
      </c>
      <c r="BL511" s="67">
        <f t="shared" si="199"/>
        <v>18</v>
      </c>
      <c r="BM511" s="18">
        <f t="shared" si="200"/>
        <v>21</v>
      </c>
      <c r="BN511" s="18">
        <f t="shared" si="213"/>
        <v>0.94431126672530408</v>
      </c>
      <c r="BO511" s="18"/>
      <c r="BP511" s="6">
        <f t="shared" si="214"/>
        <v>10</v>
      </c>
      <c r="BQ511" s="6">
        <f t="shared" si="215"/>
        <v>10</v>
      </c>
      <c r="BR511" s="6">
        <v>20</v>
      </c>
      <c r="BS511" s="6">
        <f t="shared" si="190"/>
        <v>2.75</v>
      </c>
      <c r="BT511" s="6">
        <f t="shared" si="191"/>
        <v>0.83000000000000007</v>
      </c>
      <c r="BU511" s="6">
        <f t="shared" si="192"/>
        <v>21.79</v>
      </c>
      <c r="BV511" s="18">
        <f t="shared" si="186"/>
        <v>8.7160000000000001E-2</v>
      </c>
      <c r="BW511" s="18">
        <f t="shared" si="187"/>
        <v>0.1839076</v>
      </c>
    </row>
    <row r="512" spans="1:75" hidden="1" x14ac:dyDescent="0.25">
      <c r="A512" s="18" t="s">
        <v>6</v>
      </c>
      <c r="B512" s="18">
        <v>2024</v>
      </c>
      <c r="C512" s="18" t="s">
        <v>138</v>
      </c>
      <c r="D512" s="18" t="s">
        <v>266</v>
      </c>
      <c r="E512" s="18">
        <v>60</v>
      </c>
      <c r="F512" s="18" t="s">
        <v>136</v>
      </c>
      <c r="G512" s="18" t="s">
        <v>297</v>
      </c>
      <c r="H512" s="31">
        <f t="shared" ref="H512:H575" si="216">+I511</f>
        <v>1.5</v>
      </c>
      <c r="I512" s="31">
        <f t="shared" ref="I512:I575" si="217">+H512+0.5</f>
        <v>2</v>
      </c>
      <c r="J512" s="4">
        <f t="shared" si="204"/>
        <v>0.5</v>
      </c>
      <c r="K512" s="32">
        <v>0.2</v>
      </c>
      <c r="L512" s="31">
        <f t="shared" si="193"/>
        <v>0.1</v>
      </c>
      <c r="M512" s="31">
        <v>2.11</v>
      </c>
      <c r="N512" s="31">
        <v>16.600000000000001</v>
      </c>
      <c r="O512" s="18">
        <f t="shared" si="182"/>
        <v>0.1</v>
      </c>
      <c r="P512" s="18">
        <v>5</v>
      </c>
      <c r="Q512" s="18">
        <v>20</v>
      </c>
      <c r="R512" s="18">
        <v>0.12</v>
      </c>
      <c r="S512" s="18">
        <v>0</v>
      </c>
      <c r="T512" s="94">
        <f t="shared" si="205"/>
        <v>0</v>
      </c>
      <c r="U512" s="18">
        <v>5</v>
      </c>
      <c r="V512" s="18"/>
      <c r="W512" s="18">
        <f t="shared" si="211"/>
        <v>5</v>
      </c>
      <c r="X512" s="18">
        <f t="shared" si="212"/>
        <v>24</v>
      </c>
      <c r="Y512" s="31">
        <f t="shared" si="188"/>
        <v>2.4E-2</v>
      </c>
      <c r="Z512" s="18">
        <v>0</v>
      </c>
      <c r="AA512" s="18" t="s">
        <v>330</v>
      </c>
      <c r="AB512" s="18" t="s">
        <v>333</v>
      </c>
      <c r="AC512" s="18" t="s">
        <v>335</v>
      </c>
      <c r="AD512" s="18">
        <v>20</v>
      </c>
      <c r="AE512" s="18">
        <v>5</v>
      </c>
      <c r="AF512" s="18" t="s">
        <v>34</v>
      </c>
      <c r="AG512" s="18" t="s">
        <v>239</v>
      </c>
      <c r="AH512" s="18" t="s">
        <v>239</v>
      </c>
      <c r="AI512" s="18" t="s">
        <v>69</v>
      </c>
      <c r="AJ512" s="18" t="s">
        <v>81</v>
      </c>
      <c r="AK512" s="18" t="s">
        <v>100</v>
      </c>
      <c r="AL512" s="18" t="s">
        <v>109</v>
      </c>
      <c r="AM512" s="18" t="s">
        <v>122</v>
      </c>
      <c r="AN512" s="18" t="s">
        <v>267</v>
      </c>
      <c r="AO512" s="18"/>
      <c r="AP512" s="18"/>
      <c r="AQ512" s="18">
        <f>+VLOOKUP(AI512,Leyenda!$B$30:$E$34,3,FALSE)</f>
        <v>0</v>
      </c>
      <c r="AR512" s="18">
        <f>+VLOOKUP('3. Blasting'!AJ512,Meteorizacion,3,FALSE)</f>
        <v>0</v>
      </c>
      <c r="AS512" s="18">
        <f>+VLOOKUP('3. Blasting'!AK512,Apertura,3,FALSE)</f>
        <v>0</v>
      </c>
      <c r="AT512" s="18">
        <f>+VLOOKUP('3. Blasting'!AL512,Leyenda!$B$55:$D$59,3,FALSE)</f>
        <v>1</v>
      </c>
      <c r="AU512" s="18">
        <f>+VLOOKUP('3. Blasting'!AM512,Relleno,3,FALSE)</f>
        <v>0</v>
      </c>
      <c r="AV512" s="18">
        <f t="shared" si="206"/>
        <v>1</v>
      </c>
      <c r="AW512" s="18">
        <f t="shared" si="194"/>
        <v>0</v>
      </c>
      <c r="AX512" s="18">
        <f>VLOOKUP(AF512,Leyenda!$B$4:$D$10,3,FALSE)</f>
        <v>0</v>
      </c>
      <c r="AY512" s="18">
        <f t="shared" si="189"/>
        <v>3</v>
      </c>
      <c r="AZ512" s="18">
        <f t="shared" si="195"/>
        <v>1</v>
      </c>
      <c r="BA512" s="18">
        <f>VLOOKUP(AN512,Leyenda!$B$70:$D$75,3,FALSE)</f>
        <v>15</v>
      </c>
      <c r="BB512" s="4">
        <f t="shared" si="196"/>
        <v>1.5</v>
      </c>
      <c r="BC512" s="67">
        <f>VLOOKUP(AF512,Leyenda!$B$4:$E$10,4,FALSE)</f>
        <v>0</v>
      </c>
      <c r="BD512" s="67">
        <f t="shared" si="197"/>
        <v>5</v>
      </c>
      <c r="BE512" s="67">
        <f t="shared" si="198"/>
        <v>0</v>
      </c>
      <c r="BF512" s="67">
        <f>+VLOOKUP('3. Blasting'!AK512,Leyenda!$B$47:$E$51,4,FALSE)</f>
        <v>0</v>
      </c>
      <c r="BG512" s="67">
        <f>+VLOOKUP('3. Blasting'!AL512,Leyenda!$B$55:$E$59,4,FALSE)</f>
        <v>1</v>
      </c>
      <c r="BH512" s="67">
        <f>+VLOOKUP('3. Blasting'!AM512,Leyenda!$B$63:$E$67,3,FALSE)</f>
        <v>0</v>
      </c>
      <c r="BI512" s="67">
        <f>+VLOOKUP('3. Blasting'!AJ512,Leyenda!$B$39:$E$43,4,FALSE)</f>
        <v>0</v>
      </c>
      <c r="BJ512" s="67">
        <f>+VLOOKUP('3. Blasting'!AI512,Leyenda!$B$30:$E$34,4,FALSE)</f>
        <v>0</v>
      </c>
      <c r="BK512" s="67">
        <f>VLOOKUP(AN512,Leyenda!$B$71:$E$75,4,FALSE)</f>
        <v>10</v>
      </c>
      <c r="BL512" s="67">
        <f t="shared" si="199"/>
        <v>16</v>
      </c>
      <c r="BM512" s="18">
        <f t="shared" si="200"/>
        <v>19</v>
      </c>
      <c r="BN512" s="18">
        <f t="shared" si="213"/>
        <v>0.94353899634098004</v>
      </c>
      <c r="BO512" s="18"/>
      <c r="BP512" s="6">
        <f t="shared" si="214"/>
        <v>10</v>
      </c>
      <c r="BQ512" s="6">
        <f t="shared" si="215"/>
        <v>10</v>
      </c>
      <c r="BR512" s="6">
        <v>20</v>
      </c>
      <c r="BS512" s="6">
        <f t="shared" si="190"/>
        <v>2.75</v>
      </c>
      <c r="BT512" s="6">
        <f t="shared" si="191"/>
        <v>0.83000000000000007</v>
      </c>
      <c r="BU512" s="6">
        <f t="shared" si="192"/>
        <v>21.79</v>
      </c>
      <c r="BV512" s="18">
        <f t="shared" si="186"/>
        <v>8.7160000000000001E-2</v>
      </c>
      <c r="BW512" s="18">
        <f t="shared" si="187"/>
        <v>0.1839076</v>
      </c>
    </row>
    <row r="513" spans="1:75" x14ac:dyDescent="0.25">
      <c r="A513" s="18" t="s">
        <v>6</v>
      </c>
      <c r="B513" s="18">
        <v>2024</v>
      </c>
      <c r="C513" s="18" t="s">
        <v>138</v>
      </c>
      <c r="D513" s="18" t="s">
        <v>266</v>
      </c>
      <c r="E513" s="18">
        <v>40</v>
      </c>
      <c r="F513" s="18" t="s">
        <v>153</v>
      </c>
      <c r="G513" s="18" t="s">
        <v>297</v>
      </c>
      <c r="H513" s="31">
        <f t="shared" si="216"/>
        <v>2</v>
      </c>
      <c r="I513" s="31">
        <f t="shared" si="217"/>
        <v>2.5</v>
      </c>
      <c r="J513" s="4">
        <f t="shared" si="204"/>
        <v>0.5</v>
      </c>
      <c r="K513" s="32">
        <v>0.38</v>
      </c>
      <c r="L513" s="31">
        <f t="shared" si="193"/>
        <v>0.19</v>
      </c>
      <c r="M513" s="31">
        <v>2.14</v>
      </c>
      <c r="N513" s="31">
        <v>31.3</v>
      </c>
      <c r="O513" s="18">
        <f t="shared" si="182"/>
        <v>0.19</v>
      </c>
      <c r="P513" s="18">
        <v>9.5</v>
      </c>
      <c r="Q513" s="18">
        <v>20</v>
      </c>
      <c r="R513" s="18">
        <v>0.18</v>
      </c>
      <c r="S513" s="18">
        <v>0</v>
      </c>
      <c r="T513" s="94">
        <f t="shared" si="205"/>
        <v>0</v>
      </c>
      <c r="U513" s="18">
        <v>3</v>
      </c>
      <c r="V513" s="18"/>
      <c r="W513" s="18">
        <f t="shared" si="211"/>
        <v>3</v>
      </c>
      <c r="X513" s="18">
        <f t="shared" si="212"/>
        <v>60</v>
      </c>
      <c r="Y513" s="31">
        <f t="shared" si="188"/>
        <v>0.06</v>
      </c>
      <c r="Z513" s="18">
        <v>0</v>
      </c>
      <c r="AA513" s="18" t="s">
        <v>330</v>
      </c>
      <c r="AB513" s="18" t="s">
        <v>333</v>
      </c>
      <c r="AC513" s="18" t="s">
        <v>335</v>
      </c>
      <c r="AD513" s="18">
        <v>20</v>
      </c>
      <c r="AE513" s="18">
        <v>9.5</v>
      </c>
      <c r="AF513" s="18" t="s">
        <v>34</v>
      </c>
      <c r="AG513" s="18" t="s">
        <v>27</v>
      </c>
      <c r="AH513" s="18" t="s">
        <v>27</v>
      </c>
      <c r="AI513" s="18" t="s">
        <v>66</v>
      </c>
      <c r="AJ513" s="18" t="s">
        <v>81</v>
      </c>
      <c r="AK513" s="18" t="s">
        <v>100</v>
      </c>
      <c r="AL513" s="18" t="s">
        <v>109</v>
      </c>
      <c r="AM513" s="18" t="s">
        <v>120</v>
      </c>
      <c r="AN513" s="18" t="s">
        <v>267</v>
      </c>
      <c r="AO513" s="18"/>
      <c r="AP513" s="18"/>
      <c r="AQ513" s="18">
        <f>+VLOOKUP(AI513,Leyenda!$B$30:$E$34,3,FALSE)</f>
        <v>1</v>
      </c>
      <c r="AR513" s="18">
        <f>+VLOOKUP('3. Blasting'!AJ513,Meteorizacion,3,FALSE)</f>
        <v>0</v>
      </c>
      <c r="AS513" s="18">
        <f>+VLOOKUP('3. Blasting'!AK513,Apertura,3,FALSE)</f>
        <v>0</v>
      </c>
      <c r="AT513" s="18">
        <f>+VLOOKUP('3. Blasting'!AL513,Leyenda!$B$55:$D$59,3,FALSE)</f>
        <v>1</v>
      </c>
      <c r="AU513" s="18">
        <f>+VLOOKUP('3. Blasting'!AM513,Relleno,3,FALSE)</f>
        <v>2</v>
      </c>
      <c r="AV513" s="18">
        <f t="shared" si="206"/>
        <v>4</v>
      </c>
      <c r="AW513" s="18">
        <f t="shared" si="194"/>
        <v>0</v>
      </c>
      <c r="AX513" s="18">
        <f>VLOOKUP(AF513,Leyenda!$B$4:$D$10,3,FALSE)</f>
        <v>0</v>
      </c>
      <c r="AY513" s="18">
        <f t="shared" si="189"/>
        <v>3</v>
      </c>
      <c r="AZ513" s="18">
        <f t="shared" si="195"/>
        <v>4</v>
      </c>
      <c r="BA513" s="18">
        <f>VLOOKUP(AN513,Leyenda!$B$70:$D$75,3,FALSE)</f>
        <v>15</v>
      </c>
      <c r="BB513" s="4">
        <f t="shared" si="196"/>
        <v>6</v>
      </c>
      <c r="BC513" s="67">
        <f>VLOOKUP(AF513,Leyenda!$B$4:$E$10,4,FALSE)</f>
        <v>0</v>
      </c>
      <c r="BD513" s="67">
        <f t="shared" si="197"/>
        <v>5</v>
      </c>
      <c r="BE513" s="67">
        <f t="shared" si="198"/>
        <v>0</v>
      </c>
      <c r="BF513" s="67">
        <f>+VLOOKUP('3. Blasting'!AK513,Leyenda!$B$47:$E$51,4,FALSE)</f>
        <v>0</v>
      </c>
      <c r="BG513" s="67">
        <f>+VLOOKUP('3. Blasting'!AL513,Leyenda!$B$55:$E$59,4,FALSE)</f>
        <v>1</v>
      </c>
      <c r="BH513" s="67">
        <f>+VLOOKUP('3. Blasting'!AM513,Leyenda!$B$63:$E$67,3,FALSE)</f>
        <v>2</v>
      </c>
      <c r="BI513" s="67">
        <f>+VLOOKUP('3. Blasting'!AJ513,Leyenda!$B$39:$E$43,4,FALSE)</f>
        <v>0</v>
      </c>
      <c r="BJ513" s="67">
        <f>+VLOOKUP('3. Blasting'!AI513,Leyenda!$B$30:$E$34,4,FALSE)</f>
        <v>1</v>
      </c>
      <c r="BK513" s="67">
        <f>VLOOKUP(AN513,Leyenda!$B$71:$E$75,4,FALSE)</f>
        <v>10</v>
      </c>
      <c r="BL513" s="125">
        <f t="shared" si="199"/>
        <v>19</v>
      </c>
      <c r="BM513" s="85">
        <f t="shared" si="200"/>
        <v>22</v>
      </c>
      <c r="BN513" s="18">
        <f t="shared" si="213"/>
        <v>0.94233025492281131</v>
      </c>
      <c r="BO513" s="18"/>
      <c r="BP513" s="6">
        <f t="shared" si="214"/>
        <v>10</v>
      </c>
      <c r="BQ513" s="6">
        <f t="shared" si="215"/>
        <v>10</v>
      </c>
      <c r="BR513" s="6">
        <v>20</v>
      </c>
      <c r="BS513" s="6">
        <f t="shared" si="190"/>
        <v>3.5</v>
      </c>
      <c r="BT513" s="6">
        <f t="shared" si="191"/>
        <v>1.5650000000000002</v>
      </c>
      <c r="BU513" s="6">
        <f t="shared" si="192"/>
        <v>22.532499999999999</v>
      </c>
      <c r="BV513" s="18">
        <f t="shared" si="186"/>
        <v>9.0130000000000002E-2</v>
      </c>
      <c r="BW513" s="18">
        <f t="shared" si="187"/>
        <v>0.19287820000000003</v>
      </c>
    </row>
    <row r="514" spans="1:75" x14ac:dyDescent="0.25">
      <c r="A514" s="18" t="s">
        <v>6</v>
      </c>
      <c r="B514" s="18">
        <v>2024</v>
      </c>
      <c r="C514" s="18" t="s">
        <v>138</v>
      </c>
      <c r="D514" s="18" t="s">
        <v>266</v>
      </c>
      <c r="E514" s="18">
        <v>40</v>
      </c>
      <c r="F514" s="18" t="s">
        <v>153</v>
      </c>
      <c r="G514" s="18" t="s">
        <v>297</v>
      </c>
      <c r="H514" s="31">
        <f t="shared" si="216"/>
        <v>2.5</v>
      </c>
      <c r="I514" s="31">
        <f t="shared" si="217"/>
        <v>3</v>
      </c>
      <c r="J514" s="4">
        <f t="shared" si="204"/>
        <v>0.5</v>
      </c>
      <c r="K514" s="32">
        <v>0.24</v>
      </c>
      <c r="L514" s="31">
        <f t="shared" si="193"/>
        <v>0.12</v>
      </c>
      <c r="M514" s="31">
        <v>2.14</v>
      </c>
      <c r="N514" s="31">
        <v>31.3</v>
      </c>
      <c r="O514" s="18">
        <f t="shared" si="182"/>
        <v>0.12</v>
      </c>
      <c r="P514" s="18">
        <v>6</v>
      </c>
      <c r="Q514" s="18">
        <v>20</v>
      </c>
      <c r="R514" s="18">
        <v>0.13</v>
      </c>
      <c r="S514" s="18">
        <v>0</v>
      </c>
      <c r="T514" s="94">
        <f t="shared" si="205"/>
        <v>0</v>
      </c>
      <c r="U514" s="18">
        <v>4</v>
      </c>
      <c r="V514" s="18"/>
      <c r="W514" s="18">
        <f t="shared" si="211"/>
        <v>4</v>
      </c>
      <c r="X514" s="18">
        <f t="shared" si="212"/>
        <v>32.5</v>
      </c>
      <c r="Y514" s="31">
        <f t="shared" si="188"/>
        <v>3.2500000000000001E-2</v>
      </c>
      <c r="Z514" s="18">
        <v>0</v>
      </c>
      <c r="AA514" s="18" t="s">
        <v>330</v>
      </c>
      <c r="AB514" s="18" t="s">
        <v>333</v>
      </c>
      <c r="AC514" s="18" t="s">
        <v>335</v>
      </c>
      <c r="AD514" s="18">
        <v>20</v>
      </c>
      <c r="AE514" s="18">
        <v>6</v>
      </c>
      <c r="AF514" s="18" t="s">
        <v>34</v>
      </c>
      <c r="AG514" s="18" t="s">
        <v>27</v>
      </c>
      <c r="AH514" s="18" t="s">
        <v>27</v>
      </c>
      <c r="AI514" s="18" t="s">
        <v>66</v>
      </c>
      <c r="AJ514" s="18" t="s">
        <v>81</v>
      </c>
      <c r="AK514" s="18" t="s">
        <v>96</v>
      </c>
      <c r="AL514" s="18" t="s">
        <v>107</v>
      </c>
      <c r="AM514" s="18" t="s">
        <v>120</v>
      </c>
      <c r="AN514" s="18" t="s">
        <v>267</v>
      </c>
      <c r="AO514" s="18"/>
      <c r="AP514" s="18"/>
      <c r="AQ514" s="18">
        <f>+VLOOKUP(AI514,Leyenda!$B$30:$E$34,3,FALSE)</f>
        <v>1</v>
      </c>
      <c r="AR514" s="18">
        <f>+VLOOKUP('3. Blasting'!AJ514,Meteorizacion,3,FALSE)</f>
        <v>0</v>
      </c>
      <c r="AS514" s="18">
        <f>+VLOOKUP('3. Blasting'!AK514,Apertura,3,FALSE)</f>
        <v>1</v>
      </c>
      <c r="AT514" s="18">
        <f>+VLOOKUP('3. Blasting'!AL514,Leyenda!$B$55:$D$59,3,FALSE)</f>
        <v>3</v>
      </c>
      <c r="AU514" s="18">
        <f>+VLOOKUP('3. Blasting'!AM514,Relleno,3,FALSE)</f>
        <v>2</v>
      </c>
      <c r="AV514" s="18">
        <f t="shared" si="206"/>
        <v>7</v>
      </c>
      <c r="AW514" s="18">
        <f t="shared" si="194"/>
        <v>0</v>
      </c>
      <c r="AX514" s="18">
        <f>VLOOKUP(AF514,Leyenda!$B$4:$D$10,3,FALSE)</f>
        <v>0</v>
      </c>
      <c r="AY514" s="18">
        <f t="shared" si="189"/>
        <v>3</v>
      </c>
      <c r="AZ514" s="18">
        <f t="shared" si="195"/>
        <v>7</v>
      </c>
      <c r="BA514" s="18">
        <f>VLOOKUP(AN514,Leyenda!$B$70:$D$75,3,FALSE)</f>
        <v>15</v>
      </c>
      <c r="BB514" s="4">
        <f t="shared" si="196"/>
        <v>10.5</v>
      </c>
      <c r="BC514" s="67">
        <f>VLOOKUP(AF514,Leyenda!$B$4:$E$10,4,FALSE)</f>
        <v>0</v>
      </c>
      <c r="BD514" s="67">
        <f t="shared" si="197"/>
        <v>5</v>
      </c>
      <c r="BE514" s="67">
        <f t="shared" si="198"/>
        <v>0</v>
      </c>
      <c r="BF514" s="67">
        <f>+VLOOKUP('3. Blasting'!AK514,Leyenda!$B$47:$E$51,4,FALSE)</f>
        <v>1</v>
      </c>
      <c r="BG514" s="67">
        <f>+VLOOKUP('3. Blasting'!AL514,Leyenda!$B$55:$E$59,4,FALSE)</f>
        <v>3</v>
      </c>
      <c r="BH514" s="67">
        <f>+VLOOKUP('3. Blasting'!AM514,Leyenda!$B$63:$E$67,3,FALSE)</f>
        <v>2</v>
      </c>
      <c r="BI514" s="67">
        <f>+VLOOKUP('3. Blasting'!AJ514,Leyenda!$B$39:$E$43,4,FALSE)</f>
        <v>0</v>
      </c>
      <c r="BJ514" s="67">
        <f>+VLOOKUP('3. Blasting'!AI514,Leyenda!$B$30:$E$34,4,FALSE)</f>
        <v>1</v>
      </c>
      <c r="BK514" s="67">
        <f>VLOOKUP(AN514,Leyenda!$B$71:$E$75,4,FALSE)</f>
        <v>10</v>
      </c>
      <c r="BL514" s="125">
        <f t="shared" si="199"/>
        <v>22</v>
      </c>
      <c r="BM514" s="85">
        <f t="shared" si="200"/>
        <v>25</v>
      </c>
      <c r="BN514" s="18">
        <f t="shared" si="213"/>
        <v>0.94162890030598123</v>
      </c>
      <c r="BO514" s="18"/>
      <c r="BP514" s="6">
        <f t="shared" si="214"/>
        <v>10</v>
      </c>
      <c r="BQ514" s="6">
        <f t="shared" si="215"/>
        <v>10</v>
      </c>
      <c r="BR514" s="6">
        <v>20</v>
      </c>
      <c r="BS514" s="6">
        <f t="shared" si="190"/>
        <v>3.5</v>
      </c>
      <c r="BT514" s="6">
        <f t="shared" si="191"/>
        <v>1.5650000000000002</v>
      </c>
      <c r="BU514" s="6">
        <f t="shared" si="192"/>
        <v>22.532499999999999</v>
      </c>
      <c r="BV514" s="18">
        <f t="shared" si="186"/>
        <v>9.0130000000000002E-2</v>
      </c>
      <c r="BW514" s="18">
        <f t="shared" si="187"/>
        <v>0.19287820000000003</v>
      </c>
    </row>
    <row r="515" spans="1:75" x14ac:dyDescent="0.25">
      <c r="A515" s="18" t="s">
        <v>6</v>
      </c>
      <c r="B515" s="18">
        <v>2024</v>
      </c>
      <c r="C515" s="18" t="s">
        <v>138</v>
      </c>
      <c r="D515" s="18" t="s">
        <v>266</v>
      </c>
      <c r="E515" s="18">
        <v>40</v>
      </c>
      <c r="F515" s="18" t="s">
        <v>153</v>
      </c>
      <c r="G515" s="18" t="s">
        <v>297</v>
      </c>
      <c r="H515" s="31">
        <f t="shared" si="216"/>
        <v>3</v>
      </c>
      <c r="I515" s="31">
        <f t="shared" si="217"/>
        <v>3.5</v>
      </c>
      <c r="J515" s="4">
        <f t="shared" si="204"/>
        <v>0.5</v>
      </c>
      <c r="K515" s="32">
        <v>0.2</v>
      </c>
      <c r="L515" s="31">
        <f t="shared" si="193"/>
        <v>0.1</v>
      </c>
      <c r="M515" s="31">
        <v>2.14</v>
      </c>
      <c r="N515" s="31">
        <v>31.3</v>
      </c>
      <c r="O515" s="18">
        <f t="shared" si="182"/>
        <v>0.1</v>
      </c>
      <c r="P515" s="18">
        <v>5</v>
      </c>
      <c r="Q515" s="18">
        <v>20</v>
      </c>
      <c r="R515" s="18">
        <v>0.11</v>
      </c>
      <c r="S515" s="18">
        <v>0</v>
      </c>
      <c r="T515" s="94">
        <f t="shared" si="205"/>
        <v>0</v>
      </c>
      <c r="U515" s="18">
        <v>3</v>
      </c>
      <c r="V515" s="18"/>
      <c r="W515" s="18">
        <f t="shared" si="211"/>
        <v>3</v>
      </c>
      <c r="X515" s="18">
        <f t="shared" si="212"/>
        <v>36.666666666666664</v>
      </c>
      <c r="Y515" s="31">
        <f t="shared" si="188"/>
        <v>3.6666666666666667E-2</v>
      </c>
      <c r="Z515" s="18">
        <v>0</v>
      </c>
      <c r="AA515" s="18" t="s">
        <v>330</v>
      </c>
      <c r="AB515" s="18" t="s">
        <v>333</v>
      </c>
      <c r="AC515" s="18" t="s">
        <v>335</v>
      </c>
      <c r="AD515" s="18">
        <v>20</v>
      </c>
      <c r="AE515" s="18">
        <v>5</v>
      </c>
      <c r="AF515" s="18" t="s">
        <v>34</v>
      </c>
      <c r="AG515" s="18" t="s">
        <v>27</v>
      </c>
      <c r="AH515" s="18" t="s">
        <v>27</v>
      </c>
      <c r="AI515" s="18" t="s">
        <v>66</v>
      </c>
      <c r="AJ515" s="18" t="s">
        <v>81</v>
      </c>
      <c r="AK515" s="18" t="s">
        <v>96</v>
      </c>
      <c r="AL515" s="18" t="s">
        <v>107</v>
      </c>
      <c r="AM515" s="18" t="s">
        <v>120</v>
      </c>
      <c r="AN515" s="18" t="s">
        <v>267</v>
      </c>
      <c r="AO515" s="18"/>
      <c r="AP515" s="18"/>
      <c r="AQ515" s="18">
        <f>+VLOOKUP(AI515,Leyenda!$B$30:$E$34,3,FALSE)</f>
        <v>1</v>
      </c>
      <c r="AR515" s="18">
        <f>+VLOOKUP('3. Blasting'!AJ515,Meteorizacion,3,FALSE)</f>
        <v>0</v>
      </c>
      <c r="AS515" s="18">
        <f>+VLOOKUP('3. Blasting'!AK515,Apertura,3,FALSE)</f>
        <v>1</v>
      </c>
      <c r="AT515" s="18">
        <f>+VLOOKUP('3. Blasting'!AL515,Leyenda!$B$55:$D$59,3,FALSE)</f>
        <v>3</v>
      </c>
      <c r="AU515" s="18">
        <f>+VLOOKUP('3. Blasting'!AM515,Relleno,3,FALSE)</f>
        <v>2</v>
      </c>
      <c r="AV515" s="18">
        <f t="shared" si="206"/>
        <v>7</v>
      </c>
      <c r="AW515" s="18">
        <f t="shared" si="194"/>
        <v>0</v>
      </c>
      <c r="AX515" s="18">
        <f>VLOOKUP(AF515,Leyenda!$B$4:$D$10,3,FALSE)</f>
        <v>0</v>
      </c>
      <c r="AY515" s="18">
        <f t="shared" si="189"/>
        <v>3</v>
      </c>
      <c r="AZ515" s="18">
        <f t="shared" si="195"/>
        <v>7</v>
      </c>
      <c r="BA515" s="18">
        <f>VLOOKUP(AN515,Leyenda!$B$70:$D$75,3,FALSE)</f>
        <v>15</v>
      </c>
      <c r="BB515" s="4">
        <f t="shared" si="196"/>
        <v>10.5</v>
      </c>
      <c r="BC515" s="67">
        <f>VLOOKUP(AF515,Leyenda!$B$4:$E$10,4,FALSE)</f>
        <v>0</v>
      </c>
      <c r="BD515" s="67">
        <f t="shared" si="197"/>
        <v>5</v>
      </c>
      <c r="BE515" s="67">
        <f t="shared" si="198"/>
        <v>0</v>
      </c>
      <c r="BF515" s="67">
        <f>+VLOOKUP('3. Blasting'!AK515,Leyenda!$B$47:$E$51,4,FALSE)</f>
        <v>1</v>
      </c>
      <c r="BG515" s="67">
        <f>+VLOOKUP('3. Blasting'!AL515,Leyenda!$B$55:$E$59,4,FALSE)</f>
        <v>3</v>
      </c>
      <c r="BH515" s="67">
        <f>+VLOOKUP('3. Blasting'!AM515,Leyenda!$B$63:$E$67,3,FALSE)</f>
        <v>2</v>
      </c>
      <c r="BI515" s="67">
        <f>+VLOOKUP('3. Blasting'!AJ515,Leyenda!$B$39:$E$43,4,FALSE)</f>
        <v>0</v>
      </c>
      <c r="BJ515" s="67">
        <f>+VLOOKUP('3. Blasting'!AI515,Leyenda!$B$30:$E$34,4,FALSE)</f>
        <v>1</v>
      </c>
      <c r="BK515" s="67">
        <f>VLOOKUP(AN515,Leyenda!$B$71:$E$75,4,FALSE)</f>
        <v>10</v>
      </c>
      <c r="BL515" s="125">
        <f t="shared" si="199"/>
        <v>22</v>
      </c>
      <c r="BM515" s="85">
        <f t="shared" si="200"/>
        <v>25</v>
      </c>
      <c r="BN515" s="18">
        <f t="shared" si="213"/>
        <v>0.94131907915671398</v>
      </c>
      <c r="BO515" s="18"/>
      <c r="BP515" s="6">
        <f t="shared" si="214"/>
        <v>10</v>
      </c>
      <c r="BQ515" s="6">
        <f t="shared" si="215"/>
        <v>10</v>
      </c>
      <c r="BR515" s="6">
        <v>20</v>
      </c>
      <c r="BS515" s="6">
        <f t="shared" si="190"/>
        <v>3.5</v>
      </c>
      <c r="BT515" s="6">
        <f t="shared" si="191"/>
        <v>1.5650000000000002</v>
      </c>
      <c r="BU515" s="6">
        <f t="shared" si="192"/>
        <v>22.532499999999999</v>
      </c>
      <c r="BV515" s="18">
        <f t="shared" si="186"/>
        <v>9.0130000000000002E-2</v>
      </c>
      <c r="BW515" s="18">
        <f t="shared" si="187"/>
        <v>0.19287820000000003</v>
      </c>
    </row>
    <row r="516" spans="1:75" x14ac:dyDescent="0.25">
      <c r="A516" s="18" t="s">
        <v>6</v>
      </c>
      <c r="B516" s="18">
        <v>2024</v>
      </c>
      <c r="C516" s="18" t="s">
        <v>138</v>
      </c>
      <c r="D516" s="18" t="s">
        <v>266</v>
      </c>
      <c r="E516" s="18">
        <v>40</v>
      </c>
      <c r="F516" s="18" t="s">
        <v>153</v>
      </c>
      <c r="G516" s="18" t="s">
        <v>297</v>
      </c>
      <c r="H516" s="31">
        <f t="shared" si="216"/>
        <v>3.5</v>
      </c>
      <c r="I516" s="31">
        <f t="shared" si="217"/>
        <v>4</v>
      </c>
      <c r="J516" s="4">
        <f t="shared" si="204"/>
        <v>0.5</v>
      </c>
      <c r="K516" s="32">
        <v>0.2</v>
      </c>
      <c r="L516" s="31">
        <f t="shared" si="193"/>
        <v>0.1</v>
      </c>
      <c r="M516" s="31">
        <v>2.14</v>
      </c>
      <c r="N516" s="31">
        <v>31.3</v>
      </c>
      <c r="O516" s="18">
        <f t="shared" si="182"/>
        <v>0.1</v>
      </c>
      <c r="P516" s="18">
        <v>5</v>
      </c>
      <c r="Q516" s="18">
        <v>20</v>
      </c>
      <c r="R516" s="18">
        <v>0.11</v>
      </c>
      <c r="S516" s="18">
        <v>0</v>
      </c>
      <c r="T516" s="94">
        <f t="shared" si="205"/>
        <v>0</v>
      </c>
      <c r="U516" s="18">
        <v>3</v>
      </c>
      <c r="V516" s="18"/>
      <c r="W516" s="18">
        <f t="shared" si="211"/>
        <v>3</v>
      </c>
      <c r="X516" s="18">
        <f t="shared" si="212"/>
        <v>36.666666666666664</v>
      </c>
      <c r="Y516" s="31">
        <f t="shared" si="188"/>
        <v>3.6666666666666667E-2</v>
      </c>
      <c r="Z516" s="18">
        <v>0</v>
      </c>
      <c r="AA516" s="18" t="s">
        <v>330</v>
      </c>
      <c r="AB516" s="18" t="s">
        <v>333</v>
      </c>
      <c r="AC516" s="18" t="s">
        <v>335</v>
      </c>
      <c r="AD516" s="18">
        <v>20</v>
      </c>
      <c r="AE516" s="18">
        <v>5</v>
      </c>
      <c r="AF516" s="18" t="s">
        <v>34</v>
      </c>
      <c r="AG516" s="18" t="s">
        <v>24</v>
      </c>
      <c r="AH516" s="18" t="s">
        <v>24</v>
      </c>
      <c r="AI516" s="18" t="s">
        <v>64</v>
      </c>
      <c r="AJ516" s="18" t="s">
        <v>79</v>
      </c>
      <c r="AK516" s="18" t="s">
        <v>96</v>
      </c>
      <c r="AL516" s="18" t="s">
        <v>107</v>
      </c>
      <c r="AM516" s="18" t="s">
        <v>118</v>
      </c>
      <c r="AN516" s="18" t="s">
        <v>267</v>
      </c>
      <c r="AO516" s="18"/>
      <c r="AP516" s="18"/>
      <c r="AQ516" s="18">
        <f>+VLOOKUP(AI516,Leyenda!$B$30:$E$34,3,FALSE)</f>
        <v>2</v>
      </c>
      <c r="AR516" s="18">
        <f>+VLOOKUP('3. Blasting'!AJ516,Meteorizacion,3,FALSE)</f>
        <v>1</v>
      </c>
      <c r="AS516" s="18">
        <f>+VLOOKUP('3. Blasting'!AK516,Apertura,3,FALSE)</f>
        <v>1</v>
      </c>
      <c r="AT516" s="18">
        <f>+VLOOKUP('3. Blasting'!AL516,Leyenda!$B$55:$D$59,3,FALSE)</f>
        <v>3</v>
      </c>
      <c r="AU516" s="18">
        <f>+VLOOKUP('3. Blasting'!AM516,Relleno,3,FALSE)</f>
        <v>2</v>
      </c>
      <c r="AV516" s="18">
        <f t="shared" si="206"/>
        <v>9</v>
      </c>
      <c r="AW516" s="18">
        <f t="shared" si="194"/>
        <v>0</v>
      </c>
      <c r="AX516" s="18">
        <f>VLOOKUP(AF516,Leyenda!$B$4:$D$10,3,FALSE)</f>
        <v>0</v>
      </c>
      <c r="AY516" s="18">
        <f t="shared" si="189"/>
        <v>3</v>
      </c>
      <c r="AZ516" s="18">
        <f t="shared" si="195"/>
        <v>9</v>
      </c>
      <c r="BA516" s="18">
        <f>VLOOKUP(AN516,Leyenda!$B$70:$D$75,3,FALSE)</f>
        <v>15</v>
      </c>
      <c r="BB516" s="4">
        <f t="shared" si="196"/>
        <v>13.5</v>
      </c>
      <c r="BC516" s="67">
        <f>VLOOKUP(AF516,Leyenda!$B$4:$E$10,4,FALSE)</f>
        <v>0</v>
      </c>
      <c r="BD516" s="67">
        <f t="shared" si="197"/>
        <v>5</v>
      </c>
      <c r="BE516" s="67">
        <f t="shared" si="198"/>
        <v>0</v>
      </c>
      <c r="BF516" s="67">
        <f>+VLOOKUP('3. Blasting'!AK516,Leyenda!$B$47:$E$51,4,FALSE)</f>
        <v>1</v>
      </c>
      <c r="BG516" s="67">
        <f>+VLOOKUP('3. Blasting'!AL516,Leyenda!$B$55:$E$59,4,FALSE)</f>
        <v>3</v>
      </c>
      <c r="BH516" s="67">
        <f>+VLOOKUP('3. Blasting'!AM516,Leyenda!$B$63:$E$67,3,FALSE)</f>
        <v>2</v>
      </c>
      <c r="BI516" s="67">
        <f>+VLOOKUP('3. Blasting'!AJ516,Leyenda!$B$39:$E$43,4,FALSE)</f>
        <v>1</v>
      </c>
      <c r="BJ516" s="67">
        <f>+VLOOKUP('3. Blasting'!AI516,Leyenda!$B$30:$E$34,4,FALSE)</f>
        <v>3</v>
      </c>
      <c r="BK516" s="67">
        <f>VLOOKUP(AN516,Leyenda!$B$71:$E$75,4,FALSE)</f>
        <v>10</v>
      </c>
      <c r="BL516" s="125">
        <f t="shared" si="199"/>
        <v>25</v>
      </c>
      <c r="BM516" s="85">
        <f t="shared" si="200"/>
        <v>27</v>
      </c>
      <c r="BN516" s="18">
        <f t="shared" si="213"/>
        <v>0.94099732250720602</v>
      </c>
      <c r="BO516" s="18"/>
      <c r="BP516" s="6">
        <f t="shared" si="214"/>
        <v>10</v>
      </c>
      <c r="BQ516" s="6">
        <f t="shared" si="215"/>
        <v>10</v>
      </c>
      <c r="BR516" s="6">
        <v>20</v>
      </c>
      <c r="BS516" s="6">
        <f t="shared" si="190"/>
        <v>3.5</v>
      </c>
      <c r="BT516" s="6">
        <f t="shared" si="191"/>
        <v>1.5650000000000002</v>
      </c>
      <c r="BU516" s="6">
        <f t="shared" si="192"/>
        <v>22.532499999999999</v>
      </c>
      <c r="BV516" s="18">
        <f t="shared" ref="BV516:BV579" si="218">0.004*BU516</f>
        <v>9.0130000000000002E-2</v>
      </c>
      <c r="BW516" s="18">
        <f t="shared" ref="BW516:BW579" si="219">+BV516*M516</f>
        <v>0.19287820000000003</v>
      </c>
    </row>
    <row r="517" spans="1:75" x14ac:dyDescent="0.25">
      <c r="A517" s="18" t="s">
        <v>6</v>
      </c>
      <c r="B517" s="18">
        <v>2024</v>
      </c>
      <c r="C517" s="18" t="s">
        <v>138</v>
      </c>
      <c r="D517" s="18" t="s">
        <v>266</v>
      </c>
      <c r="E517" s="18">
        <v>40</v>
      </c>
      <c r="F517" s="18" t="s">
        <v>153</v>
      </c>
      <c r="G517" s="18" t="s">
        <v>297</v>
      </c>
      <c r="H517" s="31">
        <f t="shared" si="216"/>
        <v>4</v>
      </c>
      <c r="I517" s="31">
        <f t="shared" si="217"/>
        <v>4.5</v>
      </c>
      <c r="J517" s="4">
        <f t="shared" si="204"/>
        <v>0.5</v>
      </c>
      <c r="K517" s="32">
        <v>0.46</v>
      </c>
      <c r="L517" s="31">
        <f t="shared" si="193"/>
        <v>0.23</v>
      </c>
      <c r="M517" s="31">
        <v>2.14</v>
      </c>
      <c r="N517" s="31">
        <v>31.3</v>
      </c>
      <c r="O517" s="18">
        <f t="shared" si="182"/>
        <v>0.23</v>
      </c>
      <c r="P517" s="18">
        <v>11.5</v>
      </c>
      <c r="Q517" s="18">
        <v>20</v>
      </c>
      <c r="R517" s="18">
        <v>0.33</v>
      </c>
      <c r="S517" s="18">
        <v>0.31</v>
      </c>
      <c r="T517" s="94">
        <f t="shared" si="205"/>
        <v>62</v>
      </c>
      <c r="U517" s="18">
        <v>2</v>
      </c>
      <c r="V517" s="18"/>
      <c r="W517" s="18">
        <f t="shared" si="211"/>
        <v>2</v>
      </c>
      <c r="X517" s="18">
        <f t="shared" si="212"/>
        <v>165</v>
      </c>
      <c r="Y517" s="31">
        <f t="shared" ref="Y517:Y580" si="220">+X517/1000</f>
        <v>0.16500000000000001</v>
      </c>
      <c r="Z517" s="18">
        <v>0</v>
      </c>
      <c r="AA517" s="18" t="s">
        <v>330</v>
      </c>
      <c r="AB517" s="18" t="s">
        <v>333</v>
      </c>
      <c r="AC517" s="18" t="s">
        <v>335</v>
      </c>
      <c r="AD517" s="18">
        <v>20</v>
      </c>
      <c r="AE517" s="18">
        <v>11.5</v>
      </c>
      <c r="AF517" s="18" t="s">
        <v>34</v>
      </c>
      <c r="AG517" s="18" t="s">
        <v>29</v>
      </c>
      <c r="AH517" s="18" t="s">
        <v>29</v>
      </c>
      <c r="AI517" s="18" t="s">
        <v>66</v>
      </c>
      <c r="AJ517" s="18" t="s">
        <v>81</v>
      </c>
      <c r="AK517" s="18" t="s">
        <v>100</v>
      </c>
      <c r="AL517" s="18" t="s">
        <v>109</v>
      </c>
      <c r="AM517" s="18" t="s">
        <v>120</v>
      </c>
      <c r="AN517" s="18" t="s">
        <v>267</v>
      </c>
      <c r="AO517" s="18"/>
      <c r="AP517" s="18"/>
      <c r="AQ517" s="18">
        <f>+VLOOKUP(AI517,Leyenda!$B$30:$E$34,3,FALSE)</f>
        <v>1</v>
      </c>
      <c r="AR517" s="18">
        <f>+VLOOKUP('3. Blasting'!AJ517,Meteorizacion,3,FALSE)</f>
        <v>0</v>
      </c>
      <c r="AS517" s="18">
        <f>+VLOOKUP('3. Blasting'!AK517,Apertura,3,FALSE)</f>
        <v>0</v>
      </c>
      <c r="AT517" s="18">
        <f>+VLOOKUP('3. Blasting'!AL517,Leyenda!$B$55:$D$59,3,FALSE)</f>
        <v>1</v>
      </c>
      <c r="AU517" s="18">
        <f>+VLOOKUP('3. Blasting'!AM517,Relleno,3,FALSE)</f>
        <v>2</v>
      </c>
      <c r="AV517" s="18">
        <f t="shared" si="206"/>
        <v>4</v>
      </c>
      <c r="AW517" s="18">
        <f t="shared" si="194"/>
        <v>0</v>
      </c>
      <c r="AX517" s="18">
        <f>VLOOKUP(AF517,Leyenda!$B$4:$D$10,3,FALSE)</f>
        <v>0</v>
      </c>
      <c r="AY517" s="18">
        <f t="shared" si="189"/>
        <v>4</v>
      </c>
      <c r="AZ517" s="18">
        <f t="shared" si="195"/>
        <v>4</v>
      </c>
      <c r="BA517" s="18">
        <f>VLOOKUP(AN517,Leyenda!$B$70:$D$75,3,FALSE)</f>
        <v>15</v>
      </c>
      <c r="BB517" s="4">
        <f t="shared" si="196"/>
        <v>37</v>
      </c>
      <c r="BC517" s="67">
        <f>VLOOKUP(AF517,Leyenda!$B$4:$E$10,4,FALSE)</f>
        <v>0</v>
      </c>
      <c r="BD517" s="67">
        <f t="shared" si="197"/>
        <v>11</v>
      </c>
      <c r="BE517" s="67">
        <f t="shared" si="198"/>
        <v>13</v>
      </c>
      <c r="BF517" s="67">
        <f>+VLOOKUP('3. Blasting'!AK517,Leyenda!$B$47:$E$51,4,FALSE)</f>
        <v>0</v>
      </c>
      <c r="BG517" s="67">
        <f>+VLOOKUP('3. Blasting'!AL517,Leyenda!$B$55:$E$59,4,FALSE)</f>
        <v>1</v>
      </c>
      <c r="BH517" s="67">
        <f>+VLOOKUP('3. Blasting'!AM517,Leyenda!$B$63:$E$67,3,FALSE)</f>
        <v>2</v>
      </c>
      <c r="BI517" s="67">
        <f>+VLOOKUP('3. Blasting'!AJ517,Leyenda!$B$39:$E$43,4,FALSE)</f>
        <v>0</v>
      </c>
      <c r="BJ517" s="67">
        <f>+VLOOKUP('3. Blasting'!AI517,Leyenda!$B$30:$E$34,4,FALSE)</f>
        <v>1</v>
      </c>
      <c r="BK517" s="67">
        <f>VLOOKUP(AN517,Leyenda!$B$71:$E$75,4,FALSE)</f>
        <v>10</v>
      </c>
      <c r="BL517" s="125">
        <f t="shared" si="199"/>
        <v>38</v>
      </c>
      <c r="BM517" s="85">
        <f t="shared" si="200"/>
        <v>23</v>
      </c>
      <c r="BN517" s="18">
        <f t="shared" si="213"/>
        <v>0.9409138551091758</v>
      </c>
      <c r="BO517" s="18"/>
      <c r="BP517" s="6">
        <f t="shared" si="214"/>
        <v>20</v>
      </c>
      <c r="BQ517" s="6">
        <f t="shared" si="215"/>
        <v>20</v>
      </c>
      <c r="BR517" s="6">
        <v>20</v>
      </c>
      <c r="BS517" s="6">
        <f t="shared" ref="BS517:BS580" si="221">25*M517-50</f>
        <v>3.5</v>
      </c>
      <c r="BT517" s="6">
        <f t="shared" ref="BT517:BT580" si="222">0.05*N517</f>
        <v>1.5650000000000002</v>
      </c>
      <c r="BU517" s="6">
        <f t="shared" ref="BU517:BU580" si="223">0.5*((BP517+BQ517)+BR517+BS517+BT517)</f>
        <v>32.532499999999999</v>
      </c>
      <c r="BV517" s="18">
        <f t="shared" si="218"/>
        <v>0.13013</v>
      </c>
      <c r="BW517" s="18">
        <f t="shared" si="219"/>
        <v>0.27847820000000001</v>
      </c>
    </row>
    <row r="518" spans="1:75" x14ac:dyDescent="0.25">
      <c r="A518" s="18" t="s">
        <v>6</v>
      </c>
      <c r="B518" s="18">
        <v>2024</v>
      </c>
      <c r="C518" s="18" t="s">
        <v>138</v>
      </c>
      <c r="D518" s="18" t="s">
        <v>266</v>
      </c>
      <c r="E518" s="18">
        <v>40</v>
      </c>
      <c r="F518" s="18" t="s">
        <v>153</v>
      </c>
      <c r="G518" s="18" t="s">
        <v>297</v>
      </c>
      <c r="H518" s="31">
        <f t="shared" si="216"/>
        <v>4.5</v>
      </c>
      <c r="I518" s="31">
        <f t="shared" si="217"/>
        <v>5</v>
      </c>
      <c r="J518" s="4">
        <f t="shared" si="204"/>
        <v>0.5</v>
      </c>
      <c r="K518" s="32">
        <v>0.2</v>
      </c>
      <c r="L518" s="31">
        <f t="shared" si="193"/>
        <v>0.1</v>
      </c>
      <c r="M518" s="31">
        <v>2.14</v>
      </c>
      <c r="N518" s="31">
        <v>31.3</v>
      </c>
      <c r="O518" s="18">
        <f t="shared" si="182"/>
        <v>0.1</v>
      </c>
      <c r="P518" s="18">
        <v>5</v>
      </c>
      <c r="Q518" s="18">
        <v>20</v>
      </c>
      <c r="R518" s="18">
        <v>0.1</v>
      </c>
      <c r="S518" s="18">
        <v>0</v>
      </c>
      <c r="T518" s="94">
        <f t="shared" si="205"/>
        <v>0</v>
      </c>
      <c r="U518" s="18">
        <v>5</v>
      </c>
      <c r="V518" s="18"/>
      <c r="W518" s="18">
        <f t="shared" si="211"/>
        <v>5</v>
      </c>
      <c r="X518" s="18">
        <f t="shared" si="212"/>
        <v>20</v>
      </c>
      <c r="Y518" s="31">
        <f t="shared" si="220"/>
        <v>0.02</v>
      </c>
      <c r="Z518" s="18">
        <v>0</v>
      </c>
      <c r="AA518" s="18" t="s">
        <v>330</v>
      </c>
      <c r="AB518" s="18" t="s">
        <v>333</v>
      </c>
      <c r="AC518" s="18" t="s">
        <v>335</v>
      </c>
      <c r="AD518" s="18">
        <v>20</v>
      </c>
      <c r="AE518" s="18">
        <v>5</v>
      </c>
      <c r="AF518" s="18" t="s">
        <v>34</v>
      </c>
      <c r="AG518" s="18" t="s">
        <v>29</v>
      </c>
      <c r="AH518" s="18" t="s">
        <v>29</v>
      </c>
      <c r="AI518" s="18" t="s">
        <v>66</v>
      </c>
      <c r="AJ518" s="18" t="s">
        <v>81</v>
      </c>
      <c r="AK518" s="18" t="s">
        <v>100</v>
      </c>
      <c r="AL518" s="18" t="s">
        <v>109</v>
      </c>
      <c r="AM518" s="18" t="s">
        <v>120</v>
      </c>
      <c r="AN518" s="18" t="s">
        <v>267</v>
      </c>
      <c r="AO518" s="18"/>
      <c r="AP518" s="18"/>
      <c r="AQ518" s="18">
        <f>+VLOOKUP(AI518,Leyenda!$B$30:$E$34,3,FALSE)</f>
        <v>1</v>
      </c>
      <c r="AR518" s="18">
        <f>+VLOOKUP('3. Blasting'!AJ518,Meteorizacion,3,FALSE)</f>
        <v>0</v>
      </c>
      <c r="AS518" s="18">
        <f>+VLOOKUP('3. Blasting'!AK518,Apertura,3,FALSE)</f>
        <v>0</v>
      </c>
      <c r="AT518" s="18">
        <f>+VLOOKUP('3. Blasting'!AL518,Leyenda!$B$55:$D$59,3,FALSE)</f>
        <v>1</v>
      </c>
      <c r="AU518" s="18">
        <f>+VLOOKUP('3. Blasting'!AM518,Relleno,3,FALSE)</f>
        <v>2</v>
      </c>
      <c r="AV518" s="18">
        <f t="shared" si="206"/>
        <v>4</v>
      </c>
      <c r="AW518" s="18">
        <f t="shared" si="194"/>
        <v>0</v>
      </c>
      <c r="AX518" s="18">
        <f>VLOOKUP(AF518,Leyenda!$B$4:$D$10,3,FALSE)</f>
        <v>0</v>
      </c>
      <c r="AY518" s="18">
        <f t="shared" ref="AY518:AY581" si="224">IF(P518="",ROUND((IF(P518&lt;=400,1.5478*POWER(P518,0.3351),-2*POWER(10,-6)*POWER(P518,2)+0.0091*P518+8.1704)),0),ROUND((IF(P518&lt;=400,1.5478*POWER(P518,0.3351),-2*POWER(10,-6)*POWER(P518,2)+0.0091*P518+8.1704)),0))</f>
        <v>3</v>
      </c>
      <c r="AZ518" s="18">
        <f t="shared" si="195"/>
        <v>4</v>
      </c>
      <c r="BA518" s="18">
        <f>VLOOKUP(AN518,Leyenda!$B$70:$D$75,3,FALSE)</f>
        <v>15</v>
      </c>
      <c r="BB518" s="4">
        <f t="shared" si="196"/>
        <v>6</v>
      </c>
      <c r="BC518" s="67">
        <f>VLOOKUP(AF518,Leyenda!$B$4:$E$10,4,FALSE)</f>
        <v>0</v>
      </c>
      <c r="BD518" s="67">
        <f t="shared" si="197"/>
        <v>5</v>
      </c>
      <c r="BE518" s="67">
        <f t="shared" si="198"/>
        <v>0</v>
      </c>
      <c r="BF518" s="67">
        <f>+VLOOKUP('3. Blasting'!AK518,Leyenda!$B$47:$E$51,4,FALSE)</f>
        <v>0</v>
      </c>
      <c r="BG518" s="67">
        <f>+VLOOKUP('3. Blasting'!AL518,Leyenda!$B$55:$E$59,4,FALSE)</f>
        <v>1</v>
      </c>
      <c r="BH518" s="67">
        <f>+VLOOKUP('3. Blasting'!AM518,Leyenda!$B$63:$E$67,3,FALSE)</f>
        <v>2</v>
      </c>
      <c r="BI518" s="67">
        <f>+VLOOKUP('3. Blasting'!AJ518,Leyenda!$B$39:$E$43,4,FALSE)</f>
        <v>0</v>
      </c>
      <c r="BJ518" s="67">
        <f>+VLOOKUP('3. Blasting'!AI518,Leyenda!$B$30:$E$34,4,FALSE)</f>
        <v>1</v>
      </c>
      <c r="BK518" s="67">
        <f>VLOOKUP(AN518,Leyenda!$B$71:$E$75,4,FALSE)</f>
        <v>10</v>
      </c>
      <c r="BL518" s="125">
        <f t="shared" si="199"/>
        <v>19</v>
      </c>
      <c r="BM518" s="85">
        <f t="shared" si="200"/>
        <v>22</v>
      </c>
      <c r="BN518" s="18">
        <f t="shared" si="213"/>
        <v>0.94004668221800525</v>
      </c>
      <c r="BO518" s="18"/>
      <c r="BP518" s="6">
        <f t="shared" si="214"/>
        <v>10</v>
      </c>
      <c r="BQ518" s="6">
        <f t="shared" si="215"/>
        <v>10</v>
      </c>
      <c r="BR518" s="6">
        <v>20</v>
      </c>
      <c r="BS518" s="6">
        <f t="shared" si="221"/>
        <v>3.5</v>
      </c>
      <c r="BT518" s="6">
        <f t="shared" si="222"/>
        <v>1.5650000000000002</v>
      </c>
      <c r="BU518" s="6">
        <f t="shared" si="223"/>
        <v>22.532499999999999</v>
      </c>
      <c r="BV518" s="18">
        <f t="shared" si="218"/>
        <v>9.0130000000000002E-2</v>
      </c>
      <c r="BW518" s="18">
        <f t="shared" si="219"/>
        <v>0.19287820000000003</v>
      </c>
    </row>
    <row r="519" spans="1:75" x14ac:dyDescent="0.25">
      <c r="A519" s="18" t="s">
        <v>6</v>
      </c>
      <c r="B519" s="18">
        <v>2024</v>
      </c>
      <c r="C519" s="18" t="s">
        <v>138</v>
      </c>
      <c r="D519" s="18" t="s">
        <v>266</v>
      </c>
      <c r="E519" s="18">
        <v>40</v>
      </c>
      <c r="F519" s="18" t="s">
        <v>153</v>
      </c>
      <c r="G519" s="18" t="s">
        <v>297</v>
      </c>
      <c r="H519" s="31">
        <f t="shared" si="216"/>
        <v>5</v>
      </c>
      <c r="I519" s="31">
        <f t="shared" si="217"/>
        <v>5.5</v>
      </c>
      <c r="J519" s="4">
        <f t="shared" si="204"/>
        <v>0.5</v>
      </c>
      <c r="K519" s="32">
        <v>0.3</v>
      </c>
      <c r="L519" s="31">
        <f t="shared" ref="L519:L582" si="225">+J519*K519</f>
        <v>0.15</v>
      </c>
      <c r="M519" s="31">
        <v>2.14</v>
      </c>
      <c r="N519" s="31">
        <v>31.3</v>
      </c>
      <c r="O519" s="18">
        <f t="shared" ref="O519:O582" si="226">+K519*J519</f>
        <v>0.15</v>
      </c>
      <c r="P519" s="18">
        <v>7.5</v>
      </c>
      <c r="Q519" s="18">
        <v>20</v>
      </c>
      <c r="R519" s="18">
        <v>0.15</v>
      </c>
      <c r="S519" s="18">
        <v>0</v>
      </c>
      <c r="T519" s="94">
        <f t="shared" si="205"/>
        <v>0</v>
      </c>
      <c r="U519" s="18">
        <v>3</v>
      </c>
      <c r="V519" s="18"/>
      <c r="W519" s="18">
        <f t="shared" si="211"/>
        <v>3</v>
      </c>
      <c r="X519" s="18">
        <f t="shared" si="212"/>
        <v>50</v>
      </c>
      <c r="Y519" s="31">
        <f t="shared" si="220"/>
        <v>0.05</v>
      </c>
      <c r="Z519" s="18">
        <v>0</v>
      </c>
      <c r="AA519" s="18" t="s">
        <v>330</v>
      </c>
      <c r="AB519" s="18" t="s">
        <v>333</v>
      </c>
      <c r="AC519" s="18" t="s">
        <v>335</v>
      </c>
      <c r="AD519" s="18">
        <v>20</v>
      </c>
      <c r="AE519" s="18">
        <v>7.5</v>
      </c>
      <c r="AF519" s="18" t="s">
        <v>34</v>
      </c>
      <c r="AG519" s="18" t="s">
        <v>32</v>
      </c>
      <c r="AH519" s="18" t="s">
        <v>32</v>
      </c>
      <c r="AI519" s="18" t="s">
        <v>66</v>
      </c>
      <c r="AJ519" s="18" t="s">
        <v>81</v>
      </c>
      <c r="AK519" s="18" t="s">
        <v>100</v>
      </c>
      <c r="AL519" s="18" t="s">
        <v>109</v>
      </c>
      <c r="AM519" s="18" t="s">
        <v>120</v>
      </c>
      <c r="AN519" s="18" t="s">
        <v>267</v>
      </c>
      <c r="AO519" s="18"/>
      <c r="AP519" s="18"/>
      <c r="AQ519" s="18">
        <f>+VLOOKUP(AI519,Leyenda!$B$30:$E$34,3,FALSE)</f>
        <v>1</v>
      </c>
      <c r="AR519" s="18">
        <f>+VLOOKUP('3. Blasting'!AJ519,Meteorizacion,3,FALSE)</f>
        <v>0</v>
      </c>
      <c r="AS519" s="18">
        <f>+VLOOKUP('3. Blasting'!AK519,Apertura,3,FALSE)</f>
        <v>0</v>
      </c>
      <c r="AT519" s="18">
        <f>+VLOOKUP('3. Blasting'!AL519,Leyenda!$B$55:$D$59,3,FALSE)</f>
        <v>1</v>
      </c>
      <c r="AU519" s="18">
        <f>+VLOOKUP('3. Blasting'!AM519,Relleno,3,FALSE)</f>
        <v>2</v>
      </c>
      <c r="AV519" s="18">
        <f t="shared" si="206"/>
        <v>4</v>
      </c>
      <c r="AW519" s="18">
        <f t="shared" ref="AW519:AW582" si="227">ROUND(-0.0002*POWER(Z519,2)+0.2197*Z519,0)</f>
        <v>0</v>
      </c>
      <c r="AX519" s="18">
        <f>VLOOKUP(AF519,Leyenda!$B$4:$D$10,3,FALSE)</f>
        <v>0</v>
      </c>
      <c r="AY519" s="18">
        <f t="shared" si="224"/>
        <v>3</v>
      </c>
      <c r="AZ519" s="18">
        <f t="shared" ref="AZ519:AZ582" si="228">+AV519</f>
        <v>4</v>
      </c>
      <c r="BA519" s="18">
        <f>VLOOKUP(AN519,Leyenda!$B$70:$D$75,3,FALSE)</f>
        <v>15</v>
      </c>
      <c r="BB519" s="4">
        <f t="shared" ref="BB519:BB582" si="229">1.5*AV519+(T519*0.5)</f>
        <v>6</v>
      </c>
      <c r="BC519" s="67">
        <f>VLOOKUP(AF519,Leyenda!$B$4:$E$10,4,FALSE)</f>
        <v>0</v>
      </c>
      <c r="BD519" s="67">
        <f t="shared" ref="BD519:BD582" si="230">IF(X519="",ROUND(IF(X519&lt;=50,5,IF(X519&gt;=3000,30,6.038*LN(X519)-19.63)),0),ROUND(IF(X519&lt;=50,5,IF(X519&gt;=3000,30,6.038*LN(X519)-19.63)),0))</f>
        <v>5</v>
      </c>
      <c r="BE519" s="67">
        <f t="shared" ref="BE519:BE582" si="231">ROUND(-0.0002*POWER(T519,2)+0.2197*T519,0)</f>
        <v>0</v>
      </c>
      <c r="BF519" s="67">
        <f>+VLOOKUP('3. Blasting'!AK519,Leyenda!$B$47:$E$51,4,FALSE)</f>
        <v>0</v>
      </c>
      <c r="BG519" s="67">
        <f>+VLOOKUP('3. Blasting'!AL519,Leyenda!$B$55:$E$59,4,FALSE)</f>
        <v>1</v>
      </c>
      <c r="BH519" s="67">
        <f>+VLOOKUP('3. Blasting'!AM519,Leyenda!$B$63:$E$67,3,FALSE)</f>
        <v>2</v>
      </c>
      <c r="BI519" s="67">
        <f>+VLOOKUP('3. Blasting'!AJ519,Leyenda!$B$39:$E$43,4,FALSE)</f>
        <v>0</v>
      </c>
      <c r="BJ519" s="67">
        <f>+VLOOKUP('3. Blasting'!AI519,Leyenda!$B$30:$E$34,4,FALSE)</f>
        <v>1</v>
      </c>
      <c r="BK519" s="67">
        <f>VLOOKUP(AN519,Leyenda!$B$71:$E$75,4,FALSE)</f>
        <v>10</v>
      </c>
      <c r="BL519" s="125">
        <f t="shared" ref="BL519:BL582" si="232">+BC519+BD519+BE519+BF519+BG519+BH519+BI519+BJ519+BK519</f>
        <v>19</v>
      </c>
      <c r="BM519" s="85">
        <f t="shared" ref="BM519:BM582" si="233">+AX519+AY519+AW519+AZ519+BA519</f>
        <v>22</v>
      </c>
      <c r="BN519" s="18">
        <f t="shared" si="213"/>
        <v>0.93925184787881211</v>
      </c>
      <c r="BO519" s="18"/>
      <c r="BP519" s="6">
        <f t="shared" si="214"/>
        <v>10</v>
      </c>
      <c r="BQ519" s="6">
        <f t="shared" si="215"/>
        <v>10</v>
      </c>
      <c r="BR519" s="6">
        <v>20</v>
      </c>
      <c r="BS519" s="6">
        <f t="shared" si="221"/>
        <v>3.5</v>
      </c>
      <c r="BT519" s="6">
        <f t="shared" si="222"/>
        <v>1.5650000000000002</v>
      </c>
      <c r="BU519" s="6">
        <f t="shared" si="223"/>
        <v>22.532499999999999</v>
      </c>
      <c r="BV519" s="18">
        <f t="shared" si="218"/>
        <v>9.0130000000000002E-2</v>
      </c>
      <c r="BW519" s="18">
        <f t="shared" si="219"/>
        <v>0.19287820000000003</v>
      </c>
    </row>
    <row r="520" spans="1:75" x14ac:dyDescent="0.25">
      <c r="A520" s="18" t="s">
        <v>6</v>
      </c>
      <c r="B520" s="18">
        <v>2024</v>
      </c>
      <c r="C520" s="18" t="s">
        <v>138</v>
      </c>
      <c r="D520" s="18" t="s">
        <v>266</v>
      </c>
      <c r="E520" s="18">
        <v>40</v>
      </c>
      <c r="F520" s="18" t="s">
        <v>153</v>
      </c>
      <c r="G520" s="18" t="s">
        <v>297</v>
      </c>
      <c r="H520" s="31">
        <f t="shared" si="216"/>
        <v>5.5</v>
      </c>
      <c r="I520" s="31">
        <f t="shared" si="217"/>
        <v>6</v>
      </c>
      <c r="J520" s="4">
        <f t="shared" ref="J520:J583" si="234">+I520-H520</f>
        <v>0.5</v>
      </c>
      <c r="K520" s="32">
        <v>0.2</v>
      </c>
      <c r="L520" s="31">
        <f t="shared" si="225"/>
        <v>0.1</v>
      </c>
      <c r="M520" s="31">
        <v>2.14</v>
      </c>
      <c r="N520" s="31">
        <v>31.3</v>
      </c>
      <c r="O520" s="18">
        <f t="shared" si="226"/>
        <v>0.1</v>
      </c>
      <c r="P520" s="18">
        <v>5</v>
      </c>
      <c r="Q520" s="18">
        <v>20</v>
      </c>
      <c r="R520" s="18">
        <v>0.1</v>
      </c>
      <c r="S520" s="18">
        <v>0</v>
      </c>
      <c r="T520" s="65">
        <f t="shared" si="205"/>
        <v>0</v>
      </c>
      <c r="U520" s="18">
        <v>3</v>
      </c>
      <c r="V520" s="18"/>
      <c r="W520" s="18">
        <f t="shared" si="211"/>
        <v>3</v>
      </c>
      <c r="X520" s="18">
        <f t="shared" si="212"/>
        <v>33.333333333333336</v>
      </c>
      <c r="Y520" s="31">
        <f t="shared" si="220"/>
        <v>3.3333333333333333E-2</v>
      </c>
      <c r="Z520" s="18">
        <v>0</v>
      </c>
      <c r="AA520" s="18" t="s">
        <v>330</v>
      </c>
      <c r="AB520" s="18" t="s">
        <v>333</v>
      </c>
      <c r="AC520" s="18" t="s">
        <v>335</v>
      </c>
      <c r="AD520" s="18">
        <v>20</v>
      </c>
      <c r="AE520" s="18">
        <v>5</v>
      </c>
      <c r="AF520" s="18" t="s">
        <v>34</v>
      </c>
      <c r="AG520" s="18" t="s">
        <v>34</v>
      </c>
      <c r="AH520" s="18" t="s">
        <v>34</v>
      </c>
      <c r="AI520" s="18" t="s">
        <v>66</v>
      </c>
      <c r="AJ520" s="18" t="s">
        <v>81</v>
      </c>
      <c r="AK520" s="18" t="s">
        <v>100</v>
      </c>
      <c r="AL520" s="18" t="s">
        <v>109</v>
      </c>
      <c r="AM520" s="18" t="s">
        <v>120</v>
      </c>
      <c r="AN520" s="18" t="s">
        <v>267</v>
      </c>
      <c r="AO520" s="18"/>
      <c r="AP520" s="18"/>
      <c r="AQ520" s="18">
        <f>+VLOOKUP(AI520,Leyenda!$B$30:$E$34,3,FALSE)</f>
        <v>1</v>
      </c>
      <c r="AR520" s="18">
        <f>+VLOOKUP('3. Blasting'!AJ520,Meteorizacion,3,FALSE)</f>
        <v>0</v>
      </c>
      <c r="AS520" s="18">
        <f>+VLOOKUP('3. Blasting'!AK520,Apertura,3,FALSE)</f>
        <v>0</v>
      </c>
      <c r="AT520" s="18">
        <f>+VLOOKUP('3. Blasting'!AL520,Leyenda!$B$55:$D$59,3,FALSE)</f>
        <v>1</v>
      </c>
      <c r="AU520" s="18">
        <f>+VLOOKUP('3. Blasting'!AM520,Relleno,3,FALSE)</f>
        <v>2</v>
      </c>
      <c r="AV520" s="18">
        <f t="shared" si="206"/>
        <v>4</v>
      </c>
      <c r="AW520" s="49">
        <f t="shared" si="227"/>
        <v>0</v>
      </c>
      <c r="AX520" s="49">
        <f>VLOOKUP(AF520,Leyenda!$B$4:$D$10,3,FALSE)</f>
        <v>0</v>
      </c>
      <c r="AY520" s="49">
        <f t="shared" si="224"/>
        <v>3</v>
      </c>
      <c r="AZ520" s="49">
        <f t="shared" si="228"/>
        <v>4</v>
      </c>
      <c r="BA520" s="49">
        <f>VLOOKUP(AN520,Leyenda!$B$70:$D$75,3,FALSE)</f>
        <v>15</v>
      </c>
      <c r="BB520" s="67">
        <f t="shared" si="229"/>
        <v>6</v>
      </c>
      <c r="BC520" s="67">
        <f>VLOOKUP(AF520,Leyenda!$B$4:$E$10,4,FALSE)</f>
        <v>0</v>
      </c>
      <c r="BD520" s="67">
        <f t="shared" si="230"/>
        <v>5</v>
      </c>
      <c r="BE520" s="67">
        <f t="shared" si="231"/>
        <v>0</v>
      </c>
      <c r="BF520" s="67">
        <f>+VLOOKUP('3. Blasting'!AK520,Leyenda!$B$47:$E$51,4,FALSE)</f>
        <v>0</v>
      </c>
      <c r="BG520" s="67">
        <f>+VLOOKUP('3. Blasting'!AL520,Leyenda!$B$55:$E$59,4,FALSE)</f>
        <v>1</v>
      </c>
      <c r="BH520" s="67">
        <f>+VLOOKUP('3. Blasting'!AM520,Leyenda!$B$63:$E$67,3,FALSE)</f>
        <v>2</v>
      </c>
      <c r="BI520" s="67">
        <f>+VLOOKUP('3. Blasting'!AJ520,Leyenda!$B$39:$E$43,4,FALSE)</f>
        <v>0</v>
      </c>
      <c r="BJ520" s="67">
        <f>+VLOOKUP('3. Blasting'!AI520,Leyenda!$B$30:$E$34,4,FALSE)</f>
        <v>1</v>
      </c>
      <c r="BK520" s="67">
        <f>VLOOKUP(AN520,Leyenda!$B$71:$E$75,4,FALSE)</f>
        <v>10</v>
      </c>
      <c r="BL520" s="125">
        <f t="shared" si="232"/>
        <v>19</v>
      </c>
      <c r="BM520" s="85">
        <f t="shared" si="233"/>
        <v>22</v>
      </c>
      <c r="BN520" s="18">
        <f t="shared" si="213"/>
        <v>0.9384116529120865</v>
      </c>
      <c r="BO520" s="18"/>
      <c r="BP520" s="6">
        <f t="shared" si="214"/>
        <v>10</v>
      </c>
      <c r="BQ520" s="6">
        <f t="shared" si="215"/>
        <v>10</v>
      </c>
      <c r="BR520" s="6">
        <v>20</v>
      </c>
      <c r="BS520" s="6">
        <f t="shared" si="221"/>
        <v>3.5</v>
      </c>
      <c r="BT520" s="6">
        <f t="shared" si="222"/>
        <v>1.5650000000000002</v>
      </c>
      <c r="BU520" s="6">
        <f t="shared" si="223"/>
        <v>22.532499999999999</v>
      </c>
      <c r="BV520" s="18">
        <f t="shared" si="218"/>
        <v>9.0130000000000002E-2</v>
      </c>
      <c r="BW520" s="18">
        <f t="shared" si="219"/>
        <v>0.19287820000000003</v>
      </c>
    </row>
    <row r="521" spans="1:75" x14ac:dyDescent="0.25">
      <c r="A521" s="18" t="s">
        <v>6</v>
      </c>
      <c r="B521" s="18">
        <v>2024</v>
      </c>
      <c r="C521" s="18" t="s">
        <v>138</v>
      </c>
      <c r="D521" s="18" t="s">
        <v>266</v>
      </c>
      <c r="E521" s="18">
        <v>40</v>
      </c>
      <c r="F521" s="18" t="s">
        <v>153</v>
      </c>
      <c r="G521" s="18" t="s">
        <v>297</v>
      </c>
      <c r="H521" s="31">
        <f t="shared" si="216"/>
        <v>6</v>
      </c>
      <c r="I521" s="31">
        <f t="shared" si="217"/>
        <v>6.5</v>
      </c>
      <c r="J521" s="4">
        <f t="shared" si="234"/>
        <v>0.5</v>
      </c>
      <c r="K521" s="32">
        <v>0.2</v>
      </c>
      <c r="L521" s="31">
        <f t="shared" si="225"/>
        <v>0.1</v>
      </c>
      <c r="M521" s="31">
        <v>2.14</v>
      </c>
      <c r="N521" s="31">
        <v>31.3</v>
      </c>
      <c r="O521" s="18">
        <f t="shared" si="226"/>
        <v>0.1</v>
      </c>
      <c r="P521" s="18">
        <v>5</v>
      </c>
      <c r="Q521" s="18">
        <v>20</v>
      </c>
      <c r="R521" s="18">
        <v>0.1</v>
      </c>
      <c r="S521" s="18">
        <v>0</v>
      </c>
      <c r="T521" s="65">
        <f t="shared" si="205"/>
        <v>0</v>
      </c>
      <c r="U521" s="18">
        <v>4</v>
      </c>
      <c r="V521" s="18"/>
      <c r="W521" s="18">
        <f t="shared" si="211"/>
        <v>4</v>
      </c>
      <c r="X521" s="18">
        <f t="shared" si="212"/>
        <v>25</v>
      </c>
      <c r="Y521" s="31">
        <f t="shared" si="220"/>
        <v>2.5000000000000001E-2</v>
      </c>
      <c r="Z521" s="18">
        <v>0</v>
      </c>
      <c r="AA521" s="18" t="s">
        <v>330</v>
      </c>
      <c r="AB521" s="18" t="s">
        <v>333</v>
      </c>
      <c r="AC521" s="18" t="s">
        <v>335</v>
      </c>
      <c r="AD521" s="18">
        <v>20</v>
      </c>
      <c r="AE521" s="18">
        <v>5</v>
      </c>
      <c r="AF521" s="18" t="s">
        <v>34</v>
      </c>
      <c r="AG521" s="18" t="s">
        <v>29</v>
      </c>
      <c r="AH521" s="18" t="s">
        <v>29</v>
      </c>
      <c r="AI521" s="18" t="s">
        <v>66</v>
      </c>
      <c r="AJ521" s="18" t="s">
        <v>79</v>
      </c>
      <c r="AK521" s="18" t="s">
        <v>96</v>
      </c>
      <c r="AL521" s="18" t="s">
        <v>107</v>
      </c>
      <c r="AM521" s="18" t="s">
        <v>120</v>
      </c>
      <c r="AN521" s="18" t="s">
        <v>267</v>
      </c>
      <c r="AO521" s="18"/>
      <c r="AP521" s="18"/>
      <c r="AQ521" s="18">
        <f>+VLOOKUP(AI521,Leyenda!$B$30:$E$34,3,FALSE)</f>
        <v>1</v>
      </c>
      <c r="AR521" s="18">
        <f>+VLOOKUP('3. Blasting'!AJ521,Meteorizacion,3,FALSE)</f>
        <v>1</v>
      </c>
      <c r="AS521" s="18">
        <f>+VLOOKUP('3. Blasting'!AK521,Apertura,3,FALSE)</f>
        <v>1</v>
      </c>
      <c r="AT521" s="18">
        <f>+VLOOKUP('3. Blasting'!AL521,Leyenda!$B$55:$D$59,3,FALSE)</f>
        <v>3</v>
      </c>
      <c r="AU521" s="18">
        <f>+VLOOKUP('3. Blasting'!AM521,Relleno,3,FALSE)</f>
        <v>2</v>
      </c>
      <c r="AV521" s="18">
        <f t="shared" si="206"/>
        <v>8</v>
      </c>
      <c r="AW521" s="49">
        <f t="shared" si="227"/>
        <v>0</v>
      </c>
      <c r="AX521" s="49">
        <f>VLOOKUP(AF521,Leyenda!$B$4:$D$10,3,FALSE)</f>
        <v>0</v>
      </c>
      <c r="AY521" s="49">
        <f t="shared" si="224"/>
        <v>3</v>
      </c>
      <c r="AZ521" s="49">
        <f t="shared" si="228"/>
        <v>8</v>
      </c>
      <c r="BA521" s="49">
        <f>VLOOKUP(AN521,Leyenda!$B$70:$D$75,3,FALSE)</f>
        <v>15</v>
      </c>
      <c r="BB521" s="67">
        <f t="shared" si="229"/>
        <v>12</v>
      </c>
      <c r="BC521" s="67">
        <f>VLOOKUP(AF521,Leyenda!$B$4:$E$10,4,FALSE)</f>
        <v>0</v>
      </c>
      <c r="BD521" s="67">
        <f t="shared" si="230"/>
        <v>5</v>
      </c>
      <c r="BE521" s="67">
        <f t="shared" si="231"/>
        <v>0</v>
      </c>
      <c r="BF521" s="67">
        <f>+VLOOKUP('3. Blasting'!AK521,Leyenda!$B$47:$E$51,4,FALSE)</f>
        <v>1</v>
      </c>
      <c r="BG521" s="67">
        <f>+VLOOKUP('3. Blasting'!AL521,Leyenda!$B$55:$E$59,4,FALSE)</f>
        <v>3</v>
      </c>
      <c r="BH521" s="67">
        <f>+VLOOKUP('3. Blasting'!AM521,Leyenda!$B$63:$E$67,3,FALSE)</f>
        <v>2</v>
      </c>
      <c r="BI521" s="67">
        <f>+VLOOKUP('3. Blasting'!AJ521,Leyenda!$B$39:$E$43,4,FALSE)</f>
        <v>1</v>
      </c>
      <c r="BJ521" s="67">
        <f>+VLOOKUP('3. Blasting'!AI521,Leyenda!$B$30:$E$34,4,FALSE)</f>
        <v>1</v>
      </c>
      <c r="BK521" s="67">
        <f>VLOOKUP(AN521,Leyenda!$B$71:$E$75,4,FALSE)</f>
        <v>10</v>
      </c>
      <c r="BL521" s="125">
        <f t="shared" si="232"/>
        <v>23</v>
      </c>
      <c r="BM521" s="85">
        <f t="shared" si="233"/>
        <v>26</v>
      </c>
      <c r="BN521" s="18">
        <f t="shared" si="213"/>
        <v>0.93752209939772058</v>
      </c>
      <c r="BO521" s="18"/>
      <c r="BP521" s="6">
        <f t="shared" si="214"/>
        <v>10</v>
      </c>
      <c r="BQ521" s="6">
        <f t="shared" si="215"/>
        <v>10</v>
      </c>
      <c r="BR521" s="6">
        <v>20</v>
      </c>
      <c r="BS521" s="6">
        <f t="shared" si="221"/>
        <v>3.5</v>
      </c>
      <c r="BT521" s="6">
        <f t="shared" si="222"/>
        <v>1.5650000000000002</v>
      </c>
      <c r="BU521" s="6">
        <f t="shared" si="223"/>
        <v>22.532499999999999</v>
      </c>
      <c r="BV521" s="18">
        <f t="shared" si="218"/>
        <v>9.0130000000000002E-2</v>
      </c>
      <c r="BW521" s="18">
        <f t="shared" si="219"/>
        <v>0.19287820000000003</v>
      </c>
    </row>
    <row r="522" spans="1:75" x14ac:dyDescent="0.25">
      <c r="A522" s="18" t="s">
        <v>6</v>
      </c>
      <c r="B522" s="18">
        <v>2024</v>
      </c>
      <c r="C522" s="18" t="s">
        <v>138</v>
      </c>
      <c r="D522" s="18" t="s">
        <v>266</v>
      </c>
      <c r="E522" s="18">
        <v>40</v>
      </c>
      <c r="F522" s="18" t="s">
        <v>153</v>
      </c>
      <c r="G522" s="18" t="s">
        <v>297</v>
      </c>
      <c r="H522" s="31">
        <f t="shared" si="216"/>
        <v>6.5</v>
      </c>
      <c r="I522" s="31">
        <f t="shared" si="217"/>
        <v>7</v>
      </c>
      <c r="J522" s="4">
        <f t="shared" si="234"/>
        <v>0.5</v>
      </c>
      <c r="K522" s="32">
        <v>0.74</v>
      </c>
      <c r="L522" s="31">
        <f t="shared" si="225"/>
        <v>0.37</v>
      </c>
      <c r="M522" s="31">
        <v>2.14</v>
      </c>
      <c r="N522" s="31">
        <v>31.3</v>
      </c>
      <c r="O522" s="18">
        <f t="shared" si="226"/>
        <v>0.37</v>
      </c>
      <c r="P522" s="18">
        <v>18.5</v>
      </c>
      <c r="Q522" s="18">
        <v>20</v>
      </c>
      <c r="R522" s="18">
        <v>0.36</v>
      </c>
      <c r="S522" s="18">
        <v>0.2</v>
      </c>
      <c r="T522" s="65">
        <f t="shared" si="205"/>
        <v>40</v>
      </c>
      <c r="U522" s="18">
        <v>3</v>
      </c>
      <c r="V522" s="18"/>
      <c r="W522" s="18">
        <f t="shared" si="211"/>
        <v>3</v>
      </c>
      <c r="X522" s="18">
        <f t="shared" si="212"/>
        <v>120</v>
      </c>
      <c r="Y522" s="31">
        <f t="shared" si="220"/>
        <v>0.12</v>
      </c>
      <c r="Z522" s="18">
        <v>0</v>
      </c>
      <c r="AA522" s="18" t="s">
        <v>330</v>
      </c>
      <c r="AB522" s="18" t="s">
        <v>333</v>
      </c>
      <c r="AC522" s="18" t="s">
        <v>335</v>
      </c>
      <c r="AD522" s="18">
        <v>20</v>
      </c>
      <c r="AE522" s="18">
        <v>18.5</v>
      </c>
      <c r="AF522" s="18" t="s">
        <v>34</v>
      </c>
      <c r="AG522" s="18" t="s">
        <v>27</v>
      </c>
      <c r="AH522" s="18" t="s">
        <v>27</v>
      </c>
      <c r="AI522" s="18" t="s">
        <v>64</v>
      </c>
      <c r="AJ522" s="18" t="s">
        <v>77</v>
      </c>
      <c r="AK522" s="18" t="s">
        <v>96</v>
      </c>
      <c r="AL522" s="18" t="s">
        <v>105</v>
      </c>
      <c r="AM522" s="18" t="s">
        <v>118</v>
      </c>
      <c r="AN522" s="18" t="s">
        <v>267</v>
      </c>
      <c r="AO522" s="18" t="s">
        <v>269</v>
      </c>
      <c r="AP522" s="18"/>
      <c r="AQ522" s="18">
        <f>+VLOOKUP(AI522,Leyenda!$B$30:$E$34,3,FALSE)</f>
        <v>2</v>
      </c>
      <c r="AR522" s="18">
        <f>+VLOOKUP('3. Blasting'!AJ522,Meteorizacion,3,FALSE)</f>
        <v>3</v>
      </c>
      <c r="AS522" s="18">
        <f>+VLOOKUP('3. Blasting'!AK522,Apertura,3,FALSE)</f>
        <v>1</v>
      </c>
      <c r="AT522" s="18">
        <f>+VLOOKUP('3. Blasting'!AL522,Leyenda!$B$55:$D$59,3,FALSE)</f>
        <v>4</v>
      </c>
      <c r="AU522" s="18">
        <f>+VLOOKUP('3. Blasting'!AM522,Relleno,3,FALSE)</f>
        <v>2</v>
      </c>
      <c r="AV522" s="18">
        <f t="shared" si="206"/>
        <v>12</v>
      </c>
      <c r="AW522" s="49">
        <f t="shared" si="227"/>
        <v>0</v>
      </c>
      <c r="AX522" s="49">
        <f>VLOOKUP(AF522,Leyenda!$B$4:$D$10,3,FALSE)</f>
        <v>0</v>
      </c>
      <c r="AY522" s="49">
        <f t="shared" si="224"/>
        <v>4</v>
      </c>
      <c r="AZ522" s="49">
        <f t="shared" si="228"/>
        <v>12</v>
      </c>
      <c r="BA522" s="49">
        <f>VLOOKUP(AN522,Leyenda!$B$70:$D$75,3,FALSE)</f>
        <v>15</v>
      </c>
      <c r="BB522" s="67">
        <f t="shared" si="229"/>
        <v>38</v>
      </c>
      <c r="BC522" s="67">
        <f>VLOOKUP(AF522,Leyenda!$B$4:$E$10,4,FALSE)</f>
        <v>0</v>
      </c>
      <c r="BD522" s="67">
        <f t="shared" si="230"/>
        <v>9</v>
      </c>
      <c r="BE522" s="67">
        <f t="shared" si="231"/>
        <v>8</v>
      </c>
      <c r="BF522" s="67">
        <f>+VLOOKUP('3. Blasting'!AK522,Leyenda!$B$47:$E$51,4,FALSE)</f>
        <v>1</v>
      </c>
      <c r="BG522" s="67">
        <f>+VLOOKUP('3. Blasting'!AL522,Leyenda!$B$55:$E$59,4,FALSE)</f>
        <v>4</v>
      </c>
      <c r="BH522" s="67">
        <f>+VLOOKUP('3. Blasting'!AM522,Leyenda!$B$63:$E$67,3,FALSE)</f>
        <v>2</v>
      </c>
      <c r="BI522" s="67">
        <f>+VLOOKUP('3. Blasting'!AJ522,Leyenda!$B$39:$E$43,4,FALSE)</f>
        <v>3</v>
      </c>
      <c r="BJ522" s="67">
        <f>+VLOOKUP('3. Blasting'!AI522,Leyenda!$B$30:$E$34,4,FALSE)</f>
        <v>3</v>
      </c>
      <c r="BK522" s="67">
        <f>VLOOKUP(AN522,Leyenda!$B$71:$E$75,4,FALSE)</f>
        <v>10</v>
      </c>
      <c r="BL522" s="125">
        <f t="shared" si="232"/>
        <v>40</v>
      </c>
      <c r="BM522" s="85">
        <f t="shared" si="233"/>
        <v>31</v>
      </c>
      <c r="BN522" s="18">
        <f t="shared" si="213"/>
        <v>0.93723498571701747</v>
      </c>
      <c r="BO522" s="18"/>
      <c r="BP522" s="6">
        <f t="shared" si="214"/>
        <v>20</v>
      </c>
      <c r="BQ522" s="6">
        <f t="shared" si="215"/>
        <v>20</v>
      </c>
      <c r="BR522" s="6">
        <v>20</v>
      </c>
      <c r="BS522" s="6">
        <f t="shared" si="221"/>
        <v>3.5</v>
      </c>
      <c r="BT522" s="6">
        <f t="shared" si="222"/>
        <v>1.5650000000000002</v>
      </c>
      <c r="BU522" s="6">
        <f t="shared" si="223"/>
        <v>32.532499999999999</v>
      </c>
      <c r="BV522" s="18">
        <f t="shared" si="218"/>
        <v>0.13013</v>
      </c>
      <c r="BW522" s="18">
        <f t="shared" si="219"/>
        <v>0.27847820000000001</v>
      </c>
    </row>
    <row r="523" spans="1:75" x14ac:dyDescent="0.25">
      <c r="A523" s="18" t="s">
        <v>6</v>
      </c>
      <c r="B523" s="18">
        <v>2024</v>
      </c>
      <c r="C523" s="18" t="s">
        <v>138</v>
      </c>
      <c r="D523" s="18" t="s">
        <v>266</v>
      </c>
      <c r="E523" s="18">
        <v>40</v>
      </c>
      <c r="F523" s="18" t="s">
        <v>153</v>
      </c>
      <c r="G523" s="18" t="s">
        <v>297</v>
      </c>
      <c r="H523" s="31">
        <f t="shared" si="216"/>
        <v>7</v>
      </c>
      <c r="I523" s="31">
        <f t="shared" si="217"/>
        <v>7.5</v>
      </c>
      <c r="J523" s="4">
        <f t="shared" si="234"/>
        <v>0.5</v>
      </c>
      <c r="K523" s="32">
        <v>0.78</v>
      </c>
      <c r="L523" s="31">
        <f t="shared" si="225"/>
        <v>0.39</v>
      </c>
      <c r="M523" s="31">
        <v>2.14</v>
      </c>
      <c r="N523" s="31">
        <v>31.3</v>
      </c>
      <c r="O523" s="18">
        <f t="shared" si="226"/>
        <v>0.39</v>
      </c>
      <c r="P523" s="18">
        <v>19.5</v>
      </c>
      <c r="Q523" s="18">
        <v>20</v>
      </c>
      <c r="R523" s="18">
        <v>0.39</v>
      </c>
      <c r="S523" s="18">
        <v>0.18</v>
      </c>
      <c r="T523" s="65">
        <f t="shared" si="205"/>
        <v>36</v>
      </c>
      <c r="U523" s="18">
        <v>3</v>
      </c>
      <c r="V523" s="18"/>
      <c r="W523" s="18">
        <f t="shared" si="211"/>
        <v>3</v>
      </c>
      <c r="X523" s="18">
        <f t="shared" si="212"/>
        <v>130</v>
      </c>
      <c r="Y523" s="31">
        <f t="shared" si="220"/>
        <v>0.13</v>
      </c>
      <c r="Z523" s="18">
        <v>0</v>
      </c>
      <c r="AA523" s="18" t="s">
        <v>330</v>
      </c>
      <c r="AB523" s="18" t="s">
        <v>333</v>
      </c>
      <c r="AC523" s="18" t="s">
        <v>335</v>
      </c>
      <c r="AD523" s="18">
        <v>20</v>
      </c>
      <c r="AE523" s="18">
        <v>19.5</v>
      </c>
      <c r="AF523" s="18" t="s">
        <v>34</v>
      </c>
      <c r="AG523" s="18" t="s">
        <v>27</v>
      </c>
      <c r="AH523" s="18" t="s">
        <v>27</v>
      </c>
      <c r="AI523" s="18" t="s">
        <v>64</v>
      </c>
      <c r="AJ523" s="18" t="s">
        <v>81</v>
      </c>
      <c r="AK523" s="18" t="s">
        <v>96</v>
      </c>
      <c r="AL523" s="18" t="s">
        <v>105</v>
      </c>
      <c r="AM523" s="18" t="s">
        <v>118</v>
      </c>
      <c r="AN523" s="18" t="s">
        <v>267</v>
      </c>
      <c r="AO523" s="18"/>
      <c r="AP523" s="18"/>
      <c r="AQ523" s="18">
        <f>+VLOOKUP(AI523,Leyenda!$B$30:$E$34,3,FALSE)</f>
        <v>2</v>
      </c>
      <c r="AR523" s="18">
        <f>+VLOOKUP('3. Blasting'!AJ523,Meteorizacion,3,FALSE)</f>
        <v>0</v>
      </c>
      <c r="AS523" s="18">
        <f>+VLOOKUP('3. Blasting'!AK523,Apertura,3,FALSE)</f>
        <v>1</v>
      </c>
      <c r="AT523" s="18">
        <f>+VLOOKUP('3. Blasting'!AL523,Leyenda!$B$55:$D$59,3,FALSE)</f>
        <v>4</v>
      </c>
      <c r="AU523" s="18">
        <f>+VLOOKUP('3. Blasting'!AM523,Relleno,3,FALSE)</f>
        <v>2</v>
      </c>
      <c r="AV523" s="18">
        <f t="shared" si="206"/>
        <v>9</v>
      </c>
      <c r="AW523" s="49">
        <f t="shared" si="227"/>
        <v>0</v>
      </c>
      <c r="AX523" s="49">
        <f>VLOOKUP(AF523,Leyenda!$B$4:$D$10,3,FALSE)</f>
        <v>0</v>
      </c>
      <c r="AY523" s="49">
        <f t="shared" si="224"/>
        <v>4</v>
      </c>
      <c r="AZ523" s="49">
        <f t="shared" si="228"/>
        <v>9</v>
      </c>
      <c r="BA523" s="49">
        <f>VLOOKUP(AN523,Leyenda!$B$70:$D$75,3,FALSE)</f>
        <v>15</v>
      </c>
      <c r="BB523" s="67">
        <f t="shared" si="229"/>
        <v>31.5</v>
      </c>
      <c r="BC523" s="67">
        <f>VLOOKUP(AF523,Leyenda!$B$4:$E$10,4,FALSE)</f>
        <v>0</v>
      </c>
      <c r="BD523" s="67">
        <f t="shared" si="230"/>
        <v>10</v>
      </c>
      <c r="BE523" s="67">
        <f t="shared" si="231"/>
        <v>8</v>
      </c>
      <c r="BF523" s="67">
        <f>+VLOOKUP('3. Blasting'!AK523,Leyenda!$B$47:$E$51,4,FALSE)</f>
        <v>1</v>
      </c>
      <c r="BG523" s="67">
        <f>+VLOOKUP('3. Blasting'!AL523,Leyenda!$B$55:$E$59,4,FALSE)</f>
        <v>4</v>
      </c>
      <c r="BH523" s="67">
        <f>+VLOOKUP('3. Blasting'!AM523,Leyenda!$B$63:$E$67,3,FALSE)</f>
        <v>2</v>
      </c>
      <c r="BI523" s="67">
        <f>+VLOOKUP('3. Blasting'!AJ523,Leyenda!$B$39:$E$43,4,FALSE)</f>
        <v>0</v>
      </c>
      <c r="BJ523" s="67">
        <f>+VLOOKUP('3. Blasting'!AI523,Leyenda!$B$30:$E$34,4,FALSE)</f>
        <v>3</v>
      </c>
      <c r="BK523" s="67">
        <f>VLOOKUP(AN523,Leyenda!$B$71:$E$75,4,FALSE)</f>
        <v>10</v>
      </c>
      <c r="BL523" s="125">
        <f t="shared" si="232"/>
        <v>38</v>
      </c>
      <c r="BM523" s="85">
        <f t="shared" si="233"/>
        <v>28</v>
      </c>
      <c r="BN523" s="18">
        <f t="shared" si="213"/>
        <v>0.93563480448112724</v>
      </c>
      <c r="BO523" s="18"/>
      <c r="BP523" s="6">
        <f t="shared" si="214"/>
        <v>20</v>
      </c>
      <c r="BQ523" s="6">
        <f t="shared" si="215"/>
        <v>20</v>
      </c>
      <c r="BR523" s="6">
        <v>20</v>
      </c>
      <c r="BS523" s="6">
        <f t="shared" si="221"/>
        <v>3.5</v>
      </c>
      <c r="BT523" s="6">
        <f t="shared" si="222"/>
        <v>1.5650000000000002</v>
      </c>
      <c r="BU523" s="6">
        <f t="shared" si="223"/>
        <v>32.532499999999999</v>
      </c>
      <c r="BV523" s="18">
        <f t="shared" si="218"/>
        <v>0.13013</v>
      </c>
      <c r="BW523" s="18">
        <f t="shared" si="219"/>
        <v>0.27847820000000001</v>
      </c>
    </row>
    <row r="524" spans="1:75" x14ac:dyDescent="0.25">
      <c r="A524" s="18" t="s">
        <v>6</v>
      </c>
      <c r="B524" s="18">
        <v>2024</v>
      </c>
      <c r="C524" s="18" t="s">
        <v>138</v>
      </c>
      <c r="D524" s="18" t="s">
        <v>266</v>
      </c>
      <c r="E524" s="18">
        <v>40</v>
      </c>
      <c r="F524" s="18" t="s">
        <v>153</v>
      </c>
      <c r="G524" s="18" t="s">
        <v>297</v>
      </c>
      <c r="H524" s="31">
        <f t="shared" si="216"/>
        <v>7.5</v>
      </c>
      <c r="I524" s="31">
        <f t="shared" si="217"/>
        <v>8</v>
      </c>
      <c r="J524" s="4">
        <f t="shared" si="234"/>
        <v>0.5</v>
      </c>
      <c r="K524" s="32">
        <v>0.84</v>
      </c>
      <c r="L524" s="31">
        <f t="shared" si="225"/>
        <v>0.42</v>
      </c>
      <c r="M524" s="31">
        <v>2.14</v>
      </c>
      <c r="N524" s="31">
        <v>31.3</v>
      </c>
      <c r="O524" s="18">
        <f t="shared" si="226"/>
        <v>0.42</v>
      </c>
      <c r="P524" s="18">
        <v>21</v>
      </c>
      <c r="Q524" s="18">
        <v>20</v>
      </c>
      <c r="R524" s="18">
        <v>0.39</v>
      </c>
      <c r="S524" s="18">
        <v>0.23</v>
      </c>
      <c r="T524" s="65">
        <f t="shared" si="205"/>
        <v>46</v>
      </c>
      <c r="U524" s="18">
        <v>3</v>
      </c>
      <c r="V524" s="18"/>
      <c r="W524" s="18">
        <f>+U524+V524</f>
        <v>3</v>
      </c>
      <c r="X524" s="18">
        <f t="shared" si="212"/>
        <v>130</v>
      </c>
      <c r="Y524" s="31">
        <f t="shared" si="220"/>
        <v>0.13</v>
      </c>
      <c r="Z524" s="18">
        <v>0</v>
      </c>
      <c r="AA524" s="18" t="s">
        <v>330</v>
      </c>
      <c r="AB524" s="18" t="s">
        <v>333</v>
      </c>
      <c r="AC524" s="18" t="s">
        <v>335</v>
      </c>
      <c r="AD524" s="18">
        <v>20</v>
      </c>
      <c r="AE524" s="18">
        <v>21</v>
      </c>
      <c r="AF524" s="18" t="s">
        <v>34</v>
      </c>
      <c r="AG524" s="18" t="s">
        <v>27</v>
      </c>
      <c r="AH524" s="18" t="s">
        <v>27</v>
      </c>
      <c r="AI524" s="18" t="s">
        <v>64</v>
      </c>
      <c r="AJ524" s="18" t="s">
        <v>77</v>
      </c>
      <c r="AK524" s="18" t="s">
        <v>96</v>
      </c>
      <c r="AL524" s="18" t="s">
        <v>105</v>
      </c>
      <c r="AM524" s="18" t="s">
        <v>118</v>
      </c>
      <c r="AN524" s="18" t="s">
        <v>267</v>
      </c>
      <c r="AO524" s="18"/>
      <c r="AP524" s="18"/>
      <c r="AQ524" s="18">
        <f>+VLOOKUP(AI524,Leyenda!$B$30:$E$34,3,FALSE)</f>
        <v>2</v>
      </c>
      <c r="AR524" s="18">
        <f>+VLOOKUP('3. Blasting'!AJ524,Meteorizacion,3,FALSE)</f>
        <v>3</v>
      </c>
      <c r="AS524" s="18">
        <f>+VLOOKUP('3. Blasting'!AK524,Apertura,3,FALSE)</f>
        <v>1</v>
      </c>
      <c r="AT524" s="18">
        <f>+VLOOKUP('3. Blasting'!AL524,Leyenda!$B$55:$D$59,3,FALSE)</f>
        <v>4</v>
      </c>
      <c r="AU524" s="18">
        <f>+VLOOKUP('3. Blasting'!AM524,Relleno,3,FALSE)</f>
        <v>2</v>
      </c>
      <c r="AV524" s="18">
        <f t="shared" si="206"/>
        <v>12</v>
      </c>
      <c r="AW524" s="49">
        <f t="shared" si="227"/>
        <v>0</v>
      </c>
      <c r="AX524" s="49">
        <f>VLOOKUP(AF524,Leyenda!$B$4:$D$10,3,FALSE)</f>
        <v>0</v>
      </c>
      <c r="AY524" s="49">
        <f t="shared" si="224"/>
        <v>4</v>
      </c>
      <c r="AZ524" s="49">
        <f t="shared" si="228"/>
        <v>12</v>
      </c>
      <c r="BA524" s="49">
        <f>VLOOKUP(AN524,Leyenda!$B$70:$D$75,3,FALSE)</f>
        <v>15</v>
      </c>
      <c r="BB524" s="67">
        <f t="shared" si="229"/>
        <v>41</v>
      </c>
      <c r="BC524" s="67">
        <f>VLOOKUP(AF524,Leyenda!$B$4:$E$10,4,FALSE)</f>
        <v>0</v>
      </c>
      <c r="BD524" s="67">
        <f t="shared" si="230"/>
        <v>10</v>
      </c>
      <c r="BE524" s="67">
        <f t="shared" si="231"/>
        <v>10</v>
      </c>
      <c r="BF524" s="67">
        <f>+VLOOKUP('3. Blasting'!AK524,Leyenda!$B$47:$E$51,4,FALSE)</f>
        <v>1</v>
      </c>
      <c r="BG524" s="67">
        <f>+VLOOKUP('3. Blasting'!AL524,Leyenda!$B$55:$E$59,4,FALSE)</f>
        <v>4</v>
      </c>
      <c r="BH524" s="67">
        <f>+VLOOKUP('3. Blasting'!AM524,Leyenda!$B$63:$E$67,3,FALSE)</f>
        <v>2</v>
      </c>
      <c r="BI524" s="67">
        <f>+VLOOKUP('3. Blasting'!AJ524,Leyenda!$B$39:$E$43,4,FALSE)</f>
        <v>3</v>
      </c>
      <c r="BJ524" s="67">
        <f>+VLOOKUP('3. Blasting'!AI524,Leyenda!$B$30:$E$34,4,FALSE)</f>
        <v>3</v>
      </c>
      <c r="BK524" s="67">
        <f>VLOOKUP(AN524,Leyenda!$B$71:$E$75,4,FALSE)</f>
        <v>10</v>
      </c>
      <c r="BL524" s="125">
        <f t="shared" si="232"/>
        <v>43</v>
      </c>
      <c r="BM524" s="85">
        <f t="shared" si="233"/>
        <v>31</v>
      </c>
      <c r="BN524" s="18">
        <f t="shared" si="213"/>
        <v>0.93490130554726292</v>
      </c>
      <c r="BO524" s="18"/>
      <c r="BP524" s="6">
        <f t="shared" si="214"/>
        <v>30</v>
      </c>
      <c r="BQ524" s="6">
        <f t="shared" si="215"/>
        <v>20</v>
      </c>
      <c r="BR524" s="6">
        <v>20</v>
      </c>
      <c r="BS524" s="6">
        <f t="shared" si="221"/>
        <v>3.5</v>
      </c>
      <c r="BT524" s="6">
        <f t="shared" si="222"/>
        <v>1.5650000000000002</v>
      </c>
      <c r="BU524" s="6">
        <f t="shared" si="223"/>
        <v>37.532499999999999</v>
      </c>
      <c r="BV524" s="18">
        <f t="shared" si="218"/>
        <v>0.15012999999999999</v>
      </c>
      <c r="BW524" s="18">
        <f t="shared" si="219"/>
        <v>0.32127820000000001</v>
      </c>
    </row>
    <row r="525" spans="1:75" x14ac:dyDescent="0.25">
      <c r="A525" s="18" t="s">
        <v>6</v>
      </c>
      <c r="B525" s="18">
        <v>2024</v>
      </c>
      <c r="C525" s="18" t="s">
        <v>138</v>
      </c>
      <c r="D525" s="18" t="s">
        <v>266</v>
      </c>
      <c r="E525" s="18">
        <v>40</v>
      </c>
      <c r="F525" s="18" t="s">
        <v>153</v>
      </c>
      <c r="G525" s="18" t="s">
        <v>297</v>
      </c>
      <c r="H525" s="31">
        <f t="shared" si="216"/>
        <v>8</v>
      </c>
      <c r="I525" s="31">
        <f t="shared" si="217"/>
        <v>8.5</v>
      </c>
      <c r="J525" s="4">
        <f t="shared" si="234"/>
        <v>0.5</v>
      </c>
      <c r="K525" s="32">
        <v>0.6</v>
      </c>
      <c r="L525" s="31">
        <f t="shared" si="225"/>
        <v>0.3</v>
      </c>
      <c r="M525" s="31">
        <v>2.14</v>
      </c>
      <c r="N525" s="31">
        <v>31.3</v>
      </c>
      <c r="O525" s="18">
        <f t="shared" si="226"/>
        <v>0.3</v>
      </c>
      <c r="P525" s="18">
        <v>15</v>
      </c>
      <c r="Q525" s="18">
        <v>20</v>
      </c>
      <c r="R525" s="18">
        <v>0.31</v>
      </c>
      <c r="S525" s="18">
        <v>0.13</v>
      </c>
      <c r="T525" s="65">
        <f t="shared" ref="T525:T588" si="235">+S525/J525*100</f>
        <v>26</v>
      </c>
      <c r="U525" s="18">
        <v>3</v>
      </c>
      <c r="V525" s="18"/>
      <c r="W525" s="18">
        <f>+U525+V525</f>
        <v>3</v>
      </c>
      <c r="X525" s="18">
        <f t="shared" si="212"/>
        <v>103.33333333333333</v>
      </c>
      <c r="Y525" s="31">
        <f t="shared" si="220"/>
        <v>0.10333333333333333</v>
      </c>
      <c r="Z525" s="18">
        <v>0</v>
      </c>
      <c r="AA525" s="18" t="s">
        <v>330</v>
      </c>
      <c r="AB525" s="18" t="s">
        <v>333</v>
      </c>
      <c r="AC525" s="18" t="s">
        <v>335</v>
      </c>
      <c r="AD525" s="18">
        <v>20</v>
      </c>
      <c r="AE525" s="18">
        <v>15</v>
      </c>
      <c r="AF525" s="18" t="s">
        <v>34</v>
      </c>
      <c r="AG525" s="18" t="s">
        <v>27</v>
      </c>
      <c r="AH525" s="18" t="s">
        <v>27</v>
      </c>
      <c r="AI525" s="18" t="s">
        <v>64</v>
      </c>
      <c r="AJ525" s="18" t="s">
        <v>79</v>
      </c>
      <c r="AK525" s="18" t="s">
        <v>96</v>
      </c>
      <c r="AL525" s="18" t="s">
        <v>105</v>
      </c>
      <c r="AM525" s="18" t="s">
        <v>118</v>
      </c>
      <c r="AN525" s="18" t="s">
        <v>267</v>
      </c>
      <c r="AO525" s="18"/>
      <c r="AP525" s="18"/>
      <c r="AQ525" s="18">
        <f>+VLOOKUP(AI525,Leyenda!$B$30:$E$34,3,FALSE)</f>
        <v>2</v>
      </c>
      <c r="AR525" s="18">
        <f>+VLOOKUP('3. Blasting'!AJ525,Meteorizacion,3,FALSE)</f>
        <v>1</v>
      </c>
      <c r="AS525" s="18">
        <f>+VLOOKUP('3. Blasting'!AK525,Apertura,3,FALSE)</f>
        <v>1</v>
      </c>
      <c r="AT525" s="18">
        <f>+VLOOKUP('3. Blasting'!AL525,Leyenda!$B$55:$D$59,3,FALSE)</f>
        <v>4</v>
      </c>
      <c r="AU525" s="18">
        <f>+VLOOKUP('3. Blasting'!AM525,Relleno,3,FALSE)</f>
        <v>2</v>
      </c>
      <c r="AV525" s="18">
        <f t="shared" ref="AV525:AV588" si="236">+SUM(AQ525:AU525)</f>
        <v>10</v>
      </c>
      <c r="AW525" s="49">
        <f t="shared" si="227"/>
        <v>0</v>
      </c>
      <c r="AX525" s="49">
        <f>VLOOKUP(AF525,Leyenda!$B$4:$D$10,3,FALSE)</f>
        <v>0</v>
      </c>
      <c r="AY525" s="49">
        <f t="shared" si="224"/>
        <v>4</v>
      </c>
      <c r="AZ525" s="49">
        <f t="shared" si="228"/>
        <v>10</v>
      </c>
      <c r="BA525" s="49">
        <f>VLOOKUP(AN525,Leyenda!$B$70:$D$75,3,FALSE)</f>
        <v>15</v>
      </c>
      <c r="BB525" s="67">
        <f t="shared" si="229"/>
        <v>28</v>
      </c>
      <c r="BC525" s="67">
        <f>VLOOKUP(AF525,Leyenda!$B$4:$E$10,4,FALSE)</f>
        <v>0</v>
      </c>
      <c r="BD525" s="67">
        <f t="shared" si="230"/>
        <v>8</v>
      </c>
      <c r="BE525" s="67">
        <f t="shared" si="231"/>
        <v>6</v>
      </c>
      <c r="BF525" s="67">
        <f>+VLOOKUP('3. Blasting'!AK525,Leyenda!$B$47:$E$51,4,FALSE)</f>
        <v>1</v>
      </c>
      <c r="BG525" s="67">
        <f>+VLOOKUP('3. Blasting'!AL525,Leyenda!$B$55:$E$59,4,FALSE)</f>
        <v>4</v>
      </c>
      <c r="BH525" s="67">
        <f>+VLOOKUP('3. Blasting'!AM525,Leyenda!$B$63:$E$67,3,FALSE)</f>
        <v>2</v>
      </c>
      <c r="BI525" s="67">
        <f>+VLOOKUP('3. Blasting'!AJ525,Leyenda!$B$39:$E$43,4,FALSE)</f>
        <v>1</v>
      </c>
      <c r="BJ525" s="67">
        <f>+VLOOKUP('3. Blasting'!AI525,Leyenda!$B$30:$E$34,4,FALSE)</f>
        <v>3</v>
      </c>
      <c r="BK525" s="67">
        <f>VLOOKUP(AN525,Leyenda!$B$71:$E$75,4,FALSE)</f>
        <v>10</v>
      </c>
      <c r="BL525" s="125">
        <f t="shared" si="232"/>
        <v>35</v>
      </c>
      <c r="BM525" s="85">
        <f t="shared" si="233"/>
        <v>29</v>
      </c>
      <c r="BN525" s="18">
        <f t="shared" si="213"/>
        <v>0.93214297307150107</v>
      </c>
      <c r="BO525" s="18"/>
      <c r="BP525" s="6">
        <f t="shared" si="214"/>
        <v>20</v>
      </c>
      <c r="BQ525" s="6">
        <f t="shared" si="215"/>
        <v>20</v>
      </c>
      <c r="BR525" s="6">
        <v>20</v>
      </c>
      <c r="BS525" s="6">
        <f t="shared" si="221"/>
        <v>3.5</v>
      </c>
      <c r="BT525" s="6">
        <f t="shared" si="222"/>
        <v>1.5650000000000002</v>
      </c>
      <c r="BU525" s="6">
        <f t="shared" si="223"/>
        <v>32.532499999999999</v>
      </c>
      <c r="BV525" s="18">
        <f t="shared" si="218"/>
        <v>0.13013</v>
      </c>
      <c r="BW525" s="18">
        <f t="shared" si="219"/>
        <v>0.27847820000000001</v>
      </c>
    </row>
    <row r="526" spans="1:75" x14ac:dyDescent="0.25">
      <c r="A526" s="18" t="s">
        <v>6</v>
      </c>
      <c r="B526" s="18">
        <v>2024</v>
      </c>
      <c r="C526" s="18" t="s">
        <v>138</v>
      </c>
      <c r="D526" s="18" t="s">
        <v>266</v>
      </c>
      <c r="E526" s="18">
        <v>40</v>
      </c>
      <c r="F526" s="18" t="s">
        <v>153</v>
      </c>
      <c r="G526" s="18" t="s">
        <v>297</v>
      </c>
      <c r="H526" s="31">
        <f t="shared" si="216"/>
        <v>8.5</v>
      </c>
      <c r="I526" s="31">
        <f t="shared" si="217"/>
        <v>9</v>
      </c>
      <c r="J526" s="4">
        <f t="shared" si="234"/>
        <v>0.5</v>
      </c>
      <c r="K526" s="32">
        <v>0.57999999999999996</v>
      </c>
      <c r="L526" s="31">
        <f t="shared" si="225"/>
        <v>0.28999999999999998</v>
      </c>
      <c r="M526" s="31">
        <v>2.14</v>
      </c>
      <c r="N526" s="31">
        <v>31.3</v>
      </c>
      <c r="O526" s="18">
        <f t="shared" si="226"/>
        <v>0.28999999999999998</v>
      </c>
      <c r="P526" s="18">
        <v>14.5</v>
      </c>
      <c r="Q526" s="18">
        <v>20</v>
      </c>
      <c r="R526" s="18">
        <v>0.22</v>
      </c>
      <c r="S526" s="18">
        <v>0</v>
      </c>
      <c r="T526" s="65">
        <f t="shared" si="235"/>
        <v>0</v>
      </c>
      <c r="U526" s="18">
        <v>5</v>
      </c>
      <c r="V526" s="18"/>
      <c r="W526" s="18">
        <f t="shared" si="211"/>
        <v>5</v>
      </c>
      <c r="X526" s="18">
        <f t="shared" si="212"/>
        <v>44</v>
      </c>
      <c r="Y526" s="31">
        <f t="shared" si="220"/>
        <v>4.3999999999999997E-2</v>
      </c>
      <c r="Z526" s="18">
        <v>0</v>
      </c>
      <c r="AA526" s="18" t="s">
        <v>330</v>
      </c>
      <c r="AB526" s="18" t="s">
        <v>333</v>
      </c>
      <c r="AC526" s="18" t="s">
        <v>335</v>
      </c>
      <c r="AD526" s="18">
        <v>20</v>
      </c>
      <c r="AE526" s="18">
        <v>14.5</v>
      </c>
      <c r="AF526" s="18" t="s">
        <v>34</v>
      </c>
      <c r="AG526" s="18" t="s">
        <v>29</v>
      </c>
      <c r="AH526" s="18" t="s">
        <v>29</v>
      </c>
      <c r="AI526" s="18" t="s">
        <v>66</v>
      </c>
      <c r="AJ526" s="18" t="s">
        <v>79</v>
      </c>
      <c r="AK526" s="18" t="s">
        <v>96</v>
      </c>
      <c r="AL526" s="18" t="s">
        <v>109</v>
      </c>
      <c r="AM526" s="18" t="s">
        <v>120</v>
      </c>
      <c r="AN526" s="18" t="s">
        <v>267</v>
      </c>
      <c r="AO526" s="18"/>
      <c r="AP526" s="18"/>
      <c r="AQ526" s="18">
        <f>+VLOOKUP(AI526,Leyenda!$B$30:$E$34,3,FALSE)</f>
        <v>1</v>
      </c>
      <c r="AR526" s="18">
        <f>+VLOOKUP('3. Blasting'!AJ526,Meteorizacion,3,FALSE)</f>
        <v>1</v>
      </c>
      <c r="AS526" s="18">
        <f>+VLOOKUP('3. Blasting'!AK526,Apertura,3,FALSE)</f>
        <v>1</v>
      </c>
      <c r="AT526" s="18">
        <f>+VLOOKUP('3. Blasting'!AL526,Leyenda!$B$55:$D$59,3,FALSE)</f>
        <v>1</v>
      </c>
      <c r="AU526" s="18">
        <f>+VLOOKUP('3. Blasting'!AM526,Relleno,3,FALSE)</f>
        <v>2</v>
      </c>
      <c r="AV526" s="18">
        <f t="shared" si="236"/>
        <v>6</v>
      </c>
      <c r="AW526" s="49">
        <f t="shared" si="227"/>
        <v>0</v>
      </c>
      <c r="AX526" s="49">
        <f>VLOOKUP(AF526,Leyenda!$B$4:$D$10,3,FALSE)</f>
        <v>0</v>
      </c>
      <c r="AY526" s="49">
        <f t="shared" si="224"/>
        <v>4</v>
      </c>
      <c r="AZ526" s="49">
        <f t="shared" si="228"/>
        <v>6</v>
      </c>
      <c r="BA526" s="49">
        <f>VLOOKUP(AN526,Leyenda!$B$70:$D$75,3,FALSE)</f>
        <v>15</v>
      </c>
      <c r="BB526" s="67">
        <f t="shared" si="229"/>
        <v>9</v>
      </c>
      <c r="BC526" s="67">
        <f>VLOOKUP(AF526,Leyenda!$B$4:$E$10,4,FALSE)</f>
        <v>0</v>
      </c>
      <c r="BD526" s="67">
        <f t="shared" si="230"/>
        <v>5</v>
      </c>
      <c r="BE526" s="67">
        <f t="shared" si="231"/>
        <v>0</v>
      </c>
      <c r="BF526" s="67">
        <f>+VLOOKUP('3. Blasting'!AK526,Leyenda!$B$47:$E$51,4,FALSE)</f>
        <v>1</v>
      </c>
      <c r="BG526" s="67">
        <f>+VLOOKUP('3. Blasting'!AL526,Leyenda!$B$55:$E$59,4,FALSE)</f>
        <v>1</v>
      </c>
      <c r="BH526" s="67">
        <f>+VLOOKUP('3. Blasting'!AM526,Leyenda!$B$63:$E$67,3,FALSE)</f>
        <v>2</v>
      </c>
      <c r="BI526" s="67">
        <f>+VLOOKUP('3. Blasting'!AJ526,Leyenda!$B$39:$E$43,4,FALSE)</f>
        <v>1</v>
      </c>
      <c r="BJ526" s="67">
        <f>+VLOOKUP('3. Blasting'!AI526,Leyenda!$B$30:$E$34,4,FALSE)</f>
        <v>1</v>
      </c>
      <c r="BK526" s="67">
        <f>VLOOKUP(AN526,Leyenda!$B$71:$E$75,4,FALSE)</f>
        <v>10</v>
      </c>
      <c r="BL526" s="125">
        <f t="shared" si="232"/>
        <v>21</v>
      </c>
      <c r="BM526" s="85">
        <f t="shared" si="233"/>
        <v>25</v>
      </c>
      <c r="BN526" s="18">
        <f t="shared" si="213"/>
        <v>0.93164322412405465</v>
      </c>
      <c r="BO526" s="18"/>
      <c r="BP526" s="6">
        <f t="shared" si="214"/>
        <v>10</v>
      </c>
      <c r="BQ526" s="6">
        <f t="shared" si="215"/>
        <v>10</v>
      </c>
      <c r="BR526" s="6">
        <v>20</v>
      </c>
      <c r="BS526" s="6">
        <f t="shared" si="221"/>
        <v>3.5</v>
      </c>
      <c r="BT526" s="6">
        <f t="shared" si="222"/>
        <v>1.5650000000000002</v>
      </c>
      <c r="BU526" s="6">
        <f t="shared" si="223"/>
        <v>22.532499999999999</v>
      </c>
      <c r="BV526" s="18">
        <f t="shared" si="218"/>
        <v>9.0130000000000002E-2</v>
      </c>
      <c r="BW526" s="18">
        <f t="shared" si="219"/>
        <v>0.19287820000000003</v>
      </c>
    </row>
    <row r="527" spans="1:75" x14ac:dyDescent="0.25">
      <c r="A527" s="18" t="s">
        <v>6</v>
      </c>
      <c r="B527" s="18">
        <v>2024</v>
      </c>
      <c r="C527" s="18" t="s">
        <v>138</v>
      </c>
      <c r="D527" s="18" t="s">
        <v>266</v>
      </c>
      <c r="E527" s="18">
        <v>40</v>
      </c>
      <c r="F527" s="18" t="s">
        <v>153</v>
      </c>
      <c r="G527" s="18" t="s">
        <v>297</v>
      </c>
      <c r="H527" s="31">
        <f t="shared" si="216"/>
        <v>9</v>
      </c>
      <c r="I527" s="31">
        <f t="shared" si="217"/>
        <v>9.5</v>
      </c>
      <c r="J527" s="4">
        <f t="shared" si="234"/>
        <v>0.5</v>
      </c>
      <c r="K527" s="32">
        <v>0.3</v>
      </c>
      <c r="L527" s="31">
        <f t="shared" si="225"/>
        <v>0.15</v>
      </c>
      <c r="M527" s="31">
        <v>2.14</v>
      </c>
      <c r="N527" s="31">
        <v>31.3</v>
      </c>
      <c r="O527" s="18">
        <f t="shared" si="226"/>
        <v>0.15</v>
      </c>
      <c r="P527" s="18">
        <v>7.5</v>
      </c>
      <c r="Q527" s="18">
        <v>20</v>
      </c>
      <c r="R527" s="18">
        <v>0.12</v>
      </c>
      <c r="S527" s="18">
        <v>0</v>
      </c>
      <c r="T527" s="65">
        <f t="shared" si="235"/>
        <v>0</v>
      </c>
      <c r="U527" s="18">
        <v>5</v>
      </c>
      <c r="V527" s="18"/>
      <c r="W527" s="18">
        <f t="shared" si="211"/>
        <v>5</v>
      </c>
      <c r="X527" s="18">
        <f t="shared" si="212"/>
        <v>24</v>
      </c>
      <c r="Y527" s="31">
        <f t="shared" si="220"/>
        <v>2.4E-2</v>
      </c>
      <c r="Z527" s="18">
        <v>0</v>
      </c>
      <c r="AA527" s="18" t="s">
        <v>330</v>
      </c>
      <c r="AB527" s="18" t="s">
        <v>333</v>
      </c>
      <c r="AC527" s="18" t="s">
        <v>335</v>
      </c>
      <c r="AD527" s="18">
        <v>20</v>
      </c>
      <c r="AE527" s="18">
        <v>7.5</v>
      </c>
      <c r="AF527" s="18" t="s">
        <v>34</v>
      </c>
      <c r="AG527" s="18" t="s">
        <v>29</v>
      </c>
      <c r="AH527" s="18" t="s">
        <v>29</v>
      </c>
      <c r="AI527" s="18" t="s">
        <v>66</v>
      </c>
      <c r="AJ527" s="18" t="s">
        <v>79</v>
      </c>
      <c r="AK527" s="18" t="s">
        <v>96</v>
      </c>
      <c r="AL527" s="18" t="s">
        <v>109</v>
      </c>
      <c r="AM527" s="18" t="s">
        <v>120</v>
      </c>
      <c r="AN527" s="18" t="s">
        <v>267</v>
      </c>
      <c r="AO527" s="18"/>
      <c r="AP527" s="18"/>
      <c r="AQ527" s="18">
        <f>+VLOOKUP(AI527,Leyenda!$B$30:$E$34,3,FALSE)</f>
        <v>1</v>
      </c>
      <c r="AR527" s="18">
        <f>+VLOOKUP('3. Blasting'!AJ527,Meteorizacion,3,FALSE)</f>
        <v>1</v>
      </c>
      <c r="AS527" s="18">
        <f>+VLOOKUP('3. Blasting'!AK527,Apertura,3,FALSE)</f>
        <v>1</v>
      </c>
      <c r="AT527" s="18">
        <f>+VLOOKUP('3. Blasting'!AL527,Leyenda!$B$55:$D$59,3,FALSE)</f>
        <v>1</v>
      </c>
      <c r="AU527" s="18">
        <f>+VLOOKUP('3. Blasting'!AM527,Relleno,3,FALSE)</f>
        <v>2</v>
      </c>
      <c r="AV527" s="18">
        <f t="shared" si="236"/>
        <v>6</v>
      </c>
      <c r="AW527" s="49">
        <f t="shared" si="227"/>
        <v>0</v>
      </c>
      <c r="AX527" s="49">
        <f>VLOOKUP(AF527,Leyenda!$B$4:$D$10,3,FALSE)</f>
        <v>0</v>
      </c>
      <c r="AY527" s="49">
        <f t="shared" si="224"/>
        <v>3</v>
      </c>
      <c r="AZ527" s="49">
        <f t="shared" si="228"/>
        <v>6</v>
      </c>
      <c r="BA527" s="49">
        <f>VLOOKUP(AN527,Leyenda!$B$70:$D$75,3,FALSE)</f>
        <v>15</v>
      </c>
      <c r="BB527" s="67">
        <f t="shared" si="229"/>
        <v>9</v>
      </c>
      <c r="BC527" s="67">
        <f>VLOOKUP(AF527,Leyenda!$B$4:$E$10,4,FALSE)</f>
        <v>0</v>
      </c>
      <c r="BD527" s="67">
        <f t="shared" si="230"/>
        <v>5</v>
      </c>
      <c r="BE527" s="67">
        <f t="shared" si="231"/>
        <v>0</v>
      </c>
      <c r="BF527" s="67">
        <f>+VLOOKUP('3. Blasting'!AK527,Leyenda!$B$47:$E$51,4,FALSE)</f>
        <v>1</v>
      </c>
      <c r="BG527" s="67">
        <f>+VLOOKUP('3. Blasting'!AL527,Leyenda!$B$55:$E$59,4,FALSE)</f>
        <v>1</v>
      </c>
      <c r="BH527" s="67">
        <f>+VLOOKUP('3. Blasting'!AM527,Leyenda!$B$63:$E$67,3,FALSE)</f>
        <v>2</v>
      </c>
      <c r="BI527" s="67">
        <f>+VLOOKUP('3. Blasting'!AJ527,Leyenda!$B$39:$E$43,4,FALSE)</f>
        <v>1</v>
      </c>
      <c r="BJ527" s="67">
        <f>+VLOOKUP('3. Blasting'!AI527,Leyenda!$B$30:$E$34,4,FALSE)</f>
        <v>1</v>
      </c>
      <c r="BK527" s="67">
        <f>VLOOKUP(AN527,Leyenda!$B$71:$E$75,4,FALSE)</f>
        <v>10</v>
      </c>
      <c r="BL527" s="125">
        <f t="shared" si="232"/>
        <v>21</v>
      </c>
      <c r="BM527" s="85">
        <f t="shared" si="233"/>
        <v>24</v>
      </c>
      <c r="BN527" s="18">
        <f t="shared" si="213"/>
        <v>0.93106516433806785</v>
      </c>
      <c r="BO527" s="18"/>
      <c r="BP527" s="6">
        <f t="shared" si="214"/>
        <v>10</v>
      </c>
      <c r="BQ527" s="6">
        <f t="shared" si="215"/>
        <v>10</v>
      </c>
      <c r="BR527" s="6">
        <v>20</v>
      </c>
      <c r="BS527" s="6">
        <f t="shared" si="221"/>
        <v>3.5</v>
      </c>
      <c r="BT527" s="6">
        <f t="shared" si="222"/>
        <v>1.5650000000000002</v>
      </c>
      <c r="BU527" s="6">
        <f t="shared" si="223"/>
        <v>22.532499999999999</v>
      </c>
      <c r="BV527" s="18">
        <f t="shared" si="218"/>
        <v>9.0130000000000002E-2</v>
      </c>
      <c r="BW527" s="18">
        <f t="shared" si="219"/>
        <v>0.19287820000000003</v>
      </c>
    </row>
    <row r="528" spans="1:75" x14ac:dyDescent="0.25">
      <c r="A528" s="18" t="s">
        <v>6</v>
      </c>
      <c r="B528" s="18">
        <v>2024</v>
      </c>
      <c r="C528" s="18" t="s">
        <v>138</v>
      </c>
      <c r="D528" s="18" t="s">
        <v>266</v>
      </c>
      <c r="E528" s="18">
        <v>40</v>
      </c>
      <c r="F528" s="18" t="s">
        <v>153</v>
      </c>
      <c r="G528" s="18" t="s">
        <v>297</v>
      </c>
      <c r="H528" s="31">
        <f t="shared" si="216"/>
        <v>9.5</v>
      </c>
      <c r="I528" s="31">
        <f t="shared" si="217"/>
        <v>10</v>
      </c>
      <c r="J528" s="4">
        <f t="shared" si="234"/>
        <v>0.5</v>
      </c>
      <c r="K528" s="32">
        <v>0.34</v>
      </c>
      <c r="L528" s="31">
        <f t="shared" si="225"/>
        <v>0.17</v>
      </c>
      <c r="M528" s="31">
        <v>2.14</v>
      </c>
      <c r="N528" s="31">
        <v>31.3</v>
      </c>
      <c r="O528" s="18">
        <f t="shared" si="226"/>
        <v>0.17</v>
      </c>
      <c r="P528" s="18">
        <v>8.5</v>
      </c>
      <c r="Q528" s="18">
        <v>20</v>
      </c>
      <c r="R528" s="18">
        <v>0.16</v>
      </c>
      <c r="S528" s="18">
        <v>0</v>
      </c>
      <c r="T528" s="65">
        <f t="shared" si="235"/>
        <v>0</v>
      </c>
      <c r="U528" s="18">
        <v>5</v>
      </c>
      <c r="V528" s="18"/>
      <c r="W528" s="18">
        <f t="shared" si="211"/>
        <v>5</v>
      </c>
      <c r="X528" s="18">
        <f t="shared" si="212"/>
        <v>32</v>
      </c>
      <c r="Y528" s="31">
        <f t="shared" si="220"/>
        <v>3.2000000000000001E-2</v>
      </c>
      <c r="Z528" s="18">
        <v>0</v>
      </c>
      <c r="AA528" s="18" t="s">
        <v>330</v>
      </c>
      <c r="AB528" s="18" t="s">
        <v>333</v>
      </c>
      <c r="AC528" s="18" t="s">
        <v>335</v>
      </c>
      <c r="AD528" s="18">
        <v>20</v>
      </c>
      <c r="AE528" s="18">
        <v>8.5</v>
      </c>
      <c r="AF528" s="18" t="s">
        <v>34</v>
      </c>
      <c r="AG528" s="18" t="s">
        <v>29</v>
      </c>
      <c r="AH528" s="18" t="s">
        <v>29</v>
      </c>
      <c r="AI528" s="18" t="s">
        <v>66</v>
      </c>
      <c r="AJ528" s="18" t="s">
        <v>81</v>
      </c>
      <c r="AK528" s="18" t="s">
        <v>96</v>
      </c>
      <c r="AL528" s="18" t="s">
        <v>107</v>
      </c>
      <c r="AM528" s="18" t="s">
        <v>118</v>
      </c>
      <c r="AN528" s="18" t="s">
        <v>267</v>
      </c>
      <c r="AO528" s="18"/>
      <c r="AP528" s="18"/>
      <c r="AQ528" s="18">
        <f>+VLOOKUP(AI528,Leyenda!$B$30:$E$34,3,FALSE)</f>
        <v>1</v>
      </c>
      <c r="AR528" s="18">
        <f>+VLOOKUP('3. Blasting'!AJ528,Meteorizacion,3,FALSE)</f>
        <v>0</v>
      </c>
      <c r="AS528" s="18">
        <f>+VLOOKUP('3. Blasting'!AK528,Apertura,3,FALSE)</f>
        <v>1</v>
      </c>
      <c r="AT528" s="18">
        <f>+VLOOKUP('3. Blasting'!AL528,Leyenda!$B$55:$D$59,3,FALSE)</f>
        <v>3</v>
      </c>
      <c r="AU528" s="18">
        <f>+VLOOKUP('3. Blasting'!AM528,Relleno,3,FALSE)</f>
        <v>2</v>
      </c>
      <c r="AV528" s="18">
        <f t="shared" si="236"/>
        <v>7</v>
      </c>
      <c r="AW528" s="49">
        <f t="shared" si="227"/>
        <v>0</v>
      </c>
      <c r="AX528" s="49">
        <f>VLOOKUP(AF528,Leyenda!$B$4:$D$10,3,FALSE)</f>
        <v>0</v>
      </c>
      <c r="AY528" s="49">
        <f t="shared" si="224"/>
        <v>3</v>
      </c>
      <c r="AZ528" s="49">
        <f t="shared" si="228"/>
        <v>7</v>
      </c>
      <c r="BA528" s="49">
        <f>VLOOKUP(AN528,Leyenda!$B$70:$D$75,3,FALSE)</f>
        <v>15</v>
      </c>
      <c r="BB528" s="67">
        <f t="shared" si="229"/>
        <v>10.5</v>
      </c>
      <c r="BC528" s="67">
        <f>VLOOKUP(AF528,Leyenda!$B$4:$E$10,4,FALSE)</f>
        <v>0</v>
      </c>
      <c r="BD528" s="67">
        <f t="shared" si="230"/>
        <v>5</v>
      </c>
      <c r="BE528" s="67">
        <f t="shared" si="231"/>
        <v>0</v>
      </c>
      <c r="BF528" s="67">
        <f>+VLOOKUP('3. Blasting'!AK528,Leyenda!$B$47:$E$51,4,FALSE)</f>
        <v>1</v>
      </c>
      <c r="BG528" s="67">
        <f>+VLOOKUP('3. Blasting'!AL528,Leyenda!$B$55:$E$59,4,FALSE)</f>
        <v>3</v>
      </c>
      <c r="BH528" s="67">
        <f>+VLOOKUP('3. Blasting'!AM528,Leyenda!$B$63:$E$67,3,FALSE)</f>
        <v>2</v>
      </c>
      <c r="BI528" s="67">
        <f>+VLOOKUP('3. Blasting'!AJ528,Leyenda!$B$39:$E$43,4,FALSE)</f>
        <v>0</v>
      </c>
      <c r="BJ528" s="67">
        <f>+VLOOKUP('3. Blasting'!AI528,Leyenda!$B$30:$E$34,4,FALSE)</f>
        <v>1</v>
      </c>
      <c r="BK528" s="67">
        <f>VLOOKUP(AN528,Leyenda!$B$71:$E$75,4,FALSE)</f>
        <v>10</v>
      </c>
      <c r="BL528" s="125">
        <f t="shared" si="232"/>
        <v>22</v>
      </c>
      <c r="BM528" s="85">
        <f t="shared" si="233"/>
        <v>25</v>
      </c>
      <c r="BN528" s="18">
        <f t="shared" si="213"/>
        <v>0.93045778526717837</v>
      </c>
      <c r="BO528" s="18"/>
      <c r="BP528" s="6">
        <f t="shared" si="214"/>
        <v>10</v>
      </c>
      <c r="BQ528" s="6">
        <f t="shared" si="215"/>
        <v>10</v>
      </c>
      <c r="BR528" s="6">
        <v>20</v>
      </c>
      <c r="BS528" s="6">
        <f t="shared" si="221"/>
        <v>3.5</v>
      </c>
      <c r="BT528" s="6">
        <f t="shared" si="222"/>
        <v>1.5650000000000002</v>
      </c>
      <c r="BU528" s="6">
        <f t="shared" si="223"/>
        <v>22.532499999999999</v>
      </c>
      <c r="BV528" s="18">
        <f t="shared" si="218"/>
        <v>9.0130000000000002E-2</v>
      </c>
      <c r="BW528" s="18">
        <f t="shared" si="219"/>
        <v>0.19287820000000003</v>
      </c>
    </row>
    <row r="529" spans="1:75" x14ac:dyDescent="0.25">
      <c r="A529" s="18" t="s">
        <v>6</v>
      </c>
      <c r="B529" s="18">
        <v>2024</v>
      </c>
      <c r="C529" s="18" t="s">
        <v>138</v>
      </c>
      <c r="D529" s="18" t="s">
        <v>266</v>
      </c>
      <c r="E529" s="18">
        <v>40</v>
      </c>
      <c r="F529" s="18" t="s">
        <v>153</v>
      </c>
      <c r="G529" s="18" t="s">
        <v>297</v>
      </c>
      <c r="H529" s="31">
        <f t="shared" si="216"/>
        <v>10</v>
      </c>
      <c r="I529" s="31">
        <f t="shared" si="217"/>
        <v>10.5</v>
      </c>
      <c r="J529" s="4">
        <f t="shared" si="234"/>
        <v>0.5</v>
      </c>
      <c r="K529" s="32">
        <v>0.5</v>
      </c>
      <c r="L529" s="31">
        <f t="shared" si="225"/>
        <v>0.25</v>
      </c>
      <c r="M529" s="31">
        <v>2.14</v>
      </c>
      <c r="N529" s="31">
        <v>31.3</v>
      </c>
      <c r="O529" s="18">
        <f t="shared" si="226"/>
        <v>0.25</v>
      </c>
      <c r="P529" s="18">
        <v>12.5</v>
      </c>
      <c r="Q529" s="18">
        <v>20</v>
      </c>
      <c r="R529" s="18">
        <v>0.23</v>
      </c>
      <c r="S529" s="18">
        <v>0</v>
      </c>
      <c r="T529" s="65">
        <f t="shared" si="235"/>
        <v>0</v>
      </c>
      <c r="U529" s="18">
        <v>5</v>
      </c>
      <c r="V529" s="18"/>
      <c r="W529" s="18">
        <f t="shared" si="211"/>
        <v>5</v>
      </c>
      <c r="X529" s="18">
        <f t="shared" si="212"/>
        <v>46</v>
      </c>
      <c r="Y529" s="31">
        <f t="shared" si="220"/>
        <v>4.5999999999999999E-2</v>
      </c>
      <c r="Z529" s="18">
        <v>0</v>
      </c>
      <c r="AA529" s="18" t="s">
        <v>330</v>
      </c>
      <c r="AB529" s="18" t="s">
        <v>333</v>
      </c>
      <c r="AC529" s="18" t="s">
        <v>335</v>
      </c>
      <c r="AD529" s="18">
        <v>20</v>
      </c>
      <c r="AE529" s="18">
        <v>12.5</v>
      </c>
      <c r="AF529" s="18" t="s">
        <v>34</v>
      </c>
      <c r="AG529" s="18" t="s">
        <v>29</v>
      </c>
      <c r="AH529" s="18" t="s">
        <v>29</v>
      </c>
      <c r="AI529" s="18" t="s">
        <v>66</v>
      </c>
      <c r="AJ529" s="18" t="s">
        <v>81</v>
      </c>
      <c r="AK529" s="18" t="s">
        <v>96</v>
      </c>
      <c r="AL529" s="18" t="s">
        <v>107</v>
      </c>
      <c r="AM529" s="18" t="s">
        <v>118</v>
      </c>
      <c r="AN529" s="18" t="s">
        <v>267</v>
      </c>
      <c r="AO529" s="18"/>
      <c r="AP529" s="18"/>
      <c r="AQ529" s="18">
        <f>+VLOOKUP(AI529,Leyenda!$B$30:$E$34,3,FALSE)</f>
        <v>1</v>
      </c>
      <c r="AR529" s="18">
        <f>+VLOOKUP('3. Blasting'!AJ529,Meteorizacion,3,FALSE)</f>
        <v>0</v>
      </c>
      <c r="AS529" s="18">
        <f>+VLOOKUP('3. Blasting'!AK529,Apertura,3,FALSE)</f>
        <v>1</v>
      </c>
      <c r="AT529" s="18">
        <f>+VLOOKUP('3. Blasting'!AL529,Leyenda!$B$55:$D$59,3,FALSE)</f>
        <v>3</v>
      </c>
      <c r="AU529" s="18">
        <f>+VLOOKUP('3. Blasting'!AM529,Relleno,3,FALSE)</f>
        <v>2</v>
      </c>
      <c r="AV529" s="18">
        <f t="shared" si="236"/>
        <v>7</v>
      </c>
      <c r="AW529" s="49">
        <f t="shared" si="227"/>
        <v>0</v>
      </c>
      <c r="AX529" s="49">
        <f>VLOOKUP(AF529,Leyenda!$B$4:$D$10,3,FALSE)</f>
        <v>0</v>
      </c>
      <c r="AY529" s="49">
        <f t="shared" si="224"/>
        <v>4</v>
      </c>
      <c r="AZ529" s="49">
        <f t="shared" si="228"/>
        <v>7</v>
      </c>
      <c r="BA529" s="49">
        <f>VLOOKUP(AN529,Leyenda!$B$70:$D$75,3,FALSE)</f>
        <v>15</v>
      </c>
      <c r="BB529" s="67">
        <f t="shared" si="229"/>
        <v>10.5</v>
      </c>
      <c r="BC529" s="67">
        <f>VLOOKUP(AF529,Leyenda!$B$4:$E$10,4,FALSE)</f>
        <v>0</v>
      </c>
      <c r="BD529" s="67">
        <f t="shared" si="230"/>
        <v>5</v>
      </c>
      <c r="BE529" s="67">
        <f t="shared" si="231"/>
        <v>0</v>
      </c>
      <c r="BF529" s="67">
        <f>+VLOOKUP('3. Blasting'!AK529,Leyenda!$B$47:$E$51,4,FALSE)</f>
        <v>1</v>
      </c>
      <c r="BG529" s="67">
        <f>+VLOOKUP('3. Blasting'!AL529,Leyenda!$B$55:$E$59,4,FALSE)</f>
        <v>3</v>
      </c>
      <c r="BH529" s="67">
        <f>+VLOOKUP('3. Blasting'!AM529,Leyenda!$B$63:$E$67,3,FALSE)</f>
        <v>2</v>
      </c>
      <c r="BI529" s="67">
        <f>+VLOOKUP('3. Blasting'!AJ529,Leyenda!$B$39:$E$43,4,FALSE)</f>
        <v>0</v>
      </c>
      <c r="BJ529" s="67">
        <f>+VLOOKUP('3. Blasting'!AI529,Leyenda!$B$30:$E$34,4,FALSE)</f>
        <v>1</v>
      </c>
      <c r="BK529" s="67">
        <f>VLOOKUP(AN529,Leyenda!$B$71:$E$75,4,FALSE)</f>
        <v>10</v>
      </c>
      <c r="BL529" s="125">
        <f t="shared" si="232"/>
        <v>22</v>
      </c>
      <c r="BM529" s="85">
        <f t="shared" si="233"/>
        <v>26</v>
      </c>
      <c r="BN529" s="18">
        <f t="shared" si="213"/>
        <v>0.92999816067397501</v>
      </c>
      <c r="BO529" s="18"/>
      <c r="BP529" s="6">
        <f t="shared" si="214"/>
        <v>10</v>
      </c>
      <c r="BQ529" s="6">
        <f t="shared" si="215"/>
        <v>10</v>
      </c>
      <c r="BR529" s="6">
        <v>20</v>
      </c>
      <c r="BS529" s="6">
        <f t="shared" si="221"/>
        <v>3.5</v>
      </c>
      <c r="BT529" s="6">
        <f t="shared" si="222"/>
        <v>1.5650000000000002</v>
      </c>
      <c r="BU529" s="6">
        <f t="shared" si="223"/>
        <v>22.532499999999999</v>
      </c>
      <c r="BV529" s="18">
        <f t="shared" si="218"/>
        <v>9.0130000000000002E-2</v>
      </c>
      <c r="BW529" s="18">
        <f t="shared" si="219"/>
        <v>0.19287820000000003</v>
      </c>
    </row>
    <row r="530" spans="1:75" x14ac:dyDescent="0.25">
      <c r="A530" s="18" t="s">
        <v>6</v>
      </c>
      <c r="B530" s="18">
        <v>2024</v>
      </c>
      <c r="C530" s="18" t="s">
        <v>138</v>
      </c>
      <c r="D530" s="18" t="s">
        <v>266</v>
      </c>
      <c r="E530" s="18">
        <v>40</v>
      </c>
      <c r="F530" s="18" t="s">
        <v>153</v>
      </c>
      <c r="G530" s="18" t="s">
        <v>297</v>
      </c>
      <c r="H530" s="31">
        <f t="shared" si="216"/>
        <v>10.5</v>
      </c>
      <c r="I530" s="31">
        <f t="shared" si="217"/>
        <v>11</v>
      </c>
      <c r="J530" s="4">
        <f t="shared" si="234"/>
        <v>0.5</v>
      </c>
      <c r="K530" s="32">
        <v>0.46</v>
      </c>
      <c r="L530" s="31">
        <f t="shared" si="225"/>
        <v>0.23</v>
      </c>
      <c r="M530" s="31">
        <v>2.14</v>
      </c>
      <c r="N530" s="31">
        <v>31.3</v>
      </c>
      <c r="O530" s="18">
        <f t="shared" si="226"/>
        <v>0.23</v>
      </c>
      <c r="P530" s="18">
        <v>11.5</v>
      </c>
      <c r="Q530" s="18">
        <v>20</v>
      </c>
      <c r="R530" s="18">
        <v>0.16</v>
      </c>
      <c r="S530" s="18">
        <v>0</v>
      </c>
      <c r="T530" s="65">
        <f t="shared" si="235"/>
        <v>0</v>
      </c>
      <c r="U530" s="18">
        <v>5</v>
      </c>
      <c r="V530" s="18"/>
      <c r="W530" s="18">
        <f t="shared" si="211"/>
        <v>5</v>
      </c>
      <c r="X530" s="18">
        <f t="shared" si="212"/>
        <v>32</v>
      </c>
      <c r="Y530" s="31">
        <f t="shared" si="220"/>
        <v>3.2000000000000001E-2</v>
      </c>
      <c r="Z530" s="18">
        <v>0</v>
      </c>
      <c r="AA530" s="18" t="s">
        <v>330</v>
      </c>
      <c r="AB530" s="18" t="s">
        <v>333</v>
      </c>
      <c r="AC530" s="18" t="s">
        <v>335</v>
      </c>
      <c r="AD530" s="18">
        <v>20</v>
      </c>
      <c r="AE530" s="18">
        <v>11.5</v>
      </c>
      <c r="AF530" s="18" t="s">
        <v>34</v>
      </c>
      <c r="AG530" s="18" t="s">
        <v>34</v>
      </c>
      <c r="AH530" s="18" t="s">
        <v>34</v>
      </c>
      <c r="AI530" s="18" t="s">
        <v>69</v>
      </c>
      <c r="AJ530" s="18" t="s">
        <v>81</v>
      </c>
      <c r="AK530" s="18" t="s">
        <v>100</v>
      </c>
      <c r="AL530" s="18" t="s">
        <v>109</v>
      </c>
      <c r="AM530" s="18" t="s">
        <v>120</v>
      </c>
      <c r="AN530" s="18" t="s">
        <v>267</v>
      </c>
      <c r="AO530" s="18"/>
      <c r="AP530" s="18"/>
      <c r="AQ530" s="18">
        <f>+VLOOKUP(AI530,Leyenda!$B$30:$E$34,3,FALSE)</f>
        <v>0</v>
      </c>
      <c r="AR530" s="18">
        <f>+VLOOKUP('3. Blasting'!AJ530,Meteorizacion,3,FALSE)</f>
        <v>0</v>
      </c>
      <c r="AS530" s="18">
        <f>+VLOOKUP('3. Blasting'!AK530,Apertura,3,FALSE)</f>
        <v>0</v>
      </c>
      <c r="AT530" s="18">
        <f>+VLOOKUP('3. Blasting'!AL530,Leyenda!$B$55:$D$59,3,FALSE)</f>
        <v>1</v>
      </c>
      <c r="AU530" s="18">
        <f>+VLOOKUP('3. Blasting'!AM530,Relleno,3,FALSE)</f>
        <v>2</v>
      </c>
      <c r="AV530" s="18">
        <f t="shared" si="236"/>
        <v>3</v>
      </c>
      <c r="AW530" s="49">
        <f t="shared" si="227"/>
        <v>0</v>
      </c>
      <c r="AX530" s="49">
        <f>VLOOKUP(AF530,Leyenda!$B$4:$D$10,3,FALSE)</f>
        <v>0</v>
      </c>
      <c r="AY530" s="49">
        <f t="shared" si="224"/>
        <v>4</v>
      </c>
      <c r="AZ530" s="49">
        <f t="shared" si="228"/>
        <v>3</v>
      </c>
      <c r="BA530" s="49">
        <f>VLOOKUP(AN530,Leyenda!$B$70:$D$75,3,FALSE)</f>
        <v>15</v>
      </c>
      <c r="BB530" s="67">
        <f t="shared" si="229"/>
        <v>4.5</v>
      </c>
      <c r="BC530" s="67">
        <f>VLOOKUP(AF530,Leyenda!$B$4:$E$10,4,FALSE)</f>
        <v>0</v>
      </c>
      <c r="BD530" s="67">
        <f t="shared" si="230"/>
        <v>5</v>
      </c>
      <c r="BE530" s="67">
        <f t="shared" si="231"/>
        <v>0</v>
      </c>
      <c r="BF530" s="67">
        <f>+VLOOKUP('3. Blasting'!AK530,Leyenda!$B$47:$E$51,4,FALSE)</f>
        <v>0</v>
      </c>
      <c r="BG530" s="67">
        <f>+VLOOKUP('3. Blasting'!AL530,Leyenda!$B$55:$E$59,4,FALSE)</f>
        <v>1</v>
      </c>
      <c r="BH530" s="67">
        <f>+VLOOKUP('3. Blasting'!AM530,Leyenda!$B$63:$E$67,3,FALSE)</f>
        <v>2</v>
      </c>
      <c r="BI530" s="67">
        <f>+VLOOKUP('3. Blasting'!AJ530,Leyenda!$B$39:$E$43,4,FALSE)</f>
        <v>0</v>
      </c>
      <c r="BJ530" s="67">
        <f>+VLOOKUP('3. Blasting'!AI530,Leyenda!$B$30:$E$34,4,FALSE)</f>
        <v>0</v>
      </c>
      <c r="BK530" s="67">
        <f>VLOOKUP(AN530,Leyenda!$B$71:$E$75,4,FALSE)</f>
        <v>10</v>
      </c>
      <c r="BL530" s="125">
        <f t="shared" si="232"/>
        <v>18</v>
      </c>
      <c r="BM530" s="85">
        <f t="shared" si="233"/>
        <v>22</v>
      </c>
      <c r="BN530" s="18">
        <f t="shared" si="213"/>
        <v>0.92951651475674302</v>
      </c>
      <c r="BO530" s="18"/>
      <c r="BP530" s="6">
        <f t="shared" si="214"/>
        <v>10</v>
      </c>
      <c r="BQ530" s="6">
        <f t="shared" si="215"/>
        <v>10</v>
      </c>
      <c r="BR530" s="6">
        <v>20</v>
      </c>
      <c r="BS530" s="6">
        <f t="shared" si="221"/>
        <v>3.5</v>
      </c>
      <c r="BT530" s="6">
        <f t="shared" si="222"/>
        <v>1.5650000000000002</v>
      </c>
      <c r="BU530" s="6">
        <f t="shared" si="223"/>
        <v>22.532499999999999</v>
      </c>
      <c r="BV530" s="18">
        <f t="shared" si="218"/>
        <v>9.0130000000000002E-2</v>
      </c>
      <c r="BW530" s="18">
        <f t="shared" si="219"/>
        <v>0.19287820000000003</v>
      </c>
    </row>
    <row r="531" spans="1:75" x14ac:dyDescent="0.25">
      <c r="A531" s="18" t="s">
        <v>6</v>
      </c>
      <c r="B531" s="18">
        <v>2024</v>
      </c>
      <c r="C531" s="18" t="s">
        <v>138</v>
      </c>
      <c r="D531" s="18" t="s">
        <v>266</v>
      </c>
      <c r="E531" s="18">
        <v>40</v>
      </c>
      <c r="F531" s="18" t="s">
        <v>153</v>
      </c>
      <c r="G531" s="18" t="s">
        <v>297</v>
      </c>
      <c r="H531" s="31">
        <f t="shared" si="216"/>
        <v>11</v>
      </c>
      <c r="I531" s="31">
        <f t="shared" si="217"/>
        <v>11.5</v>
      </c>
      <c r="J531" s="4">
        <f t="shared" si="234"/>
        <v>0.5</v>
      </c>
      <c r="K531" s="32">
        <v>0.84</v>
      </c>
      <c r="L531" s="31">
        <f t="shared" si="225"/>
        <v>0.42</v>
      </c>
      <c r="M531" s="31">
        <v>2.14</v>
      </c>
      <c r="N531" s="31">
        <v>31.3</v>
      </c>
      <c r="O531" s="18">
        <f t="shared" si="226"/>
        <v>0.42</v>
      </c>
      <c r="P531" s="18">
        <v>21</v>
      </c>
      <c r="Q531" s="18">
        <v>20</v>
      </c>
      <c r="R531" s="18">
        <v>0.2</v>
      </c>
      <c r="S531" s="18">
        <v>0.11</v>
      </c>
      <c r="T531" s="65">
        <f t="shared" si="235"/>
        <v>22</v>
      </c>
      <c r="U531" s="18">
        <v>5</v>
      </c>
      <c r="V531" s="18"/>
      <c r="W531" s="18">
        <f t="shared" si="211"/>
        <v>5</v>
      </c>
      <c r="X531" s="18">
        <f t="shared" si="212"/>
        <v>40</v>
      </c>
      <c r="Y531" s="31">
        <f t="shared" si="220"/>
        <v>0.04</v>
      </c>
      <c r="Z531" s="18">
        <v>0</v>
      </c>
      <c r="AA531" s="18" t="s">
        <v>330</v>
      </c>
      <c r="AB531" s="18" t="s">
        <v>333</v>
      </c>
      <c r="AC531" s="18" t="s">
        <v>335</v>
      </c>
      <c r="AD531" s="18">
        <v>20</v>
      </c>
      <c r="AE531" s="18">
        <v>21</v>
      </c>
      <c r="AF531" s="18" t="s">
        <v>34</v>
      </c>
      <c r="AG531" s="18" t="s">
        <v>32</v>
      </c>
      <c r="AH531" s="18" t="s">
        <v>32</v>
      </c>
      <c r="AI531" s="18" t="s">
        <v>66</v>
      </c>
      <c r="AJ531" s="18" t="s">
        <v>79</v>
      </c>
      <c r="AK531" s="18" t="s">
        <v>96</v>
      </c>
      <c r="AL531" s="18" t="s">
        <v>109</v>
      </c>
      <c r="AM531" s="18" t="s">
        <v>118</v>
      </c>
      <c r="AN531" s="18" t="s">
        <v>267</v>
      </c>
      <c r="AO531" s="18"/>
      <c r="AP531" s="18"/>
      <c r="AQ531" s="18">
        <f>+VLOOKUP(AI531,Leyenda!$B$30:$E$34,3,FALSE)</f>
        <v>1</v>
      </c>
      <c r="AR531" s="18">
        <f>+VLOOKUP('3. Blasting'!AJ531,Meteorizacion,3,FALSE)</f>
        <v>1</v>
      </c>
      <c r="AS531" s="18">
        <f>+VLOOKUP('3. Blasting'!AK531,Apertura,3,FALSE)</f>
        <v>1</v>
      </c>
      <c r="AT531" s="18">
        <f>+VLOOKUP('3. Blasting'!AL531,Leyenda!$B$55:$D$59,3,FALSE)</f>
        <v>1</v>
      </c>
      <c r="AU531" s="18">
        <f>+VLOOKUP('3. Blasting'!AM531,Relleno,3,FALSE)</f>
        <v>2</v>
      </c>
      <c r="AV531" s="18">
        <f t="shared" si="236"/>
        <v>6</v>
      </c>
      <c r="AW531" s="49">
        <f t="shared" si="227"/>
        <v>0</v>
      </c>
      <c r="AX531" s="49">
        <f>VLOOKUP(AF531,Leyenda!$B$4:$D$10,3,FALSE)</f>
        <v>0</v>
      </c>
      <c r="AY531" s="49">
        <f t="shared" si="224"/>
        <v>4</v>
      </c>
      <c r="AZ531" s="49">
        <f t="shared" si="228"/>
        <v>6</v>
      </c>
      <c r="BA531" s="49">
        <f>VLOOKUP(AN531,Leyenda!$B$70:$D$75,3,FALSE)</f>
        <v>15</v>
      </c>
      <c r="BB531" s="67">
        <f t="shared" si="229"/>
        <v>20</v>
      </c>
      <c r="BC531" s="67">
        <f>VLOOKUP(AF531,Leyenda!$B$4:$E$10,4,FALSE)</f>
        <v>0</v>
      </c>
      <c r="BD531" s="67">
        <f t="shared" si="230"/>
        <v>5</v>
      </c>
      <c r="BE531" s="67">
        <f t="shared" si="231"/>
        <v>5</v>
      </c>
      <c r="BF531" s="67">
        <f>+VLOOKUP('3. Blasting'!AK531,Leyenda!$B$47:$E$51,4,FALSE)</f>
        <v>1</v>
      </c>
      <c r="BG531" s="67">
        <f>+VLOOKUP('3. Blasting'!AL531,Leyenda!$B$55:$E$59,4,FALSE)</f>
        <v>1</v>
      </c>
      <c r="BH531" s="67">
        <f>+VLOOKUP('3. Blasting'!AM531,Leyenda!$B$63:$E$67,3,FALSE)</f>
        <v>2</v>
      </c>
      <c r="BI531" s="67">
        <f>+VLOOKUP('3. Blasting'!AJ531,Leyenda!$B$39:$E$43,4,FALSE)</f>
        <v>1</v>
      </c>
      <c r="BJ531" s="67">
        <f>+VLOOKUP('3. Blasting'!AI531,Leyenda!$B$30:$E$34,4,FALSE)</f>
        <v>1</v>
      </c>
      <c r="BK531" s="67">
        <f>VLOOKUP(AN531,Leyenda!$B$71:$E$75,4,FALSE)</f>
        <v>10</v>
      </c>
      <c r="BL531" s="125">
        <f t="shared" si="232"/>
        <v>26</v>
      </c>
      <c r="BM531" s="85">
        <f t="shared" si="233"/>
        <v>25</v>
      </c>
      <c r="BN531" s="18">
        <f t="shared" si="213"/>
        <v>0.92806404260776021</v>
      </c>
      <c r="BO531" s="18"/>
      <c r="BP531" s="6">
        <f t="shared" si="214"/>
        <v>10</v>
      </c>
      <c r="BQ531" s="6">
        <f t="shared" si="215"/>
        <v>10</v>
      </c>
      <c r="BR531" s="6">
        <v>20</v>
      </c>
      <c r="BS531" s="6">
        <f t="shared" si="221"/>
        <v>3.5</v>
      </c>
      <c r="BT531" s="6">
        <f t="shared" si="222"/>
        <v>1.5650000000000002</v>
      </c>
      <c r="BU531" s="6">
        <f t="shared" si="223"/>
        <v>22.532499999999999</v>
      </c>
      <c r="BV531" s="18">
        <f t="shared" si="218"/>
        <v>9.0130000000000002E-2</v>
      </c>
      <c r="BW531" s="18">
        <f t="shared" si="219"/>
        <v>0.19287820000000003</v>
      </c>
    </row>
    <row r="532" spans="1:75" x14ac:dyDescent="0.25">
      <c r="A532" s="18" t="s">
        <v>6</v>
      </c>
      <c r="B532" s="18">
        <v>2024</v>
      </c>
      <c r="C532" s="18" t="s">
        <v>138</v>
      </c>
      <c r="D532" s="18" t="s">
        <v>266</v>
      </c>
      <c r="E532" s="18">
        <v>40</v>
      </c>
      <c r="F532" s="18" t="s">
        <v>153</v>
      </c>
      <c r="G532" s="18" t="s">
        <v>297</v>
      </c>
      <c r="H532" s="31">
        <f t="shared" si="216"/>
        <v>11.5</v>
      </c>
      <c r="I532" s="31">
        <f t="shared" si="217"/>
        <v>12</v>
      </c>
      <c r="J532" s="4">
        <f t="shared" si="234"/>
        <v>0.5</v>
      </c>
      <c r="K532" s="32">
        <v>0.9</v>
      </c>
      <c r="L532" s="31">
        <f t="shared" si="225"/>
        <v>0.45</v>
      </c>
      <c r="M532" s="31">
        <v>2.14</v>
      </c>
      <c r="N532" s="31">
        <v>31.3</v>
      </c>
      <c r="O532" s="18">
        <f t="shared" si="226"/>
        <v>0.45</v>
      </c>
      <c r="P532" s="18">
        <v>22.5</v>
      </c>
      <c r="Q532" s="18">
        <v>20</v>
      </c>
      <c r="R532" s="18">
        <v>0.42</v>
      </c>
      <c r="S532" s="18">
        <v>0</v>
      </c>
      <c r="T532" s="65">
        <f t="shared" si="235"/>
        <v>0</v>
      </c>
      <c r="U532" s="18">
        <v>4</v>
      </c>
      <c r="V532" s="18"/>
      <c r="W532" s="18">
        <f t="shared" si="211"/>
        <v>4</v>
      </c>
      <c r="X532" s="18">
        <f t="shared" si="212"/>
        <v>105</v>
      </c>
      <c r="Y532" s="31">
        <f t="shared" si="220"/>
        <v>0.105</v>
      </c>
      <c r="Z532" s="18">
        <v>0</v>
      </c>
      <c r="AA532" s="18" t="s">
        <v>330</v>
      </c>
      <c r="AB532" s="18" t="s">
        <v>333</v>
      </c>
      <c r="AC532" s="18" t="s">
        <v>335</v>
      </c>
      <c r="AD532" s="18">
        <v>20</v>
      </c>
      <c r="AE532" s="18">
        <v>22.5</v>
      </c>
      <c r="AF532" s="18" t="s">
        <v>34</v>
      </c>
      <c r="AG532" s="18" t="s">
        <v>32</v>
      </c>
      <c r="AH532" s="18" t="s">
        <v>32</v>
      </c>
      <c r="AI532" s="18" t="s">
        <v>66</v>
      </c>
      <c r="AJ532" s="18" t="s">
        <v>79</v>
      </c>
      <c r="AK532" s="18" t="s">
        <v>96</v>
      </c>
      <c r="AL532" s="18" t="s">
        <v>109</v>
      </c>
      <c r="AM532" s="18" t="s">
        <v>118</v>
      </c>
      <c r="AN532" s="18" t="s">
        <v>267</v>
      </c>
      <c r="AO532" s="18"/>
      <c r="AP532" s="18"/>
      <c r="AQ532" s="18">
        <f>+VLOOKUP(AI532,Leyenda!$B$30:$E$34,3,FALSE)</f>
        <v>1</v>
      </c>
      <c r="AR532" s="18">
        <f>+VLOOKUP('3. Blasting'!AJ532,Meteorizacion,3,FALSE)</f>
        <v>1</v>
      </c>
      <c r="AS532" s="18">
        <f>+VLOOKUP('3. Blasting'!AK532,Apertura,3,FALSE)</f>
        <v>1</v>
      </c>
      <c r="AT532" s="18">
        <f>+VLOOKUP('3. Blasting'!AL532,Leyenda!$B$55:$D$59,3,FALSE)</f>
        <v>1</v>
      </c>
      <c r="AU532" s="18">
        <f>+VLOOKUP('3. Blasting'!AM532,Relleno,3,FALSE)</f>
        <v>2</v>
      </c>
      <c r="AV532" s="18">
        <f t="shared" si="236"/>
        <v>6</v>
      </c>
      <c r="AW532" s="49">
        <f t="shared" si="227"/>
        <v>0</v>
      </c>
      <c r="AX532" s="49">
        <f>VLOOKUP(AF532,Leyenda!$B$4:$D$10,3,FALSE)</f>
        <v>0</v>
      </c>
      <c r="AY532" s="49">
        <f t="shared" si="224"/>
        <v>4</v>
      </c>
      <c r="AZ532" s="49">
        <f t="shared" si="228"/>
        <v>6</v>
      </c>
      <c r="BA532" s="49">
        <f>VLOOKUP(AN532,Leyenda!$B$70:$D$75,3,FALSE)</f>
        <v>15</v>
      </c>
      <c r="BB532" s="67">
        <f t="shared" si="229"/>
        <v>9</v>
      </c>
      <c r="BC532" s="67">
        <f>VLOOKUP(AF532,Leyenda!$B$4:$E$10,4,FALSE)</f>
        <v>0</v>
      </c>
      <c r="BD532" s="67">
        <f t="shared" si="230"/>
        <v>8</v>
      </c>
      <c r="BE532" s="67">
        <f t="shared" si="231"/>
        <v>0</v>
      </c>
      <c r="BF532" s="67">
        <f>+VLOOKUP('3. Blasting'!AK532,Leyenda!$B$47:$E$51,4,FALSE)</f>
        <v>1</v>
      </c>
      <c r="BG532" s="67">
        <f>+VLOOKUP('3. Blasting'!AL532,Leyenda!$B$55:$E$59,4,FALSE)</f>
        <v>1</v>
      </c>
      <c r="BH532" s="67">
        <f>+VLOOKUP('3. Blasting'!AM532,Leyenda!$B$63:$E$67,3,FALSE)</f>
        <v>2</v>
      </c>
      <c r="BI532" s="67">
        <f>+VLOOKUP('3. Blasting'!AJ532,Leyenda!$B$39:$E$43,4,FALSE)</f>
        <v>1</v>
      </c>
      <c r="BJ532" s="67">
        <f>+VLOOKUP('3. Blasting'!AI532,Leyenda!$B$30:$E$34,4,FALSE)</f>
        <v>1</v>
      </c>
      <c r="BK532" s="67">
        <f>VLOOKUP(AN532,Leyenda!$B$71:$E$75,4,FALSE)</f>
        <v>10</v>
      </c>
      <c r="BL532" s="125">
        <f t="shared" si="232"/>
        <v>24</v>
      </c>
      <c r="BM532" s="85">
        <f t="shared" si="233"/>
        <v>25</v>
      </c>
      <c r="BN532" s="18">
        <f t="shared" si="213"/>
        <v>0.92881288353809621</v>
      </c>
      <c r="BO532" s="18"/>
      <c r="BP532" s="6">
        <f t="shared" si="214"/>
        <v>10</v>
      </c>
      <c r="BQ532" s="6">
        <f t="shared" si="215"/>
        <v>20</v>
      </c>
      <c r="BR532" s="6">
        <v>20</v>
      </c>
      <c r="BS532" s="6">
        <f t="shared" si="221"/>
        <v>3.5</v>
      </c>
      <c r="BT532" s="6">
        <f t="shared" si="222"/>
        <v>1.5650000000000002</v>
      </c>
      <c r="BU532" s="6">
        <f t="shared" si="223"/>
        <v>27.532499999999999</v>
      </c>
      <c r="BV532" s="18">
        <f t="shared" si="218"/>
        <v>0.11012999999999999</v>
      </c>
      <c r="BW532" s="18">
        <f t="shared" si="219"/>
        <v>0.2356782</v>
      </c>
    </row>
    <row r="533" spans="1:75" hidden="1" x14ac:dyDescent="0.25">
      <c r="A533" s="35" t="s">
        <v>6</v>
      </c>
      <c r="B533" s="35">
        <v>2024</v>
      </c>
      <c r="C533" s="35" t="s">
        <v>138</v>
      </c>
      <c r="D533" s="35" t="s">
        <v>266</v>
      </c>
      <c r="E533" s="35">
        <v>50</v>
      </c>
      <c r="F533" s="35" t="s">
        <v>154</v>
      </c>
      <c r="G533" s="35" t="s">
        <v>297</v>
      </c>
      <c r="H533" s="114">
        <f t="shared" si="216"/>
        <v>12</v>
      </c>
      <c r="I533" s="114">
        <f t="shared" si="217"/>
        <v>12.5</v>
      </c>
      <c r="J533" s="115">
        <f t="shared" si="234"/>
        <v>0.5</v>
      </c>
      <c r="K533" s="123">
        <v>0.76</v>
      </c>
      <c r="L533" s="114">
        <f>+J533*K533</f>
        <v>0.38</v>
      </c>
      <c r="M533" s="114"/>
      <c r="N533" s="114"/>
      <c r="O533" s="35">
        <f t="shared" si="226"/>
        <v>0.38</v>
      </c>
      <c r="P533" s="35">
        <v>19</v>
      </c>
      <c r="Q533" s="35">
        <v>20</v>
      </c>
      <c r="R533" s="35">
        <v>0.35</v>
      </c>
      <c r="S533" s="35">
        <v>0</v>
      </c>
      <c r="T533" s="122">
        <f t="shared" si="235"/>
        <v>0</v>
      </c>
      <c r="U533" s="35">
        <v>3</v>
      </c>
      <c r="V533" s="35"/>
      <c r="W533" s="35">
        <f t="shared" si="211"/>
        <v>3</v>
      </c>
      <c r="X533" s="35">
        <f t="shared" si="212"/>
        <v>116.66666666666667</v>
      </c>
      <c r="Y533" s="114">
        <f t="shared" si="220"/>
        <v>0.11666666666666667</v>
      </c>
      <c r="Z533" s="35">
        <v>0</v>
      </c>
      <c r="AA533" s="35" t="s">
        <v>330</v>
      </c>
      <c r="AB533" s="35" t="s">
        <v>333</v>
      </c>
      <c r="AC533" s="35" t="s">
        <v>335</v>
      </c>
      <c r="AD533" s="35">
        <v>20</v>
      </c>
      <c r="AE533" s="35">
        <v>19</v>
      </c>
      <c r="AF533" s="35" t="s">
        <v>34</v>
      </c>
      <c r="AG533" s="35" t="s">
        <v>34</v>
      </c>
      <c r="AH533" s="35" t="s">
        <v>34</v>
      </c>
      <c r="AI533" s="35" t="s">
        <v>69</v>
      </c>
      <c r="AJ533" s="35" t="s">
        <v>81</v>
      </c>
      <c r="AK533" s="35" t="s">
        <v>100</v>
      </c>
      <c r="AL533" s="35" t="s">
        <v>109</v>
      </c>
      <c r="AM533" s="35" t="s">
        <v>120</v>
      </c>
      <c r="AN533" s="35" t="s">
        <v>267</v>
      </c>
      <c r="AO533" s="35"/>
      <c r="AP533" s="35"/>
      <c r="AQ533" s="35">
        <f>+VLOOKUP(AI533,Leyenda!$B$30:$E$34,3,FALSE)</f>
        <v>0</v>
      </c>
      <c r="AR533" s="93">
        <f>+VLOOKUP('3. Blasting'!AJ533,Meteorizacion,3,FALSE)</f>
        <v>0</v>
      </c>
      <c r="AS533" s="93">
        <f>+VLOOKUP('3. Blasting'!AK533,Apertura,3,FALSE)</f>
        <v>0</v>
      </c>
      <c r="AT533" s="93">
        <f>+VLOOKUP('3. Blasting'!AL533,Leyenda!$B$55:$D$59,3,FALSE)</f>
        <v>1</v>
      </c>
      <c r="AU533" s="93">
        <f>+VLOOKUP('3. Blasting'!AM533,Relleno,3,FALSE)</f>
        <v>2</v>
      </c>
      <c r="AV533" s="93">
        <f t="shared" si="236"/>
        <v>3</v>
      </c>
      <c r="AW533" s="118">
        <f t="shared" si="227"/>
        <v>0</v>
      </c>
      <c r="AX533" s="118">
        <f>VLOOKUP(AF533,Leyenda!$B$4:$D$10,3,FALSE)</f>
        <v>0</v>
      </c>
      <c r="AY533" s="119">
        <f t="shared" si="224"/>
        <v>4</v>
      </c>
      <c r="AZ533" s="118">
        <f t="shared" si="228"/>
        <v>3</v>
      </c>
      <c r="BA533" s="118">
        <f>VLOOKUP(AN533,Leyenda!$B$70:$D$75,3,FALSE)</f>
        <v>15</v>
      </c>
      <c r="BB533" s="120">
        <f t="shared" si="229"/>
        <v>4.5</v>
      </c>
      <c r="BC533" s="120">
        <f>VLOOKUP(AF533,Leyenda!$B$4:$E$10,4,FALSE)</f>
        <v>0</v>
      </c>
      <c r="BD533" s="120">
        <f t="shared" si="230"/>
        <v>9</v>
      </c>
      <c r="BE533" s="120">
        <f t="shared" si="231"/>
        <v>0</v>
      </c>
      <c r="BF533" s="120">
        <f>+VLOOKUP('3. Blasting'!AK533,Leyenda!$B$47:$E$51,4,FALSE)</f>
        <v>0</v>
      </c>
      <c r="BG533" s="120">
        <f>+VLOOKUP('3. Blasting'!AL533,Leyenda!$B$55:$E$59,4,FALSE)</f>
        <v>1</v>
      </c>
      <c r="BH533" s="120">
        <f>+VLOOKUP('3. Blasting'!AM533,Leyenda!$B$63:$E$67,3,FALSE)</f>
        <v>2</v>
      </c>
      <c r="BI533" s="120">
        <f>+VLOOKUP('3. Blasting'!AJ533,Leyenda!$B$39:$E$43,4,FALSE)</f>
        <v>0</v>
      </c>
      <c r="BJ533" s="120">
        <f>+VLOOKUP('3. Blasting'!AI533,Leyenda!$B$30:$E$34,4,FALSE)</f>
        <v>0</v>
      </c>
      <c r="BK533" s="120">
        <f>VLOOKUP(AN533,Leyenda!$B$71:$E$75,4,FALSE)</f>
        <v>10</v>
      </c>
      <c r="BL533" s="120">
        <f t="shared" si="232"/>
        <v>22</v>
      </c>
      <c r="BM533" s="35">
        <f t="shared" si="233"/>
        <v>22</v>
      </c>
      <c r="BN533" s="35"/>
      <c r="BO533" s="35"/>
      <c r="BS533">
        <f t="shared" si="221"/>
        <v>-50</v>
      </c>
      <c r="BT533">
        <f t="shared" si="222"/>
        <v>0</v>
      </c>
      <c r="BU533">
        <f t="shared" si="223"/>
        <v>-25</v>
      </c>
      <c r="BV533" s="1">
        <f t="shared" si="218"/>
        <v>-0.1</v>
      </c>
      <c r="BW533" s="1">
        <f t="shared" si="219"/>
        <v>0</v>
      </c>
    </row>
    <row r="534" spans="1:75" hidden="1" x14ac:dyDescent="0.25">
      <c r="A534" s="18" t="s">
        <v>6</v>
      </c>
      <c r="B534" s="18">
        <v>2024</v>
      </c>
      <c r="C534" s="18" t="s">
        <v>138</v>
      </c>
      <c r="D534" s="18" t="s">
        <v>266</v>
      </c>
      <c r="E534" s="18">
        <v>50</v>
      </c>
      <c r="F534" s="18" t="s">
        <v>154</v>
      </c>
      <c r="G534" s="18" t="s">
        <v>297</v>
      </c>
      <c r="H534" s="31">
        <f t="shared" si="216"/>
        <v>12.5</v>
      </c>
      <c r="I534" s="31">
        <f t="shared" si="217"/>
        <v>13</v>
      </c>
      <c r="J534" s="4">
        <f t="shared" si="234"/>
        <v>0.5</v>
      </c>
      <c r="K534" s="32">
        <v>0.8</v>
      </c>
      <c r="L534" s="31">
        <f>+J534*K534</f>
        <v>0.4</v>
      </c>
      <c r="M534" s="31"/>
      <c r="N534" s="31"/>
      <c r="O534" s="18">
        <f t="shared" si="226"/>
        <v>0.4</v>
      </c>
      <c r="P534" s="18">
        <v>20</v>
      </c>
      <c r="Q534" s="18">
        <v>20</v>
      </c>
      <c r="R534" s="18">
        <v>0.36</v>
      </c>
      <c r="S534" s="18">
        <v>0</v>
      </c>
      <c r="T534" s="65">
        <f>+S534/J534*100</f>
        <v>0</v>
      </c>
      <c r="U534" s="18">
        <v>5</v>
      </c>
      <c r="V534" s="18"/>
      <c r="W534" s="18">
        <f t="shared" si="211"/>
        <v>5</v>
      </c>
      <c r="X534" s="18">
        <f t="shared" si="212"/>
        <v>72</v>
      </c>
      <c r="Y534" s="31">
        <f t="shared" si="220"/>
        <v>7.1999999999999995E-2</v>
      </c>
      <c r="Z534" s="18">
        <v>0</v>
      </c>
      <c r="AA534" s="18" t="s">
        <v>330</v>
      </c>
      <c r="AB534" s="18" t="s">
        <v>333</v>
      </c>
      <c r="AC534" s="18" t="s">
        <v>335</v>
      </c>
      <c r="AD534" s="18">
        <v>20</v>
      </c>
      <c r="AE534" s="18">
        <v>20</v>
      </c>
      <c r="AF534" s="18" t="s">
        <v>34</v>
      </c>
      <c r="AG534" s="18" t="s">
        <v>24</v>
      </c>
      <c r="AH534" s="18" t="s">
        <v>24</v>
      </c>
      <c r="AI534" s="18" t="s">
        <v>64</v>
      </c>
      <c r="AJ534" s="18" t="s">
        <v>77</v>
      </c>
      <c r="AK534" s="18" t="s">
        <v>96</v>
      </c>
      <c r="AL534" s="18" t="s">
        <v>107</v>
      </c>
      <c r="AM534" s="18" t="s">
        <v>118</v>
      </c>
      <c r="AN534" s="18" t="s">
        <v>267</v>
      </c>
      <c r="AO534" s="18"/>
      <c r="AP534" s="18"/>
      <c r="AQ534" s="18">
        <f>+VLOOKUP(AI534,Leyenda!$B$30:$E$34,3,FALSE)</f>
        <v>2</v>
      </c>
      <c r="AR534" s="36">
        <f>+VLOOKUP('3. Blasting'!AJ534,Meteorizacion,3,FALSE)</f>
        <v>3</v>
      </c>
      <c r="AS534" s="36">
        <f>+VLOOKUP('3. Blasting'!AK534,Apertura,3,FALSE)</f>
        <v>1</v>
      </c>
      <c r="AT534" s="36">
        <f>+VLOOKUP('3. Blasting'!AL534,Leyenda!$B$55:$D$59,3,FALSE)</f>
        <v>3</v>
      </c>
      <c r="AU534" s="36">
        <f>+VLOOKUP('3. Blasting'!AM534,Relleno,3,FALSE)</f>
        <v>2</v>
      </c>
      <c r="AV534" s="36">
        <f t="shared" si="236"/>
        <v>11</v>
      </c>
      <c r="AW534" s="49">
        <f t="shared" si="227"/>
        <v>0</v>
      </c>
      <c r="AX534" s="49">
        <f>VLOOKUP(AF534,Leyenda!$B$4:$D$10,3,FALSE)</f>
        <v>0</v>
      </c>
      <c r="AY534" s="50">
        <f t="shared" si="224"/>
        <v>4</v>
      </c>
      <c r="AZ534" s="49">
        <f t="shared" si="228"/>
        <v>11</v>
      </c>
      <c r="BA534" s="49">
        <f>VLOOKUP(AN534,Leyenda!$B$70:$D$75,3,FALSE)</f>
        <v>15</v>
      </c>
      <c r="BB534" s="67">
        <f t="shared" si="229"/>
        <v>16.5</v>
      </c>
      <c r="BC534" s="67">
        <f>VLOOKUP(AF534,Leyenda!$B$4:$E$10,4,FALSE)</f>
        <v>0</v>
      </c>
      <c r="BD534" s="67">
        <f t="shared" si="230"/>
        <v>6</v>
      </c>
      <c r="BE534" s="67">
        <f t="shared" si="231"/>
        <v>0</v>
      </c>
      <c r="BF534" s="67">
        <f>+VLOOKUP('3. Blasting'!AK534,Leyenda!$B$47:$E$51,4,FALSE)</f>
        <v>1</v>
      </c>
      <c r="BG534" s="67">
        <f>+VLOOKUP('3. Blasting'!AL534,Leyenda!$B$55:$E$59,4,FALSE)</f>
        <v>3</v>
      </c>
      <c r="BH534" s="67">
        <f>+VLOOKUP('3. Blasting'!AM534,Leyenda!$B$63:$E$67,3,FALSE)</f>
        <v>2</v>
      </c>
      <c r="BI534" s="67">
        <f>+VLOOKUP('3. Blasting'!AJ534,Leyenda!$B$39:$E$43,4,FALSE)</f>
        <v>3</v>
      </c>
      <c r="BJ534" s="67">
        <f>+VLOOKUP('3. Blasting'!AI534,Leyenda!$B$30:$E$34,4,FALSE)</f>
        <v>3</v>
      </c>
      <c r="BK534" s="67">
        <f>VLOOKUP(AN534,Leyenda!$B$71:$E$75,4,FALSE)</f>
        <v>10</v>
      </c>
      <c r="BL534" s="67">
        <f t="shared" si="232"/>
        <v>28</v>
      </c>
      <c r="BM534" s="18">
        <f t="shared" si="233"/>
        <v>30</v>
      </c>
      <c r="BN534" s="18"/>
      <c r="BO534" s="18"/>
      <c r="BS534">
        <f t="shared" si="221"/>
        <v>-50</v>
      </c>
      <c r="BT534">
        <f t="shared" si="222"/>
        <v>0</v>
      </c>
      <c r="BU534">
        <f t="shared" si="223"/>
        <v>-25</v>
      </c>
      <c r="BV534" s="1">
        <f t="shared" si="218"/>
        <v>-0.1</v>
      </c>
      <c r="BW534" s="1">
        <f t="shared" si="219"/>
        <v>0</v>
      </c>
    </row>
    <row r="535" spans="1:75" hidden="1" x14ac:dyDescent="0.25">
      <c r="A535" s="18" t="s">
        <v>6</v>
      </c>
      <c r="B535" s="18">
        <v>2024</v>
      </c>
      <c r="C535" s="18" t="s">
        <v>138</v>
      </c>
      <c r="D535" s="18" t="s">
        <v>266</v>
      </c>
      <c r="E535" s="18">
        <v>50</v>
      </c>
      <c r="F535" s="18" t="s">
        <v>154</v>
      </c>
      <c r="G535" s="18" t="s">
        <v>297</v>
      </c>
      <c r="H535" s="31">
        <f t="shared" si="216"/>
        <v>13</v>
      </c>
      <c r="I535" s="31">
        <f t="shared" si="217"/>
        <v>13.5</v>
      </c>
      <c r="J535" s="4">
        <f t="shared" si="234"/>
        <v>0.5</v>
      </c>
      <c r="K535" s="32">
        <v>1</v>
      </c>
      <c r="L535" s="31">
        <f t="shared" si="225"/>
        <v>0.5</v>
      </c>
      <c r="M535" s="31"/>
      <c r="N535" s="31"/>
      <c r="O535" s="18">
        <f t="shared" si="226"/>
        <v>0.5</v>
      </c>
      <c r="P535" s="18">
        <v>25</v>
      </c>
      <c r="Q535" s="18">
        <v>20</v>
      </c>
      <c r="R535" s="18">
        <v>0.46</v>
      </c>
      <c r="S535" s="18">
        <v>0.44</v>
      </c>
      <c r="T535" s="65">
        <f>+S535/J535*100</f>
        <v>88</v>
      </c>
      <c r="U535" s="18">
        <v>3</v>
      </c>
      <c r="V535" s="18"/>
      <c r="W535" s="18">
        <f t="shared" si="211"/>
        <v>3</v>
      </c>
      <c r="X535" s="18">
        <f t="shared" si="212"/>
        <v>153.33333333333334</v>
      </c>
      <c r="Y535" s="31">
        <f t="shared" si="220"/>
        <v>0.15333333333333335</v>
      </c>
      <c r="Z535" s="18">
        <v>0</v>
      </c>
      <c r="AA535" s="18" t="s">
        <v>330</v>
      </c>
      <c r="AB535" s="18" t="s">
        <v>333</v>
      </c>
      <c r="AC535" s="18" t="s">
        <v>335</v>
      </c>
      <c r="AD535" s="18">
        <v>20</v>
      </c>
      <c r="AE535" s="18">
        <v>25</v>
      </c>
      <c r="AF535" s="18" t="s">
        <v>34</v>
      </c>
      <c r="AG535" s="18" t="s">
        <v>24</v>
      </c>
      <c r="AH535" s="18" t="s">
        <v>24</v>
      </c>
      <c r="AI535" s="18" t="s">
        <v>64</v>
      </c>
      <c r="AJ535" s="18" t="s">
        <v>79</v>
      </c>
      <c r="AK535" s="18" t="s">
        <v>96</v>
      </c>
      <c r="AL535" s="18" t="s">
        <v>107</v>
      </c>
      <c r="AM535" s="18" t="s">
        <v>118</v>
      </c>
      <c r="AN535" s="18" t="s">
        <v>267</v>
      </c>
      <c r="AO535" s="18" t="s">
        <v>270</v>
      </c>
      <c r="AP535" s="18"/>
      <c r="AQ535" s="18">
        <f>+VLOOKUP(AI535,Leyenda!$B$30:$E$34,3,FALSE)</f>
        <v>2</v>
      </c>
      <c r="AR535" s="36">
        <f>+VLOOKUP('3. Blasting'!AJ535,Meteorizacion,3,FALSE)</f>
        <v>1</v>
      </c>
      <c r="AS535" s="36">
        <f>+VLOOKUP('3. Blasting'!AK535,Apertura,3,FALSE)</f>
        <v>1</v>
      </c>
      <c r="AT535" s="36">
        <f>+VLOOKUP('3. Blasting'!AL535,Leyenda!$B$55:$D$59,3,FALSE)</f>
        <v>3</v>
      </c>
      <c r="AU535" s="36">
        <f>+VLOOKUP('3. Blasting'!AM535,Relleno,3,FALSE)</f>
        <v>2</v>
      </c>
      <c r="AV535" s="36">
        <f t="shared" si="236"/>
        <v>9</v>
      </c>
      <c r="AW535" s="49">
        <f t="shared" si="227"/>
        <v>0</v>
      </c>
      <c r="AX535" s="49">
        <f>VLOOKUP(AF535,Leyenda!$B$4:$D$10,3,FALSE)</f>
        <v>0</v>
      </c>
      <c r="AY535" s="50">
        <f t="shared" si="224"/>
        <v>5</v>
      </c>
      <c r="AZ535" s="49">
        <f t="shared" si="228"/>
        <v>9</v>
      </c>
      <c r="BA535" s="49">
        <f>VLOOKUP(AN535,Leyenda!$B$70:$D$75,3,FALSE)</f>
        <v>15</v>
      </c>
      <c r="BB535" s="67">
        <f t="shared" si="229"/>
        <v>57.5</v>
      </c>
      <c r="BC535" s="67">
        <f>VLOOKUP(AF535,Leyenda!$B$4:$E$10,4,FALSE)</f>
        <v>0</v>
      </c>
      <c r="BD535" s="67">
        <f t="shared" si="230"/>
        <v>11</v>
      </c>
      <c r="BE535" s="67">
        <f t="shared" si="231"/>
        <v>18</v>
      </c>
      <c r="BF535" s="67">
        <f>+VLOOKUP('3. Blasting'!AK535,Leyenda!$B$47:$E$51,4,FALSE)</f>
        <v>1</v>
      </c>
      <c r="BG535" s="67">
        <f>+VLOOKUP('3. Blasting'!AL535,Leyenda!$B$55:$E$59,4,FALSE)</f>
        <v>3</v>
      </c>
      <c r="BH535" s="67">
        <f>+VLOOKUP('3. Blasting'!AM535,Leyenda!$B$63:$E$67,3,FALSE)</f>
        <v>2</v>
      </c>
      <c r="BI535" s="67">
        <f>+VLOOKUP('3. Blasting'!AJ535,Leyenda!$B$39:$E$43,4,FALSE)</f>
        <v>1</v>
      </c>
      <c r="BJ535" s="67">
        <f>+VLOOKUP('3. Blasting'!AI535,Leyenda!$B$30:$E$34,4,FALSE)</f>
        <v>3</v>
      </c>
      <c r="BK535" s="67">
        <f>VLOOKUP(AN535,Leyenda!$B$71:$E$75,4,FALSE)</f>
        <v>10</v>
      </c>
      <c r="BL535" s="67">
        <f t="shared" si="232"/>
        <v>49</v>
      </c>
      <c r="BM535" s="18">
        <f t="shared" si="233"/>
        <v>29</v>
      </c>
      <c r="BN535" s="18"/>
      <c r="BO535" s="18"/>
      <c r="BS535">
        <f t="shared" si="221"/>
        <v>-50</v>
      </c>
      <c r="BT535">
        <f t="shared" si="222"/>
        <v>0</v>
      </c>
      <c r="BU535">
        <f t="shared" si="223"/>
        <v>-25</v>
      </c>
      <c r="BV535" s="1">
        <f t="shared" si="218"/>
        <v>-0.1</v>
      </c>
      <c r="BW535" s="1">
        <f t="shared" si="219"/>
        <v>0</v>
      </c>
    </row>
    <row r="536" spans="1:75" hidden="1" x14ac:dyDescent="0.25">
      <c r="A536" s="18" t="s">
        <v>6</v>
      </c>
      <c r="B536" s="18">
        <v>2024</v>
      </c>
      <c r="C536" s="18" t="s">
        <v>138</v>
      </c>
      <c r="D536" s="18" t="s">
        <v>266</v>
      </c>
      <c r="E536" s="18">
        <v>50</v>
      </c>
      <c r="F536" s="18" t="s">
        <v>154</v>
      </c>
      <c r="G536" s="18" t="s">
        <v>297</v>
      </c>
      <c r="H536" s="31">
        <f t="shared" si="216"/>
        <v>13.5</v>
      </c>
      <c r="I536" s="31">
        <f t="shared" si="217"/>
        <v>14</v>
      </c>
      <c r="J536" s="4">
        <f t="shared" si="234"/>
        <v>0.5</v>
      </c>
      <c r="K536" s="32">
        <v>0.36</v>
      </c>
      <c r="L536" s="31">
        <f t="shared" si="225"/>
        <v>0.18</v>
      </c>
      <c r="M536" s="31"/>
      <c r="N536" s="31"/>
      <c r="O536" s="18">
        <f t="shared" si="226"/>
        <v>0.18</v>
      </c>
      <c r="P536" s="18">
        <v>9</v>
      </c>
      <c r="Q536" s="18">
        <v>20</v>
      </c>
      <c r="R536" s="18">
        <v>0.14000000000000001</v>
      </c>
      <c r="S536" s="18">
        <v>0.1</v>
      </c>
      <c r="T536" s="65">
        <f t="shared" si="235"/>
        <v>20</v>
      </c>
      <c r="U536" s="18">
        <v>2</v>
      </c>
      <c r="V536" s="18"/>
      <c r="W536" s="18">
        <f t="shared" si="211"/>
        <v>2</v>
      </c>
      <c r="X536" s="18">
        <f t="shared" si="212"/>
        <v>70</v>
      </c>
      <c r="Y536" s="31">
        <f t="shared" si="220"/>
        <v>7.0000000000000007E-2</v>
      </c>
      <c r="Z536" s="18">
        <v>0</v>
      </c>
      <c r="AA536" s="18" t="s">
        <v>330</v>
      </c>
      <c r="AB536" s="18" t="s">
        <v>333</v>
      </c>
      <c r="AC536" s="18" t="s">
        <v>335</v>
      </c>
      <c r="AD536" s="18">
        <v>20</v>
      </c>
      <c r="AE536" s="18">
        <v>9</v>
      </c>
      <c r="AF536" s="18" t="s">
        <v>34</v>
      </c>
      <c r="AG536" s="18" t="s">
        <v>24</v>
      </c>
      <c r="AH536" s="18" t="s">
        <v>24</v>
      </c>
      <c r="AI536" s="18" t="s">
        <v>64</v>
      </c>
      <c r="AJ536" s="18" t="s">
        <v>81</v>
      </c>
      <c r="AK536" s="18" t="s">
        <v>96</v>
      </c>
      <c r="AL536" s="18" t="s">
        <v>107</v>
      </c>
      <c r="AM536" s="18" t="s">
        <v>118</v>
      </c>
      <c r="AN536" s="18" t="s">
        <v>267</v>
      </c>
      <c r="AO536" s="18" t="s">
        <v>272</v>
      </c>
      <c r="AP536" s="18"/>
      <c r="AQ536" s="18">
        <f>+VLOOKUP(AI536,Leyenda!$B$30:$E$34,3,FALSE)</f>
        <v>2</v>
      </c>
      <c r="AR536" s="36">
        <f>+VLOOKUP('3. Blasting'!AJ536,Meteorizacion,3,FALSE)</f>
        <v>0</v>
      </c>
      <c r="AS536" s="36">
        <f>+VLOOKUP('3. Blasting'!AK536,Apertura,3,FALSE)</f>
        <v>1</v>
      </c>
      <c r="AT536" s="36">
        <f>+VLOOKUP('3. Blasting'!AL536,Leyenda!$B$55:$D$59,3,FALSE)</f>
        <v>3</v>
      </c>
      <c r="AU536" s="36">
        <f>+VLOOKUP('3. Blasting'!AM536,Relleno,3,FALSE)</f>
        <v>2</v>
      </c>
      <c r="AV536" s="36">
        <f t="shared" si="236"/>
        <v>8</v>
      </c>
      <c r="AW536" s="49">
        <f t="shared" si="227"/>
        <v>0</v>
      </c>
      <c r="AX536" s="49">
        <f>VLOOKUP(AF536,Leyenda!$B$4:$D$10,3,FALSE)</f>
        <v>0</v>
      </c>
      <c r="AY536" s="50">
        <f t="shared" si="224"/>
        <v>3</v>
      </c>
      <c r="AZ536" s="49">
        <f t="shared" si="228"/>
        <v>8</v>
      </c>
      <c r="BA536" s="49">
        <f>VLOOKUP(AN536,Leyenda!$B$70:$D$75,3,FALSE)</f>
        <v>15</v>
      </c>
      <c r="BB536" s="67">
        <f t="shared" si="229"/>
        <v>22</v>
      </c>
      <c r="BC536" s="67">
        <f>VLOOKUP(AF536,Leyenda!$B$4:$E$10,4,FALSE)</f>
        <v>0</v>
      </c>
      <c r="BD536" s="67">
        <f t="shared" si="230"/>
        <v>6</v>
      </c>
      <c r="BE536" s="67">
        <f t="shared" si="231"/>
        <v>4</v>
      </c>
      <c r="BF536" s="67">
        <f>+VLOOKUP('3. Blasting'!AK536,Leyenda!$B$47:$E$51,4,FALSE)</f>
        <v>1</v>
      </c>
      <c r="BG536" s="67">
        <f>+VLOOKUP('3. Blasting'!AL536,Leyenda!$B$55:$E$59,4,FALSE)</f>
        <v>3</v>
      </c>
      <c r="BH536" s="67">
        <f>+VLOOKUP('3. Blasting'!AM536,Leyenda!$B$63:$E$67,3,FALSE)</f>
        <v>2</v>
      </c>
      <c r="BI536" s="67">
        <f>+VLOOKUP('3. Blasting'!AJ536,Leyenda!$B$39:$E$43,4,FALSE)</f>
        <v>0</v>
      </c>
      <c r="BJ536" s="67">
        <f>+VLOOKUP('3. Blasting'!AI536,Leyenda!$B$30:$E$34,4,FALSE)</f>
        <v>3</v>
      </c>
      <c r="BK536" s="67">
        <f>VLOOKUP(AN536,Leyenda!$B$71:$E$75,4,FALSE)</f>
        <v>10</v>
      </c>
      <c r="BL536" s="67">
        <f t="shared" si="232"/>
        <v>29</v>
      </c>
      <c r="BM536" s="18">
        <f t="shared" si="233"/>
        <v>26</v>
      </c>
      <c r="BN536" s="18"/>
      <c r="BO536" s="18"/>
      <c r="BS536">
        <f t="shared" si="221"/>
        <v>-50</v>
      </c>
      <c r="BT536">
        <f t="shared" si="222"/>
        <v>0</v>
      </c>
      <c r="BU536">
        <f t="shared" si="223"/>
        <v>-25</v>
      </c>
      <c r="BV536" s="1">
        <f t="shared" si="218"/>
        <v>-0.1</v>
      </c>
      <c r="BW536" s="1">
        <f t="shared" si="219"/>
        <v>0</v>
      </c>
    </row>
    <row r="537" spans="1:75" hidden="1" x14ac:dyDescent="0.25">
      <c r="A537" s="18" t="s">
        <v>6</v>
      </c>
      <c r="B537" s="18">
        <v>2024</v>
      </c>
      <c r="C537" s="18" t="s">
        <v>138</v>
      </c>
      <c r="D537" s="18" t="s">
        <v>266</v>
      </c>
      <c r="E537" s="18">
        <v>50</v>
      </c>
      <c r="F537" s="18" t="s">
        <v>154</v>
      </c>
      <c r="G537" s="18" t="s">
        <v>297</v>
      </c>
      <c r="H537" s="31">
        <f t="shared" si="216"/>
        <v>14</v>
      </c>
      <c r="I537" s="31">
        <f t="shared" si="217"/>
        <v>14.5</v>
      </c>
      <c r="J537" s="4">
        <f t="shared" si="234"/>
        <v>0.5</v>
      </c>
      <c r="K537" s="32">
        <v>1</v>
      </c>
      <c r="L537" s="31">
        <f t="shared" si="225"/>
        <v>0.5</v>
      </c>
      <c r="M537" s="31"/>
      <c r="N537" s="31"/>
      <c r="O537" s="18">
        <f t="shared" si="226"/>
        <v>0.5</v>
      </c>
      <c r="P537" s="18">
        <v>25</v>
      </c>
      <c r="Q537" s="18">
        <v>20</v>
      </c>
      <c r="R537" s="18">
        <v>0.49</v>
      </c>
      <c r="S537" s="18">
        <v>0.44</v>
      </c>
      <c r="T537" s="65">
        <f t="shared" si="235"/>
        <v>88</v>
      </c>
      <c r="U537" s="18">
        <v>2</v>
      </c>
      <c r="V537" s="18"/>
      <c r="W537" s="18">
        <f t="shared" si="211"/>
        <v>2</v>
      </c>
      <c r="X537" s="18">
        <f t="shared" si="212"/>
        <v>245</v>
      </c>
      <c r="Y537" s="31">
        <f t="shared" si="220"/>
        <v>0.245</v>
      </c>
      <c r="Z537" s="18">
        <v>0</v>
      </c>
      <c r="AA537" s="18" t="s">
        <v>330</v>
      </c>
      <c r="AB537" s="18" t="s">
        <v>333</v>
      </c>
      <c r="AC537" s="18" t="s">
        <v>335</v>
      </c>
      <c r="AD537" s="18">
        <v>20</v>
      </c>
      <c r="AE537" s="18">
        <v>25</v>
      </c>
      <c r="AF537" s="18" t="s">
        <v>34</v>
      </c>
      <c r="AG537" s="18" t="s">
        <v>32</v>
      </c>
      <c r="AH537" s="18" t="s">
        <v>32</v>
      </c>
      <c r="AI537" s="18" t="s">
        <v>66</v>
      </c>
      <c r="AJ537" s="18" t="s">
        <v>81</v>
      </c>
      <c r="AK537" s="18" t="s">
        <v>96</v>
      </c>
      <c r="AL537" s="18" t="s">
        <v>109</v>
      </c>
      <c r="AM537" s="18" t="s">
        <v>120</v>
      </c>
      <c r="AN537" s="18" t="s">
        <v>267</v>
      </c>
      <c r="AO537" s="18"/>
      <c r="AP537" s="18"/>
      <c r="AQ537" s="18">
        <f>+VLOOKUP(AI537,Leyenda!$B$30:$E$34,3,FALSE)</f>
        <v>1</v>
      </c>
      <c r="AR537" s="36">
        <f>+VLOOKUP('3. Blasting'!AJ537,Meteorizacion,3,FALSE)</f>
        <v>0</v>
      </c>
      <c r="AS537" s="36">
        <f>+VLOOKUP('3. Blasting'!AK537,Apertura,3,FALSE)</f>
        <v>1</v>
      </c>
      <c r="AT537" s="36">
        <f>+VLOOKUP('3. Blasting'!AL537,Leyenda!$B$55:$D$59,3,FALSE)</f>
        <v>1</v>
      </c>
      <c r="AU537" s="36">
        <f>+VLOOKUP('3. Blasting'!AM537,Relleno,3,FALSE)</f>
        <v>2</v>
      </c>
      <c r="AV537" s="36">
        <f t="shared" si="236"/>
        <v>5</v>
      </c>
      <c r="AW537" s="49">
        <f t="shared" si="227"/>
        <v>0</v>
      </c>
      <c r="AX537" s="49">
        <f>VLOOKUP(AF537,Leyenda!$B$4:$D$10,3,FALSE)</f>
        <v>0</v>
      </c>
      <c r="AY537" s="50">
        <f t="shared" si="224"/>
        <v>5</v>
      </c>
      <c r="AZ537" s="49">
        <f t="shared" si="228"/>
        <v>5</v>
      </c>
      <c r="BA537" s="49">
        <f>VLOOKUP(AN537,Leyenda!$B$70:$D$75,3,FALSE)</f>
        <v>15</v>
      </c>
      <c r="BB537" s="67">
        <f t="shared" si="229"/>
        <v>51.5</v>
      </c>
      <c r="BC537" s="67">
        <f>VLOOKUP(AF537,Leyenda!$B$4:$E$10,4,FALSE)</f>
        <v>0</v>
      </c>
      <c r="BD537" s="67">
        <f t="shared" si="230"/>
        <v>14</v>
      </c>
      <c r="BE537" s="67">
        <f t="shared" si="231"/>
        <v>18</v>
      </c>
      <c r="BF537" s="67">
        <f>+VLOOKUP('3. Blasting'!AK537,Leyenda!$B$47:$E$51,4,FALSE)</f>
        <v>1</v>
      </c>
      <c r="BG537" s="67">
        <f>+VLOOKUP('3. Blasting'!AL537,Leyenda!$B$55:$E$59,4,FALSE)</f>
        <v>1</v>
      </c>
      <c r="BH537" s="67">
        <f>+VLOOKUP('3. Blasting'!AM537,Leyenda!$B$63:$E$67,3,FALSE)</f>
        <v>2</v>
      </c>
      <c r="BI537" s="67">
        <f>+VLOOKUP('3. Blasting'!AJ537,Leyenda!$B$39:$E$43,4,FALSE)</f>
        <v>0</v>
      </c>
      <c r="BJ537" s="67">
        <f>+VLOOKUP('3. Blasting'!AI537,Leyenda!$B$30:$E$34,4,FALSE)</f>
        <v>1</v>
      </c>
      <c r="BK537" s="67">
        <f>VLOOKUP(AN537,Leyenda!$B$71:$E$75,4,FALSE)</f>
        <v>10</v>
      </c>
      <c r="BL537" s="67">
        <f t="shared" si="232"/>
        <v>47</v>
      </c>
      <c r="BM537" s="18">
        <f t="shared" si="233"/>
        <v>25</v>
      </c>
      <c r="BN537" s="18"/>
      <c r="BO537" s="18"/>
      <c r="BS537">
        <f t="shared" si="221"/>
        <v>-50</v>
      </c>
      <c r="BT537">
        <f t="shared" si="222"/>
        <v>0</v>
      </c>
      <c r="BU537">
        <f t="shared" si="223"/>
        <v>-25</v>
      </c>
      <c r="BV537" s="1">
        <f t="shared" si="218"/>
        <v>-0.1</v>
      </c>
      <c r="BW537" s="1">
        <f t="shared" si="219"/>
        <v>0</v>
      </c>
    </row>
    <row r="538" spans="1:75" hidden="1" x14ac:dyDescent="0.25">
      <c r="A538" s="18" t="s">
        <v>6</v>
      </c>
      <c r="B538" s="18">
        <v>2024</v>
      </c>
      <c r="C538" s="18" t="s">
        <v>138</v>
      </c>
      <c r="D538" s="18" t="s">
        <v>266</v>
      </c>
      <c r="E538" s="18">
        <v>50</v>
      </c>
      <c r="F538" s="18" t="s">
        <v>154</v>
      </c>
      <c r="G538" s="18" t="s">
        <v>298</v>
      </c>
      <c r="H538" s="31">
        <f t="shared" si="216"/>
        <v>14.5</v>
      </c>
      <c r="I538" s="31">
        <f t="shared" si="217"/>
        <v>15</v>
      </c>
      <c r="J538" s="4">
        <f t="shared" si="234"/>
        <v>0.5</v>
      </c>
      <c r="K538" s="32">
        <v>0.9</v>
      </c>
      <c r="L538" s="31">
        <f t="shared" si="225"/>
        <v>0.45</v>
      </c>
      <c r="M538" s="31"/>
      <c r="N538" s="31"/>
      <c r="O538" s="18">
        <f t="shared" si="226"/>
        <v>0.45</v>
      </c>
      <c r="P538" s="18">
        <v>22.5</v>
      </c>
      <c r="Q538" s="18">
        <v>20</v>
      </c>
      <c r="R538" s="18">
        <v>0.1</v>
      </c>
      <c r="S538" s="18">
        <v>0.1</v>
      </c>
      <c r="T538" s="65">
        <f t="shared" si="235"/>
        <v>20</v>
      </c>
      <c r="U538" s="18">
        <v>4</v>
      </c>
      <c r="V538" s="18"/>
      <c r="W538" s="18">
        <f t="shared" si="211"/>
        <v>4</v>
      </c>
      <c r="X538" s="18">
        <f t="shared" si="212"/>
        <v>25</v>
      </c>
      <c r="Y538" s="31">
        <f t="shared" si="220"/>
        <v>2.5000000000000001E-2</v>
      </c>
      <c r="Z538" s="18">
        <v>0</v>
      </c>
      <c r="AA538" s="18" t="s">
        <v>330</v>
      </c>
      <c r="AB538" s="18" t="s">
        <v>333</v>
      </c>
      <c r="AC538" s="18" t="s">
        <v>335</v>
      </c>
      <c r="AD538" s="18">
        <v>20</v>
      </c>
      <c r="AE538" s="18">
        <v>22.5</v>
      </c>
      <c r="AF538" s="18" t="s">
        <v>34</v>
      </c>
      <c r="AG538" s="18" t="s">
        <v>34</v>
      </c>
      <c r="AH538" s="18" t="s">
        <v>34</v>
      </c>
      <c r="AI538" s="18" t="s">
        <v>69</v>
      </c>
      <c r="AJ538" s="18" t="s">
        <v>81</v>
      </c>
      <c r="AK538" s="18" t="s">
        <v>100</v>
      </c>
      <c r="AL538" s="18" t="s">
        <v>109</v>
      </c>
      <c r="AM538" s="18" t="s">
        <v>122</v>
      </c>
      <c r="AN538" s="18" t="s">
        <v>267</v>
      </c>
      <c r="AO538" s="18"/>
      <c r="AP538" s="18"/>
      <c r="AQ538" s="18">
        <f>+VLOOKUP(AI538,Leyenda!$B$30:$E$34,3,FALSE)</f>
        <v>0</v>
      </c>
      <c r="AR538" s="36">
        <f>+VLOOKUP('3. Blasting'!AJ538,Meteorizacion,3,FALSE)</f>
        <v>0</v>
      </c>
      <c r="AS538" s="36">
        <f>+VLOOKUP('3. Blasting'!AK538,Apertura,3,FALSE)</f>
        <v>0</v>
      </c>
      <c r="AT538" s="36">
        <f>+VLOOKUP('3. Blasting'!AL538,Leyenda!$B$55:$D$59,3,FALSE)</f>
        <v>1</v>
      </c>
      <c r="AU538" s="36">
        <f>+VLOOKUP('3. Blasting'!AM538,Relleno,3,FALSE)</f>
        <v>0</v>
      </c>
      <c r="AV538" s="36">
        <f t="shared" si="236"/>
        <v>1</v>
      </c>
      <c r="AW538" s="49">
        <f t="shared" si="227"/>
        <v>0</v>
      </c>
      <c r="AX538" s="49">
        <f>VLOOKUP(AF538,Leyenda!$B$4:$D$10,3,FALSE)</f>
        <v>0</v>
      </c>
      <c r="AY538" s="50">
        <f t="shared" si="224"/>
        <v>4</v>
      </c>
      <c r="AZ538" s="49">
        <f t="shared" si="228"/>
        <v>1</v>
      </c>
      <c r="BA538" s="49">
        <f>VLOOKUP(AN538,Leyenda!$B$70:$D$75,3,FALSE)</f>
        <v>15</v>
      </c>
      <c r="BB538" s="67">
        <f t="shared" si="229"/>
        <v>11.5</v>
      </c>
      <c r="BC538" s="67">
        <f>VLOOKUP(AF538,Leyenda!$B$4:$E$10,4,FALSE)</f>
        <v>0</v>
      </c>
      <c r="BD538" s="67">
        <f t="shared" si="230"/>
        <v>5</v>
      </c>
      <c r="BE538" s="67">
        <f t="shared" si="231"/>
        <v>4</v>
      </c>
      <c r="BF538" s="67">
        <f>+VLOOKUP('3. Blasting'!AK538,Leyenda!$B$47:$E$51,4,FALSE)</f>
        <v>0</v>
      </c>
      <c r="BG538" s="67">
        <f>+VLOOKUP('3. Blasting'!AL538,Leyenda!$B$55:$E$59,4,FALSE)</f>
        <v>1</v>
      </c>
      <c r="BH538" s="67">
        <f>+VLOOKUP('3. Blasting'!AM538,Leyenda!$B$63:$E$67,3,FALSE)</f>
        <v>0</v>
      </c>
      <c r="BI538" s="67">
        <f>+VLOOKUP('3. Blasting'!AJ538,Leyenda!$B$39:$E$43,4,FALSE)</f>
        <v>0</v>
      </c>
      <c r="BJ538" s="67">
        <f>+VLOOKUP('3. Blasting'!AI538,Leyenda!$B$30:$E$34,4,FALSE)</f>
        <v>0</v>
      </c>
      <c r="BK538" s="67">
        <f>VLOOKUP(AN538,Leyenda!$B$71:$E$75,4,FALSE)</f>
        <v>10</v>
      </c>
      <c r="BL538" s="67">
        <f t="shared" si="232"/>
        <v>20</v>
      </c>
      <c r="BM538" s="18">
        <f t="shared" si="233"/>
        <v>20</v>
      </c>
      <c r="BN538" s="18"/>
      <c r="BO538" s="18"/>
      <c r="BS538">
        <f t="shared" si="221"/>
        <v>-50</v>
      </c>
      <c r="BT538">
        <f t="shared" si="222"/>
        <v>0</v>
      </c>
      <c r="BU538">
        <f t="shared" si="223"/>
        <v>-25</v>
      </c>
      <c r="BV538" s="1">
        <f t="shared" si="218"/>
        <v>-0.1</v>
      </c>
      <c r="BW538" s="1">
        <f t="shared" si="219"/>
        <v>0</v>
      </c>
    </row>
    <row r="539" spans="1:75" hidden="1" x14ac:dyDescent="0.25">
      <c r="A539" s="18" t="s">
        <v>6</v>
      </c>
      <c r="B539" s="18">
        <v>2024</v>
      </c>
      <c r="C539" s="18" t="s">
        <v>138</v>
      </c>
      <c r="D539" s="18" t="s">
        <v>266</v>
      </c>
      <c r="E539" s="18">
        <v>50</v>
      </c>
      <c r="F539" s="18" t="s">
        <v>154</v>
      </c>
      <c r="G539" s="18" t="s">
        <v>298</v>
      </c>
      <c r="H539" s="31">
        <f t="shared" si="216"/>
        <v>15</v>
      </c>
      <c r="I539" s="31">
        <f t="shared" si="217"/>
        <v>15.5</v>
      </c>
      <c r="J539" s="4">
        <f t="shared" si="234"/>
        <v>0.5</v>
      </c>
      <c r="K539" s="32">
        <v>0.64</v>
      </c>
      <c r="L539" s="31">
        <f t="shared" si="225"/>
        <v>0.32</v>
      </c>
      <c r="M539" s="31"/>
      <c r="N539" s="31"/>
      <c r="O539" s="18">
        <f t="shared" si="226"/>
        <v>0.32</v>
      </c>
      <c r="P539" s="18">
        <v>16</v>
      </c>
      <c r="Q539" s="18">
        <v>20</v>
      </c>
      <c r="R539" s="18">
        <v>0.32</v>
      </c>
      <c r="S539" s="18">
        <v>0</v>
      </c>
      <c r="T539" s="65">
        <f>+S539/J539*100</f>
        <v>0</v>
      </c>
      <c r="U539" s="18">
        <v>10</v>
      </c>
      <c r="V539" s="18"/>
      <c r="W539" s="18">
        <f t="shared" si="211"/>
        <v>10</v>
      </c>
      <c r="X539" s="18">
        <f t="shared" si="212"/>
        <v>32</v>
      </c>
      <c r="Y539" s="31">
        <f t="shared" si="220"/>
        <v>3.2000000000000001E-2</v>
      </c>
      <c r="Z539" s="18">
        <v>0</v>
      </c>
      <c r="AA539" s="18" t="s">
        <v>330</v>
      </c>
      <c r="AB539" s="18" t="s">
        <v>333</v>
      </c>
      <c r="AC539" s="18" t="s">
        <v>335</v>
      </c>
      <c r="AD539" s="18">
        <v>20</v>
      </c>
      <c r="AE539" s="18">
        <v>16</v>
      </c>
      <c r="AF539" s="18" t="s">
        <v>34</v>
      </c>
      <c r="AG539" s="18" t="s">
        <v>199</v>
      </c>
      <c r="AH539" s="18" t="s">
        <v>199</v>
      </c>
      <c r="AI539" s="18" t="s">
        <v>66</v>
      </c>
      <c r="AJ539" s="18" t="s">
        <v>81</v>
      </c>
      <c r="AK539" s="18" t="s">
        <v>96</v>
      </c>
      <c r="AL539" s="18" t="s">
        <v>107</v>
      </c>
      <c r="AM539" s="18" t="s">
        <v>122</v>
      </c>
      <c r="AN539" s="18" t="s">
        <v>126</v>
      </c>
      <c r="AO539" s="18" t="s">
        <v>271</v>
      </c>
      <c r="AP539" s="18"/>
      <c r="AQ539" s="18">
        <f>+VLOOKUP(AI539,Leyenda!$B$30:$E$34,3,FALSE)</f>
        <v>1</v>
      </c>
      <c r="AR539" s="36">
        <f>+VLOOKUP('3. Blasting'!AJ539,Meteorizacion,3,FALSE)</f>
        <v>0</v>
      </c>
      <c r="AS539" s="36">
        <f>+VLOOKUP('3. Blasting'!AK539,Apertura,3,FALSE)</f>
        <v>1</v>
      </c>
      <c r="AT539" s="36">
        <f>+VLOOKUP('3. Blasting'!AL539,Leyenda!$B$55:$D$59,3,FALSE)</f>
        <v>3</v>
      </c>
      <c r="AU539" s="36">
        <f>+VLOOKUP('3. Blasting'!AM539,Relleno,3,FALSE)</f>
        <v>0</v>
      </c>
      <c r="AV539" s="36">
        <f t="shared" si="236"/>
        <v>5</v>
      </c>
      <c r="AW539" s="49">
        <f t="shared" si="227"/>
        <v>0</v>
      </c>
      <c r="AX539" s="49">
        <f>VLOOKUP(AF539,Leyenda!$B$4:$D$10,3,FALSE)</f>
        <v>0</v>
      </c>
      <c r="AY539" s="50">
        <f t="shared" si="224"/>
        <v>4</v>
      </c>
      <c r="AZ539" s="49">
        <f t="shared" si="228"/>
        <v>5</v>
      </c>
      <c r="BA539" s="49">
        <f>VLOOKUP(AN539,Leyenda!$B$70:$D$75,3,FALSE)</f>
        <v>10</v>
      </c>
      <c r="BB539" s="67">
        <f t="shared" si="229"/>
        <v>7.5</v>
      </c>
      <c r="BC539" s="67">
        <f>VLOOKUP(AF539,Leyenda!$B$4:$E$10,4,FALSE)</f>
        <v>0</v>
      </c>
      <c r="BD539" s="67">
        <f t="shared" si="230"/>
        <v>5</v>
      </c>
      <c r="BE539" s="67">
        <f t="shared" si="231"/>
        <v>0</v>
      </c>
      <c r="BF539" s="67">
        <f>+VLOOKUP('3. Blasting'!AK539,Leyenda!$B$47:$E$51,4,FALSE)</f>
        <v>1</v>
      </c>
      <c r="BG539" s="67">
        <f>+VLOOKUP('3. Blasting'!AL539,Leyenda!$B$55:$E$59,4,FALSE)</f>
        <v>3</v>
      </c>
      <c r="BH539" s="67">
        <f>+VLOOKUP('3. Blasting'!AM539,Leyenda!$B$63:$E$67,3,FALSE)</f>
        <v>0</v>
      </c>
      <c r="BI539" s="67">
        <f>+VLOOKUP('3. Blasting'!AJ539,Leyenda!$B$39:$E$43,4,FALSE)</f>
        <v>0</v>
      </c>
      <c r="BJ539" s="67">
        <f>+VLOOKUP('3. Blasting'!AI539,Leyenda!$B$30:$E$34,4,FALSE)</f>
        <v>1</v>
      </c>
      <c r="BK539" s="67">
        <f>VLOOKUP(AN539,Leyenda!$B$71:$E$75,4,FALSE)</f>
        <v>7</v>
      </c>
      <c r="BL539" s="67">
        <f t="shared" si="232"/>
        <v>17</v>
      </c>
      <c r="BM539" s="18">
        <f t="shared" si="233"/>
        <v>19</v>
      </c>
      <c r="BN539" s="18"/>
      <c r="BO539" s="18"/>
      <c r="BS539">
        <f t="shared" si="221"/>
        <v>-50</v>
      </c>
      <c r="BT539">
        <f t="shared" si="222"/>
        <v>0</v>
      </c>
      <c r="BU539">
        <f t="shared" si="223"/>
        <v>-25</v>
      </c>
      <c r="BV539" s="1">
        <f t="shared" si="218"/>
        <v>-0.1</v>
      </c>
      <c r="BW539" s="1">
        <f t="shared" si="219"/>
        <v>0</v>
      </c>
    </row>
    <row r="540" spans="1:75" hidden="1" x14ac:dyDescent="0.25">
      <c r="A540" s="18" t="s">
        <v>6</v>
      </c>
      <c r="B540" s="18">
        <v>2024</v>
      </c>
      <c r="C540" s="18" t="s">
        <v>138</v>
      </c>
      <c r="D540" s="18" t="s">
        <v>266</v>
      </c>
      <c r="E540" s="18">
        <v>50</v>
      </c>
      <c r="F540" s="18" t="s">
        <v>154</v>
      </c>
      <c r="G540" s="18" t="s">
        <v>298</v>
      </c>
      <c r="H540" s="31">
        <f t="shared" si="216"/>
        <v>15.5</v>
      </c>
      <c r="I540" s="31">
        <f t="shared" si="217"/>
        <v>16</v>
      </c>
      <c r="J540" s="4">
        <f t="shared" si="234"/>
        <v>0.5</v>
      </c>
      <c r="K540" s="32">
        <v>1</v>
      </c>
      <c r="L540" s="31">
        <f t="shared" si="225"/>
        <v>0.5</v>
      </c>
      <c r="M540" s="31"/>
      <c r="N540" s="31"/>
      <c r="O540" s="18">
        <f t="shared" si="226"/>
        <v>0.5</v>
      </c>
      <c r="P540" s="18">
        <v>25</v>
      </c>
      <c r="Q540" s="18">
        <v>20</v>
      </c>
      <c r="R540" s="18">
        <v>0.5</v>
      </c>
      <c r="S540" s="18">
        <v>0.36</v>
      </c>
      <c r="T540" s="65">
        <f>+S540/J540*100</f>
        <v>72</v>
      </c>
      <c r="U540" s="18">
        <v>3</v>
      </c>
      <c r="V540" s="18"/>
      <c r="W540" s="18">
        <f t="shared" si="211"/>
        <v>3</v>
      </c>
      <c r="X540" s="18">
        <f t="shared" si="212"/>
        <v>166.66666666666666</v>
      </c>
      <c r="Y540" s="31">
        <f t="shared" si="220"/>
        <v>0.16666666666666666</v>
      </c>
      <c r="Z540" s="18">
        <v>0</v>
      </c>
      <c r="AA540" s="18" t="s">
        <v>330</v>
      </c>
      <c r="AB540" s="18" t="s">
        <v>333</v>
      </c>
      <c r="AC540" s="18" t="s">
        <v>335</v>
      </c>
      <c r="AD540" s="18">
        <v>20</v>
      </c>
      <c r="AE540" s="18">
        <v>25</v>
      </c>
      <c r="AF540" s="18" t="s">
        <v>34</v>
      </c>
      <c r="AG540" s="18" t="s">
        <v>34</v>
      </c>
      <c r="AH540" s="18" t="s">
        <v>34</v>
      </c>
      <c r="AI540" s="18" t="s">
        <v>66</v>
      </c>
      <c r="AJ540" s="18" t="s">
        <v>81</v>
      </c>
      <c r="AK540" s="18" t="s">
        <v>100</v>
      </c>
      <c r="AL540" s="18" t="s">
        <v>109</v>
      </c>
      <c r="AM540" s="18" t="s">
        <v>122</v>
      </c>
      <c r="AN540" s="18" t="s">
        <v>126</v>
      </c>
      <c r="AO540" s="18" t="s">
        <v>271</v>
      </c>
      <c r="AP540" s="18"/>
      <c r="AQ540" s="18">
        <f>+VLOOKUP(AI540,Leyenda!$B$30:$E$34,3,FALSE)</f>
        <v>1</v>
      </c>
      <c r="AR540" s="36">
        <f>+VLOOKUP('3. Blasting'!AJ540,Meteorizacion,3,FALSE)</f>
        <v>0</v>
      </c>
      <c r="AS540" s="36">
        <f>+VLOOKUP('3. Blasting'!AK540,Apertura,3,FALSE)</f>
        <v>0</v>
      </c>
      <c r="AT540" s="36">
        <f>+VLOOKUP('3. Blasting'!AL540,Leyenda!$B$55:$D$59,3,FALSE)</f>
        <v>1</v>
      </c>
      <c r="AU540" s="36">
        <f>+VLOOKUP('3. Blasting'!AM540,Relleno,3,FALSE)</f>
        <v>0</v>
      </c>
      <c r="AV540" s="36">
        <f t="shared" si="236"/>
        <v>2</v>
      </c>
      <c r="AW540" s="49">
        <f t="shared" si="227"/>
        <v>0</v>
      </c>
      <c r="AX540" s="49">
        <f>VLOOKUP(AF540,Leyenda!$B$4:$D$10,3,FALSE)</f>
        <v>0</v>
      </c>
      <c r="AY540" s="50">
        <f t="shared" si="224"/>
        <v>5</v>
      </c>
      <c r="AZ540" s="49">
        <f t="shared" si="228"/>
        <v>2</v>
      </c>
      <c r="BA540" s="49">
        <f>VLOOKUP(AN540,Leyenda!$B$70:$D$75,3,FALSE)</f>
        <v>10</v>
      </c>
      <c r="BB540" s="67">
        <f t="shared" si="229"/>
        <v>39</v>
      </c>
      <c r="BC540" s="67">
        <f>VLOOKUP(AF540,Leyenda!$B$4:$E$10,4,FALSE)</f>
        <v>0</v>
      </c>
      <c r="BD540" s="67">
        <f t="shared" si="230"/>
        <v>11</v>
      </c>
      <c r="BE540" s="67">
        <f t="shared" si="231"/>
        <v>15</v>
      </c>
      <c r="BF540" s="67">
        <f>+VLOOKUP('3. Blasting'!AK540,Leyenda!$B$47:$E$51,4,FALSE)</f>
        <v>0</v>
      </c>
      <c r="BG540" s="67">
        <f>+VLOOKUP('3. Blasting'!AL540,Leyenda!$B$55:$E$59,4,FALSE)</f>
        <v>1</v>
      </c>
      <c r="BH540" s="67">
        <f>+VLOOKUP('3. Blasting'!AM540,Leyenda!$B$63:$E$67,3,FALSE)</f>
        <v>0</v>
      </c>
      <c r="BI540" s="67">
        <f>+VLOOKUP('3. Blasting'!AJ540,Leyenda!$B$39:$E$43,4,FALSE)</f>
        <v>0</v>
      </c>
      <c r="BJ540" s="67">
        <f>+VLOOKUP('3. Blasting'!AI540,Leyenda!$B$30:$E$34,4,FALSE)</f>
        <v>1</v>
      </c>
      <c r="BK540" s="67">
        <f>VLOOKUP(AN540,Leyenda!$B$71:$E$75,4,FALSE)</f>
        <v>7</v>
      </c>
      <c r="BL540" s="67">
        <f t="shared" si="232"/>
        <v>35</v>
      </c>
      <c r="BM540" s="18">
        <f t="shared" si="233"/>
        <v>17</v>
      </c>
      <c r="BN540" s="18"/>
      <c r="BO540" s="18"/>
      <c r="BS540">
        <f t="shared" si="221"/>
        <v>-50</v>
      </c>
      <c r="BT540">
        <f t="shared" si="222"/>
        <v>0</v>
      </c>
      <c r="BU540">
        <f t="shared" si="223"/>
        <v>-25</v>
      </c>
      <c r="BV540" s="1">
        <f t="shared" si="218"/>
        <v>-0.1</v>
      </c>
      <c r="BW540" s="1">
        <f t="shared" si="219"/>
        <v>0</v>
      </c>
    </row>
    <row r="541" spans="1:75" hidden="1" x14ac:dyDescent="0.25">
      <c r="A541" s="18" t="s">
        <v>6</v>
      </c>
      <c r="B541" s="18">
        <v>2024</v>
      </c>
      <c r="C541" s="18" t="s">
        <v>138</v>
      </c>
      <c r="D541" s="18" t="s">
        <v>266</v>
      </c>
      <c r="E541" s="18">
        <v>50</v>
      </c>
      <c r="F541" s="18" t="s">
        <v>154</v>
      </c>
      <c r="G541" s="18" t="s">
        <v>298</v>
      </c>
      <c r="H541" s="31">
        <f t="shared" si="216"/>
        <v>16</v>
      </c>
      <c r="I541" s="31">
        <f t="shared" si="217"/>
        <v>16.5</v>
      </c>
      <c r="J541" s="4">
        <f t="shared" si="234"/>
        <v>0.5</v>
      </c>
      <c r="K541" s="32">
        <v>1</v>
      </c>
      <c r="L541" s="31">
        <f t="shared" si="225"/>
        <v>0.5</v>
      </c>
      <c r="M541" s="31"/>
      <c r="N541" s="31"/>
      <c r="O541" s="18">
        <f t="shared" si="226"/>
        <v>0.5</v>
      </c>
      <c r="P541" s="18">
        <v>25</v>
      </c>
      <c r="Q541" s="18">
        <v>20</v>
      </c>
      <c r="R541" s="18">
        <v>0.46</v>
      </c>
      <c r="S541" s="18">
        <v>0</v>
      </c>
      <c r="T541" s="65">
        <f t="shared" si="235"/>
        <v>0</v>
      </c>
      <c r="U541" s="18">
        <v>5</v>
      </c>
      <c r="V541" s="18"/>
      <c r="W541" s="18">
        <f t="shared" si="211"/>
        <v>5</v>
      </c>
      <c r="X541" s="18">
        <f t="shared" si="212"/>
        <v>92</v>
      </c>
      <c r="Y541" s="31">
        <f t="shared" si="220"/>
        <v>9.1999999999999998E-2</v>
      </c>
      <c r="Z541" s="18">
        <v>0</v>
      </c>
      <c r="AA541" s="18" t="s">
        <v>330</v>
      </c>
      <c r="AB541" s="18" t="s">
        <v>333</v>
      </c>
      <c r="AC541" s="18" t="s">
        <v>335</v>
      </c>
      <c r="AD541" s="18">
        <v>20</v>
      </c>
      <c r="AE541" s="18">
        <v>25</v>
      </c>
      <c r="AF541" s="18" t="s">
        <v>34</v>
      </c>
      <c r="AG541" s="18" t="s">
        <v>34</v>
      </c>
      <c r="AH541" s="18" t="s">
        <v>34</v>
      </c>
      <c r="AI541" s="18" t="s">
        <v>66</v>
      </c>
      <c r="AJ541" s="18" t="s">
        <v>81</v>
      </c>
      <c r="AK541" s="18" t="s">
        <v>100</v>
      </c>
      <c r="AL541" s="18" t="s">
        <v>109</v>
      </c>
      <c r="AM541" s="18" t="s">
        <v>122</v>
      </c>
      <c r="AN541" s="18" t="s">
        <v>126</v>
      </c>
      <c r="AO541" s="18" t="s">
        <v>271</v>
      </c>
      <c r="AP541" s="18"/>
      <c r="AQ541" s="18">
        <f>+VLOOKUP(AI541,Leyenda!$B$30:$E$34,3,FALSE)</f>
        <v>1</v>
      </c>
      <c r="AR541" s="36">
        <f>+VLOOKUP('3. Blasting'!AJ541,Meteorizacion,3,FALSE)</f>
        <v>0</v>
      </c>
      <c r="AS541" s="36">
        <f>+VLOOKUP('3. Blasting'!AK541,Apertura,3,FALSE)</f>
        <v>0</v>
      </c>
      <c r="AT541" s="36">
        <f>+VLOOKUP('3. Blasting'!AL541,Leyenda!$B$55:$D$59,3,FALSE)</f>
        <v>1</v>
      </c>
      <c r="AU541" s="36">
        <f>+VLOOKUP('3. Blasting'!AM541,Relleno,3,FALSE)</f>
        <v>0</v>
      </c>
      <c r="AV541" s="36">
        <f t="shared" si="236"/>
        <v>2</v>
      </c>
      <c r="AW541" s="49">
        <f t="shared" si="227"/>
        <v>0</v>
      </c>
      <c r="AX541" s="49">
        <f>VLOOKUP(AF541,Leyenda!$B$4:$D$10,3,FALSE)</f>
        <v>0</v>
      </c>
      <c r="AY541" s="50">
        <f t="shared" si="224"/>
        <v>5</v>
      </c>
      <c r="AZ541" s="49">
        <f t="shared" si="228"/>
        <v>2</v>
      </c>
      <c r="BA541" s="49">
        <f>VLOOKUP(AN541,Leyenda!$B$70:$D$75,3,FALSE)</f>
        <v>10</v>
      </c>
      <c r="BB541" s="67">
        <f t="shared" si="229"/>
        <v>3</v>
      </c>
      <c r="BC541" s="67">
        <f>VLOOKUP(AF541,Leyenda!$B$4:$E$10,4,FALSE)</f>
        <v>0</v>
      </c>
      <c r="BD541" s="67">
        <f t="shared" si="230"/>
        <v>8</v>
      </c>
      <c r="BE541" s="67">
        <f t="shared" si="231"/>
        <v>0</v>
      </c>
      <c r="BF541" s="67">
        <f>+VLOOKUP('3. Blasting'!AK541,Leyenda!$B$47:$E$51,4,FALSE)</f>
        <v>0</v>
      </c>
      <c r="BG541" s="67">
        <f>+VLOOKUP('3. Blasting'!AL541,Leyenda!$B$55:$E$59,4,FALSE)</f>
        <v>1</v>
      </c>
      <c r="BH541" s="67">
        <f>+VLOOKUP('3. Blasting'!AM541,Leyenda!$B$63:$E$67,3,FALSE)</f>
        <v>0</v>
      </c>
      <c r="BI541" s="67">
        <f>+VLOOKUP('3. Blasting'!AJ541,Leyenda!$B$39:$E$43,4,FALSE)</f>
        <v>0</v>
      </c>
      <c r="BJ541" s="67">
        <f>+VLOOKUP('3. Blasting'!AI541,Leyenda!$B$30:$E$34,4,FALSE)</f>
        <v>1</v>
      </c>
      <c r="BK541" s="67">
        <f>VLOOKUP(AN541,Leyenda!$B$71:$E$75,4,FALSE)</f>
        <v>7</v>
      </c>
      <c r="BL541" s="67">
        <f t="shared" si="232"/>
        <v>17</v>
      </c>
      <c r="BM541" s="18">
        <f t="shared" si="233"/>
        <v>17</v>
      </c>
      <c r="BN541" s="18"/>
      <c r="BO541" s="18"/>
      <c r="BS541">
        <f t="shared" si="221"/>
        <v>-50</v>
      </c>
      <c r="BT541">
        <f t="shared" si="222"/>
        <v>0</v>
      </c>
      <c r="BU541">
        <f t="shared" si="223"/>
        <v>-25</v>
      </c>
      <c r="BV541" s="1">
        <f t="shared" si="218"/>
        <v>-0.1</v>
      </c>
      <c r="BW541" s="1">
        <f t="shared" si="219"/>
        <v>0</v>
      </c>
    </row>
    <row r="542" spans="1:75" hidden="1" x14ac:dyDescent="0.25">
      <c r="A542" s="18" t="s">
        <v>6</v>
      </c>
      <c r="B542" s="18">
        <v>2024</v>
      </c>
      <c r="C542" s="18" t="s">
        <v>138</v>
      </c>
      <c r="D542" s="18" t="s">
        <v>266</v>
      </c>
      <c r="E542" s="18">
        <v>50</v>
      </c>
      <c r="F542" s="18" t="s">
        <v>154</v>
      </c>
      <c r="G542" s="18" t="s">
        <v>298</v>
      </c>
      <c r="H542" s="31">
        <f t="shared" si="216"/>
        <v>16.5</v>
      </c>
      <c r="I542" s="31">
        <f t="shared" si="217"/>
        <v>17</v>
      </c>
      <c r="J542" s="4">
        <f t="shared" si="234"/>
        <v>0.5</v>
      </c>
      <c r="K542" s="32">
        <v>1</v>
      </c>
      <c r="L542" s="31">
        <f t="shared" si="225"/>
        <v>0.5</v>
      </c>
      <c r="M542" s="31"/>
      <c r="N542" s="31"/>
      <c r="O542" s="18">
        <f t="shared" si="226"/>
        <v>0.5</v>
      </c>
      <c r="P542" s="18">
        <v>25</v>
      </c>
      <c r="Q542" s="18">
        <v>20</v>
      </c>
      <c r="R542" s="18">
        <v>0.49</v>
      </c>
      <c r="S542" s="18">
        <v>0</v>
      </c>
      <c r="T542" s="65">
        <f t="shared" si="235"/>
        <v>0</v>
      </c>
      <c r="U542" s="18">
        <v>8</v>
      </c>
      <c r="V542" s="18"/>
      <c r="W542" s="18">
        <f t="shared" si="211"/>
        <v>8</v>
      </c>
      <c r="X542" s="18">
        <f t="shared" si="212"/>
        <v>61.25</v>
      </c>
      <c r="Y542" s="31">
        <f t="shared" si="220"/>
        <v>6.1249999999999999E-2</v>
      </c>
      <c r="Z542" s="18">
        <v>0</v>
      </c>
      <c r="AA542" s="18" t="s">
        <v>330</v>
      </c>
      <c r="AB542" s="18" t="s">
        <v>333</v>
      </c>
      <c r="AC542" s="18" t="s">
        <v>335</v>
      </c>
      <c r="AD542" s="18">
        <v>20</v>
      </c>
      <c r="AE542" s="18">
        <v>25</v>
      </c>
      <c r="AF542" s="18" t="s">
        <v>34</v>
      </c>
      <c r="AG542" s="18" t="s">
        <v>34</v>
      </c>
      <c r="AH542" s="18" t="s">
        <v>34</v>
      </c>
      <c r="AI542" s="18" t="s">
        <v>66</v>
      </c>
      <c r="AJ542" s="18" t="s">
        <v>81</v>
      </c>
      <c r="AK542" s="18" t="s">
        <v>100</v>
      </c>
      <c r="AL542" s="18" t="s">
        <v>109</v>
      </c>
      <c r="AM542" s="18" t="s">
        <v>122</v>
      </c>
      <c r="AN542" s="18" t="s">
        <v>126</v>
      </c>
      <c r="AO542" s="18" t="s">
        <v>271</v>
      </c>
      <c r="AP542" s="18"/>
      <c r="AQ542" s="18">
        <f>+VLOOKUP(AI542,Leyenda!$B$30:$E$34,3,FALSE)</f>
        <v>1</v>
      </c>
      <c r="AR542" s="36">
        <f>+VLOOKUP('3. Blasting'!AJ542,Meteorizacion,3,FALSE)</f>
        <v>0</v>
      </c>
      <c r="AS542" s="36">
        <f>+VLOOKUP('3. Blasting'!AK542,Apertura,3,FALSE)</f>
        <v>0</v>
      </c>
      <c r="AT542" s="36">
        <f>+VLOOKUP('3. Blasting'!AL542,Leyenda!$B$55:$D$59,3,FALSE)</f>
        <v>1</v>
      </c>
      <c r="AU542" s="36">
        <f>+VLOOKUP('3. Blasting'!AM542,Relleno,3,FALSE)</f>
        <v>0</v>
      </c>
      <c r="AV542" s="36">
        <f t="shared" si="236"/>
        <v>2</v>
      </c>
      <c r="AW542" s="49">
        <f t="shared" si="227"/>
        <v>0</v>
      </c>
      <c r="AX542" s="49">
        <f>VLOOKUP(AF542,Leyenda!$B$4:$D$10,3,FALSE)</f>
        <v>0</v>
      </c>
      <c r="AY542" s="50">
        <f t="shared" si="224"/>
        <v>5</v>
      </c>
      <c r="AZ542" s="49">
        <f t="shared" si="228"/>
        <v>2</v>
      </c>
      <c r="BA542" s="49">
        <f>VLOOKUP(AN542,Leyenda!$B$70:$D$75,3,FALSE)</f>
        <v>10</v>
      </c>
      <c r="BB542" s="67">
        <f t="shared" si="229"/>
        <v>3</v>
      </c>
      <c r="BC542" s="67">
        <f>VLOOKUP(AF542,Leyenda!$B$4:$E$10,4,FALSE)</f>
        <v>0</v>
      </c>
      <c r="BD542" s="67">
        <f t="shared" si="230"/>
        <v>5</v>
      </c>
      <c r="BE542" s="67">
        <f t="shared" si="231"/>
        <v>0</v>
      </c>
      <c r="BF542" s="67">
        <f>+VLOOKUP('3. Blasting'!AK542,Leyenda!$B$47:$E$51,4,FALSE)</f>
        <v>0</v>
      </c>
      <c r="BG542" s="67">
        <f>+VLOOKUP('3. Blasting'!AL542,Leyenda!$B$55:$E$59,4,FALSE)</f>
        <v>1</v>
      </c>
      <c r="BH542" s="67">
        <f>+VLOOKUP('3. Blasting'!AM542,Leyenda!$B$63:$E$67,3,FALSE)</f>
        <v>0</v>
      </c>
      <c r="BI542" s="67">
        <f>+VLOOKUP('3. Blasting'!AJ542,Leyenda!$B$39:$E$43,4,FALSE)</f>
        <v>0</v>
      </c>
      <c r="BJ542" s="67">
        <f>+VLOOKUP('3. Blasting'!AI542,Leyenda!$B$30:$E$34,4,FALSE)</f>
        <v>1</v>
      </c>
      <c r="BK542" s="67">
        <f>VLOOKUP(AN542,Leyenda!$B$71:$E$75,4,FALSE)</f>
        <v>7</v>
      </c>
      <c r="BL542" s="67">
        <f t="shared" si="232"/>
        <v>14</v>
      </c>
      <c r="BM542" s="18">
        <f t="shared" si="233"/>
        <v>17</v>
      </c>
      <c r="BN542" s="18"/>
      <c r="BO542" s="18"/>
      <c r="BS542">
        <f t="shared" si="221"/>
        <v>-50</v>
      </c>
      <c r="BT542">
        <f t="shared" si="222"/>
        <v>0</v>
      </c>
      <c r="BU542">
        <f t="shared" si="223"/>
        <v>-25</v>
      </c>
      <c r="BV542" s="1">
        <f t="shared" si="218"/>
        <v>-0.1</v>
      </c>
      <c r="BW542" s="1">
        <f t="shared" si="219"/>
        <v>0</v>
      </c>
    </row>
    <row r="543" spans="1:75" hidden="1" x14ac:dyDescent="0.25">
      <c r="A543" s="18" t="s">
        <v>6</v>
      </c>
      <c r="B543" s="18">
        <v>2024</v>
      </c>
      <c r="C543" s="18" t="s">
        <v>138</v>
      </c>
      <c r="D543" s="18" t="s">
        <v>266</v>
      </c>
      <c r="E543" s="18">
        <v>50</v>
      </c>
      <c r="F543" s="18" t="s">
        <v>154</v>
      </c>
      <c r="G543" s="18" t="s">
        <v>298</v>
      </c>
      <c r="H543" s="31">
        <f t="shared" si="216"/>
        <v>17</v>
      </c>
      <c r="I543" s="31">
        <f t="shared" si="217"/>
        <v>17.5</v>
      </c>
      <c r="J543" s="4">
        <f t="shared" si="234"/>
        <v>0.5</v>
      </c>
      <c r="K543" s="32">
        <v>0.96</v>
      </c>
      <c r="L543" s="31">
        <f t="shared" si="225"/>
        <v>0.48</v>
      </c>
      <c r="M543" s="31"/>
      <c r="N543" s="31"/>
      <c r="O543" s="18">
        <f t="shared" si="226"/>
        <v>0.48</v>
      </c>
      <c r="P543" s="18">
        <v>24</v>
      </c>
      <c r="Q543" s="18">
        <v>20</v>
      </c>
      <c r="R543" s="18">
        <v>0.31</v>
      </c>
      <c r="S543" s="18">
        <v>0</v>
      </c>
      <c r="T543" s="65">
        <f t="shared" si="235"/>
        <v>0</v>
      </c>
      <c r="U543" s="18">
        <v>3</v>
      </c>
      <c r="V543" s="18"/>
      <c r="W543" s="18">
        <f t="shared" si="211"/>
        <v>3</v>
      </c>
      <c r="X543" s="18">
        <f t="shared" si="212"/>
        <v>103.33333333333333</v>
      </c>
      <c r="Y543" s="31">
        <f t="shared" si="220"/>
        <v>0.10333333333333333</v>
      </c>
      <c r="Z543" s="18">
        <v>0</v>
      </c>
      <c r="AA543" s="18" t="s">
        <v>330</v>
      </c>
      <c r="AB543" s="18" t="s">
        <v>333</v>
      </c>
      <c r="AC543" s="18" t="s">
        <v>335</v>
      </c>
      <c r="AD543" s="18">
        <v>20</v>
      </c>
      <c r="AE543" s="18">
        <v>24</v>
      </c>
      <c r="AF543" s="18" t="s">
        <v>34</v>
      </c>
      <c r="AG543" s="18" t="s">
        <v>34</v>
      </c>
      <c r="AH543" s="18" t="s">
        <v>34</v>
      </c>
      <c r="AI543" s="18" t="s">
        <v>66</v>
      </c>
      <c r="AJ543" s="18" t="s">
        <v>79</v>
      </c>
      <c r="AK543" s="18" t="s">
        <v>100</v>
      </c>
      <c r="AL543" s="18" t="s">
        <v>111</v>
      </c>
      <c r="AM543" s="18" t="s">
        <v>122</v>
      </c>
      <c r="AN543" s="18" t="s">
        <v>126</v>
      </c>
      <c r="AO543" s="18" t="s">
        <v>273</v>
      </c>
      <c r="AP543" s="18"/>
      <c r="AQ543" s="18">
        <f>+VLOOKUP(AI543,Leyenda!$B$30:$E$34,3,FALSE)</f>
        <v>1</v>
      </c>
      <c r="AR543" s="36">
        <f>+VLOOKUP('3. Blasting'!AJ543,Meteorizacion,3,FALSE)</f>
        <v>1</v>
      </c>
      <c r="AS543" s="36">
        <f>+VLOOKUP('3. Blasting'!AK543,Apertura,3,FALSE)</f>
        <v>0</v>
      </c>
      <c r="AT543" s="36">
        <f>+VLOOKUP('3. Blasting'!AL543,Leyenda!$B$55:$D$59,3,FALSE)</f>
        <v>0</v>
      </c>
      <c r="AU543" s="36">
        <f>+VLOOKUP('3. Blasting'!AM543,Relleno,3,FALSE)</f>
        <v>0</v>
      </c>
      <c r="AV543" s="36">
        <f t="shared" si="236"/>
        <v>2</v>
      </c>
      <c r="AW543" s="49">
        <f t="shared" si="227"/>
        <v>0</v>
      </c>
      <c r="AX543" s="49">
        <f>VLOOKUP(AF543,Leyenda!$B$4:$D$10,3,FALSE)</f>
        <v>0</v>
      </c>
      <c r="AY543" s="50">
        <f t="shared" si="224"/>
        <v>4</v>
      </c>
      <c r="AZ543" s="49">
        <f t="shared" si="228"/>
        <v>2</v>
      </c>
      <c r="BA543" s="49">
        <f>VLOOKUP(AN543,Leyenda!$B$70:$D$75,3,FALSE)</f>
        <v>10</v>
      </c>
      <c r="BB543" s="67">
        <f t="shared" si="229"/>
        <v>3</v>
      </c>
      <c r="BC543" s="67">
        <f>VLOOKUP(AF543,Leyenda!$B$4:$E$10,4,FALSE)</f>
        <v>0</v>
      </c>
      <c r="BD543" s="67">
        <f t="shared" si="230"/>
        <v>8</v>
      </c>
      <c r="BE543" s="67">
        <f t="shared" si="231"/>
        <v>0</v>
      </c>
      <c r="BF543" s="67">
        <f>+VLOOKUP('3. Blasting'!AK543,Leyenda!$B$47:$E$51,4,FALSE)</f>
        <v>0</v>
      </c>
      <c r="BG543" s="67">
        <f>+VLOOKUP('3. Blasting'!AL543,Leyenda!$B$55:$E$59,4,FALSE)</f>
        <v>0</v>
      </c>
      <c r="BH543" s="67">
        <f>+VLOOKUP('3. Blasting'!AM543,Leyenda!$B$63:$E$67,3,FALSE)</f>
        <v>0</v>
      </c>
      <c r="BI543" s="67">
        <f>+VLOOKUP('3. Blasting'!AJ543,Leyenda!$B$39:$E$43,4,FALSE)</f>
        <v>1</v>
      </c>
      <c r="BJ543" s="67">
        <f>+VLOOKUP('3. Blasting'!AI543,Leyenda!$B$30:$E$34,4,FALSE)</f>
        <v>1</v>
      </c>
      <c r="BK543" s="67">
        <f>VLOOKUP(AN543,Leyenda!$B$71:$E$75,4,FALSE)</f>
        <v>7</v>
      </c>
      <c r="BL543" s="67">
        <f t="shared" si="232"/>
        <v>17</v>
      </c>
      <c r="BM543" s="18">
        <f t="shared" si="233"/>
        <v>16</v>
      </c>
      <c r="BN543" s="18"/>
      <c r="BO543" s="18"/>
      <c r="BS543">
        <f t="shared" si="221"/>
        <v>-50</v>
      </c>
      <c r="BT543">
        <f t="shared" si="222"/>
        <v>0</v>
      </c>
      <c r="BU543">
        <f t="shared" si="223"/>
        <v>-25</v>
      </c>
      <c r="BV543" s="1">
        <f t="shared" si="218"/>
        <v>-0.1</v>
      </c>
      <c r="BW543" s="1">
        <f t="shared" si="219"/>
        <v>0</v>
      </c>
    </row>
    <row r="544" spans="1:75" hidden="1" x14ac:dyDescent="0.25">
      <c r="A544" s="18" t="s">
        <v>6</v>
      </c>
      <c r="B544" s="18">
        <v>2024</v>
      </c>
      <c r="C544" s="18" t="s">
        <v>138</v>
      </c>
      <c r="D544" s="18" t="s">
        <v>266</v>
      </c>
      <c r="E544" s="18">
        <v>50</v>
      </c>
      <c r="F544" s="18" t="s">
        <v>154</v>
      </c>
      <c r="G544" s="18" t="s">
        <v>298</v>
      </c>
      <c r="H544" s="31">
        <f t="shared" si="216"/>
        <v>17.5</v>
      </c>
      <c r="I544" s="31">
        <f t="shared" si="217"/>
        <v>18</v>
      </c>
      <c r="J544" s="4">
        <f t="shared" si="234"/>
        <v>0.5</v>
      </c>
      <c r="K544" s="32">
        <v>0.76</v>
      </c>
      <c r="L544" s="31">
        <f t="shared" si="225"/>
        <v>0.38</v>
      </c>
      <c r="M544" s="31"/>
      <c r="N544" s="31"/>
      <c r="O544" s="18">
        <f t="shared" si="226"/>
        <v>0.38</v>
      </c>
      <c r="P544" s="18">
        <v>19</v>
      </c>
      <c r="Q544" s="18">
        <v>20</v>
      </c>
      <c r="R544" s="18">
        <v>0.31</v>
      </c>
      <c r="S544" s="18">
        <v>0.18</v>
      </c>
      <c r="T544" s="65">
        <f t="shared" si="235"/>
        <v>36</v>
      </c>
      <c r="U544" s="18">
        <v>4</v>
      </c>
      <c r="V544" s="18"/>
      <c r="W544" s="18">
        <f t="shared" si="211"/>
        <v>4</v>
      </c>
      <c r="X544" s="18">
        <f t="shared" si="212"/>
        <v>77.5</v>
      </c>
      <c r="Y544" s="31">
        <f t="shared" si="220"/>
        <v>7.7499999999999999E-2</v>
      </c>
      <c r="Z544" s="18">
        <v>0</v>
      </c>
      <c r="AA544" s="18" t="s">
        <v>330</v>
      </c>
      <c r="AB544" s="18" t="s">
        <v>333</v>
      </c>
      <c r="AC544" s="18" t="s">
        <v>335</v>
      </c>
      <c r="AD544" s="18">
        <v>20</v>
      </c>
      <c r="AE544" s="18">
        <v>19</v>
      </c>
      <c r="AF544" s="18" t="s">
        <v>34</v>
      </c>
      <c r="AG544" s="18" t="s">
        <v>34</v>
      </c>
      <c r="AH544" s="18" t="s">
        <v>34</v>
      </c>
      <c r="AI544" s="18" t="s">
        <v>66</v>
      </c>
      <c r="AJ544" s="18" t="s">
        <v>79</v>
      </c>
      <c r="AK544" s="18" t="s">
        <v>100</v>
      </c>
      <c r="AL544" s="18" t="s">
        <v>111</v>
      </c>
      <c r="AM544" s="18" t="s">
        <v>122</v>
      </c>
      <c r="AN544" s="18" t="s">
        <v>126</v>
      </c>
      <c r="AO544" s="36" t="s">
        <v>273</v>
      </c>
      <c r="AP544" s="36"/>
      <c r="AQ544" s="18">
        <f>+VLOOKUP(AI544,Leyenda!$B$30:$E$34,3,FALSE)</f>
        <v>1</v>
      </c>
      <c r="AR544" s="36">
        <f>+VLOOKUP('3. Blasting'!AJ544,Meteorizacion,3,FALSE)</f>
        <v>1</v>
      </c>
      <c r="AS544" s="36">
        <f>+VLOOKUP('3. Blasting'!AK544,Apertura,3,FALSE)</f>
        <v>0</v>
      </c>
      <c r="AT544" s="36">
        <f>+VLOOKUP('3. Blasting'!AL544,Leyenda!$B$55:$D$59,3,FALSE)</f>
        <v>0</v>
      </c>
      <c r="AU544" s="36">
        <f>+VLOOKUP('3. Blasting'!AM544,Relleno,3,FALSE)</f>
        <v>0</v>
      </c>
      <c r="AV544" s="36">
        <f t="shared" si="236"/>
        <v>2</v>
      </c>
      <c r="AW544" s="49">
        <f t="shared" si="227"/>
        <v>0</v>
      </c>
      <c r="AX544" s="49">
        <f>VLOOKUP(AF544,Leyenda!$B$4:$D$10,3,FALSE)</f>
        <v>0</v>
      </c>
      <c r="AY544" s="50">
        <f t="shared" si="224"/>
        <v>4</v>
      </c>
      <c r="AZ544" s="49">
        <f t="shared" si="228"/>
        <v>2</v>
      </c>
      <c r="BA544" s="49">
        <f>VLOOKUP(AN544,Leyenda!$B$70:$D$75,3,FALSE)</f>
        <v>10</v>
      </c>
      <c r="BB544" s="67">
        <f t="shared" si="229"/>
        <v>21</v>
      </c>
      <c r="BC544" s="67">
        <f>VLOOKUP(AF544,Leyenda!$B$4:$E$10,4,FALSE)</f>
        <v>0</v>
      </c>
      <c r="BD544" s="67">
        <f t="shared" si="230"/>
        <v>7</v>
      </c>
      <c r="BE544" s="67">
        <f t="shared" si="231"/>
        <v>8</v>
      </c>
      <c r="BF544" s="67">
        <f>+VLOOKUP('3. Blasting'!AK544,Leyenda!$B$47:$E$51,4,FALSE)</f>
        <v>0</v>
      </c>
      <c r="BG544" s="67">
        <f>+VLOOKUP('3. Blasting'!AL544,Leyenda!$B$55:$E$59,4,FALSE)</f>
        <v>0</v>
      </c>
      <c r="BH544" s="67">
        <f>+VLOOKUP('3. Blasting'!AM544,Leyenda!$B$63:$E$67,3,FALSE)</f>
        <v>0</v>
      </c>
      <c r="BI544" s="67">
        <f>+VLOOKUP('3. Blasting'!AJ544,Leyenda!$B$39:$E$43,4,FALSE)</f>
        <v>1</v>
      </c>
      <c r="BJ544" s="67">
        <f>+VLOOKUP('3. Blasting'!AI544,Leyenda!$B$30:$E$34,4,FALSE)</f>
        <v>1</v>
      </c>
      <c r="BK544" s="67">
        <f>VLOOKUP(AN544,Leyenda!$B$71:$E$75,4,FALSE)</f>
        <v>7</v>
      </c>
      <c r="BL544" s="67">
        <f t="shared" si="232"/>
        <v>24</v>
      </c>
      <c r="BM544" s="18">
        <f t="shared" si="233"/>
        <v>16</v>
      </c>
      <c r="BN544" s="18"/>
      <c r="BO544" s="18"/>
      <c r="BS544">
        <f t="shared" si="221"/>
        <v>-50</v>
      </c>
      <c r="BT544">
        <f t="shared" si="222"/>
        <v>0</v>
      </c>
      <c r="BU544">
        <f t="shared" si="223"/>
        <v>-25</v>
      </c>
      <c r="BV544" s="1">
        <f t="shared" si="218"/>
        <v>-0.1</v>
      </c>
      <c r="BW544" s="1">
        <f t="shared" si="219"/>
        <v>0</v>
      </c>
    </row>
    <row r="545" spans="1:75" hidden="1" x14ac:dyDescent="0.25">
      <c r="A545" s="18" t="s">
        <v>6</v>
      </c>
      <c r="B545" s="18">
        <v>2024</v>
      </c>
      <c r="C545" s="18" t="s">
        <v>138</v>
      </c>
      <c r="D545" s="18" t="s">
        <v>266</v>
      </c>
      <c r="E545" s="18">
        <v>50</v>
      </c>
      <c r="F545" s="18" t="s">
        <v>154</v>
      </c>
      <c r="G545" s="18" t="s">
        <v>298</v>
      </c>
      <c r="H545" s="31">
        <f t="shared" si="216"/>
        <v>18</v>
      </c>
      <c r="I545" s="31">
        <f t="shared" si="217"/>
        <v>18.5</v>
      </c>
      <c r="J545" s="4">
        <f t="shared" si="234"/>
        <v>0.5</v>
      </c>
      <c r="K545" s="32">
        <v>0.84</v>
      </c>
      <c r="L545" s="31">
        <f t="shared" si="225"/>
        <v>0.42</v>
      </c>
      <c r="M545" s="31"/>
      <c r="N545" s="31"/>
      <c r="O545" s="18">
        <f t="shared" si="226"/>
        <v>0.42</v>
      </c>
      <c r="P545" s="18">
        <v>21</v>
      </c>
      <c r="Q545" s="18">
        <v>20</v>
      </c>
      <c r="R545" s="18">
        <v>0.39</v>
      </c>
      <c r="S545" s="18">
        <v>0.16</v>
      </c>
      <c r="T545" s="65">
        <f t="shared" si="235"/>
        <v>32</v>
      </c>
      <c r="U545" s="18">
        <v>3</v>
      </c>
      <c r="V545" s="18"/>
      <c r="W545" s="18">
        <f t="shared" si="211"/>
        <v>3</v>
      </c>
      <c r="X545" s="18">
        <f t="shared" si="212"/>
        <v>130</v>
      </c>
      <c r="Y545" s="31">
        <f t="shared" si="220"/>
        <v>0.13</v>
      </c>
      <c r="Z545" s="18">
        <v>0</v>
      </c>
      <c r="AA545" s="18" t="s">
        <v>330</v>
      </c>
      <c r="AB545" s="18" t="s">
        <v>333</v>
      </c>
      <c r="AC545" s="18" t="s">
        <v>335</v>
      </c>
      <c r="AD545" s="18">
        <v>20</v>
      </c>
      <c r="AE545" s="18">
        <v>21</v>
      </c>
      <c r="AF545" s="18" t="s">
        <v>34</v>
      </c>
      <c r="AG545" s="18" t="s">
        <v>34</v>
      </c>
      <c r="AH545" s="18" t="s">
        <v>34</v>
      </c>
      <c r="AI545" s="18" t="s">
        <v>66</v>
      </c>
      <c r="AJ545" s="18" t="s">
        <v>79</v>
      </c>
      <c r="AK545" s="18" t="s">
        <v>100</v>
      </c>
      <c r="AL545" s="18" t="s">
        <v>111</v>
      </c>
      <c r="AM545" s="18" t="s">
        <v>122</v>
      </c>
      <c r="AN545" s="18" t="s">
        <v>126</v>
      </c>
      <c r="AO545" s="18" t="s">
        <v>274</v>
      </c>
      <c r="AP545" s="18"/>
      <c r="AQ545" s="18">
        <f>+VLOOKUP(AI545,Leyenda!$B$30:$E$34,3,FALSE)</f>
        <v>1</v>
      </c>
      <c r="AR545" s="36">
        <f>+VLOOKUP('3. Blasting'!AJ545,Meteorizacion,3,FALSE)</f>
        <v>1</v>
      </c>
      <c r="AS545" s="36">
        <f>+VLOOKUP('3. Blasting'!AK545,Apertura,3,FALSE)</f>
        <v>0</v>
      </c>
      <c r="AT545" s="36">
        <f>+VLOOKUP('3. Blasting'!AL545,Leyenda!$B$55:$D$59,3,FALSE)</f>
        <v>0</v>
      </c>
      <c r="AU545" s="36">
        <f>+VLOOKUP('3. Blasting'!AM545,Relleno,3,FALSE)</f>
        <v>0</v>
      </c>
      <c r="AV545" s="36">
        <f t="shared" si="236"/>
        <v>2</v>
      </c>
      <c r="AW545" s="49">
        <f t="shared" si="227"/>
        <v>0</v>
      </c>
      <c r="AX545" s="49">
        <f>VLOOKUP(AF545,Leyenda!$B$4:$D$10,3,FALSE)</f>
        <v>0</v>
      </c>
      <c r="AY545" s="50">
        <f t="shared" si="224"/>
        <v>4</v>
      </c>
      <c r="AZ545" s="49">
        <f t="shared" si="228"/>
        <v>2</v>
      </c>
      <c r="BA545" s="49">
        <f>VLOOKUP(AN545,Leyenda!$B$70:$D$75,3,FALSE)</f>
        <v>10</v>
      </c>
      <c r="BB545" s="67">
        <f t="shared" si="229"/>
        <v>19</v>
      </c>
      <c r="BC545" s="67">
        <f>VLOOKUP(AF545,Leyenda!$B$4:$E$10,4,FALSE)</f>
        <v>0</v>
      </c>
      <c r="BD545" s="67">
        <f t="shared" si="230"/>
        <v>10</v>
      </c>
      <c r="BE545" s="67">
        <f t="shared" si="231"/>
        <v>7</v>
      </c>
      <c r="BF545" s="67">
        <f>+VLOOKUP('3. Blasting'!AK545,Leyenda!$B$47:$E$51,4,FALSE)</f>
        <v>0</v>
      </c>
      <c r="BG545" s="67">
        <f>+VLOOKUP('3. Blasting'!AL545,Leyenda!$B$55:$E$59,4,FALSE)</f>
        <v>0</v>
      </c>
      <c r="BH545" s="67">
        <f>+VLOOKUP('3. Blasting'!AM545,Leyenda!$B$63:$E$67,3,FALSE)</f>
        <v>0</v>
      </c>
      <c r="BI545" s="67">
        <f>+VLOOKUP('3. Blasting'!AJ545,Leyenda!$B$39:$E$43,4,FALSE)</f>
        <v>1</v>
      </c>
      <c r="BJ545" s="67">
        <f>+VLOOKUP('3. Blasting'!AI545,Leyenda!$B$30:$E$34,4,FALSE)</f>
        <v>1</v>
      </c>
      <c r="BK545" s="67">
        <f>VLOOKUP(AN545,Leyenda!$B$71:$E$75,4,FALSE)</f>
        <v>7</v>
      </c>
      <c r="BL545" s="67">
        <f t="shared" si="232"/>
        <v>26</v>
      </c>
      <c r="BM545" s="18">
        <f t="shared" si="233"/>
        <v>16</v>
      </c>
      <c r="BN545" s="18"/>
      <c r="BO545" s="18"/>
      <c r="BS545">
        <f t="shared" si="221"/>
        <v>-50</v>
      </c>
      <c r="BT545">
        <f t="shared" si="222"/>
        <v>0</v>
      </c>
      <c r="BU545">
        <f t="shared" si="223"/>
        <v>-25</v>
      </c>
      <c r="BV545" s="1">
        <f t="shared" si="218"/>
        <v>-0.1</v>
      </c>
      <c r="BW545" s="1">
        <f t="shared" si="219"/>
        <v>0</v>
      </c>
    </row>
    <row r="546" spans="1:75" hidden="1" x14ac:dyDescent="0.25">
      <c r="A546" s="18" t="s">
        <v>6</v>
      </c>
      <c r="B546" s="18">
        <v>2024</v>
      </c>
      <c r="C546" s="18" t="s">
        <v>138</v>
      </c>
      <c r="D546" s="18" t="s">
        <v>266</v>
      </c>
      <c r="E546" s="18">
        <v>50</v>
      </c>
      <c r="F546" s="18" t="s">
        <v>154</v>
      </c>
      <c r="G546" s="18" t="s">
        <v>298</v>
      </c>
      <c r="H546" s="31">
        <f t="shared" si="216"/>
        <v>18.5</v>
      </c>
      <c r="I546" s="31">
        <f t="shared" si="217"/>
        <v>19</v>
      </c>
      <c r="J546" s="4">
        <f t="shared" si="234"/>
        <v>0.5</v>
      </c>
      <c r="K546" s="32">
        <v>0.9</v>
      </c>
      <c r="L546" s="31">
        <f t="shared" si="225"/>
        <v>0.45</v>
      </c>
      <c r="M546" s="31"/>
      <c r="N546" s="31"/>
      <c r="O546" s="18">
        <f t="shared" si="226"/>
        <v>0.45</v>
      </c>
      <c r="P546" s="18">
        <v>22.5</v>
      </c>
      <c r="Q546" s="18">
        <v>20</v>
      </c>
      <c r="R546" s="18">
        <v>0.35</v>
      </c>
      <c r="S546" s="18">
        <v>0.15</v>
      </c>
      <c r="T546" s="65">
        <f t="shared" si="235"/>
        <v>30</v>
      </c>
      <c r="U546" s="18">
        <v>4</v>
      </c>
      <c r="V546" s="18"/>
      <c r="W546" s="18">
        <f t="shared" si="211"/>
        <v>4</v>
      </c>
      <c r="X546" s="18">
        <f t="shared" si="212"/>
        <v>87.5</v>
      </c>
      <c r="Y546" s="31">
        <f t="shared" si="220"/>
        <v>8.7499999999999994E-2</v>
      </c>
      <c r="Z546" s="18">
        <v>0</v>
      </c>
      <c r="AA546" s="18" t="s">
        <v>330</v>
      </c>
      <c r="AB546" s="18" t="s">
        <v>333</v>
      </c>
      <c r="AC546" s="18" t="s">
        <v>335</v>
      </c>
      <c r="AD546" s="18">
        <v>20</v>
      </c>
      <c r="AE546" s="18">
        <v>22.5</v>
      </c>
      <c r="AF546" s="18" t="s">
        <v>34</v>
      </c>
      <c r="AG546" s="18" t="s">
        <v>34</v>
      </c>
      <c r="AH546" s="18" t="s">
        <v>34</v>
      </c>
      <c r="AI546" s="18" t="s">
        <v>66</v>
      </c>
      <c r="AJ546" s="18" t="s">
        <v>79</v>
      </c>
      <c r="AK546" s="18" t="s">
        <v>100</v>
      </c>
      <c r="AL546" s="18" t="s">
        <v>111</v>
      </c>
      <c r="AM546" s="18" t="s">
        <v>122</v>
      </c>
      <c r="AN546" s="18" t="s">
        <v>573</v>
      </c>
      <c r="AO546" s="18" t="s">
        <v>273</v>
      </c>
      <c r="AP546" s="18"/>
      <c r="AQ546" s="18">
        <f>+VLOOKUP(AI546,Leyenda!$B$30:$E$34,3,FALSE)</f>
        <v>1</v>
      </c>
      <c r="AR546" s="36">
        <f>+VLOOKUP('3. Blasting'!AJ546,Meteorizacion,3,FALSE)</f>
        <v>1</v>
      </c>
      <c r="AS546" s="36">
        <f>+VLOOKUP('3. Blasting'!AK546,Apertura,3,FALSE)</f>
        <v>0</v>
      </c>
      <c r="AT546" s="36">
        <f>+VLOOKUP('3. Blasting'!AL546,Leyenda!$B$55:$D$59,3,FALSE)</f>
        <v>0</v>
      </c>
      <c r="AU546" s="36">
        <f>+VLOOKUP('3. Blasting'!AM546,Relleno,3,FALSE)</f>
        <v>0</v>
      </c>
      <c r="AV546" s="36">
        <f t="shared" si="236"/>
        <v>2</v>
      </c>
      <c r="AW546" s="49">
        <f t="shared" si="227"/>
        <v>0</v>
      </c>
      <c r="AX546" s="49">
        <f>VLOOKUP(AF546,Leyenda!$B$4:$D$10,3,FALSE)</f>
        <v>0</v>
      </c>
      <c r="AY546" s="50">
        <f t="shared" si="224"/>
        <v>4</v>
      </c>
      <c r="AZ546" s="49">
        <f t="shared" si="228"/>
        <v>2</v>
      </c>
      <c r="BA546" s="49">
        <f>VLOOKUP(AN546,Leyenda!$B$70:$D$75,3,FALSE)</f>
        <v>7</v>
      </c>
      <c r="BB546" s="67">
        <f t="shared" si="229"/>
        <v>18</v>
      </c>
      <c r="BC546" s="67">
        <f>VLOOKUP(AF546,Leyenda!$B$4:$E$10,4,FALSE)</f>
        <v>0</v>
      </c>
      <c r="BD546" s="67">
        <f t="shared" si="230"/>
        <v>7</v>
      </c>
      <c r="BE546" s="67">
        <f t="shared" si="231"/>
        <v>6</v>
      </c>
      <c r="BF546" s="67">
        <f>+VLOOKUP('3. Blasting'!AK546,Leyenda!$B$47:$E$51,4,FALSE)</f>
        <v>0</v>
      </c>
      <c r="BG546" s="67">
        <f>+VLOOKUP('3. Blasting'!AL546,Leyenda!$B$55:$E$59,4,FALSE)</f>
        <v>0</v>
      </c>
      <c r="BH546" s="67">
        <f>+VLOOKUP('3. Blasting'!AM546,Leyenda!$B$63:$E$67,3,FALSE)</f>
        <v>0</v>
      </c>
      <c r="BI546" s="67">
        <f>+VLOOKUP('3. Blasting'!AJ546,Leyenda!$B$39:$E$43,4,FALSE)</f>
        <v>1</v>
      </c>
      <c r="BJ546" s="67">
        <f>+VLOOKUP('3. Blasting'!AI546,Leyenda!$B$30:$E$34,4,FALSE)</f>
        <v>1</v>
      </c>
      <c r="BK546" s="67">
        <f>VLOOKUP(AN546,Leyenda!$B$71:$E$75,4,FALSE)</f>
        <v>5</v>
      </c>
      <c r="BL546" s="67">
        <f t="shared" si="232"/>
        <v>20</v>
      </c>
      <c r="BM546" s="18">
        <f t="shared" si="233"/>
        <v>13</v>
      </c>
      <c r="BN546" s="18"/>
      <c r="BO546" s="18"/>
      <c r="BS546">
        <f t="shared" si="221"/>
        <v>-50</v>
      </c>
      <c r="BT546">
        <f t="shared" si="222"/>
        <v>0</v>
      </c>
      <c r="BU546">
        <f t="shared" si="223"/>
        <v>-25</v>
      </c>
      <c r="BV546" s="1">
        <f t="shared" si="218"/>
        <v>-0.1</v>
      </c>
      <c r="BW546" s="1">
        <f t="shared" si="219"/>
        <v>0</v>
      </c>
    </row>
    <row r="547" spans="1:75" hidden="1" x14ac:dyDescent="0.25">
      <c r="A547" s="18" t="s">
        <v>6</v>
      </c>
      <c r="B547" s="18">
        <v>2024</v>
      </c>
      <c r="C547" s="18" t="s">
        <v>138</v>
      </c>
      <c r="D547" s="18" t="s">
        <v>266</v>
      </c>
      <c r="E547" s="18">
        <v>50</v>
      </c>
      <c r="F547" s="18" t="s">
        <v>154</v>
      </c>
      <c r="G547" s="18" t="s">
        <v>298</v>
      </c>
      <c r="H547" s="31">
        <f t="shared" si="216"/>
        <v>19</v>
      </c>
      <c r="I547" s="31">
        <f t="shared" si="217"/>
        <v>19.5</v>
      </c>
      <c r="J547" s="4">
        <f t="shared" si="234"/>
        <v>0.5</v>
      </c>
      <c r="K547" s="32">
        <v>0.84</v>
      </c>
      <c r="L547" s="31">
        <f t="shared" si="225"/>
        <v>0.42</v>
      </c>
      <c r="M547" s="31"/>
      <c r="N547" s="31"/>
      <c r="O547" s="18">
        <f t="shared" si="226"/>
        <v>0.42</v>
      </c>
      <c r="P547" s="18">
        <v>21</v>
      </c>
      <c r="Q547" s="18">
        <v>20</v>
      </c>
      <c r="R547" s="18">
        <v>0.41</v>
      </c>
      <c r="S547" s="18">
        <v>0.34</v>
      </c>
      <c r="T547" s="65">
        <f t="shared" si="235"/>
        <v>68</v>
      </c>
      <c r="U547" s="18">
        <v>2</v>
      </c>
      <c r="V547" s="18"/>
      <c r="W547" s="18">
        <f t="shared" si="211"/>
        <v>2</v>
      </c>
      <c r="X547" s="18">
        <f t="shared" si="212"/>
        <v>205</v>
      </c>
      <c r="Y547" s="31">
        <f t="shared" si="220"/>
        <v>0.20499999999999999</v>
      </c>
      <c r="Z547" s="18">
        <v>0</v>
      </c>
      <c r="AA547" s="18" t="s">
        <v>330</v>
      </c>
      <c r="AB547" s="18" t="s">
        <v>333</v>
      </c>
      <c r="AC547" s="18" t="s">
        <v>335</v>
      </c>
      <c r="AD547" s="18">
        <v>20</v>
      </c>
      <c r="AE547" s="18">
        <v>21</v>
      </c>
      <c r="AF547" s="18" t="s">
        <v>34</v>
      </c>
      <c r="AG547" s="18" t="s">
        <v>34</v>
      </c>
      <c r="AH547" s="18" t="s">
        <v>34</v>
      </c>
      <c r="AI547" s="18" t="s">
        <v>66</v>
      </c>
      <c r="AJ547" s="18" t="s">
        <v>79</v>
      </c>
      <c r="AK547" s="18" t="s">
        <v>100</v>
      </c>
      <c r="AL547" s="18" t="s">
        <v>111</v>
      </c>
      <c r="AM547" s="18" t="s">
        <v>122</v>
      </c>
      <c r="AN547" s="18" t="s">
        <v>573</v>
      </c>
      <c r="AO547" s="18" t="s">
        <v>273</v>
      </c>
      <c r="AP547" s="18"/>
      <c r="AQ547" s="18">
        <f>+VLOOKUP(AI547,Leyenda!$B$30:$E$34,3,FALSE)</f>
        <v>1</v>
      </c>
      <c r="AR547" s="36">
        <f>+VLOOKUP('3. Blasting'!AJ547,Meteorizacion,3,FALSE)</f>
        <v>1</v>
      </c>
      <c r="AS547" s="36">
        <f>+VLOOKUP('3. Blasting'!AK547,Apertura,3,FALSE)</f>
        <v>0</v>
      </c>
      <c r="AT547" s="36">
        <f>+VLOOKUP('3. Blasting'!AL547,Leyenda!$B$55:$D$59,3,FALSE)</f>
        <v>0</v>
      </c>
      <c r="AU547" s="36">
        <f>+VLOOKUP('3. Blasting'!AM547,Relleno,3,FALSE)</f>
        <v>0</v>
      </c>
      <c r="AV547" s="36">
        <f t="shared" si="236"/>
        <v>2</v>
      </c>
      <c r="AW547" s="49">
        <f t="shared" si="227"/>
        <v>0</v>
      </c>
      <c r="AX547" s="49">
        <f>VLOOKUP(AF547,Leyenda!$B$4:$D$10,3,FALSE)</f>
        <v>0</v>
      </c>
      <c r="AY547" s="50">
        <f t="shared" si="224"/>
        <v>4</v>
      </c>
      <c r="AZ547" s="49">
        <f t="shared" si="228"/>
        <v>2</v>
      </c>
      <c r="BA547" s="49">
        <f>VLOOKUP(AN547,Leyenda!$B$70:$D$75,3,FALSE)</f>
        <v>7</v>
      </c>
      <c r="BB547" s="67">
        <f t="shared" si="229"/>
        <v>37</v>
      </c>
      <c r="BC547" s="67">
        <f>VLOOKUP(AF547,Leyenda!$B$4:$E$10,4,FALSE)</f>
        <v>0</v>
      </c>
      <c r="BD547" s="67">
        <f t="shared" si="230"/>
        <v>13</v>
      </c>
      <c r="BE547" s="67">
        <f t="shared" si="231"/>
        <v>14</v>
      </c>
      <c r="BF547" s="67">
        <f>+VLOOKUP('3. Blasting'!AK547,Leyenda!$B$47:$E$51,4,FALSE)</f>
        <v>0</v>
      </c>
      <c r="BG547" s="67">
        <f>+VLOOKUP('3. Blasting'!AL547,Leyenda!$B$55:$E$59,4,FALSE)</f>
        <v>0</v>
      </c>
      <c r="BH547" s="67">
        <f>+VLOOKUP('3. Blasting'!AM547,Leyenda!$B$63:$E$67,3,FALSE)</f>
        <v>0</v>
      </c>
      <c r="BI547" s="67">
        <f>+VLOOKUP('3. Blasting'!AJ547,Leyenda!$B$39:$E$43,4,FALSE)</f>
        <v>1</v>
      </c>
      <c r="BJ547" s="67">
        <f>+VLOOKUP('3. Blasting'!AI547,Leyenda!$B$30:$E$34,4,FALSE)</f>
        <v>1</v>
      </c>
      <c r="BK547" s="67">
        <f>VLOOKUP(AN547,Leyenda!$B$71:$E$75,4,FALSE)</f>
        <v>5</v>
      </c>
      <c r="BL547" s="67">
        <f t="shared" si="232"/>
        <v>34</v>
      </c>
      <c r="BM547" s="18">
        <f t="shared" si="233"/>
        <v>13</v>
      </c>
      <c r="BN547" s="18"/>
      <c r="BO547" s="18"/>
      <c r="BS547">
        <f t="shared" si="221"/>
        <v>-50</v>
      </c>
      <c r="BT547">
        <f t="shared" si="222"/>
        <v>0</v>
      </c>
      <c r="BU547">
        <f t="shared" si="223"/>
        <v>-25</v>
      </c>
      <c r="BV547" s="1">
        <f t="shared" si="218"/>
        <v>-0.1</v>
      </c>
      <c r="BW547" s="1">
        <f t="shared" si="219"/>
        <v>0</v>
      </c>
    </row>
    <row r="548" spans="1:75" hidden="1" x14ac:dyDescent="0.25">
      <c r="A548" s="18" t="s">
        <v>6</v>
      </c>
      <c r="B548" s="18">
        <v>2024</v>
      </c>
      <c r="C548" s="18" t="s">
        <v>138</v>
      </c>
      <c r="D548" s="18" t="s">
        <v>266</v>
      </c>
      <c r="E548" s="18">
        <v>50</v>
      </c>
      <c r="F548" s="18" t="s">
        <v>154</v>
      </c>
      <c r="G548" s="18" t="s">
        <v>298</v>
      </c>
      <c r="H548" s="31">
        <f t="shared" si="216"/>
        <v>19.5</v>
      </c>
      <c r="I548" s="31">
        <f t="shared" si="217"/>
        <v>20</v>
      </c>
      <c r="J548" s="4">
        <f t="shared" si="234"/>
        <v>0.5</v>
      </c>
      <c r="K548" s="32">
        <v>0.72</v>
      </c>
      <c r="L548" s="31">
        <f t="shared" si="225"/>
        <v>0.36</v>
      </c>
      <c r="M548" s="31"/>
      <c r="N548" s="31"/>
      <c r="O548" s="18">
        <f t="shared" si="226"/>
        <v>0.36</v>
      </c>
      <c r="P548" s="18">
        <v>18</v>
      </c>
      <c r="Q548" s="18">
        <v>20</v>
      </c>
      <c r="R548" s="18">
        <v>0.31</v>
      </c>
      <c r="S548" s="18">
        <v>0</v>
      </c>
      <c r="T548" s="65">
        <f t="shared" si="235"/>
        <v>0</v>
      </c>
      <c r="U548" s="18">
        <v>4</v>
      </c>
      <c r="V548" s="18"/>
      <c r="W548" s="18">
        <f t="shared" si="211"/>
        <v>4</v>
      </c>
      <c r="X548" s="18">
        <f t="shared" si="212"/>
        <v>77.5</v>
      </c>
      <c r="Y548" s="31">
        <f t="shared" si="220"/>
        <v>7.7499999999999999E-2</v>
      </c>
      <c r="Z548" s="18">
        <v>0</v>
      </c>
      <c r="AA548" s="18" t="s">
        <v>330</v>
      </c>
      <c r="AB548" s="18" t="s">
        <v>333</v>
      </c>
      <c r="AC548" s="18" t="s">
        <v>335</v>
      </c>
      <c r="AD548" s="18">
        <v>20</v>
      </c>
      <c r="AE548" s="18">
        <v>18</v>
      </c>
      <c r="AF548" s="18" t="s">
        <v>34</v>
      </c>
      <c r="AG548" s="18" t="s">
        <v>34</v>
      </c>
      <c r="AH548" s="18" t="s">
        <v>34</v>
      </c>
      <c r="AI548" s="18" t="s">
        <v>66</v>
      </c>
      <c r="AJ548" s="18" t="s">
        <v>79</v>
      </c>
      <c r="AK548" s="18" t="s">
        <v>100</v>
      </c>
      <c r="AL548" s="18" t="s">
        <v>111</v>
      </c>
      <c r="AM548" s="18" t="s">
        <v>122</v>
      </c>
      <c r="AN548" s="18" t="s">
        <v>573</v>
      </c>
      <c r="AO548" s="18" t="s">
        <v>273</v>
      </c>
      <c r="AP548" s="18"/>
      <c r="AQ548" s="18">
        <f>+VLOOKUP(AI548,Leyenda!$B$30:$E$34,3,FALSE)</f>
        <v>1</v>
      </c>
      <c r="AR548" s="36">
        <f>+VLOOKUP('3. Blasting'!AJ548,Meteorizacion,3,FALSE)</f>
        <v>1</v>
      </c>
      <c r="AS548" s="36">
        <f>+VLOOKUP('3. Blasting'!AK548,Apertura,3,FALSE)</f>
        <v>0</v>
      </c>
      <c r="AT548" s="36">
        <f>+VLOOKUP('3. Blasting'!AL548,Leyenda!$B$55:$D$59,3,FALSE)</f>
        <v>0</v>
      </c>
      <c r="AU548" s="36">
        <f>+VLOOKUP('3. Blasting'!AM548,Relleno,3,FALSE)</f>
        <v>0</v>
      </c>
      <c r="AV548" s="36">
        <f t="shared" si="236"/>
        <v>2</v>
      </c>
      <c r="AW548" s="49">
        <f t="shared" si="227"/>
        <v>0</v>
      </c>
      <c r="AX548" s="49">
        <f>VLOOKUP(AF548,Leyenda!$B$4:$D$10,3,FALSE)</f>
        <v>0</v>
      </c>
      <c r="AY548" s="50">
        <f t="shared" si="224"/>
        <v>4</v>
      </c>
      <c r="AZ548" s="49">
        <f t="shared" si="228"/>
        <v>2</v>
      </c>
      <c r="BA548" s="49">
        <f>VLOOKUP(AN548,Leyenda!$B$70:$D$75,3,FALSE)</f>
        <v>7</v>
      </c>
      <c r="BB548" s="67">
        <f t="shared" si="229"/>
        <v>3</v>
      </c>
      <c r="BC548" s="67">
        <f>VLOOKUP(AF548,Leyenda!$B$4:$E$10,4,FALSE)</f>
        <v>0</v>
      </c>
      <c r="BD548" s="67">
        <f t="shared" si="230"/>
        <v>7</v>
      </c>
      <c r="BE548" s="67">
        <f t="shared" si="231"/>
        <v>0</v>
      </c>
      <c r="BF548" s="67">
        <f>+VLOOKUP('3. Blasting'!AK548,Leyenda!$B$47:$E$51,4,FALSE)</f>
        <v>0</v>
      </c>
      <c r="BG548" s="67">
        <f>+VLOOKUP('3. Blasting'!AL548,Leyenda!$B$55:$E$59,4,FALSE)</f>
        <v>0</v>
      </c>
      <c r="BH548" s="67">
        <f>+VLOOKUP('3. Blasting'!AM548,Leyenda!$B$63:$E$67,3,FALSE)</f>
        <v>0</v>
      </c>
      <c r="BI548" s="67">
        <f>+VLOOKUP('3. Blasting'!AJ548,Leyenda!$B$39:$E$43,4,FALSE)</f>
        <v>1</v>
      </c>
      <c r="BJ548" s="67">
        <f>+VLOOKUP('3. Blasting'!AI548,Leyenda!$B$30:$E$34,4,FALSE)</f>
        <v>1</v>
      </c>
      <c r="BK548" s="67">
        <f>VLOOKUP(AN548,Leyenda!$B$71:$E$75,4,FALSE)</f>
        <v>5</v>
      </c>
      <c r="BL548" s="67">
        <f t="shared" si="232"/>
        <v>14</v>
      </c>
      <c r="BM548" s="18">
        <f t="shared" si="233"/>
        <v>13</v>
      </c>
      <c r="BN548" s="18"/>
      <c r="BO548" s="18"/>
      <c r="BS548">
        <f t="shared" si="221"/>
        <v>-50</v>
      </c>
      <c r="BT548">
        <f t="shared" si="222"/>
        <v>0</v>
      </c>
      <c r="BU548">
        <f t="shared" si="223"/>
        <v>-25</v>
      </c>
      <c r="BV548" s="1">
        <f t="shared" si="218"/>
        <v>-0.1</v>
      </c>
      <c r="BW548" s="1">
        <f t="shared" si="219"/>
        <v>0</v>
      </c>
    </row>
    <row r="549" spans="1:75" hidden="1" x14ac:dyDescent="0.25">
      <c r="A549" s="18" t="s">
        <v>6</v>
      </c>
      <c r="B549" s="18">
        <v>2024</v>
      </c>
      <c r="C549" s="18" t="s">
        <v>138</v>
      </c>
      <c r="D549" s="18" t="s">
        <v>266</v>
      </c>
      <c r="E549" s="18">
        <v>50</v>
      </c>
      <c r="F549" s="18" t="s">
        <v>154</v>
      </c>
      <c r="G549" s="18" t="s">
        <v>298</v>
      </c>
      <c r="H549" s="31">
        <f t="shared" si="216"/>
        <v>20</v>
      </c>
      <c r="I549" s="31">
        <f t="shared" si="217"/>
        <v>20.5</v>
      </c>
      <c r="J549" s="4">
        <f t="shared" si="234"/>
        <v>0.5</v>
      </c>
      <c r="K549" s="32">
        <v>0.74</v>
      </c>
      <c r="L549" s="31">
        <f t="shared" si="225"/>
        <v>0.37</v>
      </c>
      <c r="M549" s="31"/>
      <c r="N549" s="31"/>
      <c r="O549" s="18">
        <f t="shared" si="226"/>
        <v>0.37</v>
      </c>
      <c r="P549" s="18">
        <v>18.5</v>
      </c>
      <c r="Q549" s="18">
        <v>20</v>
      </c>
      <c r="R549" s="18">
        <v>0.33</v>
      </c>
      <c r="S549" s="18">
        <v>0.2</v>
      </c>
      <c r="T549" s="65">
        <f t="shared" si="235"/>
        <v>40</v>
      </c>
      <c r="U549" s="18">
        <v>3</v>
      </c>
      <c r="V549" s="18"/>
      <c r="W549" s="18">
        <f t="shared" si="211"/>
        <v>3</v>
      </c>
      <c r="X549" s="18">
        <f t="shared" si="212"/>
        <v>110</v>
      </c>
      <c r="Y549" s="31">
        <f t="shared" si="220"/>
        <v>0.11</v>
      </c>
      <c r="Z549" s="18">
        <v>0</v>
      </c>
      <c r="AA549" s="18" t="s">
        <v>330</v>
      </c>
      <c r="AB549" s="18" t="s">
        <v>333</v>
      </c>
      <c r="AC549" s="18" t="s">
        <v>335</v>
      </c>
      <c r="AD549" s="18">
        <v>20</v>
      </c>
      <c r="AE549" s="18">
        <v>18.5</v>
      </c>
      <c r="AF549" s="18" t="s">
        <v>34</v>
      </c>
      <c r="AG549" s="18" t="s">
        <v>34</v>
      </c>
      <c r="AH549" s="18" t="s">
        <v>34</v>
      </c>
      <c r="AI549" s="18" t="s">
        <v>66</v>
      </c>
      <c r="AJ549" s="18" t="s">
        <v>79</v>
      </c>
      <c r="AK549" s="18" t="s">
        <v>100</v>
      </c>
      <c r="AL549" s="18" t="s">
        <v>111</v>
      </c>
      <c r="AM549" s="18" t="s">
        <v>122</v>
      </c>
      <c r="AN549" s="18" t="s">
        <v>573</v>
      </c>
      <c r="AO549" s="18" t="s">
        <v>273</v>
      </c>
      <c r="AP549" s="18"/>
      <c r="AQ549" s="18">
        <f>+VLOOKUP(AI549,Leyenda!$B$30:$E$34,3,FALSE)</f>
        <v>1</v>
      </c>
      <c r="AR549" s="36">
        <f>+VLOOKUP('3. Blasting'!AJ549,Meteorizacion,3,FALSE)</f>
        <v>1</v>
      </c>
      <c r="AS549" s="36">
        <f>+VLOOKUP('3. Blasting'!AK549,Apertura,3,FALSE)</f>
        <v>0</v>
      </c>
      <c r="AT549" s="36">
        <f>+VLOOKUP('3. Blasting'!AL549,Leyenda!$B$55:$D$59,3,FALSE)</f>
        <v>0</v>
      </c>
      <c r="AU549" s="36">
        <f>+VLOOKUP('3. Blasting'!AM549,Relleno,3,FALSE)</f>
        <v>0</v>
      </c>
      <c r="AV549" s="36">
        <f t="shared" si="236"/>
        <v>2</v>
      </c>
      <c r="AW549" s="49">
        <f t="shared" si="227"/>
        <v>0</v>
      </c>
      <c r="AX549" s="49">
        <f>VLOOKUP(AF549,Leyenda!$B$4:$D$10,3,FALSE)</f>
        <v>0</v>
      </c>
      <c r="AY549" s="50">
        <f t="shared" si="224"/>
        <v>4</v>
      </c>
      <c r="AZ549" s="49">
        <f t="shared" si="228"/>
        <v>2</v>
      </c>
      <c r="BA549" s="49">
        <f>VLOOKUP(AN549,Leyenda!$B$70:$D$75,3,FALSE)</f>
        <v>7</v>
      </c>
      <c r="BB549" s="67">
        <f t="shared" si="229"/>
        <v>23</v>
      </c>
      <c r="BC549" s="67">
        <f>VLOOKUP(AF549,Leyenda!$B$4:$E$10,4,FALSE)</f>
        <v>0</v>
      </c>
      <c r="BD549" s="67">
        <f t="shared" si="230"/>
        <v>9</v>
      </c>
      <c r="BE549" s="67">
        <f t="shared" si="231"/>
        <v>8</v>
      </c>
      <c r="BF549" s="67">
        <f>+VLOOKUP('3. Blasting'!AK549,Leyenda!$B$47:$E$51,4,FALSE)</f>
        <v>0</v>
      </c>
      <c r="BG549" s="67">
        <f>+VLOOKUP('3. Blasting'!AL549,Leyenda!$B$55:$E$59,4,FALSE)</f>
        <v>0</v>
      </c>
      <c r="BH549" s="67">
        <f>+VLOOKUP('3. Blasting'!AM549,Leyenda!$B$63:$E$67,3,FALSE)</f>
        <v>0</v>
      </c>
      <c r="BI549" s="67">
        <f>+VLOOKUP('3. Blasting'!AJ549,Leyenda!$B$39:$E$43,4,FALSE)</f>
        <v>1</v>
      </c>
      <c r="BJ549" s="67">
        <f>+VLOOKUP('3. Blasting'!AI549,Leyenda!$B$30:$E$34,4,FALSE)</f>
        <v>1</v>
      </c>
      <c r="BK549" s="67">
        <f>VLOOKUP(AN549,Leyenda!$B$71:$E$75,4,FALSE)</f>
        <v>5</v>
      </c>
      <c r="BL549" s="67">
        <f t="shared" si="232"/>
        <v>24</v>
      </c>
      <c r="BM549" s="18">
        <f t="shared" si="233"/>
        <v>13</v>
      </c>
      <c r="BN549" s="18"/>
      <c r="BO549" s="18"/>
      <c r="BS549">
        <f t="shared" si="221"/>
        <v>-50</v>
      </c>
      <c r="BT549">
        <f t="shared" si="222"/>
        <v>0</v>
      </c>
      <c r="BU549">
        <f t="shared" si="223"/>
        <v>-25</v>
      </c>
      <c r="BV549" s="1">
        <f t="shared" si="218"/>
        <v>-0.1</v>
      </c>
      <c r="BW549" s="1">
        <f t="shared" si="219"/>
        <v>0</v>
      </c>
    </row>
    <row r="550" spans="1:75" hidden="1" x14ac:dyDescent="0.25">
      <c r="A550" s="18" t="s">
        <v>6</v>
      </c>
      <c r="B550" s="18">
        <v>2024</v>
      </c>
      <c r="C550" s="18" t="s">
        <v>138</v>
      </c>
      <c r="D550" s="18" t="s">
        <v>266</v>
      </c>
      <c r="E550" s="18">
        <v>50</v>
      </c>
      <c r="F550" s="18" t="s">
        <v>154</v>
      </c>
      <c r="G550" s="18" t="s">
        <v>298</v>
      </c>
      <c r="H550" s="31">
        <f t="shared" si="216"/>
        <v>20.5</v>
      </c>
      <c r="I550" s="31">
        <f t="shared" si="217"/>
        <v>21</v>
      </c>
      <c r="J550" s="4">
        <f t="shared" si="234"/>
        <v>0.5</v>
      </c>
      <c r="K550" s="32">
        <v>0.78</v>
      </c>
      <c r="L550" s="31">
        <f t="shared" si="225"/>
        <v>0.39</v>
      </c>
      <c r="M550" s="31"/>
      <c r="N550" s="31"/>
      <c r="O550" s="18">
        <f t="shared" si="226"/>
        <v>0.39</v>
      </c>
      <c r="P550" s="18">
        <v>19.5</v>
      </c>
      <c r="Q550" s="18">
        <v>20</v>
      </c>
      <c r="R550" s="18">
        <v>0.35</v>
      </c>
      <c r="S550" s="18">
        <v>0.23</v>
      </c>
      <c r="T550" s="65">
        <f t="shared" si="235"/>
        <v>46</v>
      </c>
      <c r="U550" s="18">
        <v>2</v>
      </c>
      <c r="V550" s="18"/>
      <c r="W550" s="18">
        <f t="shared" si="211"/>
        <v>2</v>
      </c>
      <c r="X550" s="18">
        <f t="shared" si="212"/>
        <v>175</v>
      </c>
      <c r="Y550" s="31">
        <f t="shared" si="220"/>
        <v>0.17499999999999999</v>
      </c>
      <c r="Z550" s="18">
        <v>0</v>
      </c>
      <c r="AA550" s="18" t="s">
        <v>330</v>
      </c>
      <c r="AB550" s="18" t="s">
        <v>333</v>
      </c>
      <c r="AC550" s="18" t="s">
        <v>335</v>
      </c>
      <c r="AD550" s="18">
        <v>20</v>
      </c>
      <c r="AE550" s="18">
        <v>19.5</v>
      </c>
      <c r="AF550" s="18" t="s">
        <v>34</v>
      </c>
      <c r="AG550" s="18" t="s">
        <v>196</v>
      </c>
      <c r="AH550" s="18" t="s">
        <v>196</v>
      </c>
      <c r="AI550" s="18" t="s">
        <v>66</v>
      </c>
      <c r="AJ550" s="18" t="s">
        <v>79</v>
      </c>
      <c r="AK550" s="18" t="s">
        <v>96</v>
      </c>
      <c r="AL550" s="18" t="s">
        <v>109</v>
      </c>
      <c r="AM550" s="18" t="s">
        <v>120</v>
      </c>
      <c r="AN550" s="18" t="s">
        <v>267</v>
      </c>
      <c r="AO550" s="18" t="s">
        <v>273</v>
      </c>
      <c r="AP550" s="18"/>
      <c r="AQ550" s="18">
        <f>+VLOOKUP(AI550,Leyenda!$B$30:$E$34,3,FALSE)</f>
        <v>1</v>
      </c>
      <c r="AR550" s="36">
        <f>+VLOOKUP('3. Blasting'!AJ550,Meteorizacion,3,FALSE)</f>
        <v>1</v>
      </c>
      <c r="AS550" s="36">
        <f>+VLOOKUP('3. Blasting'!AK550,Apertura,3,FALSE)</f>
        <v>1</v>
      </c>
      <c r="AT550" s="36">
        <f>+VLOOKUP('3. Blasting'!AL550,Leyenda!$B$55:$D$59,3,FALSE)</f>
        <v>1</v>
      </c>
      <c r="AU550" s="36">
        <f>+VLOOKUP('3. Blasting'!AM550,Relleno,3,FALSE)</f>
        <v>2</v>
      </c>
      <c r="AV550" s="36">
        <f t="shared" si="236"/>
        <v>6</v>
      </c>
      <c r="AW550" s="49">
        <f t="shared" si="227"/>
        <v>0</v>
      </c>
      <c r="AX550" s="49">
        <f>VLOOKUP(AF550,Leyenda!$B$4:$D$10,3,FALSE)</f>
        <v>0</v>
      </c>
      <c r="AY550" s="50">
        <f t="shared" si="224"/>
        <v>4</v>
      </c>
      <c r="AZ550" s="49">
        <f t="shared" si="228"/>
        <v>6</v>
      </c>
      <c r="BA550" s="49">
        <f>VLOOKUP(AN550,Leyenda!$B$70:$D$75,3,FALSE)</f>
        <v>15</v>
      </c>
      <c r="BB550" s="67">
        <f t="shared" si="229"/>
        <v>32</v>
      </c>
      <c r="BC550" s="67">
        <f>VLOOKUP(AF550,Leyenda!$B$4:$E$10,4,FALSE)</f>
        <v>0</v>
      </c>
      <c r="BD550" s="67">
        <f t="shared" si="230"/>
        <v>12</v>
      </c>
      <c r="BE550" s="67">
        <f t="shared" si="231"/>
        <v>10</v>
      </c>
      <c r="BF550" s="67">
        <f>+VLOOKUP('3. Blasting'!AK550,Leyenda!$B$47:$E$51,4,FALSE)</f>
        <v>1</v>
      </c>
      <c r="BG550" s="67">
        <f>+VLOOKUP('3. Blasting'!AL550,Leyenda!$B$55:$E$59,4,FALSE)</f>
        <v>1</v>
      </c>
      <c r="BH550" s="67">
        <f>+VLOOKUP('3. Blasting'!AM550,Leyenda!$B$63:$E$67,3,FALSE)</f>
        <v>2</v>
      </c>
      <c r="BI550" s="67">
        <f>+VLOOKUP('3. Blasting'!AJ550,Leyenda!$B$39:$E$43,4,FALSE)</f>
        <v>1</v>
      </c>
      <c r="BJ550" s="67">
        <f>+VLOOKUP('3. Blasting'!AI550,Leyenda!$B$30:$E$34,4,FALSE)</f>
        <v>1</v>
      </c>
      <c r="BK550" s="67">
        <f>VLOOKUP(AN550,Leyenda!$B$71:$E$75,4,FALSE)</f>
        <v>10</v>
      </c>
      <c r="BL550" s="67">
        <f t="shared" si="232"/>
        <v>38</v>
      </c>
      <c r="BM550" s="18">
        <f t="shared" si="233"/>
        <v>25</v>
      </c>
      <c r="BN550" s="18"/>
      <c r="BO550" s="18"/>
      <c r="BS550">
        <f t="shared" si="221"/>
        <v>-50</v>
      </c>
      <c r="BT550">
        <f t="shared" si="222"/>
        <v>0</v>
      </c>
      <c r="BU550">
        <f t="shared" si="223"/>
        <v>-25</v>
      </c>
      <c r="BV550" s="1">
        <f t="shared" si="218"/>
        <v>-0.1</v>
      </c>
      <c r="BW550" s="1">
        <f t="shared" si="219"/>
        <v>0</v>
      </c>
    </row>
    <row r="551" spans="1:75" hidden="1" x14ac:dyDescent="0.25">
      <c r="A551" s="18" t="s">
        <v>6</v>
      </c>
      <c r="B551" s="18">
        <v>2024</v>
      </c>
      <c r="C551" s="18" t="s">
        <v>138</v>
      </c>
      <c r="D551" s="18" t="s">
        <v>266</v>
      </c>
      <c r="E551" s="18">
        <v>50</v>
      </c>
      <c r="F551" s="18" t="s">
        <v>154</v>
      </c>
      <c r="G551" s="18" t="s">
        <v>298</v>
      </c>
      <c r="H551" s="31">
        <f t="shared" si="216"/>
        <v>21</v>
      </c>
      <c r="I551" s="31">
        <f t="shared" si="217"/>
        <v>21.5</v>
      </c>
      <c r="J551" s="4">
        <f t="shared" si="234"/>
        <v>0.5</v>
      </c>
      <c r="K551" s="32">
        <v>0.62</v>
      </c>
      <c r="L551" s="31">
        <f t="shared" si="225"/>
        <v>0.31</v>
      </c>
      <c r="M551" s="31"/>
      <c r="N551" s="31"/>
      <c r="O551" s="18">
        <f t="shared" si="226"/>
        <v>0.31</v>
      </c>
      <c r="P551" s="18">
        <v>15.5</v>
      </c>
      <c r="Q551" s="18">
        <v>20</v>
      </c>
      <c r="R551" s="18">
        <v>0.3</v>
      </c>
      <c r="S551" s="18">
        <v>0.2</v>
      </c>
      <c r="T551" s="65">
        <f t="shared" si="235"/>
        <v>40</v>
      </c>
      <c r="U551" s="18">
        <v>2</v>
      </c>
      <c r="V551" s="18"/>
      <c r="W551" s="18">
        <f t="shared" si="211"/>
        <v>2</v>
      </c>
      <c r="X551" s="18">
        <f t="shared" si="212"/>
        <v>150</v>
      </c>
      <c r="Y551" s="31">
        <f t="shared" si="220"/>
        <v>0.15</v>
      </c>
      <c r="Z551" s="18">
        <v>0</v>
      </c>
      <c r="AA551" s="18" t="s">
        <v>330</v>
      </c>
      <c r="AB551" s="18" t="s">
        <v>333</v>
      </c>
      <c r="AC551" s="18" t="s">
        <v>335</v>
      </c>
      <c r="AD551" s="18">
        <v>20</v>
      </c>
      <c r="AE551" s="18">
        <v>15.5</v>
      </c>
      <c r="AF551" s="18" t="s">
        <v>34</v>
      </c>
      <c r="AG551" s="18" t="s">
        <v>196</v>
      </c>
      <c r="AH551" s="18" t="s">
        <v>196</v>
      </c>
      <c r="AI551" s="18" t="s">
        <v>66</v>
      </c>
      <c r="AJ551" s="18" t="s">
        <v>79</v>
      </c>
      <c r="AK551" s="18" t="s">
        <v>96</v>
      </c>
      <c r="AL551" s="18" t="s">
        <v>109</v>
      </c>
      <c r="AM551" s="18" t="s">
        <v>120</v>
      </c>
      <c r="AN551" s="18" t="s">
        <v>267</v>
      </c>
      <c r="AO551" s="18"/>
      <c r="AP551" s="18"/>
      <c r="AQ551" s="18">
        <f>+VLOOKUP(AI551,Leyenda!$B$30:$E$34,3,FALSE)</f>
        <v>1</v>
      </c>
      <c r="AR551" s="36">
        <f>+VLOOKUP('3. Blasting'!AJ551,Meteorizacion,3,FALSE)</f>
        <v>1</v>
      </c>
      <c r="AS551" s="36">
        <f>+VLOOKUP('3. Blasting'!AK551,Apertura,3,FALSE)</f>
        <v>1</v>
      </c>
      <c r="AT551" s="36">
        <f>+VLOOKUP('3. Blasting'!AL551,Leyenda!$B$55:$D$59,3,FALSE)</f>
        <v>1</v>
      </c>
      <c r="AU551" s="36">
        <f>+VLOOKUP('3. Blasting'!AM551,Relleno,3,FALSE)</f>
        <v>2</v>
      </c>
      <c r="AV551" s="36">
        <f t="shared" si="236"/>
        <v>6</v>
      </c>
      <c r="AW551" s="49">
        <f t="shared" si="227"/>
        <v>0</v>
      </c>
      <c r="AX551" s="49">
        <f>VLOOKUP(AF551,Leyenda!$B$4:$D$10,3,FALSE)</f>
        <v>0</v>
      </c>
      <c r="AY551" s="50">
        <f t="shared" si="224"/>
        <v>4</v>
      </c>
      <c r="AZ551" s="49">
        <f t="shared" si="228"/>
        <v>6</v>
      </c>
      <c r="BA551" s="49">
        <f>VLOOKUP(AN551,Leyenda!$B$70:$D$75,3,FALSE)</f>
        <v>15</v>
      </c>
      <c r="BB551" s="67">
        <f t="shared" si="229"/>
        <v>29</v>
      </c>
      <c r="BC551" s="67">
        <f>VLOOKUP(AF551,Leyenda!$B$4:$E$10,4,FALSE)</f>
        <v>0</v>
      </c>
      <c r="BD551" s="67">
        <f t="shared" si="230"/>
        <v>11</v>
      </c>
      <c r="BE551" s="67">
        <f t="shared" si="231"/>
        <v>8</v>
      </c>
      <c r="BF551" s="67">
        <f>+VLOOKUP('3. Blasting'!AK551,Leyenda!$B$47:$E$51,4,FALSE)</f>
        <v>1</v>
      </c>
      <c r="BG551" s="67">
        <f>+VLOOKUP('3. Blasting'!AL551,Leyenda!$B$55:$E$59,4,FALSE)</f>
        <v>1</v>
      </c>
      <c r="BH551" s="67">
        <f>+VLOOKUP('3. Blasting'!AM551,Leyenda!$B$63:$E$67,3,FALSE)</f>
        <v>2</v>
      </c>
      <c r="BI551" s="67">
        <f>+VLOOKUP('3. Blasting'!AJ551,Leyenda!$B$39:$E$43,4,FALSE)</f>
        <v>1</v>
      </c>
      <c r="BJ551" s="67">
        <f>+VLOOKUP('3. Blasting'!AI551,Leyenda!$B$30:$E$34,4,FALSE)</f>
        <v>1</v>
      </c>
      <c r="BK551" s="67">
        <f>VLOOKUP(AN551,Leyenda!$B$71:$E$75,4,FALSE)</f>
        <v>10</v>
      </c>
      <c r="BL551" s="67">
        <f t="shared" si="232"/>
        <v>35</v>
      </c>
      <c r="BM551" s="18">
        <f t="shared" si="233"/>
        <v>25</v>
      </c>
      <c r="BN551" s="18"/>
      <c r="BO551" s="18"/>
      <c r="BS551">
        <f t="shared" si="221"/>
        <v>-50</v>
      </c>
      <c r="BT551">
        <f t="shared" si="222"/>
        <v>0</v>
      </c>
      <c r="BU551">
        <f t="shared" si="223"/>
        <v>-25</v>
      </c>
      <c r="BV551" s="1">
        <f t="shared" si="218"/>
        <v>-0.1</v>
      </c>
      <c r="BW551" s="1">
        <f t="shared" si="219"/>
        <v>0</v>
      </c>
    </row>
    <row r="552" spans="1:75" hidden="1" x14ac:dyDescent="0.25">
      <c r="A552" s="18" t="s">
        <v>6</v>
      </c>
      <c r="B552" s="18">
        <v>2024</v>
      </c>
      <c r="C552" s="18" t="s">
        <v>138</v>
      </c>
      <c r="D552" s="18" t="s">
        <v>266</v>
      </c>
      <c r="E552" s="18">
        <v>50</v>
      </c>
      <c r="F552" s="18" t="s">
        <v>154</v>
      </c>
      <c r="G552" s="18" t="s">
        <v>298</v>
      </c>
      <c r="H552" s="31">
        <f t="shared" si="216"/>
        <v>21.5</v>
      </c>
      <c r="I552" s="31">
        <f t="shared" si="217"/>
        <v>22</v>
      </c>
      <c r="J552" s="4">
        <f t="shared" si="234"/>
        <v>0.5</v>
      </c>
      <c r="K552" s="32">
        <v>0.82</v>
      </c>
      <c r="L552" s="31">
        <f t="shared" si="225"/>
        <v>0.41</v>
      </c>
      <c r="M552" s="31"/>
      <c r="N552" s="31"/>
      <c r="O552" s="18">
        <f t="shared" si="226"/>
        <v>0.41</v>
      </c>
      <c r="P552" s="18">
        <v>20.5</v>
      </c>
      <c r="Q552" s="18">
        <v>20</v>
      </c>
      <c r="R552" s="18">
        <v>0.36</v>
      </c>
      <c r="S552" s="18">
        <v>0.26</v>
      </c>
      <c r="T552" s="65">
        <f t="shared" si="235"/>
        <v>52</v>
      </c>
      <c r="U552" s="18">
        <v>3</v>
      </c>
      <c r="V552" s="18"/>
      <c r="W552" s="18">
        <f t="shared" si="211"/>
        <v>3</v>
      </c>
      <c r="X552" s="18">
        <f t="shared" si="212"/>
        <v>120</v>
      </c>
      <c r="Y552" s="31">
        <f t="shared" si="220"/>
        <v>0.12</v>
      </c>
      <c r="Z552" s="18">
        <v>0</v>
      </c>
      <c r="AA552" s="18" t="s">
        <v>330</v>
      </c>
      <c r="AB552" s="18" t="s">
        <v>333</v>
      </c>
      <c r="AC552" s="18" t="s">
        <v>335</v>
      </c>
      <c r="AD552" s="18">
        <v>20</v>
      </c>
      <c r="AE552" s="18">
        <v>20.5</v>
      </c>
      <c r="AF552" s="18" t="s">
        <v>34</v>
      </c>
      <c r="AG552" s="18" t="s">
        <v>196</v>
      </c>
      <c r="AH552" s="18" t="s">
        <v>196</v>
      </c>
      <c r="AI552" s="18" t="s">
        <v>66</v>
      </c>
      <c r="AJ552" s="18" t="s">
        <v>79</v>
      </c>
      <c r="AK552" s="18" t="s">
        <v>96</v>
      </c>
      <c r="AL552" s="18" t="s">
        <v>109</v>
      </c>
      <c r="AM552" s="18" t="s">
        <v>120</v>
      </c>
      <c r="AN552" s="18" t="s">
        <v>267</v>
      </c>
      <c r="AO552" s="18"/>
      <c r="AP552" s="18"/>
      <c r="AQ552" s="18">
        <f>+VLOOKUP(AI552,Leyenda!$B$30:$E$34,3,FALSE)</f>
        <v>1</v>
      </c>
      <c r="AR552" s="36">
        <f>+VLOOKUP('3. Blasting'!AJ552,Meteorizacion,3,FALSE)</f>
        <v>1</v>
      </c>
      <c r="AS552" s="36">
        <f>+VLOOKUP('3. Blasting'!AK552,Apertura,3,FALSE)</f>
        <v>1</v>
      </c>
      <c r="AT552" s="36">
        <f>+VLOOKUP('3. Blasting'!AL552,Leyenda!$B$55:$D$59,3,FALSE)</f>
        <v>1</v>
      </c>
      <c r="AU552" s="36">
        <f>+VLOOKUP('3. Blasting'!AM552,Relleno,3,FALSE)</f>
        <v>2</v>
      </c>
      <c r="AV552" s="36">
        <f t="shared" si="236"/>
        <v>6</v>
      </c>
      <c r="AW552" s="49">
        <f t="shared" si="227"/>
        <v>0</v>
      </c>
      <c r="AX552" s="49">
        <f>VLOOKUP(AF552,Leyenda!$B$4:$D$10,3,FALSE)</f>
        <v>0</v>
      </c>
      <c r="AY552" s="50">
        <f t="shared" si="224"/>
        <v>4</v>
      </c>
      <c r="AZ552" s="49">
        <f t="shared" si="228"/>
        <v>6</v>
      </c>
      <c r="BA552" s="49">
        <f>VLOOKUP(AN552,Leyenda!$B$70:$D$75,3,FALSE)</f>
        <v>15</v>
      </c>
      <c r="BB552" s="67">
        <f t="shared" si="229"/>
        <v>35</v>
      </c>
      <c r="BC552" s="67">
        <f>VLOOKUP(AF552,Leyenda!$B$4:$E$10,4,FALSE)</f>
        <v>0</v>
      </c>
      <c r="BD552" s="67">
        <f t="shared" si="230"/>
        <v>9</v>
      </c>
      <c r="BE552" s="67">
        <f t="shared" si="231"/>
        <v>11</v>
      </c>
      <c r="BF552" s="67">
        <f>+VLOOKUP('3. Blasting'!AK552,Leyenda!$B$47:$E$51,4,FALSE)</f>
        <v>1</v>
      </c>
      <c r="BG552" s="67">
        <f>+VLOOKUP('3. Blasting'!AL552,Leyenda!$B$55:$E$59,4,FALSE)</f>
        <v>1</v>
      </c>
      <c r="BH552" s="67">
        <f>+VLOOKUP('3. Blasting'!AM552,Leyenda!$B$63:$E$67,3,FALSE)</f>
        <v>2</v>
      </c>
      <c r="BI552" s="67">
        <f>+VLOOKUP('3. Blasting'!AJ552,Leyenda!$B$39:$E$43,4,FALSE)</f>
        <v>1</v>
      </c>
      <c r="BJ552" s="67">
        <f>+VLOOKUP('3. Blasting'!AI552,Leyenda!$B$30:$E$34,4,FALSE)</f>
        <v>1</v>
      </c>
      <c r="BK552" s="67">
        <f>VLOOKUP(AN552,Leyenda!$B$71:$E$75,4,FALSE)</f>
        <v>10</v>
      </c>
      <c r="BL552" s="67">
        <f t="shared" si="232"/>
        <v>36</v>
      </c>
      <c r="BM552" s="18">
        <f t="shared" si="233"/>
        <v>25</v>
      </c>
      <c r="BN552" s="18"/>
      <c r="BO552" s="18"/>
      <c r="BS552">
        <f t="shared" si="221"/>
        <v>-50</v>
      </c>
      <c r="BT552">
        <f t="shared" si="222"/>
        <v>0</v>
      </c>
      <c r="BU552">
        <f t="shared" si="223"/>
        <v>-25</v>
      </c>
      <c r="BV552" s="1">
        <f t="shared" si="218"/>
        <v>-0.1</v>
      </c>
      <c r="BW552" s="1">
        <f t="shared" si="219"/>
        <v>0</v>
      </c>
    </row>
    <row r="553" spans="1:75" hidden="1" x14ac:dyDescent="0.25">
      <c r="A553" s="18" t="s">
        <v>6</v>
      </c>
      <c r="B553" s="18">
        <v>2024</v>
      </c>
      <c r="C553" s="18" t="s">
        <v>138</v>
      </c>
      <c r="D553" s="18" t="s">
        <v>266</v>
      </c>
      <c r="E553" s="18">
        <v>50</v>
      </c>
      <c r="F553" s="18" t="s">
        <v>154</v>
      </c>
      <c r="G553" s="18" t="s">
        <v>298</v>
      </c>
      <c r="H553" s="31">
        <f t="shared" si="216"/>
        <v>22</v>
      </c>
      <c r="I553" s="31">
        <f t="shared" si="217"/>
        <v>22.5</v>
      </c>
      <c r="J553" s="4">
        <f t="shared" si="234"/>
        <v>0.5</v>
      </c>
      <c r="K553" s="32">
        <v>0.78</v>
      </c>
      <c r="L553" s="31">
        <f t="shared" si="225"/>
        <v>0.39</v>
      </c>
      <c r="M553" s="31"/>
      <c r="N553" s="31"/>
      <c r="O553" s="18">
        <f t="shared" si="226"/>
        <v>0.39</v>
      </c>
      <c r="P553" s="18">
        <v>19.5</v>
      </c>
      <c r="Q553" s="18">
        <v>20</v>
      </c>
      <c r="R553" s="18">
        <v>0.33</v>
      </c>
      <c r="S553" s="18">
        <v>0.19</v>
      </c>
      <c r="T553" s="65">
        <f t="shared" si="235"/>
        <v>38</v>
      </c>
      <c r="U553" s="18">
        <v>3</v>
      </c>
      <c r="V553" s="18"/>
      <c r="W553" s="18">
        <f t="shared" si="211"/>
        <v>3</v>
      </c>
      <c r="X553" s="18">
        <f t="shared" si="212"/>
        <v>110</v>
      </c>
      <c r="Y553" s="31">
        <f t="shared" si="220"/>
        <v>0.11</v>
      </c>
      <c r="Z553" s="18">
        <v>0</v>
      </c>
      <c r="AA553" s="18" t="s">
        <v>330</v>
      </c>
      <c r="AB553" s="18" t="s">
        <v>333</v>
      </c>
      <c r="AC553" s="18" t="s">
        <v>335</v>
      </c>
      <c r="AD553" s="18">
        <v>20</v>
      </c>
      <c r="AE553" s="18">
        <v>19.5</v>
      </c>
      <c r="AF553" s="18" t="s">
        <v>34</v>
      </c>
      <c r="AG553" s="18" t="s">
        <v>196</v>
      </c>
      <c r="AH553" s="18" t="s">
        <v>196</v>
      </c>
      <c r="AI553" s="18" t="s">
        <v>66</v>
      </c>
      <c r="AJ553" s="18" t="s">
        <v>79</v>
      </c>
      <c r="AK553" s="18" t="s">
        <v>96</v>
      </c>
      <c r="AL553" s="18" t="s">
        <v>109</v>
      </c>
      <c r="AM553" s="18" t="s">
        <v>122</v>
      </c>
      <c r="AN553" s="18" t="s">
        <v>267</v>
      </c>
      <c r="AO553" s="18" t="s">
        <v>275</v>
      </c>
      <c r="AP553" s="18"/>
      <c r="AQ553" s="18">
        <f>+VLOOKUP(AI553,Leyenda!$B$30:$E$34,3,FALSE)</f>
        <v>1</v>
      </c>
      <c r="AR553" s="36">
        <f>+VLOOKUP('3. Blasting'!AJ553,Meteorizacion,3,FALSE)</f>
        <v>1</v>
      </c>
      <c r="AS553" s="36">
        <f>+VLOOKUP('3. Blasting'!AK553,Apertura,3,FALSE)</f>
        <v>1</v>
      </c>
      <c r="AT553" s="36">
        <f>+VLOOKUP('3. Blasting'!AL553,Leyenda!$B$55:$D$59,3,FALSE)</f>
        <v>1</v>
      </c>
      <c r="AU553" s="36">
        <f>+VLOOKUP('3. Blasting'!AM553,Relleno,3,FALSE)</f>
        <v>0</v>
      </c>
      <c r="AV553" s="36">
        <f t="shared" si="236"/>
        <v>4</v>
      </c>
      <c r="AW553" s="49">
        <f t="shared" si="227"/>
        <v>0</v>
      </c>
      <c r="AX553" s="49">
        <f>VLOOKUP(AF553,Leyenda!$B$4:$D$10,3,FALSE)</f>
        <v>0</v>
      </c>
      <c r="AY553" s="50">
        <f t="shared" si="224"/>
        <v>4</v>
      </c>
      <c r="AZ553" s="49">
        <f t="shared" si="228"/>
        <v>4</v>
      </c>
      <c r="BA553" s="49">
        <f>VLOOKUP(AN553,Leyenda!$B$70:$D$75,3,FALSE)</f>
        <v>15</v>
      </c>
      <c r="BB553" s="67">
        <f t="shared" si="229"/>
        <v>25</v>
      </c>
      <c r="BC553" s="67">
        <f>VLOOKUP(AF553,Leyenda!$B$4:$E$10,4,FALSE)</f>
        <v>0</v>
      </c>
      <c r="BD553" s="67">
        <f t="shared" si="230"/>
        <v>9</v>
      </c>
      <c r="BE553" s="67">
        <f t="shared" si="231"/>
        <v>8</v>
      </c>
      <c r="BF553" s="67">
        <f>+VLOOKUP('3. Blasting'!AK553,Leyenda!$B$47:$E$51,4,FALSE)</f>
        <v>1</v>
      </c>
      <c r="BG553" s="67">
        <f>+VLOOKUP('3. Blasting'!AL553,Leyenda!$B$55:$E$59,4,FALSE)</f>
        <v>1</v>
      </c>
      <c r="BH553" s="67">
        <f>+VLOOKUP('3. Blasting'!AM553,Leyenda!$B$63:$E$67,3,FALSE)</f>
        <v>0</v>
      </c>
      <c r="BI553" s="67">
        <f>+VLOOKUP('3. Blasting'!AJ553,Leyenda!$B$39:$E$43,4,FALSE)</f>
        <v>1</v>
      </c>
      <c r="BJ553" s="67">
        <f>+VLOOKUP('3. Blasting'!AI553,Leyenda!$B$30:$E$34,4,FALSE)</f>
        <v>1</v>
      </c>
      <c r="BK553" s="67">
        <f>VLOOKUP(AN553,Leyenda!$B$71:$E$75,4,FALSE)</f>
        <v>10</v>
      </c>
      <c r="BL553" s="67">
        <f t="shared" si="232"/>
        <v>31</v>
      </c>
      <c r="BM553" s="18">
        <f t="shared" si="233"/>
        <v>23</v>
      </c>
      <c r="BN553" s="18"/>
      <c r="BO553" s="18"/>
      <c r="BS553">
        <f t="shared" si="221"/>
        <v>-50</v>
      </c>
      <c r="BT553">
        <f t="shared" si="222"/>
        <v>0</v>
      </c>
      <c r="BU553">
        <f t="shared" si="223"/>
        <v>-25</v>
      </c>
      <c r="BV553" s="1">
        <f t="shared" si="218"/>
        <v>-0.1</v>
      </c>
      <c r="BW553" s="1">
        <f t="shared" si="219"/>
        <v>0</v>
      </c>
    </row>
    <row r="554" spans="1:75" hidden="1" x14ac:dyDescent="0.25">
      <c r="A554" s="18" t="s">
        <v>6</v>
      </c>
      <c r="B554" s="18">
        <v>2024</v>
      </c>
      <c r="C554" s="18" t="s">
        <v>138</v>
      </c>
      <c r="D554" s="18" t="s">
        <v>266</v>
      </c>
      <c r="E554" s="18">
        <v>50</v>
      </c>
      <c r="F554" s="18" t="s">
        <v>154</v>
      </c>
      <c r="G554" s="18" t="s">
        <v>298</v>
      </c>
      <c r="H554" s="31">
        <f t="shared" si="216"/>
        <v>22.5</v>
      </c>
      <c r="I554" s="31">
        <f t="shared" si="217"/>
        <v>23</v>
      </c>
      <c r="J554" s="4">
        <f t="shared" si="234"/>
        <v>0.5</v>
      </c>
      <c r="K554" s="32">
        <v>0.74</v>
      </c>
      <c r="L554" s="31">
        <f t="shared" si="225"/>
        <v>0.37</v>
      </c>
      <c r="M554" s="31"/>
      <c r="N554" s="31"/>
      <c r="O554" s="18">
        <f t="shared" si="226"/>
        <v>0.37</v>
      </c>
      <c r="P554" s="18">
        <v>18.5</v>
      </c>
      <c r="Q554" s="18">
        <v>20</v>
      </c>
      <c r="R554" s="18">
        <v>0.28000000000000003</v>
      </c>
      <c r="S554" s="18">
        <f>0.15+0.11</f>
        <v>0.26</v>
      </c>
      <c r="T554" s="65">
        <f t="shared" si="235"/>
        <v>52</v>
      </c>
      <c r="U554" s="18">
        <v>3</v>
      </c>
      <c r="V554" s="18"/>
      <c r="W554" s="18">
        <f t="shared" si="211"/>
        <v>3</v>
      </c>
      <c r="X554" s="18">
        <f t="shared" si="212"/>
        <v>93.333333333333329</v>
      </c>
      <c r="Y554" s="31">
        <f t="shared" si="220"/>
        <v>9.3333333333333324E-2</v>
      </c>
      <c r="Z554" s="18">
        <v>0</v>
      </c>
      <c r="AA554" s="18" t="s">
        <v>330</v>
      </c>
      <c r="AB554" s="18" t="s">
        <v>333</v>
      </c>
      <c r="AC554" s="18" t="s">
        <v>335</v>
      </c>
      <c r="AD554" s="18">
        <v>20</v>
      </c>
      <c r="AE554" s="18">
        <v>18.5</v>
      </c>
      <c r="AF554" s="18" t="s">
        <v>34</v>
      </c>
      <c r="AG554" s="18" t="s">
        <v>196</v>
      </c>
      <c r="AH554" s="18" t="s">
        <v>196</v>
      </c>
      <c r="AI554" s="18" t="s">
        <v>66</v>
      </c>
      <c r="AJ554" s="18" t="s">
        <v>79</v>
      </c>
      <c r="AK554" s="18" t="s">
        <v>96</v>
      </c>
      <c r="AL554" s="18" t="s">
        <v>109</v>
      </c>
      <c r="AM554" s="18" t="s">
        <v>122</v>
      </c>
      <c r="AN554" s="18" t="s">
        <v>267</v>
      </c>
      <c r="AO554" s="18" t="s">
        <v>205</v>
      </c>
      <c r="AP554" s="18"/>
      <c r="AQ554" s="18">
        <f>+VLOOKUP(AI554,Leyenda!$B$30:$E$34,3,FALSE)</f>
        <v>1</v>
      </c>
      <c r="AR554" s="36">
        <f>+VLOOKUP('3. Blasting'!AJ554,Meteorizacion,3,FALSE)</f>
        <v>1</v>
      </c>
      <c r="AS554" s="36">
        <f>+VLOOKUP('3. Blasting'!AK554,Apertura,3,FALSE)</f>
        <v>1</v>
      </c>
      <c r="AT554" s="36">
        <f>+VLOOKUP('3. Blasting'!AL554,Leyenda!$B$55:$D$59,3,FALSE)</f>
        <v>1</v>
      </c>
      <c r="AU554" s="36">
        <f>+VLOOKUP('3. Blasting'!AM554,Relleno,3,FALSE)</f>
        <v>0</v>
      </c>
      <c r="AV554" s="36">
        <f t="shared" si="236"/>
        <v>4</v>
      </c>
      <c r="AW554" s="49">
        <f t="shared" si="227"/>
        <v>0</v>
      </c>
      <c r="AX554" s="49">
        <f>VLOOKUP(AF554,Leyenda!$B$4:$D$10,3,FALSE)</f>
        <v>0</v>
      </c>
      <c r="AY554" s="50">
        <f t="shared" si="224"/>
        <v>4</v>
      </c>
      <c r="AZ554" s="49">
        <f t="shared" si="228"/>
        <v>4</v>
      </c>
      <c r="BA554" s="49">
        <f>VLOOKUP(AN554,Leyenda!$B$70:$D$75,3,FALSE)</f>
        <v>15</v>
      </c>
      <c r="BB554" s="67">
        <f t="shared" si="229"/>
        <v>32</v>
      </c>
      <c r="BC554" s="67">
        <f>VLOOKUP(AF554,Leyenda!$B$4:$E$10,4,FALSE)</f>
        <v>0</v>
      </c>
      <c r="BD554" s="67">
        <f t="shared" si="230"/>
        <v>8</v>
      </c>
      <c r="BE554" s="67">
        <f t="shared" si="231"/>
        <v>11</v>
      </c>
      <c r="BF554" s="67">
        <f>+VLOOKUP('3. Blasting'!AK554,Leyenda!$B$47:$E$51,4,FALSE)</f>
        <v>1</v>
      </c>
      <c r="BG554" s="67">
        <f>+VLOOKUP('3. Blasting'!AL554,Leyenda!$B$55:$E$59,4,FALSE)</f>
        <v>1</v>
      </c>
      <c r="BH554" s="67">
        <f>+VLOOKUP('3. Blasting'!AM554,Leyenda!$B$63:$E$67,3,FALSE)</f>
        <v>0</v>
      </c>
      <c r="BI554" s="67">
        <f>+VLOOKUP('3. Blasting'!AJ554,Leyenda!$B$39:$E$43,4,FALSE)</f>
        <v>1</v>
      </c>
      <c r="BJ554" s="67">
        <f>+VLOOKUP('3. Blasting'!AI554,Leyenda!$B$30:$E$34,4,FALSE)</f>
        <v>1</v>
      </c>
      <c r="BK554" s="67">
        <f>VLOOKUP(AN554,Leyenda!$B$71:$E$75,4,FALSE)</f>
        <v>10</v>
      </c>
      <c r="BL554" s="67">
        <f t="shared" si="232"/>
        <v>33</v>
      </c>
      <c r="BM554" s="18">
        <f t="shared" si="233"/>
        <v>23</v>
      </c>
      <c r="BN554" s="18"/>
      <c r="BO554" s="18"/>
      <c r="BS554">
        <f t="shared" si="221"/>
        <v>-50</v>
      </c>
      <c r="BT554">
        <f t="shared" si="222"/>
        <v>0</v>
      </c>
      <c r="BU554">
        <f t="shared" si="223"/>
        <v>-25</v>
      </c>
      <c r="BV554" s="1">
        <f t="shared" si="218"/>
        <v>-0.1</v>
      </c>
      <c r="BW554" s="1">
        <f t="shared" si="219"/>
        <v>0</v>
      </c>
    </row>
    <row r="555" spans="1:75" hidden="1" x14ac:dyDescent="0.25">
      <c r="A555" s="18" t="s">
        <v>6</v>
      </c>
      <c r="B555" s="18">
        <v>2024</v>
      </c>
      <c r="C555" s="18" t="s">
        <v>138</v>
      </c>
      <c r="D555" s="18" t="s">
        <v>266</v>
      </c>
      <c r="E555" s="18">
        <v>50</v>
      </c>
      <c r="F555" s="18" t="s">
        <v>154</v>
      </c>
      <c r="G555" s="18" t="s">
        <v>298</v>
      </c>
      <c r="H555" s="31">
        <f t="shared" si="216"/>
        <v>23</v>
      </c>
      <c r="I555" s="31">
        <f t="shared" si="217"/>
        <v>23.5</v>
      </c>
      <c r="J555" s="4">
        <f t="shared" si="234"/>
        <v>0.5</v>
      </c>
      <c r="K555" s="32">
        <v>0.74</v>
      </c>
      <c r="L555" s="31">
        <f t="shared" si="225"/>
        <v>0.37</v>
      </c>
      <c r="M555" s="31"/>
      <c r="N555" s="31"/>
      <c r="O555" s="18">
        <f t="shared" si="226"/>
        <v>0.37</v>
      </c>
      <c r="P555" s="18">
        <v>18.5</v>
      </c>
      <c r="Q555" s="18">
        <v>20</v>
      </c>
      <c r="R555" s="18">
        <v>0.3</v>
      </c>
      <c r="S555" s="18">
        <v>0.17</v>
      </c>
      <c r="T555" s="65">
        <f t="shared" si="235"/>
        <v>34</v>
      </c>
      <c r="U555" s="18">
        <v>3</v>
      </c>
      <c r="V555" s="18"/>
      <c r="W555" s="18">
        <f t="shared" si="211"/>
        <v>3</v>
      </c>
      <c r="X555" s="18">
        <f t="shared" si="212"/>
        <v>100</v>
      </c>
      <c r="Y555" s="31">
        <f t="shared" si="220"/>
        <v>0.1</v>
      </c>
      <c r="Z555" s="18">
        <v>0</v>
      </c>
      <c r="AA555" s="18" t="s">
        <v>330</v>
      </c>
      <c r="AB555" s="18" t="s">
        <v>333</v>
      </c>
      <c r="AC555" s="18" t="s">
        <v>335</v>
      </c>
      <c r="AD555" s="18">
        <v>20</v>
      </c>
      <c r="AE555" s="18">
        <v>18.5</v>
      </c>
      <c r="AF555" s="18" t="s">
        <v>34</v>
      </c>
      <c r="AG555" s="18" t="s">
        <v>34</v>
      </c>
      <c r="AH555" s="18" t="s">
        <v>34</v>
      </c>
      <c r="AI555" s="18" t="s">
        <v>66</v>
      </c>
      <c r="AJ555" s="18" t="s">
        <v>81</v>
      </c>
      <c r="AK555" s="18" t="s">
        <v>96</v>
      </c>
      <c r="AL555" s="18" t="s">
        <v>109</v>
      </c>
      <c r="AM555" s="18" t="s">
        <v>122</v>
      </c>
      <c r="AN555" s="18" t="s">
        <v>267</v>
      </c>
      <c r="AO555" s="18" t="s">
        <v>276</v>
      </c>
      <c r="AP555" s="18"/>
      <c r="AQ555" s="18">
        <f>+VLOOKUP(AI555,Leyenda!$B$30:$E$34,3,FALSE)</f>
        <v>1</v>
      </c>
      <c r="AR555" s="36">
        <f>+VLOOKUP('3. Blasting'!AJ555,Meteorizacion,3,FALSE)</f>
        <v>0</v>
      </c>
      <c r="AS555" s="36">
        <f>+VLOOKUP('3. Blasting'!AK555,Apertura,3,FALSE)</f>
        <v>1</v>
      </c>
      <c r="AT555" s="36">
        <f>+VLOOKUP('3. Blasting'!AL555,Leyenda!$B$55:$D$59,3,FALSE)</f>
        <v>1</v>
      </c>
      <c r="AU555" s="36">
        <f>+VLOOKUP('3. Blasting'!AM555,Relleno,3,FALSE)</f>
        <v>0</v>
      </c>
      <c r="AV555" s="36">
        <f t="shared" si="236"/>
        <v>3</v>
      </c>
      <c r="AW555" s="49">
        <f t="shared" si="227"/>
        <v>0</v>
      </c>
      <c r="AX555" s="49">
        <f>VLOOKUP(AF555,Leyenda!$B$4:$D$10,3,FALSE)</f>
        <v>0</v>
      </c>
      <c r="AY555" s="50">
        <f t="shared" si="224"/>
        <v>4</v>
      </c>
      <c r="AZ555" s="49">
        <f t="shared" si="228"/>
        <v>3</v>
      </c>
      <c r="BA555" s="49">
        <f>VLOOKUP(AN555,Leyenda!$B$70:$D$75,3,FALSE)</f>
        <v>15</v>
      </c>
      <c r="BB555" s="67">
        <f t="shared" si="229"/>
        <v>21.5</v>
      </c>
      <c r="BC555" s="67">
        <f>VLOOKUP(AF555,Leyenda!$B$4:$E$10,4,FALSE)</f>
        <v>0</v>
      </c>
      <c r="BD555" s="67">
        <f t="shared" si="230"/>
        <v>8</v>
      </c>
      <c r="BE555" s="67">
        <f t="shared" si="231"/>
        <v>7</v>
      </c>
      <c r="BF555" s="67">
        <f>+VLOOKUP('3. Blasting'!AK555,Leyenda!$B$47:$E$51,4,FALSE)</f>
        <v>1</v>
      </c>
      <c r="BG555" s="67">
        <f>+VLOOKUP('3. Blasting'!AL555,Leyenda!$B$55:$E$59,4,FALSE)</f>
        <v>1</v>
      </c>
      <c r="BH555" s="67">
        <f>+VLOOKUP('3. Blasting'!AM555,Leyenda!$B$63:$E$67,3,FALSE)</f>
        <v>0</v>
      </c>
      <c r="BI555" s="67">
        <f>+VLOOKUP('3. Blasting'!AJ555,Leyenda!$B$39:$E$43,4,FALSE)</f>
        <v>0</v>
      </c>
      <c r="BJ555" s="67">
        <f>+VLOOKUP('3. Blasting'!AI555,Leyenda!$B$30:$E$34,4,FALSE)</f>
        <v>1</v>
      </c>
      <c r="BK555" s="67">
        <f>VLOOKUP(AN555,Leyenda!$B$71:$E$75,4,FALSE)</f>
        <v>10</v>
      </c>
      <c r="BL555" s="67">
        <f t="shared" si="232"/>
        <v>28</v>
      </c>
      <c r="BM555" s="18">
        <f t="shared" si="233"/>
        <v>22</v>
      </c>
      <c r="BN555" s="18"/>
      <c r="BO555" s="18"/>
      <c r="BS555">
        <f t="shared" si="221"/>
        <v>-50</v>
      </c>
      <c r="BT555">
        <f t="shared" si="222"/>
        <v>0</v>
      </c>
      <c r="BU555">
        <f t="shared" si="223"/>
        <v>-25</v>
      </c>
      <c r="BV555" s="1">
        <f t="shared" si="218"/>
        <v>-0.1</v>
      </c>
      <c r="BW555" s="1">
        <f t="shared" si="219"/>
        <v>0</v>
      </c>
    </row>
    <row r="556" spans="1:75" hidden="1" x14ac:dyDescent="0.25">
      <c r="A556" s="18" t="s">
        <v>6</v>
      </c>
      <c r="B556" s="18">
        <v>2024</v>
      </c>
      <c r="C556" s="18" t="s">
        <v>138</v>
      </c>
      <c r="D556" s="18" t="s">
        <v>266</v>
      </c>
      <c r="E556" s="18">
        <v>50</v>
      </c>
      <c r="F556" s="18" t="s">
        <v>154</v>
      </c>
      <c r="G556" s="18" t="s">
        <v>298</v>
      </c>
      <c r="H556" s="31">
        <f t="shared" si="216"/>
        <v>23.5</v>
      </c>
      <c r="I556" s="31">
        <f t="shared" si="217"/>
        <v>24</v>
      </c>
      <c r="J556" s="4">
        <f t="shared" si="234"/>
        <v>0.5</v>
      </c>
      <c r="K556" s="32">
        <v>0.6</v>
      </c>
      <c r="L556" s="31">
        <f t="shared" si="225"/>
        <v>0.3</v>
      </c>
      <c r="M556" s="31"/>
      <c r="N556" s="31"/>
      <c r="O556" s="18">
        <f t="shared" si="226"/>
        <v>0.3</v>
      </c>
      <c r="P556" s="18">
        <v>15</v>
      </c>
      <c r="Q556" s="18">
        <v>20</v>
      </c>
      <c r="R556" s="93">
        <v>0.26</v>
      </c>
      <c r="S556" s="18">
        <v>0.11</v>
      </c>
      <c r="T556" s="65">
        <f t="shared" si="235"/>
        <v>22</v>
      </c>
      <c r="U556" s="18">
        <v>3</v>
      </c>
      <c r="V556" s="18"/>
      <c r="W556" s="18">
        <f t="shared" si="211"/>
        <v>3</v>
      </c>
      <c r="X556" s="18">
        <f t="shared" si="212"/>
        <v>86.666666666666671</v>
      </c>
      <c r="Y556" s="31">
        <f t="shared" si="220"/>
        <v>8.666666666666667E-2</v>
      </c>
      <c r="Z556" s="18">
        <v>0</v>
      </c>
      <c r="AA556" s="18" t="s">
        <v>330</v>
      </c>
      <c r="AB556" s="18" t="s">
        <v>333</v>
      </c>
      <c r="AC556" s="18" t="s">
        <v>336</v>
      </c>
      <c r="AD556" s="18">
        <v>20</v>
      </c>
      <c r="AE556" s="18">
        <v>15</v>
      </c>
      <c r="AF556" s="18" t="s">
        <v>32</v>
      </c>
      <c r="AG556" s="18" t="s">
        <v>32</v>
      </c>
      <c r="AH556" s="18" t="s">
        <v>32</v>
      </c>
      <c r="AI556" s="18" t="s">
        <v>64</v>
      </c>
      <c r="AJ556" s="18" t="s">
        <v>79</v>
      </c>
      <c r="AK556" s="18" t="s">
        <v>96</v>
      </c>
      <c r="AL556" s="18" t="s">
        <v>109</v>
      </c>
      <c r="AM556" s="18" t="s">
        <v>120</v>
      </c>
      <c r="AN556" s="18" t="s">
        <v>267</v>
      </c>
      <c r="AO556" s="18" t="s">
        <v>277</v>
      </c>
      <c r="AP556" s="18"/>
      <c r="AQ556" s="18">
        <f>+VLOOKUP(AI556,Leyenda!$B$30:$E$34,3,FALSE)</f>
        <v>2</v>
      </c>
      <c r="AR556" s="36">
        <f>+VLOOKUP('3. Blasting'!AJ556,Meteorizacion,3,FALSE)</f>
        <v>1</v>
      </c>
      <c r="AS556" s="36">
        <f>+VLOOKUP('3. Blasting'!AK556,Apertura,3,FALSE)</f>
        <v>1</v>
      </c>
      <c r="AT556" s="36">
        <f>+VLOOKUP('3. Blasting'!AL556,Leyenda!$B$55:$D$59,3,FALSE)</f>
        <v>1</v>
      </c>
      <c r="AU556" s="36">
        <f>+VLOOKUP('3. Blasting'!AM556,Relleno,3,FALSE)</f>
        <v>2</v>
      </c>
      <c r="AV556" s="36">
        <f t="shared" si="236"/>
        <v>7</v>
      </c>
      <c r="AW556" s="49">
        <f t="shared" si="227"/>
        <v>0</v>
      </c>
      <c r="AX556" s="49">
        <f>VLOOKUP(AF556,Leyenda!$B$4:$D$10,3,FALSE)</f>
        <v>1</v>
      </c>
      <c r="AY556" s="50">
        <f t="shared" si="224"/>
        <v>4</v>
      </c>
      <c r="AZ556" s="49">
        <f t="shared" si="228"/>
        <v>7</v>
      </c>
      <c r="BA556" s="49">
        <f>VLOOKUP(AN556,Leyenda!$B$70:$D$75,3,FALSE)</f>
        <v>15</v>
      </c>
      <c r="BB556" s="67">
        <f t="shared" si="229"/>
        <v>21.5</v>
      </c>
      <c r="BC556" s="67">
        <f>VLOOKUP(AF556,Leyenda!$B$4:$E$10,4,FALSE)</f>
        <v>1</v>
      </c>
      <c r="BD556" s="67">
        <f t="shared" si="230"/>
        <v>7</v>
      </c>
      <c r="BE556" s="67">
        <f t="shared" si="231"/>
        <v>5</v>
      </c>
      <c r="BF556" s="67">
        <f>+VLOOKUP('3. Blasting'!AK556,Leyenda!$B$47:$E$51,4,FALSE)</f>
        <v>1</v>
      </c>
      <c r="BG556" s="67">
        <f>+VLOOKUP('3. Blasting'!AL556,Leyenda!$B$55:$E$59,4,FALSE)</f>
        <v>1</v>
      </c>
      <c r="BH556" s="67">
        <f>+VLOOKUP('3. Blasting'!AM556,Leyenda!$B$63:$E$67,3,FALSE)</f>
        <v>2</v>
      </c>
      <c r="BI556" s="67">
        <f>+VLOOKUP('3. Blasting'!AJ556,Leyenda!$B$39:$E$43,4,FALSE)</f>
        <v>1</v>
      </c>
      <c r="BJ556" s="67">
        <f>+VLOOKUP('3. Blasting'!AI556,Leyenda!$B$30:$E$34,4,FALSE)</f>
        <v>3</v>
      </c>
      <c r="BK556" s="67">
        <f>VLOOKUP(AN556,Leyenda!$B$71:$E$75,4,FALSE)</f>
        <v>10</v>
      </c>
      <c r="BL556" s="67">
        <f t="shared" si="232"/>
        <v>31</v>
      </c>
      <c r="BM556" s="18">
        <f t="shared" si="233"/>
        <v>27</v>
      </c>
      <c r="BN556" s="18"/>
      <c r="BO556" s="18"/>
      <c r="BS556">
        <f t="shared" si="221"/>
        <v>-50</v>
      </c>
      <c r="BT556">
        <f t="shared" si="222"/>
        <v>0</v>
      </c>
      <c r="BU556">
        <f t="shared" si="223"/>
        <v>-25</v>
      </c>
      <c r="BV556" s="1">
        <f t="shared" si="218"/>
        <v>-0.1</v>
      </c>
      <c r="BW556" s="1">
        <f t="shared" si="219"/>
        <v>0</v>
      </c>
    </row>
    <row r="557" spans="1:75" hidden="1" x14ac:dyDescent="0.25">
      <c r="A557" s="18" t="s">
        <v>6</v>
      </c>
      <c r="B557" s="18">
        <v>2024</v>
      </c>
      <c r="C557" s="18" t="s">
        <v>138</v>
      </c>
      <c r="D557" s="18" t="s">
        <v>266</v>
      </c>
      <c r="E557" s="18">
        <v>50</v>
      </c>
      <c r="F557" s="18" t="s">
        <v>154</v>
      </c>
      <c r="G557" s="18" t="s">
        <v>298</v>
      </c>
      <c r="H557" s="31">
        <f t="shared" si="216"/>
        <v>24</v>
      </c>
      <c r="I557" s="31">
        <f t="shared" si="217"/>
        <v>24.5</v>
      </c>
      <c r="J557" s="4">
        <f t="shared" si="234"/>
        <v>0.5</v>
      </c>
      <c r="K557" s="32">
        <v>0.7</v>
      </c>
      <c r="L557" s="31">
        <f t="shared" si="225"/>
        <v>0.35</v>
      </c>
      <c r="M557" s="31"/>
      <c r="N557" s="31"/>
      <c r="O557" s="18">
        <f t="shared" si="226"/>
        <v>0.35</v>
      </c>
      <c r="P557" s="18">
        <v>17.5</v>
      </c>
      <c r="Q557" s="18">
        <v>20</v>
      </c>
      <c r="R557" s="18">
        <v>0.36</v>
      </c>
      <c r="S557" s="18">
        <v>0.33</v>
      </c>
      <c r="T557" s="65">
        <f t="shared" si="235"/>
        <v>66</v>
      </c>
      <c r="U557" s="18">
        <v>2</v>
      </c>
      <c r="V557" s="18"/>
      <c r="W557" s="18">
        <f t="shared" si="211"/>
        <v>2</v>
      </c>
      <c r="X557" s="18">
        <f t="shared" si="212"/>
        <v>180</v>
      </c>
      <c r="Y557" s="31">
        <f t="shared" si="220"/>
        <v>0.18</v>
      </c>
      <c r="Z557" s="18">
        <v>0</v>
      </c>
      <c r="AA557" s="18" t="s">
        <v>330</v>
      </c>
      <c r="AB557" s="18" t="s">
        <v>333</v>
      </c>
      <c r="AC557" s="18" t="s">
        <v>336</v>
      </c>
      <c r="AD557" s="18">
        <v>20</v>
      </c>
      <c r="AE557" s="18">
        <v>17.5</v>
      </c>
      <c r="AF557" s="18" t="s">
        <v>32</v>
      </c>
      <c r="AG557" s="18" t="s">
        <v>34</v>
      </c>
      <c r="AH557" s="18" t="s">
        <v>34</v>
      </c>
      <c r="AI557" s="18" t="s">
        <v>66</v>
      </c>
      <c r="AJ557" s="18" t="s">
        <v>81</v>
      </c>
      <c r="AK557" s="18" t="s">
        <v>100</v>
      </c>
      <c r="AL557" s="18" t="s">
        <v>107</v>
      </c>
      <c r="AM557" s="18" t="s">
        <v>120</v>
      </c>
      <c r="AN557" s="18" t="s">
        <v>267</v>
      </c>
      <c r="AO557" s="18" t="s">
        <v>275</v>
      </c>
      <c r="AP557" s="18"/>
      <c r="AQ557" s="18">
        <f>+VLOOKUP(AI557,Leyenda!$B$30:$E$34,3,FALSE)</f>
        <v>1</v>
      </c>
      <c r="AR557" s="36">
        <f>+VLOOKUP('3. Blasting'!AJ557,Meteorizacion,3,FALSE)</f>
        <v>0</v>
      </c>
      <c r="AS557" s="36">
        <f>+VLOOKUP('3. Blasting'!AK557,Apertura,3,FALSE)</f>
        <v>0</v>
      </c>
      <c r="AT557" s="36">
        <f>+VLOOKUP('3. Blasting'!AL557,Leyenda!$B$55:$D$59,3,FALSE)</f>
        <v>3</v>
      </c>
      <c r="AU557" s="36">
        <f>+VLOOKUP('3. Blasting'!AM557,Relleno,3,FALSE)</f>
        <v>2</v>
      </c>
      <c r="AV557" s="36">
        <f t="shared" si="236"/>
        <v>6</v>
      </c>
      <c r="AW557" s="49">
        <f t="shared" si="227"/>
        <v>0</v>
      </c>
      <c r="AX557" s="49">
        <f>VLOOKUP(AF557,Leyenda!$B$4:$D$10,3,FALSE)</f>
        <v>1</v>
      </c>
      <c r="AY557" s="50">
        <f t="shared" si="224"/>
        <v>4</v>
      </c>
      <c r="AZ557" s="49">
        <f t="shared" si="228"/>
        <v>6</v>
      </c>
      <c r="BA557" s="49">
        <f>VLOOKUP(AN557,Leyenda!$B$70:$D$75,3,FALSE)</f>
        <v>15</v>
      </c>
      <c r="BB557" s="67">
        <f t="shared" si="229"/>
        <v>42</v>
      </c>
      <c r="BC557" s="67">
        <f>VLOOKUP(AF557,Leyenda!$B$4:$E$10,4,FALSE)</f>
        <v>1</v>
      </c>
      <c r="BD557" s="67">
        <f t="shared" si="230"/>
        <v>12</v>
      </c>
      <c r="BE557" s="67">
        <f t="shared" si="231"/>
        <v>14</v>
      </c>
      <c r="BF557" s="67">
        <f>+VLOOKUP('3. Blasting'!AK557,Leyenda!$B$47:$E$51,4,FALSE)</f>
        <v>0</v>
      </c>
      <c r="BG557" s="67">
        <f>+VLOOKUP('3. Blasting'!AL557,Leyenda!$B$55:$E$59,4,FALSE)</f>
        <v>3</v>
      </c>
      <c r="BH557" s="67">
        <f>+VLOOKUP('3. Blasting'!AM557,Leyenda!$B$63:$E$67,3,FALSE)</f>
        <v>2</v>
      </c>
      <c r="BI557" s="67">
        <f>+VLOOKUP('3. Blasting'!AJ557,Leyenda!$B$39:$E$43,4,FALSE)</f>
        <v>0</v>
      </c>
      <c r="BJ557" s="67">
        <f>+VLOOKUP('3. Blasting'!AI557,Leyenda!$B$30:$E$34,4,FALSE)</f>
        <v>1</v>
      </c>
      <c r="BK557" s="67">
        <f>VLOOKUP(AN557,Leyenda!$B$71:$E$75,4,FALSE)</f>
        <v>10</v>
      </c>
      <c r="BL557" s="67">
        <f t="shared" si="232"/>
        <v>43</v>
      </c>
      <c r="BM557" s="18">
        <f t="shared" si="233"/>
        <v>26</v>
      </c>
      <c r="BN557" s="18"/>
      <c r="BO557" s="18"/>
      <c r="BS557">
        <f t="shared" si="221"/>
        <v>-50</v>
      </c>
      <c r="BT557">
        <f t="shared" si="222"/>
        <v>0</v>
      </c>
      <c r="BU557">
        <f t="shared" si="223"/>
        <v>-25</v>
      </c>
      <c r="BV557" s="1">
        <f t="shared" si="218"/>
        <v>-0.1</v>
      </c>
      <c r="BW557" s="1">
        <f t="shared" si="219"/>
        <v>0</v>
      </c>
    </row>
    <row r="558" spans="1:75" hidden="1" x14ac:dyDescent="0.25">
      <c r="A558" s="18" t="s">
        <v>6</v>
      </c>
      <c r="B558" s="18">
        <v>2024</v>
      </c>
      <c r="C558" s="18" t="s">
        <v>138</v>
      </c>
      <c r="D558" s="18" t="s">
        <v>266</v>
      </c>
      <c r="E558" s="18">
        <v>50</v>
      </c>
      <c r="F558" s="18" t="s">
        <v>154</v>
      </c>
      <c r="G558" s="18" t="s">
        <v>298</v>
      </c>
      <c r="H558" s="31">
        <f t="shared" si="216"/>
        <v>24.5</v>
      </c>
      <c r="I558" s="31">
        <f t="shared" si="217"/>
        <v>25</v>
      </c>
      <c r="J558" s="4">
        <f t="shared" si="234"/>
        <v>0.5</v>
      </c>
      <c r="K558" s="32">
        <v>0.88</v>
      </c>
      <c r="L558" s="31">
        <f t="shared" si="225"/>
        <v>0.44</v>
      </c>
      <c r="M558" s="31"/>
      <c r="N558" s="31"/>
      <c r="O558" s="18">
        <f t="shared" si="226"/>
        <v>0.44</v>
      </c>
      <c r="P558" s="18">
        <v>22</v>
      </c>
      <c r="Q558" s="18">
        <v>20</v>
      </c>
      <c r="R558" s="18">
        <f>0.13+0.24</f>
        <v>0.37</v>
      </c>
      <c r="S558" s="18">
        <v>0.1</v>
      </c>
      <c r="T558" s="65">
        <f t="shared" si="235"/>
        <v>20</v>
      </c>
      <c r="U558" s="18">
        <v>3</v>
      </c>
      <c r="V558" s="18"/>
      <c r="W558" s="18">
        <f t="shared" si="211"/>
        <v>3</v>
      </c>
      <c r="X558" s="18">
        <f t="shared" si="212"/>
        <v>123.33333333333333</v>
      </c>
      <c r="Y558" s="31">
        <f t="shared" si="220"/>
        <v>0.12333333333333332</v>
      </c>
      <c r="Z558" s="18">
        <v>0</v>
      </c>
      <c r="AA558" s="18" t="s">
        <v>330</v>
      </c>
      <c r="AB558" s="18" t="s">
        <v>333</v>
      </c>
      <c r="AC558" s="18" t="s">
        <v>336</v>
      </c>
      <c r="AD558" s="18">
        <v>20</v>
      </c>
      <c r="AE558" s="18">
        <v>22</v>
      </c>
      <c r="AF558" s="18" t="s">
        <v>32</v>
      </c>
      <c r="AG558" s="18" t="s">
        <v>34</v>
      </c>
      <c r="AH558" s="18" t="s">
        <v>34</v>
      </c>
      <c r="AI558" s="18" t="s">
        <v>66</v>
      </c>
      <c r="AJ558" s="18" t="s">
        <v>81</v>
      </c>
      <c r="AK558" s="18" t="s">
        <v>96</v>
      </c>
      <c r="AL558" s="18" t="s">
        <v>109</v>
      </c>
      <c r="AM558" s="18" t="s">
        <v>120</v>
      </c>
      <c r="AN558" s="18" t="s">
        <v>267</v>
      </c>
      <c r="AO558" s="18" t="s">
        <v>278</v>
      </c>
      <c r="AP558" s="18"/>
      <c r="AQ558" s="18">
        <f>+VLOOKUP(AI558,Leyenda!$B$30:$E$34,3,FALSE)</f>
        <v>1</v>
      </c>
      <c r="AR558" s="36">
        <f>+VLOOKUP('3. Blasting'!AJ558,Meteorizacion,3,FALSE)</f>
        <v>0</v>
      </c>
      <c r="AS558" s="36">
        <f>+VLOOKUP('3. Blasting'!AK558,Apertura,3,FALSE)</f>
        <v>1</v>
      </c>
      <c r="AT558" s="36">
        <f>+VLOOKUP('3. Blasting'!AL558,Leyenda!$B$55:$D$59,3,FALSE)</f>
        <v>1</v>
      </c>
      <c r="AU558" s="36">
        <f>+VLOOKUP('3. Blasting'!AM558,Relleno,3,FALSE)</f>
        <v>2</v>
      </c>
      <c r="AV558" s="36">
        <f t="shared" si="236"/>
        <v>5</v>
      </c>
      <c r="AW558" s="49">
        <f t="shared" si="227"/>
        <v>0</v>
      </c>
      <c r="AX558" s="49">
        <f>VLOOKUP(AF558,Leyenda!$B$4:$D$10,3,FALSE)</f>
        <v>1</v>
      </c>
      <c r="AY558" s="50">
        <f t="shared" si="224"/>
        <v>4</v>
      </c>
      <c r="AZ558" s="49">
        <f t="shared" si="228"/>
        <v>5</v>
      </c>
      <c r="BA558" s="49">
        <f>VLOOKUP(AN558,Leyenda!$B$70:$D$75,3,FALSE)</f>
        <v>15</v>
      </c>
      <c r="BB558" s="67">
        <f t="shared" si="229"/>
        <v>17.5</v>
      </c>
      <c r="BC558" s="67">
        <f>VLOOKUP(AF558,Leyenda!$B$4:$E$10,4,FALSE)</f>
        <v>1</v>
      </c>
      <c r="BD558" s="67">
        <f t="shared" si="230"/>
        <v>9</v>
      </c>
      <c r="BE558" s="67">
        <f t="shared" si="231"/>
        <v>4</v>
      </c>
      <c r="BF558" s="67">
        <f>+VLOOKUP('3. Blasting'!AK558,Leyenda!$B$47:$E$51,4,FALSE)</f>
        <v>1</v>
      </c>
      <c r="BG558" s="67">
        <f>+VLOOKUP('3. Blasting'!AL558,Leyenda!$B$55:$E$59,4,FALSE)</f>
        <v>1</v>
      </c>
      <c r="BH558" s="67">
        <f>+VLOOKUP('3. Blasting'!AM558,Leyenda!$B$63:$E$67,3,FALSE)</f>
        <v>2</v>
      </c>
      <c r="BI558" s="67">
        <f>+VLOOKUP('3. Blasting'!AJ558,Leyenda!$B$39:$E$43,4,FALSE)</f>
        <v>0</v>
      </c>
      <c r="BJ558" s="67">
        <f>+VLOOKUP('3. Blasting'!AI558,Leyenda!$B$30:$E$34,4,FALSE)</f>
        <v>1</v>
      </c>
      <c r="BK558" s="67">
        <f>VLOOKUP(AN558,Leyenda!$B$71:$E$75,4,FALSE)</f>
        <v>10</v>
      </c>
      <c r="BL558" s="67">
        <f t="shared" si="232"/>
        <v>29</v>
      </c>
      <c r="BM558" s="18">
        <f t="shared" si="233"/>
        <v>25</v>
      </c>
      <c r="BN558" s="18"/>
      <c r="BO558" s="18"/>
      <c r="BS558">
        <f t="shared" si="221"/>
        <v>-50</v>
      </c>
      <c r="BT558">
        <f t="shared" si="222"/>
        <v>0</v>
      </c>
      <c r="BU558">
        <f t="shared" si="223"/>
        <v>-25</v>
      </c>
      <c r="BV558" s="1">
        <f t="shared" si="218"/>
        <v>-0.1</v>
      </c>
      <c r="BW558" s="1">
        <f t="shared" si="219"/>
        <v>0</v>
      </c>
    </row>
    <row r="559" spans="1:75" hidden="1" x14ac:dyDescent="0.25">
      <c r="A559" s="18" t="s">
        <v>6</v>
      </c>
      <c r="B559" s="18">
        <v>2024</v>
      </c>
      <c r="C559" s="18" t="s">
        <v>138</v>
      </c>
      <c r="D559" s="18" t="s">
        <v>266</v>
      </c>
      <c r="E559" s="18">
        <v>50</v>
      </c>
      <c r="F559" s="18" t="s">
        <v>154</v>
      </c>
      <c r="G559" s="18" t="s">
        <v>298</v>
      </c>
      <c r="H559" s="31">
        <f t="shared" si="216"/>
        <v>25</v>
      </c>
      <c r="I559" s="31">
        <f t="shared" si="217"/>
        <v>25.5</v>
      </c>
      <c r="J559" s="4">
        <f t="shared" si="234"/>
        <v>0.5</v>
      </c>
      <c r="K559" s="32">
        <v>0.81</v>
      </c>
      <c r="L559" s="31">
        <f t="shared" si="225"/>
        <v>0.40500000000000003</v>
      </c>
      <c r="M559" s="31"/>
      <c r="N559" s="31"/>
      <c r="O559" s="18">
        <f t="shared" si="226"/>
        <v>0.40500000000000003</v>
      </c>
      <c r="P559" s="18">
        <v>20.25</v>
      </c>
      <c r="Q559" s="18">
        <v>20</v>
      </c>
      <c r="R559" s="18">
        <v>0.39</v>
      </c>
      <c r="S559" s="18">
        <v>0.21</v>
      </c>
      <c r="T559" s="65">
        <f t="shared" si="235"/>
        <v>42</v>
      </c>
      <c r="U559" s="18">
        <v>4</v>
      </c>
      <c r="V559" s="18"/>
      <c r="W559" s="18">
        <f t="shared" si="211"/>
        <v>4</v>
      </c>
      <c r="X559" s="18">
        <f t="shared" si="212"/>
        <v>97.5</v>
      </c>
      <c r="Y559" s="31">
        <f t="shared" si="220"/>
        <v>9.7500000000000003E-2</v>
      </c>
      <c r="Z559" s="18">
        <v>0</v>
      </c>
      <c r="AA559" s="18" t="s">
        <v>330</v>
      </c>
      <c r="AB559" s="18" t="s">
        <v>333</v>
      </c>
      <c r="AC559" s="18" t="s">
        <v>336</v>
      </c>
      <c r="AD559" s="18">
        <v>20</v>
      </c>
      <c r="AE559" s="18">
        <v>20.25</v>
      </c>
      <c r="AF559" s="18" t="s">
        <v>32</v>
      </c>
      <c r="AG559" s="18" t="s">
        <v>34</v>
      </c>
      <c r="AH559" s="18" t="s">
        <v>34</v>
      </c>
      <c r="AI559" s="18" t="s">
        <v>66</v>
      </c>
      <c r="AJ559" s="18" t="s">
        <v>81</v>
      </c>
      <c r="AK559" s="18" t="s">
        <v>96</v>
      </c>
      <c r="AL559" s="18" t="s">
        <v>109</v>
      </c>
      <c r="AM559" s="18" t="s">
        <v>120</v>
      </c>
      <c r="AN559" s="18" t="s">
        <v>267</v>
      </c>
      <c r="AO559" s="18" t="s">
        <v>279</v>
      </c>
      <c r="AP559" s="18"/>
      <c r="AQ559" s="18">
        <f>+VLOOKUP(AI559,Leyenda!$B$30:$E$34,3,FALSE)</f>
        <v>1</v>
      </c>
      <c r="AR559" s="36">
        <f>+VLOOKUP('3. Blasting'!AJ559,Meteorizacion,3,FALSE)</f>
        <v>0</v>
      </c>
      <c r="AS559" s="36">
        <f>+VLOOKUP('3. Blasting'!AK559,Apertura,3,FALSE)</f>
        <v>1</v>
      </c>
      <c r="AT559" s="36">
        <f>+VLOOKUP('3. Blasting'!AL559,Leyenda!$B$55:$D$59,3,FALSE)</f>
        <v>1</v>
      </c>
      <c r="AU559" s="36">
        <f>+VLOOKUP('3. Blasting'!AM559,Relleno,3,FALSE)</f>
        <v>2</v>
      </c>
      <c r="AV559" s="36">
        <f t="shared" si="236"/>
        <v>5</v>
      </c>
      <c r="AW559" s="49">
        <f t="shared" si="227"/>
        <v>0</v>
      </c>
      <c r="AX559" s="49">
        <f>VLOOKUP(AF559,Leyenda!$B$4:$D$10,3,FALSE)</f>
        <v>1</v>
      </c>
      <c r="AY559" s="50">
        <f t="shared" si="224"/>
        <v>4</v>
      </c>
      <c r="AZ559" s="49">
        <f t="shared" si="228"/>
        <v>5</v>
      </c>
      <c r="BA559" s="49">
        <f>VLOOKUP(AN559,Leyenda!$B$70:$D$75,3,FALSE)</f>
        <v>15</v>
      </c>
      <c r="BB559" s="67">
        <f t="shared" si="229"/>
        <v>28.5</v>
      </c>
      <c r="BC559" s="67">
        <f>VLOOKUP(AF559,Leyenda!$B$4:$E$10,4,FALSE)</f>
        <v>1</v>
      </c>
      <c r="BD559" s="67">
        <f t="shared" si="230"/>
        <v>8</v>
      </c>
      <c r="BE559" s="67">
        <f t="shared" si="231"/>
        <v>9</v>
      </c>
      <c r="BF559" s="67">
        <f>+VLOOKUP('3. Blasting'!AK559,Leyenda!$B$47:$E$51,4,FALSE)</f>
        <v>1</v>
      </c>
      <c r="BG559" s="67">
        <f>+VLOOKUP('3. Blasting'!AL559,Leyenda!$B$55:$E$59,4,FALSE)</f>
        <v>1</v>
      </c>
      <c r="BH559" s="67">
        <f>+VLOOKUP('3. Blasting'!AM559,Leyenda!$B$63:$E$67,3,FALSE)</f>
        <v>2</v>
      </c>
      <c r="BI559" s="67">
        <f>+VLOOKUP('3. Blasting'!AJ559,Leyenda!$B$39:$E$43,4,FALSE)</f>
        <v>0</v>
      </c>
      <c r="BJ559" s="67">
        <f>+VLOOKUP('3. Blasting'!AI559,Leyenda!$B$30:$E$34,4,FALSE)</f>
        <v>1</v>
      </c>
      <c r="BK559" s="67">
        <f>VLOOKUP(AN559,Leyenda!$B$71:$E$75,4,FALSE)</f>
        <v>10</v>
      </c>
      <c r="BL559" s="67">
        <f t="shared" si="232"/>
        <v>33</v>
      </c>
      <c r="BM559" s="18">
        <f t="shared" si="233"/>
        <v>25</v>
      </c>
      <c r="BN559" s="18"/>
      <c r="BO559" s="18"/>
      <c r="BS559">
        <f t="shared" si="221"/>
        <v>-50</v>
      </c>
      <c r="BT559">
        <f t="shared" si="222"/>
        <v>0</v>
      </c>
      <c r="BU559">
        <f t="shared" si="223"/>
        <v>-25</v>
      </c>
      <c r="BV559" s="1">
        <f t="shared" si="218"/>
        <v>-0.1</v>
      </c>
      <c r="BW559" s="1">
        <f t="shared" si="219"/>
        <v>0</v>
      </c>
    </row>
    <row r="560" spans="1:75" hidden="1" x14ac:dyDescent="0.25">
      <c r="A560" s="36" t="s">
        <v>6</v>
      </c>
      <c r="B560" s="36">
        <v>2024</v>
      </c>
      <c r="C560" s="36" t="s">
        <v>138</v>
      </c>
      <c r="D560" s="36" t="s">
        <v>266</v>
      </c>
      <c r="E560" s="36">
        <v>50</v>
      </c>
      <c r="F560" s="36" t="s">
        <v>154</v>
      </c>
      <c r="G560" s="36" t="s">
        <v>298</v>
      </c>
      <c r="H560" s="106">
        <f t="shared" si="216"/>
        <v>25.5</v>
      </c>
      <c r="I560" s="106">
        <f t="shared" si="217"/>
        <v>26</v>
      </c>
      <c r="J560" s="107">
        <f t="shared" si="234"/>
        <v>0.5</v>
      </c>
      <c r="K560" s="113">
        <v>0.94</v>
      </c>
      <c r="L560" s="106">
        <f t="shared" si="225"/>
        <v>0.47</v>
      </c>
      <c r="M560" s="106"/>
      <c r="N560" s="106"/>
      <c r="O560" s="36">
        <f t="shared" si="226"/>
        <v>0.47</v>
      </c>
      <c r="P560" s="36">
        <v>23.5</v>
      </c>
      <c r="Q560" s="36">
        <v>20</v>
      </c>
      <c r="R560" s="36">
        <v>0.38</v>
      </c>
      <c r="S560" s="36">
        <v>0.12</v>
      </c>
      <c r="T560" s="112">
        <f t="shared" si="235"/>
        <v>24</v>
      </c>
      <c r="U560" s="36">
        <v>6</v>
      </c>
      <c r="V560" s="36"/>
      <c r="W560" s="36">
        <f t="shared" si="211"/>
        <v>6</v>
      </c>
      <c r="X560" s="36">
        <f t="shared" si="212"/>
        <v>63.333333333333336</v>
      </c>
      <c r="Y560" s="106">
        <f t="shared" si="220"/>
        <v>6.3333333333333339E-2</v>
      </c>
      <c r="Z560" s="36">
        <v>0</v>
      </c>
      <c r="AA560" s="36" t="s">
        <v>330</v>
      </c>
      <c r="AB560" s="36" t="s">
        <v>333</v>
      </c>
      <c r="AC560" s="36" t="s">
        <v>336</v>
      </c>
      <c r="AD560" s="36">
        <v>20</v>
      </c>
      <c r="AE560" s="36">
        <v>23.5</v>
      </c>
      <c r="AF560" s="36" t="s">
        <v>32</v>
      </c>
      <c r="AG560" s="36" t="s">
        <v>34</v>
      </c>
      <c r="AH560" s="36" t="s">
        <v>34</v>
      </c>
      <c r="AI560" s="36" t="s">
        <v>69</v>
      </c>
      <c r="AJ560" s="36" t="s">
        <v>81</v>
      </c>
      <c r="AK560" s="36" t="s">
        <v>100</v>
      </c>
      <c r="AL560" s="36" t="s">
        <v>109</v>
      </c>
      <c r="AM560" s="36" t="s">
        <v>122</v>
      </c>
      <c r="AN560" s="36" t="s">
        <v>267</v>
      </c>
      <c r="AO560" s="36" t="s">
        <v>280</v>
      </c>
      <c r="AP560" s="36"/>
      <c r="AQ560" s="36">
        <f>+VLOOKUP(AI560,Leyenda!$B$30:$E$34,3,FALSE)</f>
        <v>0</v>
      </c>
      <c r="AR560" s="36">
        <f>+VLOOKUP('3. Blasting'!AJ560,Meteorizacion,3,FALSE)</f>
        <v>0</v>
      </c>
      <c r="AS560" s="36">
        <f>+VLOOKUP('3. Blasting'!AK560,Apertura,3,FALSE)</f>
        <v>0</v>
      </c>
      <c r="AT560" s="36">
        <f>+VLOOKUP('3. Blasting'!AL560,Leyenda!$B$55:$D$59,3,FALSE)</f>
        <v>1</v>
      </c>
      <c r="AU560" s="36">
        <f>+VLOOKUP('3. Blasting'!AM560,Relleno,3,FALSE)</f>
        <v>0</v>
      </c>
      <c r="AV560" s="36">
        <f t="shared" si="236"/>
        <v>1</v>
      </c>
      <c r="AW560" s="50">
        <f t="shared" si="227"/>
        <v>0</v>
      </c>
      <c r="AX560" s="50">
        <f>VLOOKUP(AF560,Leyenda!$B$4:$D$10,3,FALSE)</f>
        <v>1</v>
      </c>
      <c r="AY560" s="50">
        <f t="shared" si="224"/>
        <v>4</v>
      </c>
      <c r="AZ560" s="50">
        <f t="shared" si="228"/>
        <v>1</v>
      </c>
      <c r="BA560" s="50">
        <f>VLOOKUP(AN560,Leyenda!$B$70:$D$75,3,FALSE)</f>
        <v>15</v>
      </c>
      <c r="BB560" s="110">
        <f t="shared" si="229"/>
        <v>13.5</v>
      </c>
      <c r="BC560" s="110">
        <f>VLOOKUP(AF560,Leyenda!$B$4:$E$10,4,FALSE)</f>
        <v>1</v>
      </c>
      <c r="BD560" s="110">
        <f t="shared" si="230"/>
        <v>5</v>
      </c>
      <c r="BE560" s="110">
        <f t="shared" si="231"/>
        <v>5</v>
      </c>
      <c r="BF560" s="110">
        <f>+VLOOKUP('3. Blasting'!AK560,Leyenda!$B$47:$E$51,4,FALSE)</f>
        <v>0</v>
      </c>
      <c r="BG560" s="110">
        <f>+VLOOKUP('3. Blasting'!AL560,Leyenda!$B$55:$E$59,4,FALSE)</f>
        <v>1</v>
      </c>
      <c r="BH560" s="110">
        <f>+VLOOKUP('3. Blasting'!AM560,Leyenda!$B$63:$E$67,3,FALSE)</f>
        <v>0</v>
      </c>
      <c r="BI560" s="110">
        <f>+VLOOKUP('3. Blasting'!AJ560,Leyenda!$B$39:$E$43,4,FALSE)</f>
        <v>0</v>
      </c>
      <c r="BJ560" s="110">
        <f>+VLOOKUP('3. Blasting'!AI560,Leyenda!$B$30:$E$34,4,FALSE)</f>
        <v>0</v>
      </c>
      <c r="BK560" s="110">
        <f>VLOOKUP(AN560,Leyenda!$B$71:$E$75,4,FALSE)</f>
        <v>10</v>
      </c>
      <c r="BL560" s="110">
        <f t="shared" si="232"/>
        <v>22</v>
      </c>
      <c r="BM560" s="36">
        <f t="shared" si="233"/>
        <v>21</v>
      </c>
      <c r="BN560" s="36"/>
      <c r="BO560" s="36"/>
      <c r="BS560">
        <f t="shared" si="221"/>
        <v>-50</v>
      </c>
      <c r="BT560">
        <f t="shared" si="222"/>
        <v>0</v>
      </c>
      <c r="BU560">
        <f t="shared" si="223"/>
        <v>-25</v>
      </c>
      <c r="BV560" s="1">
        <f t="shared" si="218"/>
        <v>-0.1</v>
      </c>
      <c r="BW560" s="1">
        <f t="shared" si="219"/>
        <v>0</v>
      </c>
    </row>
    <row r="561" spans="1:75" x14ac:dyDescent="0.25">
      <c r="A561" s="18" t="s">
        <v>6</v>
      </c>
      <c r="B561" s="18">
        <v>2024</v>
      </c>
      <c r="C561" s="18" t="s">
        <v>138</v>
      </c>
      <c r="D561" s="18" t="s">
        <v>266</v>
      </c>
      <c r="E561" s="18">
        <v>40</v>
      </c>
      <c r="F561" s="18" t="s">
        <v>153</v>
      </c>
      <c r="G561" s="18" t="s">
        <v>298</v>
      </c>
      <c r="H561" s="31">
        <f t="shared" si="216"/>
        <v>26</v>
      </c>
      <c r="I561" s="31">
        <f t="shared" si="217"/>
        <v>26.5</v>
      </c>
      <c r="J561" s="4">
        <f t="shared" si="234"/>
        <v>0.5</v>
      </c>
      <c r="K561" s="32">
        <v>0.4</v>
      </c>
      <c r="L561" s="31">
        <f>+J561*K561</f>
        <v>0.2</v>
      </c>
      <c r="M561" s="31">
        <v>2.14</v>
      </c>
      <c r="N561" s="31">
        <v>31.3</v>
      </c>
      <c r="O561" s="18">
        <f t="shared" si="226"/>
        <v>0.2</v>
      </c>
      <c r="P561" s="18">
        <v>10</v>
      </c>
      <c r="Q561" s="18">
        <v>20</v>
      </c>
      <c r="R561" s="18">
        <v>0.19</v>
      </c>
      <c r="S561" s="18">
        <v>0</v>
      </c>
      <c r="T561" s="65">
        <f t="shared" si="235"/>
        <v>0</v>
      </c>
      <c r="U561" s="18">
        <v>5</v>
      </c>
      <c r="V561" s="18"/>
      <c r="W561" s="18">
        <f t="shared" si="211"/>
        <v>5</v>
      </c>
      <c r="X561" s="18">
        <f t="shared" si="212"/>
        <v>38</v>
      </c>
      <c r="Y561" s="31">
        <f t="shared" si="220"/>
        <v>3.7999999999999999E-2</v>
      </c>
      <c r="Z561" s="18">
        <v>0</v>
      </c>
      <c r="AA561" s="18" t="s">
        <v>330</v>
      </c>
      <c r="AB561" s="18" t="s">
        <v>333</v>
      </c>
      <c r="AC561" s="18" t="s">
        <v>336</v>
      </c>
      <c r="AD561" s="18">
        <v>20</v>
      </c>
      <c r="AE561" s="18">
        <v>10</v>
      </c>
      <c r="AF561" s="18" t="s">
        <v>32</v>
      </c>
      <c r="AG561" s="18" t="s">
        <v>34</v>
      </c>
      <c r="AH561" s="18" t="s">
        <v>34</v>
      </c>
      <c r="AI561" s="18" t="s">
        <v>66</v>
      </c>
      <c r="AJ561" s="18" t="s">
        <v>79</v>
      </c>
      <c r="AK561" s="18" t="s">
        <v>96</v>
      </c>
      <c r="AL561" s="18" t="s">
        <v>109</v>
      </c>
      <c r="AM561" s="18" t="s">
        <v>120</v>
      </c>
      <c r="AN561" s="18" t="s">
        <v>247</v>
      </c>
      <c r="AO561" s="18"/>
      <c r="AP561" s="18"/>
      <c r="AQ561" s="18">
        <f>+VLOOKUP(AI561,Leyenda!$B$30:$E$34,3,FALSE)</f>
        <v>1</v>
      </c>
      <c r="AR561" s="18">
        <f>+VLOOKUP('3. Blasting'!AJ561,Meteorizacion,3,FALSE)</f>
        <v>1</v>
      </c>
      <c r="AS561" s="18">
        <f>+VLOOKUP('3. Blasting'!AK561,Apertura,3,FALSE)</f>
        <v>1</v>
      </c>
      <c r="AT561" s="18">
        <f>+VLOOKUP('3. Blasting'!AL561,Leyenda!$B$55:$D$59,3,FALSE)</f>
        <v>1</v>
      </c>
      <c r="AU561" s="18">
        <f>+VLOOKUP('3. Blasting'!AM561,Relleno,3,FALSE)</f>
        <v>2</v>
      </c>
      <c r="AV561" s="18">
        <f t="shared" si="236"/>
        <v>6</v>
      </c>
      <c r="AW561" s="49">
        <f t="shared" si="227"/>
        <v>0</v>
      </c>
      <c r="AX561" s="49">
        <f>VLOOKUP(AF561,Leyenda!$B$4:$D$10,3,FALSE)</f>
        <v>1</v>
      </c>
      <c r="AY561" s="49">
        <f t="shared" si="224"/>
        <v>3</v>
      </c>
      <c r="AZ561" s="49">
        <f t="shared" si="228"/>
        <v>6</v>
      </c>
      <c r="BA561" s="49">
        <f>VLOOKUP(AN561,Leyenda!$B$70:$D$75,3,FALSE)</f>
        <v>10</v>
      </c>
      <c r="BB561" s="67">
        <f t="shared" si="229"/>
        <v>9</v>
      </c>
      <c r="BC561" s="67">
        <f>VLOOKUP(AF561,Leyenda!$B$4:$E$10,4,FALSE)</f>
        <v>1</v>
      </c>
      <c r="BD561" s="67">
        <f t="shared" si="230"/>
        <v>5</v>
      </c>
      <c r="BE561" s="67">
        <f t="shared" si="231"/>
        <v>0</v>
      </c>
      <c r="BF561" s="67">
        <f>+VLOOKUP('3. Blasting'!AK561,Leyenda!$B$47:$E$51,4,FALSE)</f>
        <v>1</v>
      </c>
      <c r="BG561" s="67">
        <f>+VLOOKUP('3. Blasting'!AL561,Leyenda!$B$55:$E$59,4,FALSE)</f>
        <v>1</v>
      </c>
      <c r="BH561" s="67">
        <f>+VLOOKUP('3. Blasting'!AM561,Leyenda!$B$63:$E$67,3,FALSE)</f>
        <v>2</v>
      </c>
      <c r="BI561" s="67">
        <f>+VLOOKUP('3. Blasting'!AJ561,Leyenda!$B$39:$E$43,4,FALSE)</f>
        <v>1</v>
      </c>
      <c r="BJ561" s="67">
        <f>+VLOOKUP('3. Blasting'!AI561,Leyenda!$B$30:$E$34,4,FALSE)</f>
        <v>1</v>
      </c>
      <c r="BK561" s="67">
        <f>VLOOKUP(AN561,Leyenda!$B$71:$E$75,4,FALSE)</f>
        <v>7</v>
      </c>
      <c r="BL561" s="125">
        <f t="shared" si="232"/>
        <v>19</v>
      </c>
      <c r="BM561" s="85">
        <f t="shared" si="233"/>
        <v>20</v>
      </c>
      <c r="BN561" s="18">
        <f t="shared" ref="BN561:BN588" si="237">+CORREL(BB561:BB910,BL561:BL910)</f>
        <v>0.9559403549185137</v>
      </c>
      <c r="BO561" s="18"/>
      <c r="BP561" s="6">
        <f t="shared" ref="BP561:BP588" si="238">+IF(BL561&lt;30,10,IF(BL561&lt;=41,20,30))</f>
        <v>10</v>
      </c>
      <c r="BQ561" s="6">
        <f t="shared" ref="BQ561:BQ588" si="239">+IF(Y561&lt;0.1,10,IF(AND(Y561&gt;0.1,Y561&lt;1),20,50))</f>
        <v>10</v>
      </c>
      <c r="BR561" s="6">
        <v>20</v>
      </c>
      <c r="BS561" s="6">
        <f t="shared" si="221"/>
        <v>3.5</v>
      </c>
      <c r="BT561" s="6">
        <f t="shared" si="222"/>
        <v>1.5650000000000002</v>
      </c>
      <c r="BU561" s="6">
        <f t="shared" si="223"/>
        <v>22.532499999999999</v>
      </c>
      <c r="BV561" s="18">
        <f t="shared" si="218"/>
        <v>9.0130000000000002E-2</v>
      </c>
      <c r="BW561" s="18">
        <f t="shared" si="219"/>
        <v>0.19287820000000003</v>
      </c>
    </row>
    <row r="562" spans="1:75" x14ac:dyDescent="0.25">
      <c r="A562" s="18" t="s">
        <v>6</v>
      </c>
      <c r="B562" s="18">
        <v>2024</v>
      </c>
      <c r="C562" s="18" t="s">
        <v>138</v>
      </c>
      <c r="D562" s="18" t="s">
        <v>266</v>
      </c>
      <c r="E562" s="18">
        <v>40</v>
      </c>
      <c r="F562" s="18" t="s">
        <v>153</v>
      </c>
      <c r="G562" s="18" t="s">
        <v>298</v>
      </c>
      <c r="H562" s="31">
        <f t="shared" si="216"/>
        <v>26.5</v>
      </c>
      <c r="I562" s="31">
        <f t="shared" si="217"/>
        <v>27</v>
      </c>
      <c r="J562" s="4">
        <f t="shared" si="234"/>
        <v>0.5</v>
      </c>
      <c r="K562" s="32">
        <v>0.36</v>
      </c>
      <c r="L562" s="31">
        <f>+J562*K562</f>
        <v>0.18</v>
      </c>
      <c r="M562" s="31">
        <v>2.14</v>
      </c>
      <c r="N562" s="31">
        <v>31.3</v>
      </c>
      <c r="O562" s="18">
        <f t="shared" si="226"/>
        <v>0.18</v>
      </c>
      <c r="P562" s="18">
        <v>9</v>
      </c>
      <c r="Q562" s="18">
        <v>20</v>
      </c>
      <c r="R562" s="18">
        <v>0.16</v>
      </c>
      <c r="S562" s="18">
        <v>0.1</v>
      </c>
      <c r="T562" s="65">
        <f t="shared" si="235"/>
        <v>20</v>
      </c>
      <c r="U562" s="18">
        <v>3</v>
      </c>
      <c r="V562" s="18"/>
      <c r="W562" s="18">
        <f t="shared" si="211"/>
        <v>3</v>
      </c>
      <c r="X562" s="18">
        <f t="shared" si="212"/>
        <v>53.333333333333336</v>
      </c>
      <c r="Y562" s="31">
        <f t="shared" si="220"/>
        <v>5.3333333333333337E-2</v>
      </c>
      <c r="Z562" s="18">
        <v>0</v>
      </c>
      <c r="AA562" s="18" t="s">
        <v>330</v>
      </c>
      <c r="AB562" s="18" t="s">
        <v>333</v>
      </c>
      <c r="AC562" s="18" t="s">
        <v>337</v>
      </c>
      <c r="AD562" s="18">
        <v>20</v>
      </c>
      <c r="AE562" s="18">
        <v>9</v>
      </c>
      <c r="AF562" s="18" t="s">
        <v>29</v>
      </c>
      <c r="AG562" s="18" t="s">
        <v>34</v>
      </c>
      <c r="AH562" s="18" t="s">
        <v>34</v>
      </c>
      <c r="AI562" s="18" t="s">
        <v>66</v>
      </c>
      <c r="AJ562" s="18" t="s">
        <v>79</v>
      </c>
      <c r="AK562" s="18" t="s">
        <v>96</v>
      </c>
      <c r="AL562" s="18" t="s">
        <v>109</v>
      </c>
      <c r="AM562" s="18" t="s">
        <v>120</v>
      </c>
      <c r="AN562" s="18" t="s">
        <v>247</v>
      </c>
      <c r="AO562" s="18"/>
      <c r="AP562" s="18"/>
      <c r="AQ562" s="18">
        <f>+VLOOKUP(AI562,Leyenda!$B$30:$E$34,3,FALSE)</f>
        <v>1</v>
      </c>
      <c r="AR562" s="18">
        <f>+VLOOKUP('3. Blasting'!AJ562,Meteorizacion,3,FALSE)</f>
        <v>1</v>
      </c>
      <c r="AS562" s="18">
        <f>+VLOOKUP('3. Blasting'!AK562,Apertura,3,FALSE)</f>
        <v>1</v>
      </c>
      <c r="AT562" s="18">
        <f>+VLOOKUP('3. Blasting'!AL562,Leyenda!$B$55:$D$59,3,FALSE)</f>
        <v>1</v>
      </c>
      <c r="AU562" s="18">
        <f>+VLOOKUP('3. Blasting'!AM562,Relleno,3,FALSE)</f>
        <v>2</v>
      </c>
      <c r="AV562" s="18">
        <f t="shared" si="236"/>
        <v>6</v>
      </c>
      <c r="AW562" s="49">
        <f t="shared" si="227"/>
        <v>0</v>
      </c>
      <c r="AX562" s="49">
        <f>VLOOKUP(AF562,Leyenda!$B$4:$D$10,3,FALSE)</f>
        <v>2</v>
      </c>
      <c r="AY562" s="49">
        <f t="shared" si="224"/>
        <v>3</v>
      </c>
      <c r="AZ562" s="49">
        <f t="shared" si="228"/>
        <v>6</v>
      </c>
      <c r="BA562" s="49">
        <f>VLOOKUP(AN562,Leyenda!$B$70:$D$75,3,FALSE)</f>
        <v>10</v>
      </c>
      <c r="BB562" s="67">
        <f t="shared" si="229"/>
        <v>19</v>
      </c>
      <c r="BC562" s="67">
        <f>VLOOKUP(AF562,Leyenda!$B$4:$E$10,4,FALSE)</f>
        <v>2</v>
      </c>
      <c r="BD562" s="67">
        <f t="shared" si="230"/>
        <v>4</v>
      </c>
      <c r="BE562" s="67">
        <f t="shared" si="231"/>
        <v>4</v>
      </c>
      <c r="BF562" s="67">
        <f>+VLOOKUP('3. Blasting'!AK562,Leyenda!$B$47:$E$51,4,FALSE)</f>
        <v>1</v>
      </c>
      <c r="BG562" s="67">
        <f>+VLOOKUP('3. Blasting'!AL562,Leyenda!$B$55:$E$59,4,FALSE)</f>
        <v>1</v>
      </c>
      <c r="BH562" s="67">
        <f>+VLOOKUP('3. Blasting'!AM562,Leyenda!$B$63:$E$67,3,FALSE)</f>
        <v>2</v>
      </c>
      <c r="BI562" s="67">
        <f>+VLOOKUP('3. Blasting'!AJ562,Leyenda!$B$39:$E$43,4,FALSE)</f>
        <v>1</v>
      </c>
      <c r="BJ562" s="67">
        <f>+VLOOKUP('3. Blasting'!AI562,Leyenda!$B$30:$E$34,4,FALSE)</f>
        <v>1</v>
      </c>
      <c r="BK562" s="67">
        <f>VLOOKUP(AN562,Leyenda!$B$71:$E$75,4,FALSE)</f>
        <v>7</v>
      </c>
      <c r="BL562" s="125">
        <f t="shared" si="232"/>
        <v>23</v>
      </c>
      <c r="BM562" s="85">
        <f t="shared" si="233"/>
        <v>21</v>
      </c>
      <c r="BN562" s="18">
        <f t="shared" si="237"/>
        <v>0.95869553912938466</v>
      </c>
      <c r="BO562" s="18"/>
      <c r="BP562" s="6">
        <f t="shared" si="238"/>
        <v>10</v>
      </c>
      <c r="BQ562" s="6">
        <f t="shared" si="239"/>
        <v>10</v>
      </c>
      <c r="BR562" s="6">
        <v>20</v>
      </c>
      <c r="BS562" s="6">
        <f t="shared" si="221"/>
        <v>3.5</v>
      </c>
      <c r="BT562" s="6">
        <f t="shared" si="222"/>
        <v>1.5650000000000002</v>
      </c>
      <c r="BU562" s="6">
        <f t="shared" si="223"/>
        <v>22.532499999999999</v>
      </c>
      <c r="BV562" s="18">
        <f t="shared" si="218"/>
        <v>9.0130000000000002E-2</v>
      </c>
      <c r="BW562" s="18">
        <f t="shared" si="219"/>
        <v>0.19287820000000003</v>
      </c>
    </row>
    <row r="563" spans="1:75" x14ac:dyDescent="0.25">
      <c r="A563" s="18" t="s">
        <v>6</v>
      </c>
      <c r="B563" s="18">
        <v>2024</v>
      </c>
      <c r="C563" s="18" t="s">
        <v>138</v>
      </c>
      <c r="D563" s="18" t="s">
        <v>266</v>
      </c>
      <c r="E563" s="18">
        <v>40</v>
      </c>
      <c r="F563" s="18" t="s">
        <v>153</v>
      </c>
      <c r="G563" s="18" t="s">
        <v>298</v>
      </c>
      <c r="H563" s="31">
        <f t="shared" si="216"/>
        <v>27</v>
      </c>
      <c r="I563" s="31">
        <f t="shared" si="217"/>
        <v>27.5</v>
      </c>
      <c r="J563" s="4">
        <f t="shared" si="234"/>
        <v>0.5</v>
      </c>
      <c r="K563" s="32">
        <v>0.36</v>
      </c>
      <c r="L563" s="31">
        <f t="shared" si="225"/>
        <v>0.18</v>
      </c>
      <c r="M563" s="31">
        <v>2.14</v>
      </c>
      <c r="N563" s="31">
        <v>31.3</v>
      </c>
      <c r="O563" s="18">
        <f t="shared" si="226"/>
        <v>0.18</v>
      </c>
      <c r="P563" s="18">
        <v>9</v>
      </c>
      <c r="Q563" s="18">
        <v>20</v>
      </c>
      <c r="R563" s="18">
        <v>0.15</v>
      </c>
      <c r="S563" s="18">
        <v>0.15</v>
      </c>
      <c r="T563" s="65">
        <f t="shared" si="235"/>
        <v>30</v>
      </c>
      <c r="U563" s="18">
        <v>2</v>
      </c>
      <c r="V563" s="18"/>
      <c r="W563" s="18">
        <f t="shared" si="211"/>
        <v>2</v>
      </c>
      <c r="X563" s="18">
        <f t="shared" si="212"/>
        <v>75</v>
      </c>
      <c r="Y563" s="31">
        <f t="shared" si="220"/>
        <v>7.4999999999999997E-2</v>
      </c>
      <c r="Z563" s="18">
        <v>0</v>
      </c>
      <c r="AA563" s="18" t="s">
        <v>330</v>
      </c>
      <c r="AB563" s="18" t="s">
        <v>333</v>
      </c>
      <c r="AC563" s="18" t="s">
        <v>337</v>
      </c>
      <c r="AD563" s="18">
        <v>20</v>
      </c>
      <c r="AE563" s="18">
        <v>9</v>
      </c>
      <c r="AF563" s="18" t="s">
        <v>29</v>
      </c>
      <c r="AG563" s="18" t="s">
        <v>34</v>
      </c>
      <c r="AH563" s="18" t="s">
        <v>34</v>
      </c>
      <c r="AI563" s="18" t="s">
        <v>66</v>
      </c>
      <c r="AJ563" s="18" t="s">
        <v>79</v>
      </c>
      <c r="AK563" s="18" t="s">
        <v>96</v>
      </c>
      <c r="AL563" s="18" t="s">
        <v>109</v>
      </c>
      <c r="AM563" s="18" t="s">
        <v>120</v>
      </c>
      <c r="AN563" s="18" t="s">
        <v>247</v>
      </c>
      <c r="AO563" s="18"/>
      <c r="AP563" s="18"/>
      <c r="AQ563" s="18">
        <f>+VLOOKUP(AI563,Leyenda!$B$30:$E$34,3,FALSE)</f>
        <v>1</v>
      </c>
      <c r="AR563" s="18">
        <f>+VLOOKUP('3. Blasting'!AJ563,Meteorizacion,3,FALSE)</f>
        <v>1</v>
      </c>
      <c r="AS563" s="18">
        <f>+VLOOKUP('3. Blasting'!AK563,Apertura,3,FALSE)</f>
        <v>1</v>
      </c>
      <c r="AT563" s="18">
        <f>+VLOOKUP('3. Blasting'!AL563,Leyenda!$B$55:$D$59,3,FALSE)</f>
        <v>1</v>
      </c>
      <c r="AU563" s="18">
        <f>+VLOOKUP('3. Blasting'!AM563,Relleno,3,FALSE)</f>
        <v>2</v>
      </c>
      <c r="AV563" s="18">
        <f t="shared" si="236"/>
        <v>6</v>
      </c>
      <c r="AW563" s="49">
        <f t="shared" si="227"/>
        <v>0</v>
      </c>
      <c r="AX563" s="49">
        <f>VLOOKUP(AF563,Leyenda!$B$4:$D$10,3,FALSE)</f>
        <v>2</v>
      </c>
      <c r="AY563" s="49">
        <f t="shared" si="224"/>
        <v>3</v>
      </c>
      <c r="AZ563" s="49">
        <f t="shared" si="228"/>
        <v>6</v>
      </c>
      <c r="BA563" s="49">
        <f>VLOOKUP(AN563,Leyenda!$B$70:$D$75,3,FALSE)</f>
        <v>10</v>
      </c>
      <c r="BB563" s="67">
        <f t="shared" si="229"/>
        <v>24</v>
      </c>
      <c r="BC563" s="67">
        <f>VLOOKUP(AF563,Leyenda!$B$4:$E$10,4,FALSE)</f>
        <v>2</v>
      </c>
      <c r="BD563" s="67">
        <f t="shared" si="230"/>
        <v>6</v>
      </c>
      <c r="BE563" s="67">
        <f t="shared" si="231"/>
        <v>6</v>
      </c>
      <c r="BF563" s="67">
        <f>+VLOOKUP('3. Blasting'!AK563,Leyenda!$B$47:$E$51,4,FALSE)</f>
        <v>1</v>
      </c>
      <c r="BG563" s="67">
        <f>+VLOOKUP('3. Blasting'!AL563,Leyenda!$B$55:$E$59,4,FALSE)</f>
        <v>1</v>
      </c>
      <c r="BH563" s="67">
        <f>+VLOOKUP('3. Blasting'!AM563,Leyenda!$B$63:$E$67,3,FALSE)</f>
        <v>2</v>
      </c>
      <c r="BI563" s="67">
        <f>+VLOOKUP('3. Blasting'!AJ563,Leyenda!$B$39:$E$43,4,FALSE)</f>
        <v>1</v>
      </c>
      <c r="BJ563" s="67">
        <f>+VLOOKUP('3. Blasting'!AI563,Leyenda!$B$30:$E$34,4,FALSE)</f>
        <v>1</v>
      </c>
      <c r="BK563" s="67">
        <f>VLOOKUP(AN563,Leyenda!$B$71:$E$75,4,FALSE)</f>
        <v>7</v>
      </c>
      <c r="BL563" s="125">
        <f t="shared" si="232"/>
        <v>27</v>
      </c>
      <c r="BM563" s="85">
        <f t="shared" si="233"/>
        <v>21</v>
      </c>
      <c r="BN563" s="18">
        <f t="shared" si="237"/>
        <v>0.9710542358220976</v>
      </c>
      <c r="BO563" s="18"/>
      <c r="BP563" s="6">
        <f t="shared" si="238"/>
        <v>10</v>
      </c>
      <c r="BQ563" s="6">
        <f t="shared" si="239"/>
        <v>10</v>
      </c>
      <c r="BR563" s="6">
        <v>20</v>
      </c>
      <c r="BS563" s="6">
        <f t="shared" si="221"/>
        <v>3.5</v>
      </c>
      <c r="BT563" s="6">
        <f t="shared" si="222"/>
        <v>1.5650000000000002</v>
      </c>
      <c r="BU563" s="6">
        <f t="shared" si="223"/>
        <v>22.532499999999999</v>
      </c>
      <c r="BV563" s="18">
        <f t="shared" si="218"/>
        <v>9.0130000000000002E-2</v>
      </c>
      <c r="BW563" s="18">
        <f t="shared" si="219"/>
        <v>0.19287820000000003</v>
      </c>
    </row>
    <row r="564" spans="1:75" x14ac:dyDescent="0.25">
      <c r="A564" s="18" t="s">
        <v>6</v>
      </c>
      <c r="B564" s="18">
        <v>2024</v>
      </c>
      <c r="C564" s="18" t="s">
        <v>138</v>
      </c>
      <c r="D564" s="18" t="s">
        <v>266</v>
      </c>
      <c r="E564" s="18">
        <v>40</v>
      </c>
      <c r="F564" s="18" t="s">
        <v>153</v>
      </c>
      <c r="G564" s="18" t="s">
        <v>298</v>
      </c>
      <c r="H564" s="31">
        <f t="shared" si="216"/>
        <v>27.5</v>
      </c>
      <c r="I564" s="31">
        <f t="shared" si="217"/>
        <v>28</v>
      </c>
      <c r="J564" s="4">
        <f t="shared" si="234"/>
        <v>0.5</v>
      </c>
      <c r="K564" s="32">
        <v>0.44</v>
      </c>
      <c r="L564" s="31">
        <f t="shared" si="225"/>
        <v>0.22</v>
      </c>
      <c r="M564" s="31">
        <v>2.14</v>
      </c>
      <c r="N564" s="31">
        <v>31.3</v>
      </c>
      <c r="O564" s="18">
        <f t="shared" si="226"/>
        <v>0.22</v>
      </c>
      <c r="P564" s="18">
        <v>11</v>
      </c>
      <c r="Q564" s="18">
        <v>20</v>
      </c>
      <c r="R564" s="18">
        <v>0.16</v>
      </c>
      <c r="S564" s="18">
        <v>0</v>
      </c>
      <c r="T564" s="65">
        <f t="shared" si="235"/>
        <v>0</v>
      </c>
      <c r="U564" s="18">
        <v>3</v>
      </c>
      <c r="V564" s="18"/>
      <c r="W564" s="18">
        <f t="shared" si="211"/>
        <v>3</v>
      </c>
      <c r="X564" s="18">
        <f t="shared" si="212"/>
        <v>53.333333333333336</v>
      </c>
      <c r="Y564" s="31">
        <f t="shared" si="220"/>
        <v>5.3333333333333337E-2</v>
      </c>
      <c r="Z564" s="18">
        <v>0</v>
      </c>
      <c r="AA564" s="18" t="s">
        <v>330</v>
      </c>
      <c r="AB564" s="18" t="s">
        <v>333</v>
      </c>
      <c r="AC564" s="18" t="s">
        <v>336</v>
      </c>
      <c r="AD564" s="18">
        <v>20</v>
      </c>
      <c r="AE564" s="18">
        <v>11</v>
      </c>
      <c r="AF564" s="18" t="s">
        <v>32</v>
      </c>
      <c r="AG564" s="18" t="s">
        <v>34</v>
      </c>
      <c r="AH564" s="18" t="s">
        <v>34</v>
      </c>
      <c r="AI564" s="18" t="s">
        <v>69</v>
      </c>
      <c r="AJ564" s="18" t="s">
        <v>81</v>
      </c>
      <c r="AK564" s="18" t="s">
        <v>100</v>
      </c>
      <c r="AL564" s="18" t="s">
        <v>109</v>
      </c>
      <c r="AM564" s="18" t="s">
        <v>122</v>
      </c>
      <c r="AN564" s="18" t="s">
        <v>267</v>
      </c>
      <c r="AO564" s="18" t="s">
        <v>280</v>
      </c>
      <c r="AP564" s="18"/>
      <c r="AQ564" s="18">
        <f>+VLOOKUP(AI564,Leyenda!$B$30:$E$34,3,FALSE)</f>
        <v>0</v>
      </c>
      <c r="AR564" s="18">
        <f>+VLOOKUP('3. Blasting'!AJ564,Meteorizacion,3,FALSE)</f>
        <v>0</v>
      </c>
      <c r="AS564" s="18">
        <f>+VLOOKUP('3. Blasting'!AK564,Apertura,3,FALSE)</f>
        <v>0</v>
      </c>
      <c r="AT564" s="18">
        <f>+VLOOKUP('3. Blasting'!AL564,Leyenda!$B$55:$D$59,3,FALSE)</f>
        <v>1</v>
      </c>
      <c r="AU564" s="18">
        <f>+VLOOKUP('3. Blasting'!AM564,Relleno,3,FALSE)</f>
        <v>0</v>
      </c>
      <c r="AV564" s="18">
        <f t="shared" si="236"/>
        <v>1</v>
      </c>
      <c r="AW564" s="49">
        <f t="shared" si="227"/>
        <v>0</v>
      </c>
      <c r="AX564" s="49">
        <f>VLOOKUP(AF564,Leyenda!$B$4:$D$10,3,FALSE)</f>
        <v>1</v>
      </c>
      <c r="AY564" s="49">
        <f t="shared" si="224"/>
        <v>3</v>
      </c>
      <c r="AZ564" s="49">
        <f t="shared" si="228"/>
        <v>1</v>
      </c>
      <c r="BA564" s="49">
        <f>VLOOKUP(AN564,Leyenda!$B$70:$D$75,3,FALSE)</f>
        <v>15</v>
      </c>
      <c r="BB564" s="67">
        <f t="shared" si="229"/>
        <v>1.5</v>
      </c>
      <c r="BC564" s="67">
        <f>VLOOKUP(AF564,Leyenda!$B$4:$E$10,4,FALSE)</f>
        <v>1</v>
      </c>
      <c r="BD564" s="67">
        <f t="shared" si="230"/>
        <v>4</v>
      </c>
      <c r="BE564" s="67">
        <f t="shared" si="231"/>
        <v>0</v>
      </c>
      <c r="BF564" s="67">
        <f>+VLOOKUP('3. Blasting'!AK564,Leyenda!$B$47:$E$51,4,FALSE)</f>
        <v>0</v>
      </c>
      <c r="BG564" s="67">
        <f>+VLOOKUP('3. Blasting'!AL564,Leyenda!$B$55:$E$59,4,FALSE)</f>
        <v>1</v>
      </c>
      <c r="BH564" s="67">
        <f>+VLOOKUP('3. Blasting'!AM564,Leyenda!$B$63:$E$67,3,FALSE)</f>
        <v>0</v>
      </c>
      <c r="BI564" s="67">
        <f>+VLOOKUP('3. Blasting'!AJ564,Leyenda!$B$39:$E$43,4,FALSE)</f>
        <v>0</v>
      </c>
      <c r="BJ564" s="67">
        <f>+VLOOKUP('3. Blasting'!AI564,Leyenda!$B$30:$E$34,4,FALSE)</f>
        <v>0</v>
      </c>
      <c r="BK564" s="67">
        <f>VLOOKUP(AN564,Leyenda!$B$71:$E$75,4,FALSE)</f>
        <v>10</v>
      </c>
      <c r="BL564" s="125">
        <f t="shared" si="232"/>
        <v>16</v>
      </c>
      <c r="BM564" s="85">
        <f t="shared" si="233"/>
        <v>20</v>
      </c>
      <c r="BN564" s="18">
        <f t="shared" si="237"/>
        <v>0.98307183712250268</v>
      </c>
      <c r="BO564" s="18"/>
      <c r="BP564" s="6">
        <f t="shared" si="238"/>
        <v>10</v>
      </c>
      <c r="BQ564" s="6">
        <f t="shared" si="239"/>
        <v>10</v>
      </c>
      <c r="BR564" s="6">
        <v>20</v>
      </c>
      <c r="BS564" s="6">
        <f t="shared" si="221"/>
        <v>3.5</v>
      </c>
      <c r="BT564" s="6">
        <f t="shared" si="222"/>
        <v>1.5650000000000002</v>
      </c>
      <c r="BU564" s="6">
        <f t="shared" si="223"/>
        <v>22.532499999999999</v>
      </c>
      <c r="BV564" s="18">
        <f t="shared" si="218"/>
        <v>9.0130000000000002E-2</v>
      </c>
      <c r="BW564" s="18">
        <f t="shared" si="219"/>
        <v>0.19287820000000003</v>
      </c>
    </row>
    <row r="565" spans="1:75" x14ac:dyDescent="0.25">
      <c r="A565" s="18" t="s">
        <v>6</v>
      </c>
      <c r="B565" s="18">
        <v>2024</v>
      </c>
      <c r="C565" s="18" t="s">
        <v>138</v>
      </c>
      <c r="D565" s="18" t="s">
        <v>266</v>
      </c>
      <c r="E565" s="18">
        <v>40</v>
      </c>
      <c r="F565" s="18" t="s">
        <v>153</v>
      </c>
      <c r="G565" s="18" t="s">
        <v>298</v>
      </c>
      <c r="H565" s="31">
        <f t="shared" si="216"/>
        <v>28</v>
      </c>
      <c r="I565" s="31">
        <f t="shared" si="217"/>
        <v>28.5</v>
      </c>
      <c r="J565" s="4">
        <f t="shared" si="234"/>
        <v>0.5</v>
      </c>
      <c r="K565" s="32">
        <v>0.4</v>
      </c>
      <c r="L565" s="31">
        <f t="shared" si="225"/>
        <v>0.2</v>
      </c>
      <c r="M565" s="31">
        <v>2.14</v>
      </c>
      <c r="N565" s="31">
        <v>31.3</v>
      </c>
      <c r="O565" s="18">
        <f t="shared" si="226"/>
        <v>0.2</v>
      </c>
      <c r="P565" s="18">
        <v>10</v>
      </c>
      <c r="Q565" s="18">
        <v>20</v>
      </c>
      <c r="R565" s="18">
        <v>0.18</v>
      </c>
      <c r="S565" s="18">
        <v>0</v>
      </c>
      <c r="T565" s="65">
        <f t="shared" si="235"/>
        <v>0</v>
      </c>
      <c r="U565" s="18">
        <v>5</v>
      </c>
      <c r="V565" s="18"/>
      <c r="W565" s="18">
        <f t="shared" si="211"/>
        <v>5</v>
      </c>
      <c r="X565" s="18">
        <f t="shared" si="212"/>
        <v>36</v>
      </c>
      <c r="Y565" s="31">
        <f t="shared" si="220"/>
        <v>3.5999999999999997E-2</v>
      </c>
      <c r="Z565" s="18">
        <v>0</v>
      </c>
      <c r="AA565" s="18" t="s">
        <v>330</v>
      </c>
      <c r="AB565" s="18" t="s">
        <v>333</v>
      </c>
      <c r="AC565" s="18" t="s">
        <v>336</v>
      </c>
      <c r="AD565" s="18">
        <v>20</v>
      </c>
      <c r="AE565" s="18">
        <v>10</v>
      </c>
      <c r="AF565" s="18" t="s">
        <v>32</v>
      </c>
      <c r="AG565" s="18" t="s">
        <v>34</v>
      </c>
      <c r="AH565" s="18" t="s">
        <v>34</v>
      </c>
      <c r="AI565" s="18" t="s">
        <v>69</v>
      </c>
      <c r="AJ565" s="18" t="s">
        <v>81</v>
      </c>
      <c r="AK565" s="18" t="s">
        <v>100</v>
      </c>
      <c r="AL565" s="18" t="s">
        <v>109</v>
      </c>
      <c r="AM565" s="18" t="s">
        <v>122</v>
      </c>
      <c r="AN565" s="18" t="s">
        <v>267</v>
      </c>
      <c r="AO565" s="18" t="s">
        <v>280</v>
      </c>
      <c r="AP565" s="18"/>
      <c r="AQ565" s="18">
        <f>+VLOOKUP(AI565,Leyenda!$B$30:$E$34,3,FALSE)</f>
        <v>0</v>
      </c>
      <c r="AR565" s="18">
        <f>+VLOOKUP('3. Blasting'!AJ565,Meteorizacion,3,FALSE)</f>
        <v>0</v>
      </c>
      <c r="AS565" s="18">
        <f>+VLOOKUP('3. Blasting'!AK565,Apertura,3,FALSE)</f>
        <v>0</v>
      </c>
      <c r="AT565" s="18">
        <f>+VLOOKUP('3. Blasting'!AL565,Leyenda!$B$55:$D$59,3,FALSE)</f>
        <v>1</v>
      </c>
      <c r="AU565" s="18">
        <f>+VLOOKUP('3. Blasting'!AM565,Relleno,3,FALSE)</f>
        <v>0</v>
      </c>
      <c r="AV565" s="18">
        <f t="shared" si="236"/>
        <v>1</v>
      </c>
      <c r="AW565" s="49">
        <f t="shared" si="227"/>
        <v>0</v>
      </c>
      <c r="AX565" s="49">
        <f>VLOOKUP(AF565,Leyenda!$B$4:$D$10,3,FALSE)</f>
        <v>1</v>
      </c>
      <c r="AY565" s="49">
        <f t="shared" si="224"/>
        <v>3</v>
      </c>
      <c r="AZ565" s="49">
        <f t="shared" si="228"/>
        <v>1</v>
      </c>
      <c r="BA565" s="49">
        <f>VLOOKUP(AN565,Leyenda!$B$70:$D$75,3,FALSE)</f>
        <v>15</v>
      </c>
      <c r="BB565" s="67">
        <f t="shared" si="229"/>
        <v>1.5</v>
      </c>
      <c r="BC565" s="67">
        <f>VLOOKUP(AF565,Leyenda!$B$4:$E$10,4,FALSE)</f>
        <v>1</v>
      </c>
      <c r="BD565" s="67">
        <f t="shared" si="230"/>
        <v>5</v>
      </c>
      <c r="BE565" s="67">
        <f t="shared" si="231"/>
        <v>0</v>
      </c>
      <c r="BF565" s="67">
        <f>+VLOOKUP('3. Blasting'!AK565,Leyenda!$B$47:$E$51,4,FALSE)</f>
        <v>0</v>
      </c>
      <c r="BG565" s="67">
        <f>+VLOOKUP('3. Blasting'!AL565,Leyenda!$B$55:$E$59,4,FALSE)</f>
        <v>1</v>
      </c>
      <c r="BH565" s="67">
        <f>+VLOOKUP('3. Blasting'!AM565,Leyenda!$B$63:$E$67,3,FALSE)</f>
        <v>0</v>
      </c>
      <c r="BI565" s="67">
        <f>+VLOOKUP('3. Blasting'!AJ565,Leyenda!$B$39:$E$43,4,FALSE)</f>
        <v>0</v>
      </c>
      <c r="BJ565" s="67">
        <f>+VLOOKUP('3. Blasting'!AI565,Leyenda!$B$30:$E$34,4,FALSE)</f>
        <v>0</v>
      </c>
      <c r="BK565" s="67">
        <f>VLOOKUP(AN565,Leyenda!$B$71:$E$75,4,FALSE)</f>
        <v>10</v>
      </c>
      <c r="BL565" s="125">
        <f t="shared" si="232"/>
        <v>17</v>
      </c>
      <c r="BM565" s="85">
        <f t="shared" si="233"/>
        <v>20</v>
      </c>
      <c r="BN565" s="18">
        <f t="shared" si="237"/>
        <v>0.98378354936035384</v>
      </c>
      <c r="BO565" s="18"/>
      <c r="BP565" s="6">
        <f t="shared" si="238"/>
        <v>10</v>
      </c>
      <c r="BQ565" s="6">
        <f t="shared" si="239"/>
        <v>10</v>
      </c>
      <c r="BR565" s="6">
        <v>20</v>
      </c>
      <c r="BS565" s="6">
        <f t="shared" si="221"/>
        <v>3.5</v>
      </c>
      <c r="BT565" s="6">
        <f t="shared" si="222"/>
        <v>1.5650000000000002</v>
      </c>
      <c r="BU565" s="6">
        <f t="shared" si="223"/>
        <v>22.532499999999999</v>
      </c>
      <c r="BV565" s="18">
        <f t="shared" si="218"/>
        <v>9.0130000000000002E-2</v>
      </c>
      <c r="BW565" s="18">
        <f t="shared" si="219"/>
        <v>0.19287820000000003</v>
      </c>
    </row>
    <row r="566" spans="1:75" x14ac:dyDescent="0.25">
      <c r="A566" s="18" t="s">
        <v>6</v>
      </c>
      <c r="B566" s="18">
        <v>2024</v>
      </c>
      <c r="C566" s="18" t="s">
        <v>138</v>
      </c>
      <c r="D566" s="18" t="s">
        <v>266</v>
      </c>
      <c r="E566" s="18">
        <v>40</v>
      </c>
      <c r="F566" s="18" t="s">
        <v>153</v>
      </c>
      <c r="G566" s="18" t="s">
        <v>298</v>
      </c>
      <c r="H566" s="31">
        <f t="shared" si="216"/>
        <v>28.5</v>
      </c>
      <c r="I566" s="31">
        <f t="shared" si="217"/>
        <v>29</v>
      </c>
      <c r="J566" s="4">
        <f t="shared" si="234"/>
        <v>0.5</v>
      </c>
      <c r="K566" s="32">
        <v>0.44</v>
      </c>
      <c r="L566" s="31">
        <f>+J566*K566</f>
        <v>0.22</v>
      </c>
      <c r="M566" s="31">
        <v>2.14</v>
      </c>
      <c r="N566" s="31">
        <v>31.3</v>
      </c>
      <c r="O566" s="18">
        <f t="shared" si="226"/>
        <v>0.22</v>
      </c>
      <c r="P566" s="18">
        <v>11</v>
      </c>
      <c r="Q566" s="18">
        <v>20</v>
      </c>
      <c r="R566" s="18">
        <v>0.19</v>
      </c>
      <c r="S566" s="18">
        <v>0</v>
      </c>
      <c r="T566" s="65">
        <f t="shared" si="235"/>
        <v>0</v>
      </c>
      <c r="U566" s="18">
        <v>5</v>
      </c>
      <c r="V566" s="18"/>
      <c r="W566" s="18">
        <f t="shared" si="211"/>
        <v>5</v>
      </c>
      <c r="X566" s="18">
        <f t="shared" si="212"/>
        <v>38</v>
      </c>
      <c r="Y566" s="31">
        <f t="shared" si="220"/>
        <v>3.7999999999999999E-2</v>
      </c>
      <c r="Z566" s="18">
        <v>0</v>
      </c>
      <c r="AA566" s="18" t="s">
        <v>330</v>
      </c>
      <c r="AB566" s="18" t="s">
        <v>333</v>
      </c>
      <c r="AC566" s="18" t="s">
        <v>334</v>
      </c>
      <c r="AD566" s="18">
        <v>20</v>
      </c>
      <c r="AE566" s="18">
        <v>11</v>
      </c>
      <c r="AF566" s="18" t="s">
        <v>27</v>
      </c>
      <c r="AG566" s="18" t="s">
        <v>34</v>
      </c>
      <c r="AH566" s="18" t="s">
        <v>34</v>
      </c>
      <c r="AI566" s="18" t="s">
        <v>69</v>
      </c>
      <c r="AJ566" s="18" t="s">
        <v>81</v>
      </c>
      <c r="AK566" s="18" t="s">
        <v>100</v>
      </c>
      <c r="AL566" s="18" t="s">
        <v>109</v>
      </c>
      <c r="AM566" s="18" t="s">
        <v>122</v>
      </c>
      <c r="AN566" s="18" t="s">
        <v>267</v>
      </c>
      <c r="AO566" s="18" t="s">
        <v>280</v>
      </c>
      <c r="AP566" s="18"/>
      <c r="AQ566" s="18">
        <f>+VLOOKUP(AI566,Leyenda!$B$30:$E$34,3,FALSE)</f>
        <v>0</v>
      </c>
      <c r="AR566" s="18">
        <f>+VLOOKUP('3. Blasting'!AJ566,Meteorizacion,3,FALSE)</f>
        <v>0</v>
      </c>
      <c r="AS566" s="18">
        <f>+VLOOKUP('3. Blasting'!AK566,Apertura,3,FALSE)</f>
        <v>0</v>
      </c>
      <c r="AT566" s="18">
        <f>+VLOOKUP('3. Blasting'!AL566,Leyenda!$B$55:$D$59,3,FALSE)</f>
        <v>1</v>
      </c>
      <c r="AU566" s="18">
        <f>+VLOOKUP('3. Blasting'!AM566,Relleno,3,FALSE)</f>
        <v>0</v>
      </c>
      <c r="AV566" s="18">
        <f t="shared" si="236"/>
        <v>1</v>
      </c>
      <c r="AW566" s="49">
        <f t="shared" si="227"/>
        <v>0</v>
      </c>
      <c r="AX566" s="49">
        <f>VLOOKUP(AF566,Leyenda!$B$4:$D$10,3,FALSE)</f>
        <v>4</v>
      </c>
      <c r="AY566" s="49">
        <f t="shared" si="224"/>
        <v>3</v>
      </c>
      <c r="AZ566" s="49">
        <f t="shared" si="228"/>
        <v>1</v>
      </c>
      <c r="BA566" s="49">
        <f>VLOOKUP(AN566,Leyenda!$B$70:$D$75,3,FALSE)</f>
        <v>15</v>
      </c>
      <c r="BB566" s="67">
        <f t="shared" si="229"/>
        <v>1.5</v>
      </c>
      <c r="BC566" s="67">
        <f>VLOOKUP(AF566,Leyenda!$B$4:$E$10,4,FALSE)</f>
        <v>4</v>
      </c>
      <c r="BD566" s="67">
        <f t="shared" si="230"/>
        <v>5</v>
      </c>
      <c r="BE566" s="67">
        <f t="shared" si="231"/>
        <v>0</v>
      </c>
      <c r="BF566" s="67">
        <f>+VLOOKUP('3. Blasting'!AK566,Leyenda!$B$47:$E$51,4,FALSE)</f>
        <v>0</v>
      </c>
      <c r="BG566" s="67">
        <f>+VLOOKUP('3. Blasting'!AL566,Leyenda!$B$55:$E$59,4,FALSE)</f>
        <v>1</v>
      </c>
      <c r="BH566" s="67">
        <f>+VLOOKUP('3. Blasting'!AM566,Leyenda!$B$63:$E$67,3,FALSE)</f>
        <v>0</v>
      </c>
      <c r="BI566" s="67">
        <f>+VLOOKUP('3. Blasting'!AJ566,Leyenda!$B$39:$E$43,4,FALSE)</f>
        <v>0</v>
      </c>
      <c r="BJ566" s="67">
        <f>+VLOOKUP('3. Blasting'!AI566,Leyenda!$B$30:$E$34,4,FALSE)</f>
        <v>0</v>
      </c>
      <c r="BK566" s="67">
        <f>VLOOKUP(AN566,Leyenda!$B$71:$E$75,4,FALSE)</f>
        <v>10</v>
      </c>
      <c r="BL566" s="125">
        <f t="shared" si="232"/>
        <v>20</v>
      </c>
      <c r="BM566" s="85">
        <f t="shared" si="233"/>
        <v>23</v>
      </c>
      <c r="BN566" s="18">
        <f t="shared" si="237"/>
        <v>0.98369276274394335</v>
      </c>
      <c r="BO566" s="18"/>
      <c r="BP566" s="6">
        <f t="shared" si="238"/>
        <v>10</v>
      </c>
      <c r="BQ566" s="6">
        <f t="shared" si="239"/>
        <v>10</v>
      </c>
      <c r="BR566" s="6">
        <v>20</v>
      </c>
      <c r="BS566" s="6">
        <f t="shared" si="221"/>
        <v>3.5</v>
      </c>
      <c r="BT566" s="6">
        <f t="shared" si="222"/>
        <v>1.5650000000000002</v>
      </c>
      <c r="BU566" s="6">
        <f t="shared" si="223"/>
        <v>22.532499999999999</v>
      </c>
      <c r="BV566" s="18">
        <f t="shared" si="218"/>
        <v>9.0130000000000002E-2</v>
      </c>
      <c r="BW566" s="18">
        <f t="shared" si="219"/>
        <v>0.19287820000000003</v>
      </c>
    </row>
    <row r="567" spans="1:75" x14ac:dyDescent="0.25">
      <c r="A567" s="18" t="s">
        <v>6</v>
      </c>
      <c r="B567" s="18">
        <v>2024</v>
      </c>
      <c r="C567" s="18" t="s">
        <v>138</v>
      </c>
      <c r="D567" s="18" t="s">
        <v>266</v>
      </c>
      <c r="E567" s="18">
        <v>40</v>
      </c>
      <c r="F567" s="18" t="s">
        <v>153</v>
      </c>
      <c r="G567" s="18" t="s">
        <v>299</v>
      </c>
      <c r="H567" s="31">
        <f t="shared" si="216"/>
        <v>29</v>
      </c>
      <c r="I567" s="31">
        <f t="shared" si="217"/>
        <v>29.5</v>
      </c>
      <c r="J567" s="4">
        <f t="shared" si="234"/>
        <v>0.5</v>
      </c>
      <c r="K567" s="32">
        <v>0.4</v>
      </c>
      <c r="L567" s="31">
        <f>+J567*K567</f>
        <v>0.2</v>
      </c>
      <c r="M567" s="31">
        <v>2.14</v>
      </c>
      <c r="N567" s="31">
        <v>31.3</v>
      </c>
      <c r="O567" s="18">
        <f t="shared" si="226"/>
        <v>0.2</v>
      </c>
      <c r="P567" s="18">
        <v>10</v>
      </c>
      <c r="Q567" s="18">
        <v>20</v>
      </c>
      <c r="R567" s="18">
        <v>0.18</v>
      </c>
      <c r="S567" s="18">
        <v>0</v>
      </c>
      <c r="T567" s="65">
        <f t="shared" si="235"/>
        <v>0</v>
      </c>
      <c r="U567" s="18">
        <v>5</v>
      </c>
      <c r="V567" s="18"/>
      <c r="W567" s="18">
        <f t="shared" si="211"/>
        <v>5</v>
      </c>
      <c r="X567" s="18">
        <f t="shared" si="212"/>
        <v>36</v>
      </c>
      <c r="Y567" s="31">
        <f t="shared" si="220"/>
        <v>3.5999999999999997E-2</v>
      </c>
      <c r="Z567" s="18">
        <v>0</v>
      </c>
      <c r="AA567" s="18" t="s">
        <v>330</v>
      </c>
      <c r="AB567" s="18" t="s">
        <v>333</v>
      </c>
      <c r="AC567" s="18" t="s">
        <v>334</v>
      </c>
      <c r="AD567" s="18">
        <v>20</v>
      </c>
      <c r="AE567" s="18">
        <v>10</v>
      </c>
      <c r="AF567" s="18" t="s">
        <v>27</v>
      </c>
      <c r="AG567" s="18" t="s">
        <v>32</v>
      </c>
      <c r="AH567" s="18" t="s">
        <v>32</v>
      </c>
      <c r="AI567" s="18" t="s">
        <v>66</v>
      </c>
      <c r="AJ567" s="18" t="s">
        <v>79</v>
      </c>
      <c r="AK567" s="18" t="s">
        <v>96</v>
      </c>
      <c r="AL567" s="18" t="s">
        <v>107</v>
      </c>
      <c r="AM567" s="18" t="s">
        <v>120</v>
      </c>
      <c r="AN567" s="18" t="s">
        <v>267</v>
      </c>
      <c r="AO567" s="18" t="s">
        <v>281</v>
      </c>
      <c r="AP567" s="18"/>
      <c r="AQ567" s="18">
        <f>+VLOOKUP(AI567,Leyenda!$B$30:$E$34,3,FALSE)</f>
        <v>1</v>
      </c>
      <c r="AR567" s="18">
        <f>+VLOOKUP('3. Blasting'!AJ567,Meteorizacion,3,FALSE)</f>
        <v>1</v>
      </c>
      <c r="AS567" s="18">
        <f>+VLOOKUP('3. Blasting'!AK567,Apertura,3,FALSE)</f>
        <v>1</v>
      </c>
      <c r="AT567" s="18">
        <f>+VLOOKUP('3. Blasting'!AL567,Leyenda!$B$55:$D$59,3,FALSE)</f>
        <v>3</v>
      </c>
      <c r="AU567" s="18">
        <f>+VLOOKUP('3. Blasting'!AM567,Relleno,3,FALSE)</f>
        <v>2</v>
      </c>
      <c r="AV567" s="18">
        <f t="shared" si="236"/>
        <v>8</v>
      </c>
      <c r="AW567" s="49">
        <f t="shared" si="227"/>
        <v>0</v>
      </c>
      <c r="AX567" s="49">
        <f>VLOOKUP(AF567,Leyenda!$B$4:$D$10,3,FALSE)</f>
        <v>4</v>
      </c>
      <c r="AY567" s="49">
        <f t="shared" si="224"/>
        <v>3</v>
      </c>
      <c r="AZ567" s="49">
        <f t="shared" si="228"/>
        <v>8</v>
      </c>
      <c r="BA567" s="49">
        <f>VLOOKUP(AN567,Leyenda!$B$70:$D$75,3,FALSE)</f>
        <v>15</v>
      </c>
      <c r="BB567" s="67">
        <f t="shared" si="229"/>
        <v>12</v>
      </c>
      <c r="BC567" s="67">
        <f>VLOOKUP(AF567,Leyenda!$B$4:$E$10,4,FALSE)</f>
        <v>4</v>
      </c>
      <c r="BD567" s="67">
        <f t="shared" si="230"/>
        <v>5</v>
      </c>
      <c r="BE567" s="67">
        <f t="shared" si="231"/>
        <v>0</v>
      </c>
      <c r="BF567" s="67">
        <f>+VLOOKUP('3. Blasting'!AK567,Leyenda!$B$47:$E$51,4,FALSE)</f>
        <v>1</v>
      </c>
      <c r="BG567" s="67">
        <f>+VLOOKUP('3. Blasting'!AL567,Leyenda!$B$55:$E$59,4,FALSE)</f>
        <v>3</v>
      </c>
      <c r="BH567" s="67">
        <f>+VLOOKUP('3. Blasting'!AM567,Leyenda!$B$63:$E$67,3,FALSE)</f>
        <v>2</v>
      </c>
      <c r="BI567" s="67">
        <f>+VLOOKUP('3. Blasting'!AJ567,Leyenda!$B$39:$E$43,4,FALSE)</f>
        <v>1</v>
      </c>
      <c r="BJ567" s="67">
        <f>+VLOOKUP('3. Blasting'!AI567,Leyenda!$B$30:$E$34,4,FALSE)</f>
        <v>1</v>
      </c>
      <c r="BK567" s="67">
        <f>VLOOKUP(AN567,Leyenda!$B$71:$E$75,4,FALSE)</f>
        <v>10</v>
      </c>
      <c r="BL567" s="125">
        <f t="shared" si="232"/>
        <v>27</v>
      </c>
      <c r="BM567" s="85">
        <f t="shared" si="233"/>
        <v>30</v>
      </c>
      <c r="BN567" s="18">
        <f t="shared" si="237"/>
        <v>0.98278680723556944</v>
      </c>
      <c r="BO567" s="18"/>
      <c r="BP567" s="6">
        <f t="shared" si="238"/>
        <v>10</v>
      </c>
      <c r="BQ567" s="6">
        <f t="shared" si="239"/>
        <v>10</v>
      </c>
      <c r="BR567" s="6">
        <v>20</v>
      </c>
      <c r="BS567" s="6">
        <f t="shared" si="221"/>
        <v>3.5</v>
      </c>
      <c r="BT567" s="6">
        <f t="shared" si="222"/>
        <v>1.5650000000000002</v>
      </c>
      <c r="BU567" s="6">
        <f t="shared" si="223"/>
        <v>22.532499999999999</v>
      </c>
      <c r="BV567" s="18">
        <f t="shared" si="218"/>
        <v>9.0130000000000002E-2</v>
      </c>
      <c r="BW567" s="18">
        <f t="shared" si="219"/>
        <v>0.19287820000000003</v>
      </c>
    </row>
    <row r="568" spans="1:75" x14ac:dyDescent="0.25">
      <c r="A568" s="18" t="s">
        <v>6</v>
      </c>
      <c r="B568" s="18">
        <v>2024</v>
      </c>
      <c r="C568" s="18" t="s">
        <v>138</v>
      </c>
      <c r="D568" s="18" t="s">
        <v>266</v>
      </c>
      <c r="E568" s="18">
        <v>40</v>
      </c>
      <c r="F568" s="18" t="s">
        <v>153</v>
      </c>
      <c r="G568" s="18" t="s">
        <v>299</v>
      </c>
      <c r="H568" s="31">
        <f t="shared" si="216"/>
        <v>29.5</v>
      </c>
      <c r="I568" s="31">
        <f t="shared" si="217"/>
        <v>30</v>
      </c>
      <c r="J568" s="4">
        <f t="shared" si="234"/>
        <v>0.5</v>
      </c>
      <c r="K568" s="32">
        <v>0.6</v>
      </c>
      <c r="L568" s="31">
        <f t="shared" si="225"/>
        <v>0.3</v>
      </c>
      <c r="M568" s="31">
        <v>2.14</v>
      </c>
      <c r="N568" s="31">
        <v>31.3</v>
      </c>
      <c r="O568" s="18">
        <f t="shared" si="226"/>
        <v>0.3</v>
      </c>
      <c r="P568" s="18">
        <v>15</v>
      </c>
      <c r="Q568" s="18">
        <v>20</v>
      </c>
      <c r="R568" s="18">
        <v>0.25</v>
      </c>
      <c r="S568" s="18">
        <v>0</v>
      </c>
      <c r="T568" s="65">
        <f t="shared" si="235"/>
        <v>0</v>
      </c>
      <c r="U568" s="18">
        <v>4</v>
      </c>
      <c r="V568" s="18"/>
      <c r="W568" s="18">
        <f t="shared" si="211"/>
        <v>4</v>
      </c>
      <c r="X568" s="18">
        <f t="shared" si="212"/>
        <v>62.5</v>
      </c>
      <c r="Y568" s="31">
        <f t="shared" si="220"/>
        <v>6.25E-2</v>
      </c>
      <c r="Z568" s="18">
        <v>0</v>
      </c>
      <c r="AA568" s="18" t="s">
        <v>330</v>
      </c>
      <c r="AB568" s="18" t="s">
        <v>333</v>
      </c>
      <c r="AC568" s="18" t="s">
        <v>334</v>
      </c>
      <c r="AD568" s="18">
        <v>20</v>
      </c>
      <c r="AE568" s="18">
        <v>15</v>
      </c>
      <c r="AF568" s="18" t="s">
        <v>27</v>
      </c>
      <c r="AG568" s="18" t="s">
        <v>32</v>
      </c>
      <c r="AH568" s="18" t="s">
        <v>32</v>
      </c>
      <c r="AI568" s="18" t="s">
        <v>66</v>
      </c>
      <c r="AJ568" s="18" t="s">
        <v>79</v>
      </c>
      <c r="AK568" s="18" t="s">
        <v>100</v>
      </c>
      <c r="AL568" s="18" t="s">
        <v>107</v>
      </c>
      <c r="AM568" s="18" t="s">
        <v>118</v>
      </c>
      <c r="AN568" s="18" t="s">
        <v>267</v>
      </c>
      <c r="AO568" s="18"/>
      <c r="AP568" s="18"/>
      <c r="AQ568" s="18">
        <f>+VLOOKUP(AI568,Leyenda!$B$30:$E$34,3,FALSE)</f>
        <v>1</v>
      </c>
      <c r="AR568" s="18">
        <f>+VLOOKUP('3. Blasting'!AJ568,Meteorizacion,3,FALSE)</f>
        <v>1</v>
      </c>
      <c r="AS568" s="18">
        <f>+VLOOKUP('3. Blasting'!AK568,Apertura,3,FALSE)</f>
        <v>0</v>
      </c>
      <c r="AT568" s="18">
        <f>+VLOOKUP('3. Blasting'!AL568,Leyenda!$B$55:$D$59,3,FALSE)</f>
        <v>3</v>
      </c>
      <c r="AU568" s="18">
        <f>+VLOOKUP('3. Blasting'!AM568,Relleno,3,FALSE)</f>
        <v>2</v>
      </c>
      <c r="AV568" s="18">
        <f t="shared" si="236"/>
        <v>7</v>
      </c>
      <c r="AW568" s="49">
        <f t="shared" si="227"/>
        <v>0</v>
      </c>
      <c r="AX568" s="49">
        <f>VLOOKUP(AF568,Leyenda!$B$4:$D$10,3,FALSE)</f>
        <v>4</v>
      </c>
      <c r="AY568" s="49">
        <f t="shared" si="224"/>
        <v>4</v>
      </c>
      <c r="AZ568" s="49">
        <f t="shared" si="228"/>
        <v>7</v>
      </c>
      <c r="BA568" s="49">
        <f>VLOOKUP(AN568,Leyenda!$B$70:$D$75,3,FALSE)</f>
        <v>15</v>
      </c>
      <c r="BB568" s="67">
        <f t="shared" si="229"/>
        <v>10.5</v>
      </c>
      <c r="BC568" s="67">
        <f>VLOOKUP(AF568,Leyenda!$B$4:$E$10,4,FALSE)</f>
        <v>4</v>
      </c>
      <c r="BD568" s="67">
        <f t="shared" si="230"/>
        <v>5</v>
      </c>
      <c r="BE568" s="67">
        <f t="shared" si="231"/>
        <v>0</v>
      </c>
      <c r="BF568" s="67">
        <f>+VLOOKUP('3. Blasting'!AK568,Leyenda!$B$47:$E$51,4,FALSE)</f>
        <v>0</v>
      </c>
      <c r="BG568" s="67">
        <f>+VLOOKUP('3. Blasting'!AL568,Leyenda!$B$55:$E$59,4,FALSE)</f>
        <v>3</v>
      </c>
      <c r="BH568" s="67">
        <f>+VLOOKUP('3. Blasting'!AM568,Leyenda!$B$63:$E$67,3,FALSE)</f>
        <v>2</v>
      </c>
      <c r="BI568" s="67">
        <f>+VLOOKUP('3. Blasting'!AJ568,Leyenda!$B$39:$E$43,4,FALSE)</f>
        <v>1</v>
      </c>
      <c r="BJ568" s="67">
        <f>+VLOOKUP('3. Blasting'!AI568,Leyenda!$B$30:$E$34,4,FALSE)</f>
        <v>1</v>
      </c>
      <c r="BK568" s="67">
        <f>VLOOKUP(AN568,Leyenda!$B$71:$E$75,4,FALSE)</f>
        <v>10</v>
      </c>
      <c r="BL568" s="125">
        <f t="shared" si="232"/>
        <v>26</v>
      </c>
      <c r="BM568" s="85">
        <f t="shared" si="233"/>
        <v>30</v>
      </c>
      <c r="BN568" s="18">
        <f t="shared" si="237"/>
        <v>0.98272323313144072</v>
      </c>
      <c r="BO568" s="18"/>
      <c r="BP568" s="6">
        <f t="shared" si="238"/>
        <v>10</v>
      </c>
      <c r="BQ568" s="6">
        <f t="shared" si="239"/>
        <v>10</v>
      </c>
      <c r="BR568" s="6">
        <v>20</v>
      </c>
      <c r="BS568" s="6">
        <f t="shared" si="221"/>
        <v>3.5</v>
      </c>
      <c r="BT568" s="6">
        <f t="shared" si="222"/>
        <v>1.5650000000000002</v>
      </c>
      <c r="BU568" s="6">
        <f t="shared" si="223"/>
        <v>22.532499999999999</v>
      </c>
      <c r="BV568" s="18">
        <f t="shared" si="218"/>
        <v>9.0130000000000002E-2</v>
      </c>
      <c r="BW568" s="18">
        <f t="shared" si="219"/>
        <v>0.19287820000000003</v>
      </c>
    </row>
    <row r="569" spans="1:75" x14ac:dyDescent="0.25">
      <c r="A569" s="18" t="s">
        <v>6</v>
      </c>
      <c r="B569" s="18">
        <v>2024</v>
      </c>
      <c r="C569" s="18" t="s">
        <v>138</v>
      </c>
      <c r="D569" s="18" t="s">
        <v>266</v>
      </c>
      <c r="E569" s="18">
        <v>40</v>
      </c>
      <c r="F569" s="18" t="s">
        <v>153</v>
      </c>
      <c r="G569" s="18" t="s">
        <v>299</v>
      </c>
      <c r="H569" s="31">
        <f t="shared" si="216"/>
        <v>30</v>
      </c>
      <c r="I569" s="31">
        <f t="shared" si="217"/>
        <v>30.5</v>
      </c>
      <c r="J569" s="4">
        <f t="shared" si="234"/>
        <v>0.5</v>
      </c>
      <c r="K569" s="32">
        <v>0.57999999999999996</v>
      </c>
      <c r="L569" s="31">
        <f t="shared" si="225"/>
        <v>0.28999999999999998</v>
      </c>
      <c r="M569" s="31">
        <v>2.14</v>
      </c>
      <c r="N569" s="31">
        <v>31.3</v>
      </c>
      <c r="O569" s="18">
        <f t="shared" si="226"/>
        <v>0.28999999999999998</v>
      </c>
      <c r="P569" s="18">
        <v>14.5</v>
      </c>
      <c r="Q569" s="18">
        <v>20</v>
      </c>
      <c r="R569" s="18">
        <v>0.27</v>
      </c>
      <c r="S569" s="18">
        <v>0.1</v>
      </c>
      <c r="T569" s="65">
        <f t="shared" si="235"/>
        <v>20</v>
      </c>
      <c r="U569" s="18">
        <v>3</v>
      </c>
      <c r="V569" s="18"/>
      <c r="W569" s="18">
        <f t="shared" si="211"/>
        <v>3</v>
      </c>
      <c r="X569" s="18">
        <f t="shared" si="212"/>
        <v>90</v>
      </c>
      <c r="Y569" s="31">
        <f t="shared" si="220"/>
        <v>0.09</v>
      </c>
      <c r="Z569" s="18">
        <v>0</v>
      </c>
      <c r="AA569" s="18" t="s">
        <v>330</v>
      </c>
      <c r="AB569" s="18" t="s">
        <v>333</v>
      </c>
      <c r="AC569" s="18" t="s">
        <v>334</v>
      </c>
      <c r="AD569" s="18">
        <v>20</v>
      </c>
      <c r="AE569" s="18">
        <v>14.5</v>
      </c>
      <c r="AF569" s="18" t="s">
        <v>27</v>
      </c>
      <c r="AG569" s="18" t="s">
        <v>32</v>
      </c>
      <c r="AH569" s="18" t="s">
        <v>32</v>
      </c>
      <c r="AI569" s="18" t="s">
        <v>64</v>
      </c>
      <c r="AJ569" s="18" t="s">
        <v>81</v>
      </c>
      <c r="AK569" s="18" t="s">
        <v>96</v>
      </c>
      <c r="AL569" s="18" t="s">
        <v>109</v>
      </c>
      <c r="AM569" s="18" t="s">
        <v>120</v>
      </c>
      <c r="AN569" s="18" t="s">
        <v>267</v>
      </c>
      <c r="AO569" s="18" t="s">
        <v>282</v>
      </c>
      <c r="AP569" s="18"/>
      <c r="AQ569" s="18">
        <f>+VLOOKUP(AI569,Leyenda!$B$30:$E$34,3,FALSE)</f>
        <v>2</v>
      </c>
      <c r="AR569" s="18">
        <f>+VLOOKUP('3. Blasting'!AJ569,Meteorizacion,3,FALSE)</f>
        <v>0</v>
      </c>
      <c r="AS569" s="18">
        <f>+VLOOKUP('3. Blasting'!AK569,Apertura,3,FALSE)</f>
        <v>1</v>
      </c>
      <c r="AT569" s="18">
        <f>+VLOOKUP('3. Blasting'!AL569,Leyenda!$B$55:$D$59,3,FALSE)</f>
        <v>1</v>
      </c>
      <c r="AU569" s="18">
        <f>+VLOOKUP('3. Blasting'!AM569,Relleno,3,FALSE)</f>
        <v>2</v>
      </c>
      <c r="AV569" s="18">
        <f t="shared" si="236"/>
        <v>6</v>
      </c>
      <c r="AW569" s="49">
        <f t="shared" si="227"/>
        <v>0</v>
      </c>
      <c r="AX569" s="49">
        <f>VLOOKUP(AF569,Leyenda!$B$4:$D$10,3,FALSE)</f>
        <v>4</v>
      </c>
      <c r="AY569" s="49">
        <f t="shared" si="224"/>
        <v>4</v>
      </c>
      <c r="AZ569" s="49">
        <f t="shared" si="228"/>
        <v>6</v>
      </c>
      <c r="BA569" s="49">
        <f>VLOOKUP(AN569,Leyenda!$B$70:$D$75,3,FALSE)</f>
        <v>15</v>
      </c>
      <c r="BB569" s="67">
        <f t="shared" si="229"/>
        <v>19</v>
      </c>
      <c r="BC569" s="67">
        <f>VLOOKUP(AF569,Leyenda!$B$4:$E$10,4,FALSE)</f>
        <v>4</v>
      </c>
      <c r="BD569" s="67">
        <f t="shared" si="230"/>
        <v>8</v>
      </c>
      <c r="BE569" s="67">
        <f t="shared" si="231"/>
        <v>4</v>
      </c>
      <c r="BF569" s="67">
        <f>+VLOOKUP('3. Blasting'!AK569,Leyenda!$B$47:$E$51,4,FALSE)</f>
        <v>1</v>
      </c>
      <c r="BG569" s="67">
        <f>+VLOOKUP('3. Blasting'!AL569,Leyenda!$B$55:$E$59,4,FALSE)</f>
        <v>1</v>
      </c>
      <c r="BH569" s="67">
        <f>+VLOOKUP('3. Blasting'!AM569,Leyenda!$B$63:$E$67,3,FALSE)</f>
        <v>2</v>
      </c>
      <c r="BI569" s="67">
        <f>+VLOOKUP('3. Blasting'!AJ569,Leyenda!$B$39:$E$43,4,FALSE)</f>
        <v>0</v>
      </c>
      <c r="BJ569" s="67">
        <f>+VLOOKUP('3. Blasting'!AI569,Leyenda!$B$30:$E$34,4,FALSE)</f>
        <v>3</v>
      </c>
      <c r="BK569" s="67">
        <f>VLOOKUP(AN569,Leyenda!$B$71:$E$75,4,FALSE)</f>
        <v>10</v>
      </c>
      <c r="BL569" s="125">
        <f t="shared" si="232"/>
        <v>33</v>
      </c>
      <c r="BM569" s="85">
        <f t="shared" si="233"/>
        <v>29</v>
      </c>
      <c r="BN569" s="18">
        <f t="shared" si="237"/>
        <v>0.98256858407792802</v>
      </c>
      <c r="BO569" s="18"/>
      <c r="BP569" s="6">
        <f t="shared" si="238"/>
        <v>20</v>
      </c>
      <c r="BQ569" s="6">
        <f t="shared" si="239"/>
        <v>10</v>
      </c>
      <c r="BR569" s="6">
        <v>20</v>
      </c>
      <c r="BS569" s="6">
        <f t="shared" si="221"/>
        <v>3.5</v>
      </c>
      <c r="BT569" s="6">
        <f t="shared" si="222"/>
        <v>1.5650000000000002</v>
      </c>
      <c r="BU569" s="6">
        <f t="shared" si="223"/>
        <v>27.532499999999999</v>
      </c>
      <c r="BV569" s="18">
        <f t="shared" si="218"/>
        <v>0.11012999999999999</v>
      </c>
      <c r="BW569" s="18">
        <f t="shared" si="219"/>
        <v>0.2356782</v>
      </c>
    </row>
    <row r="570" spans="1:75" x14ac:dyDescent="0.25">
      <c r="A570" s="18" t="s">
        <v>6</v>
      </c>
      <c r="B570" s="18">
        <v>2024</v>
      </c>
      <c r="C570" s="18" t="s">
        <v>138</v>
      </c>
      <c r="D570" s="18" t="s">
        <v>266</v>
      </c>
      <c r="E570" s="18">
        <v>40</v>
      </c>
      <c r="F570" s="18" t="s">
        <v>153</v>
      </c>
      <c r="G570" s="18" t="s">
        <v>299</v>
      </c>
      <c r="H570" s="31">
        <f t="shared" si="216"/>
        <v>30.5</v>
      </c>
      <c r="I570" s="31">
        <f t="shared" si="217"/>
        <v>31</v>
      </c>
      <c r="J570" s="4">
        <f t="shared" si="234"/>
        <v>0.5</v>
      </c>
      <c r="K570" s="32">
        <v>0.57999999999999996</v>
      </c>
      <c r="L570" s="31">
        <f t="shared" si="225"/>
        <v>0.28999999999999998</v>
      </c>
      <c r="M570" s="31">
        <v>2.14</v>
      </c>
      <c r="N570" s="31">
        <v>31.3</v>
      </c>
      <c r="O570" s="18">
        <f t="shared" si="226"/>
        <v>0.28999999999999998</v>
      </c>
      <c r="P570" s="18">
        <v>14.5</v>
      </c>
      <c r="Q570" s="18">
        <v>20</v>
      </c>
      <c r="R570" s="18">
        <v>0.27</v>
      </c>
      <c r="S570" s="18">
        <v>0.12</v>
      </c>
      <c r="T570" s="65">
        <f t="shared" si="235"/>
        <v>24</v>
      </c>
      <c r="U570" s="18">
        <v>3</v>
      </c>
      <c r="V570" s="18"/>
      <c r="W570" s="18">
        <f t="shared" si="211"/>
        <v>3</v>
      </c>
      <c r="X570" s="18">
        <f t="shared" si="212"/>
        <v>90</v>
      </c>
      <c r="Y570" s="31">
        <f t="shared" si="220"/>
        <v>0.09</v>
      </c>
      <c r="Z570" s="18">
        <v>0</v>
      </c>
      <c r="AA570" s="18" t="s">
        <v>330</v>
      </c>
      <c r="AB570" s="18" t="s">
        <v>333</v>
      </c>
      <c r="AC570" s="18" t="s">
        <v>334</v>
      </c>
      <c r="AD570" s="18">
        <v>20</v>
      </c>
      <c r="AE570" s="18">
        <v>14.5</v>
      </c>
      <c r="AF570" s="18" t="s">
        <v>27</v>
      </c>
      <c r="AG570" s="18" t="s">
        <v>32</v>
      </c>
      <c r="AH570" s="18" t="s">
        <v>32</v>
      </c>
      <c r="AI570" s="18" t="s">
        <v>64</v>
      </c>
      <c r="AJ570" s="18" t="s">
        <v>81</v>
      </c>
      <c r="AK570" s="18" t="s">
        <v>96</v>
      </c>
      <c r="AL570" s="18" t="s">
        <v>109</v>
      </c>
      <c r="AM570" s="18" t="s">
        <v>120</v>
      </c>
      <c r="AN570" s="18" t="s">
        <v>267</v>
      </c>
      <c r="AO570" s="18"/>
      <c r="AP570" s="18"/>
      <c r="AQ570" s="18">
        <f>+VLOOKUP(AI570,Leyenda!$B$30:$E$34,3,FALSE)</f>
        <v>2</v>
      </c>
      <c r="AR570" s="18">
        <f>+VLOOKUP('3. Blasting'!AJ570,Meteorizacion,3,FALSE)</f>
        <v>0</v>
      </c>
      <c r="AS570" s="18">
        <f>+VLOOKUP('3. Blasting'!AK570,Apertura,3,FALSE)</f>
        <v>1</v>
      </c>
      <c r="AT570" s="18">
        <f>+VLOOKUP('3. Blasting'!AL570,Leyenda!$B$55:$D$59,3,FALSE)</f>
        <v>1</v>
      </c>
      <c r="AU570" s="18">
        <f>+VLOOKUP('3. Blasting'!AM570,Relleno,3,FALSE)</f>
        <v>2</v>
      </c>
      <c r="AV570" s="18">
        <f t="shared" si="236"/>
        <v>6</v>
      </c>
      <c r="AW570" s="49">
        <f t="shared" si="227"/>
        <v>0</v>
      </c>
      <c r="AX570" s="49">
        <f>VLOOKUP(AF570,Leyenda!$B$4:$D$10,3,FALSE)</f>
        <v>4</v>
      </c>
      <c r="AY570" s="49">
        <f t="shared" si="224"/>
        <v>4</v>
      </c>
      <c r="AZ570" s="49">
        <f t="shared" si="228"/>
        <v>6</v>
      </c>
      <c r="BA570" s="49">
        <f>VLOOKUP(AN570,Leyenda!$B$70:$D$75,3,FALSE)</f>
        <v>15</v>
      </c>
      <c r="BB570" s="67">
        <f t="shared" si="229"/>
        <v>21</v>
      </c>
      <c r="BC570" s="67">
        <f>VLOOKUP(AF570,Leyenda!$B$4:$E$10,4,FALSE)</f>
        <v>4</v>
      </c>
      <c r="BD570" s="67">
        <f t="shared" si="230"/>
        <v>8</v>
      </c>
      <c r="BE570" s="67">
        <f t="shared" si="231"/>
        <v>5</v>
      </c>
      <c r="BF570" s="67">
        <f>+VLOOKUP('3. Blasting'!AK570,Leyenda!$B$47:$E$51,4,FALSE)</f>
        <v>1</v>
      </c>
      <c r="BG570" s="67">
        <f>+VLOOKUP('3. Blasting'!AL570,Leyenda!$B$55:$E$59,4,FALSE)</f>
        <v>1</v>
      </c>
      <c r="BH570" s="67">
        <f>+VLOOKUP('3. Blasting'!AM570,Leyenda!$B$63:$E$67,3,FALSE)</f>
        <v>2</v>
      </c>
      <c r="BI570" s="67">
        <f>+VLOOKUP('3. Blasting'!AJ570,Leyenda!$B$39:$E$43,4,FALSE)</f>
        <v>0</v>
      </c>
      <c r="BJ570" s="67">
        <f>+VLOOKUP('3. Blasting'!AI570,Leyenda!$B$30:$E$34,4,FALSE)</f>
        <v>3</v>
      </c>
      <c r="BK570" s="67">
        <f>VLOOKUP(AN570,Leyenda!$B$71:$E$75,4,FALSE)</f>
        <v>10</v>
      </c>
      <c r="BL570" s="125">
        <f t="shared" si="232"/>
        <v>34</v>
      </c>
      <c r="BM570" s="85">
        <f t="shared" si="233"/>
        <v>29</v>
      </c>
      <c r="BN570" s="18">
        <f t="shared" si="237"/>
        <v>0.98355559748263355</v>
      </c>
      <c r="BO570" s="18"/>
      <c r="BP570" s="6">
        <f t="shared" si="238"/>
        <v>20</v>
      </c>
      <c r="BQ570" s="6">
        <f t="shared" si="239"/>
        <v>10</v>
      </c>
      <c r="BR570" s="6">
        <v>20</v>
      </c>
      <c r="BS570" s="6">
        <f t="shared" si="221"/>
        <v>3.5</v>
      </c>
      <c r="BT570" s="6">
        <f t="shared" si="222"/>
        <v>1.5650000000000002</v>
      </c>
      <c r="BU570" s="6">
        <f t="shared" si="223"/>
        <v>27.532499999999999</v>
      </c>
      <c r="BV570" s="18">
        <f t="shared" si="218"/>
        <v>0.11012999999999999</v>
      </c>
      <c r="BW570" s="18">
        <f t="shared" si="219"/>
        <v>0.2356782</v>
      </c>
    </row>
    <row r="571" spans="1:75" x14ac:dyDescent="0.25">
      <c r="A571" s="18" t="s">
        <v>6</v>
      </c>
      <c r="B571" s="18">
        <v>2024</v>
      </c>
      <c r="C571" s="18" t="s">
        <v>138</v>
      </c>
      <c r="D571" s="18" t="s">
        <v>266</v>
      </c>
      <c r="E571" s="18">
        <v>40</v>
      </c>
      <c r="F571" s="18" t="s">
        <v>153</v>
      </c>
      <c r="G571" s="18" t="s">
        <v>299</v>
      </c>
      <c r="H571" s="31">
        <f t="shared" si="216"/>
        <v>31</v>
      </c>
      <c r="I571" s="31">
        <f t="shared" si="217"/>
        <v>31.5</v>
      </c>
      <c r="J571" s="4">
        <f t="shared" si="234"/>
        <v>0.5</v>
      </c>
      <c r="K571" s="32">
        <v>0.8</v>
      </c>
      <c r="L571" s="31">
        <f t="shared" si="225"/>
        <v>0.4</v>
      </c>
      <c r="M571" s="31">
        <v>2.14</v>
      </c>
      <c r="N571" s="31">
        <v>31.3</v>
      </c>
      <c r="O571" s="18">
        <f t="shared" si="226"/>
        <v>0.4</v>
      </c>
      <c r="P571" s="18">
        <v>20</v>
      </c>
      <c r="Q571" s="18">
        <v>20</v>
      </c>
      <c r="R571" s="18">
        <v>0.35</v>
      </c>
      <c r="S571" s="18">
        <v>0.27</v>
      </c>
      <c r="T571" s="65">
        <f t="shared" si="235"/>
        <v>54</v>
      </c>
      <c r="U571" s="18">
        <v>2</v>
      </c>
      <c r="V571" s="18"/>
      <c r="W571" s="18">
        <f t="shared" si="211"/>
        <v>2</v>
      </c>
      <c r="X571" s="18">
        <f t="shared" si="212"/>
        <v>175</v>
      </c>
      <c r="Y571" s="31">
        <f t="shared" si="220"/>
        <v>0.17499999999999999</v>
      </c>
      <c r="Z571" s="18">
        <v>0</v>
      </c>
      <c r="AA571" s="18" t="s">
        <v>330</v>
      </c>
      <c r="AB571" s="18" t="s">
        <v>333</v>
      </c>
      <c r="AC571" s="18" t="s">
        <v>334</v>
      </c>
      <c r="AD571" s="18">
        <v>20</v>
      </c>
      <c r="AE571" s="18">
        <v>20</v>
      </c>
      <c r="AF571" s="18" t="s">
        <v>27</v>
      </c>
      <c r="AG571" s="18" t="s">
        <v>29</v>
      </c>
      <c r="AH571" s="18" t="s">
        <v>29</v>
      </c>
      <c r="AI571" s="18" t="s">
        <v>64</v>
      </c>
      <c r="AJ571" s="18" t="s">
        <v>79</v>
      </c>
      <c r="AK571" s="18" t="s">
        <v>96</v>
      </c>
      <c r="AL571" s="18" t="s">
        <v>107</v>
      </c>
      <c r="AM571" s="18" t="s">
        <v>120</v>
      </c>
      <c r="AN571" s="18" t="s">
        <v>267</v>
      </c>
      <c r="AO571" s="18" t="s">
        <v>283</v>
      </c>
      <c r="AP571" s="18"/>
      <c r="AQ571" s="18">
        <f>+VLOOKUP(AI571,Leyenda!$B$30:$E$34,3,FALSE)</f>
        <v>2</v>
      </c>
      <c r="AR571" s="18">
        <f>+VLOOKUP('3. Blasting'!AJ571,Meteorizacion,3,FALSE)</f>
        <v>1</v>
      </c>
      <c r="AS571" s="18">
        <f>+VLOOKUP('3. Blasting'!AK571,Apertura,3,FALSE)</f>
        <v>1</v>
      </c>
      <c r="AT571" s="18">
        <f>+VLOOKUP('3. Blasting'!AL571,Leyenda!$B$55:$D$59,3,FALSE)</f>
        <v>3</v>
      </c>
      <c r="AU571" s="18">
        <f>+VLOOKUP('3. Blasting'!AM571,Relleno,3,FALSE)</f>
        <v>2</v>
      </c>
      <c r="AV571" s="18">
        <f t="shared" si="236"/>
        <v>9</v>
      </c>
      <c r="AW571" s="49">
        <f t="shared" si="227"/>
        <v>0</v>
      </c>
      <c r="AX571" s="49">
        <f>VLOOKUP(AF571,Leyenda!$B$4:$D$10,3,FALSE)</f>
        <v>4</v>
      </c>
      <c r="AY571" s="49">
        <f t="shared" si="224"/>
        <v>4</v>
      </c>
      <c r="AZ571" s="49">
        <f t="shared" si="228"/>
        <v>9</v>
      </c>
      <c r="BA571" s="49">
        <f>VLOOKUP(AN571,Leyenda!$B$70:$D$75,3,FALSE)</f>
        <v>15</v>
      </c>
      <c r="BB571" s="67">
        <f t="shared" si="229"/>
        <v>40.5</v>
      </c>
      <c r="BC571" s="67">
        <f>VLOOKUP(AF571,Leyenda!$B$4:$E$10,4,FALSE)</f>
        <v>4</v>
      </c>
      <c r="BD571" s="67">
        <f t="shared" si="230"/>
        <v>12</v>
      </c>
      <c r="BE571" s="67">
        <f t="shared" si="231"/>
        <v>11</v>
      </c>
      <c r="BF571" s="67">
        <f>+VLOOKUP('3. Blasting'!AK571,Leyenda!$B$47:$E$51,4,FALSE)</f>
        <v>1</v>
      </c>
      <c r="BG571" s="67">
        <f>+VLOOKUP('3. Blasting'!AL571,Leyenda!$B$55:$E$59,4,FALSE)</f>
        <v>3</v>
      </c>
      <c r="BH571" s="67">
        <f>+VLOOKUP('3. Blasting'!AM571,Leyenda!$B$63:$E$67,3,FALSE)</f>
        <v>2</v>
      </c>
      <c r="BI571" s="67">
        <f>+VLOOKUP('3. Blasting'!AJ571,Leyenda!$B$39:$E$43,4,FALSE)</f>
        <v>1</v>
      </c>
      <c r="BJ571" s="67">
        <f>+VLOOKUP('3. Blasting'!AI571,Leyenda!$B$30:$E$34,4,FALSE)</f>
        <v>3</v>
      </c>
      <c r="BK571" s="67">
        <f>VLOOKUP(AN571,Leyenda!$B$71:$E$75,4,FALSE)</f>
        <v>10</v>
      </c>
      <c r="BL571" s="125">
        <f t="shared" si="232"/>
        <v>47</v>
      </c>
      <c r="BM571" s="85">
        <f t="shared" si="233"/>
        <v>32</v>
      </c>
      <c r="BN571" s="18">
        <f t="shared" si="237"/>
        <v>0.98422626039620476</v>
      </c>
      <c r="BO571" s="18"/>
      <c r="BP571" s="6">
        <f t="shared" si="238"/>
        <v>30</v>
      </c>
      <c r="BQ571" s="6">
        <f t="shared" si="239"/>
        <v>20</v>
      </c>
      <c r="BR571" s="6">
        <v>20</v>
      </c>
      <c r="BS571" s="6">
        <f t="shared" si="221"/>
        <v>3.5</v>
      </c>
      <c r="BT571" s="6">
        <f t="shared" si="222"/>
        <v>1.5650000000000002</v>
      </c>
      <c r="BU571" s="6">
        <f t="shared" si="223"/>
        <v>37.532499999999999</v>
      </c>
      <c r="BV571" s="18">
        <f t="shared" si="218"/>
        <v>0.15012999999999999</v>
      </c>
      <c r="BW571" s="18">
        <f t="shared" si="219"/>
        <v>0.32127820000000001</v>
      </c>
    </row>
    <row r="572" spans="1:75" x14ac:dyDescent="0.25">
      <c r="A572" s="18" t="s">
        <v>6</v>
      </c>
      <c r="B572" s="18">
        <v>2024</v>
      </c>
      <c r="C572" s="18" t="s">
        <v>138</v>
      </c>
      <c r="D572" s="18" t="s">
        <v>266</v>
      </c>
      <c r="E572" s="18">
        <v>40</v>
      </c>
      <c r="F572" s="18" t="s">
        <v>153</v>
      </c>
      <c r="G572" s="18" t="s">
        <v>299</v>
      </c>
      <c r="H572" s="31">
        <f t="shared" si="216"/>
        <v>31.5</v>
      </c>
      <c r="I572" s="31">
        <f t="shared" si="217"/>
        <v>32</v>
      </c>
      <c r="J572" s="4">
        <f t="shared" si="234"/>
        <v>0.5</v>
      </c>
      <c r="K572" s="32">
        <v>0.7</v>
      </c>
      <c r="L572" s="31">
        <f t="shared" si="225"/>
        <v>0.35</v>
      </c>
      <c r="M572" s="31">
        <v>2.14</v>
      </c>
      <c r="N572" s="31">
        <v>31.3</v>
      </c>
      <c r="O572" s="18">
        <f t="shared" si="226"/>
        <v>0.35</v>
      </c>
      <c r="P572" s="18">
        <v>17.5</v>
      </c>
      <c r="Q572" s="18">
        <v>20</v>
      </c>
      <c r="R572" s="18">
        <v>0.28000000000000003</v>
      </c>
      <c r="S572" s="18">
        <v>0.26</v>
      </c>
      <c r="T572" s="65">
        <f t="shared" si="235"/>
        <v>52</v>
      </c>
      <c r="U572" s="18">
        <v>2</v>
      </c>
      <c r="V572" s="18"/>
      <c r="W572" s="18">
        <f t="shared" si="211"/>
        <v>2</v>
      </c>
      <c r="X572" s="18">
        <f t="shared" si="212"/>
        <v>140</v>
      </c>
      <c r="Y572" s="31">
        <f t="shared" si="220"/>
        <v>0.14000000000000001</v>
      </c>
      <c r="Z572" s="18">
        <v>0</v>
      </c>
      <c r="AA572" s="18" t="s">
        <v>330</v>
      </c>
      <c r="AB572" s="18" t="s">
        <v>333</v>
      </c>
      <c r="AC572" s="18" t="s">
        <v>334</v>
      </c>
      <c r="AD572" s="18">
        <v>20</v>
      </c>
      <c r="AE572" s="18">
        <v>17.5</v>
      </c>
      <c r="AF572" s="18" t="s">
        <v>27</v>
      </c>
      <c r="AG572" s="18" t="s">
        <v>32</v>
      </c>
      <c r="AH572" s="18" t="s">
        <v>32</v>
      </c>
      <c r="AI572" s="18" t="s">
        <v>64</v>
      </c>
      <c r="AJ572" s="18" t="s">
        <v>79</v>
      </c>
      <c r="AK572" s="18" t="s">
        <v>96</v>
      </c>
      <c r="AL572" s="18" t="s">
        <v>107</v>
      </c>
      <c r="AM572" s="18" t="s">
        <v>120</v>
      </c>
      <c r="AN572" s="18" t="s">
        <v>267</v>
      </c>
      <c r="AO572" s="18" t="s">
        <v>284</v>
      </c>
      <c r="AP572" s="18"/>
      <c r="AQ572" s="18">
        <f>+VLOOKUP(AI572,Leyenda!$B$30:$E$34,3,FALSE)</f>
        <v>2</v>
      </c>
      <c r="AR572" s="18">
        <f>+VLOOKUP('3. Blasting'!AJ572,Meteorizacion,3,FALSE)</f>
        <v>1</v>
      </c>
      <c r="AS572" s="18">
        <f>+VLOOKUP('3. Blasting'!AK572,Apertura,3,FALSE)</f>
        <v>1</v>
      </c>
      <c r="AT572" s="18">
        <f>+VLOOKUP('3. Blasting'!AL572,Leyenda!$B$55:$D$59,3,FALSE)</f>
        <v>3</v>
      </c>
      <c r="AU572" s="18">
        <f>+VLOOKUP('3. Blasting'!AM572,Relleno,3,FALSE)</f>
        <v>2</v>
      </c>
      <c r="AV572" s="18">
        <f t="shared" si="236"/>
        <v>9</v>
      </c>
      <c r="AW572" s="49">
        <f t="shared" si="227"/>
        <v>0</v>
      </c>
      <c r="AX572" s="49">
        <f>VLOOKUP(AF572,Leyenda!$B$4:$D$10,3,FALSE)</f>
        <v>4</v>
      </c>
      <c r="AY572" s="49">
        <f t="shared" si="224"/>
        <v>4</v>
      </c>
      <c r="AZ572" s="49">
        <f t="shared" si="228"/>
        <v>9</v>
      </c>
      <c r="BA572" s="49">
        <f>VLOOKUP(AN572,Leyenda!$B$70:$D$75,3,FALSE)</f>
        <v>15</v>
      </c>
      <c r="BB572" s="67">
        <f t="shared" si="229"/>
        <v>39.5</v>
      </c>
      <c r="BC572" s="67">
        <f>VLOOKUP(AF572,Leyenda!$B$4:$E$10,4,FALSE)</f>
        <v>4</v>
      </c>
      <c r="BD572" s="67">
        <f t="shared" si="230"/>
        <v>10</v>
      </c>
      <c r="BE572" s="67">
        <f t="shared" si="231"/>
        <v>11</v>
      </c>
      <c r="BF572" s="67">
        <f>+VLOOKUP('3. Blasting'!AK572,Leyenda!$B$47:$E$51,4,FALSE)</f>
        <v>1</v>
      </c>
      <c r="BG572" s="67">
        <f>+VLOOKUP('3. Blasting'!AL572,Leyenda!$B$55:$E$59,4,FALSE)</f>
        <v>3</v>
      </c>
      <c r="BH572" s="67">
        <f>+VLOOKUP('3. Blasting'!AM572,Leyenda!$B$63:$E$67,3,FALSE)</f>
        <v>2</v>
      </c>
      <c r="BI572" s="67">
        <f>+VLOOKUP('3. Blasting'!AJ572,Leyenda!$B$39:$E$43,4,FALSE)</f>
        <v>1</v>
      </c>
      <c r="BJ572" s="67">
        <f>+VLOOKUP('3. Blasting'!AI572,Leyenda!$B$30:$E$34,4,FALSE)</f>
        <v>3</v>
      </c>
      <c r="BK572" s="67">
        <f>VLOOKUP(AN572,Leyenda!$B$71:$E$75,4,FALSE)</f>
        <v>10</v>
      </c>
      <c r="BL572" s="125">
        <f t="shared" si="232"/>
        <v>45</v>
      </c>
      <c r="BM572" s="85">
        <f t="shared" si="233"/>
        <v>32</v>
      </c>
      <c r="BN572" s="18">
        <f t="shared" si="237"/>
        <v>0.98214216976256108</v>
      </c>
      <c r="BO572" s="18"/>
      <c r="BP572" s="6">
        <f t="shared" si="238"/>
        <v>30</v>
      </c>
      <c r="BQ572" s="6">
        <f t="shared" si="239"/>
        <v>20</v>
      </c>
      <c r="BR572" s="6">
        <v>20</v>
      </c>
      <c r="BS572" s="6">
        <f t="shared" si="221"/>
        <v>3.5</v>
      </c>
      <c r="BT572" s="6">
        <f t="shared" si="222"/>
        <v>1.5650000000000002</v>
      </c>
      <c r="BU572" s="6">
        <f t="shared" si="223"/>
        <v>37.532499999999999</v>
      </c>
      <c r="BV572" s="18">
        <f t="shared" si="218"/>
        <v>0.15012999999999999</v>
      </c>
      <c r="BW572" s="18">
        <f t="shared" si="219"/>
        <v>0.32127820000000001</v>
      </c>
    </row>
    <row r="573" spans="1:75" x14ac:dyDescent="0.25">
      <c r="A573" s="18" t="s">
        <v>6</v>
      </c>
      <c r="B573" s="18">
        <v>2024</v>
      </c>
      <c r="C573" s="18" t="s">
        <v>138</v>
      </c>
      <c r="D573" s="18" t="s">
        <v>266</v>
      </c>
      <c r="E573" s="18">
        <v>40</v>
      </c>
      <c r="F573" s="18" t="s">
        <v>153</v>
      </c>
      <c r="G573" s="18" t="s">
        <v>299</v>
      </c>
      <c r="H573" s="31">
        <f t="shared" si="216"/>
        <v>32</v>
      </c>
      <c r="I573" s="31">
        <f t="shared" si="217"/>
        <v>32.5</v>
      </c>
      <c r="J573" s="4">
        <f t="shared" si="234"/>
        <v>0.5</v>
      </c>
      <c r="K573" s="32">
        <v>0.8</v>
      </c>
      <c r="L573" s="31">
        <f t="shared" si="225"/>
        <v>0.4</v>
      </c>
      <c r="M573" s="31">
        <v>2.14</v>
      </c>
      <c r="N573" s="31">
        <v>31.3</v>
      </c>
      <c r="O573" s="18">
        <f t="shared" si="226"/>
        <v>0.4</v>
      </c>
      <c r="P573" s="18">
        <v>20</v>
      </c>
      <c r="Q573" s="18">
        <v>20</v>
      </c>
      <c r="R573" s="18">
        <v>0.32</v>
      </c>
      <c r="S573" s="18">
        <v>0.12</v>
      </c>
      <c r="T573" s="65">
        <f t="shared" si="235"/>
        <v>24</v>
      </c>
      <c r="U573" s="18">
        <v>3</v>
      </c>
      <c r="V573" s="18"/>
      <c r="W573" s="18">
        <f t="shared" ref="W573:W588" si="240">+U573+V573</f>
        <v>3</v>
      </c>
      <c r="X573" s="18">
        <f t="shared" ref="X573:X588" si="241">+IF(R573=0,"",(R573*1000)/W573)</f>
        <v>106.66666666666667</v>
      </c>
      <c r="Y573" s="31">
        <f t="shared" si="220"/>
        <v>0.10666666666666667</v>
      </c>
      <c r="Z573" s="18">
        <v>0</v>
      </c>
      <c r="AA573" s="18" t="s">
        <v>330</v>
      </c>
      <c r="AB573" s="18" t="s">
        <v>333</v>
      </c>
      <c r="AC573" s="18" t="s">
        <v>334</v>
      </c>
      <c r="AD573" s="18">
        <v>20</v>
      </c>
      <c r="AE573" s="18">
        <v>20</v>
      </c>
      <c r="AF573" s="18" t="s">
        <v>27</v>
      </c>
      <c r="AG573" s="18" t="s">
        <v>27</v>
      </c>
      <c r="AH573" s="18" t="s">
        <v>27</v>
      </c>
      <c r="AI573" s="18" t="s">
        <v>64</v>
      </c>
      <c r="AJ573" s="18" t="s">
        <v>77</v>
      </c>
      <c r="AK573" s="18" t="s">
        <v>96</v>
      </c>
      <c r="AL573" s="18" t="s">
        <v>107</v>
      </c>
      <c r="AM573" s="18" t="s">
        <v>118</v>
      </c>
      <c r="AN573" s="18" t="s">
        <v>267</v>
      </c>
      <c r="AO573" s="18" t="s">
        <v>205</v>
      </c>
      <c r="AP573" s="18"/>
      <c r="AQ573" s="18">
        <f>+VLOOKUP(AI573,Leyenda!$B$30:$E$34,3,FALSE)</f>
        <v>2</v>
      </c>
      <c r="AR573" s="18">
        <f>+VLOOKUP('3. Blasting'!AJ573,Meteorizacion,3,FALSE)</f>
        <v>3</v>
      </c>
      <c r="AS573" s="18">
        <f>+VLOOKUP('3. Blasting'!AK573,Apertura,3,FALSE)</f>
        <v>1</v>
      </c>
      <c r="AT573" s="18">
        <f>+VLOOKUP('3. Blasting'!AL573,Leyenda!$B$55:$D$59,3,FALSE)</f>
        <v>3</v>
      </c>
      <c r="AU573" s="18">
        <f>+VLOOKUP('3. Blasting'!AM573,Relleno,3,FALSE)</f>
        <v>2</v>
      </c>
      <c r="AV573" s="18">
        <f t="shared" si="236"/>
        <v>11</v>
      </c>
      <c r="AW573" s="49">
        <f t="shared" si="227"/>
        <v>0</v>
      </c>
      <c r="AX573" s="49">
        <f>VLOOKUP(AF573,Leyenda!$B$4:$D$10,3,FALSE)</f>
        <v>4</v>
      </c>
      <c r="AY573" s="49">
        <f t="shared" si="224"/>
        <v>4</v>
      </c>
      <c r="AZ573" s="49">
        <f t="shared" si="228"/>
        <v>11</v>
      </c>
      <c r="BA573" s="49">
        <f>VLOOKUP(AN573,Leyenda!$B$70:$D$75,3,FALSE)</f>
        <v>15</v>
      </c>
      <c r="BB573" s="67">
        <f t="shared" si="229"/>
        <v>28.5</v>
      </c>
      <c r="BC573" s="67">
        <f>VLOOKUP(AF573,Leyenda!$B$4:$E$10,4,FALSE)</f>
        <v>4</v>
      </c>
      <c r="BD573" s="67">
        <f t="shared" si="230"/>
        <v>9</v>
      </c>
      <c r="BE573" s="67">
        <f t="shared" si="231"/>
        <v>5</v>
      </c>
      <c r="BF573" s="67">
        <f>+VLOOKUP('3. Blasting'!AK573,Leyenda!$B$47:$E$51,4,FALSE)</f>
        <v>1</v>
      </c>
      <c r="BG573" s="67">
        <f>+VLOOKUP('3. Blasting'!AL573,Leyenda!$B$55:$E$59,4,FALSE)</f>
        <v>3</v>
      </c>
      <c r="BH573" s="67">
        <f>+VLOOKUP('3. Blasting'!AM573,Leyenda!$B$63:$E$67,3,FALSE)</f>
        <v>2</v>
      </c>
      <c r="BI573" s="67">
        <f>+VLOOKUP('3. Blasting'!AJ573,Leyenda!$B$39:$E$43,4,FALSE)</f>
        <v>3</v>
      </c>
      <c r="BJ573" s="67">
        <f>+VLOOKUP('3. Blasting'!AI573,Leyenda!$B$30:$E$34,4,FALSE)</f>
        <v>3</v>
      </c>
      <c r="BK573" s="67">
        <f>VLOOKUP(AN573,Leyenda!$B$71:$E$75,4,FALSE)</f>
        <v>10</v>
      </c>
      <c r="BL573" s="125">
        <f t="shared" si="232"/>
        <v>40</v>
      </c>
      <c r="BM573" s="85">
        <f t="shared" si="233"/>
        <v>34</v>
      </c>
      <c r="BN573" s="18">
        <f t="shared" si="237"/>
        <v>0.97883665942599885</v>
      </c>
      <c r="BO573" s="18"/>
      <c r="BP573" s="6">
        <f t="shared" si="238"/>
        <v>20</v>
      </c>
      <c r="BQ573" s="6">
        <f t="shared" si="239"/>
        <v>20</v>
      </c>
      <c r="BR573" s="6">
        <v>20</v>
      </c>
      <c r="BS573" s="6">
        <f t="shared" si="221"/>
        <v>3.5</v>
      </c>
      <c r="BT573" s="6">
        <f t="shared" si="222"/>
        <v>1.5650000000000002</v>
      </c>
      <c r="BU573" s="6">
        <f t="shared" si="223"/>
        <v>32.532499999999999</v>
      </c>
      <c r="BV573" s="18">
        <f t="shared" si="218"/>
        <v>0.13013</v>
      </c>
      <c r="BW573" s="18">
        <f t="shared" si="219"/>
        <v>0.27847820000000001</v>
      </c>
    </row>
    <row r="574" spans="1:75" x14ac:dyDescent="0.25">
      <c r="A574" s="18" t="s">
        <v>6</v>
      </c>
      <c r="B574" s="18">
        <v>2024</v>
      </c>
      <c r="C574" s="18" t="s">
        <v>138</v>
      </c>
      <c r="D574" s="18" t="s">
        <v>266</v>
      </c>
      <c r="E574" s="18">
        <v>40</v>
      </c>
      <c r="F574" s="18" t="s">
        <v>153</v>
      </c>
      <c r="G574" s="18" t="s">
        <v>299</v>
      </c>
      <c r="H574" s="31">
        <f t="shared" si="216"/>
        <v>32.5</v>
      </c>
      <c r="I574" s="31">
        <f t="shared" si="217"/>
        <v>33</v>
      </c>
      <c r="J574" s="4">
        <f t="shared" si="234"/>
        <v>0.5</v>
      </c>
      <c r="K574" s="32">
        <v>0.74</v>
      </c>
      <c r="L574" s="31">
        <f t="shared" si="225"/>
        <v>0.37</v>
      </c>
      <c r="M574" s="31">
        <v>2.14</v>
      </c>
      <c r="N574" s="31">
        <v>31.3</v>
      </c>
      <c r="O574" s="18">
        <f t="shared" si="226"/>
        <v>0.37</v>
      </c>
      <c r="P574" s="18">
        <v>18.5</v>
      </c>
      <c r="Q574" s="18">
        <v>20</v>
      </c>
      <c r="R574" s="18">
        <v>0.32</v>
      </c>
      <c r="S574" s="18">
        <v>0.32</v>
      </c>
      <c r="T574" s="65">
        <f t="shared" si="235"/>
        <v>64</v>
      </c>
      <c r="U574" s="18">
        <v>3</v>
      </c>
      <c r="V574" s="18"/>
      <c r="W574" s="18">
        <f t="shared" si="240"/>
        <v>3</v>
      </c>
      <c r="X574" s="18">
        <f t="shared" si="241"/>
        <v>106.66666666666667</v>
      </c>
      <c r="Y574" s="31">
        <f t="shared" si="220"/>
        <v>0.10666666666666667</v>
      </c>
      <c r="Z574" s="18">
        <v>0</v>
      </c>
      <c r="AA574" s="18" t="s">
        <v>330</v>
      </c>
      <c r="AB574" s="18" t="s">
        <v>333</v>
      </c>
      <c r="AC574" s="18" t="s">
        <v>334</v>
      </c>
      <c r="AD574" s="18">
        <v>20</v>
      </c>
      <c r="AE574" s="18">
        <v>18.5</v>
      </c>
      <c r="AF574" s="18" t="s">
        <v>27</v>
      </c>
      <c r="AG574" s="18" t="s">
        <v>27</v>
      </c>
      <c r="AH574" s="18" t="s">
        <v>27</v>
      </c>
      <c r="AI574" s="18" t="s">
        <v>64</v>
      </c>
      <c r="AJ574" s="18" t="s">
        <v>77</v>
      </c>
      <c r="AK574" s="18" t="s">
        <v>96</v>
      </c>
      <c r="AL574" s="18" t="s">
        <v>107</v>
      </c>
      <c r="AM574" s="18" t="s">
        <v>118</v>
      </c>
      <c r="AN574" s="18" t="s">
        <v>267</v>
      </c>
      <c r="AO574" s="18" t="s">
        <v>205</v>
      </c>
      <c r="AP574" s="18"/>
      <c r="AQ574" s="18">
        <f>+VLOOKUP(AI574,Leyenda!$B$30:$E$34,3,FALSE)</f>
        <v>2</v>
      </c>
      <c r="AR574" s="18">
        <f>+VLOOKUP('3. Blasting'!AJ574,Meteorizacion,3,FALSE)</f>
        <v>3</v>
      </c>
      <c r="AS574" s="18">
        <f>+VLOOKUP('3. Blasting'!AK574,Apertura,3,FALSE)</f>
        <v>1</v>
      </c>
      <c r="AT574" s="18">
        <f>+VLOOKUP('3. Blasting'!AL574,Leyenda!$B$55:$D$59,3,FALSE)</f>
        <v>3</v>
      </c>
      <c r="AU574" s="18">
        <f>+VLOOKUP('3. Blasting'!AM574,Relleno,3,FALSE)</f>
        <v>2</v>
      </c>
      <c r="AV574" s="18">
        <f t="shared" si="236"/>
        <v>11</v>
      </c>
      <c r="AW574" s="49">
        <f t="shared" si="227"/>
        <v>0</v>
      </c>
      <c r="AX574" s="49">
        <f>VLOOKUP(AF574,Leyenda!$B$4:$D$10,3,FALSE)</f>
        <v>4</v>
      </c>
      <c r="AY574" s="49">
        <f t="shared" si="224"/>
        <v>4</v>
      </c>
      <c r="AZ574" s="49">
        <f t="shared" si="228"/>
        <v>11</v>
      </c>
      <c r="BA574" s="49">
        <f>VLOOKUP(AN574,Leyenda!$B$70:$D$75,3,FALSE)</f>
        <v>15</v>
      </c>
      <c r="BB574" s="67">
        <f t="shared" si="229"/>
        <v>48.5</v>
      </c>
      <c r="BC574" s="67">
        <f>VLOOKUP(AF574,Leyenda!$B$4:$E$10,4,FALSE)</f>
        <v>4</v>
      </c>
      <c r="BD574" s="67">
        <f t="shared" si="230"/>
        <v>9</v>
      </c>
      <c r="BE574" s="67">
        <f t="shared" si="231"/>
        <v>13</v>
      </c>
      <c r="BF574" s="67">
        <f>+VLOOKUP('3. Blasting'!AK574,Leyenda!$B$47:$E$51,4,FALSE)</f>
        <v>1</v>
      </c>
      <c r="BG574" s="67">
        <f>+VLOOKUP('3. Blasting'!AL574,Leyenda!$B$55:$E$59,4,FALSE)</f>
        <v>3</v>
      </c>
      <c r="BH574" s="67">
        <f>+VLOOKUP('3. Blasting'!AM574,Leyenda!$B$63:$E$67,3,FALSE)</f>
        <v>2</v>
      </c>
      <c r="BI574" s="67">
        <f>+VLOOKUP('3. Blasting'!AJ574,Leyenda!$B$39:$E$43,4,FALSE)</f>
        <v>3</v>
      </c>
      <c r="BJ574" s="67">
        <f>+VLOOKUP('3. Blasting'!AI574,Leyenda!$B$30:$E$34,4,FALSE)</f>
        <v>3</v>
      </c>
      <c r="BK574" s="67">
        <f>VLOOKUP(AN574,Leyenda!$B$71:$E$75,4,FALSE)</f>
        <v>10</v>
      </c>
      <c r="BL574" s="125">
        <f t="shared" si="232"/>
        <v>48</v>
      </c>
      <c r="BM574" s="85">
        <f t="shared" si="233"/>
        <v>34</v>
      </c>
      <c r="BN574" s="18">
        <f t="shared" si="237"/>
        <v>0.98043337131592834</v>
      </c>
      <c r="BO574" s="18"/>
      <c r="BP574" s="6">
        <f t="shared" si="238"/>
        <v>30</v>
      </c>
      <c r="BQ574" s="6">
        <f t="shared" si="239"/>
        <v>20</v>
      </c>
      <c r="BR574" s="6">
        <v>20</v>
      </c>
      <c r="BS574" s="6">
        <f t="shared" si="221"/>
        <v>3.5</v>
      </c>
      <c r="BT574" s="6">
        <f t="shared" si="222"/>
        <v>1.5650000000000002</v>
      </c>
      <c r="BU574" s="6">
        <f t="shared" si="223"/>
        <v>37.532499999999999</v>
      </c>
      <c r="BV574" s="18">
        <f t="shared" si="218"/>
        <v>0.15012999999999999</v>
      </c>
      <c r="BW574" s="18">
        <f t="shared" si="219"/>
        <v>0.32127820000000001</v>
      </c>
    </row>
    <row r="575" spans="1:75" x14ac:dyDescent="0.25">
      <c r="A575" s="18" t="s">
        <v>6</v>
      </c>
      <c r="B575" s="18">
        <v>2024</v>
      </c>
      <c r="C575" s="18" t="s">
        <v>138</v>
      </c>
      <c r="D575" s="18" t="s">
        <v>266</v>
      </c>
      <c r="E575" s="18">
        <v>40</v>
      </c>
      <c r="F575" s="18" t="s">
        <v>153</v>
      </c>
      <c r="G575" s="18" t="s">
        <v>299</v>
      </c>
      <c r="H575" s="31">
        <f t="shared" si="216"/>
        <v>33</v>
      </c>
      <c r="I575" s="31">
        <f t="shared" si="217"/>
        <v>33.5</v>
      </c>
      <c r="J575" s="4">
        <f t="shared" si="234"/>
        <v>0.5</v>
      </c>
      <c r="K575" s="32">
        <v>0.46</v>
      </c>
      <c r="L575" s="31">
        <f t="shared" si="225"/>
        <v>0.23</v>
      </c>
      <c r="M575" s="31">
        <v>2.14</v>
      </c>
      <c r="N575" s="31">
        <v>31.3</v>
      </c>
      <c r="O575" s="18">
        <f t="shared" si="226"/>
        <v>0.23</v>
      </c>
      <c r="P575" s="18">
        <v>11.5</v>
      </c>
      <c r="Q575" s="18">
        <v>20</v>
      </c>
      <c r="R575" s="18">
        <v>0.15</v>
      </c>
      <c r="S575" s="18">
        <v>0.1</v>
      </c>
      <c r="T575" s="65">
        <f t="shared" si="235"/>
        <v>20</v>
      </c>
      <c r="U575" s="18">
        <v>2</v>
      </c>
      <c r="V575" s="18"/>
      <c r="W575" s="18">
        <f t="shared" si="240"/>
        <v>2</v>
      </c>
      <c r="X575" s="18">
        <f t="shared" si="241"/>
        <v>75</v>
      </c>
      <c r="Y575" s="31">
        <f t="shared" si="220"/>
        <v>7.4999999999999997E-2</v>
      </c>
      <c r="Z575" s="18">
        <v>0</v>
      </c>
      <c r="AA575" s="18" t="s">
        <v>330</v>
      </c>
      <c r="AB575" s="18" t="s">
        <v>333</v>
      </c>
      <c r="AC575" s="18" t="s">
        <v>334</v>
      </c>
      <c r="AD575" s="18">
        <v>20</v>
      </c>
      <c r="AE575" s="18">
        <v>11.5</v>
      </c>
      <c r="AF575" s="18" t="s">
        <v>27</v>
      </c>
      <c r="AG575" s="18" t="s">
        <v>29</v>
      </c>
      <c r="AH575" s="18" t="s">
        <v>29</v>
      </c>
      <c r="AI575" s="18" t="s">
        <v>64</v>
      </c>
      <c r="AJ575" s="18" t="s">
        <v>79</v>
      </c>
      <c r="AK575" s="18" t="s">
        <v>96</v>
      </c>
      <c r="AL575" s="18" t="s">
        <v>107</v>
      </c>
      <c r="AM575" s="18" t="s">
        <v>120</v>
      </c>
      <c r="AN575" s="18" t="s">
        <v>267</v>
      </c>
      <c r="AO575" s="18"/>
      <c r="AP575" s="18"/>
      <c r="AQ575" s="18">
        <f>+VLOOKUP(AI575,Leyenda!$B$30:$E$34,3,FALSE)</f>
        <v>2</v>
      </c>
      <c r="AR575" s="18">
        <f>+VLOOKUP('3. Blasting'!AJ575,Meteorizacion,3,FALSE)</f>
        <v>1</v>
      </c>
      <c r="AS575" s="18">
        <f>+VLOOKUP('3. Blasting'!AK575,Apertura,3,FALSE)</f>
        <v>1</v>
      </c>
      <c r="AT575" s="18">
        <f>+VLOOKUP('3. Blasting'!AL575,Leyenda!$B$55:$D$59,3,FALSE)</f>
        <v>3</v>
      </c>
      <c r="AU575" s="18">
        <f>+VLOOKUP('3. Blasting'!AM575,Relleno,3,FALSE)</f>
        <v>2</v>
      </c>
      <c r="AV575" s="18">
        <f t="shared" si="236"/>
        <v>9</v>
      </c>
      <c r="AW575" s="49">
        <f t="shared" si="227"/>
        <v>0</v>
      </c>
      <c r="AX575" s="49">
        <f>VLOOKUP(AF575,Leyenda!$B$4:$D$10,3,FALSE)</f>
        <v>4</v>
      </c>
      <c r="AY575" s="49">
        <f t="shared" si="224"/>
        <v>4</v>
      </c>
      <c r="AZ575" s="49">
        <f t="shared" si="228"/>
        <v>9</v>
      </c>
      <c r="BA575" s="49">
        <f>VLOOKUP(AN575,Leyenda!$B$70:$D$75,3,FALSE)</f>
        <v>15</v>
      </c>
      <c r="BB575" s="67">
        <f t="shared" si="229"/>
        <v>23.5</v>
      </c>
      <c r="BC575" s="67">
        <f>VLOOKUP(AF575,Leyenda!$B$4:$E$10,4,FALSE)</f>
        <v>4</v>
      </c>
      <c r="BD575" s="67">
        <f t="shared" si="230"/>
        <v>6</v>
      </c>
      <c r="BE575" s="67">
        <f t="shared" si="231"/>
        <v>4</v>
      </c>
      <c r="BF575" s="67">
        <f>+VLOOKUP('3. Blasting'!AK575,Leyenda!$B$47:$E$51,4,FALSE)</f>
        <v>1</v>
      </c>
      <c r="BG575" s="67">
        <f>+VLOOKUP('3. Blasting'!AL575,Leyenda!$B$55:$E$59,4,FALSE)</f>
        <v>3</v>
      </c>
      <c r="BH575" s="67">
        <f>+VLOOKUP('3. Blasting'!AM575,Leyenda!$B$63:$E$67,3,FALSE)</f>
        <v>2</v>
      </c>
      <c r="BI575" s="67">
        <f>+VLOOKUP('3. Blasting'!AJ575,Leyenda!$B$39:$E$43,4,FALSE)</f>
        <v>1</v>
      </c>
      <c r="BJ575" s="67">
        <f>+VLOOKUP('3. Blasting'!AI575,Leyenda!$B$30:$E$34,4,FALSE)</f>
        <v>3</v>
      </c>
      <c r="BK575" s="67">
        <f>VLOOKUP(AN575,Leyenda!$B$71:$E$75,4,FALSE)</f>
        <v>10</v>
      </c>
      <c r="BL575" s="125">
        <f t="shared" si="232"/>
        <v>34</v>
      </c>
      <c r="BM575" s="85">
        <f t="shared" si="233"/>
        <v>32</v>
      </c>
      <c r="BN575" s="18">
        <f t="shared" si="237"/>
        <v>0.97450877460920904</v>
      </c>
      <c r="BO575" s="18"/>
      <c r="BP575" s="6">
        <f t="shared" si="238"/>
        <v>20</v>
      </c>
      <c r="BQ575" s="6">
        <f t="shared" si="239"/>
        <v>10</v>
      </c>
      <c r="BR575" s="6">
        <v>20</v>
      </c>
      <c r="BS575" s="6">
        <f t="shared" si="221"/>
        <v>3.5</v>
      </c>
      <c r="BT575" s="6">
        <f t="shared" si="222"/>
        <v>1.5650000000000002</v>
      </c>
      <c r="BU575" s="6">
        <f t="shared" si="223"/>
        <v>27.532499999999999</v>
      </c>
      <c r="BV575" s="18">
        <f t="shared" si="218"/>
        <v>0.11012999999999999</v>
      </c>
      <c r="BW575" s="18">
        <f t="shared" si="219"/>
        <v>0.2356782</v>
      </c>
    </row>
    <row r="576" spans="1:75" x14ac:dyDescent="0.25">
      <c r="A576" s="18" t="s">
        <v>6</v>
      </c>
      <c r="B576" s="18">
        <v>2024</v>
      </c>
      <c r="C576" s="18" t="s">
        <v>138</v>
      </c>
      <c r="D576" s="18" t="s">
        <v>266</v>
      </c>
      <c r="E576" s="18">
        <v>40</v>
      </c>
      <c r="F576" s="18" t="s">
        <v>153</v>
      </c>
      <c r="G576" s="18" t="s">
        <v>299</v>
      </c>
      <c r="H576" s="31">
        <f t="shared" ref="H576:H588" si="242">+I575</f>
        <v>33.5</v>
      </c>
      <c r="I576" s="31">
        <f t="shared" ref="I576:I588" si="243">+H576+0.5</f>
        <v>34</v>
      </c>
      <c r="J576" s="4">
        <f t="shared" si="234"/>
        <v>0.5</v>
      </c>
      <c r="K576" s="32">
        <v>0.52</v>
      </c>
      <c r="L576" s="31">
        <f t="shared" si="225"/>
        <v>0.26</v>
      </c>
      <c r="M576" s="31">
        <v>2.14</v>
      </c>
      <c r="N576" s="31">
        <v>31.3</v>
      </c>
      <c r="O576" s="18">
        <f t="shared" si="226"/>
        <v>0.26</v>
      </c>
      <c r="P576" s="18">
        <v>13</v>
      </c>
      <c r="Q576" s="18">
        <v>20</v>
      </c>
      <c r="R576" s="18">
        <f>0.06+0.13</f>
        <v>0.19</v>
      </c>
      <c r="S576" s="18">
        <v>0</v>
      </c>
      <c r="T576" s="65">
        <f t="shared" si="235"/>
        <v>0</v>
      </c>
      <c r="U576" s="18">
        <v>3</v>
      </c>
      <c r="V576" s="18"/>
      <c r="W576" s="18">
        <f t="shared" si="240"/>
        <v>3</v>
      </c>
      <c r="X576" s="18">
        <f t="shared" si="241"/>
        <v>63.333333333333336</v>
      </c>
      <c r="Y576" s="31">
        <f t="shared" si="220"/>
        <v>6.3333333333333339E-2</v>
      </c>
      <c r="Z576" s="18">
        <v>0</v>
      </c>
      <c r="AA576" s="18" t="s">
        <v>330</v>
      </c>
      <c r="AB576" s="18" t="s">
        <v>333</v>
      </c>
      <c r="AC576" s="18" t="s">
        <v>334</v>
      </c>
      <c r="AD576" s="18">
        <v>20</v>
      </c>
      <c r="AE576" s="18">
        <v>13</v>
      </c>
      <c r="AF576" s="18" t="s">
        <v>27</v>
      </c>
      <c r="AG576" s="18" t="s">
        <v>34</v>
      </c>
      <c r="AH576" s="18" t="s">
        <v>34</v>
      </c>
      <c r="AI576" s="18" t="s">
        <v>66</v>
      </c>
      <c r="AJ576" s="18" t="s">
        <v>81</v>
      </c>
      <c r="AK576" s="18" t="s">
        <v>96</v>
      </c>
      <c r="AL576" s="18" t="s">
        <v>107</v>
      </c>
      <c r="AM576" s="18" t="s">
        <v>122</v>
      </c>
      <c r="AN576" s="18" t="s">
        <v>267</v>
      </c>
      <c r="AO576" s="18"/>
      <c r="AP576" s="18"/>
      <c r="AQ576" s="18">
        <f>+VLOOKUP(AI576,Leyenda!$B$30:$E$34,3,FALSE)</f>
        <v>1</v>
      </c>
      <c r="AR576" s="18">
        <f>+VLOOKUP('3. Blasting'!AJ576,Meteorizacion,3,FALSE)</f>
        <v>0</v>
      </c>
      <c r="AS576" s="18">
        <f>+VLOOKUP('3. Blasting'!AK576,Apertura,3,FALSE)</f>
        <v>1</v>
      </c>
      <c r="AT576" s="18">
        <f>+VLOOKUP('3. Blasting'!AL576,Leyenda!$B$55:$D$59,3,FALSE)</f>
        <v>3</v>
      </c>
      <c r="AU576" s="18">
        <f>+VLOOKUP('3. Blasting'!AM576,Relleno,3,FALSE)</f>
        <v>0</v>
      </c>
      <c r="AV576" s="18">
        <f t="shared" si="236"/>
        <v>5</v>
      </c>
      <c r="AW576" s="49">
        <f t="shared" si="227"/>
        <v>0</v>
      </c>
      <c r="AX576" s="49">
        <f>VLOOKUP(AF576,Leyenda!$B$4:$D$10,3,FALSE)</f>
        <v>4</v>
      </c>
      <c r="AY576" s="49">
        <f t="shared" si="224"/>
        <v>4</v>
      </c>
      <c r="AZ576" s="49">
        <f t="shared" si="228"/>
        <v>5</v>
      </c>
      <c r="BA576" s="49">
        <f>VLOOKUP(AN576,Leyenda!$B$70:$D$75,3,FALSE)</f>
        <v>15</v>
      </c>
      <c r="BB576" s="67">
        <f t="shared" si="229"/>
        <v>7.5</v>
      </c>
      <c r="BC576" s="67">
        <f>VLOOKUP(AF576,Leyenda!$B$4:$E$10,4,FALSE)</f>
        <v>4</v>
      </c>
      <c r="BD576" s="67">
        <f t="shared" si="230"/>
        <v>5</v>
      </c>
      <c r="BE576" s="67">
        <f t="shared" si="231"/>
        <v>0</v>
      </c>
      <c r="BF576" s="67">
        <f>+VLOOKUP('3. Blasting'!AK576,Leyenda!$B$47:$E$51,4,FALSE)</f>
        <v>1</v>
      </c>
      <c r="BG576" s="67">
        <f>+VLOOKUP('3. Blasting'!AL576,Leyenda!$B$55:$E$59,4,FALSE)</f>
        <v>3</v>
      </c>
      <c r="BH576" s="67">
        <f>+VLOOKUP('3. Blasting'!AM576,Leyenda!$B$63:$E$67,3,FALSE)</f>
        <v>0</v>
      </c>
      <c r="BI576" s="67">
        <f>+VLOOKUP('3. Blasting'!AJ576,Leyenda!$B$39:$E$43,4,FALSE)</f>
        <v>0</v>
      </c>
      <c r="BJ576" s="67">
        <f>+VLOOKUP('3. Blasting'!AI576,Leyenda!$B$30:$E$34,4,FALSE)</f>
        <v>1</v>
      </c>
      <c r="BK576" s="67">
        <f>VLOOKUP(AN576,Leyenda!$B$71:$E$75,4,FALSE)</f>
        <v>10</v>
      </c>
      <c r="BL576" s="125">
        <f t="shared" si="232"/>
        <v>24</v>
      </c>
      <c r="BM576" s="85">
        <f t="shared" si="233"/>
        <v>28</v>
      </c>
      <c r="BN576" s="18">
        <f t="shared" si="237"/>
        <v>0.97257436196193703</v>
      </c>
      <c r="BO576" s="18"/>
      <c r="BP576" s="6">
        <f t="shared" si="238"/>
        <v>10</v>
      </c>
      <c r="BQ576" s="6">
        <f t="shared" si="239"/>
        <v>10</v>
      </c>
      <c r="BR576" s="6">
        <v>20</v>
      </c>
      <c r="BS576" s="6">
        <f t="shared" si="221"/>
        <v>3.5</v>
      </c>
      <c r="BT576" s="6">
        <f t="shared" si="222"/>
        <v>1.5650000000000002</v>
      </c>
      <c r="BU576" s="6">
        <f t="shared" si="223"/>
        <v>22.532499999999999</v>
      </c>
      <c r="BV576" s="18">
        <f t="shared" si="218"/>
        <v>9.0130000000000002E-2</v>
      </c>
      <c r="BW576" s="18">
        <f t="shared" si="219"/>
        <v>0.19287820000000003</v>
      </c>
    </row>
    <row r="577" spans="1:75" x14ac:dyDescent="0.25">
      <c r="A577" s="18" t="s">
        <v>6</v>
      </c>
      <c r="B577" s="18">
        <v>2024</v>
      </c>
      <c r="C577" s="18" t="s">
        <v>138</v>
      </c>
      <c r="D577" s="18" t="s">
        <v>266</v>
      </c>
      <c r="E577" s="18">
        <v>40</v>
      </c>
      <c r="F577" s="18" t="s">
        <v>153</v>
      </c>
      <c r="G577" s="18" t="s">
        <v>299</v>
      </c>
      <c r="H577" s="31">
        <f t="shared" si="242"/>
        <v>34</v>
      </c>
      <c r="I577" s="31">
        <f t="shared" si="243"/>
        <v>34.5</v>
      </c>
      <c r="J577" s="4">
        <f t="shared" si="234"/>
        <v>0.5</v>
      </c>
      <c r="K577" s="32">
        <v>0.48</v>
      </c>
      <c r="L577" s="31">
        <f t="shared" si="225"/>
        <v>0.24</v>
      </c>
      <c r="M577" s="31">
        <v>2.14</v>
      </c>
      <c r="N577" s="31">
        <v>31.3</v>
      </c>
      <c r="O577" s="18">
        <f t="shared" si="226"/>
        <v>0.24</v>
      </c>
      <c r="P577" s="18">
        <v>12</v>
      </c>
      <c r="Q577" s="18">
        <v>20</v>
      </c>
      <c r="R577" s="18">
        <v>0.21</v>
      </c>
      <c r="S577" s="18">
        <v>0.11</v>
      </c>
      <c r="T577" s="65">
        <f t="shared" si="235"/>
        <v>22</v>
      </c>
      <c r="U577" s="18">
        <v>3</v>
      </c>
      <c r="V577" s="18"/>
      <c r="W577" s="18">
        <f t="shared" si="240"/>
        <v>3</v>
      </c>
      <c r="X577" s="18">
        <f t="shared" si="241"/>
        <v>70</v>
      </c>
      <c r="Y577" s="31">
        <f t="shared" si="220"/>
        <v>7.0000000000000007E-2</v>
      </c>
      <c r="Z577" s="18">
        <v>0</v>
      </c>
      <c r="AA577" s="18" t="s">
        <v>330</v>
      </c>
      <c r="AB577" s="18" t="s">
        <v>333</v>
      </c>
      <c r="AC577" s="18" t="s">
        <v>334</v>
      </c>
      <c r="AD577" s="18">
        <v>20</v>
      </c>
      <c r="AE577" s="18">
        <v>12</v>
      </c>
      <c r="AF577" s="18" t="s">
        <v>27</v>
      </c>
      <c r="AG577" s="18" t="s">
        <v>34</v>
      </c>
      <c r="AH577" s="18" t="s">
        <v>34</v>
      </c>
      <c r="AI577" s="18" t="s">
        <v>69</v>
      </c>
      <c r="AJ577" s="18" t="s">
        <v>81</v>
      </c>
      <c r="AK577" s="18" t="s">
        <v>100</v>
      </c>
      <c r="AL577" s="18" t="s">
        <v>109</v>
      </c>
      <c r="AM577" s="18" t="s">
        <v>122</v>
      </c>
      <c r="AN577" s="18" t="s">
        <v>126</v>
      </c>
      <c r="AO577" s="18" t="s">
        <v>280</v>
      </c>
      <c r="AP577" s="18"/>
      <c r="AQ577" s="18">
        <f>+VLOOKUP(AI577,Leyenda!$B$30:$E$34,3,FALSE)</f>
        <v>0</v>
      </c>
      <c r="AR577" s="18">
        <f>+VLOOKUP('3. Blasting'!AJ577,Meteorizacion,3,FALSE)</f>
        <v>0</v>
      </c>
      <c r="AS577" s="18">
        <f>+VLOOKUP('3. Blasting'!AK577,Apertura,3,FALSE)</f>
        <v>0</v>
      </c>
      <c r="AT577" s="18">
        <f>+VLOOKUP('3. Blasting'!AL577,Leyenda!$B$55:$D$59,3,FALSE)</f>
        <v>1</v>
      </c>
      <c r="AU577" s="18">
        <f>+VLOOKUP('3. Blasting'!AM577,Relleno,3,FALSE)</f>
        <v>0</v>
      </c>
      <c r="AV577" s="18">
        <f t="shared" si="236"/>
        <v>1</v>
      </c>
      <c r="AW577" s="49">
        <f t="shared" si="227"/>
        <v>0</v>
      </c>
      <c r="AX577" s="49">
        <f>VLOOKUP(AF577,Leyenda!$B$4:$D$10,3,FALSE)</f>
        <v>4</v>
      </c>
      <c r="AY577" s="49">
        <f t="shared" si="224"/>
        <v>4</v>
      </c>
      <c r="AZ577" s="49">
        <f t="shared" si="228"/>
        <v>1</v>
      </c>
      <c r="BA577" s="49">
        <f>VLOOKUP(AN577,Leyenda!$B$70:$D$75,3,FALSE)</f>
        <v>10</v>
      </c>
      <c r="BB577" s="67">
        <f t="shared" si="229"/>
        <v>12.5</v>
      </c>
      <c r="BC577" s="67">
        <f>VLOOKUP(AF577,Leyenda!$B$4:$E$10,4,FALSE)</f>
        <v>4</v>
      </c>
      <c r="BD577" s="67">
        <f t="shared" si="230"/>
        <v>6</v>
      </c>
      <c r="BE577" s="67">
        <f t="shared" si="231"/>
        <v>5</v>
      </c>
      <c r="BF577" s="67">
        <f>+VLOOKUP('3. Blasting'!AK577,Leyenda!$B$47:$E$51,4,FALSE)</f>
        <v>0</v>
      </c>
      <c r="BG577" s="67">
        <f>+VLOOKUP('3. Blasting'!AL577,Leyenda!$B$55:$E$59,4,FALSE)</f>
        <v>1</v>
      </c>
      <c r="BH577" s="67">
        <f>+VLOOKUP('3. Blasting'!AM577,Leyenda!$B$63:$E$67,3,FALSE)</f>
        <v>0</v>
      </c>
      <c r="BI577" s="67">
        <f>+VLOOKUP('3. Blasting'!AJ577,Leyenda!$B$39:$E$43,4,FALSE)</f>
        <v>0</v>
      </c>
      <c r="BJ577" s="67">
        <f>+VLOOKUP('3. Blasting'!AI577,Leyenda!$B$30:$E$34,4,FALSE)</f>
        <v>0</v>
      </c>
      <c r="BK577" s="67">
        <f>VLOOKUP(AN577,Leyenda!$B$71:$E$75,4,FALSE)</f>
        <v>7</v>
      </c>
      <c r="BL577" s="125">
        <f t="shared" si="232"/>
        <v>23</v>
      </c>
      <c r="BM577" s="85">
        <f t="shared" si="233"/>
        <v>19</v>
      </c>
      <c r="BN577" s="18">
        <f t="shared" si="237"/>
        <v>0.97320928210088975</v>
      </c>
      <c r="BO577" s="18"/>
      <c r="BP577" s="6">
        <f t="shared" si="238"/>
        <v>10</v>
      </c>
      <c r="BQ577" s="6">
        <f t="shared" si="239"/>
        <v>10</v>
      </c>
      <c r="BR577" s="6">
        <v>20</v>
      </c>
      <c r="BS577" s="6">
        <f t="shared" si="221"/>
        <v>3.5</v>
      </c>
      <c r="BT577" s="6">
        <f t="shared" si="222"/>
        <v>1.5650000000000002</v>
      </c>
      <c r="BU577" s="6">
        <f t="shared" si="223"/>
        <v>22.532499999999999</v>
      </c>
      <c r="BV577" s="18">
        <f t="shared" si="218"/>
        <v>9.0130000000000002E-2</v>
      </c>
      <c r="BW577" s="18">
        <f t="shared" si="219"/>
        <v>0.19287820000000003</v>
      </c>
    </row>
    <row r="578" spans="1:75" x14ac:dyDescent="0.25">
      <c r="A578" s="18" t="s">
        <v>6</v>
      </c>
      <c r="B578" s="18">
        <v>2024</v>
      </c>
      <c r="C578" s="18" t="s">
        <v>138</v>
      </c>
      <c r="D578" s="18" t="s">
        <v>266</v>
      </c>
      <c r="E578" s="18">
        <v>40</v>
      </c>
      <c r="F578" s="18" t="s">
        <v>153</v>
      </c>
      <c r="G578" s="18" t="s">
        <v>299</v>
      </c>
      <c r="H578" s="31">
        <f t="shared" si="242"/>
        <v>34.5</v>
      </c>
      <c r="I578" s="31">
        <f t="shared" si="243"/>
        <v>35</v>
      </c>
      <c r="J578" s="4">
        <f t="shared" si="234"/>
        <v>0.5</v>
      </c>
      <c r="K578" s="32">
        <v>0.6</v>
      </c>
      <c r="L578" s="31">
        <f t="shared" si="225"/>
        <v>0.3</v>
      </c>
      <c r="M578" s="31">
        <v>2.14</v>
      </c>
      <c r="N578" s="31">
        <v>31.3</v>
      </c>
      <c r="O578" s="18">
        <f t="shared" si="226"/>
        <v>0.3</v>
      </c>
      <c r="P578" s="18">
        <v>15</v>
      </c>
      <c r="Q578" s="18">
        <v>20</v>
      </c>
      <c r="R578" s="18">
        <v>0.27</v>
      </c>
      <c r="S578" s="18">
        <v>0</v>
      </c>
      <c r="T578" s="65">
        <f t="shared" si="235"/>
        <v>0</v>
      </c>
      <c r="U578" s="18">
        <v>4</v>
      </c>
      <c r="V578" s="18"/>
      <c r="W578" s="18">
        <f t="shared" si="240"/>
        <v>4</v>
      </c>
      <c r="X578" s="18">
        <f t="shared" si="241"/>
        <v>67.5</v>
      </c>
      <c r="Y578" s="31">
        <f t="shared" si="220"/>
        <v>6.7500000000000004E-2</v>
      </c>
      <c r="Z578" s="18">
        <v>0</v>
      </c>
      <c r="AA578" s="18" t="s">
        <v>330</v>
      </c>
      <c r="AB578" s="18" t="s">
        <v>333</v>
      </c>
      <c r="AC578" s="18" t="s">
        <v>334</v>
      </c>
      <c r="AD578" s="18">
        <v>20</v>
      </c>
      <c r="AE578" s="18">
        <v>15</v>
      </c>
      <c r="AF578" s="18" t="s">
        <v>27</v>
      </c>
      <c r="AG578" s="18" t="s">
        <v>34</v>
      </c>
      <c r="AH578" s="18" t="s">
        <v>34</v>
      </c>
      <c r="AI578" s="18" t="s">
        <v>69</v>
      </c>
      <c r="AJ578" s="18" t="s">
        <v>81</v>
      </c>
      <c r="AK578" s="18" t="s">
        <v>100</v>
      </c>
      <c r="AL578" s="18" t="s">
        <v>109</v>
      </c>
      <c r="AM578" s="18" t="s">
        <v>122</v>
      </c>
      <c r="AN578" s="18" t="s">
        <v>126</v>
      </c>
      <c r="AO578" s="18"/>
      <c r="AP578" s="18"/>
      <c r="AQ578" s="18">
        <f>+VLOOKUP(AI578,Leyenda!$B$30:$E$34,3,FALSE)</f>
        <v>0</v>
      </c>
      <c r="AR578" s="18">
        <f>+VLOOKUP('3. Blasting'!AJ578,Meteorizacion,3,FALSE)</f>
        <v>0</v>
      </c>
      <c r="AS578" s="18">
        <f>+VLOOKUP('3. Blasting'!AK578,Apertura,3,FALSE)</f>
        <v>0</v>
      </c>
      <c r="AT578" s="18">
        <f>+VLOOKUP('3. Blasting'!AL578,Leyenda!$B$55:$D$59,3,FALSE)</f>
        <v>1</v>
      </c>
      <c r="AU578" s="18">
        <f>+VLOOKUP('3. Blasting'!AM578,Relleno,3,FALSE)</f>
        <v>0</v>
      </c>
      <c r="AV578" s="18">
        <f t="shared" si="236"/>
        <v>1</v>
      </c>
      <c r="AW578" s="49">
        <f t="shared" si="227"/>
        <v>0</v>
      </c>
      <c r="AX578" s="49">
        <f>VLOOKUP(AF578,Leyenda!$B$4:$D$10,3,FALSE)</f>
        <v>4</v>
      </c>
      <c r="AY578" s="49">
        <f t="shared" si="224"/>
        <v>4</v>
      </c>
      <c r="AZ578" s="49">
        <f t="shared" si="228"/>
        <v>1</v>
      </c>
      <c r="BA578" s="49">
        <f>VLOOKUP(AN578,Leyenda!$B$70:$D$75,3,FALSE)</f>
        <v>10</v>
      </c>
      <c r="BB578" s="67">
        <f t="shared" si="229"/>
        <v>1.5</v>
      </c>
      <c r="BC578" s="67">
        <f>VLOOKUP(AF578,Leyenda!$B$4:$E$10,4,FALSE)</f>
        <v>4</v>
      </c>
      <c r="BD578" s="67">
        <f t="shared" si="230"/>
        <v>6</v>
      </c>
      <c r="BE578" s="67">
        <f t="shared" si="231"/>
        <v>0</v>
      </c>
      <c r="BF578" s="67">
        <f>+VLOOKUP('3. Blasting'!AK578,Leyenda!$B$47:$E$51,4,FALSE)</f>
        <v>0</v>
      </c>
      <c r="BG578" s="67">
        <f>+VLOOKUP('3. Blasting'!AL578,Leyenda!$B$55:$E$59,4,FALSE)</f>
        <v>1</v>
      </c>
      <c r="BH578" s="67">
        <f>+VLOOKUP('3. Blasting'!AM578,Leyenda!$B$63:$E$67,3,FALSE)</f>
        <v>0</v>
      </c>
      <c r="BI578" s="67">
        <f>+VLOOKUP('3. Blasting'!AJ578,Leyenda!$B$39:$E$43,4,FALSE)</f>
        <v>0</v>
      </c>
      <c r="BJ578" s="67">
        <f>+VLOOKUP('3. Blasting'!AI578,Leyenda!$B$30:$E$34,4,FALSE)</f>
        <v>0</v>
      </c>
      <c r="BK578" s="67">
        <f>VLOOKUP(AN578,Leyenda!$B$71:$E$75,4,FALSE)</f>
        <v>7</v>
      </c>
      <c r="BL578" s="125">
        <f t="shared" si="232"/>
        <v>18</v>
      </c>
      <c r="BM578" s="85">
        <f t="shared" si="233"/>
        <v>19</v>
      </c>
      <c r="BN578" s="18">
        <f t="shared" si="237"/>
        <v>0.98239556338525114</v>
      </c>
      <c r="BO578" s="18"/>
      <c r="BP578" s="6">
        <f t="shared" si="238"/>
        <v>10</v>
      </c>
      <c r="BQ578" s="6">
        <f t="shared" si="239"/>
        <v>10</v>
      </c>
      <c r="BR578" s="6">
        <v>20</v>
      </c>
      <c r="BS578" s="6">
        <f t="shared" si="221"/>
        <v>3.5</v>
      </c>
      <c r="BT578" s="6">
        <f t="shared" si="222"/>
        <v>1.5650000000000002</v>
      </c>
      <c r="BU578" s="6">
        <f t="shared" si="223"/>
        <v>22.532499999999999</v>
      </c>
      <c r="BV578" s="18">
        <f t="shared" si="218"/>
        <v>9.0130000000000002E-2</v>
      </c>
      <c r="BW578" s="18">
        <f t="shared" si="219"/>
        <v>0.19287820000000003</v>
      </c>
    </row>
    <row r="579" spans="1:75" x14ac:dyDescent="0.25">
      <c r="A579" s="18" t="s">
        <v>6</v>
      </c>
      <c r="B579" s="18">
        <v>2024</v>
      </c>
      <c r="C579" s="18" t="s">
        <v>138</v>
      </c>
      <c r="D579" s="18" t="s">
        <v>266</v>
      </c>
      <c r="E579" s="18">
        <v>40</v>
      </c>
      <c r="F579" s="18" t="s">
        <v>153</v>
      </c>
      <c r="G579" s="18" t="s">
        <v>299</v>
      </c>
      <c r="H579" s="31">
        <f t="shared" si="242"/>
        <v>35</v>
      </c>
      <c r="I579" s="31">
        <f t="shared" si="243"/>
        <v>35.5</v>
      </c>
      <c r="J579" s="4">
        <f t="shared" si="234"/>
        <v>0.5</v>
      </c>
      <c r="K579" s="32">
        <v>0.7</v>
      </c>
      <c r="L579" s="31">
        <f t="shared" si="225"/>
        <v>0.35</v>
      </c>
      <c r="M579" s="31">
        <v>2.14</v>
      </c>
      <c r="N579" s="31">
        <v>31.3</v>
      </c>
      <c r="O579" s="18">
        <f t="shared" si="226"/>
        <v>0.35</v>
      </c>
      <c r="P579" s="18">
        <v>17.5</v>
      </c>
      <c r="Q579" s="18">
        <v>20</v>
      </c>
      <c r="R579" s="18">
        <v>0.32</v>
      </c>
      <c r="S579" s="18">
        <v>0</v>
      </c>
      <c r="T579" s="65">
        <f t="shared" si="235"/>
        <v>0</v>
      </c>
      <c r="U579" s="18">
        <v>8</v>
      </c>
      <c r="V579" s="18"/>
      <c r="W579" s="18">
        <f t="shared" si="240"/>
        <v>8</v>
      </c>
      <c r="X579" s="18">
        <f t="shared" si="241"/>
        <v>40</v>
      </c>
      <c r="Y579" s="31">
        <f t="shared" si="220"/>
        <v>0.04</v>
      </c>
      <c r="Z579" s="18">
        <v>0</v>
      </c>
      <c r="AA579" s="18" t="s">
        <v>330</v>
      </c>
      <c r="AB579" s="18" t="s">
        <v>333</v>
      </c>
      <c r="AC579" s="18" t="s">
        <v>334</v>
      </c>
      <c r="AD579" s="18">
        <v>20</v>
      </c>
      <c r="AE579" s="18">
        <v>17.5</v>
      </c>
      <c r="AF579" s="18" t="s">
        <v>27</v>
      </c>
      <c r="AG579" s="18" t="s">
        <v>32</v>
      </c>
      <c r="AH579" s="18" t="s">
        <v>32</v>
      </c>
      <c r="AI579" s="18" t="s">
        <v>66</v>
      </c>
      <c r="AJ579" s="18" t="s">
        <v>79</v>
      </c>
      <c r="AK579" s="18" t="s">
        <v>100</v>
      </c>
      <c r="AL579" s="18" t="s">
        <v>107</v>
      </c>
      <c r="AM579" s="18" t="s">
        <v>120</v>
      </c>
      <c r="AN579" s="18" t="s">
        <v>267</v>
      </c>
      <c r="AO579" s="18"/>
      <c r="AP579" s="18"/>
      <c r="AQ579" s="18">
        <f>+VLOOKUP(AI579,Leyenda!$B$30:$E$34,3,FALSE)</f>
        <v>1</v>
      </c>
      <c r="AR579" s="18">
        <f>+VLOOKUP('3. Blasting'!AJ579,Meteorizacion,3,FALSE)</f>
        <v>1</v>
      </c>
      <c r="AS579" s="18">
        <f>+VLOOKUP('3. Blasting'!AK579,Apertura,3,FALSE)</f>
        <v>0</v>
      </c>
      <c r="AT579" s="18">
        <f>+VLOOKUP('3. Blasting'!AL579,Leyenda!$B$55:$D$59,3,FALSE)</f>
        <v>3</v>
      </c>
      <c r="AU579" s="18">
        <f>+VLOOKUP('3. Blasting'!AM579,Relleno,3,FALSE)</f>
        <v>2</v>
      </c>
      <c r="AV579" s="18">
        <f t="shared" si="236"/>
        <v>7</v>
      </c>
      <c r="AW579" s="49">
        <f t="shared" si="227"/>
        <v>0</v>
      </c>
      <c r="AX579" s="49">
        <f>VLOOKUP(AF579,Leyenda!$B$4:$D$10,3,FALSE)</f>
        <v>4</v>
      </c>
      <c r="AY579" s="49">
        <f t="shared" si="224"/>
        <v>4</v>
      </c>
      <c r="AZ579" s="49">
        <f t="shared" si="228"/>
        <v>7</v>
      </c>
      <c r="BA579" s="49">
        <f>VLOOKUP(AN579,Leyenda!$B$70:$D$75,3,FALSE)</f>
        <v>15</v>
      </c>
      <c r="BB579" s="67">
        <f t="shared" si="229"/>
        <v>10.5</v>
      </c>
      <c r="BC579" s="67">
        <f>VLOOKUP(AF579,Leyenda!$B$4:$E$10,4,FALSE)</f>
        <v>4</v>
      </c>
      <c r="BD579" s="67">
        <f t="shared" si="230"/>
        <v>5</v>
      </c>
      <c r="BE579" s="67">
        <f t="shared" si="231"/>
        <v>0</v>
      </c>
      <c r="BF579" s="67">
        <f>+VLOOKUP('3. Blasting'!AK579,Leyenda!$B$47:$E$51,4,FALSE)</f>
        <v>0</v>
      </c>
      <c r="BG579" s="67">
        <f>+VLOOKUP('3. Blasting'!AL579,Leyenda!$B$55:$E$59,4,FALSE)</f>
        <v>3</v>
      </c>
      <c r="BH579" s="67">
        <f>+VLOOKUP('3. Blasting'!AM579,Leyenda!$B$63:$E$67,3,FALSE)</f>
        <v>2</v>
      </c>
      <c r="BI579" s="67">
        <f>+VLOOKUP('3. Blasting'!AJ579,Leyenda!$B$39:$E$43,4,FALSE)</f>
        <v>1</v>
      </c>
      <c r="BJ579" s="67">
        <f>+VLOOKUP('3. Blasting'!AI579,Leyenda!$B$30:$E$34,4,FALSE)</f>
        <v>1</v>
      </c>
      <c r="BK579" s="67">
        <f>VLOOKUP(AN579,Leyenda!$B$71:$E$75,4,FALSE)</f>
        <v>10</v>
      </c>
      <c r="BL579" s="125">
        <f t="shared" si="232"/>
        <v>26</v>
      </c>
      <c r="BM579" s="85">
        <f t="shared" si="233"/>
        <v>30</v>
      </c>
      <c r="BN579" s="18">
        <f t="shared" si="237"/>
        <v>0.9804602422890536</v>
      </c>
      <c r="BO579" s="18"/>
      <c r="BP579" s="6">
        <f t="shared" si="238"/>
        <v>10</v>
      </c>
      <c r="BQ579" s="6">
        <f t="shared" si="239"/>
        <v>10</v>
      </c>
      <c r="BR579" s="6">
        <v>20</v>
      </c>
      <c r="BS579" s="6">
        <f t="shared" si="221"/>
        <v>3.5</v>
      </c>
      <c r="BT579" s="6">
        <f t="shared" si="222"/>
        <v>1.5650000000000002</v>
      </c>
      <c r="BU579" s="6">
        <f t="shared" si="223"/>
        <v>22.532499999999999</v>
      </c>
      <c r="BV579" s="18">
        <f t="shared" si="218"/>
        <v>9.0130000000000002E-2</v>
      </c>
      <c r="BW579" s="18">
        <f t="shared" si="219"/>
        <v>0.19287820000000003</v>
      </c>
    </row>
    <row r="580" spans="1:75" x14ac:dyDescent="0.25">
      <c r="A580" s="18" t="s">
        <v>6</v>
      </c>
      <c r="B580" s="18">
        <v>2024</v>
      </c>
      <c r="C580" s="18" t="s">
        <v>138</v>
      </c>
      <c r="D580" s="18" t="s">
        <v>266</v>
      </c>
      <c r="E580" s="18">
        <v>40</v>
      </c>
      <c r="F580" s="18" t="s">
        <v>153</v>
      </c>
      <c r="G580" s="18" t="s">
        <v>299</v>
      </c>
      <c r="H580" s="31">
        <f t="shared" si="242"/>
        <v>35.5</v>
      </c>
      <c r="I580" s="31">
        <f t="shared" si="243"/>
        <v>36</v>
      </c>
      <c r="J580" s="4">
        <f t="shared" si="234"/>
        <v>0.5</v>
      </c>
      <c r="K580" s="32">
        <v>0.34</v>
      </c>
      <c r="L580" s="31">
        <f t="shared" si="225"/>
        <v>0.17</v>
      </c>
      <c r="M580" s="31">
        <v>2.14</v>
      </c>
      <c r="N580" s="31">
        <v>31.3</v>
      </c>
      <c r="O580" s="18">
        <f t="shared" si="226"/>
        <v>0.17</v>
      </c>
      <c r="P580" s="18">
        <v>8.5</v>
      </c>
      <c r="Q580" s="18">
        <v>20</v>
      </c>
      <c r="R580" s="18">
        <v>0.17</v>
      </c>
      <c r="S580" s="18">
        <v>0</v>
      </c>
      <c r="T580" s="65">
        <f t="shared" si="235"/>
        <v>0</v>
      </c>
      <c r="U580" s="18">
        <v>5</v>
      </c>
      <c r="V580" s="18"/>
      <c r="W580" s="18">
        <f t="shared" si="240"/>
        <v>5</v>
      </c>
      <c r="X580" s="18">
        <f t="shared" si="241"/>
        <v>34</v>
      </c>
      <c r="Y580" s="31">
        <f t="shared" si="220"/>
        <v>3.4000000000000002E-2</v>
      </c>
      <c r="Z580" s="18">
        <v>0</v>
      </c>
      <c r="AA580" s="18" t="s">
        <v>330</v>
      </c>
      <c r="AB580" s="18" t="s">
        <v>333</v>
      </c>
      <c r="AC580" s="18" t="s">
        <v>334</v>
      </c>
      <c r="AD580" s="18">
        <v>20</v>
      </c>
      <c r="AE580" s="18">
        <v>8.5</v>
      </c>
      <c r="AF580" s="18" t="s">
        <v>27</v>
      </c>
      <c r="AG580" s="18" t="s">
        <v>32</v>
      </c>
      <c r="AH580" s="18" t="s">
        <v>32</v>
      </c>
      <c r="AI580" s="18" t="s">
        <v>66</v>
      </c>
      <c r="AJ580" s="18" t="s">
        <v>79</v>
      </c>
      <c r="AK580" s="18" t="s">
        <v>100</v>
      </c>
      <c r="AL580" s="18" t="s">
        <v>107</v>
      </c>
      <c r="AM580" s="18" t="s">
        <v>120</v>
      </c>
      <c r="AN580" s="18" t="s">
        <v>267</v>
      </c>
      <c r="AO580" s="18"/>
      <c r="AP580" s="18"/>
      <c r="AQ580" s="18">
        <f>+VLOOKUP(AI580,Leyenda!$B$30:$E$34,3,FALSE)</f>
        <v>1</v>
      </c>
      <c r="AR580" s="18">
        <f>+VLOOKUP('3. Blasting'!AJ580,Meteorizacion,3,FALSE)</f>
        <v>1</v>
      </c>
      <c r="AS580" s="18">
        <f>+VLOOKUP('3. Blasting'!AK580,Apertura,3,FALSE)</f>
        <v>0</v>
      </c>
      <c r="AT580" s="18">
        <f>+VLOOKUP('3. Blasting'!AL580,Leyenda!$B$55:$D$59,3,FALSE)</f>
        <v>3</v>
      </c>
      <c r="AU580" s="18">
        <f>+VLOOKUP('3. Blasting'!AM580,Relleno,3,FALSE)</f>
        <v>2</v>
      </c>
      <c r="AV580" s="18">
        <f t="shared" si="236"/>
        <v>7</v>
      </c>
      <c r="AW580" s="49">
        <f t="shared" si="227"/>
        <v>0</v>
      </c>
      <c r="AX580" s="49">
        <f>VLOOKUP(AF580,Leyenda!$B$4:$D$10,3,FALSE)</f>
        <v>4</v>
      </c>
      <c r="AY580" s="49">
        <f t="shared" si="224"/>
        <v>3</v>
      </c>
      <c r="AZ580" s="49">
        <f t="shared" si="228"/>
        <v>7</v>
      </c>
      <c r="BA580" s="49">
        <f>VLOOKUP(AN580,Leyenda!$B$70:$D$75,3,FALSE)</f>
        <v>15</v>
      </c>
      <c r="BB580" s="67">
        <f t="shared" si="229"/>
        <v>10.5</v>
      </c>
      <c r="BC580" s="67">
        <f>VLOOKUP(AF580,Leyenda!$B$4:$E$10,4,FALSE)</f>
        <v>4</v>
      </c>
      <c r="BD580" s="67">
        <f t="shared" si="230"/>
        <v>5</v>
      </c>
      <c r="BE580" s="67">
        <f t="shared" si="231"/>
        <v>0</v>
      </c>
      <c r="BF580" s="67">
        <f>+VLOOKUP('3. Blasting'!AK580,Leyenda!$B$47:$E$51,4,FALSE)</f>
        <v>0</v>
      </c>
      <c r="BG580" s="67">
        <f>+VLOOKUP('3. Blasting'!AL580,Leyenda!$B$55:$E$59,4,FALSE)</f>
        <v>3</v>
      </c>
      <c r="BH580" s="67">
        <f>+VLOOKUP('3. Blasting'!AM580,Leyenda!$B$63:$E$67,3,FALSE)</f>
        <v>2</v>
      </c>
      <c r="BI580" s="67">
        <f>+VLOOKUP('3. Blasting'!AJ580,Leyenda!$B$39:$E$43,4,FALSE)</f>
        <v>1</v>
      </c>
      <c r="BJ580" s="67">
        <f>+VLOOKUP('3. Blasting'!AI580,Leyenda!$B$30:$E$34,4,FALSE)</f>
        <v>1</v>
      </c>
      <c r="BK580" s="67">
        <f>VLOOKUP(AN580,Leyenda!$B$71:$E$75,4,FALSE)</f>
        <v>10</v>
      </c>
      <c r="BL580" s="125">
        <f t="shared" si="232"/>
        <v>26</v>
      </c>
      <c r="BM580" s="85">
        <f t="shared" si="233"/>
        <v>29</v>
      </c>
      <c r="BN580" s="18">
        <f t="shared" si="237"/>
        <v>0.98065296757360543</v>
      </c>
      <c r="BO580" s="18"/>
      <c r="BP580" s="6">
        <f t="shared" si="238"/>
        <v>10</v>
      </c>
      <c r="BQ580" s="6">
        <f t="shared" si="239"/>
        <v>10</v>
      </c>
      <c r="BR580" s="6">
        <v>20</v>
      </c>
      <c r="BS580" s="6">
        <f t="shared" si="221"/>
        <v>3.5</v>
      </c>
      <c r="BT580" s="6">
        <f t="shared" si="222"/>
        <v>1.5650000000000002</v>
      </c>
      <c r="BU580" s="6">
        <f t="shared" si="223"/>
        <v>22.532499999999999</v>
      </c>
      <c r="BV580" s="18">
        <f t="shared" ref="BV580:BV588" si="244">0.004*BU580</f>
        <v>9.0130000000000002E-2</v>
      </c>
      <c r="BW580" s="18">
        <f t="shared" ref="BW580:BW588" si="245">+BV580*M580</f>
        <v>0.19287820000000003</v>
      </c>
    </row>
    <row r="581" spans="1:75" x14ac:dyDescent="0.25">
      <c r="A581" s="18" t="s">
        <v>6</v>
      </c>
      <c r="B581" s="18">
        <v>2024</v>
      </c>
      <c r="C581" s="18" t="s">
        <v>138</v>
      </c>
      <c r="D581" s="18" t="s">
        <v>266</v>
      </c>
      <c r="E581" s="18">
        <v>40</v>
      </c>
      <c r="F581" s="18" t="s">
        <v>153</v>
      </c>
      <c r="G581" s="18" t="s">
        <v>299</v>
      </c>
      <c r="H581" s="31">
        <f t="shared" si="242"/>
        <v>36</v>
      </c>
      <c r="I581" s="31">
        <f t="shared" si="243"/>
        <v>36.5</v>
      </c>
      <c r="J581" s="4">
        <f t="shared" si="234"/>
        <v>0.5</v>
      </c>
      <c r="K581" s="32">
        <v>0.24</v>
      </c>
      <c r="L581" s="31">
        <f t="shared" si="225"/>
        <v>0.12</v>
      </c>
      <c r="M581" s="31">
        <v>2.14</v>
      </c>
      <c r="N581" s="31">
        <v>31.3</v>
      </c>
      <c r="O581" s="18">
        <f t="shared" si="226"/>
        <v>0.12</v>
      </c>
      <c r="P581" s="18">
        <v>6</v>
      </c>
      <c r="Q581" s="18">
        <v>20</v>
      </c>
      <c r="R581" s="18">
        <v>0.1</v>
      </c>
      <c r="S581" s="18">
        <v>0</v>
      </c>
      <c r="T581" s="65">
        <f t="shared" si="235"/>
        <v>0</v>
      </c>
      <c r="U581" s="18">
        <v>3</v>
      </c>
      <c r="V581" s="18"/>
      <c r="W581" s="18">
        <f t="shared" si="240"/>
        <v>3</v>
      </c>
      <c r="X581" s="18">
        <f t="shared" si="241"/>
        <v>33.333333333333336</v>
      </c>
      <c r="Y581" s="31">
        <f t="shared" ref="Y581:Y588" si="246">+X581/1000</f>
        <v>3.3333333333333333E-2</v>
      </c>
      <c r="Z581" s="18">
        <v>0</v>
      </c>
      <c r="AA581" s="18" t="s">
        <v>330</v>
      </c>
      <c r="AB581" s="18" t="s">
        <v>333</v>
      </c>
      <c r="AC581" s="18" t="s">
        <v>334</v>
      </c>
      <c r="AD581" s="18">
        <v>20</v>
      </c>
      <c r="AE581" s="18">
        <v>6</v>
      </c>
      <c r="AF581" s="18" t="s">
        <v>27</v>
      </c>
      <c r="AG581" s="18" t="s">
        <v>34</v>
      </c>
      <c r="AH581" s="18" t="s">
        <v>34</v>
      </c>
      <c r="AI581" s="18" t="s">
        <v>69</v>
      </c>
      <c r="AJ581" s="18" t="s">
        <v>81</v>
      </c>
      <c r="AK581" s="18" t="s">
        <v>100</v>
      </c>
      <c r="AL581" s="18" t="s">
        <v>109</v>
      </c>
      <c r="AM581" s="18" t="s">
        <v>122</v>
      </c>
      <c r="AN581" s="18" t="s">
        <v>126</v>
      </c>
      <c r="AO581" s="18"/>
      <c r="AP581" s="18"/>
      <c r="AQ581" s="18">
        <f>+VLOOKUP(AI581,Leyenda!$B$30:$E$34,3,FALSE)</f>
        <v>0</v>
      </c>
      <c r="AR581" s="18">
        <f>+VLOOKUP('3. Blasting'!AJ581,Meteorizacion,3,FALSE)</f>
        <v>0</v>
      </c>
      <c r="AS581" s="18">
        <f>+VLOOKUP('3. Blasting'!AK581,Apertura,3,FALSE)</f>
        <v>0</v>
      </c>
      <c r="AT581" s="18">
        <f>+VLOOKUP('3. Blasting'!AL581,Leyenda!$B$55:$D$59,3,FALSE)</f>
        <v>1</v>
      </c>
      <c r="AU581" s="18">
        <f>+VLOOKUP('3. Blasting'!AM581,Relleno,3,FALSE)</f>
        <v>0</v>
      </c>
      <c r="AV581" s="18">
        <f t="shared" si="236"/>
        <v>1</v>
      </c>
      <c r="AW581" s="49">
        <f t="shared" si="227"/>
        <v>0</v>
      </c>
      <c r="AX581" s="49">
        <f>VLOOKUP(AF581,Leyenda!$B$4:$D$10,3,FALSE)</f>
        <v>4</v>
      </c>
      <c r="AY581" s="49">
        <f t="shared" si="224"/>
        <v>3</v>
      </c>
      <c r="AZ581" s="49">
        <f t="shared" si="228"/>
        <v>1</v>
      </c>
      <c r="BA581" s="49">
        <f>VLOOKUP(AN581,Leyenda!$B$70:$D$75,3,FALSE)</f>
        <v>10</v>
      </c>
      <c r="BB581" s="67">
        <f t="shared" si="229"/>
        <v>1.5</v>
      </c>
      <c r="BC581" s="67">
        <f>VLOOKUP(AF581,Leyenda!$B$4:$E$10,4,FALSE)</f>
        <v>4</v>
      </c>
      <c r="BD581" s="67">
        <f t="shared" si="230"/>
        <v>5</v>
      </c>
      <c r="BE581" s="67">
        <f t="shared" si="231"/>
        <v>0</v>
      </c>
      <c r="BF581" s="67">
        <f>+VLOOKUP('3. Blasting'!AK581,Leyenda!$B$47:$E$51,4,FALSE)</f>
        <v>0</v>
      </c>
      <c r="BG581" s="67">
        <f>+VLOOKUP('3. Blasting'!AL581,Leyenda!$B$55:$E$59,4,FALSE)</f>
        <v>1</v>
      </c>
      <c r="BH581" s="67">
        <f>+VLOOKUP('3. Blasting'!AM581,Leyenda!$B$63:$E$67,3,FALSE)</f>
        <v>0</v>
      </c>
      <c r="BI581" s="67">
        <f>+VLOOKUP('3. Blasting'!AJ581,Leyenda!$B$39:$E$43,4,FALSE)</f>
        <v>0</v>
      </c>
      <c r="BJ581" s="67">
        <f>+VLOOKUP('3. Blasting'!AI581,Leyenda!$B$30:$E$34,4,FALSE)</f>
        <v>0</v>
      </c>
      <c r="BK581" s="67">
        <f>VLOOKUP(AN581,Leyenda!$B$71:$E$75,4,FALSE)</f>
        <v>7</v>
      </c>
      <c r="BL581" s="125">
        <f t="shared" si="232"/>
        <v>17</v>
      </c>
      <c r="BM581" s="85">
        <f t="shared" si="233"/>
        <v>18</v>
      </c>
      <c r="BN581" s="18">
        <f t="shared" si="237"/>
        <v>0.98091217210712733</v>
      </c>
      <c r="BO581" s="18"/>
      <c r="BP581" s="6">
        <f t="shared" si="238"/>
        <v>10</v>
      </c>
      <c r="BQ581" s="6">
        <f t="shared" si="239"/>
        <v>10</v>
      </c>
      <c r="BR581" s="6">
        <v>20</v>
      </c>
      <c r="BS581" s="6">
        <f t="shared" ref="BS581:BS588" si="247">25*M581-50</f>
        <v>3.5</v>
      </c>
      <c r="BT581" s="6">
        <f t="shared" ref="BT581:BT588" si="248">0.05*N581</f>
        <v>1.5650000000000002</v>
      </c>
      <c r="BU581" s="6">
        <f t="shared" ref="BU581:BU588" si="249">0.5*((BP581+BQ581)+BR581+BS581+BT581)</f>
        <v>22.532499999999999</v>
      </c>
      <c r="BV581" s="18">
        <f t="shared" si="244"/>
        <v>9.0130000000000002E-2</v>
      </c>
      <c r="BW581" s="18">
        <f t="shared" si="245"/>
        <v>0.19287820000000003</v>
      </c>
    </row>
    <row r="582" spans="1:75" x14ac:dyDescent="0.25">
      <c r="A582" s="18" t="s">
        <v>6</v>
      </c>
      <c r="B582" s="18">
        <v>2024</v>
      </c>
      <c r="C582" s="18" t="s">
        <v>138</v>
      </c>
      <c r="D582" s="18" t="s">
        <v>266</v>
      </c>
      <c r="E582" s="18">
        <v>40</v>
      </c>
      <c r="F582" s="18" t="s">
        <v>153</v>
      </c>
      <c r="G582" s="18" t="s">
        <v>299</v>
      </c>
      <c r="H582" s="31">
        <f t="shared" si="242"/>
        <v>36.5</v>
      </c>
      <c r="I582" s="31">
        <f t="shared" si="243"/>
        <v>37</v>
      </c>
      <c r="J582" s="4">
        <f t="shared" si="234"/>
        <v>0.5</v>
      </c>
      <c r="K582" s="32">
        <v>0.3</v>
      </c>
      <c r="L582" s="31">
        <f t="shared" si="225"/>
        <v>0.15</v>
      </c>
      <c r="M582" s="31">
        <v>2.14</v>
      </c>
      <c r="N582" s="31">
        <v>31.3</v>
      </c>
      <c r="O582" s="18">
        <f t="shared" si="226"/>
        <v>0.15</v>
      </c>
      <c r="P582" s="18">
        <v>7.5</v>
      </c>
      <c r="Q582" s="18">
        <v>20</v>
      </c>
      <c r="R582" s="18">
        <v>0.12</v>
      </c>
      <c r="S582" s="18">
        <v>0</v>
      </c>
      <c r="T582" s="65">
        <f t="shared" si="235"/>
        <v>0</v>
      </c>
      <c r="U582" s="18">
        <v>3</v>
      </c>
      <c r="V582" s="18"/>
      <c r="W582" s="18">
        <f t="shared" si="240"/>
        <v>3</v>
      </c>
      <c r="X582" s="18">
        <f t="shared" si="241"/>
        <v>40</v>
      </c>
      <c r="Y582" s="31">
        <f t="shared" si="246"/>
        <v>0.04</v>
      </c>
      <c r="Z582" s="18">
        <v>0</v>
      </c>
      <c r="AA582" s="18" t="s">
        <v>330</v>
      </c>
      <c r="AB582" s="18" t="s">
        <v>333</v>
      </c>
      <c r="AC582" s="18" t="s">
        <v>334</v>
      </c>
      <c r="AD582" s="18">
        <v>20</v>
      </c>
      <c r="AE582" s="18">
        <v>7.5</v>
      </c>
      <c r="AF582" s="18" t="s">
        <v>27</v>
      </c>
      <c r="AG582" s="18" t="s">
        <v>34</v>
      </c>
      <c r="AH582" s="18" t="s">
        <v>34</v>
      </c>
      <c r="AI582" s="18" t="s">
        <v>69</v>
      </c>
      <c r="AJ582" s="18" t="s">
        <v>81</v>
      </c>
      <c r="AK582" s="18" t="s">
        <v>100</v>
      </c>
      <c r="AL582" s="18" t="s">
        <v>109</v>
      </c>
      <c r="AM582" s="18" t="s">
        <v>122</v>
      </c>
      <c r="AN582" s="18" t="s">
        <v>126</v>
      </c>
      <c r="AO582" s="18"/>
      <c r="AP582" s="18"/>
      <c r="AQ582" s="18">
        <f>+VLOOKUP(AI582,Leyenda!$B$30:$E$34,3,FALSE)</f>
        <v>0</v>
      </c>
      <c r="AR582" s="18">
        <f>+VLOOKUP('3. Blasting'!AJ582,Meteorizacion,3,FALSE)</f>
        <v>0</v>
      </c>
      <c r="AS582" s="18">
        <f>+VLOOKUP('3. Blasting'!AK582,Apertura,3,FALSE)</f>
        <v>0</v>
      </c>
      <c r="AT582" s="18">
        <f>+VLOOKUP('3. Blasting'!AL582,Leyenda!$B$55:$D$59,3,FALSE)</f>
        <v>1</v>
      </c>
      <c r="AU582" s="18">
        <f>+VLOOKUP('3. Blasting'!AM582,Relleno,3,FALSE)</f>
        <v>0</v>
      </c>
      <c r="AV582" s="18">
        <f t="shared" si="236"/>
        <v>1</v>
      </c>
      <c r="AW582" s="49">
        <f t="shared" si="227"/>
        <v>0</v>
      </c>
      <c r="AX582" s="49">
        <f>VLOOKUP(AF582,Leyenda!$B$4:$D$10,3,FALSE)</f>
        <v>4</v>
      </c>
      <c r="AY582" s="49">
        <f t="shared" ref="AY582:AY588" si="250">IF(P582="",ROUND((IF(P582&lt;=400,1.5478*POWER(P582,0.3351),-2*POWER(10,-6)*POWER(P582,2)+0.0091*P582+8.1704)),0),ROUND((IF(P582&lt;=400,1.5478*POWER(P582,0.3351),-2*POWER(10,-6)*POWER(P582,2)+0.0091*P582+8.1704)),0))</f>
        <v>3</v>
      </c>
      <c r="AZ582" s="49">
        <f t="shared" si="228"/>
        <v>1</v>
      </c>
      <c r="BA582" s="49">
        <f>VLOOKUP(AN582,Leyenda!$B$70:$D$75,3,FALSE)</f>
        <v>10</v>
      </c>
      <c r="BB582" s="67">
        <f t="shared" si="229"/>
        <v>1.5</v>
      </c>
      <c r="BC582" s="67">
        <f>VLOOKUP(AF582,Leyenda!$B$4:$E$10,4,FALSE)</f>
        <v>4</v>
      </c>
      <c r="BD582" s="67">
        <f t="shared" si="230"/>
        <v>5</v>
      </c>
      <c r="BE582" s="67">
        <f t="shared" si="231"/>
        <v>0</v>
      </c>
      <c r="BF582" s="67">
        <f>+VLOOKUP('3. Blasting'!AK582,Leyenda!$B$47:$E$51,4,FALSE)</f>
        <v>0</v>
      </c>
      <c r="BG582" s="67">
        <f>+VLOOKUP('3. Blasting'!AL582,Leyenda!$B$55:$E$59,4,FALSE)</f>
        <v>1</v>
      </c>
      <c r="BH582" s="67">
        <f>+VLOOKUP('3. Blasting'!AM582,Leyenda!$B$63:$E$67,3,FALSE)</f>
        <v>0</v>
      </c>
      <c r="BI582" s="67">
        <f>+VLOOKUP('3. Blasting'!AJ582,Leyenda!$B$39:$E$43,4,FALSE)</f>
        <v>0</v>
      </c>
      <c r="BJ582" s="67">
        <f>+VLOOKUP('3. Blasting'!AI582,Leyenda!$B$30:$E$34,4,FALSE)</f>
        <v>0</v>
      </c>
      <c r="BK582" s="67">
        <f>VLOOKUP(AN582,Leyenda!$B$71:$E$75,4,FALSE)</f>
        <v>7</v>
      </c>
      <c r="BL582" s="125">
        <f t="shared" si="232"/>
        <v>17</v>
      </c>
      <c r="BM582" s="85">
        <f t="shared" si="233"/>
        <v>18</v>
      </c>
      <c r="BN582" s="18">
        <f t="shared" si="237"/>
        <v>0.98030712075500726</v>
      </c>
      <c r="BO582" s="18"/>
      <c r="BP582" s="6">
        <f t="shared" si="238"/>
        <v>10</v>
      </c>
      <c r="BQ582" s="6">
        <f t="shared" si="239"/>
        <v>10</v>
      </c>
      <c r="BR582" s="6">
        <v>20</v>
      </c>
      <c r="BS582" s="6">
        <f t="shared" si="247"/>
        <v>3.5</v>
      </c>
      <c r="BT582" s="6">
        <f t="shared" si="248"/>
        <v>1.5650000000000002</v>
      </c>
      <c r="BU582" s="6">
        <f t="shared" si="249"/>
        <v>22.532499999999999</v>
      </c>
      <c r="BV582" s="18">
        <f t="shared" si="244"/>
        <v>9.0130000000000002E-2</v>
      </c>
      <c r="BW582" s="18">
        <f t="shared" si="245"/>
        <v>0.19287820000000003</v>
      </c>
    </row>
    <row r="583" spans="1:75" x14ac:dyDescent="0.25">
      <c r="A583" s="18" t="s">
        <v>6</v>
      </c>
      <c r="B583" s="18">
        <v>2024</v>
      </c>
      <c r="C583" s="18" t="s">
        <v>138</v>
      </c>
      <c r="D583" s="18" t="s">
        <v>266</v>
      </c>
      <c r="E583" s="18">
        <v>40</v>
      </c>
      <c r="F583" s="18" t="s">
        <v>153</v>
      </c>
      <c r="G583" s="18" t="s">
        <v>299</v>
      </c>
      <c r="H583" s="31">
        <f t="shared" si="242"/>
        <v>37</v>
      </c>
      <c r="I583" s="31">
        <f t="shared" si="243"/>
        <v>37.5</v>
      </c>
      <c r="J583" s="4">
        <f t="shared" si="234"/>
        <v>0.5</v>
      </c>
      <c r="K583" s="32">
        <v>0.78</v>
      </c>
      <c r="L583" s="31">
        <f t="shared" ref="L583:L588" si="251">+J583*K583</f>
        <v>0.39</v>
      </c>
      <c r="M583" s="31">
        <v>2.14</v>
      </c>
      <c r="N583" s="31">
        <v>31.3</v>
      </c>
      <c r="O583" s="18">
        <f t="shared" ref="O583:O588" si="252">+K583*J583</f>
        <v>0.39</v>
      </c>
      <c r="P583" s="18">
        <v>19.5</v>
      </c>
      <c r="Q583" s="18">
        <v>20</v>
      </c>
      <c r="R583" s="18">
        <v>0.36</v>
      </c>
      <c r="S583" s="18">
        <v>0</v>
      </c>
      <c r="T583" s="65">
        <f t="shared" si="235"/>
        <v>0</v>
      </c>
      <c r="U583" s="18">
        <v>5</v>
      </c>
      <c r="V583" s="18"/>
      <c r="W583" s="18">
        <f t="shared" si="240"/>
        <v>5</v>
      </c>
      <c r="X583" s="18">
        <f t="shared" si="241"/>
        <v>72</v>
      </c>
      <c r="Y583" s="31">
        <f t="shared" si="246"/>
        <v>7.1999999999999995E-2</v>
      </c>
      <c r="Z583" s="18">
        <v>0</v>
      </c>
      <c r="AA583" s="18" t="s">
        <v>330</v>
      </c>
      <c r="AB583" s="18" t="s">
        <v>333</v>
      </c>
      <c r="AC583" s="18" t="s">
        <v>334</v>
      </c>
      <c r="AD583" s="18">
        <v>20</v>
      </c>
      <c r="AE583" s="18">
        <v>19.5</v>
      </c>
      <c r="AF583" s="18" t="s">
        <v>27</v>
      </c>
      <c r="AG583" s="18" t="s">
        <v>27</v>
      </c>
      <c r="AH583" s="18" t="s">
        <v>27</v>
      </c>
      <c r="AI583" s="18" t="s">
        <v>64</v>
      </c>
      <c r="AJ583" s="18" t="s">
        <v>79</v>
      </c>
      <c r="AK583" s="18" t="s">
        <v>96</v>
      </c>
      <c r="AL583" s="18" t="s">
        <v>107</v>
      </c>
      <c r="AM583" s="18" t="s">
        <v>120</v>
      </c>
      <c r="AN583" s="18" t="s">
        <v>267</v>
      </c>
      <c r="AO583" s="18"/>
      <c r="AP583" s="18"/>
      <c r="AQ583" s="18">
        <f>+VLOOKUP(AI583,Leyenda!$B$30:$E$34,3,FALSE)</f>
        <v>2</v>
      </c>
      <c r="AR583" s="18">
        <f>+VLOOKUP('3. Blasting'!AJ583,Meteorizacion,3,FALSE)</f>
        <v>1</v>
      </c>
      <c r="AS583" s="18">
        <f>+VLOOKUP('3. Blasting'!AK583,Apertura,3,FALSE)</f>
        <v>1</v>
      </c>
      <c r="AT583" s="18">
        <f>+VLOOKUP('3. Blasting'!AL583,Leyenda!$B$55:$D$59,3,FALSE)</f>
        <v>3</v>
      </c>
      <c r="AU583" s="18">
        <f>+VLOOKUP('3. Blasting'!AM583,Relleno,3,FALSE)</f>
        <v>2</v>
      </c>
      <c r="AV583" s="18">
        <f t="shared" si="236"/>
        <v>9</v>
      </c>
      <c r="AW583" s="49">
        <f t="shared" ref="AW583:AW588" si="253">ROUND(-0.0002*POWER(Z583,2)+0.2197*Z583,0)</f>
        <v>0</v>
      </c>
      <c r="AX583" s="49">
        <f>VLOOKUP(AF583,Leyenda!$B$4:$D$10,3,FALSE)</f>
        <v>4</v>
      </c>
      <c r="AY583" s="49">
        <f t="shared" si="250"/>
        <v>4</v>
      </c>
      <c r="AZ583" s="49">
        <f t="shared" ref="AZ583:AZ588" si="254">+AV583</f>
        <v>9</v>
      </c>
      <c r="BA583" s="49">
        <f>VLOOKUP(AN583,Leyenda!$B$70:$D$75,3,FALSE)</f>
        <v>15</v>
      </c>
      <c r="BB583" s="67">
        <f t="shared" ref="BB583:BB588" si="255">1.5*AV583+(T583*0.5)</f>
        <v>13.5</v>
      </c>
      <c r="BC583" s="67">
        <f>VLOOKUP(AF583,Leyenda!$B$4:$E$10,4,FALSE)</f>
        <v>4</v>
      </c>
      <c r="BD583" s="67">
        <f t="shared" ref="BD583:BD588" si="256">IF(X583="",ROUND(IF(X583&lt;=50,5,IF(X583&gt;=3000,30,6.038*LN(X583)-19.63)),0),ROUND(IF(X583&lt;=50,5,IF(X583&gt;=3000,30,6.038*LN(X583)-19.63)),0))</f>
        <v>6</v>
      </c>
      <c r="BE583" s="67">
        <f t="shared" ref="BE583:BE588" si="257">ROUND(-0.0002*POWER(T583,2)+0.2197*T583,0)</f>
        <v>0</v>
      </c>
      <c r="BF583" s="67">
        <f>+VLOOKUP('3. Blasting'!AK583,Leyenda!$B$47:$E$51,4,FALSE)</f>
        <v>1</v>
      </c>
      <c r="BG583" s="67">
        <f>+VLOOKUP('3. Blasting'!AL583,Leyenda!$B$55:$E$59,4,FALSE)</f>
        <v>3</v>
      </c>
      <c r="BH583" s="67">
        <f>+VLOOKUP('3. Blasting'!AM583,Leyenda!$B$63:$E$67,3,FALSE)</f>
        <v>2</v>
      </c>
      <c r="BI583" s="67">
        <f>+VLOOKUP('3. Blasting'!AJ583,Leyenda!$B$39:$E$43,4,FALSE)</f>
        <v>1</v>
      </c>
      <c r="BJ583" s="67">
        <f>+VLOOKUP('3. Blasting'!AI583,Leyenda!$B$30:$E$34,4,FALSE)</f>
        <v>3</v>
      </c>
      <c r="BK583" s="67">
        <f>VLOOKUP(AN583,Leyenda!$B$71:$E$75,4,FALSE)</f>
        <v>10</v>
      </c>
      <c r="BL583" s="125">
        <f t="shared" ref="BL583:BL588" si="258">+BC583+BD583+BE583+BF583+BG583+BH583+BI583+BJ583+BK583</f>
        <v>30</v>
      </c>
      <c r="BM583" s="85">
        <f t="shared" ref="BM583:BM588" si="259">+AX583+AY583+AW583+AZ583+BA583</f>
        <v>32</v>
      </c>
      <c r="BN583" s="18">
        <f t="shared" si="237"/>
        <v>0.99302851933750236</v>
      </c>
      <c r="BO583" s="18"/>
      <c r="BP583" s="6">
        <f t="shared" si="238"/>
        <v>20</v>
      </c>
      <c r="BQ583" s="6">
        <f t="shared" si="239"/>
        <v>10</v>
      </c>
      <c r="BR583" s="6">
        <v>20</v>
      </c>
      <c r="BS583" s="6">
        <f t="shared" si="247"/>
        <v>3.5</v>
      </c>
      <c r="BT583" s="6">
        <f t="shared" si="248"/>
        <v>1.5650000000000002</v>
      </c>
      <c r="BU583" s="6">
        <f t="shared" si="249"/>
        <v>27.532499999999999</v>
      </c>
      <c r="BV583" s="18">
        <f t="shared" si="244"/>
        <v>0.11012999999999999</v>
      </c>
      <c r="BW583" s="18">
        <f t="shared" si="245"/>
        <v>0.2356782</v>
      </c>
    </row>
    <row r="584" spans="1:75" x14ac:dyDescent="0.25">
      <c r="A584" s="18" t="s">
        <v>6</v>
      </c>
      <c r="B584" s="18">
        <v>2024</v>
      </c>
      <c r="C584" s="18" t="s">
        <v>138</v>
      </c>
      <c r="D584" s="18" t="s">
        <v>266</v>
      </c>
      <c r="E584" s="18">
        <v>40</v>
      </c>
      <c r="F584" s="18" t="s">
        <v>153</v>
      </c>
      <c r="G584" s="18" t="s">
        <v>299</v>
      </c>
      <c r="H584" s="31">
        <f t="shared" si="242"/>
        <v>37.5</v>
      </c>
      <c r="I584" s="31">
        <f t="shared" si="243"/>
        <v>38</v>
      </c>
      <c r="J584" s="4">
        <f>+I584-H584</f>
        <v>0.5</v>
      </c>
      <c r="K584" s="32">
        <v>1</v>
      </c>
      <c r="L584" s="31">
        <f t="shared" si="251"/>
        <v>0.5</v>
      </c>
      <c r="M584" s="31">
        <v>2.14</v>
      </c>
      <c r="N584" s="31">
        <v>31.3</v>
      </c>
      <c r="O584" s="18">
        <f t="shared" si="252"/>
        <v>0.5</v>
      </c>
      <c r="P584" s="18">
        <v>25</v>
      </c>
      <c r="Q584" s="18">
        <v>20</v>
      </c>
      <c r="R584" s="18">
        <v>0.4</v>
      </c>
      <c r="S584" s="18">
        <v>0.24</v>
      </c>
      <c r="T584" s="65">
        <f t="shared" si="235"/>
        <v>48</v>
      </c>
      <c r="U584" s="18">
        <v>3</v>
      </c>
      <c r="V584" s="18"/>
      <c r="W584" s="18">
        <f t="shared" si="240"/>
        <v>3</v>
      </c>
      <c r="X584" s="18">
        <f t="shared" si="241"/>
        <v>133.33333333333334</v>
      </c>
      <c r="Y584" s="31">
        <f t="shared" si="246"/>
        <v>0.13333333333333333</v>
      </c>
      <c r="Z584" s="18">
        <v>0</v>
      </c>
      <c r="AA584" s="18" t="s">
        <v>330</v>
      </c>
      <c r="AB584" s="18" t="s">
        <v>333</v>
      </c>
      <c r="AC584" s="18" t="s">
        <v>334</v>
      </c>
      <c r="AD584" s="18">
        <v>20</v>
      </c>
      <c r="AE584" s="18">
        <v>25</v>
      </c>
      <c r="AF584" s="18" t="s">
        <v>27</v>
      </c>
      <c r="AG584" s="18" t="s">
        <v>32</v>
      </c>
      <c r="AH584" s="18" t="s">
        <v>32</v>
      </c>
      <c r="AI584" s="18" t="s">
        <v>66</v>
      </c>
      <c r="AJ584" s="18" t="s">
        <v>81</v>
      </c>
      <c r="AK584" s="18" t="s">
        <v>100</v>
      </c>
      <c r="AL584" s="18" t="s">
        <v>107</v>
      </c>
      <c r="AM584" s="18" t="s">
        <v>122</v>
      </c>
      <c r="AN584" s="18" t="s">
        <v>267</v>
      </c>
      <c r="AO584" s="18"/>
      <c r="AP584" s="18"/>
      <c r="AQ584" s="18">
        <f>+VLOOKUP(AI584,Leyenda!$B$30:$E$34,3,FALSE)</f>
        <v>1</v>
      </c>
      <c r="AR584" s="18">
        <f>+VLOOKUP('3. Blasting'!AJ584,Meteorizacion,3,FALSE)</f>
        <v>0</v>
      </c>
      <c r="AS584" s="18">
        <f>+VLOOKUP('3. Blasting'!AK584,Apertura,3,FALSE)</f>
        <v>0</v>
      </c>
      <c r="AT584" s="18">
        <f>+VLOOKUP('3. Blasting'!AL584,Leyenda!$B$55:$D$59,3,FALSE)</f>
        <v>3</v>
      </c>
      <c r="AU584" s="18">
        <f>+VLOOKUP('3. Blasting'!AM584,Relleno,3,FALSE)</f>
        <v>0</v>
      </c>
      <c r="AV584" s="18">
        <f t="shared" si="236"/>
        <v>4</v>
      </c>
      <c r="AW584" s="49">
        <f t="shared" si="253"/>
        <v>0</v>
      </c>
      <c r="AX584" s="49">
        <f>VLOOKUP(AF584,Leyenda!$B$4:$D$10,3,FALSE)</f>
        <v>4</v>
      </c>
      <c r="AY584" s="49">
        <f t="shared" si="250"/>
        <v>5</v>
      </c>
      <c r="AZ584" s="49">
        <f t="shared" si="254"/>
        <v>4</v>
      </c>
      <c r="BA584" s="49">
        <f>VLOOKUP(AN584,Leyenda!$B$70:$D$75,3,FALSE)</f>
        <v>15</v>
      </c>
      <c r="BB584" s="67">
        <f t="shared" si="255"/>
        <v>30</v>
      </c>
      <c r="BC584" s="67">
        <f>VLOOKUP(AF584,Leyenda!$B$4:$E$10,4,FALSE)</f>
        <v>4</v>
      </c>
      <c r="BD584" s="67">
        <f t="shared" si="256"/>
        <v>10</v>
      </c>
      <c r="BE584" s="67">
        <f t="shared" si="257"/>
        <v>10</v>
      </c>
      <c r="BF584" s="67">
        <f>+VLOOKUP('3. Blasting'!AK584,Leyenda!$B$47:$E$51,4,FALSE)</f>
        <v>0</v>
      </c>
      <c r="BG584" s="67">
        <f>+VLOOKUP('3. Blasting'!AL584,Leyenda!$B$55:$E$59,4,FALSE)</f>
        <v>3</v>
      </c>
      <c r="BH584" s="67">
        <f>+VLOOKUP('3. Blasting'!AM584,Leyenda!$B$63:$E$67,3,FALSE)</f>
        <v>0</v>
      </c>
      <c r="BI584" s="67">
        <f>+VLOOKUP('3. Blasting'!AJ584,Leyenda!$B$39:$E$43,4,FALSE)</f>
        <v>0</v>
      </c>
      <c r="BJ584" s="67">
        <f>+VLOOKUP('3. Blasting'!AI584,Leyenda!$B$30:$E$34,4,FALSE)</f>
        <v>1</v>
      </c>
      <c r="BK584" s="67">
        <f>VLOOKUP(AN584,Leyenda!$B$71:$E$75,4,FALSE)</f>
        <v>10</v>
      </c>
      <c r="BL584" s="125">
        <f t="shared" si="258"/>
        <v>38</v>
      </c>
      <c r="BM584" s="85">
        <f t="shared" si="259"/>
        <v>28</v>
      </c>
      <c r="BN584" s="18">
        <f t="shared" si="237"/>
        <v>0.99817242189386002</v>
      </c>
      <c r="BO584" s="18"/>
      <c r="BP584" s="6">
        <f t="shared" si="238"/>
        <v>20</v>
      </c>
      <c r="BQ584" s="6">
        <f t="shared" si="239"/>
        <v>20</v>
      </c>
      <c r="BR584" s="6">
        <v>20</v>
      </c>
      <c r="BS584" s="6">
        <f t="shared" si="247"/>
        <v>3.5</v>
      </c>
      <c r="BT584" s="6">
        <f t="shared" si="248"/>
        <v>1.5650000000000002</v>
      </c>
      <c r="BU584" s="6">
        <f t="shared" si="249"/>
        <v>32.532499999999999</v>
      </c>
      <c r="BV584" s="18">
        <f t="shared" si="244"/>
        <v>0.13013</v>
      </c>
      <c r="BW584" s="18">
        <f t="shared" si="245"/>
        <v>0.27847820000000001</v>
      </c>
    </row>
    <row r="585" spans="1:75" x14ac:dyDescent="0.25">
      <c r="A585" s="18" t="s">
        <v>6</v>
      </c>
      <c r="B585" s="18">
        <v>2024</v>
      </c>
      <c r="C585" s="18" t="s">
        <v>138</v>
      </c>
      <c r="D585" s="18" t="s">
        <v>266</v>
      </c>
      <c r="E585" s="18">
        <v>40</v>
      </c>
      <c r="F585" s="18" t="s">
        <v>153</v>
      </c>
      <c r="G585" s="18" t="s">
        <v>299</v>
      </c>
      <c r="H585" s="31">
        <f t="shared" si="242"/>
        <v>38</v>
      </c>
      <c r="I585" s="31">
        <f t="shared" si="243"/>
        <v>38.5</v>
      </c>
      <c r="J585" s="4">
        <f>+I585-H585</f>
        <v>0.5</v>
      </c>
      <c r="K585" s="32">
        <v>1</v>
      </c>
      <c r="L585" s="31">
        <f t="shared" si="251"/>
        <v>0.5</v>
      </c>
      <c r="M585" s="31">
        <v>2.14</v>
      </c>
      <c r="N585" s="31">
        <v>31.3</v>
      </c>
      <c r="O585" s="18">
        <f t="shared" si="252"/>
        <v>0.5</v>
      </c>
      <c r="P585" s="18">
        <v>25</v>
      </c>
      <c r="Q585" s="18">
        <v>20</v>
      </c>
      <c r="R585" s="18">
        <v>0.46</v>
      </c>
      <c r="S585" s="18">
        <v>0</v>
      </c>
      <c r="T585" s="65">
        <f t="shared" si="235"/>
        <v>0</v>
      </c>
      <c r="U585" s="18">
        <v>4</v>
      </c>
      <c r="V585" s="18"/>
      <c r="W585" s="18">
        <f t="shared" si="240"/>
        <v>4</v>
      </c>
      <c r="X585" s="18">
        <f t="shared" si="241"/>
        <v>115</v>
      </c>
      <c r="Y585" s="31">
        <f t="shared" si="246"/>
        <v>0.115</v>
      </c>
      <c r="Z585" s="18">
        <v>0</v>
      </c>
      <c r="AA585" s="18" t="s">
        <v>330</v>
      </c>
      <c r="AB585" s="18" t="s">
        <v>333</v>
      </c>
      <c r="AC585" s="18" t="s">
        <v>334</v>
      </c>
      <c r="AD585" s="18">
        <v>20</v>
      </c>
      <c r="AE585" s="18">
        <v>25</v>
      </c>
      <c r="AF585" s="18" t="s">
        <v>27</v>
      </c>
      <c r="AG585" s="18" t="s">
        <v>34</v>
      </c>
      <c r="AH585" s="18" t="s">
        <v>34</v>
      </c>
      <c r="AI585" s="18" t="s">
        <v>69</v>
      </c>
      <c r="AJ585" s="18" t="s">
        <v>81</v>
      </c>
      <c r="AK585" s="18" t="s">
        <v>100</v>
      </c>
      <c r="AL585" s="18" t="s">
        <v>109</v>
      </c>
      <c r="AM585" s="18" t="s">
        <v>122</v>
      </c>
      <c r="AN585" s="18" t="s">
        <v>126</v>
      </c>
      <c r="AO585" s="18"/>
      <c r="AP585" s="18"/>
      <c r="AQ585" s="18">
        <f>+VLOOKUP(AI585,Leyenda!$B$30:$E$34,3,FALSE)</f>
        <v>0</v>
      </c>
      <c r="AR585" s="18">
        <f>+VLOOKUP('3. Blasting'!AJ585,Meteorizacion,3,FALSE)</f>
        <v>0</v>
      </c>
      <c r="AS585" s="18">
        <f>+VLOOKUP('3. Blasting'!AK585,Apertura,3,FALSE)</f>
        <v>0</v>
      </c>
      <c r="AT585" s="18">
        <f>+VLOOKUP('3. Blasting'!AL585,Leyenda!$B$55:$D$59,3,FALSE)</f>
        <v>1</v>
      </c>
      <c r="AU585" s="18">
        <f>+VLOOKUP('3. Blasting'!AM585,Relleno,3,FALSE)</f>
        <v>0</v>
      </c>
      <c r="AV585" s="18">
        <f t="shared" si="236"/>
        <v>1</v>
      </c>
      <c r="AW585" s="49">
        <f t="shared" si="253"/>
        <v>0</v>
      </c>
      <c r="AX585" s="49">
        <f>VLOOKUP(AF585,Leyenda!$B$4:$D$10,3,FALSE)</f>
        <v>4</v>
      </c>
      <c r="AY585" s="49">
        <f t="shared" si="250"/>
        <v>5</v>
      </c>
      <c r="AZ585" s="49">
        <f t="shared" si="254"/>
        <v>1</v>
      </c>
      <c r="BA585" s="49">
        <f>VLOOKUP(AN585,Leyenda!$B$70:$D$75,3,FALSE)</f>
        <v>10</v>
      </c>
      <c r="BB585" s="67">
        <f t="shared" si="255"/>
        <v>1.5</v>
      </c>
      <c r="BC585" s="67">
        <f>VLOOKUP(AF585,Leyenda!$B$4:$E$10,4,FALSE)</f>
        <v>4</v>
      </c>
      <c r="BD585" s="67">
        <f t="shared" si="256"/>
        <v>9</v>
      </c>
      <c r="BE585" s="67">
        <f t="shared" si="257"/>
        <v>0</v>
      </c>
      <c r="BF585" s="67">
        <f>+VLOOKUP('3. Blasting'!AK585,Leyenda!$B$47:$E$51,4,FALSE)</f>
        <v>0</v>
      </c>
      <c r="BG585" s="67">
        <f>+VLOOKUP('3. Blasting'!AL585,Leyenda!$B$55:$E$59,4,FALSE)</f>
        <v>1</v>
      </c>
      <c r="BH585" s="67">
        <f>+VLOOKUP('3. Blasting'!AM585,Leyenda!$B$63:$E$67,3,FALSE)</f>
        <v>0</v>
      </c>
      <c r="BI585" s="67">
        <f>+VLOOKUP('3. Blasting'!AJ585,Leyenda!$B$39:$E$43,4,FALSE)</f>
        <v>0</v>
      </c>
      <c r="BJ585" s="67">
        <f>+VLOOKUP('3. Blasting'!AI585,Leyenda!$B$30:$E$34,4,FALSE)</f>
        <v>0</v>
      </c>
      <c r="BK585" s="67">
        <f>VLOOKUP(AN585,Leyenda!$B$71:$E$75,4,FALSE)</f>
        <v>7</v>
      </c>
      <c r="BL585" s="125">
        <f t="shared" si="258"/>
        <v>21</v>
      </c>
      <c r="BM585" s="85">
        <f t="shared" si="259"/>
        <v>20</v>
      </c>
      <c r="BN585" s="18">
        <f t="shared" si="237"/>
        <v>0.99813912155345208</v>
      </c>
      <c r="BO585" s="18"/>
      <c r="BP585" s="6">
        <f t="shared" si="238"/>
        <v>10</v>
      </c>
      <c r="BQ585" s="6">
        <f t="shared" si="239"/>
        <v>20</v>
      </c>
      <c r="BR585" s="6">
        <v>20</v>
      </c>
      <c r="BS585" s="6">
        <f t="shared" si="247"/>
        <v>3.5</v>
      </c>
      <c r="BT585" s="6">
        <f t="shared" si="248"/>
        <v>1.5650000000000002</v>
      </c>
      <c r="BU585" s="6">
        <f t="shared" si="249"/>
        <v>27.532499999999999</v>
      </c>
      <c r="BV585" s="18">
        <f t="shared" si="244"/>
        <v>0.11012999999999999</v>
      </c>
      <c r="BW585" s="18">
        <f t="shared" si="245"/>
        <v>0.2356782</v>
      </c>
    </row>
    <row r="586" spans="1:75" x14ac:dyDescent="0.25">
      <c r="A586" s="18" t="s">
        <v>6</v>
      </c>
      <c r="B586" s="18">
        <v>2024</v>
      </c>
      <c r="C586" s="18" t="s">
        <v>138</v>
      </c>
      <c r="D586" s="18" t="s">
        <v>266</v>
      </c>
      <c r="E586" s="18">
        <v>40</v>
      </c>
      <c r="F586" s="18" t="s">
        <v>153</v>
      </c>
      <c r="G586" s="18" t="s">
        <v>299</v>
      </c>
      <c r="H586" s="31">
        <f t="shared" si="242"/>
        <v>38.5</v>
      </c>
      <c r="I586" s="31">
        <f t="shared" si="243"/>
        <v>39</v>
      </c>
      <c r="J586" s="4">
        <f>+I586-H586</f>
        <v>0.5</v>
      </c>
      <c r="K586" s="32">
        <v>1</v>
      </c>
      <c r="L586" s="31">
        <f t="shared" si="251"/>
        <v>0.5</v>
      </c>
      <c r="M586" s="31">
        <v>2.14</v>
      </c>
      <c r="N586" s="31">
        <v>31.3</v>
      </c>
      <c r="O586" s="18">
        <f t="shared" si="252"/>
        <v>0.5</v>
      </c>
      <c r="P586" s="18">
        <v>25</v>
      </c>
      <c r="Q586" s="18">
        <v>20</v>
      </c>
      <c r="R586" s="18">
        <v>0.43</v>
      </c>
      <c r="S586" s="18">
        <v>0.18</v>
      </c>
      <c r="T586" s="65">
        <f t="shared" si="235"/>
        <v>36</v>
      </c>
      <c r="U586" s="18">
        <v>4</v>
      </c>
      <c r="V586" s="18"/>
      <c r="W586" s="18">
        <f t="shared" si="240"/>
        <v>4</v>
      </c>
      <c r="X586" s="18">
        <f t="shared" si="241"/>
        <v>107.5</v>
      </c>
      <c r="Y586" s="31">
        <f t="shared" si="246"/>
        <v>0.1075</v>
      </c>
      <c r="Z586" s="18">
        <v>0</v>
      </c>
      <c r="AA586" s="18" t="s">
        <v>330</v>
      </c>
      <c r="AB586" s="18" t="s">
        <v>333</v>
      </c>
      <c r="AC586" s="18" t="s">
        <v>334</v>
      </c>
      <c r="AD586" s="18">
        <v>20</v>
      </c>
      <c r="AE586" s="18">
        <v>25</v>
      </c>
      <c r="AF586" s="18" t="s">
        <v>27</v>
      </c>
      <c r="AG586" s="18" t="s">
        <v>32</v>
      </c>
      <c r="AH586" s="18" t="s">
        <v>32</v>
      </c>
      <c r="AI586" s="18" t="s">
        <v>66</v>
      </c>
      <c r="AJ586" s="18" t="s">
        <v>79</v>
      </c>
      <c r="AK586" s="18" t="s">
        <v>96</v>
      </c>
      <c r="AL586" s="18" t="s">
        <v>109</v>
      </c>
      <c r="AM586" s="18" t="s">
        <v>120</v>
      </c>
      <c r="AN586" s="18" t="s">
        <v>267</v>
      </c>
      <c r="AO586" s="18"/>
      <c r="AP586" s="18"/>
      <c r="AQ586" s="18">
        <f>+VLOOKUP(AI586,Leyenda!$B$30:$E$34,3,FALSE)</f>
        <v>1</v>
      </c>
      <c r="AR586" s="18">
        <f>+VLOOKUP('3. Blasting'!AJ586,Meteorizacion,3,FALSE)</f>
        <v>1</v>
      </c>
      <c r="AS586" s="18">
        <f>+VLOOKUP('3. Blasting'!AK586,Apertura,3,FALSE)</f>
        <v>1</v>
      </c>
      <c r="AT586" s="18">
        <f>+VLOOKUP('3. Blasting'!AL586,Leyenda!$B$55:$D$59,3,FALSE)</f>
        <v>1</v>
      </c>
      <c r="AU586" s="18">
        <f>+VLOOKUP('3. Blasting'!AM586,Relleno,3,FALSE)</f>
        <v>2</v>
      </c>
      <c r="AV586" s="18">
        <f t="shared" si="236"/>
        <v>6</v>
      </c>
      <c r="AW586" s="49">
        <f t="shared" si="253"/>
        <v>0</v>
      </c>
      <c r="AX586" s="49">
        <f>VLOOKUP(AF586,Leyenda!$B$4:$D$10,3,FALSE)</f>
        <v>4</v>
      </c>
      <c r="AY586" s="49">
        <f t="shared" si="250"/>
        <v>5</v>
      </c>
      <c r="AZ586" s="49">
        <f t="shared" si="254"/>
        <v>6</v>
      </c>
      <c r="BA586" s="49">
        <f>VLOOKUP(AN586,Leyenda!$B$70:$D$75,3,FALSE)</f>
        <v>15</v>
      </c>
      <c r="BB586" s="67">
        <f t="shared" si="255"/>
        <v>27</v>
      </c>
      <c r="BC586" s="67">
        <f>VLOOKUP(AF586,Leyenda!$B$4:$E$10,4,FALSE)</f>
        <v>4</v>
      </c>
      <c r="BD586" s="67">
        <f t="shared" si="256"/>
        <v>9</v>
      </c>
      <c r="BE586" s="67">
        <f t="shared" si="257"/>
        <v>8</v>
      </c>
      <c r="BF586" s="67">
        <f>+VLOOKUP('3. Blasting'!AK586,Leyenda!$B$47:$E$51,4,FALSE)</f>
        <v>1</v>
      </c>
      <c r="BG586" s="67">
        <f>+VLOOKUP('3. Blasting'!AL586,Leyenda!$B$55:$E$59,4,FALSE)</f>
        <v>1</v>
      </c>
      <c r="BH586" s="67">
        <f>+VLOOKUP('3. Blasting'!AM586,Leyenda!$B$63:$E$67,3,FALSE)</f>
        <v>2</v>
      </c>
      <c r="BI586" s="67">
        <f>+VLOOKUP('3. Blasting'!AJ586,Leyenda!$B$39:$E$43,4,FALSE)</f>
        <v>1</v>
      </c>
      <c r="BJ586" s="67">
        <f>+VLOOKUP('3. Blasting'!AI586,Leyenda!$B$30:$E$34,4,FALSE)</f>
        <v>1</v>
      </c>
      <c r="BK586" s="67">
        <f>VLOOKUP(AN586,Leyenda!$B$71:$E$75,4,FALSE)</f>
        <v>10</v>
      </c>
      <c r="BL586" s="125">
        <f t="shared" si="258"/>
        <v>37</v>
      </c>
      <c r="BM586" s="85">
        <f t="shared" si="259"/>
        <v>30</v>
      </c>
      <c r="BN586" s="18">
        <f t="shared" si="237"/>
        <v>0.98198050606196563</v>
      </c>
      <c r="BO586" s="18"/>
      <c r="BP586" s="6">
        <f t="shared" si="238"/>
        <v>20</v>
      </c>
      <c r="BQ586" s="6">
        <f t="shared" si="239"/>
        <v>20</v>
      </c>
      <c r="BR586" s="6">
        <v>20</v>
      </c>
      <c r="BS586" s="6">
        <f t="shared" si="247"/>
        <v>3.5</v>
      </c>
      <c r="BT586" s="6">
        <f t="shared" si="248"/>
        <v>1.5650000000000002</v>
      </c>
      <c r="BU586" s="6">
        <f t="shared" si="249"/>
        <v>32.532499999999999</v>
      </c>
      <c r="BV586" s="18">
        <f t="shared" si="244"/>
        <v>0.13013</v>
      </c>
      <c r="BW586" s="18">
        <f t="shared" si="245"/>
        <v>0.27847820000000001</v>
      </c>
    </row>
    <row r="587" spans="1:75" x14ac:dyDescent="0.25">
      <c r="A587" s="18" t="s">
        <v>6</v>
      </c>
      <c r="B587" s="18">
        <v>2024</v>
      </c>
      <c r="C587" s="18" t="s">
        <v>138</v>
      </c>
      <c r="D587" s="18" t="s">
        <v>266</v>
      </c>
      <c r="E587" s="18">
        <v>40</v>
      </c>
      <c r="F587" s="18" t="s">
        <v>153</v>
      </c>
      <c r="G587" s="18" t="s">
        <v>299</v>
      </c>
      <c r="H587" s="31">
        <f t="shared" si="242"/>
        <v>39</v>
      </c>
      <c r="I587" s="31">
        <f t="shared" si="243"/>
        <v>39.5</v>
      </c>
      <c r="J587" s="4">
        <f>+I587-H587</f>
        <v>0.5</v>
      </c>
      <c r="K587" s="32">
        <v>0.96</v>
      </c>
      <c r="L587" s="31">
        <f t="shared" si="251"/>
        <v>0.48</v>
      </c>
      <c r="M587" s="31">
        <v>2.14</v>
      </c>
      <c r="N587" s="31">
        <v>31.3</v>
      </c>
      <c r="O587" s="18">
        <f t="shared" si="252"/>
        <v>0.48</v>
      </c>
      <c r="P587" s="18">
        <v>24</v>
      </c>
      <c r="Q587" s="18">
        <v>20</v>
      </c>
      <c r="R587" s="18">
        <v>0.36</v>
      </c>
      <c r="S587" s="18">
        <v>0.1</v>
      </c>
      <c r="T587" s="65">
        <f t="shared" si="235"/>
        <v>20</v>
      </c>
      <c r="U587" s="18">
        <v>4</v>
      </c>
      <c r="V587" s="18"/>
      <c r="W587" s="18">
        <f t="shared" si="240"/>
        <v>4</v>
      </c>
      <c r="X587" s="18">
        <f t="shared" si="241"/>
        <v>90</v>
      </c>
      <c r="Y587" s="31">
        <f t="shared" si="246"/>
        <v>0.09</v>
      </c>
      <c r="Z587" s="18">
        <v>0</v>
      </c>
      <c r="AA587" s="18" t="s">
        <v>330</v>
      </c>
      <c r="AB587" s="18" t="s">
        <v>333</v>
      </c>
      <c r="AC587" s="18" t="s">
        <v>334</v>
      </c>
      <c r="AD587" s="18">
        <v>20</v>
      </c>
      <c r="AE587" s="18">
        <v>24</v>
      </c>
      <c r="AF587" s="18" t="s">
        <v>27</v>
      </c>
      <c r="AG587" s="18" t="s">
        <v>32</v>
      </c>
      <c r="AH587" s="18" t="s">
        <v>32</v>
      </c>
      <c r="AI587" s="18" t="s">
        <v>66</v>
      </c>
      <c r="AJ587" s="18" t="s">
        <v>79</v>
      </c>
      <c r="AK587" s="18" t="s">
        <v>96</v>
      </c>
      <c r="AL587" s="18" t="s">
        <v>109</v>
      </c>
      <c r="AM587" s="18" t="s">
        <v>120</v>
      </c>
      <c r="AN587" s="18" t="s">
        <v>267</v>
      </c>
      <c r="AO587" s="18"/>
      <c r="AP587" s="18"/>
      <c r="AQ587" s="18">
        <f>+VLOOKUP(AI587,Leyenda!$B$30:$E$34,3,FALSE)</f>
        <v>1</v>
      </c>
      <c r="AR587" s="18">
        <f>+VLOOKUP('3. Blasting'!AJ587,Meteorizacion,3,FALSE)</f>
        <v>1</v>
      </c>
      <c r="AS587" s="18">
        <f>+VLOOKUP('3. Blasting'!AK587,Apertura,3,FALSE)</f>
        <v>1</v>
      </c>
      <c r="AT587" s="18">
        <f>+VLOOKUP('3. Blasting'!AL587,Leyenda!$B$55:$D$59,3,FALSE)</f>
        <v>1</v>
      </c>
      <c r="AU587" s="18">
        <f>+VLOOKUP('3. Blasting'!AM587,Relleno,3,FALSE)</f>
        <v>2</v>
      </c>
      <c r="AV587" s="18">
        <f t="shared" si="236"/>
        <v>6</v>
      </c>
      <c r="AW587" s="49">
        <f t="shared" si="253"/>
        <v>0</v>
      </c>
      <c r="AX587" s="49">
        <f>VLOOKUP(AF587,Leyenda!$B$4:$D$10,3,FALSE)</f>
        <v>4</v>
      </c>
      <c r="AY587" s="49">
        <f t="shared" si="250"/>
        <v>4</v>
      </c>
      <c r="AZ587" s="49">
        <f t="shared" si="254"/>
        <v>6</v>
      </c>
      <c r="BA587" s="49">
        <f>VLOOKUP(AN587,Leyenda!$B$70:$D$75,3,FALSE)</f>
        <v>15</v>
      </c>
      <c r="BB587" s="67">
        <f t="shared" si="255"/>
        <v>19</v>
      </c>
      <c r="BC587" s="67">
        <f>VLOOKUP(AF587,Leyenda!$B$4:$E$10,4,FALSE)</f>
        <v>4</v>
      </c>
      <c r="BD587" s="67">
        <f t="shared" si="256"/>
        <v>8</v>
      </c>
      <c r="BE587" s="67">
        <f t="shared" si="257"/>
        <v>4</v>
      </c>
      <c r="BF587" s="67">
        <f>+VLOOKUP('3. Blasting'!AK587,Leyenda!$B$47:$E$51,4,FALSE)</f>
        <v>1</v>
      </c>
      <c r="BG587" s="67">
        <f>+VLOOKUP('3. Blasting'!AL587,Leyenda!$B$55:$E$59,4,FALSE)</f>
        <v>1</v>
      </c>
      <c r="BH587" s="67">
        <f>+VLOOKUP('3. Blasting'!AM587,Leyenda!$B$63:$E$67,3,FALSE)</f>
        <v>2</v>
      </c>
      <c r="BI587" s="67">
        <f>+VLOOKUP('3. Blasting'!AJ587,Leyenda!$B$39:$E$43,4,FALSE)</f>
        <v>1</v>
      </c>
      <c r="BJ587" s="67">
        <f>+VLOOKUP('3. Blasting'!AI587,Leyenda!$B$30:$E$34,4,FALSE)</f>
        <v>1</v>
      </c>
      <c r="BK587" s="67">
        <f>VLOOKUP(AN587,Leyenda!$B$71:$E$75,4,FALSE)</f>
        <v>10</v>
      </c>
      <c r="BL587" s="125">
        <f t="shared" si="258"/>
        <v>32</v>
      </c>
      <c r="BM587" s="85">
        <f t="shared" si="259"/>
        <v>29</v>
      </c>
      <c r="BN587" s="18">
        <f t="shared" si="237"/>
        <v>1</v>
      </c>
      <c r="BO587" s="18"/>
      <c r="BP587" s="6">
        <f t="shared" si="238"/>
        <v>20</v>
      </c>
      <c r="BQ587" s="6">
        <f t="shared" si="239"/>
        <v>10</v>
      </c>
      <c r="BR587" s="6">
        <v>20</v>
      </c>
      <c r="BS587" s="6">
        <f t="shared" si="247"/>
        <v>3.5</v>
      </c>
      <c r="BT587" s="6">
        <f t="shared" si="248"/>
        <v>1.5650000000000002</v>
      </c>
      <c r="BU587" s="6">
        <f t="shared" si="249"/>
        <v>27.532499999999999</v>
      </c>
      <c r="BV587" s="18">
        <f t="shared" si="244"/>
        <v>0.11012999999999999</v>
      </c>
      <c r="BW587" s="18">
        <f t="shared" si="245"/>
        <v>0.2356782</v>
      </c>
    </row>
    <row r="588" spans="1:75" x14ac:dyDescent="0.25">
      <c r="A588" s="18" t="s">
        <v>6</v>
      </c>
      <c r="B588" s="18">
        <v>2024</v>
      </c>
      <c r="C588" s="18" t="s">
        <v>138</v>
      </c>
      <c r="D588" s="18" t="s">
        <v>266</v>
      </c>
      <c r="E588" s="18">
        <v>40</v>
      </c>
      <c r="F588" s="18" t="s">
        <v>153</v>
      </c>
      <c r="G588" s="18" t="s">
        <v>299</v>
      </c>
      <c r="H588" s="31">
        <f t="shared" si="242"/>
        <v>39.5</v>
      </c>
      <c r="I588" s="31">
        <f t="shared" si="243"/>
        <v>40</v>
      </c>
      <c r="J588" s="4">
        <f>+I588-H588</f>
        <v>0.5</v>
      </c>
      <c r="K588" s="32">
        <v>1</v>
      </c>
      <c r="L588" s="31">
        <f t="shared" si="251"/>
        <v>0.5</v>
      </c>
      <c r="M588" s="31">
        <v>2.14</v>
      </c>
      <c r="N588" s="31">
        <v>31.3</v>
      </c>
      <c r="O588" s="18">
        <f t="shared" si="252"/>
        <v>0.5</v>
      </c>
      <c r="P588" s="18">
        <v>25</v>
      </c>
      <c r="Q588" s="18">
        <v>20</v>
      </c>
      <c r="R588" s="18">
        <v>0.4</v>
      </c>
      <c r="S588" s="18">
        <v>0.18</v>
      </c>
      <c r="T588" s="65">
        <f t="shared" si="235"/>
        <v>36</v>
      </c>
      <c r="U588" s="18">
        <v>4</v>
      </c>
      <c r="V588" s="18"/>
      <c r="W588" s="18">
        <f t="shared" si="240"/>
        <v>4</v>
      </c>
      <c r="X588" s="18">
        <f t="shared" si="241"/>
        <v>100</v>
      </c>
      <c r="Y588" s="31">
        <f t="shared" si="246"/>
        <v>0.1</v>
      </c>
      <c r="Z588" s="18">
        <v>0</v>
      </c>
      <c r="AA588" s="18" t="s">
        <v>330</v>
      </c>
      <c r="AB588" s="18" t="s">
        <v>333</v>
      </c>
      <c r="AC588" s="18" t="s">
        <v>334</v>
      </c>
      <c r="AD588" s="18">
        <v>20</v>
      </c>
      <c r="AE588" s="18">
        <v>25</v>
      </c>
      <c r="AF588" s="18" t="s">
        <v>27</v>
      </c>
      <c r="AG588" s="18" t="s">
        <v>32</v>
      </c>
      <c r="AH588" s="18" t="s">
        <v>32</v>
      </c>
      <c r="AI588" s="18" t="s">
        <v>66</v>
      </c>
      <c r="AJ588" s="18" t="s">
        <v>79</v>
      </c>
      <c r="AK588" s="18" t="s">
        <v>96</v>
      </c>
      <c r="AL588" s="18" t="s">
        <v>109</v>
      </c>
      <c r="AM588" s="18" t="s">
        <v>120</v>
      </c>
      <c r="AN588" s="18" t="s">
        <v>267</v>
      </c>
      <c r="AO588" s="18"/>
      <c r="AP588" s="18"/>
      <c r="AQ588" s="18">
        <f>+VLOOKUP(AI588,Leyenda!$B$30:$E$34,3,FALSE)</f>
        <v>1</v>
      </c>
      <c r="AR588" s="18">
        <f>+VLOOKUP('3. Blasting'!AJ588,Meteorizacion,3,FALSE)</f>
        <v>1</v>
      </c>
      <c r="AS588" s="18">
        <f>+VLOOKUP('3. Blasting'!AK588,Apertura,3,FALSE)</f>
        <v>1</v>
      </c>
      <c r="AT588" s="18">
        <f>+VLOOKUP('3. Blasting'!AL588,Leyenda!$B$55:$D$59,3,FALSE)</f>
        <v>1</v>
      </c>
      <c r="AU588" s="18">
        <f>+VLOOKUP('3. Blasting'!AM588,Relleno,3,FALSE)</f>
        <v>2</v>
      </c>
      <c r="AV588" s="18">
        <f t="shared" si="236"/>
        <v>6</v>
      </c>
      <c r="AW588" s="49">
        <f t="shared" si="253"/>
        <v>0</v>
      </c>
      <c r="AX588" s="49">
        <f>VLOOKUP(AF588,Leyenda!$B$4:$D$10,3,FALSE)</f>
        <v>4</v>
      </c>
      <c r="AY588" s="49">
        <f t="shared" si="250"/>
        <v>5</v>
      </c>
      <c r="AZ588" s="49">
        <f t="shared" si="254"/>
        <v>6</v>
      </c>
      <c r="BA588" s="49">
        <f>VLOOKUP(AN588,Leyenda!$B$70:$D$75,3,FALSE)</f>
        <v>15</v>
      </c>
      <c r="BB588" s="67">
        <f t="shared" si="255"/>
        <v>27</v>
      </c>
      <c r="BC588" s="67">
        <f>VLOOKUP(AF588,Leyenda!$B$4:$E$10,4,FALSE)</f>
        <v>4</v>
      </c>
      <c r="BD588" s="67">
        <f t="shared" si="256"/>
        <v>8</v>
      </c>
      <c r="BE588" s="67">
        <f t="shared" si="257"/>
        <v>8</v>
      </c>
      <c r="BF588" s="67">
        <f>+VLOOKUP('3. Blasting'!AK588,Leyenda!$B$47:$E$51,4,FALSE)</f>
        <v>1</v>
      </c>
      <c r="BG588" s="67">
        <f>+VLOOKUP('3. Blasting'!AL588,Leyenda!$B$55:$E$59,4,FALSE)</f>
        <v>1</v>
      </c>
      <c r="BH588" s="67">
        <f>+VLOOKUP('3. Blasting'!AM588,Leyenda!$B$63:$E$67,3,FALSE)</f>
        <v>2</v>
      </c>
      <c r="BI588" s="67">
        <f>+VLOOKUP('3. Blasting'!AJ588,Leyenda!$B$39:$E$43,4,FALSE)</f>
        <v>1</v>
      </c>
      <c r="BJ588" s="67">
        <f>+VLOOKUP('3. Blasting'!AI588,Leyenda!$B$30:$E$34,4,FALSE)</f>
        <v>1</v>
      </c>
      <c r="BK588" s="67">
        <f>VLOOKUP(AN588,Leyenda!$B$71:$E$75,4,FALSE)</f>
        <v>10</v>
      </c>
      <c r="BL588" s="125">
        <f t="shared" si="258"/>
        <v>36</v>
      </c>
      <c r="BM588" s="85">
        <f t="shared" si="259"/>
        <v>30</v>
      </c>
      <c r="BN588" s="18" t="e">
        <f t="shared" si="237"/>
        <v>#DIV/0!</v>
      </c>
      <c r="BO588" s="18"/>
      <c r="BP588" s="6">
        <f t="shared" si="238"/>
        <v>20</v>
      </c>
      <c r="BQ588" s="6">
        <f t="shared" si="239"/>
        <v>50</v>
      </c>
      <c r="BR588" s="6">
        <v>20</v>
      </c>
      <c r="BS588" s="6">
        <f t="shared" si="247"/>
        <v>3.5</v>
      </c>
      <c r="BT588" s="6">
        <f t="shared" si="248"/>
        <v>1.5650000000000002</v>
      </c>
      <c r="BU588" s="6">
        <f t="shared" si="249"/>
        <v>47.532499999999999</v>
      </c>
      <c r="BV588" s="18">
        <f t="shared" si="244"/>
        <v>0.19012999999999999</v>
      </c>
      <c r="BW588" s="18">
        <f t="shared" si="245"/>
        <v>0.40687820000000002</v>
      </c>
    </row>
    <row r="602" spans="8:38" x14ac:dyDescent="0.25">
      <c r="H602" s="18"/>
      <c r="I602" s="53"/>
      <c r="J602" s="53"/>
      <c r="K602" s="53"/>
      <c r="L602" s="18"/>
      <c r="M602" s="18"/>
      <c r="N602" s="18"/>
      <c r="O602" s="53"/>
      <c r="P602" s="53"/>
      <c r="Q602" s="53"/>
      <c r="R602" s="82"/>
      <c r="S602" s="82"/>
      <c r="T602" s="82"/>
      <c r="U602" s="82"/>
      <c r="V602" s="82"/>
      <c r="W602" s="82"/>
      <c r="X602" s="82"/>
      <c r="Y602" s="82"/>
    </row>
    <row r="603" spans="8:38" x14ac:dyDescent="0.25">
      <c r="H603" s="37"/>
      <c r="I603" s="18"/>
      <c r="J603" s="38"/>
      <c r="K603" s="4"/>
      <c r="L603" s="4"/>
      <c r="M603" s="4"/>
      <c r="N603" s="4"/>
      <c r="O603" s="18"/>
      <c r="P603" s="18"/>
      <c r="Q603" s="18"/>
      <c r="R603" s="1"/>
      <c r="S603" s="1"/>
      <c r="T603" s="1"/>
      <c r="U603" s="1"/>
      <c r="V603" s="1"/>
      <c r="W603" s="1"/>
      <c r="X603" s="1"/>
      <c r="Y603" s="1"/>
      <c r="AJ603" s="43" t="s">
        <v>14</v>
      </c>
      <c r="AK603" s="43" t="s">
        <v>15</v>
      </c>
      <c r="AL603" s="43" t="s">
        <v>16</v>
      </c>
    </row>
    <row r="604" spans="8:38" x14ac:dyDescent="0.25">
      <c r="H604" s="37"/>
      <c r="I604" s="18"/>
      <c r="J604" s="38"/>
      <c r="K604" s="4"/>
      <c r="L604" s="4"/>
      <c r="M604" s="4"/>
      <c r="N604" s="4"/>
      <c r="O604" s="18"/>
      <c r="P604" s="18"/>
      <c r="Q604" s="18"/>
      <c r="R604" s="1"/>
      <c r="S604" s="1"/>
      <c r="T604" s="1"/>
      <c r="U604" s="1"/>
      <c r="V604" s="1"/>
      <c r="W604" s="1"/>
      <c r="X604" s="1"/>
      <c r="Y604" s="1"/>
      <c r="AJ604" s="9" t="s">
        <v>19</v>
      </c>
      <c r="AK604" s="10" t="s">
        <v>20</v>
      </c>
      <c r="AL604" s="9">
        <v>15</v>
      </c>
    </row>
    <row r="605" spans="8:38" x14ac:dyDescent="0.25">
      <c r="H605" s="37"/>
      <c r="I605" s="18"/>
      <c r="J605" s="38"/>
      <c r="K605" s="4"/>
      <c r="L605" s="4"/>
      <c r="M605" s="4"/>
      <c r="N605" s="4"/>
      <c r="O605" s="18"/>
      <c r="P605" s="18"/>
      <c r="Q605" s="18"/>
      <c r="R605" s="1"/>
      <c r="S605" s="1"/>
      <c r="T605" s="1"/>
      <c r="U605" s="1"/>
      <c r="V605" s="1"/>
      <c r="W605" s="1"/>
      <c r="X605" s="1"/>
      <c r="Y605" s="1"/>
      <c r="AJ605" s="9" t="s">
        <v>22</v>
      </c>
      <c r="AK605" s="10" t="s">
        <v>23</v>
      </c>
      <c r="AL605" s="9">
        <v>12</v>
      </c>
    </row>
    <row r="606" spans="8:38" x14ac:dyDescent="0.25">
      <c r="H606" s="37"/>
      <c r="I606" s="18"/>
      <c r="J606" s="38"/>
      <c r="K606" s="4"/>
      <c r="L606" s="4"/>
      <c r="M606" s="4"/>
      <c r="N606" s="4"/>
      <c r="O606" s="18"/>
      <c r="P606" s="18"/>
      <c r="Q606" s="18"/>
      <c r="R606" s="1"/>
      <c r="S606" s="1"/>
      <c r="T606" s="1"/>
      <c r="U606" s="1"/>
      <c r="V606" s="1"/>
      <c r="W606" s="1"/>
      <c r="X606" s="1"/>
      <c r="Y606" s="1"/>
      <c r="AJ606" s="9" t="s">
        <v>24</v>
      </c>
      <c r="AK606" s="10" t="s">
        <v>25</v>
      </c>
      <c r="AL606" s="9">
        <v>7</v>
      </c>
    </row>
    <row r="607" spans="8:38" x14ac:dyDescent="0.25">
      <c r="H607" s="37"/>
      <c r="I607" s="18"/>
      <c r="J607" s="38"/>
      <c r="K607" s="4"/>
      <c r="L607" s="4"/>
      <c r="M607" s="4"/>
      <c r="N607" s="4"/>
      <c r="O607" s="18"/>
      <c r="P607" s="18"/>
      <c r="Q607" s="18"/>
      <c r="R607" s="1"/>
      <c r="S607" s="1"/>
      <c r="T607" s="1"/>
      <c r="U607" s="1"/>
      <c r="V607" s="1"/>
      <c r="W607" s="1"/>
      <c r="X607" s="1"/>
      <c r="Y607" s="1"/>
      <c r="AJ607" s="9" t="s">
        <v>27</v>
      </c>
      <c r="AK607" s="10" t="s">
        <v>28</v>
      </c>
      <c r="AL607" s="9">
        <v>4</v>
      </c>
    </row>
    <row r="608" spans="8:38" x14ac:dyDescent="0.25">
      <c r="H608" s="37"/>
      <c r="I608" s="18"/>
      <c r="J608" s="38"/>
      <c r="K608" s="4"/>
      <c r="L608" s="4"/>
      <c r="M608" s="4"/>
      <c r="N608" s="4"/>
      <c r="O608" s="18"/>
      <c r="P608" s="18"/>
      <c r="Q608" s="18"/>
      <c r="R608" s="1"/>
      <c r="S608" s="1"/>
      <c r="T608" s="1"/>
      <c r="U608" s="1"/>
      <c r="V608" s="1"/>
      <c r="W608" s="1"/>
      <c r="X608" s="1"/>
      <c r="Y608" s="1"/>
      <c r="AJ608" s="9" t="s">
        <v>29</v>
      </c>
      <c r="AK608" s="10" t="s">
        <v>30</v>
      </c>
      <c r="AL608" s="9">
        <v>2</v>
      </c>
    </row>
    <row r="609" spans="8:38" x14ac:dyDescent="0.25">
      <c r="H609" s="37"/>
      <c r="I609" s="18"/>
      <c r="J609" s="38"/>
      <c r="K609" s="4"/>
      <c r="L609" s="4"/>
      <c r="M609" s="4"/>
      <c r="N609" s="4"/>
      <c r="O609" s="18"/>
      <c r="P609" s="18"/>
      <c r="Q609" s="18"/>
      <c r="R609" s="1"/>
      <c r="S609" s="1"/>
      <c r="T609" s="1"/>
      <c r="U609" s="1"/>
      <c r="V609" s="1"/>
      <c r="W609" s="1"/>
      <c r="X609" s="1"/>
      <c r="Y609" s="1"/>
      <c r="AJ609" s="9" t="s">
        <v>32</v>
      </c>
      <c r="AK609" s="10" t="s">
        <v>33</v>
      </c>
      <c r="AL609" s="9">
        <v>1</v>
      </c>
    </row>
    <row r="610" spans="8:38" x14ac:dyDescent="0.25">
      <c r="H610" s="37"/>
      <c r="I610" s="18"/>
      <c r="J610" s="38"/>
      <c r="K610" s="4"/>
      <c r="L610" s="4"/>
      <c r="M610" s="4"/>
      <c r="N610" s="4"/>
      <c r="O610" s="18"/>
      <c r="P610" s="18"/>
      <c r="Q610" s="18"/>
      <c r="R610" s="1"/>
      <c r="S610" s="1"/>
      <c r="T610" s="1"/>
      <c r="U610" s="1"/>
      <c r="V610" s="1"/>
      <c r="W610" s="1"/>
      <c r="X610" s="1"/>
      <c r="Y610" s="1"/>
      <c r="AJ610" s="9" t="s">
        <v>34</v>
      </c>
      <c r="AK610" s="10" t="s">
        <v>35</v>
      </c>
      <c r="AL610" s="9">
        <v>0</v>
      </c>
    </row>
    <row r="611" spans="8:38" x14ac:dyDescent="0.25">
      <c r="H611" s="37"/>
      <c r="I611" s="18"/>
      <c r="J611" s="38"/>
      <c r="K611" s="4"/>
      <c r="L611" s="4"/>
      <c r="M611" s="4"/>
      <c r="N611" s="4"/>
      <c r="O611" s="18"/>
      <c r="P611" s="18"/>
      <c r="Q611" s="18"/>
      <c r="R611" s="1"/>
      <c r="S611" s="1"/>
      <c r="T611" s="1"/>
      <c r="U611" s="1"/>
      <c r="V611" s="1"/>
      <c r="W611" s="1"/>
      <c r="X611" s="1"/>
      <c r="Y611" s="1"/>
    </row>
    <row r="612" spans="8:38" x14ac:dyDescent="0.25">
      <c r="H612" s="37"/>
      <c r="I612" s="18"/>
      <c r="J612" s="38"/>
      <c r="K612" s="4"/>
      <c r="L612" s="4"/>
      <c r="M612" s="4"/>
      <c r="N612" s="4"/>
      <c r="O612" s="18"/>
      <c r="P612" s="18"/>
      <c r="Q612" s="18"/>
      <c r="R612" s="1"/>
      <c r="S612" s="1"/>
      <c r="T612" s="1"/>
      <c r="U612" s="1"/>
      <c r="V612" s="1"/>
      <c r="W612" s="1"/>
      <c r="X612" s="1"/>
      <c r="Y612" s="1"/>
      <c r="Z612" s="39"/>
      <c r="AA612" s="39"/>
      <c r="AB612" s="39"/>
      <c r="AC612" s="39"/>
      <c r="AD612" s="39"/>
      <c r="AE612" s="39"/>
      <c r="AF612" s="39"/>
      <c r="AH612" s="40" t="s">
        <v>287</v>
      </c>
      <c r="AI612" s="40" t="s">
        <v>288</v>
      </c>
      <c r="AJ612" s="40" t="s">
        <v>289</v>
      </c>
    </row>
    <row r="613" spans="8:38" x14ac:dyDescent="0.25">
      <c r="H613" s="37"/>
      <c r="I613" s="18"/>
      <c r="J613" s="38"/>
      <c r="K613" s="4"/>
      <c r="L613" s="4"/>
      <c r="M613" s="4"/>
      <c r="N613" s="4"/>
      <c r="O613" s="18"/>
      <c r="P613" s="18"/>
      <c r="Q613" s="18"/>
      <c r="R613" s="1"/>
      <c r="S613" s="1"/>
      <c r="T613" s="1"/>
      <c r="U613" s="1"/>
      <c r="V613" s="1"/>
      <c r="W613" s="1"/>
      <c r="X613" s="1"/>
      <c r="Y613" s="1"/>
      <c r="AB613" s="55"/>
      <c r="AD613" s="55"/>
      <c r="AE613" s="55"/>
      <c r="AF613" s="55"/>
      <c r="AH613" s="3">
        <v>12</v>
      </c>
      <c r="AI613" s="3">
        <v>0</v>
      </c>
      <c r="AJ613" s="41">
        <f>+AI613/$AI$618</f>
        <v>0</v>
      </c>
    </row>
    <row r="614" spans="8:38" x14ac:dyDescent="0.25">
      <c r="H614" s="37"/>
      <c r="I614" s="18"/>
      <c r="J614" s="38"/>
      <c r="K614" s="4"/>
      <c r="L614" s="4"/>
      <c r="M614" s="4"/>
      <c r="N614" s="4"/>
      <c r="O614" s="18"/>
      <c r="P614" s="18"/>
      <c r="Q614" s="18"/>
      <c r="R614" s="1"/>
      <c r="S614" s="1"/>
      <c r="T614" s="1"/>
      <c r="U614" s="1"/>
      <c r="V614" s="1"/>
      <c r="W614" s="1"/>
      <c r="X614" s="1"/>
      <c r="Y614" s="1"/>
      <c r="AB614" s="55"/>
      <c r="AD614" s="55"/>
      <c r="AE614" s="55"/>
      <c r="AF614" s="55"/>
      <c r="AH614" s="9" t="s">
        <v>22</v>
      </c>
      <c r="AI614" s="3">
        <v>31</v>
      </c>
      <c r="AJ614" s="41">
        <f>+AI614/$AI$618</f>
        <v>0.91176470588235292</v>
      </c>
    </row>
    <row r="615" spans="8:38" x14ac:dyDescent="0.25">
      <c r="H615" s="37"/>
      <c r="I615" s="18"/>
      <c r="J615" s="38"/>
      <c r="K615" s="4"/>
      <c r="L615" s="4"/>
      <c r="M615" s="4"/>
      <c r="N615" s="4"/>
      <c r="O615" s="18"/>
      <c r="P615" s="18"/>
      <c r="Q615" s="18"/>
      <c r="R615" s="1"/>
      <c r="S615" s="1"/>
      <c r="T615" s="1"/>
      <c r="U615" s="1"/>
      <c r="V615" s="1"/>
      <c r="W615" s="1"/>
      <c r="X615" s="1"/>
      <c r="Y615" s="1"/>
      <c r="AB615" s="55"/>
      <c r="AD615" s="55"/>
      <c r="AE615" s="55"/>
      <c r="AF615" s="55"/>
      <c r="AH615" s="9" t="s">
        <v>24</v>
      </c>
      <c r="AI615" s="3">
        <v>3</v>
      </c>
      <c r="AJ615" s="41">
        <f>+AI615/$AI$618</f>
        <v>8.8235294117647065E-2</v>
      </c>
    </row>
    <row r="616" spans="8:38" x14ac:dyDescent="0.25">
      <c r="H616" s="37"/>
      <c r="I616" s="18"/>
      <c r="J616" s="38"/>
      <c r="K616" s="4"/>
      <c r="L616" s="4"/>
      <c r="M616" s="4"/>
      <c r="N616" s="4"/>
      <c r="O616" s="18"/>
      <c r="P616" s="18"/>
      <c r="Q616" s="18"/>
      <c r="R616" s="1"/>
      <c r="S616" s="1"/>
      <c r="T616" s="1"/>
      <c r="U616" s="1"/>
      <c r="V616" s="1"/>
      <c r="W616" s="1"/>
      <c r="X616" s="1"/>
      <c r="Y616" s="1"/>
      <c r="AB616" s="55"/>
      <c r="AD616" s="55"/>
      <c r="AE616" s="55"/>
      <c r="AF616" s="55"/>
      <c r="AH616" s="9" t="s">
        <v>27</v>
      </c>
      <c r="AI616" s="3">
        <v>0</v>
      </c>
      <c r="AJ616" s="41">
        <f>+AI616/$AI$618</f>
        <v>0</v>
      </c>
    </row>
    <row r="617" spans="8:38" x14ac:dyDescent="0.25">
      <c r="H617" s="37"/>
      <c r="I617" s="18"/>
      <c r="J617" s="38"/>
      <c r="K617" s="4"/>
      <c r="L617" s="4"/>
      <c r="M617" s="4"/>
      <c r="N617" s="4"/>
      <c r="O617" s="18"/>
      <c r="P617" s="18"/>
      <c r="Q617" s="18"/>
      <c r="R617" s="1"/>
      <c r="S617" s="1"/>
      <c r="T617" s="1"/>
      <c r="U617" s="1"/>
      <c r="V617" s="1"/>
      <c r="W617" s="1"/>
      <c r="X617" s="1"/>
      <c r="Y617" s="1"/>
      <c r="AB617" s="55"/>
      <c r="AD617" s="55"/>
      <c r="AE617" s="55"/>
      <c r="AF617" s="55"/>
      <c r="AH617" s="9" t="s">
        <v>29</v>
      </c>
      <c r="AI617" s="3">
        <v>0</v>
      </c>
      <c r="AJ617" s="41">
        <f>+AI617/$AI$618</f>
        <v>0</v>
      </c>
    </row>
    <row r="618" spans="8:38" x14ac:dyDescent="0.25">
      <c r="H618" s="37"/>
      <c r="I618" s="18"/>
      <c r="J618" s="38"/>
      <c r="K618" s="4"/>
      <c r="L618" s="4"/>
      <c r="M618" s="4"/>
      <c r="N618" s="4"/>
      <c r="O618" s="18"/>
      <c r="P618" s="18"/>
      <c r="Q618" s="18"/>
      <c r="R618" s="1"/>
      <c r="S618" s="1"/>
      <c r="T618" s="1"/>
      <c r="U618" s="1"/>
      <c r="V618" s="1"/>
      <c r="W618" s="1"/>
      <c r="X618" s="1"/>
      <c r="Y618" s="1"/>
      <c r="AB618" s="55"/>
      <c r="AD618" s="55"/>
      <c r="AE618" s="55"/>
      <c r="AF618" s="55"/>
      <c r="AH618" s="9" t="s">
        <v>32</v>
      </c>
      <c r="AI618">
        <f>+SUM(AI613:AI617)</f>
        <v>34</v>
      </c>
    </row>
    <row r="619" spans="8:38" x14ac:dyDescent="0.25">
      <c r="H619" s="37"/>
      <c r="I619" s="18"/>
      <c r="J619" s="38"/>
      <c r="K619" s="4"/>
      <c r="L619" s="4"/>
      <c r="M619" s="4"/>
      <c r="N619" s="4"/>
      <c r="O619" s="18"/>
      <c r="P619" s="18"/>
      <c r="Q619" s="18"/>
      <c r="R619" s="1"/>
      <c r="S619" s="1"/>
      <c r="T619" s="1"/>
      <c r="U619" s="1"/>
      <c r="V619" s="1"/>
      <c r="W619" s="1"/>
      <c r="X619" s="1"/>
      <c r="Y619" s="1"/>
      <c r="AB619" t="e" vm="2">
        <v>#VALUE!</v>
      </c>
    </row>
    <row r="620" spans="8:38" x14ac:dyDescent="0.25">
      <c r="H620" s="37"/>
      <c r="I620" s="18"/>
      <c r="J620" s="38"/>
      <c r="K620" s="4"/>
      <c r="L620" s="4"/>
      <c r="M620" s="4"/>
      <c r="N620" s="4"/>
      <c r="O620" s="18"/>
      <c r="P620" s="18"/>
      <c r="Q620" s="18"/>
      <c r="R620" s="1"/>
      <c r="S620" s="1"/>
      <c r="T620" s="1"/>
      <c r="U620" s="1"/>
      <c r="V620" s="1"/>
      <c r="W620" s="1"/>
      <c r="X620" s="1"/>
      <c r="Y620" s="1"/>
    </row>
    <row r="621" spans="8:38" x14ac:dyDescent="0.25">
      <c r="H621" s="37"/>
      <c r="I621" s="18"/>
      <c r="J621" s="38"/>
      <c r="K621" s="4"/>
      <c r="L621" s="4"/>
      <c r="M621" s="4"/>
      <c r="N621" s="4"/>
      <c r="O621" s="18"/>
      <c r="P621" s="18"/>
      <c r="Q621" s="18"/>
      <c r="R621" s="1"/>
      <c r="S621" s="1"/>
      <c r="T621" s="1"/>
      <c r="U621" s="1"/>
      <c r="V621" s="1"/>
      <c r="W621" s="1"/>
      <c r="X621" s="1"/>
      <c r="Y621" s="1"/>
    </row>
    <row r="622" spans="8:38" x14ac:dyDescent="0.25">
      <c r="H622" s="37"/>
      <c r="I622" s="18"/>
      <c r="J622" s="38"/>
      <c r="K622" s="4"/>
      <c r="L622" s="4"/>
      <c r="M622" s="4"/>
      <c r="N622" s="4"/>
      <c r="O622" s="18"/>
      <c r="P622" s="18"/>
      <c r="Q622" s="18"/>
      <c r="R622" s="1"/>
      <c r="S622" s="1"/>
      <c r="T622" s="1"/>
      <c r="U622" s="1"/>
      <c r="V622" s="1"/>
      <c r="W622" s="1"/>
      <c r="X622" s="1"/>
      <c r="Y622" s="1"/>
    </row>
    <row r="623" spans="8:38" x14ac:dyDescent="0.25">
      <c r="H623" s="37"/>
      <c r="I623" s="18"/>
      <c r="J623" s="38"/>
      <c r="K623" s="4"/>
      <c r="L623" s="4"/>
      <c r="M623" s="4"/>
      <c r="N623" s="4"/>
      <c r="O623" s="18"/>
      <c r="P623" s="18"/>
      <c r="Q623" s="18"/>
      <c r="R623" s="1"/>
      <c r="S623" s="1"/>
      <c r="T623" s="1"/>
      <c r="U623" s="1"/>
      <c r="V623" s="1"/>
      <c r="W623" s="1"/>
      <c r="X623" s="1"/>
      <c r="Y623" s="1"/>
    </row>
    <row r="624" spans="8:38" x14ac:dyDescent="0.25">
      <c r="H624" s="37"/>
      <c r="I624" s="18"/>
      <c r="J624" s="38"/>
      <c r="K624" s="4"/>
      <c r="L624" s="4"/>
      <c r="M624" s="4"/>
      <c r="N624" s="4"/>
      <c r="O624" s="18"/>
      <c r="P624" s="18"/>
      <c r="Q624" s="18"/>
      <c r="R624" s="1"/>
      <c r="S624" s="1"/>
      <c r="T624" s="1"/>
      <c r="U624" s="1"/>
      <c r="V624" s="1"/>
      <c r="W624" s="1"/>
      <c r="X624" s="1"/>
      <c r="Y624" s="1"/>
      <c r="Z624" s="39"/>
      <c r="AA624" s="39"/>
      <c r="AB624" s="39"/>
      <c r="AC624" s="39"/>
      <c r="AD624" s="39"/>
      <c r="AE624" s="39"/>
      <c r="AF624" s="39"/>
      <c r="AG624" s="39"/>
    </row>
    <row r="625" spans="8:38" x14ac:dyDescent="0.25">
      <c r="H625" s="37"/>
      <c r="I625" s="18"/>
      <c r="J625" s="38"/>
      <c r="K625" s="4"/>
      <c r="L625" s="4"/>
      <c r="M625" s="4"/>
      <c r="N625" s="4"/>
      <c r="O625" s="18"/>
      <c r="P625" s="18"/>
      <c r="Q625" s="18"/>
      <c r="R625" s="1"/>
      <c r="S625" s="1"/>
      <c r="T625" s="1"/>
      <c r="U625" s="1"/>
      <c r="V625" s="1"/>
      <c r="W625" s="1"/>
      <c r="X625" s="1"/>
      <c r="Y625" s="1"/>
      <c r="AB625" s="55"/>
      <c r="AD625" s="55"/>
      <c r="AE625" s="55"/>
      <c r="AF625" s="55"/>
      <c r="AG625" s="42"/>
    </row>
    <row r="626" spans="8:38" x14ac:dyDescent="0.25">
      <c r="H626" s="37"/>
      <c r="I626" s="18"/>
      <c r="J626" s="38"/>
      <c r="K626" s="4"/>
      <c r="L626" s="4"/>
      <c r="M626" s="4"/>
      <c r="N626" s="4"/>
      <c r="O626" s="18"/>
      <c r="P626" s="18"/>
      <c r="Q626" s="18"/>
      <c r="R626" s="1"/>
      <c r="S626" s="1"/>
      <c r="T626" s="1"/>
      <c r="U626" s="1"/>
      <c r="V626" s="1"/>
      <c r="W626" s="1"/>
      <c r="X626" s="1"/>
      <c r="Y626" s="1"/>
      <c r="AB626" s="55"/>
      <c r="AD626" s="55"/>
      <c r="AE626" s="55"/>
      <c r="AF626" s="55"/>
      <c r="AG626" s="42"/>
    </row>
    <row r="627" spans="8:38" x14ac:dyDescent="0.25">
      <c r="H627" s="37"/>
      <c r="I627" s="18"/>
      <c r="J627" s="38"/>
      <c r="K627" s="4"/>
      <c r="L627" s="4"/>
      <c r="M627" s="4"/>
      <c r="N627" s="4"/>
      <c r="O627" s="18"/>
      <c r="P627" s="18"/>
      <c r="Q627" s="18"/>
      <c r="R627" s="1"/>
      <c r="S627" s="1"/>
      <c r="T627" s="1"/>
      <c r="U627" s="1"/>
      <c r="V627" s="1"/>
      <c r="W627" s="1"/>
      <c r="X627" s="1"/>
      <c r="Y627" s="1"/>
      <c r="AB627" s="55"/>
      <c r="AD627" s="55"/>
      <c r="AE627" s="55"/>
      <c r="AF627" s="55"/>
      <c r="AG627" s="42"/>
    </row>
    <row r="628" spans="8:38" x14ac:dyDescent="0.25">
      <c r="H628" s="37"/>
      <c r="I628" s="18"/>
      <c r="J628" s="38"/>
      <c r="K628" s="4"/>
      <c r="L628" s="4"/>
      <c r="M628" s="4"/>
      <c r="N628" s="4"/>
      <c r="O628" s="18"/>
      <c r="P628" s="18"/>
      <c r="Q628" s="18"/>
      <c r="R628" s="1"/>
      <c r="S628" s="1"/>
      <c r="T628" s="1"/>
      <c r="U628" s="1"/>
      <c r="V628" s="1"/>
      <c r="W628" s="1"/>
      <c r="X628" s="1"/>
      <c r="Y628" s="1"/>
      <c r="AB628" s="55"/>
      <c r="AD628" s="55"/>
      <c r="AE628" s="55"/>
      <c r="AF628" s="55"/>
      <c r="AG628" s="42"/>
    </row>
    <row r="629" spans="8:38" x14ac:dyDescent="0.25">
      <c r="H629" s="37"/>
      <c r="I629" s="18"/>
      <c r="J629" s="38"/>
      <c r="K629" s="4"/>
      <c r="L629" s="4"/>
      <c r="M629" s="4"/>
      <c r="N629" s="4"/>
      <c r="O629" s="18"/>
      <c r="P629" s="18"/>
      <c r="Q629" s="18"/>
      <c r="R629" s="1"/>
      <c r="S629" s="1"/>
      <c r="T629" s="1"/>
      <c r="U629" s="1"/>
      <c r="V629" s="1"/>
      <c r="W629" s="1"/>
      <c r="X629" s="1"/>
      <c r="Y629" s="1"/>
      <c r="AB629" s="55"/>
      <c r="AD629" s="55"/>
      <c r="AE629" s="55"/>
      <c r="AF629" s="55"/>
      <c r="AG629" s="42"/>
    </row>
    <row r="630" spans="8:38" x14ac:dyDescent="0.25">
      <c r="H630" s="37"/>
      <c r="I630" s="18"/>
      <c r="J630" s="38"/>
      <c r="K630" s="4"/>
      <c r="L630" s="4"/>
      <c r="M630" s="4"/>
      <c r="N630" s="4"/>
      <c r="O630" s="18"/>
      <c r="P630" s="18"/>
      <c r="Q630" s="18"/>
      <c r="R630" s="1"/>
      <c r="S630" s="1"/>
      <c r="T630" s="1"/>
      <c r="U630" s="1"/>
      <c r="V630" s="1"/>
      <c r="W630" s="1"/>
      <c r="X630" s="1"/>
      <c r="Y630" s="1"/>
      <c r="AB630" s="55"/>
      <c r="AD630" s="55"/>
      <c r="AE630" s="55"/>
      <c r="AF630" s="55"/>
    </row>
    <row r="631" spans="8:38" x14ac:dyDescent="0.25">
      <c r="H631" s="37"/>
      <c r="I631" s="18"/>
      <c r="J631" s="38"/>
      <c r="K631" s="4"/>
      <c r="L631" s="4"/>
      <c r="M631" s="4"/>
      <c r="N631" s="4"/>
      <c r="O631" s="18"/>
      <c r="P631" s="18"/>
      <c r="Q631" s="18"/>
      <c r="R631" s="1"/>
      <c r="S631" s="1"/>
      <c r="T631" s="1"/>
      <c r="U631" s="1"/>
      <c r="V631" s="1"/>
      <c r="W631" s="1"/>
      <c r="X631" s="1"/>
      <c r="Y631" s="1"/>
    </row>
    <row r="632" spans="8:38" x14ac:dyDescent="0.25">
      <c r="H632" s="37"/>
      <c r="I632" s="18"/>
      <c r="J632" s="38"/>
      <c r="K632" s="4"/>
      <c r="L632" s="4"/>
      <c r="M632" s="4"/>
      <c r="N632" s="4"/>
      <c r="O632" s="18"/>
      <c r="P632" s="18"/>
      <c r="Q632" s="18"/>
      <c r="R632" s="1"/>
      <c r="S632" s="1"/>
      <c r="T632" s="1"/>
      <c r="U632" s="1"/>
      <c r="V632" s="1"/>
      <c r="W632" s="1"/>
      <c r="X632" s="1"/>
      <c r="Y632" s="1"/>
    </row>
    <row r="633" spans="8:38" x14ac:dyDescent="0.25">
      <c r="H633" s="37"/>
      <c r="I633" s="18"/>
      <c r="J633" s="38"/>
      <c r="K633" s="4"/>
      <c r="L633" s="4"/>
      <c r="M633" s="4"/>
      <c r="N633" s="4"/>
      <c r="O633" s="18"/>
      <c r="P633" s="18"/>
      <c r="Q633" s="18"/>
      <c r="R633" s="1"/>
      <c r="S633" s="1"/>
      <c r="T633" s="1"/>
      <c r="U633" s="1"/>
      <c r="V633" s="1"/>
      <c r="W633" s="1"/>
      <c r="X633" s="1"/>
      <c r="Y633" s="1"/>
    </row>
    <row r="634" spans="8:38" x14ac:dyDescent="0.25">
      <c r="H634" s="37"/>
      <c r="I634" s="18"/>
      <c r="J634" s="38"/>
      <c r="K634" s="4"/>
      <c r="L634" s="4"/>
      <c r="M634" s="4"/>
      <c r="N634" s="4"/>
      <c r="O634" s="18"/>
      <c r="P634" s="18"/>
      <c r="Q634" s="18"/>
      <c r="R634" s="1"/>
      <c r="S634" s="1"/>
      <c r="T634" s="1"/>
      <c r="U634" s="1"/>
      <c r="V634" s="1"/>
      <c r="W634" s="1"/>
      <c r="X634" s="1"/>
      <c r="Y634" s="1"/>
    </row>
    <row r="635" spans="8:38" x14ac:dyDescent="0.25">
      <c r="H635" s="37"/>
      <c r="I635" s="18"/>
      <c r="J635" s="38"/>
      <c r="K635" s="4"/>
      <c r="L635" s="4"/>
      <c r="M635" s="4"/>
      <c r="N635" s="4"/>
      <c r="O635" s="18"/>
      <c r="P635" s="18"/>
      <c r="Q635" s="18"/>
      <c r="R635" s="1"/>
      <c r="S635" s="1"/>
      <c r="T635" s="1"/>
      <c r="U635" s="1"/>
      <c r="V635" s="1"/>
      <c r="W635" s="1"/>
      <c r="X635" s="1"/>
      <c r="Y635" s="1"/>
      <c r="Z635" s="56"/>
      <c r="AA635" s="56"/>
      <c r="AB635" s="56"/>
      <c r="AC635" s="56"/>
    </row>
    <row r="636" spans="8:38" x14ac:dyDescent="0.25">
      <c r="H636" s="37"/>
      <c r="I636" s="18"/>
      <c r="J636" s="37"/>
      <c r="K636" s="4"/>
      <c r="L636" s="4"/>
      <c r="M636" s="4"/>
      <c r="N636" s="4"/>
      <c r="O636" s="18"/>
      <c r="P636" s="18"/>
      <c r="Q636" s="18"/>
      <c r="R636" s="1"/>
      <c r="S636" s="1"/>
      <c r="T636" s="1"/>
      <c r="U636" s="1"/>
      <c r="V636" s="1"/>
      <c r="W636" s="1"/>
      <c r="X636" s="1"/>
      <c r="Y636" s="1"/>
    </row>
    <row r="639" spans="8:38" ht="21" x14ac:dyDescent="0.25">
      <c r="AK639" s="54" t="s">
        <v>306</v>
      </c>
      <c r="AL639" s="54"/>
    </row>
    <row r="640" spans="8:38" ht="15.75" thickBot="1" x14ac:dyDescent="0.3"/>
    <row r="641" spans="7:40" x14ac:dyDescent="0.25">
      <c r="AK641" s="60" t="s">
        <v>323</v>
      </c>
      <c r="AL641" s="60"/>
      <c r="AN641" s="59" t="s">
        <v>324</v>
      </c>
    </row>
    <row r="642" spans="7:40" x14ac:dyDescent="0.25">
      <c r="AN642" s="59" t="s">
        <v>325</v>
      </c>
    </row>
    <row r="643" spans="7:40" x14ac:dyDescent="0.25">
      <c r="AK643" s="58" t="s">
        <v>307</v>
      </c>
      <c r="AL643" s="58">
        <v>67.764705882352942</v>
      </c>
      <c r="AN643" s="59" t="s">
        <v>326</v>
      </c>
    </row>
    <row r="644" spans="7:40" x14ac:dyDescent="0.25">
      <c r="AK644" t="s">
        <v>308</v>
      </c>
      <c r="AL644">
        <v>1.0928864327799059</v>
      </c>
    </row>
    <row r="645" spans="7:40" x14ac:dyDescent="0.25">
      <c r="AK645" t="s">
        <v>309</v>
      </c>
      <c r="AL645">
        <v>70</v>
      </c>
    </row>
    <row r="646" spans="7:40" x14ac:dyDescent="0.25">
      <c r="AK646" t="s">
        <v>310</v>
      </c>
      <c r="AL646">
        <v>72</v>
      </c>
    </row>
    <row r="647" spans="7:40" x14ac:dyDescent="0.25">
      <c r="G647" t="e" vm="5">
        <v>#VALUE!</v>
      </c>
      <c r="AK647" s="58" t="s">
        <v>311</v>
      </c>
      <c r="AL647" s="58">
        <v>6.3725682160687143</v>
      </c>
    </row>
    <row r="648" spans="7:40" x14ac:dyDescent="0.25">
      <c r="AK648" t="s">
        <v>312</v>
      </c>
      <c r="AL648">
        <v>40.609625668449191</v>
      </c>
    </row>
    <row r="649" spans="7:40" x14ac:dyDescent="0.25">
      <c r="AK649" t="s">
        <v>313</v>
      </c>
      <c r="AL649">
        <v>2.5558526988308263</v>
      </c>
    </row>
    <row r="650" spans="7:40" x14ac:dyDescent="0.25">
      <c r="AK650" t="s">
        <v>314</v>
      </c>
      <c r="AL650">
        <v>-1.6949743819686944</v>
      </c>
    </row>
    <row r="651" spans="7:40" x14ac:dyDescent="0.25">
      <c r="AK651" t="s">
        <v>315</v>
      </c>
      <c r="AL651">
        <v>26</v>
      </c>
    </row>
    <row r="652" spans="7:40" x14ac:dyDescent="0.25">
      <c r="AK652" s="58" t="s">
        <v>316</v>
      </c>
      <c r="AL652" s="58">
        <v>48</v>
      </c>
    </row>
    <row r="653" spans="7:40" x14ac:dyDescent="0.25">
      <c r="AK653" s="58" t="s">
        <v>317</v>
      </c>
      <c r="AL653" s="58">
        <v>74</v>
      </c>
    </row>
    <row r="654" spans="7:40" x14ac:dyDescent="0.25">
      <c r="AK654" t="s">
        <v>318</v>
      </c>
      <c r="AL654">
        <v>2304</v>
      </c>
    </row>
    <row r="655" spans="7:40" x14ac:dyDescent="0.25">
      <c r="AK655" t="s">
        <v>319</v>
      </c>
      <c r="AL655">
        <v>34</v>
      </c>
    </row>
    <row r="656" spans="7:40" x14ac:dyDescent="0.25">
      <c r="AK656" t="s">
        <v>320</v>
      </c>
      <c r="AL656">
        <v>74</v>
      </c>
    </row>
    <row r="657" spans="37:38" x14ac:dyDescent="0.25">
      <c r="AK657" t="s">
        <v>321</v>
      </c>
      <c r="AL657">
        <v>48</v>
      </c>
    </row>
    <row r="658" spans="37:38" ht="15.75" thickBot="1" x14ac:dyDescent="0.3">
      <c r="AK658" s="57" t="s">
        <v>322</v>
      </c>
      <c r="AL658" s="57">
        <v>2.223494165865556</v>
      </c>
    </row>
  </sheetData>
  <autoFilter ref="A3:BW588" xr:uid="{841AE12D-A9DB-4493-87DB-B37342B1ED33}">
    <filterColumn colId="4">
      <filters>
        <filter val="40"/>
      </filters>
    </filterColumn>
  </autoFilter>
  <dataConsolidate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A7E4-6CE9-4E7A-AB1E-36AF45B6F9B6}">
  <sheetPr>
    <tabColor rgb="FF92D050"/>
  </sheetPr>
  <dimension ref="J2:L7"/>
  <sheetViews>
    <sheetView zoomScale="40" zoomScaleNormal="40" workbookViewId="0">
      <selection activeCell="BG65" sqref="BG65"/>
    </sheetView>
  </sheetViews>
  <sheetFormatPr defaultColWidth="8.85546875" defaultRowHeight="15" x14ac:dyDescent="0.25"/>
  <cols>
    <col min="24" max="24" width="13.28515625" customWidth="1"/>
  </cols>
  <sheetData>
    <row r="2" spans="10:12" x14ac:dyDescent="0.25">
      <c r="J2" s="80" t="s">
        <v>58</v>
      </c>
      <c r="K2" s="80"/>
      <c r="L2" s="80" t="s">
        <v>17</v>
      </c>
    </row>
    <row r="3" spans="10:12" x14ac:dyDescent="0.25">
      <c r="J3" s="61" t="s">
        <v>60</v>
      </c>
      <c r="K3" s="76" t="s">
        <v>59</v>
      </c>
      <c r="L3" s="77">
        <v>5</v>
      </c>
    </row>
    <row r="4" spans="10:12" x14ac:dyDescent="0.25">
      <c r="J4" s="61" t="s">
        <v>62</v>
      </c>
      <c r="K4" s="62" t="s">
        <v>61</v>
      </c>
      <c r="L4" s="77">
        <v>4</v>
      </c>
    </row>
    <row r="5" spans="10:12" x14ac:dyDescent="0.25">
      <c r="J5" s="61" t="s">
        <v>64</v>
      </c>
      <c r="K5" s="62" t="s">
        <v>63</v>
      </c>
      <c r="L5" s="77">
        <v>3</v>
      </c>
    </row>
    <row r="6" spans="10:12" x14ac:dyDescent="0.25">
      <c r="J6" s="61" t="s">
        <v>66</v>
      </c>
      <c r="K6" s="62" t="s">
        <v>65</v>
      </c>
      <c r="L6" s="77">
        <v>1</v>
      </c>
    </row>
    <row r="7" spans="10:12" x14ac:dyDescent="0.25">
      <c r="J7" s="61" t="s">
        <v>69</v>
      </c>
      <c r="K7" s="62" t="s">
        <v>68</v>
      </c>
      <c r="L7" s="77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5AF9-FA28-4F48-B743-A461C3A3EC0D}">
  <sheetPr codeName="Planilha4">
    <tabColor rgb="FFFFC000"/>
  </sheetPr>
  <dimension ref="C2:BO114"/>
  <sheetViews>
    <sheetView topLeftCell="K1" zoomScale="42" zoomScaleNormal="70" workbookViewId="0">
      <selection activeCell="Y15" sqref="Y15"/>
    </sheetView>
  </sheetViews>
  <sheetFormatPr defaultColWidth="8.85546875" defaultRowHeight="15" x14ac:dyDescent="0.25"/>
  <sheetData>
    <row r="2" spans="3:67" ht="348" customHeight="1" x14ac:dyDescent="0.25"/>
    <row r="3" spans="3:67" ht="409.35" customHeight="1" x14ac:dyDescent="0.25"/>
    <row r="4" spans="3:67" ht="60" x14ac:dyDescent="0.25">
      <c r="C4" s="2" t="s">
        <v>0</v>
      </c>
      <c r="D4" s="46" t="s">
        <v>1</v>
      </c>
      <c r="E4" s="46" t="s">
        <v>137</v>
      </c>
      <c r="F4" s="46" t="s">
        <v>2</v>
      </c>
      <c r="G4" s="46" t="s">
        <v>131</v>
      </c>
      <c r="H4" s="30" t="s">
        <v>155</v>
      </c>
      <c r="I4" s="33" t="s">
        <v>129</v>
      </c>
      <c r="J4" s="48" t="s">
        <v>3</v>
      </c>
      <c r="K4" s="48" t="s">
        <v>4</v>
      </c>
      <c r="L4" s="46" t="s">
        <v>5</v>
      </c>
      <c r="M4" s="46" t="s">
        <v>133</v>
      </c>
      <c r="N4" s="46" t="s">
        <v>345</v>
      </c>
      <c r="O4" s="83" t="s">
        <v>576</v>
      </c>
      <c r="P4" s="83" t="s">
        <v>575</v>
      </c>
      <c r="Q4" s="83" t="s">
        <v>11</v>
      </c>
      <c r="R4" s="83" t="s">
        <v>577</v>
      </c>
      <c r="S4" s="83" t="s">
        <v>578</v>
      </c>
      <c r="T4" s="83" t="s">
        <v>579</v>
      </c>
      <c r="U4" s="83" t="s">
        <v>285</v>
      </c>
      <c r="V4" s="74" t="s">
        <v>565</v>
      </c>
      <c r="AA4" s="2" t="s">
        <v>0</v>
      </c>
      <c r="AB4" s="46" t="s">
        <v>1</v>
      </c>
      <c r="AC4" s="46" t="s">
        <v>137</v>
      </c>
      <c r="AD4" s="46" t="s">
        <v>2</v>
      </c>
      <c r="AE4" s="46" t="s">
        <v>131</v>
      </c>
      <c r="AF4" s="30" t="s">
        <v>155</v>
      </c>
      <c r="AG4" s="33" t="s">
        <v>129</v>
      </c>
      <c r="AH4" s="48" t="s">
        <v>3</v>
      </c>
      <c r="AI4" s="48" t="s">
        <v>4</v>
      </c>
      <c r="AJ4" s="46" t="s">
        <v>5</v>
      </c>
      <c r="AK4" s="46" t="s">
        <v>133</v>
      </c>
      <c r="AL4" s="46" t="s">
        <v>345</v>
      </c>
      <c r="AM4" s="83" t="s">
        <v>576</v>
      </c>
      <c r="AN4" s="83" t="s">
        <v>575</v>
      </c>
      <c r="AO4" s="83" t="s">
        <v>11</v>
      </c>
      <c r="AP4" s="83" t="s">
        <v>577</v>
      </c>
      <c r="AQ4" s="83" t="s">
        <v>578</v>
      </c>
      <c r="AR4" s="83" t="s">
        <v>579</v>
      </c>
      <c r="AS4" s="83" t="s">
        <v>285</v>
      </c>
      <c r="AT4" s="74" t="s">
        <v>565</v>
      </c>
      <c r="AV4" s="2" t="s">
        <v>0</v>
      </c>
      <c r="AW4" s="46" t="s">
        <v>1</v>
      </c>
      <c r="AX4" s="46" t="s">
        <v>137</v>
      </c>
      <c r="AY4" s="46" t="s">
        <v>2</v>
      </c>
      <c r="AZ4" s="46" t="s">
        <v>131</v>
      </c>
      <c r="BA4" s="30" t="s">
        <v>155</v>
      </c>
      <c r="BB4" s="33" t="s">
        <v>129</v>
      </c>
      <c r="BC4" s="48" t="s">
        <v>3</v>
      </c>
      <c r="BD4" s="48" t="s">
        <v>4</v>
      </c>
      <c r="BE4" s="46" t="s">
        <v>5</v>
      </c>
      <c r="BF4" s="46" t="s">
        <v>133</v>
      </c>
      <c r="BG4" s="46" t="s">
        <v>345</v>
      </c>
      <c r="BH4" s="83" t="s">
        <v>576</v>
      </c>
      <c r="BI4" s="83" t="s">
        <v>575</v>
      </c>
      <c r="BJ4" s="83" t="s">
        <v>11</v>
      </c>
      <c r="BK4" s="83" t="s">
        <v>577</v>
      </c>
      <c r="BL4" s="83" t="s">
        <v>578</v>
      </c>
      <c r="BM4" s="83" t="s">
        <v>579</v>
      </c>
      <c r="BN4" s="83" t="s">
        <v>285</v>
      </c>
      <c r="BO4" s="74" t="s">
        <v>565</v>
      </c>
    </row>
    <row r="5" spans="3:67" x14ac:dyDescent="0.25">
      <c r="C5" s="18" t="s">
        <v>6</v>
      </c>
      <c r="D5" s="18">
        <v>2024</v>
      </c>
      <c r="E5" s="18" t="s">
        <v>138</v>
      </c>
      <c r="F5" s="18" t="s">
        <v>10</v>
      </c>
      <c r="G5" s="18">
        <v>60</v>
      </c>
      <c r="H5" s="18" t="s">
        <v>136</v>
      </c>
      <c r="I5" s="18" t="s">
        <v>157</v>
      </c>
      <c r="J5" s="31">
        <v>0</v>
      </c>
      <c r="K5" s="31">
        <v>0.5</v>
      </c>
      <c r="L5" s="4">
        <v>0.5</v>
      </c>
      <c r="M5" s="5">
        <v>0.98</v>
      </c>
      <c r="N5" s="31">
        <v>0.49</v>
      </c>
      <c r="O5" s="31"/>
      <c r="P5" s="31"/>
      <c r="Q5" s="85">
        <v>0</v>
      </c>
      <c r="R5" s="31"/>
      <c r="S5" s="31"/>
      <c r="T5" s="31"/>
      <c r="U5" s="31">
        <v>0</v>
      </c>
      <c r="V5" s="67">
        <v>1</v>
      </c>
      <c r="AA5" s="18" t="s">
        <v>6</v>
      </c>
      <c r="AB5" s="18">
        <v>2024</v>
      </c>
      <c r="AC5" s="18" t="s">
        <v>138</v>
      </c>
      <c r="AD5" s="18" t="s">
        <v>10</v>
      </c>
      <c r="AE5" s="18">
        <v>30</v>
      </c>
      <c r="AF5" s="18" t="s">
        <v>152</v>
      </c>
      <c r="AG5" s="18" t="s">
        <v>161</v>
      </c>
      <c r="AH5" s="31">
        <v>17.5</v>
      </c>
      <c r="AI5" s="31">
        <v>18</v>
      </c>
      <c r="AJ5" s="4">
        <v>0.5</v>
      </c>
      <c r="AK5" s="5">
        <v>0.42</v>
      </c>
      <c r="AL5" s="31">
        <v>0.21</v>
      </c>
      <c r="AM5" s="31">
        <v>0.31</v>
      </c>
      <c r="AN5" s="31">
        <v>0</v>
      </c>
      <c r="AO5" s="86">
        <v>0</v>
      </c>
      <c r="AP5" s="31">
        <v>6</v>
      </c>
      <c r="AQ5" s="31"/>
      <c r="AR5" s="31">
        <v>6</v>
      </c>
      <c r="AS5" s="31">
        <v>51.666666666666664</v>
      </c>
      <c r="AT5" s="67">
        <v>2</v>
      </c>
      <c r="AU5" s="87">
        <v>10</v>
      </c>
      <c r="AV5" s="18" t="s">
        <v>6</v>
      </c>
      <c r="AW5" s="18">
        <v>2024</v>
      </c>
      <c r="AX5" s="18" t="s">
        <v>138</v>
      </c>
      <c r="AY5" s="18" t="s">
        <v>10</v>
      </c>
      <c r="AZ5" s="18">
        <v>10</v>
      </c>
      <c r="BA5" s="18" t="s">
        <v>135</v>
      </c>
      <c r="BB5" s="18" t="s">
        <v>162</v>
      </c>
      <c r="BC5" s="31">
        <v>27.97</v>
      </c>
      <c r="BD5" s="31">
        <v>29</v>
      </c>
      <c r="BE5" s="4">
        <v>1.0300000000000011</v>
      </c>
      <c r="BF5" s="5">
        <v>0.87</v>
      </c>
      <c r="BG5" s="31">
        <v>0.89610000000000101</v>
      </c>
      <c r="BH5" s="31">
        <v>0.82</v>
      </c>
      <c r="BI5" s="31">
        <v>0.54</v>
      </c>
      <c r="BJ5" s="86">
        <v>52.427184466019362</v>
      </c>
      <c r="BK5" s="31">
        <v>5</v>
      </c>
      <c r="BL5" s="31"/>
      <c r="BM5" s="31">
        <v>5</v>
      </c>
      <c r="BN5" s="31">
        <v>164</v>
      </c>
      <c r="BO5" s="67">
        <v>4</v>
      </c>
    </row>
    <row r="6" spans="3:67" x14ac:dyDescent="0.25">
      <c r="C6" s="18" t="s">
        <v>6</v>
      </c>
      <c r="D6" s="18">
        <v>2024</v>
      </c>
      <c r="E6" s="18" t="s">
        <v>138</v>
      </c>
      <c r="F6" s="18" t="s">
        <v>10</v>
      </c>
      <c r="G6" s="18">
        <v>60</v>
      </c>
      <c r="H6" s="18" t="s">
        <v>136</v>
      </c>
      <c r="I6" s="18" t="s">
        <v>158</v>
      </c>
      <c r="J6" s="31">
        <v>0.5</v>
      </c>
      <c r="K6" s="31">
        <v>1</v>
      </c>
      <c r="L6" s="4">
        <v>0.5</v>
      </c>
      <c r="M6" s="5">
        <v>0.98</v>
      </c>
      <c r="N6" s="31">
        <v>0.49</v>
      </c>
      <c r="O6" s="31"/>
      <c r="P6" s="31"/>
      <c r="Q6" s="85">
        <v>0</v>
      </c>
      <c r="R6" s="31"/>
      <c r="S6" s="31"/>
      <c r="T6" s="31"/>
      <c r="U6" s="31">
        <v>0</v>
      </c>
      <c r="V6" s="67">
        <v>1</v>
      </c>
      <c r="AA6" s="18" t="s">
        <v>6</v>
      </c>
      <c r="AB6" s="18">
        <v>2024</v>
      </c>
      <c r="AC6" s="18" t="s">
        <v>138</v>
      </c>
      <c r="AD6" s="18" t="s">
        <v>10</v>
      </c>
      <c r="AE6" s="18">
        <v>30</v>
      </c>
      <c r="AF6" s="18" t="s">
        <v>152</v>
      </c>
      <c r="AG6" s="18" t="s">
        <v>161</v>
      </c>
      <c r="AH6" s="31">
        <v>18</v>
      </c>
      <c r="AI6" s="31">
        <v>18.5</v>
      </c>
      <c r="AJ6" s="4">
        <v>0.5</v>
      </c>
      <c r="AK6" s="5">
        <v>0.6</v>
      </c>
      <c r="AL6" s="31">
        <v>0.3</v>
      </c>
      <c r="AM6" s="31">
        <v>0.13</v>
      </c>
      <c r="AN6" s="31">
        <v>0</v>
      </c>
      <c r="AO6" s="86">
        <v>0</v>
      </c>
      <c r="AP6" s="31">
        <v>10</v>
      </c>
      <c r="AQ6" s="31"/>
      <c r="AR6" s="31">
        <v>10</v>
      </c>
      <c r="AS6" s="31">
        <v>13</v>
      </c>
      <c r="AT6" s="67">
        <v>2</v>
      </c>
      <c r="AV6" s="18" t="s">
        <v>6</v>
      </c>
      <c r="AW6" s="18">
        <v>2024</v>
      </c>
      <c r="AX6" s="18" t="s">
        <v>138</v>
      </c>
      <c r="AY6" s="18" t="s">
        <v>10</v>
      </c>
      <c r="AZ6" s="18">
        <v>10</v>
      </c>
      <c r="BA6" s="18" t="s">
        <v>135</v>
      </c>
      <c r="BB6" s="18" t="s">
        <v>162</v>
      </c>
      <c r="BC6" s="31">
        <v>29</v>
      </c>
      <c r="BD6" s="31">
        <v>29.5</v>
      </c>
      <c r="BE6" s="4">
        <v>0.5</v>
      </c>
      <c r="BF6" s="5">
        <v>0.96</v>
      </c>
      <c r="BG6" s="31">
        <v>0.48</v>
      </c>
      <c r="BH6" s="31">
        <v>0.48</v>
      </c>
      <c r="BI6" s="31">
        <v>0.4</v>
      </c>
      <c r="BJ6" s="86">
        <v>80</v>
      </c>
      <c r="BK6" s="31">
        <v>2</v>
      </c>
      <c r="BL6" s="31"/>
      <c r="BM6" s="31">
        <v>2</v>
      </c>
      <c r="BN6" s="31">
        <v>240</v>
      </c>
      <c r="BO6" s="67">
        <v>2</v>
      </c>
    </row>
    <row r="7" spans="3:67" x14ac:dyDescent="0.25">
      <c r="C7" s="18" t="s">
        <v>6</v>
      </c>
      <c r="D7" s="18">
        <v>2024</v>
      </c>
      <c r="E7" s="18" t="s">
        <v>138</v>
      </c>
      <c r="F7" s="18" t="s">
        <v>10</v>
      </c>
      <c r="G7" s="18">
        <v>60</v>
      </c>
      <c r="H7" s="18" t="s">
        <v>136</v>
      </c>
      <c r="I7" s="18" t="s">
        <v>158</v>
      </c>
      <c r="J7" s="31">
        <v>1</v>
      </c>
      <c r="K7" s="31">
        <v>1.5</v>
      </c>
      <c r="L7" s="4">
        <v>0.5</v>
      </c>
      <c r="M7" s="5">
        <v>0.86</v>
      </c>
      <c r="N7" s="31">
        <v>0.43</v>
      </c>
      <c r="O7" s="31"/>
      <c r="P7" s="31"/>
      <c r="Q7" s="85">
        <v>0</v>
      </c>
      <c r="R7" s="31"/>
      <c r="S7" s="31"/>
      <c r="T7" s="31"/>
      <c r="U7" s="31">
        <v>0</v>
      </c>
      <c r="V7" s="67">
        <v>1</v>
      </c>
      <c r="AA7" s="18" t="s">
        <v>6</v>
      </c>
      <c r="AB7" s="18">
        <v>2024</v>
      </c>
      <c r="AC7" s="18" t="s">
        <v>138</v>
      </c>
      <c r="AD7" s="18" t="s">
        <v>10</v>
      </c>
      <c r="AE7" s="18">
        <v>30</v>
      </c>
      <c r="AF7" s="18" t="s">
        <v>152</v>
      </c>
      <c r="AG7" s="18" t="s">
        <v>161</v>
      </c>
      <c r="AH7" s="31">
        <v>18.5</v>
      </c>
      <c r="AI7" s="31">
        <v>19</v>
      </c>
      <c r="AJ7" s="4">
        <v>0.5</v>
      </c>
      <c r="AK7" s="5">
        <v>0.34</v>
      </c>
      <c r="AL7" s="31">
        <v>0.17</v>
      </c>
      <c r="AM7" s="31">
        <v>0.11</v>
      </c>
      <c r="AN7" s="31">
        <v>0</v>
      </c>
      <c r="AO7" s="86">
        <v>0</v>
      </c>
      <c r="AP7" s="31">
        <v>10</v>
      </c>
      <c r="AQ7" s="31"/>
      <c r="AR7" s="31">
        <v>10</v>
      </c>
      <c r="AS7" s="31">
        <v>11</v>
      </c>
      <c r="AT7" s="67">
        <v>2</v>
      </c>
      <c r="AV7" s="18" t="s">
        <v>6</v>
      </c>
      <c r="AW7" s="18">
        <v>2024</v>
      </c>
      <c r="AX7" s="18" t="s">
        <v>138</v>
      </c>
      <c r="AY7" s="18" t="s">
        <v>10</v>
      </c>
      <c r="AZ7" s="18">
        <v>10</v>
      </c>
      <c r="BA7" s="18" t="s">
        <v>135</v>
      </c>
      <c r="BB7" s="18" t="s">
        <v>162</v>
      </c>
      <c r="BC7" s="31">
        <v>29.5</v>
      </c>
      <c r="BD7" s="31">
        <v>30.24</v>
      </c>
      <c r="BE7" s="4">
        <v>0.73999999999999844</v>
      </c>
      <c r="BF7" s="5">
        <v>1</v>
      </c>
      <c r="BG7" s="31">
        <v>0.73999999999999844</v>
      </c>
      <c r="BH7" s="31">
        <v>0.7</v>
      </c>
      <c r="BI7" s="31">
        <v>0.61</v>
      </c>
      <c r="BJ7" s="86">
        <v>82.432432432432606</v>
      </c>
      <c r="BK7" s="31">
        <v>3</v>
      </c>
      <c r="BL7" s="31"/>
      <c r="BM7" s="31">
        <v>3</v>
      </c>
      <c r="BN7" s="31">
        <v>233.33333333333334</v>
      </c>
      <c r="BO7" s="67">
        <v>2</v>
      </c>
    </row>
    <row r="8" spans="3:67" x14ac:dyDescent="0.25">
      <c r="C8" s="18" t="s">
        <v>6</v>
      </c>
      <c r="D8" s="18">
        <v>2024</v>
      </c>
      <c r="E8" s="18" t="s">
        <v>138</v>
      </c>
      <c r="F8" s="18" t="s">
        <v>10</v>
      </c>
      <c r="G8" s="18">
        <v>60</v>
      </c>
      <c r="H8" s="18" t="s">
        <v>136</v>
      </c>
      <c r="I8" s="18" t="s">
        <v>158</v>
      </c>
      <c r="J8" s="31">
        <v>1.5</v>
      </c>
      <c r="K8" s="31">
        <v>2</v>
      </c>
      <c r="L8" s="4">
        <v>0.5</v>
      </c>
      <c r="M8" s="5">
        <v>0.6</v>
      </c>
      <c r="N8" s="31">
        <v>0.3</v>
      </c>
      <c r="O8" s="31"/>
      <c r="P8" s="31"/>
      <c r="Q8" s="85">
        <v>0</v>
      </c>
      <c r="R8" s="31"/>
      <c r="S8" s="31"/>
      <c r="T8" s="31"/>
      <c r="U8" s="31">
        <v>0</v>
      </c>
      <c r="V8" s="67">
        <v>1</v>
      </c>
      <c r="AA8" s="18" t="s">
        <v>6</v>
      </c>
      <c r="AB8" s="18">
        <v>2024</v>
      </c>
      <c r="AC8" s="18" t="s">
        <v>138</v>
      </c>
      <c r="AD8" s="18" t="s">
        <v>10</v>
      </c>
      <c r="AE8" s="18">
        <v>30</v>
      </c>
      <c r="AF8" s="18" t="s">
        <v>152</v>
      </c>
      <c r="AG8" s="18" t="s">
        <v>161</v>
      </c>
      <c r="AH8" s="31">
        <v>19</v>
      </c>
      <c r="AI8" s="31">
        <v>19.5</v>
      </c>
      <c r="AJ8" s="4">
        <v>0.5</v>
      </c>
      <c r="AK8" s="5">
        <v>0.5</v>
      </c>
      <c r="AL8" s="31">
        <v>0.25</v>
      </c>
      <c r="AM8" s="31">
        <v>0.14000000000000001</v>
      </c>
      <c r="AN8" s="31">
        <v>0</v>
      </c>
      <c r="AO8" s="86">
        <v>0</v>
      </c>
      <c r="AP8" s="31">
        <v>10</v>
      </c>
      <c r="AQ8" s="31"/>
      <c r="AR8" s="31">
        <v>10</v>
      </c>
      <c r="AS8" s="31">
        <v>14</v>
      </c>
      <c r="AT8" s="67">
        <v>2</v>
      </c>
      <c r="AV8" s="18" t="s">
        <v>6</v>
      </c>
      <c r="AW8" s="18">
        <v>2024</v>
      </c>
      <c r="AX8" s="18" t="s">
        <v>138</v>
      </c>
      <c r="AY8" s="18" t="s">
        <v>10</v>
      </c>
      <c r="AZ8" s="18">
        <v>10</v>
      </c>
      <c r="BA8" s="18" t="s">
        <v>135</v>
      </c>
      <c r="BB8" s="18" t="s">
        <v>162</v>
      </c>
      <c r="BC8" s="31">
        <v>30.24</v>
      </c>
      <c r="BD8" s="31">
        <v>31.04</v>
      </c>
      <c r="BE8" s="4">
        <v>0.80000000000000071</v>
      </c>
      <c r="BF8" s="5">
        <v>1</v>
      </c>
      <c r="BG8" s="31">
        <v>0.80000000000000071</v>
      </c>
      <c r="BH8" s="31">
        <v>0.71</v>
      </c>
      <c r="BI8" s="31">
        <v>0.6</v>
      </c>
      <c r="BJ8" s="86">
        <v>74.999999999999929</v>
      </c>
      <c r="BK8" s="31">
        <v>3</v>
      </c>
      <c r="BL8" s="31"/>
      <c r="BM8" s="31">
        <v>3</v>
      </c>
      <c r="BN8" s="31">
        <v>236.66666666666666</v>
      </c>
      <c r="BO8" s="67">
        <v>2</v>
      </c>
    </row>
    <row r="9" spans="3:67" x14ac:dyDescent="0.25">
      <c r="C9" s="18" t="s">
        <v>6</v>
      </c>
      <c r="D9" s="18">
        <v>2024</v>
      </c>
      <c r="E9" s="18" t="s">
        <v>138</v>
      </c>
      <c r="F9" s="18" t="s">
        <v>10</v>
      </c>
      <c r="G9" s="18">
        <v>60</v>
      </c>
      <c r="H9" s="18" t="s">
        <v>136</v>
      </c>
      <c r="I9" s="18" t="s">
        <v>158</v>
      </c>
      <c r="J9" s="31">
        <v>2</v>
      </c>
      <c r="K9" s="31">
        <v>2.5</v>
      </c>
      <c r="L9" s="4">
        <v>0.5</v>
      </c>
      <c r="M9" s="5">
        <v>0.57999999999999996</v>
      </c>
      <c r="N9" s="31">
        <v>0.28999999999999998</v>
      </c>
      <c r="O9" s="31"/>
      <c r="P9" s="31"/>
      <c r="Q9" s="85">
        <v>0</v>
      </c>
      <c r="R9" s="31"/>
      <c r="S9" s="31"/>
      <c r="T9" s="31"/>
      <c r="U9" s="31">
        <v>0</v>
      </c>
      <c r="V9" s="67">
        <v>1</v>
      </c>
      <c r="AA9" s="18" t="s">
        <v>6</v>
      </c>
      <c r="AB9" s="18">
        <v>2024</v>
      </c>
      <c r="AC9" s="18" t="s">
        <v>138</v>
      </c>
      <c r="AD9" s="18" t="s">
        <v>10</v>
      </c>
      <c r="AE9" s="18">
        <v>30</v>
      </c>
      <c r="AF9" s="18" t="s">
        <v>152</v>
      </c>
      <c r="AG9" s="18" t="s">
        <v>161</v>
      </c>
      <c r="AH9" s="31">
        <v>19.5</v>
      </c>
      <c r="AI9" s="31">
        <v>20</v>
      </c>
      <c r="AJ9" s="4">
        <v>0.5</v>
      </c>
      <c r="AK9" s="5">
        <v>0.3</v>
      </c>
      <c r="AL9" s="31">
        <v>0.15</v>
      </c>
      <c r="AM9" s="31">
        <v>0.23</v>
      </c>
      <c r="AN9" s="31">
        <v>0</v>
      </c>
      <c r="AO9" s="86">
        <v>0</v>
      </c>
      <c r="AP9" s="31">
        <v>10</v>
      </c>
      <c r="AQ9" s="31"/>
      <c r="AR9" s="31">
        <v>10</v>
      </c>
      <c r="AS9" s="31">
        <v>23</v>
      </c>
      <c r="AT9" s="67">
        <v>2</v>
      </c>
      <c r="AV9" s="18" t="s">
        <v>6</v>
      </c>
      <c r="AW9" s="18">
        <v>2024</v>
      </c>
      <c r="AX9" s="18" t="s">
        <v>138</v>
      </c>
      <c r="AY9" s="18" t="s">
        <v>10</v>
      </c>
      <c r="AZ9" s="18">
        <v>10</v>
      </c>
      <c r="BA9" s="18" t="s">
        <v>135</v>
      </c>
      <c r="BB9" s="18" t="s">
        <v>162</v>
      </c>
      <c r="BC9" s="31">
        <v>31.04</v>
      </c>
      <c r="BD9" s="31">
        <v>32.04</v>
      </c>
      <c r="BE9" s="4">
        <v>1</v>
      </c>
      <c r="BF9" s="5">
        <v>1</v>
      </c>
      <c r="BG9" s="31">
        <v>1</v>
      </c>
      <c r="BH9" s="31">
        <v>0.9</v>
      </c>
      <c r="BI9" s="31">
        <v>0.4</v>
      </c>
      <c r="BJ9" s="86">
        <v>40</v>
      </c>
      <c r="BK9" s="31">
        <v>6</v>
      </c>
      <c r="BL9" s="31"/>
      <c r="BM9" s="31">
        <v>6</v>
      </c>
      <c r="BN9" s="31">
        <v>150</v>
      </c>
      <c r="BO9" s="67">
        <v>2</v>
      </c>
    </row>
    <row r="10" spans="3:67" x14ac:dyDescent="0.25">
      <c r="C10" s="18" t="s">
        <v>6</v>
      </c>
      <c r="D10" s="18">
        <v>2024</v>
      </c>
      <c r="E10" s="18" t="s">
        <v>138</v>
      </c>
      <c r="F10" s="18" t="s">
        <v>10</v>
      </c>
      <c r="G10" s="18">
        <v>60</v>
      </c>
      <c r="H10" s="18" t="s">
        <v>136</v>
      </c>
      <c r="I10" s="18" t="s">
        <v>158</v>
      </c>
      <c r="J10" s="31">
        <v>2.5</v>
      </c>
      <c r="K10" s="31">
        <v>3</v>
      </c>
      <c r="L10" s="4">
        <v>0.5</v>
      </c>
      <c r="M10" s="5">
        <v>0.8</v>
      </c>
      <c r="N10" s="31">
        <v>0.4</v>
      </c>
      <c r="O10" s="31"/>
      <c r="P10" s="31"/>
      <c r="Q10" s="85">
        <v>0</v>
      </c>
      <c r="R10" s="31"/>
      <c r="S10" s="31"/>
      <c r="T10" s="31"/>
      <c r="U10" s="31">
        <v>0</v>
      </c>
      <c r="V10" s="67">
        <v>1</v>
      </c>
      <c r="AA10" s="18" t="s">
        <v>6</v>
      </c>
      <c r="AB10" s="18">
        <v>2024</v>
      </c>
      <c r="AC10" s="18" t="s">
        <v>138</v>
      </c>
      <c r="AD10" s="18" t="s">
        <v>10</v>
      </c>
      <c r="AE10" s="18">
        <v>30</v>
      </c>
      <c r="AF10" s="18" t="s">
        <v>152</v>
      </c>
      <c r="AG10" s="18" t="s">
        <v>161</v>
      </c>
      <c r="AH10" s="31">
        <v>20</v>
      </c>
      <c r="AI10" s="31">
        <v>20.5</v>
      </c>
      <c r="AJ10" s="4">
        <v>0.5</v>
      </c>
      <c r="AK10" s="5">
        <v>0.5</v>
      </c>
      <c r="AL10" s="31">
        <v>0.25</v>
      </c>
      <c r="AM10" s="31">
        <v>0.17</v>
      </c>
      <c r="AN10" s="31">
        <v>0.11</v>
      </c>
      <c r="AO10" s="86">
        <v>22</v>
      </c>
      <c r="AP10" s="31">
        <v>5</v>
      </c>
      <c r="AQ10" s="31"/>
      <c r="AR10" s="31">
        <v>5</v>
      </c>
      <c r="AS10" s="31">
        <v>34</v>
      </c>
      <c r="AT10" s="67">
        <v>7</v>
      </c>
      <c r="AV10" s="18" t="s">
        <v>6</v>
      </c>
      <c r="AW10" s="18">
        <v>2024</v>
      </c>
      <c r="AX10" s="18" t="s">
        <v>138</v>
      </c>
      <c r="AY10" s="18" t="s">
        <v>10</v>
      </c>
      <c r="AZ10" s="18">
        <v>10</v>
      </c>
      <c r="BA10" s="18" t="s">
        <v>135</v>
      </c>
      <c r="BB10" s="18" t="s">
        <v>162</v>
      </c>
      <c r="BC10" s="31">
        <v>32.04</v>
      </c>
      <c r="BD10" s="31">
        <v>32.54</v>
      </c>
      <c r="BE10" s="4">
        <v>0.5</v>
      </c>
      <c r="BF10" s="5">
        <v>0.9</v>
      </c>
      <c r="BG10" s="31">
        <v>0.45</v>
      </c>
      <c r="BH10" s="31">
        <v>0.36</v>
      </c>
      <c r="BI10" s="31">
        <v>0.15</v>
      </c>
      <c r="BJ10" s="86">
        <v>30</v>
      </c>
      <c r="BK10" s="31">
        <v>5</v>
      </c>
      <c r="BL10" s="31"/>
      <c r="BM10" s="31">
        <v>5</v>
      </c>
      <c r="BN10" s="31">
        <v>72</v>
      </c>
      <c r="BO10" s="67">
        <v>4</v>
      </c>
    </row>
    <row r="11" spans="3:67" x14ac:dyDescent="0.25">
      <c r="C11" s="18" t="s">
        <v>6</v>
      </c>
      <c r="D11" s="18">
        <v>2024</v>
      </c>
      <c r="E11" s="18" t="s">
        <v>138</v>
      </c>
      <c r="F11" s="18" t="s">
        <v>10</v>
      </c>
      <c r="G11" s="18">
        <v>40</v>
      </c>
      <c r="H11" s="18" t="s">
        <v>153</v>
      </c>
      <c r="I11" s="18" t="s">
        <v>158</v>
      </c>
      <c r="J11" s="31">
        <v>3</v>
      </c>
      <c r="K11" s="31">
        <v>3.5</v>
      </c>
      <c r="L11" s="4">
        <v>0.5</v>
      </c>
      <c r="M11" s="5">
        <v>0.8</v>
      </c>
      <c r="N11" s="31">
        <v>0.4</v>
      </c>
      <c r="O11" s="31">
        <v>0.38</v>
      </c>
      <c r="P11" s="31">
        <v>0.3</v>
      </c>
      <c r="Q11" s="86">
        <v>60</v>
      </c>
      <c r="R11" s="31">
        <v>1</v>
      </c>
      <c r="S11" s="31">
        <v>2</v>
      </c>
      <c r="T11" s="31">
        <v>3</v>
      </c>
      <c r="U11" s="31">
        <v>126.66666666666667</v>
      </c>
      <c r="V11" s="67">
        <v>1</v>
      </c>
      <c r="AA11" s="18" t="s">
        <v>6</v>
      </c>
      <c r="AB11" s="18">
        <v>2024</v>
      </c>
      <c r="AC11" s="18" t="s">
        <v>138</v>
      </c>
      <c r="AD11" s="18" t="s">
        <v>10</v>
      </c>
      <c r="AE11" s="18">
        <v>30</v>
      </c>
      <c r="AF11" s="18" t="s">
        <v>152</v>
      </c>
      <c r="AG11" s="18" t="s">
        <v>161</v>
      </c>
      <c r="AH11" s="31">
        <v>20.5</v>
      </c>
      <c r="AI11" s="31">
        <v>21</v>
      </c>
      <c r="AJ11" s="4">
        <v>0.5</v>
      </c>
      <c r="AK11" s="5">
        <v>0.38</v>
      </c>
      <c r="AL11" s="31">
        <v>0.19</v>
      </c>
      <c r="AM11" s="31">
        <v>0.13</v>
      </c>
      <c r="AN11" s="31">
        <v>0</v>
      </c>
      <c r="AO11" s="86">
        <v>0</v>
      </c>
      <c r="AP11" s="31">
        <v>10</v>
      </c>
      <c r="AQ11" s="31"/>
      <c r="AR11" s="31">
        <v>10</v>
      </c>
      <c r="AS11" s="31">
        <v>13</v>
      </c>
      <c r="AT11" s="67">
        <v>0</v>
      </c>
      <c r="AV11" s="18" t="s">
        <v>6</v>
      </c>
      <c r="AW11" s="18">
        <v>2024</v>
      </c>
      <c r="AX11" s="18" t="s">
        <v>138</v>
      </c>
      <c r="AY11" s="18" t="s">
        <v>10</v>
      </c>
      <c r="AZ11" s="18">
        <v>10</v>
      </c>
      <c r="BA11" s="18" t="s">
        <v>135</v>
      </c>
      <c r="BB11" s="18" t="s">
        <v>162</v>
      </c>
      <c r="BC11" s="31">
        <v>32.54</v>
      </c>
      <c r="BD11" s="31">
        <v>33.29</v>
      </c>
      <c r="BE11" s="4">
        <v>0.75</v>
      </c>
      <c r="BF11" s="5">
        <v>1</v>
      </c>
      <c r="BG11" s="31">
        <v>0.75</v>
      </c>
      <c r="BH11" s="31">
        <v>0.74</v>
      </c>
      <c r="BI11" s="31">
        <v>0.2</v>
      </c>
      <c r="BJ11" s="86">
        <v>26.666666666666668</v>
      </c>
      <c r="BK11" s="31">
        <v>7</v>
      </c>
      <c r="BL11" s="31"/>
      <c r="BM11" s="31">
        <v>7</v>
      </c>
      <c r="BN11" s="31">
        <v>105.71428571428571</v>
      </c>
      <c r="BO11" s="67">
        <v>2</v>
      </c>
    </row>
    <row r="12" spans="3:67" x14ac:dyDescent="0.25">
      <c r="C12" s="18" t="s">
        <v>6</v>
      </c>
      <c r="D12" s="18">
        <v>2024</v>
      </c>
      <c r="E12" s="18" t="s">
        <v>138</v>
      </c>
      <c r="F12" s="18" t="s">
        <v>10</v>
      </c>
      <c r="G12" s="18">
        <v>40</v>
      </c>
      <c r="H12" s="18" t="s">
        <v>153</v>
      </c>
      <c r="I12" s="18" t="s">
        <v>158</v>
      </c>
      <c r="J12" s="31">
        <v>3.5</v>
      </c>
      <c r="K12" s="31">
        <v>4</v>
      </c>
      <c r="L12" s="4">
        <v>0.5</v>
      </c>
      <c r="M12" s="5">
        <v>0.76</v>
      </c>
      <c r="N12" s="31">
        <v>0.38</v>
      </c>
      <c r="O12" s="31">
        <v>0.42</v>
      </c>
      <c r="P12" s="31">
        <v>0.5</v>
      </c>
      <c r="Q12" s="86">
        <v>100</v>
      </c>
      <c r="R12" s="31">
        <v>3</v>
      </c>
      <c r="S12" s="31"/>
      <c r="T12" s="31">
        <v>3</v>
      </c>
      <c r="U12" s="31">
        <v>140</v>
      </c>
      <c r="V12" s="67">
        <v>1</v>
      </c>
      <c r="AA12" s="18" t="s">
        <v>6</v>
      </c>
      <c r="AB12" s="18">
        <v>2024</v>
      </c>
      <c r="AC12" s="18" t="s">
        <v>138</v>
      </c>
      <c r="AD12" s="18" t="s">
        <v>10</v>
      </c>
      <c r="AE12" s="18">
        <v>30</v>
      </c>
      <c r="AF12" s="18" t="s">
        <v>152</v>
      </c>
      <c r="AG12" s="18" t="s">
        <v>161</v>
      </c>
      <c r="AH12" s="31">
        <v>21</v>
      </c>
      <c r="AI12" s="31">
        <v>21.5</v>
      </c>
      <c r="AJ12" s="4">
        <v>0.5</v>
      </c>
      <c r="AK12" s="5">
        <v>0.38</v>
      </c>
      <c r="AL12" s="31">
        <v>0.19</v>
      </c>
      <c r="AM12" s="31">
        <v>0.31</v>
      </c>
      <c r="AN12" s="31">
        <v>0</v>
      </c>
      <c r="AO12" s="86">
        <v>0</v>
      </c>
      <c r="AP12" s="31">
        <v>6</v>
      </c>
      <c r="AQ12" s="31"/>
      <c r="AR12" s="31">
        <v>6</v>
      </c>
      <c r="AS12" s="31">
        <v>51.666666666666664</v>
      </c>
      <c r="AT12" s="67">
        <v>2</v>
      </c>
      <c r="AV12" s="18" t="s">
        <v>6</v>
      </c>
      <c r="AW12" s="18">
        <v>2024</v>
      </c>
      <c r="AX12" s="18" t="s">
        <v>138</v>
      </c>
      <c r="AY12" s="18" t="s">
        <v>10</v>
      </c>
      <c r="AZ12" s="18">
        <v>10</v>
      </c>
      <c r="BA12" s="18" t="s">
        <v>135</v>
      </c>
      <c r="BB12" s="18" t="s">
        <v>162</v>
      </c>
      <c r="BC12" s="31">
        <v>33.29</v>
      </c>
      <c r="BD12" s="31">
        <v>33.85</v>
      </c>
      <c r="BE12" s="4">
        <v>0.56000000000000227</v>
      </c>
      <c r="BF12" s="5">
        <v>1</v>
      </c>
      <c r="BG12" s="31">
        <v>0.56000000000000227</v>
      </c>
      <c r="BH12" s="31">
        <v>0.52</v>
      </c>
      <c r="BI12" s="31">
        <v>0.52</v>
      </c>
      <c r="BJ12" s="86">
        <v>92.857142857142478</v>
      </c>
      <c r="BK12" s="31">
        <v>1</v>
      </c>
      <c r="BL12" s="31"/>
      <c r="BM12" s="31">
        <v>1</v>
      </c>
      <c r="BN12" s="31">
        <v>520</v>
      </c>
      <c r="BO12" s="67">
        <v>4</v>
      </c>
    </row>
    <row r="13" spans="3:67" x14ac:dyDescent="0.25">
      <c r="C13" s="18" t="s">
        <v>6</v>
      </c>
      <c r="D13" s="18">
        <v>2024</v>
      </c>
      <c r="E13" s="18" t="s">
        <v>138</v>
      </c>
      <c r="F13" s="18" t="s">
        <v>10</v>
      </c>
      <c r="G13" s="18">
        <v>40</v>
      </c>
      <c r="H13" s="18" t="s">
        <v>153</v>
      </c>
      <c r="I13" s="18" t="s">
        <v>158</v>
      </c>
      <c r="J13" s="31">
        <v>4</v>
      </c>
      <c r="K13" s="31">
        <v>4.5</v>
      </c>
      <c r="L13" s="4">
        <v>0.5</v>
      </c>
      <c r="M13" s="5">
        <v>0.86</v>
      </c>
      <c r="N13" s="31">
        <v>0.43</v>
      </c>
      <c r="O13" s="31">
        <v>0.19</v>
      </c>
      <c r="P13" s="31">
        <v>0</v>
      </c>
      <c r="Q13" s="86">
        <v>0</v>
      </c>
      <c r="R13" s="31">
        <v>0</v>
      </c>
      <c r="S13" s="31">
        <v>10</v>
      </c>
      <c r="T13" s="31">
        <v>10</v>
      </c>
      <c r="U13" s="31">
        <v>19</v>
      </c>
      <c r="V13" s="67">
        <v>1</v>
      </c>
      <c r="AA13" s="18" t="s">
        <v>6</v>
      </c>
      <c r="AB13" s="18">
        <v>2024</v>
      </c>
      <c r="AC13" s="18" t="s">
        <v>138</v>
      </c>
      <c r="AD13" s="18" t="s">
        <v>10</v>
      </c>
      <c r="AE13" s="18">
        <v>30</v>
      </c>
      <c r="AF13" s="18" t="s">
        <v>152</v>
      </c>
      <c r="AG13" s="18" t="s">
        <v>162</v>
      </c>
      <c r="AH13" s="31">
        <v>21.5</v>
      </c>
      <c r="AI13" s="31">
        <v>22</v>
      </c>
      <c r="AJ13" s="4">
        <v>0.5</v>
      </c>
      <c r="AK13" s="5">
        <v>0.6</v>
      </c>
      <c r="AL13" s="31">
        <v>0.3</v>
      </c>
      <c r="AM13" s="31">
        <v>0.27</v>
      </c>
      <c r="AN13" s="31">
        <v>0.26</v>
      </c>
      <c r="AO13" s="86">
        <v>52</v>
      </c>
      <c r="AP13" s="31">
        <v>5</v>
      </c>
      <c r="AQ13" s="31"/>
      <c r="AR13" s="31">
        <v>5</v>
      </c>
      <c r="AS13" s="31">
        <v>54</v>
      </c>
      <c r="AT13" s="67">
        <v>4</v>
      </c>
      <c r="AV13" s="18" t="s">
        <v>6</v>
      </c>
      <c r="AW13" s="18">
        <v>2024</v>
      </c>
      <c r="AX13" s="18" t="s">
        <v>138</v>
      </c>
      <c r="AY13" s="18" t="s">
        <v>10</v>
      </c>
      <c r="AZ13" s="18">
        <v>10</v>
      </c>
      <c r="BA13" s="18" t="s">
        <v>135</v>
      </c>
      <c r="BB13" s="18" t="s">
        <v>162</v>
      </c>
      <c r="BC13" s="31">
        <v>33.85</v>
      </c>
      <c r="BD13" s="31">
        <v>34.35</v>
      </c>
      <c r="BE13" s="4">
        <v>0.5</v>
      </c>
      <c r="BF13" s="5">
        <v>0.78</v>
      </c>
      <c r="BG13" s="31">
        <v>0.39</v>
      </c>
      <c r="BH13" s="31">
        <v>0.37</v>
      </c>
      <c r="BI13" s="31">
        <v>0.32</v>
      </c>
      <c r="BJ13" s="86">
        <v>64</v>
      </c>
      <c r="BK13" s="31">
        <v>3</v>
      </c>
      <c r="BL13" s="31"/>
      <c r="BM13" s="31">
        <v>3</v>
      </c>
      <c r="BN13" s="31">
        <v>123.33333333333333</v>
      </c>
      <c r="BO13" s="67">
        <v>2</v>
      </c>
    </row>
    <row r="14" spans="3:67" x14ac:dyDescent="0.25">
      <c r="C14" s="18" t="s">
        <v>6</v>
      </c>
      <c r="D14" s="18">
        <v>2024</v>
      </c>
      <c r="E14" s="18" t="s">
        <v>138</v>
      </c>
      <c r="F14" s="18" t="s">
        <v>10</v>
      </c>
      <c r="G14" s="18">
        <v>50</v>
      </c>
      <c r="H14" s="18" t="s">
        <v>154</v>
      </c>
      <c r="I14" s="18" t="s">
        <v>158</v>
      </c>
      <c r="J14" s="31">
        <v>4.5</v>
      </c>
      <c r="K14" s="31">
        <v>5</v>
      </c>
      <c r="L14" s="4">
        <v>0.5</v>
      </c>
      <c r="M14" s="5">
        <v>0.38</v>
      </c>
      <c r="N14" s="31">
        <v>0.19</v>
      </c>
      <c r="O14" s="31">
        <v>0.36</v>
      </c>
      <c r="P14" s="31">
        <v>0.3</v>
      </c>
      <c r="Q14" s="86">
        <v>60</v>
      </c>
      <c r="R14" s="31">
        <v>2</v>
      </c>
      <c r="S14" s="31"/>
      <c r="T14" s="31">
        <v>2</v>
      </c>
      <c r="U14" s="31">
        <v>180</v>
      </c>
      <c r="V14" s="67">
        <v>1</v>
      </c>
      <c r="AA14" s="18" t="s">
        <v>6</v>
      </c>
      <c r="AB14" s="18">
        <v>2024</v>
      </c>
      <c r="AC14" s="18" t="s">
        <v>138</v>
      </c>
      <c r="AD14" s="18" t="s">
        <v>10</v>
      </c>
      <c r="AE14" s="18">
        <v>30</v>
      </c>
      <c r="AF14" s="18" t="s">
        <v>152</v>
      </c>
      <c r="AG14" s="18" t="s">
        <v>162</v>
      </c>
      <c r="AH14" s="31">
        <v>22</v>
      </c>
      <c r="AI14" s="31">
        <v>22.5</v>
      </c>
      <c r="AJ14" s="4">
        <v>0.5</v>
      </c>
      <c r="AK14" s="5">
        <v>0.6</v>
      </c>
      <c r="AL14" s="31">
        <v>0.3</v>
      </c>
      <c r="AM14" s="31">
        <v>0.44</v>
      </c>
      <c r="AN14" s="31">
        <v>0.18</v>
      </c>
      <c r="AO14" s="86">
        <v>36</v>
      </c>
      <c r="AP14" s="31">
        <v>4</v>
      </c>
      <c r="AQ14" s="31"/>
      <c r="AR14" s="31">
        <v>4</v>
      </c>
      <c r="AS14" s="31">
        <v>110</v>
      </c>
      <c r="AT14" s="67">
        <v>7</v>
      </c>
      <c r="AV14" s="18" t="s">
        <v>6</v>
      </c>
      <c r="AW14" s="18">
        <v>2024</v>
      </c>
      <c r="AX14" s="18" t="s">
        <v>138</v>
      </c>
      <c r="AY14" s="18" t="s">
        <v>10</v>
      </c>
      <c r="AZ14" s="18">
        <v>10</v>
      </c>
      <c r="BA14" s="18" t="s">
        <v>135</v>
      </c>
      <c r="BB14" s="18" t="s">
        <v>162</v>
      </c>
      <c r="BC14" s="31">
        <v>34.35</v>
      </c>
      <c r="BD14" s="31">
        <v>34.85</v>
      </c>
      <c r="BE14" s="4">
        <v>0.5</v>
      </c>
      <c r="BF14" s="5">
        <v>0.94</v>
      </c>
      <c r="BG14" s="31">
        <v>0.47</v>
      </c>
      <c r="BH14" s="31">
        <v>0.44</v>
      </c>
      <c r="BI14" s="31">
        <v>0.2</v>
      </c>
      <c r="BJ14" s="86">
        <v>40</v>
      </c>
      <c r="BK14" s="31">
        <v>6</v>
      </c>
      <c r="BL14" s="31"/>
      <c r="BM14" s="31">
        <v>6</v>
      </c>
      <c r="BN14" s="31">
        <v>73.333333333333329</v>
      </c>
      <c r="BO14" s="67">
        <v>4</v>
      </c>
    </row>
    <row r="15" spans="3:67" x14ac:dyDescent="0.25">
      <c r="C15" s="18" t="s">
        <v>6</v>
      </c>
      <c r="D15" s="18">
        <v>2024</v>
      </c>
      <c r="E15" s="18" t="s">
        <v>138</v>
      </c>
      <c r="F15" s="18" t="s">
        <v>10</v>
      </c>
      <c r="G15" s="18">
        <v>50</v>
      </c>
      <c r="H15" s="18" t="s">
        <v>154</v>
      </c>
      <c r="I15" s="18" t="s">
        <v>158</v>
      </c>
      <c r="J15" s="31">
        <v>5</v>
      </c>
      <c r="K15" s="31">
        <v>5.5</v>
      </c>
      <c r="L15" s="4">
        <v>0.5</v>
      </c>
      <c r="M15" s="5">
        <v>0.82</v>
      </c>
      <c r="N15" s="31">
        <v>0.41</v>
      </c>
      <c r="O15" s="31">
        <v>0.39</v>
      </c>
      <c r="P15" s="31">
        <v>0.13</v>
      </c>
      <c r="Q15" s="86">
        <v>26</v>
      </c>
      <c r="R15" s="31">
        <v>5</v>
      </c>
      <c r="S15" s="31"/>
      <c r="T15" s="31">
        <v>5</v>
      </c>
      <c r="U15" s="31">
        <v>78</v>
      </c>
      <c r="V15" s="67">
        <v>1</v>
      </c>
      <c r="AA15" s="88" t="s">
        <v>6</v>
      </c>
      <c r="AB15" s="88">
        <v>2024</v>
      </c>
      <c r="AC15" s="88" t="s">
        <v>138</v>
      </c>
      <c r="AD15" s="88" t="s">
        <v>10</v>
      </c>
      <c r="AE15" s="88">
        <v>30</v>
      </c>
      <c r="AF15" s="88" t="s">
        <v>152</v>
      </c>
      <c r="AG15" s="88" t="s">
        <v>162</v>
      </c>
      <c r="AH15" s="89">
        <v>22.5</v>
      </c>
      <c r="AI15" s="89">
        <v>23</v>
      </c>
      <c r="AJ15" s="90">
        <v>0.5</v>
      </c>
      <c r="AK15" s="91">
        <v>1</v>
      </c>
      <c r="AL15" s="89">
        <v>0.5</v>
      </c>
      <c r="AM15" s="89">
        <v>0.5</v>
      </c>
      <c r="AN15" s="89">
        <v>0.5</v>
      </c>
      <c r="AO15" s="92">
        <v>100</v>
      </c>
      <c r="AP15" s="89">
        <v>1</v>
      </c>
      <c r="AQ15" s="89"/>
      <c r="AR15" s="89">
        <v>1</v>
      </c>
      <c r="AS15" s="89"/>
      <c r="AT15" s="90"/>
      <c r="AV15" s="18" t="s">
        <v>6</v>
      </c>
      <c r="AW15" s="18">
        <v>2024</v>
      </c>
      <c r="AX15" s="18" t="s">
        <v>138</v>
      </c>
      <c r="AY15" s="18" t="s">
        <v>10</v>
      </c>
      <c r="AZ15" s="18">
        <v>10</v>
      </c>
      <c r="BA15" s="18" t="s">
        <v>135</v>
      </c>
      <c r="BB15" s="18" t="s">
        <v>163</v>
      </c>
      <c r="BC15" s="31">
        <v>34.85</v>
      </c>
      <c r="BD15" s="31">
        <v>35.35</v>
      </c>
      <c r="BE15" s="4">
        <v>0.5</v>
      </c>
      <c r="BF15" s="5">
        <v>1</v>
      </c>
      <c r="BG15" s="31">
        <v>0.5</v>
      </c>
      <c r="BH15" s="31">
        <v>0.49</v>
      </c>
      <c r="BI15" s="31">
        <v>0</v>
      </c>
      <c r="BJ15" s="86">
        <v>0</v>
      </c>
      <c r="BK15" s="31">
        <v>10</v>
      </c>
      <c r="BL15" s="31"/>
      <c r="BM15" s="31">
        <v>10</v>
      </c>
      <c r="BN15" s="31">
        <v>49</v>
      </c>
      <c r="BO15" s="67">
        <v>0</v>
      </c>
    </row>
    <row r="16" spans="3:67" x14ac:dyDescent="0.25">
      <c r="C16" s="18" t="s">
        <v>6</v>
      </c>
      <c r="D16" s="18">
        <v>2024</v>
      </c>
      <c r="E16" s="18" t="s">
        <v>138</v>
      </c>
      <c r="F16" s="18" t="s">
        <v>10</v>
      </c>
      <c r="G16" s="18">
        <v>50</v>
      </c>
      <c r="H16" s="18" t="s">
        <v>154</v>
      </c>
      <c r="I16" s="18" t="s">
        <v>158</v>
      </c>
      <c r="J16" s="31">
        <v>5.5</v>
      </c>
      <c r="K16" s="31">
        <v>6</v>
      </c>
      <c r="L16" s="4">
        <v>0.5</v>
      </c>
      <c r="M16" s="5">
        <v>0.82</v>
      </c>
      <c r="N16" s="31">
        <v>0.41</v>
      </c>
      <c r="O16" s="31">
        <v>0.35</v>
      </c>
      <c r="P16" s="31">
        <v>0.16</v>
      </c>
      <c r="Q16" s="86">
        <v>32</v>
      </c>
      <c r="R16" s="31">
        <v>4</v>
      </c>
      <c r="S16" s="31"/>
      <c r="T16" s="31">
        <v>4</v>
      </c>
      <c r="U16" s="31">
        <v>87.5</v>
      </c>
      <c r="V16" s="67">
        <v>1</v>
      </c>
      <c r="AA16" s="18" t="s">
        <v>6</v>
      </c>
      <c r="AB16" s="18">
        <v>2024</v>
      </c>
      <c r="AC16" s="18" t="s">
        <v>138</v>
      </c>
      <c r="AD16" s="18" t="s">
        <v>10</v>
      </c>
      <c r="AE16" s="18">
        <v>30</v>
      </c>
      <c r="AF16" s="18" t="s">
        <v>152</v>
      </c>
      <c r="AG16" s="18" t="s">
        <v>162</v>
      </c>
      <c r="AH16" s="31">
        <v>23</v>
      </c>
      <c r="AI16" s="31">
        <v>23.5</v>
      </c>
      <c r="AJ16" s="4">
        <v>0.5</v>
      </c>
      <c r="AK16" s="5">
        <v>0.97</v>
      </c>
      <c r="AL16" s="31">
        <v>0.48499999999999999</v>
      </c>
      <c r="AM16" s="31">
        <v>0.5</v>
      </c>
      <c r="AN16" s="31">
        <v>0.31</v>
      </c>
      <c r="AO16" s="86">
        <v>62</v>
      </c>
      <c r="AP16" s="31">
        <v>3</v>
      </c>
      <c r="AQ16" s="31"/>
      <c r="AR16" s="31">
        <v>3</v>
      </c>
      <c r="AS16" s="31">
        <v>166.66666666666666</v>
      </c>
      <c r="AT16" s="67">
        <v>4</v>
      </c>
      <c r="AV16" s="18" t="s">
        <v>6</v>
      </c>
      <c r="AW16" s="18">
        <v>2024</v>
      </c>
      <c r="AX16" s="18" t="s">
        <v>138</v>
      </c>
      <c r="AY16" s="18" t="s">
        <v>10</v>
      </c>
      <c r="AZ16" s="18">
        <v>10</v>
      </c>
      <c r="BA16" s="18" t="s">
        <v>135</v>
      </c>
      <c r="BB16" s="18" t="s">
        <v>163</v>
      </c>
      <c r="BC16" s="31">
        <v>35.35</v>
      </c>
      <c r="BD16" s="31">
        <v>35.85</v>
      </c>
      <c r="BE16" s="4">
        <v>0.5</v>
      </c>
      <c r="BF16" s="5">
        <v>1</v>
      </c>
      <c r="BG16" s="31">
        <v>0.5</v>
      </c>
      <c r="BH16" s="31">
        <v>0.5</v>
      </c>
      <c r="BI16" s="31">
        <v>0.28999999999999998</v>
      </c>
      <c r="BJ16" s="86">
        <v>57.999999999999993</v>
      </c>
      <c r="BK16" s="31">
        <v>4</v>
      </c>
      <c r="BL16" s="31"/>
      <c r="BM16" s="31">
        <v>4</v>
      </c>
      <c r="BN16" s="31">
        <v>125</v>
      </c>
      <c r="BO16" s="67">
        <v>2</v>
      </c>
    </row>
    <row r="17" spans="3:67" x14ac:dyDescent="0.25">
      <c r="C17" s="18" t="s">
        <v>6</v>
      </c>
      <c r="D17" s="18">
        <v>2024</v>
      </c>
      <c r="E17" s="18" t="s">
        <v>138</v>
      </c>
      <c r="F17" s="18" t="s">
        <v>10</v>
      </c>
      <c r="G17" s="18">
        <v>50</v>
      </c>
      <c r="H17" s="18" t="s">
        <v>154</v>
      </c>
      <c r="I17" s="18" t="s">
        <v>158</v>
      </c>
      <c r="J17" s="31">
        <v>6</v>
      </c>
      <c r="K17" s="31">
        <v>6.5</v>
      </c>
      <c r="L17" s="4">
        <v>0.5</v>
      </c>
      <c r="M17" s="5">
        <v>0.74</v>
      </c>
      <c r="N17" s="31">
        <v>0.37</v>
      </c>
      <c r="O17" s="31">
        <v>0.23</v>
      </c>
      <c r="P17" s="31">
        <v>0</v>
      </c>
      <c r="Q17" s="86">
        <v>0</v>
      </c>
      <c r="R17" s="31">
        <v>15</v>
      </c>
      <c r="S17" s="31"/>
      <c r="T17" s="31">
        <v>15</v>
      </c>
      <c r="U17" s="31">
        <v>15.333333333333334</v>
      </c>
      <c r="V17" s="67">
        <v>1</v>
      </c>
      <c r="AA17" s="88" t="s">
        <v>6</v>
      </c>
      <c r="AB17" s="88">
        <v>2024</v>
      </c>
      <c r="AC17" s="88" t="s">
        <v>138</v>
      </c>
      <c r="AD17" s="88" t="s">
        <v>10</v>
      </c>
      <c r="AE17" s="88">
        <v>30</v>
      </c>
      <c r="AF17" s="88" t="s">
        <v>152</v>
      </c>
      <c r="AG17" s="88" t="s">
        <v>162</v>
      </c>
      <c r="AH17" s="89">
        <v>23.5</v>
      </c>
      <c r="AI17" s="89">
        <v>24.83</v>
      </c>
      <c r="AJ17" s="90">
        <v>1.3299999999999983</v>
      </c>
      <c r="AK17" s="91">
        <v>1</v>
      </c>
      <c r="AL17" s="89">
        <v>1.3299999999999983</v>
      </c>
      <c r="AM17" s="89">
        <v>1.33</v>
      </c>
      <c r="AN17" s="89">
        <v>1.26</v>
      </c>
      <c r="AO17" s="92">
        <v>94.736842105263278</v>
      </c>
      <c r="AP17" s="89">
        <v>1</v>
      </c>
      <c r="AQ17" s="89"/>
      <c r="AR17" s="89">
        <v>1</v>
      </c>
      <c r="AS17" s="89"/>
      <c r="AT17" s="90"/>
      <c r="AV17" s="18" t="s">
        <v>6</v>
      </c>
      <c r="AW17" s="18">
        <v>2024</v>
      </c>
      <c r="AX17" s="18" t="s">
        <v>138</v>
      </c>
      <c r="AY17" s="18" t="s">
        <v>10</v>
      </c>
      <c r="AZ17" s="18">
        <v>10</v>
      </c>
      <c r="BA17" s="18" t="s">
        <v>135</v>
      </c>
      <c r="BB17" s="18" t="s">
        <v>163</v>
      </c>
      <c r="BC17" s="31">
        <v>35.85</v>
      </c>
      <c r="BD17" s="31">
        <v>36.35</v>
      </c>
      <c r="BE17" s="4">
        <v>0.5</v>
      </c>
      <c r="BF17" s="5">
        <v>1</v>
      </c>
      <c r="BG17" s="31">
        <v>0.5</v>
      </c>
      <c r="BH17" s="31">
        <v>0.44</v>
      </c>
      <c r="BI17" s="31">
        <v>0.18</v>
      </c>
      <c r="BJ17" s="86">
        <v>36</v>
      </c>
      <c r="BK17" s="31">
        <v>3</v>
      </c>
      <c r="BL17" s="31"/>
      <c r="BM17" s="31">
        <v>3</v>
      </c>
      <c r="BN17" s="31">
        <v>146.66666666666666</v>
      </c>
      <c r="BO17" s="67">
        <v>4</v>
      </c>
    </row>
    <row r="18" spans="3:67" x14ac:dyDescent="0.25">
      <c r="C18" s="18" t="s">
        <v>6</v>
      </c>
      <c r="D18" s="18">
        <v>2024</v>
      </c>
      <c r="E18" s="18" t="s">
        <v>138</v>
      </c>
      <c r="F18" s="18" t="s">
        <v>10</v>
      </c>
      <c r="G18" s="18">
        <v>40</v>
      </c>
      <c r="H18" s="18" t="s">
        <v>153</v>
      </c>
      <c r="I18" s="18" t="s">
        <v>158</v>
      </c>
      <c r="J18" s="31">
        <v>6.5</v>
      </c>
      <c r="K18" s="31">
        <v>7</v>
      </c>
      <c r="L18" s="4">
        <v>0.5</v>
      </c>
      <c r="M18" s="5">
        <v>0.74</v>
      </c>
      <c r="N18" s="31">
        <v>0.37</v>
      </c>
      <c r="O18" s="31">
        <v>0.46</v>
      </c>
      <c r="P18" s="31">
        <v>0.11</v>
      </c>
      <c r="Q18" s="86">
        <v>22</v>
      </c>
      <c r="R18" s="31">
        <v>6</v>
      </c>
      <c r="S18" s="31"/>
      <c r="T18" s="31">
        <v>6</v>
      </c>
      <c r="U18" s="31">
        <v>76.666666666666671</v>
      </c>
      <c r="V18" s="67">
        <v>1</v>
      </c>
      <c r="AA18" s="18" t="s">
        <v>6</v>
      </c>
      <c r="AB18" s="18">
        <v>2024</v>
      </c>
      <c r="AC18" s="18" t="s">
        <v>138</v>
      </c>
      <c r="AD18" s="18" t="s">
        <v>10</v>
      </c>
      <c r="AE18" s="18">
        <v>30</v>
      </c>
      <c r="AF18" s="18" t="s">
        <v>152</v>
      </c>
      <c r="AG18" s="18" t="s">
        <v>162</v>
      </c>
      <c r="AH18" s="31">
        <v>24.83</v>
      </c>
      <c r="AI18" s="31">
        <v>25.33</v>
      </c>
      <c r="AJ18" s="4">
        <v>0.5</v>
      </c>
      <c r="AK18" s="5">
        <v>0.68</v>
      </c>
      <c r="AL18" s="31">
        <v>0.34</v>
      </c>
      <c r="AM18" s="31">
        <v>0.35</v>
      </c>
      <c r="AN18" s="31">
        <v>0.17</v>
      </c>
      <c r="AO18" s="86">
        <v>34</v>
      </c>
      <c r="AP18" s="31">
        <v>4</v>
      </c>
      <c r="AQ18" s="31"/>
      <c r="AR18" s="31">
        <v>4</v>
      </c>
      <c r="AS18" s="31">
        <v>87.5</v>
      </c>
      <c r="AT18" s="67">
        <v>2</v>
      </c>
      <c r="AV18" s="18" t="s">
        <v>6</v>
      </c>
      <c r="AW18" s="18">
        <v>2024</v>
      </c>
      <c r="AX18" s="18" t="s">
        <v>138</v>
      </c>
      <c r="AY18" s="18" t="s">
        <v>10</v>
      </c>
      <c r="AZ18" s="18">
        <v>10</v>
      </c>
      <c r="BA18" s="18" t="s">
        <v>135</v>
      </c>
      <c r="BB18" s="18" t="s">
        <v>163</v>
      </c>
      <c r="BC18" s="31">
        <v>36.35</v>
      </c>
      <c r="BD18" s="31">
        <v>36.85</v>
      </c>
      <c r="BE18" s="4">
        <v>0.5</v>
      </c>
      <c r="BF18" s="5">
        <v>1</v>
      </c>
      <c r="BG18" s="31">
        <v>0.5</v>
      </c>
      <c r="BH18" s="31">
        <v>0.49</v>
      </c>
      <c r="BI18" s="31">
        <v>0</v>
      </c>
      <c r="BJ18" s="86">
        <v>0</v>
      </c>
      <c r="BK18" s="31">
        <v>15</v>
      </c>
      <c r="BL18" s="31"/>
      <c r="BM18" s="31">
        <v>15</v>
      </c>
      <c r="BN18" s="31">
        <v>32.666666666666664</v>
      </c>
      <c r="BO18" s="67">
        <v>1</v>
      </c>
    </row>
    <row r="19" spans="3:67" x14ac:dyDescent="0.25">
      <c r="C19" s="18" t="s">
        <v>6</v>
      </c>
      <c r="D19" s="18">
        <v>2024</v>
      </c>
      <c r="E19" s="18" t="s">
        <v>138</v>
      </c>
      <c r="F19" s="18" t="s">
        <v>10</v>
      </c>
      <c r="G19" s="18">
        <v>40</v>
      </c>
      <c r="H19" s="18" t="s">
        <v>153</v>
      </c>
      <c r="I19" s="18" t="s">
        <v>158</v>
      </c>
      <c r="J19" s="31">
        <v>7</v>
      </c>
      <c r="K19" s="31">
        <v>7.5</v>
      </c>
      <c r="L19" s="4">
        <v>0.5</v>
      </c>
      <c r="M19" s="5">
        <v>0.98</v>
      </c>
      <c r="N19" s="31">
        <v>0.49</v>
      </c>
      <c r="O19" s="31">
        <v>0.43</v>
      </c>
      <c r="P19" s="31">
        <v>0.21000000000000002</v>
      </c>
      <c r="Q19" s="86">
        <v>42.000000000000007</v>
      </c>
      <c r="R19" s="31">
        <v>5</v>
      </c>
      <c r="S19" s="31"/>
      <c r="T19" s="31">
        <v>5</v>
      </c>
      <c r="U19" s="31">
        <v>86</v>
      </c>
      <c r="V19" s="67">
        <v>1</v>
      </c>
      <c r="AA19" s="18" t="s">
        <v>6</v>
      </c>
      <c r="AB19" s="18">
        <v>2024</v>
      </c>
      <c r="AC19" s="18" t="s">
        <v>138</v>
      </c>
      <c r="AD19" s="18" t="s">
        <v>10</v>
      </c>
      <c r="AE19" s="18">
        <v>30</v>
      </c>
      <c r="AF19" s="18" t="s">
        <v>152</v>
      </c>
      <c r="AG19" s="18" t="s">
        <v>162</v>
      </c>
      <c r="AH19" s="31">
        <v>25.33</v>
      </c>
      <c r="AI19" s="31">
        <v>25.83</v>
      </c>
      <c r="AJ19" s="4">
        <v>0.5</v>
      </c>
      <c r="AK19" s="5">
        <v>0.42</v>
      </c>
      <c r="AL19" s="31">
        <v>0.21</v>
      </c>
      <c r="AM19" s="31">
        <v>0.19</v>
      </c>
      <c r="AN19" s="31">
        <v>0.16</v>
      </c>
      <c r="AO19" s="86">
        <v>32</v>
      </c>
      <c r="AP19" s="31">
        <v>4</v>
      </c>
      <c r="AQ19" s="31"/>
      <c r="AR19" s="31">
        <v>4</v>
      </c>
      <c r="AS19" s="31">
        <v>47.5</v>
      </c>
      <c r="AT19" s="67">
        <v>4</v>
      </c>
      <c r="AV19" s="18" t="s">
        <v>6</v>
      </c>
      <c r="AW19" s="18">
        <v>2024</v>
      </c>
      <c r="AX19" s="18" t="s">
        <v>138</v>
      </c>
      <c r="AY19" s="18" t="s">
        <v>10</v>
      </c>
      <c r="AZ19" s="18">
        <v>10</v>
      </c>
      <c r="BA19" s="18" t="s">
        <v>135</v>
      </c>
      <c r="BB19" s="18" t="s">
        <v>163</v>
      </c>
      <c r="BC19" s="31">
        <v>36.85</v>
      </c>
      <c r="BD19" s="31">
        <v>37.549999999999997</v>
      </c>
      <c r="BE19" s="4">
        <v>0.69999999999999574</v>
      </c>
      <c r="BF19" s="5">
        <v>1</v>
      </c>
      <c r="BG19" s="31">
        <v>0.69999999999999574</v>
      </c>
      <c r="BH19" s="31">
        <v>0.62</v>
      </c>
      <c r="BI19" s="31">
        <v>0.23</v>
      </c>
      <c r="BJ19" s="86">
        <v>32.85714285714306</v>
      </c>
      <c r="BK19" s="31">
        <v>5</v>
      </c>
      <c r="BL19" s="31"/>
      <c r="BM19" s="31">
        <v>5</v>
      </c>
      <c r="BN19" s="31">
        <v>124</v>
      </c>
      <c r="BO19" s="67">
        <v>2</v>
      </c>
    </row>
    <row r="20" spans="3:67" x14ac:dyDescent="0.25">
      <c r="C20" s="18" t="s">
        <v>6</v>
      </c>
      <c r="D20" s="18">
        <v>2024</v>
      </c>
      <c r="E20" s="18" t="s">
        <v>138</v>
      </c>
      <c r="F20" s="18" t="s">
        <v>10</v>
      </c>
      <c r="G20" s="18">
        <v>40</v>
      </c>
      <c r="H20" s="18" t="s">
        <v>153</v>
      </c>
      <c r="I20" s="18" t="s">
        <v>158</v>
      </c>
      <c r="J20" s="31">
        <v>7.5</v>
      </c>
      <c r="K20" s="31">
        <v>8</v>
      </c>
      <c r="L20" s="4">
        <v>0.5</v>
      </c>
      <c r="M20" s="5">
        <v>1</v>
      </c>
      <c r="N20" s="31">
        <v>0.5</v>
      </c>
      <c r="O20" s="31">
        <v>0.45</v>
      </c>
      <c r="P20" s="31">
        <v>0.28000000000000003</v>
      </c>
      <c r="Q20" s="86">
        <v>56.000000000000007</v>
      </c>
      <c r="R20" s="31">
        <v>4</v>
      </c>
      <c r="S20" s="31"/>
      <c r="T20" s="31">
        <v>4</v>
      </c>
      <c r="U20" s="31">
        <v>112.5</v>
      </c>
      <c r="V20" s="67">
        <v>1</v>
      </c>
      <c r="AA20" s="18" t="s">
        <v>6</v>
      </c>
      <c r="AB20" s="18">
        <v>2024</v>
      </c>
      <c r="AC20" s="18" t="s">
        <v>138</v>
      </c>
      <c r="AD20" s="18" t="s">
        <v>10</v>
      </c>
      <c r="AE20" s="18">
        <v>30</v>
      </c>
      <c r="AF20" s="18" t="s">
        <v>152</v>
      </c>
      <c r="AG20" s="18" t="s">
        <v>162</v>
      </c>
      <c r="AH20" s="31">
        <v>25.83</v>
      </c>
      <c r="AI20" s="31">
        <v>26.33</v>
      </c>
      <c r="AJ20" s="4">
        <v>0.5</v>
      </c>
      <c r="AK20" s="5">
        <v>0.7</v>
      </c>
      <c r="AL20" s="31">
        <v>0.35</v>
      </c>
      <c r="AM20" s="31">
        <v>0.31</v>
      </c>
      <c r="AN20" s="31">
        <v>0.11</v>
      </c>
      <c r="AO20" s="86">
        <v>22</v>
      </c>
      <c r="AP20" s="31">
        <v>3</v>
      </c>
      <c r="AQ20" s="31"/>
      <c r="AR20" s="31">
        <v>3</v>
      </c>
      <c r="AS20" s="31">
        <v>103.33333333333333</v>
      </c>
      <c r="AT20" s="67">
        <v>4</v>
      </c>
      <c r="AV20" s="18" t="s">
        <v>6</v>
      </c>
      <c r="AW20" s="18">
        <v>2024</v>
      </c>
      <c r="AX20" s="18" t="s">
        <v>138</v>
      </c>
      <c r="AY20" s="18" t="s">
        <v>10</v>
      </c>
      <c r="AZ20" s="18">
        <v>10</v>
      </c>
      <c r="BA20" s="18" t="s">
        <v>135</v>
      </c>
      <c r="BB20" s="18" t="s">
        <v>163</v>
      </c>
      <c r="BC20" s="31">
        <v>37.549999999999997</v>
      </c>
      <c r="BD20" s="31">
        <v>38.15</v>
      </c>
      <c r="BE20" s="4">
        <v>0.60000000000000142</v>
      </c>
      <c r="BF20" s="5">
        <v>1</v>
      </c>
      <c r="BG20" s="31">
        <v>0.60000000000000142</v>
      </c>
      <c r="BH20" s="31">
        <v>0.49</v>
      </c>
      <c r="BI20" s="31">
        <v>0.3</v>
      </c>
      <c r="BJ20" s="86">
        <v>49.999999999999879</v>
      </c>
      <c r="BK20" s="31">
        <v>5</v>
      </c>
      <c r="BL20" s="31"/>
      <c r="BM20" s="31">
        <v>5</v>
      </c>
      <c r="BN20" s="31">
        <v>98</v>
      </c>
      <c r="BO20" s="67">
        <v>2</v>
      </c>
    </row>
    <row r="21" spans="3:67" x14ac:dyDescent="0.25">
      <c r="C21" s="18" t="s">
        <v>6</v>
      </c>
      <c r="D21" s="18">
        <v>2024</v>
      </c>
      <c r="E21" s="18" t="s">
        <v>138</v>
      </c>
      <c r="F21" s="18" t="s">
        <v>10</v>
      </c>
      <c r="G21" s="18">
        <v>40</v>
      </c>
      <c r="H21" s="18" t="s">
        <v>153</v>
      </c>
      <c r="I21" s="18" t="s">
        <v>158</v>
      </c>
      <c r="J21" s="31">
        <v>8</v>
      </c>
      <c r="K21" s="31">
        <v>8.5</v>
      </c>
      <c r="L21" s="4">
        <v>0.5</v>
      </c>
      <c r="M21" s="5">
        <v>1</v>
      </c>
      <c r="N21" s="31">
        <v>0.5</v>
      </c>
      <c r="O21" s="31">
        <v>0.47</v>
      </c>
      <c r="P21" s="31">
        <v>0.31</v>
      </c>
      <c r="Q21" s="86">
        <v>62</v>
      </c>
      <c r="R21" s="31">
        <v>2</v>
      </c>
      <c r="S21" s="31"/>
      <c r="T21" s="31">
        <v>2</v>
      </c>
      <c r="U21" s="31">
        <v>235</v>
      </c>
      <c r="V21" s="67">
        <v>1</v>
      </c>
      <c r="AA21" s="88" t="s">
        <v>6</v>
      </c>
      <c r="AB21" s="88">
        <v>2024</v>
      </c>
      <c r="AC21" s="88" t="s">
        <v>138</v>
      </c>
      <c r="AD21" s="88" t="s">
        <v>10</v>
      </c>
      <c r="AE21" s="88">
        <v>30</v>
      </c>
      <c r="AF21" s="88" t="s">
        <v>152</v>
      </c>
      <c r="AG21" s="88" t="s">
        <v>162</v>
      </c>
      <c r="AH21" s="89">
        <v>26.33</v>
      </c>
      <c r="AI21" s="89">
        <v>27.03</v>
      </c>
      <c r="AJ21" s="90">
        <v>0.70000000000000284</v>
      </c>
      <c r="AK21" s="91">
        <v>1</v>
      </c>
      <c r="AL21" s="89">
        <v>0.70000000000000284</v>
      </c>
      <c r="AM21" s="89">
        <v>0.61</v>
      </c>
      <c r="AN21" s="89">
        <v>0.6</v>
      </c>
      <c r="AO21" s="92">
        <v>85.714285714285367</v>
      </c>
      <c r="AP21" s="89">
        <v>2</v>
      </c>
      <c r="AQ21" s="89"/>
      <c r="AR21" s="89">
        <v>2</v>
      </c>
      <c r="AS21" s="89"/>
      <c r="AT21" s="90"/>
      <c r="AV21" s="18" t="s">
        <v>6</v>
      </c>
      <c r="AW21" s="18">
        <v>2024</v>
      </c>
      <c r="AX21" s="18" t="s">
        <v>138</v>
      </c>
      <c r="AY21" s="18" t="s">
        <v>10</v>
      </c>
      <c r="AZ21" s="18">
        <v>10</v>
      </c>
      <c r="BA21" s="18" t="s">
        <v>135</v>
      </c>
      <c r="BB21" s="18" t="s">
        <v>163</v>
      </c>
      <c r="BC21" s="31">
        <v>38.15</v>
      </c>
      <c r="BD21" s="31">
        <v>38.65</v>
      </c>
      <c r="BE21" s="4">
        <v>0.5</v>
      </c>
      <c r="BF21" s="5">
        <v>1</v>
      </c>
      <c r="BG21" s="31">
        <v>0.5</v>
      </c>
      <c r="BH21" s="31">
        <v>0.48</v>
      </c>
      <c r="BI21" s="31">
        <v>0.11</v>
      </c>
      <c r="BJ21" s="86">
        <v>22</v>
      </c>
      <c r="BK21" s="31">
        <v>4</v>
      </c>
      <c r="BL21" s="31"/>
      <c r="BM21" s="31">
        <v>4</v>
      </c>
      <c r="BN21" s="31">
        <v>120</v>
      </c>
      <c r="BO21" s="67">
        <v>2</v>
      </c>
    </row>
    <row r="22" spans="3:67" x14ac:dyDescent="0.25">
      <c r="C22" s="18" t="s">
        <v>6</v>
      </c>
      <c r="D22" s="18">
        <v>2024</v>
      </c>
      <c r="E22" s="18" t="s">
        <v>138</v>
      </c>
      <c r="F22" s="18" t="s">
        <v>10</v>
      </c>
      <c r="G22" s="18">
        <v>40</v>
      </c>
      <c r="H22" s="18" t="s">
        <v>153</v>
      </c>
      <c r="I22" s="18" t="s">
        <v>158</v>
      </c>
      <c r="J22" s="31">
        <v>8.5</v>
      </c>
      <c r="K22" s="31">
        <v>9</v>
      </c>
      <c r="L22" s="4">
        <v>0.5</v>
      </c>
      <c r="M22" s="5">
        <v>1</v>
      </c>
      <c r="N22" s="31">
        <v>0.5</v>
      </c>
      <c r="O22" s="31">
        <v>0.35</v>
      </c>
      <c r="P22" s="31">
        <v>0.16</v>
      </c>
      <c r="Q22" s="86">
        <v>32</v>
      </c>
      <c r="R22" s="31">
        <v>5</v>
      </c>
      <c r="S22" s="31"/>
      <c r="T22" s="31">
        <v>5</v>
      </c>
      <c r="U22" s="31">
        <v>70</v>
      </c>
      <c r="V22" s="67">
        <v>1</v>
      </c>
      <c r="AA22" s="18" t="s">
        <v>6</v>
      </c>
      <c r="AB22" s="18">
        <v>2024</v>
      </c>
      <c r="AC22" s="18" t="s">
        <v>138</v>
      </c>
      <c r="AD22" s="18" t="s">
        <v>10</v>
      </c>
      <c r="AE22" s="18">
        <v>30</v>
      </c>
      <c r="AF22" s="18" t="s">
        <v>152</v>
      </c>
      <c r="AG22" s="18" t="s">
        <v>162</v>
      </c>
      <c r="AH22" s="31">
        <v>27.03</v>
      </c>
      <c r="AI22" s="31">
        <v>27.97</v>
      </c>
      <c r="AJ22" s="4">
        <v>0.93999999999999773</v>
      </c>
      <c r="AK22" s="5">
        <v>1</v>
      </c>
      <c r="AL22" s="31">
        <v>0.93999999999999773</v>
      </c>
      <c r="AM22" s="31">
        <v>0.86</v>
      </c>
      <c r="AN22" s="31">
        <v>0.55000000000000004</v>
      </c>
      <c r="AO22" s="86">
        <v>58.510638297872489</v>
      </c>
      <c r="AP22" s="31">
        <v>3</v>
      </c>
      <c r="AQ22" s="31"/>
      <c r="AR22" s="31">
        <v>3</v>
      </c>
      <c r="AS22" s="31">
        <v>286.66666666666669</v>
      </c>
      <c r="AT22" s="67">
        <v>4</v>
      </c>
      <c r="AV22" s="18" t="s">
        <v>6</v>
      </c>
      <c r="AW22" s="18">
        <v>2024</v>
      </c>
      <c r="AX22" s="18" t="s">
        <v>138</v>
      </c>
      <c r="AY22" s="18" t="s">
        <v>10</v>
      </c>
      <c r="AZ22" s="18">
        <v>10</v>
      </c>
      <c r="BA22" s="18" t="s">
        <v>135</v>
      </c>
      <c r="BB22" s="18" t="s">
        <v>163</v>
      </c>
      <c r="BC22" s="31">
        <v>38.65</v>
      </c>
      <c r="BD22" s="31">
        <v>39.15</v>
      </c>
      <c r="BE22" s="4">
        <v>0.5</v>
      </c>
      <c r="BF22" s="5">
        <v>1</v>
      </c>
      <c r="BG22" s="31">
        <v>0.5</v>
      </c>
      <c r="BH22" s="31">
        <v>0.49</v>
      </c>
      <c r="BI22" s="31">
        <v>0</v>
      </c>
      <c r="BJ22" s="86">
        <v>0</v>
      </c>
      <c r="BK22" s="31">
        <v>15</v>
      </c>
      <c r="BL22" s="31"/>
      <c r="BM22" s="31">
        <v>15</v>
      </c>
      <c r="BN22" s="31">
        <v>32.666666666666664</v>
      </c>
      <c r="BO22" s="67">
        <v>2</v>
      </c>
    </row>
    <row r="23" spans="3:67" x14ac:dyDescent="0.25">
      <c r="C23" s="18" t="s">
        <v>6</v>
      </c>
      <c r="D23" s="18">
        <v>2024</v>
      </c>
      <c r="E23" s="18" t="s">
        <v>138</v>
      </c>
      <c r="F23" s="18" t="s">
        <v>10</v>
      </c>
      <c r="G23" s="18">
        <v>40</v>
      </c>
      <c r="H23" s="18" t="s">
        <v>153</v>
      </c>
      <c r="I23" s="18" t="s">
        <v>158</v>
      </c>
      <c r="J23" s="31">
        <v>9</v>
      </c>
      <c r="K23" s="31">
        <v>9.5</v>
      </c>
      <c r="L23" s="4">
        <v>0.5</v>
      </c>
      <c r="M23" s="5">
        <v>0.8</v>
      </c>
      <c r="N23" s="31">
        <v>0.4</v>
      </c>
      <c r="O23" s="31">
        <v>0.41</v>
      </c>
      <c r="P23" s="31">
        <v>0.21</v>
      </c>
      <c r="Q23" s="86">
        <v>42</v>
      </c>
      <c r="R23" s="31">
        <v>4</v>
      </c>
      <c r="S23" s="31"/>
      <c r="T23" s="31">
        <v>4</v>
      </c>
      <c r="U23" s="31">
        <v>102.5</v>
      </c>
      <c r="V23" s="67">
        <v>1</v>
      </c>
      <c r="AV23" s="18" t="s">
        <v>6</v>
      </c>
      <c r="AW23" s="18">
        <v>2024</v>
      </c>
      <c r="AX23" s="18" t="s">
        <v>138</v>
      </c>
      <c r="AY23" s="18" t="s">
        <v>10</v>
      </c>
      <c r="AZ23" s="18">
        <v>10</v>
      </c>
      <c r="BA23" s="18" t="s">
        <v>135</v>
      </c>
      <c r="BB23" s="18" t="s">
        <v>163</v>
      </c>
      <c r="BC23" s="31">
        <v>39.15</v>
      </c>
      <c r="BD23" s="31">
        <v>39.75</v>
      </c>
      <c r="BE23" s="4">
        <v>0.60000000000000142</v>
      </c>
      <c r="BF23" s="5">
        <v>0.81</v>
      </c>
      <c r="BG23" s="31">
        <v>0.48600000000000121</v>
      </c>
      <c r="BH23" s="31">
        <v>0.45</v>
      </c>
      <c r="BI23" s="31">
        <v>0.24</v>
      </c>
      <c r="BJ23" s="86">
        <v>39.999999999999901</v>
      </c>
      <c r="BK23" s="31">
        <v>3</v>
      </c>
      <c r="BL23" s="31"/>
      <c r="BM23" s="31">
        <v>3</v>
      </c>
      <c r="BN23" s="31">
        <v>150</v>
      </c>
      <c r="BO23" s="67">
        <v>2</v>
      </c>
    </row>
    <row r="24" spans="3:67" x14ac:dyDescent="0.25">
      <c r="C24" s="18" t="s">
        <v>6</v>
      </c>
      <c r="D24" s="18">
        <v>2024</v>
      </c>
      <c r="E24" s="18" t="s">
        <v>138</v>
      </c>
      <c r="F24" s="18" t="s">
        <v>10</v>
      </c>
      <c r="G24" s="18">
        <v>40</v>
      </c>
      <c r="H24" s="18" t="s">
        <v>153</v>
      </c>
      <c r="I24" s="18" t="s">
        <v>159</v>
      </c>
      <c r="J24" s="31">
        <v>9.5</v>
      </c>
      <c r="K24" s="31">
        <v>10</v>
      </c>
      <c r="L24" s="4">
        <v>0.5</v>
      </c>
      <c r="M24" s="5">
        <v>0.86</v>
      </c>
      <c r="N24" s="31">
        <v>0.43</v>
      </c>
      <c r="O24" s="31">
        <v>0.43</v>
      </c>
      <c r="P24" s="31">
        <v>0.25</v>
      </c>
      <c r="Q24" s="86">
        <v>50</v>
      </c>
      <c r="R24" s="31">
        <v>4</v>
      </c>
      <c r="S24" s="31"/>
      <c r="T24" s="31">
        <v>4</v>
      </c>
      <c r="U24" s="31">
        <v>107.5</v>
      </c>
      <c r="V24" s="67">
        <v>4</v>
      </c>
      <c r="AV24" s="18" t="s">
        <v>6</v>
      </c>
      <c r="AW24" s="18">
        <v>2024</v>
      </c>
      <c r="AX24" s="18" t="s">
        <v>138</v>
      </c>
      <c r="AY24" s="18" t="s">
        <v>10</v>
      </c>
      <c r="AZ24" s="18">
        <v>10</v>
      </c>
      <c r="BA24" s="18" t="s">
        <v>135</v>
      </c>
      <c r="BB24" s="18" t="s">
        <v>163</v>
      </c>
      <c r="BC24" s="31">
        <v>39.75</v>
      </c>
      <c r="BD24" s="31">
        <v>40</v>
      </c>
      <c r="BE24" s="4">
        <v>0.25</v>
      </c>
      <c r="BF24" s="5">
        <v>0.91</v>
      </c>
      <c r="BG24" s="31">
        <v>0.22750000000000001</v>
      </c>
      <c r="BH24" s="31">
        <v>0.38</v>
      </c>
      <c r="BI24" s="31">
        <v>0.14000000000000001</v>
      </c>
      <c r="BJ24" s="86">
        <v>56.000000000000007</v>
      </c>
      <c r="BK24" s="31">
        <v>3</v>
      </c>
      <c r="BL24" s="31"/>
      <c r="BM24" s="31">
        <v>3</v>
      </c>
      <c r="BN24" s="31">
        <v>126.66666666666667</v>
      </c>
      <c r="BO24" s="67">
        <v>2</v>
      </c>
    </row>
    <row r="25" spans="3:67" x14ac:dyDescent="0.25">
      <c r="C25" s="18" t="s">
        <v>6</v>
      </c>
      <c r="D25" s="18">
        <v>2024</v>
      </c>
      <c r="E25" s="18" t="s">
        <v>138</v>
      </c>
      <c r="F25" s="18" t="s">
        <v>10</v>
      </c>
      <c r="G25" s="18">
        <v>50</v>
      </c>
      <c r="H25" s="18" t="s">
        <v>154</v>
      </c>
      <c r="I25" s="18" t="s">
        <v>159</v>
      </c>
      <c r="J25" s="31">
        <v>10</v>
      </c>
      <c r="K25" s="31">
        <v>10.5</v>
      </c>
      <c r="L25" s="4">
        <v>0.5</v>
      </c>
      <c r="M25" s="5">
        <v>0.9</v>
      </c>
      <c r="N25" s="31">
        <v>0.45</v>
      </c>
      <c r="O25" s="31">
        <v>0.28999999999999998</v>
      </c>
      <c r="P25" s="31">
        <v>0.11</v>
      </c>
      <c r="Q25" s="86">
        <v>22</v>
      </c>
      <c r="R25" s="31">
        <v>3</v>
      </c>
      <c r="S25" s="31"/>
      <c r="T25" s="31">
        <v>3</v>
      </c>
      <c r="U25" s="31">
        <v>96.666666666666671</v>
      </c>
      <c r="V25" s="67">
        <v>4</v>
      </c>
      <c r="AV25" s="18" t="s">
        <v>6</v>
      </c>
      <c r="AW25" s="18">
        <v>2024</v>
      </c>
      <c r="AX25" s="18" t="s">
        <v>138</v>
      </c>
      <c r="AY25" s="18" t="s">
        <v>10</v>
      </c>
      <c r="AZ25" s="18">
        <v>10</v>
      </c>
      <c r="BA25" s="18" t="s">
        <v>135</v>
      </c>
      <c r="BB25" s="18" t="s">
        <v>163</v>
      </c>
      <c r="BC25" s="31">
        <v>40</v>
      </c>
      <c r="BD25" s="31">
        <v>40.450000000000003</v>
      </c>
      <c r="BE25" s="4">
        <v>0.45000000000000284</v>
      </c>
      <c r="BF25" s="5">
        <v>0.91</v>
      </c>
      <c r="BG25" s="31">
        <v>0.40950000000000258</v>
      </c>
      <c r="BH25" s="31">
        <v>0.23</v>
      </c>
      <c r="BI25" s="31">
        <v>0</v>
      </c>
      <c r="BJ25" s="86">
        <v>0</v>
      </c>
      <c r="BK25" s="31">
        <v>5</v>
      </c>
      <c r="BL25" s="31"/>
      <c r="BM25" s="31">
        <v>5</v>
      </c>
      <c r="BN25" s="31">
        <v>46</v>
      </c>
      <c r="BO25" s="67">
        <v>2</v>
      </c>
    </row>
    <row r="26" spans="3:67" x14ac:dyDescent="0.25">
      <c r="C26" s="18" t="s">
        <v>6</v>
      </c>
      <c r="D26" s="18">
        <v>2024</v>
      </c>
      <c r="E26" s="18" t="s">
        <v>138</v>
      </c>
      <c r="F26" s="18" t="s">
        <v>10</v>
      </c>
      <c r="G26" s="18">
        <v>50</v>
      </c>
      <c r="H26" s="18" t="s">
        <v>154</v>
      </c>
      <c r="I26" s="18" t="s">
        <v>159</v>
      </c>
      <c r="J26" s="31">
        <v>10.5</v>
      </c>
      <c r="K26" s="31">
        <v>11</v>
      </c>
      <c r="L26" s="4">
        <v>0.5</v>
      </c>
      <c r="M26" s="5">
        <v>0.64</v>
      </c>
      <c r="N26" s="31">
        <v>0.32</v>
      </c>
      <c r="O26" s="31">
        <v>0.27</v>
      </c>
      <c r="P26" s="31">
        <v>0</v>
      </c>
      <c r="Q26" s="86">
        <v>0</v>
      </c>
      <c r="R26" s="31">
        <v>13</v>
      </c>
      <c r="S26" s="31"/>
      <c r="T26" s="31">
        <v>13</v>
      </c>
      <c r="U26" s="31">
        <v>20.76923076923077</v>
      </c>
      <c r="V26" s="67">
        <v>2</v>
      </c>
      <c r="AV26" s="18" t="s">
        <v>6</v>
      </c>
      <c r="AW26" s="18">
        <v>2024</v>
      </c>
      <c r="AX26" s="18" t="s">
        <v>138</v>
      </c>
      <c r="AY26" s="18" t="s">
        <v>10</v>
      </c>
      <c r="AZ26" s="18">
        <v>10</v>
      </c>
      <c r="BA26" s="18" t="s">
        <v>135</v>
      </c>
      <c r="BB26" s="18" t="s">
        <v>163</v>
      </c>
      <c r="BC26" s="31">
        <v>40.450000000000003</v>
      </c>
      <c r="BD26" s="31">
        <v>41.25</v>
      </c>
      <c r="BE26" s="4">
        <v>0.79999999999999716</v>
      </c>
      <c r="BF26" s="5">
        <v>1</v>
      </c>
      <c r="BG26" s="31">
        <v>0.79999999999999716</v>
      </c>
      <c r="BH26" s="31">
        <v>0.76</v>
      </c>
      <c r="BI26" s="31">
        <v>0.38</v>
      </c>
      <c r="BJ26" s="86">
        <v>47.500000000000171</v>
      </c>
      <c r="BK26" s="31">
        <v>6</v>
      </c>
      <c r="BL26" s="31"/>
      <c r="BM26" s="31">
        <v>6</v>
      </c>
      <c r="BN26" s="31">
        <v>126.66666666666667</v>
      </c>
      <c r="BO26" s="67">
        <v>2</v>
      </c>
    </row>
    <row r="27" spans="3:67" ht="60" x14ac:dyDescent="0.25">
      <c r="C27" s="18" t="s">
        <v>6</v>
      </c>
      <c r="D27" s="18">
        <v>2024</v>
      </c>
      <c r="E27" s="18" t="s">
        <v>138</v>
      </c>
      <c r="F27" s="18" t="s">
        <v>10</v>
      </c>
      <c r="G27" s="18">
        <v>50</v>
      </c>
      <c r="H27" s="18" t="s">
        <v>154</v>
      </c>
      <c r="I27" s="18" t="s">
        <v>159</v>
      </c>
      <c r="J27" s="31">
        <v>11</v>
      </c>
      <c r="K27" s="31">
        <v>11.5</v>
      </c>
      <c r="L27" s="4">
        <v>0.5</v>
      </c>
      <c r="M27" s="5">
        <v>0.6</v>
      </c>
      <c r="N27" s="31">
        <v>0.3</v>
      </c>
      <c r="O27" s="84">
        <v>0.28999999999999998</v>
      </c>
      <c r="P27" s="31">
        <v>0</v>
      </c>
      <c r="Q27" s="86">
        <v>0</v>
      </c>
      <c r="R27" s="31">
        <v>10</v>
      </c>
      <c r="S27" s="31"/>
      <c r="T27" s="31">
        <v>10</v>
      </c>
      <c r="U27" s="31">
        <v>29</v>
      </c>
      <c r="V27" s="67">
        <v>2</v>
      </c>
      <c r="AA27" s="2" t="s">
        <v>0</v>
      </c>
      <c r="AB27" s="46" t="s">
        <v>1</v>
      </c>
      <c r="AC27" s="46" t="s">
        <v>137</v>
      </c>
      <c r="AD27" s="46" t="s">
        <v>2</v>
      </c>
      <c r="AE27" s="46" t="s">
        <v>131</v>
      </c>
      <c r="AF27" s="30" t="s">
        <v>155</v>
      </c>
      <c r="AG27" s="33" t="s">
        <v>129</v>
      </c>
      <c r="AH27" s="48" t="s">
        <v>3</v>
      </c>
      <c r="AI27" s="48" t="s">
        <v>4</v>
      </c>
      <c r="AJ27" s="46" t="s">
        <v>5</v>
      </c>
      <c r="AK27" s="46" t="s">
        <v>133</v>
      </c>
      <c r="AL27" s="46" t="s">
        <v>345</v>
      </c>
      <c r="AM27" s="83" t="s">
        <v>576</v>
      </c>
      <c r="AN27" s="83" t="s">
        <v>575</v>
      </c>
      <c r="AO27" s="83" t="s">
        <v>11</v>
      </c>
      <c r="AP27" s="83" t="s">
        <v>577</v>
      </c>
      <c r="AQ27" s="83" t="s">
        <v>578</v>
      </c>
      <c r="AR27" s="83" t="s">
        <v>579</v>
      </c>
      <c r="AS27" s="83" t="s">
        <v>285</v>
      </c>
      <c r="AT27" s="74" t="s">
        <v>565</v>
      </c>
      <c r="AV27" s="18" t="s">
        <v>6</v>
      </c>
      <c r="AW27" s="18">
        <v>2024</v>
      </c>
      <c r="AX27" s="18" t="s">
        <v>138</v>
      </c>
      <c r="AY27" s="18" t="s">
        <v>10</v>
      </c>
      <c r="AZ27" s="18">
        <v>10</v>
      </c>
      <c r="BA27" s="18" t="s">
        <v>135</v>
      </c>
      <c r="BB27" s="18" t="s">
        <v>163</v>
      </c>
      <c r="BC27" s="31">
        <v>41.25</v>
      </c>
      <c r="BD27" s="31">
        <v>41.85</v>
      </c>
      <c r="BE27" s="4">
        <v>0.60000000000000142</v>
      </c>
      <c r="BF27" s="5">
        <v>1</v>
      </c>
      <c r="BG27" s="31">
        <v>0.60000000000000142</v>
      </c>
      <c r="BH27" s="31">
        <v>0.47</v>
      </c>
      <c r="BI27" s="31">
        <v>0.19</v>
      </c>
      <c r="BJ27" s="86">
        <v>31.666666666666593</v>
      </c>
      <c r="BK27" s="31">
        <v>3</v>
      </c>
      <c r="BL27" s="31"/>
      <c r="BM27" s="31">
        <v>3</v>
      </c>
      <c r="BN27" s="31">
        <v>156.66666666666666</v>
      </c>
      <c r="BO27" s="67">
        <v>2</v>
      </c>
    </row>
    <row r="28" spans="3:67" x14ac:dyDescent="0.25">
      <c r="C28" s="18" t="s">
        <v>6</v>
      </c>
      <c r="D28" s="18">
        <v>2024</v>
      </c>
      <c r="E28" s="18" t="s">
        <v>138</v>
      </c>
      <c r="F28" s="18" t="s">
        <v>10</v>
      </c>
      <c r="G28" s="18">
        <v>50</v>
      </c>
      <c r="H28" s="18" t="s">
        <v>154</v>
      </c>
      <c r="I28" s="18" t="s">
        <v>159</v>
      </c>
      <c r="J28" s="31">
        <v>11.5</v>
      </c>
      <c r="K28" s="31">
        <v>12</v>
      </c>
      <c r="L28" s="4">
        <v>0.5</v>
      </c>
      <c r="M28" s="5">
        <v>0.62</v>
      </c>
      <c r="N28" s="31">
        <v>0.31</v>
      </c>
      <c r="O28" s="31">
        <v>0.32</v>
      </c>
      <c r="P28" s="31">
        <v>0.16</v>
      </c>
      <c r="Q28" s="86">
        <v>32</v>
      </c>
      <c r="R28" s="31">
        <v>0</v>
      </c>
      <c r="S28" s="31"/>
      <c r="T28" s="31">
        <v>0</v>
      </c>
      <c r="U28" s="31" t="e">
        <v>#DIV/0!</v>
      </c>
      <c r="V28" s="67">
        <v>2</v>
      </c>
      <c r="Y28">
        <v>40</v>
      </c>
      <c r="AA28" s="18" t="s">
        <v>6</v>
      </c>
      <c r="AB28" s="18">
        <v>2024</v>
      </c>
      <c r="AC28" s="18" t="s">
        <v>138</v>
      </c>
      <c r="AD28" s="18" t="s">
        <v>10</v>
      </c>
      <c r="AE28" s="18">
        <v>40</v>
      </c>
      <c r="AF28" s="18" t="s">
        <v>153</v>
      </c>
      <c r="AG28" s="18" t="s">
        <v>158</v>
      </c>
      <c r="AH28" s="31">
        <v>3</v>
      </c>
      <c r="AI28" s="31">
        <v>3.5</v>
      </c>
      <c r="AJ28" s="4">
        <v>0.5</v>
      </c>
      <c r="AK28" s="5">
        <v>0.8</v>
      </c>
      <c r="AL28" s="31">
        <v>0.4</v>
      </c>
      <c r="AM28" s="31">
        <v>0.38</v>
      </c>
      <c r="AN28" s="31">
        <v>0.3</v>
      </c>
      <c r="AO28" s="86">
        <v>60</v>
      </c>
      <c r="AP28" s="31">
        <v>1</v>
      </c>
      <c r="AQ28" s="31">
        <v>2</v>
      </c>
      <c r="AR28" s="31">
        <v>3</v>
      </c>
      <c r="AS28" s="31">
        <v>126.66666666666667</v>
      </c>
      <c r="AT28" s="67">
        <v>1</v>
      </c>
      <c r="AV28" s="18" t="s">
        <v>6</v>
      </c>
      <c r="AW28" s="18">
        <v>2024</v>
      </c>
      <c r="AX28" s="18" t="s">
        <v>138</v>
      </c>
      <c r="AY28" s="18" t="s">
        <v>10</v>
      </c>
      <c r="AZ28" s="18">
        <v>10</v>
      </c>
      <c r="BA28" s="18" t="s">
        <v>135</v>
      </c>
      <c r="BB28" s="18" t="s">
        <v>163</v>
      </c>
      <c r="BC28" s="31">
        <v>41.85</v>
      </c>
      <c r="BD28" s="31">
        <v>42.35</v>
      </c>
      <c r="BE28" s="4">
        <v>0.5</v>
      </c>
      <c r="BF28" s="5">
        <v>1</v>
      </c>
      <c r="BG28" s="31">
        <v>0.5</v>
      </c>
      <c r="BH28" s="31">
        <v>0.43</v>
      </c>
      <c r="BI28" s="31">
        <v>0.15</v>
      </c>
      <c r="BJ28" s="86">
        <v>30</v>
      </c>
      <c r="BK28" s="31">
        <v>5</v>
      </c>
      <c r="BL28" s="31"/>
      <c r="BM28" s="31">
        <v>5</v>
      </c>
      <c r="BN28" s="31">
        <v>86</v>
      </c>
      <c r="BO28" s="67">
        <v>2</v>
      </c>
    </row>
    <row r="29" spans="3:67" x14ac:dyDescent="0.25">
      <c r="C29" s="18" t="s">
        <v>6</v>
      </c>
      <c r="D29" s="18">
        <v>2024</v>
      </c>
      <c r="E29" s="18" t="s">
        <v>138</v>
      </c>
      <c r="F29" s="18" t="s">
        <v>10</v>
      </c>
      <c r="G29" s="18">
        <v>40</v>
      </c>
      <c r="H29" s="18" t="s">
        <v>153</v>
      </c>
      <c r="I29" s="18" t="s">
        <v>159</v>
      </c>
      <c r="J29" s="31">
        <v>12</v>
      </c>
      <c r="K29" s="31">
        <v>12.5</v>
      </c>
      <c r="L29" s="4">
        <v>0.5</v>
      </c>
      <c r="M29" s="5">
        <v>0.7</v>
      </c>
      <c r="N29" s="31">
        <v>0.35</v>
      </c>
      <c r="O29" s="31">
        <v>0.22</v>
      </c>
      <c r="P29" s="31">
        <v>0.19</v>
      </c>
      <c r="Q29" s="86">
        <v>38</v>
      </c>
      <c r="R29" s="31">
        <v>5</v>
      </c>
      <c r="S29" s="31"/>
      <c r="T29" s="31">
        <v>5</v>
      </c>
      <c r="U29" s="31">
        <v>44</v>
      </c>
      <c r="V29" s="67">
        <v>2</v>
      </c>
      <c r="AA29" s="18" t="s">
        <v>6</v>
      </c>
      <c r="AB29" s="18">
        <v>2024</v>
      </c>
      <c r="AC29" s="18" t="s">
        <v>138</v>
      </c>
      <c r="AD29" s="18" t="s">
        <v>10</v>
      </c>
      <c r="AE29" s="18">
        <v>40</v>
      </c>
      <c r="AF29" s="18" t="s">
        <v>153</v>
      </c>
      <c r="AG29" s="18" t="s">
        <v>158</v>
      </c>
      <c r="AH29" s="31">
        <v>3.5</v>
      </c>
      <c r="AI29" s="31">
        <v>4</v>
      </c>
      <c r="AJ29" s="4">
        <v>0.5</v>
      </c>
      <c r="AK29" s="5">
        <v>0.76</v>
      </c>
      <c r="AL29" s="31">
        <v>0.38</v>
      </c>
      <c r="AM29" s="31">
        <v>0.42</v>
      </c>
      <c r="AN29" s="31">
        <v>0.5</v>
      </c>
      <c r="AO29" s="86">
        <v>100</v>
      </c>
      <c r="AP29" s="31">
        <v>3</v>
      </c>
      <c r="AQ29" s="31"/>
      <c r="AR29" s="31">
        <v>3</v>
      </c>
      <c r="AS29" s="31">
        <v>140</v>
      </c>
      <c r="AT29" s="67">
        <v>1</v>
      </c>
      <c r="AV29" s="18" t="s">
        <v>6</v>
      </c>
      <c r="AW29" s="18">
        <v>2024</v>
      </c>
      <c r="AX29" s="18" t="s">
        <v>138</v>
      </c>
      <c r="AY29" s="18" t="s">
        <v>10</v>
      </c>
      <c r="AZ29" s="18">
        <v>10</v>
      </c>
      <c r="BA29" s="18" t="s">
        <v>135</v>
      </c>
      <c r="BB29" s="18" t="s">
        <v>163</v>
      </c>
      <c r="BC29" s="31">
        <v>42.35</v>
      </c>
      <c r="BD29" s="31">
        <v>43.05</v>
      </c>
      <c r="BE29" s="4">
        <v>0.69999999999999574</v>
      </c>
      <c r="BF29" s="5">
        <v>1</v>
      </c>
      <c r="BG29" s="31">
        <v>0.69999999999999574</v>
      </c>
      <c r="BH29" s="31">
        <v>0.5</v>
      </c>
      <c r="BI29" s="31">
        <v>0.15</v>
      </c>
      <c r="BJ29" s="86">
        <v>21.428571428571558</v>
      </c>
      <c r="BK29" s="31">
        <v>4</v>
      </c>
      <c r="BL29" s="31"/>
      <c r="BM29" s="31">
        <v>4</v>
      </c>
      <c r="BN29" s="31">
        <v>125</v>
      </c>
      <c r="BO29" s="67">
        <v>2</v>
      </c>
    </row>
    <row r="30" spans="3:67" x14ac:dyDescent="0.25">
      <c r="C30" s="18" t="s">
        <v>6</v>
      </c>
      <c r="D30" s="18">
        <v>2024</v>
      </c>
      <c r="E30" s="18" t="s">
        <v>138</v>
      </c>
      <c r="F30" s="18" t="s">
        <v>10</v>
      </c>
      <c r="G30" s="18">
        <v>40</v>
      </c>
      <c r="H30" s="18" t="s">
        <v>153</v>
      </c>
      <c r="I30" s="18" t="s">
        <v>159</v>
      </c>
      <c r="J30" s="31">
        <v>12.5</v>
      </c>
      <c r="K30" s="31">
        <v>13</v>
      </c>
      <c r="L30" s="4">
        <v>0.5</v>
      </c>
      <c r="M30" s="5">
        <v>0.5</v>
      </c>
      <c r="N30" s="31">
        <v>0.25</v>
      </c>
      <c r="O30" s="31">
        <v>0.23</v>
      </c>
      <c r="P30" s="31">
        <v>0.11</v>
      </c>
      <c r="Q30" s="86">
        <v>22</v>
      </c>
      <c r="R30" s="31">
        <v>5</v>
      </c>
      <c r="S30" s="31"/>
      <c r="T30" s="31">
        <v>5</v>
      </c>
      <c r="U30" s="31">
        <v>46</v>
      </c>
      <c r="V30" s="67">
        <v>2</v>
      </c>
      <c r="AA30" s="18" t="s">
        <v>6</v>
      </c>
      <c r="AB30" s="18">
        <v>2024</v>
      </c>
      <c r="AC30" s="18" t="s">
        <v>138</v>
      </c>
      <c r="AD30" s="18" t="s">
        <v>10</v>
      </c>
      <c r="AE30" s="18">
        <v>40</v>
      </c>
      <c r="AF30" s="18" t="s">
        <v>153</v>
      </c>
      <c r="AG30" s="18" t="s">
        <v>158</v>
      </c>
      <c r="AH30" s="31">
        <v>4</v>
      </c>
      <c r="AI30" s="31">
        <v>4.5</v>
      </c>
      <c r="AJ30" s="4">
        <v>0.5</v>
      </c>
      <c r="AK30" s="5">
        <v>0.86</v>
      </c>
      <c r="AL30" s="31">
        <v>0.43</v>
      </c>
      <c r="AM30" s="31">
        <v>0.19</v>
      </c>
      <c r="AN30" s="31">
        <v>0</v>
      </c>
      <c r="AO30" s="86">
        <v>0</v>
      </c>
      <c r="AP30" s="31">
        <v>0</v>
      </c>
      <c r="AQ30" s="31">
        <v>10</v>
      </c>
      <c r="AR30" s="31">
        <v>10</v>
      </c>
      <c r="AS30" s="31">
        <v>19</v>
      </c>
      <c r="AT30" s="67">
        <v>1</v>
      </c>
      <c r="AV30" s="18" t="s">
        <v>6</v>
      </c>
      <c r="AW30" s="18">
        <v>2024</v>
      </c>
      <c r="AX30" s="18" t="s">
        <v>138</v>
      </c>
      <c r="AY30" s="18" t="s">
        <v>10</v>
      </c>
      <c r="AZ30" s="18">
        <v>10</v>
      </c>
      <c r="BA30" s="18" t="s">
        <v>135</v>
      </c>
      <c r="BB30" s="18" t="s">
        <v>163</v>
      </c>
      <c r="BC30" s="31">
        <v>43.05</v>
      </c>
      <c r="BD30" s="31">
        <v>43.55</v>
      </c>
      <c r="BE30" s="4">
        <v>0.5</v>
      </c>
      <c r="BF30" s="5">
        <v>0.56000000000000005</v>
      </c>
      <c r="BG30" s="31">
        <v>0.28000000000000003</v>
      </c>
      <c r="BH30" s="31">
        <v>0.25</v>
      </c>
      <c r="BI30" s="31">
        <v>0</v>
      </c>
      <c r="BJ30" s="86">
        <v>0</v>
      </c>
      <c r="BK30" s="31">
        <v>6</v>
      </c>
      <c r="BL30" s="31"/>
      <c r="BM30" s="31">
        <v>6</v>
      </c>
      <c r="BN30" s="31">
        <v>41.666666666666664</v>
      </c>
      <c r="BO30" s="67">
        <v>2</v>
      </c>
    </row>
    <row r="31" spans="3:67" x14ac:dyDescent="0.25">
      <c r="C31" s="18" t="s">
        <v>6</v>
      </c>
      <c r="D31" s="18">
        <v>2024</v>
      </c>
      <c r="E31" s="18" t="s">
        <v>138</v>
      </c>
      <c r="F31" s="18" t="s">
        <v>10</v>
      </c>
      <c r="G31" s="18">
        <v>40</v>
      </c>
      <c r="H31" s="18" t="s">
        <v>153</v>
      </c>
      <c r="I31" s="18" t="s">
        <v>159</v>
      </c>
      <c r="J31" s="31">
        <v>13</v>
      </c>
      <c r="K31" s="31">
        <v>13.5</v>
      </c>
      <c r="L31" s="4">
        <v>0.5</v>
      </c>
      <c r="M31" s="5">
        <v>0.5</v>
      </c>
      <c r="N31" s="31">
        <v>0.25</v>
      </c>
      <c r="O31" s="31">
        <v>0.22</v>
      </c>
      <c r="P31" s="31">
        <v>0.12</v>
      </c>
      <c r="Q31" s="86">
        <v>24</v>
      </c>
      <c r="R31" s="31">
        <v>3</v>
      </c>
      <c r="S31" s="31"/>
      <c r="T31" s="31">
        <v>3</v>
      </c>
      <c r="U31" s="31">
        <v>73.333333333333329</v>
      </c>
      <c r="V31" s="67">
        <v>0</v>
      </c>
      <c r="AA31" s="18" t="s">
        <v>6</v>
      </c>
      <c r="AB31" s="18">
        <v>2024</v>
      </c>
      <c r="AC31" s="18" t="s">
        <v>138</v>
      </c>
      <c r="AD31" s="18" t="s">
        <v>10</v>
      </c>
      <c r="AE31" s="18">
        <v>40</v>
      </c>
      <c r="AF31" s="18" t="s">
        <v>153</v>
      </c>
      <c r="AG31" s="18" t="s">
        <v>158</v>
      </c>
      <c r="AH31" s="31">
        <v>6.5</v>
      </c>
      <c r="AI31" s="31">
        <v>7</v>
      </c>
      <c r="AJ31" s="4">
        <v>0.5</v>
      </c>
      <c r="AK31" s="5">
        <v>0.74</v>
      </c>
      <c r="AL31" s="31">
        <v>0.37</v>
      </c>
      <c r="AM31" s="31">
        <v>0.46</v>
      </c>
      <c r="AN31" s="31">
        <v>0.11</v>
      </c>
      <c r="AO31" s="86">
        <v>22</v>
      </c>
      <c r="AP31" s="31">
        <v>6</v>
      </c>
      <c r="AQ31" s="31"/>
      <c r="AR31" s="31">
        <v>6</v>
      </c>
      <c r="AS31" s="31">
        <v>76.666666666666671</v>
      </c>
      <c r="AT31" s="67">
        <v>1</v>
      </c>
      <c r="AV31" s="18" t="s">
        <v>6</v>
      </c>
      <c r="AW31" s="18">
        <v>2024</v>
      </c>
      <c r="AX31" s="18" t="s">
        <v>138</v>
      </c>
      <c r="AY31" s="18" t="s">
        <v>10</v>
      </c>
      <c r="AZ31" s="18">
        <v>10</v>
      </c>
      <c r="BA31" s="18" t="s">
        <v>135</v>
      </c>
      <c r="BB31" s="18" t="s">
        <v>163</v>
      </c>
      <c r="BC31" s="31">
        <v>43.55</v>
      </c>
      <c r="BD31" s="31">
        <v>44.05</v>
      </c>
      <c r="BE31" s="4">
        <v>0.5</v>
      </c>
      <c r="BF31" s="5">
        <v>0.82</v>
      </c>
      <c r="BG31" s="31">
        <v>0.41</v>
      </c>
      <c r="BH31" s="31">
        <v>0.22</v>
      </c>
      <c r="BI31" s="31">
        <v>0</v>
      </c>
      <c r="BJ31" s="86">
        <v>0</v>
      </c>
      <c r="BK31" s="31">
        <v>4</v>
      </c>
      <c r="BL31" s="31"/>
      <c r="BM31" s="31">
        <v>4</v>
      </c>
      <c r="BN31" s="31">
        <v>55</v>
      </c>
      <c r="BO31" s="67">
        <v>2</v>
      </c>
    </row>
    <row r="32" spans="3:67" x14ac:dyDescent="0.25">
      <c r="C32" s="18" t="s">
        <v>6</v>
      </c>
      <c r="D32" s="18">
        <v>2024</v>
      </c>
      <c r="E32" s="18" t="s">
        <v>138</v>
      </c>
      <c r="F32" s="18" t="s">
        <v>10</v>
      </c>
      <c r="G32" s="18">
        <v>40</v>
      </c>
      <c r="H32" s="18" t="s">
        <v>153</v>
      </c>
      <c r="I32" s="18" t="s">
        <v>160</v>
      </c>
      <c r="J32" s="31">
        <v>13.5</v>
      </c>
      <c r="K32" s="31">
        <v>14</v>
      </c>
      <c r="L32" s="4">
        <v>0.5</v>
      </c>
      <c r="M32" s="5">
        <v>0.48</v>
      </c>
      <c r="N32" s="31">
        <v>0.24</v>
      </c>
      <c r="O32" s="31">
        <v>0.42</v>
      </c>
      <c r="P32" s="31">
        <v>0.14000000000000001</v>
      </c>
      <c r="Q32" s="86">
        <v>28.000000000000004</v>
      </c>
      <c r="R32" s="31">
        <v>3</v>
      </c>
      <c r="S32" s="31"/>
      <c r="T32" s="31">
        <v>3</v>
      </c>
      <c r="U32" s="31">
        <v>140</v>
      </c>
      <c r="V32" s="67">
        <v>0</v>
      </c>
      <c r="AA32" s="18" t="s">
        <v>6</v>
      </c>
      <c r="AB32" s="18">
        <v>2024</v>
      </c>
      <c r="AC32" s="18" t="s">
        <v>138</v>
      </c>
      <c r="AD32" s="18" t="s">
        <v>10</v>
      </c>
      <c r="AE32" s="18">
        <v>40</v>
      </c>
      <c r="AF32" s="18" t="s">
        <v>153</v>
      </c>
      <c r="AG32" s="18" t="s">
        <v>158</v>
      </c>
      <c r="AH32" s="31">
        <v>7</v>
      </c>
      <c r="AI32" s="31">
        <v>7.5</v>
      </c>
      <c r="AJ32" s="4">
        <v>0.5</v>
      </c>
      <c r="AK32" s="5">
        <v>0.98</v>
      </c>
      <c r="AL32" s="31">
        <v>0.49</v>
      </c>
      <c r="AM32" s="31">
        <v>0.43</v>
      </c>
      <c r="AN32" s="31">
        <v>0.21000000000000002</v>
      </c>
      <c r="AO32" s="86">
        <v>42.000000000000007</v>
      </c>
      <c r="AP32" s="31">
        <v>5</v>
      </c>
      <c r="AQ32" s="31"/>
      <c r="AR32" s="31">
        <v>5</v>
      </c>
      <c r="AS32" s="31">
        <v>86</v>
      </c>
      <c r="AT32" s="67">
        <v>1</v>
      </c>
      <c r="AV32" s="18" t="s">
        <v>6</v>
      </c>
      <c r="AW32" s="18">
        <v>2024</v>
      </c>
      <c r="AX32" s="18" t="s">
        <v>138</v>
      </c>
      <c r="AY32" s="18" t="s">
        <v>10</v>
      </c>
      <c r="AZ32" s="18">
        <v>10</v>
      </c>
      <c r="BA32" s="18" t="s">
        <v>135</v>
      </c>
      <c r="BB32" s="18" t="s">
        <v>163</v>
      </c>
      <c r="BC32" s="31">
        <v>44.05</v>
      </c>
      <c r="BD32" s="31">
        <v>44.55</v>
      </c>
      <c r="BE32" s="4">
        <v>0.5</v>
      </c>
      <c r="BF32" s="5">
        <v>0.54</v>
      </c>
      <c r="BG32" s="31">
        <v>0.27</v>
      </c>
      <c r="BH32" s="31">
        <v>0.26</v>
      </c>
      <c r="BI32" s="31">
        <v>0</v>
      </c>
      <c r="BJ32" s="86">
        <v>0</v>
      </c>
      <c r="BK32" s="31">
        <v>6</v>
      </c>
      <c r="BL32" s="31"/>
      <c r="BM32" s="31">
        <v>6</v>
      </c>
      <c r="BN32" s="31">
        <v>43.333333333333336</v>
      </c>
      <c r="BO32" s="67">
        <v>2</v>
      </c>
    </row>
    <row r="33" spans="3:67" x14ac:dyDescent="0.25">
      <c r="C33" s="18" t="s">
        <v>6</v>
      </c>
      <c r="D33" s="18">
        <v>2024</v>
      </c>
      <c r="E33" s="18" t="s">
        <v>138</v>
      </c>
      <c r="F33" s="18" t="s">
        <v>10</v>
      </c>
      <c r="G33" s="18">
        <v>40</v>
      </c>
      <c r="H33" s="18" t="s">
        <v>153</v>
      </c>
      <c r="I33" s="18" t="s">
        <v>160</v>
      </c>
      <c r="J33" s="31">
        <v>14</v>
      </c>
      <c r="K33" s="31">
        <v>14.5</v>
      </c>
      <c r="L33" s="4">
        <v>0.5</v>
      </c>
      <c r="M33" s="5">
        <v>0.9</v>
      </c>
      <c r="N33" s="31">
        <v>0.45</v>
      </c>
      <c r="O33" s="31">
        <v>0.42</v>
      </c>
      <c r="P33" s="31">
        <v>0.22</v>
      </c>
      <c r="Q33" s="86">
        <v>44</v>
      </c>
      <c r="R33" s="31">
        <v>6</v>
      </c>
      <c r="S33" s="31"/>
      <c r="T33" s="31">
        <v>6</v>
      </c>
      <c r="U33" s="31">
        <v>70</v>
      </c>
      <c r="V33" s="67">
        <v>0</v>
      </c>
      <c r="AA33" s="18" t="s">
        <v>6</v>
      </c>
      <c r="AB33" s="18">
        <v>2024</v>
      </c>
      <c r="AC33" s="18" t="s">
        <v>138</v>
      </c>
      <c r="AD33" s="18" t="s">
        <v>10</v>
      </c>
      <c r="AE33" s="18">
        <v>40</v>
      </c>
      <c r="AF33" s="18" t="s">
        <v>153</v>
      </c>
      <c r="AG33" s="18" t="s">
        <v>158</v>
      </c>
      <c r="AH33" s="31">
        <v>7.5</v>
      </c>
      <c r="AI33" s="31">
        <v>8</v>
      </c>
      <c r="AJ33" s="4">
        <v>0.5</v>
      </c>
      <c r="AK33" s="5">
        <v>1</v>
      </c>
      <c r="AL33" s="31">
        <v>0.5</v>
      </c>
      <c r="AM33" s="31">
        <v>0.45</v>
      </c>
      <c r="AN33" s="31">
        <v>0.28000000000000003</v>
      </c>
      <c r="AO33" s="86">
        <v>56.000000000000007</v>
      </c>
      <c r="AP33" s="31">
        <v>4</v>
      </c>
      <c r="AQ33" s="31"/>
      <c r="AR33" s="31">
        <v>4</v>
      </c>
      <c r="AS33" s="31">
        <v>112.5</v>
      </c>
      <c r="AT33" s="67">
        <v>1</v>
      </c>
      <c r="AV33" s="18" t="s">
        <v>6</v>
      </c>
      <c r="AW33" s="18">
        <v>2024</v>
      </c>
      <c r="AX33" s="18" t="s">
        <v>138</v>
      </c>
      <c r="AY33" s="18" t="s">
        <v>10</v>
      </c>
      <c r="AZ33" s="18">
        <v>10</v>
      </c>
      <c r="BA33" s="18" t="s">
        <v>135</v>
      </c>
      <c r="BB33" s="18" t="s">
        <v>163</v>
      </c>
      <c r="BC33" s="31">
        <v>44.55</v>
      </c>
      <c r="BD33" s="31">
        <v>45.05</v>
      </c>
      <c r="BE33" s="4">
        <v>0.5</v>
      </c>
      <c r="BF33" s="5">
        <v>0.57999999999999996</v>
      </c>
      <c r="BG33" s="31">
        <v>0.28999999999999998</v>
      </c>
      <c r="BH33" s="31">
        <v>0.24</v>
      </c>
      <c r="BI33" s="31">
        <v>0</v>
      </c>
      <c r="BJ33" s="86">
        <v>0</v>
      </c>
      <c r="BK33" s="31">
        <v>10</v>
      </c>
      <c r="BL33" s="31"/>
      <c r="BM33" s="31">
        <v>10</v>
      </c>
      <c r="BN33" s="31">
        <v>24</v>
      </c>
      <c r="BO33" s="67">
        <v>1</v>
      </c>
    </row>
    <row r="34" spans="3:67" x14ac:dyDescent="0.25">
      <c r="C34" s="18" t="s">
        <v>6</v>
      </c>
      <c r="D34" s="18">
        <v>2024</v>
      </c>
      <c r="E34" s="18" t="s">
        <v>138</v>
      </c>
      <c r="F34" s="18" t="s">
        <v>10</v>
      </c>
      <c r="G34" s="18">
        <v>40</v>
      </c>
      <c r="H34" s="18" t="s">
        <v>153</v>
      </c>
      <c r="I34" s="18" t="s">
        <v>161</v>
      </c>
      <c r="J34" s="31">
        <v>14.5</v>
      </c>
      <c r="K34" s="31">
        <v>15</v>
      </c>
      <c r="L34" s="4">
        <v>0.5</v>
      </c>
      <c r="M34" s="5">
        <v>0.9</v>
      </c>
      <c r="N34" s="31">
        <v>0.45</v>
      </c>
      <c r="O34" s="31">
        <v>0.37</v>
      </c>
      <c r="P34" s="31">
        <v>0.2</v>
      </c>
      <c r="Q34" s="86">
        <v>40</v>
      </c>
      <c r="R34" s="31">
        <v>4</v>
      </c>
      <c r="S34" s="31"/>
      <c r="T34" s="31">
        <v>4</v>
      </c>
      <c r="U34" s="31">
        <v>92.5</v>
      </c>
      <c r="V34" s="67">
        <v>2</v>
      </c>
      <c r="AA34" s="18" t="s">
        <v>6</v>
      </c>
      <c r="AB34" s="18">
        <v>2024</v>
      </c>
      <c r="AC34" s="18" t="s">
        <v>138</v>
      </c>
      <c r="AD34" s="18" t="s">
        <v>10</v>
      </c>
      <c r="AE34" s="18">
        <v>40</v>
      </c>
      <c r="AF34" s="18" t="s">
        <v>153</v>
      </c>
      <c r="AG34" s="18" t="s">
        <v>158</v>
      </c>
      <c r="AH34" s="31">
        <v>8</v>
      </c>
      <c r="AI34" s="31">
        <v>8.5</v>
      </c>
      <c r="AJ34" s="4">
        <v>0.5</v>
      </c>
      <c r="AK34" s="5">
        <v>1</v>
      </c>
      <c r="AL34" s="31">
        <v>0.5</v>
      </c>
      <c r="AM34" s="31">
        <v>0.47</v>
      </c>
      <c r="AN34" s="31">
        <v>0.31</v>
      </c>
      <c r="AO34" s="86">
        <v>62</v>
      </c>
      <c r="AP34" s="31">
        <v>2</v>
      </c>
      <c r="AQ34" s="31"/>
      <c r="AR34" s="31">
        <v>2</v>
      </c>
      <c r="AS34" s="31">
        <v>235</v>
      </c>
      <c r="AT34" s="67">
        <v>1</v>
      </c>
      <c r="AV34" s="18" t="s">
        <v>6</v>
      </c>
      <c r="AW34" s="18">
        <v>2024</v>
      </c>
      <c r="AX34" s="18" t="s">
        <v>138</v>
      </c>
      <c r="AY34" s="18" t="s">
        <v>10</v>
      </c>
      <c r="AZ34" s="18">
        <v>10</v>
      </c>
      <c r="BA34" s="18" t="s">
        <v>135</v>
      </c>
      <c r="BB34" s="18" t="s">
        <v>163</v>
      </c>
      <c r="BC34" s="31">
        <v>45.05</v>
      </c>
      <c r="BD34" s="31">
        <v>45.55</v>
      </c>
      <c r="BE34" s="4">
        <v>0.5</v>
      </c>
      <c r="BF34" s="5">
        <v>0.62</v>
      </c>
      <c r="BG34" s="31">
        <v>0.31</v>
      </c>
      <c r="BH34" s="31">
        <v>0.28000000000000003</v>
      </c>
      <c r="BI34" s="31">
        <v>0</v>
      </c>
      <c r="BJ34" s="86">
        <v>0</v>
      </c>
      <c r="BK34" s="31">
        <v>10</v>
      </c>
      <c r="BL34" s="31"/>
      <c r="BM34" s="31">
        <v>10</v>
      </c>
      <c r="BN34" s="31">
        <v>28</v>
      </c>
      <c r="BO34" s="67">
        <v>1</v>
      </c>
    </row>
    <row r="35" spans="3:67" x14ac:dyDescent="0.25">
      <c r="C35" s="18" t="s">
        <v>6</v>
      </c>
      <c r="D35" s="18">
        <v>2024</v>
      </c>
      <c r="E35" s="18" t="s">
        <v>138</v>
      </c>
      <c r="F35" s="18" t="s">
        <v>10</v>
      </c>
      <c r="G35" s="18">
        <v>40</v>
      </c>
      <c r="H35" s="18" t="s">
        <v>153</v>
      </c>
      <c r="I35" s="18" t="s">
        <v>161</v>
      </c>
      <c r="J35" s="31">
        <v>15</v>
      </c>
      <c r="K35" s="31">
        <v>15.5</v>
      </c>
      <c r="L35" s="4">
        <v>0.5</v>
      </c>
      <c r="M35" s="5">
        <v>0.74</v>
      </c>
      <c r="N35" s="31">
        <v>0.37</v>
      </c>
      <c r="O35" s="31">
        <v>0.34</v>
      </c>
      <c r="P35" s="31">
        <v>0</v>
      </c>
      <c r="Q35" s="86">
        <v>0</v>
      </c>
      <c r="R35" s="31">
        <v>7</v>
      </c>
      <c r="S35" s="31"/>
      <c r="T35" s="31">
        <v>7</v>
      </c>
      <c r="U35" s="31">
        <v>48.571428571428569</v>
      </c>
      <c r="V35" s="67">
        <v>4</v>
      </c>
      <c r="AA35" s="18" t="s">
        <v>6</v>
      </c>
      <c r="AB35" s="18">
        <v>2024</v>
      </c>
      <c r="AC35" s="18" t="s">
        <v>138</v>
      </c>
      <c r="AD35" s="18" t="s">
        <v>10</v>
      </c>
      <c r="AE35" s="18">
        <v>40</v>
      </c>
      <c r="AF35" s="18" t="s">
        <v>153</v>
      </c>
      <c r="AG35" s="18" t="s">
        <v>158</v>
      </c>
      <c r="AH35" s="31">
        <v>8.5</v>
      </c>
      <c r="AI35" s="31">
        <v>9</v>
      </c>
      <c r="AJ35" s="4">
        <v>0.5</v>
      </c>
      <c r="AK35" s="5">
        <v>1</v>
      </c>
      <c r="AL35" s="31">
        <v>0.5</v>
      </c>
      <c r="AM35" s="31">
        <v>0.35</v>
      </c>
      <c r="AN35" s="31">
        <v>0.16</v>
      </c>
      <c r="AO35" s="86">
        <v>32</v>
      </c>
      <c r="AP35" s="31">
        <v>5</v>
      </c>
      <c r="AQ35" s="31"/>
      <c r="AR35" s="31">
        <v>5</v>
      </c>
      <c r="AS35" s="31">
        <v>70</v>
      </c>
      <c r="AT35" s="67">
        <v>1</v>
      </c>
      <c r="AV35" s="18" t="s">
        <v>6</v>
      </c>
      <c r="AW35" s="18">
        <v>2024</v>
      </c>
      <c r="AX35" s="18" t="s">
        <v>138</v>
      </c>
      <c r="AY35" s="18" t="s">
        <v>10</v>
      </c>
      <c r="AZ35" s="18">
        <v>10</v>
      </c>
      <c r="BA35" s="18" t="s">
        <v>135</v>
      </c>
      <c r="BB35" s="18" t="s">
        <v>163</v>
      </c>
      <c r="BC35" s="31">
        <v>45.55</v>
      </c>
      <c r="BD35" s="31">
        <v>46.05</v>
      </c>
      <c r="BE35" s="4">
        <v>0.5</v>
      </c>
      <c r="BF35" s="5">
        <v>0.74</v>
      </c>
      <c r="BG35" s="31">
        <v>0.37</v>
      </c>
      <c r="BH35" s="31">
        <v>0.27</v>
      </c>
      <c r="BI35" s="31">
        <v>0</v>
      </c>
      <c r="BJ35" s="86">
        <v>0</v>
      </c>
      <c r="BK35" s="31">
        <v>8</v>
      </c>
      <c r="BL35" s="31"/>
      <c r="BM35" s="31">
        <v>8</v>
      </c>
      <c r="BN35" s="31">
        <v>33.75</v>
      </c>
      <c r="BO35" s="67">
        <v>1</v>
      </c>
    </row>
    <row r="36" spans="3:67" x14ac:dyDescent="0.25">
      <c r="C36" s="18" t="s">
        <v>6</v>
      </c>
      <c r="D36" s="18">
        <v>2024</v>
      </c>
      <c r="E36" s="18" t="s">
        <v>138</v>
      </c>
      <c r="F36" s="18" t="s">
        <v>10</v>
      </c>
      <c r="G36" s="18">
        <v>40</v>
      </c>
      <c r="H36" s="18" t="s">
        <v>153</v>
      </c>
      <c r="I36" s="18" t="s">
        <v>161</v>
      </c>
      <c r="J36" s="31">
        <v>15.5</v>
      </c>
      <c r="K36" s="31">
        <v>16</v>
      </c>
      <c r="L36" s="4">
        <v>0.5</v>
      </c>
      <c r="M36" s="5">
        <v>0.7</v>
      </c>
      <c r="N36" s="31">
        <v>0.35</v>
      </c>
      <c r="O36" s="31">
        <v>0.49</v>
      </c>
      <c r="P36" s="31">
        <v>0.27</v>
      </c>
      <c r="Q36" s="86">
        <v>54</v>
      </c>
      <c r="R36" s="31">
        <v>6</v>
      </c>
      <c r="S36" s="31"/>
      <c r="T36" s="31">
        <v>6</v>
      </c>
      <c r="U36" s="31">
        <v>81.666666666666671</v>
      </c>
      <c r="V36" s="67">
        <v>2</v>
      </c>
      <c r="AA36" s="18" t="s">
        <v>6</v>
      </c>
      <c r="AB36" s="18">
        <v>2024</v>
      </c>
      <c r="AC36" s="18" t="s">
        <v>138</v>
      </c>
      <c r="AD36" s="18" t="s">
        <v>10</v>
      </c>
      <c r="AE36" s="18">
        <v>40</v>
      </c>
      <c r="AF36" s="18" t="s">
        <v>153</v>
      </c>
      <c r="AG36" s="18" t="s">
        <v>158</v>
      </c>
      <c r="AH36" s="31">
        <v>9</v>
      </c>
      <c r="AI36" s="31">
        <v>9.5</v>
      </c>
      <c r="AJ36" s="4">
        <v>0.5</v>
      </c>
      <c r="AK36" s="5">
        <v>0.8</v>
      </c>
      <c r="AL36" s="31">
        <v>0.4</v>
      </c>
      <c r="AM36" s="31">
        <v>0.41</v>
      </c>
      <c r="AN36" s="31">
        <v>0.21</v>
      </c>
      <c r="AO36" s="86">
        <v>42</v>
      </c>
      <c r="AP36" s="31">
        <v>4</v>
      </c>
      <c r="AQ36" s="31"/>
      <c r="AR36" s="31">
        <v>4</v>
      </c>
      <c r="AS36" s="31">
        <v>102.5</v>
      </c>
      <c r="AT36" s="67">
        <v>1</v>
      </c>
      <c r="AV36" s="18" t="s">
        <v>6</v>
      </c>
      <c r="AW36" s="18">
        <v>2024</v>
      </c>
      <c r="AX36" s="18" t="s">
        <v>138</v>
      </c>
      <c r="AY36" s="18" t="s">
        <v>10</v>
      </c>
      <c r="AZ36" s="18">
        <v>10</v>
      </c>
      <c r="BA36" s="18" t="s">
        <v>135</v>
      </c>
      <c r="BB36" s="18" t="s">
        <v>163</v>
      </c>
      <c r="BC36" s="31">
        <v>46.05</v>
      </c>
      <c r="BD36" s="31">
        <v>46.55</v>
      </c>
      <c r="BE36" s="4">
        <v>0.5</v>
      </c>
      <c r="BF36" s="5">
        <v>0.8</v>
      </c>
      <c r="BG36" s="31">
        <v>0.4</v>
      </c>
      <c r="BH36" s="31">
        <v>0.37</v>
      </c>
      <c r="BI36" s="31">
        <v>0</v>
      </c>
      <c r="BJ36" s="86">
        <v>0</v>
      </c>
      <c r="BK36" s="31">
        <v>5</v>
      </c>
      <c r="BL36" s="31"/>
      <c r="BM36" s="31">
        <v>5</v>
      </c>
      <c r="BN36" s="31">
        <v>74</v>
      </c>
      <c r="BO36" s="67">
        <v>2</v>
      </c>
    </row>
    <row r="37" spans="3:67" x14ac:dyDescent="0.25">
      <c r="C37" s="18" t="s">
        <v>6</v>
      </c>
      <c r="D37" s="18">
        <v>2024</v>
      </c>
      <c r="E37" s="18" t="s">
        <v>138</v>
      </c>
      <c r="F37" s="18" t="s">
        <v>10</v>
      </c>
      <c r="G37" s="18">
        <v>40</v>
      </c>
      <c r="H37" s="18" t="s">
        <v>153</v>
      </c>
      <c r="I37" s="18" t="s">
        <v>161</v>
      </c>
      <c r="J37" s="31">
        <v>16</v>
      </c>
      <c r="K37" s="31">
        <v>16.5</v>
      </c>
      <c r="L37" s="4">
        <v>0.5</v>
      </c>
      <c r="M37" s="5">
        <v>1</v>
      </c>
      <c r="N37" s="31">
        <v>0.5</v>
      </c>
      <c r="O37" s="31">
        <v>0.28000000000000003</v>
      </c>
      <c r="P37" s="31">
        <v>0.12</v>
      </c>
      <c r="Q37" s="86">
        <v>24</v>
      </c>
      <c r="R37" s="31">
        <v>3</v>
      </c>
      <c r="S37" s="31"/>
      <c r="T37" s="31">
        <v>3</v>
      </c>
      <c r="U37" s="31">
        <v>93.333333333333329</v>
      </c>
      <c r="V37" s="67">
        <v>2</v>
      </c>
      <c r="AA37" s="18" t="s">
        <v>6</v>
      </c>
      <c r="AB37" s="18">
        <v>2024</v>
      </c>
      <c r="AC37" s="18" t="s">
        <v>138</v>
      </c>
      <c r="AD37" s="18" t="s">
        <v>10</v>
      </c>
      <c r="AE37" s="18">
        <v>40</v>
      </c>
      <c r="AF37" s="18" t="s">
        <v>153</v>
      </c>
      <c r="AG37" s="18" t="s">
        <v>159</v>
      </c>
      <c r="AH37" s="31">
        <v>9.5</v>
      </c>
      <c r="AI37" s="31">
        <v>10</v>
      </c>
      <c r="AJ37" s="4">
        <v>0.5</v>
      </c>
      <c r="AK37" s="5">
        <v>0.86</v>
      </c>
      <c r="AL37" s="31">
        <v>0.43</v>
      </c>
      <c r="AM37" s="31">
        <v>0.43</v>
      </c>
      <c r="AN37" s="31">
        <v>0.25</v>
      </c>
      <c r="AO37" s="86">
        <v>50</v>
      </c>
      <c r="AP37" s="31">
        <v>4</v>
      </c>
      <c r="AQ37" s="31"/>
      <c r="AR37" s="31">
        <v>4</v>
      </c>
      <c r="AS37" s="31">
        <v>107.5</v>
      </c>
      <c r="AT37" s="67">
        <v>4</v>
      </c>
      <c r="AV37" s="18" t="s">
        <v>6</v>
      </c>
      <c r="AW37" s="18">
        <v>2024</v>
      </c>
      <c r="AX37" s="18" t="s">
        <v>138</v>
      </c>
      <c r="AY37" s="18" t="s">
        <v>10</v>
      </c>
      <c r="AZ37" s="18">
        <v>10</v>
      </c>
      <c r="BA37" s="18" t="s">
        <v>135</v>
      </c>
      <c r="BB37" s="18" t="s">
        <v>163</v>
      </c>
      <c r="BC37" s="31">
        <v>46.55</v>
      </c>
      <c r="BD37" s="31">
        <v>47.05</v>
      </c>
      <c r="BE37" s="4">
        <v>0.5</v>
      </c>
      <c r="BF37" s="5">
        <v>0.78</v>
      </c>
      <c r="BG37" s="31">
        <v>0.39</v>
      </c>
      <c r="BH37" s="31">
        <v>0.33</v>
      </c>
      <c r="BI37" s="31">
        <v>0</v>
      </c>
      <c r="BJ37" s="86">
        <v>0</v>
      </c>
      <c r="BK37" s="31">
        <v>7</v>
      </c>
      <c r="BL37" s="31"/>
      <c r="BM37" s="31">
        <v>7</v>
      </c>
      <c r="BN37" s="31">
        <v>47.142857142857146</v>
      </c>
      <c r="BO37" s="67">
        <v>2</v>
      </c>
    </row>
    <row r="38" spans="3:67" x14ac:dyDescent="0.25">
      <c r="C38" s="18" t="s">
        <v>6</v>
      </c>
      <c r="D38" s="18">
        <v>2024</v>
      </c>
      <c r="E38" s="18" t="s">
        <v>138</v>
      </c>
      <c r="F38" s="18" t="s">
        <v>10</v>
      </c>
      <c r="G38" s="18">
        <v>40</v>
      </c>
      <c r="H38" s="18" t="s">
        <v>153</v>
      </c>
      <c r="I38" s="18" t="s">
        <v>161</v>
      </c>
      <c r="J38" s="31">
        <v>16.5</v>
      </c>
      <c r="K38" s="31">
        <v>17</v>
      </c>
      <c r="L38" s="4">
        <v>0.5</v>
      </c>
      <c r="M38" s="5">
        <v>0.62</v>
      </c>
      <c r="N38" s="31">
        <v>0.31</v>
      </c>
      <c r="O38" s="31">
        <v>0.33</v>
      </c>
      <c r="P38" s="31">
        <v>0</v>
      </c>
      <c r="Q38" s="86">
        <v>0</v>
      </c>
      <c r="R38" s="31">
        <v>6</v>
      </c>
      <c r="S38" s="31"/>
      <c r="T38" s="31">
        <v>6</v>
      </c>
      <c r="U38" s="31">
        <v>55</v>
      </c>
      <c r="V38" s="67">
        <v>2</v>
      </c>
      <c r="AA38" s="18" t="s">
        <v>6</v>
      </c>
      <c r="AB38" s="18">
        <v>2024</v>
      </c>
      <c r="AC38" s="18" t="s">
        <v>138</v>
      </c>
      <c r="AD38" s="18" t="s">
        <v>10</v>
      </c>
      <c r="AE38" s="18">
        <v>40</v>
      </c>
      <c r="AF38" s="18" t="s">
        <v>153</v>
      </c>
      <c r="AG38" s="18" t="s">
        <v>159</v>
      </c>
      <c r="AH38" s="31">
        <v>12</v>
      </c>
      <c r="AI38" s="31">
        <v>12.5</v>
      </c>
      <c r="AJ38" s="4">
        <v>0.5</v>
      </c>
      <c r="AK38" s="5">
        <v>0.7</v>
      </c>
      <c r="AL38" s="31">
        <v>0.35</v>
      </c>
      <c r="AM38" s="31">
        <v>0.22</v>
      </c>
      <c r="AN38" s="31">
        <v>0.19</v>
      </c>
      <c r="AO38" s="86">
        <v>38</v>
      </c>
      <c r="AP38" s="31">
        <v>5</v>
      </c>
      <c r="AQ38" s="31"/>
      <c r="AR38" s="31">
        <v>5</v>
      </c>
      <c r="AS38" s="31">
        <v>44</v>
      </c>
      <c r="AT38" s="67">
        <v>2</v>
      </c>
      <c r="AV38" s="18" t="s">
        <v>6</v>
      </c>
      <c r="AW38" s="18">
        <v>2024</v>
      </c>
      <c r="AX38" s="18" t="s">
        <v>138</v>
      </c>
      <c r="AY38" s="18" t="s">
        <v>10</v>
      </c>
      <c r="AZ38" s="18">
        <v>10</v>
      </c>
      <c r="BA38" s="18" t="s">
        <v>135</v>
      </c>
      <c r="BB38" s="18" t="s">
        <v>163</v>
      </c>
      <c r="BC38" s="31">
        <v>47.05</v>
      </c>
      <c r="BD38" s="31">
        <v>47.55</v>
      </c>
      <c r="BE38" s="4">
        <v>0.5</v>
      </c>
      <c r="BF38" s="5">
        <v>0.9</v>
      </c>
      <c r="BG38" s="31">
        <v>0.45</v>
      </c>
      <c r="BH38" s="31">
        <v>0.45</v>
      </c>
      <c r="BI38" s="31">
        <v>0.18</v>
      </c>
      <c r="BJ38" s="86">
        <v>36</v>
      </c>
      <c r="BK38" s="31">
        <v>3</v>
      </c>
      <c r="BL38" s="31"/>
      <c r="BM38" s="31">
        <v>3</v>
      </c>
      <c r="BN38" s="31">
        <v>150</v>
      </c>
      <c r="BO38" s="67">
        <v>2</v>
      </c>
    </row>
    <row r="39" spans="3:67" x14ac:dyDescent="0.25">
      <c r="C39" s="18" t="s">
        <v>6</v>
      </c>
      <c r="D39" s="18">
        <v>2024</v>
      </c>
      <c r="E39" s="18" t="s">
        <v>138</v>
      </c>
      <c r="F39" s="18" t="s">
        <v>10</v>
      </c>
      <c r="G39" s="18">
        <v>40</v>
      </c>
      <c r="H39" s="18" t="s">
        <v>153</v>
      </c>
      <c r="I39" s="18" t="s">
        <v>161</v>
      </c>
      <c r="J39" s="31">
        <v>17</v>
      </c>
      <c r="K39" s="31">
        <v>17.5</v>
      </c>
      <c r="L39" s="4">
        <v>0.5</v>
      </c>
      <c r="M39" s="5">
        <v>0.64</v>
      </c>
      <c r="N39" s="31">
        <v>0.32</v>
      </c>
      <c r="O39" s="31">
        <v>0.19</v>
      </c>
      <c r="P39" s="31">
        <v>0</v>
      </c>
      <c r="Q39" s="86">
        <v>0</v>
      </c>
      <c r="R39" s="31">
        <v>10</v>
      </c>
      <c r="S39" s="31"/>
      <c r="T39" s="31">
        <v>10</v>
      </c>
      <c r="U39" s="31">
        <v>19</v>
      </c>
      <c r="V39" s="67">
        <v>2</v>
      </c>
      <c r="AA39" s="18" t="s">
        <v>6</v>
      </c>
      <c r="AB39" s="18">
        <v>2024</v>
      </c>
      <c r="AC39" s="18" t="s">
        <v>138</v>
      </c>
      <c r="AD39" s="18" t="s">
        <v>10</v>
      </c>
      <c r="AE39" s="18">
        <v>40</v>
      </c>
      <c r="AF39" s="18" t="s">
        <v>153</v>
      </c>
      <c r="AG39" s="18" t="s">
        <v>159</v>
      </c>
      <c r="AH39" s="31">
        <v>12.5</v>
      </c>
      <c r="AI39" s="31">
        <v>13</v>
      </c>
      <c r="AJ39" s="4">
        <v>0.5</v>
      </c>
      <c r="AK39" s="5">
        <v>0.5</v>
      </c>
      <c r="AL39" s="31">
        <v>0.25</v>
      </c>
      <c r="AM39" s="31">
        <v>0.23</v>
      </c>
      <c r="AN39" s="31">
        <v>0.11</v>
      </c>
      <c r="AO39" s="86">
        <v>22</v>
      </c>
      <c r="AP39" s="31">
        <v>5</v>
      </c>
      <c r="AQ39" s="31"/>
      <c r="AR39" s="31">
        <v>5</v>
      </c>
      <c r="AS39" s="31">
        <v>46</v>
      </c>
      <c r="AT39" s="67">
        <v>2</v>
      </c>
      <c r="AV39" s="18" t="s">
        <v>6</v>
      </c>
      <c r="AW39" s="18">
        <v>2024</v>
      </c>
      <c r="AX39" s="18" t="s">
        <v>138</v>
      </c>
      <c r="AY39" s="18" t="s">
        <v>10</v>
      </c>
      <c r="AZ39" s="18">
        <v>10</v>
      </c>
      <c r="BA39" s="18" t="s">
        <v>135</v>
      </c>
      <c r="BB39" s="18" t="s">
        <v>163</v>
      </c>
      <c r="BC39" s="31">
        <v>47.55</v>
      </c>
      <c r="BD39" s="31">
        <v>48.05</v>
      </c>
      <c r="BE39" s="4">
        <v>0.5</v>
      </c>
      <c r="BF39" s="5">
        <v>0.86</v>
      </c>
      <c r="BG39" s="31">
        <v>0.43</v>
      </c>
      <c r="BH39" s="31">
        <v>0.39</v>
      </c>
      <c r="BI39" s="31">
        <v>0.14000000000000001</v>
      </c>
      <c r="BJ39" s="86">
        <v>28.000000000000004</v>
      </c>
      <c r="BK39" s="31">
        <v>6</v>
      </c>
      <c r="BL39" s="31"/>
      <c r="BM39" s="31">
        <v>6</v>
      </c>
      <c r="BN39" s="31">
        <v>65</v>
      </c>
      <c r="BO39" s="67">
        <v>1</v>
      </c>
    </row>
    <row r="40" spans="3:67" x14ac:dyDescent="0.25">
      <c r="C40" s="18" t="s">
        <v>6</v>
      </c>
      <c r="D40" s="18">
        <v>2024</v>
      </c>
      <c r="E40" s="18" t="s">
        <v>138</v>
      </c>
      <c r="F40" s="18" t="s">
        <v>10</v>
      </c>
      <c r="G40" s="18">
        <v>30</v>
      </c>
      <c r="H40" s="18" t="s">
        <v>152</v>
      </c>
      <c r="I40" s="18" t="s">
        <v>161</v>
      </c>
      <c r="J40" s="31">
        <v>17.5</v>
      </c>
      <c r="K40" s="31">
        <v>18</v>
      </c>
      <c r="L40" s="4">
        <v>0.5</v>
      </c>
      <c r="M40" s="5">
        <v>0.42</v>
      </c>
      <c r="N40" s="31">
        <v>0.21</v>
      </c>
      <c r="O40" s="31">
        <v>0.31</v>
      </c>
      <c r="P40" s="31">
        <v>0</v>
      </c>
      <c r="Q40" s="86">
        <v>0</v>
      </c>
      <c r="R40" s="31">
        <v>6</v>
      </c>
      <c r="S40" s="31"/>
      <c r="T40" s="31">
        <v>6</v>
      </c>
      <c r="U40" s="31">
        <v>51.666666666666664</v>
      </c>
      <c r="V40" s="67">
        <v>2</v>
      </c>
      <c r="AA40" s="18" t="s">
        <v>6</v>
      </c>
      <c r="AB40" s="18">
        <v>2024</v>
      </c>
      <c r="AC40" s="18" t="s">
        <v>138</v>
      </c>
      <c r="AD40" s="18" t="s">
        <v>10</v>
      </c>
      <c r="AE40" s="18">
        <v>40</v>
      </c>
      <c r="AF40" s="18" t="s">
        <v>153</v>
      </c>
      <c r="AG40" s="18" t="s">
        <v>159</v>
      </c>
      <c r="AH40" s="31">
        <v>13</v>
      </c>
      <c r="AI40" s="31">
        <v>13.5</v>
      </c>
      <c r="AJ40" s="4">
        <v>0.5</v>
      </c>
      <c r="AK40" s="5">
        <v>0.5</v>
      </c>
      <c r="AL40" s="31">
        <v>0.25</v>
      </c>
      <c r="AM40" s="31">
        <v>0.22</v>
      </c>
      <c r="AN40" s="31">
        <v>0.12</v>
      </c>
      <c r="AO40" s="86">
        <v>24</v>
      </c>
      <c r="AP40" s="31">
        <v>3</v>
      </c>
      <c r="AQ40" s="31"/>
      <c r="AR40" s="31">
        <v>3</v>
      </c>
      <c r="AS40" s="31">
        <v>73.333333333333329</v>
      </c>
      <c r="AT40" s="67">
        <v>0</v>
      </c>
      <c r="AV40" s="18" t="s">
        <v>6</v>
      </c>
      <c r="AW40" s="18">
        <v>2024</v>
      </c>
      <c r="AX40" s="18" t="s">
        <v>138</v>
      </c>
      <c r="AY40" s="18" t="s">
        <v>10</v>
      </c>
      <c r="AZ40" s="18">
        <v>10</v>
      </c>
      <c r="BA40" s="18" t="s">
        <v>135</v>
      </c>
      <c r="BB40" s="18" t="s">
        <v>163</v>
      </c>
      <c r="BC40" s="31">
        <v>48.05</v>
      </c>
      <c r="BD40" s="31">
        <v>48.55</v>
      </c>
      <c r="BE40" s="4">
        <v>0.5</v>
      </c>
      <c r="BF40" s="5">
        <v>0.96</v>
      </c>
      <c r="BG40" s="31">
        <v>0.48</v>
      </c>
      <c r="BH40" s="31">
        <v>0.42</v>
      </c>
      <c r="BI40" s="31">
        <v>0.12</v>
      </c>
      <c r="BJ40" s="86">
        <v>24</v>
      </c>
      <c r="BK40" s="31">
        <v>6</v>
      </c>
      <c r="BL40" s="31"/>
      <c r="BM40" s="31">
        <v>6</v>
      </c>
      <c r="BN40" s="31">
        <v>70</v>
      </c>
      <c r="BO40" s="67">
        <v>1</v>
      </c>
    </row>
    <row r="41" spans="3:67" x14ac:dyDescent="0.25">
      <c r="C41" s="18" t="s">
        <v>6</v>
      </c>
      <c r="D41" s="18">
        <v>2024</v>
      </c>
      <c r="E41" s="18" t="s">
        <v>138</v>
      </c>
      <c r="F41" s="18" t="s">
        <v>10</v>
      </c>
      <c r="G41" s="18">
        <v>30</v>
      </c>
      <c r="H41" s="18" t="s">
        <v>152</v>
      </c>
      <c r="I41" s="18" t="s">
        <v>161</v>
      </c>
      <c r="J41" s="31">
        <v>18</v>
      </c>
      <c r="K41" s="31">
        <v>18.5</v>
      </c>
      <c r="L41" s="4">
        <v>0.5</v>
      </c>
      <c r="M41" s="5">
        <v>0.6</v>
      </c>
      <c r="N41" s="31">
        <v>0.3</v>
      </c>
      <c r="O41" s="31">
        <v>0.13</v>
      </c>
      <c r="P41" s="31">
        <v>0</v>
      </c>
      <c r="Q41" s="86">
        <v>0</v>
      </c>
      <c r="R41" s="31">
        <v>10</v>
      </c>
      <c r="S41" s="31"/>
      <c r="T41" s="31">
        <v>10</v>
      </c>
      <c r="U41" s="31">
        <v>13</v>
      </c>
      <c r="V41" s="67">
        <v>2</v>
      </c>
      <c r="AA41" s="18" t="s">
        <v>6</v>
      </c>
      <c r="AB41" s="18">
        <v>2024</v>
      </c>
      <c r="AC41" s="18" t="s">
        <v>138</v>
      </c>
      <c r="AD41" s="18" t="s">
        <v>10</v>
      </c>
      <c r="AE41" s="18">
        <v>40</v>
      </c>
      <c r="AF41" s="18" t="s">
        <v>153</v>
      </c>
      <c r="AG41" s="18" t="s">
        <v>160</v>
      </c>
      <c r="AH41" s="31">
        <v>13.5</v>
      </c>
      <c r="AI41" s="31">
        <v>14</v>
      </c>
      <c r="AJ41" s="4">
        <v>0.5</v>
      </c>
      <c r="AK41" s="5">
        <v>0.48</v>
      </c>
      <c r="AL41" s="31">
        <v>0.24</v>
      </c>
      <c r="AM41" s="31">
        <v>0.42</v>
      </c>
      <c r="AN41" s="31">
        <v>0.14000000000000001</v>
      </c>
      <c r="AO41" s="86">
        <v>28.000000000000004</v>
      </c>
      <c r="AP41" s="31">
        <v>3</v>
      </c>
      <c r="AQ41" s="31"/>
      <c r="AR41" s="31">
        <v>3</v>
      </c>
      <c r="AS41" s="31">
        <v>140</v>
      </c>
      <c r="AT41" s="67">
        <v>0</v>
      </c>
      <c r="AV41" s="18" t="s">
        <v>6</v>
      </c>
      <c r="AW41" s="18">
        <v>2024</v>
      </c>
      <c r="AX41" s="18" t="s">
        <v>138</v>
      </c>
      <c r="AY41" s="18" t="s">
        <v>10</v>
      </c>
      <c r="AZ41" s="18">
        <v>10</v>
      </c>
      <c r="BA41" s="18" t="s">
        <v>135</v>
      </c>
      <c r="BB41" s="18" t="s">
        <v>163</v>
      </c>
      <c r="BC41" s="31">
        <v>48.55</v>
      </c>
      <c r="BD41" s="31">
        <v>49.05</v>
      </c>
      <c r="BE41" s="4">
        <v>0.5</v>
      </c>
      <c r="BF41" s="5">
        <v>0.9</v>
      </c>
      <c r="BG41" s="31">
        <v>0.45</v>
      </c>
      <c r="BH41" s="31">
        <v>0.4</v>
      </c>
      <c r="BI41" s="31">
        <v>0</v>
      </c>
      <c r="BJ41" s="86">
        <v>0</v>
      </c>
      <c r="BK41" s="31">
        <v>14</v>
      </c>
      <c r="BL41" s="31"/>
      <c r="BM41" s="31">
        <v>14</v>
      </c>
      <c r="BN41" s="31">
        <v>28.571428571428573</v>
      </c>
      <c r="BO41" s="67">
        <v>1</v>
      </c>
    </row>
    <row r="42" spans="3:67" x14ac:dyDescent="0.25">
      <c r="C42" s="18" t="s">
        <v>6</v>
      </c>
      <c r="D42" s="18">
        <v>2024</v>
      </c>
      <c r="E42" s="18" t="s">
        <v>138</v>
      </c>
      <c r="F42" s="18" t="s">
        <v>10</v>
      </c>
      <c r="G42" s="18">
        <v>30</v>
      </c>
      <c r="H42" s="18" t="s">
        <v>152</v>
      </c>
      <c r="I42" s="18" t="s">
        <v>161</v>
      </c>
      <c r="J42" s="31">
        <v>18.5</v>
      </c>
      <c r="K42" s="31">
        <v>19</v>
      </c>
      <c r="L42" s="4">
        <v>0.5</v>
      </c>
      <c r="M42" s="5">
        <v>0.34</v>
      </c>
      <c r="N42" s="31">
        <v>0.17</v>
      </c>
      <c r="O42" s="31">
        <v>0.11</v>
      </c>
      <c r="P42" s="31">
        <v>0</v>
      </c>
      <c r="Q42" s="86">
        <v>0</v>
      </c>
      <c r="R42" s="31">
        <v>10</v>
      </c>
      <c r="S42" s="31"/>
      <c r="T42" s="31">
        <v>10</v>
      </c>
      <c r="U42" s="31">
        <v>11</v>
      </c>
      <c r="V42" s="67">
        <v>2</v>
      </c>
      <c r="AA42" s="18" t="s">
        <v>6</v>
      </c>
      <c r="AB42" s="18">
        <v>2024</v>
      </c>
      <c r="AC42" s="18" t="s">
        <v>138</v>
      </c>
      <c r="AD42" s="18" t="s">
        <v>10</v>
      </c>
      <c r="AE42" s="18">
        <v>40</v>
      </c>
      <c r="AF42" s="18" t="s">
        <v>153</v>
      </c>
      <c r="AG42" s="18" t="s">
        <v>160</v>
      </c>
      <c r="AH42" s="31">
        <v>14</v>
      </c>
      <c r="AI42" s="31">
        <v>14.5</v>
      </c>
      <c r="AJ42" s="4">
        <v>0.5</v>
      </c>
      <c r="AK42" s="5">
        <v>0.9</v>
      </c>
      <c r="AL42" s="31">
        <v>0.45</v>
      </c>
      <c r="AM42" s="31">
        <v>0.42</v>
      </c>
      <c r="AN42" s="31">
        <v>0.22</v>
      </c>
      <c r="AO42" s="86">
        <v>44</v>
      </c>
      <c r="AP42" s="31">
        <v>6</v>
      </c>
      <c r="AQ42" s="31"/>
      <c r="AR42" s="31">
        <v>6</v>
      </c>
      <c r="AS42" s="31">
        <v>70</v>
      </c>
      <c r="AT42" s="67">
        <v>0</v>
      </c>
      <c r="AV42" s="18" t="s">
        <v>6</v>
      </c>
      <c r="AW42" s="18">
        <v>2024</v>
      </c>
      <c r="AX42" s="18" t="s">
        <v>138</v>
      </c>
      <c r="AY42" s="18" t="s">
        <v>10</v>
      </c>
      <c r="AZ42" s="18">
        <v>10</v>
      </c>
      <c r="BA42" s="18" t="s">
        <v>135</v>
      </c>
      <c r="BB42" s="18" t="s">
        <v>163</v>
      </c>
      <c r="BC42" s="31">
        <v>49.05</v>
      </c>
      <c r="BD42" s="31">
        <v>49.6</v>
      </c>
      <c r="BE42" s="4">
        <v>0.55000000000000426</v>
      </c>
      <c r="BF42" s="5">
        <v>1</v>
      </c>
      <c r="BG42" s="31">
        <v>0.55000000000000426</v>
      </c>
      <c r="BH42" s="31">
        <v>0.43</v>
      </c>
      <c r="BI42" s="31">
        <v>0.19</v>
      </c>
      <c r="BJ42" s="86">
        <v>34.545454545454277</v>
      </c>
      <c r="BK42" s="31">
        <v>6</v>
      </c>
      <c r="BL42" s="31"/>
      <c r="BM42" s="31">
        <v>6</v>
      </c>
      <c r="BN42" s="31">
        <v>71.666666666666671</v>
      </c>
      <c r="BO42" s="67">
        <v>1</v>
      </c>
    </row>
    <row r="43" spans="3:67" x14ac:dyDescent="0.25">
      <c r="C43" s="18" t="s">
        <v>6</v>
      </c>
      <c r="D43" s="18">
        <v>2024</v>
      </c>
      <c r="E43" s="18" t="s">
        <v>138</v>
      </c>
      <c r="F43" s="18" t="s">
        <v>10</v>
      </c>
      <c r="G43" s="18">
        <v>30</v>
      </c>
      <c r="H43" s="18" t="s">
        <v>152</v>
      </c>
      <c r="I43" s="18" t="s">
        <v>161</v>
      </c>
      <c r="J43" s="31">
        <v>19</v>
      </c>
      <c r="K43" s="31">
        <v>19.5</v>
      </c>
      <c r="L43" s="4">
        <v>0.5</v>
      </c>
      <c r="M43" s="5">
        <v>0.5</v>
      </c>
      <c r="N43" s="31">
        <v>0.25</v>
      </c>
      <c r="O43" s="31">
        <v>0.14000000000000001</v>
      </c>
      <c r="P43" s="31">
        <v>0</v>
      </c>
      <c r="Q43" s="86">
        <v>0</v>
      </c>
      <c r="R43" s="31">
        <v>10</v>
      </c>
      <c r="S43" s="31"/>
      <c r="T43" s="31">
        <v>10</v>
      </c>
      <c r="U43" s="31">
        <v>14</v>
      </c>
      <c r="V43" s="67">
        <v>2</v>
      </c>
      <c r="AA43" s="18" t="s">
        <v>6</v>
      </c>
      <c r="AB43" s="18">
        <v>2024</v>
      </c>
      <c r="AC43" s="18" t="s">
        <v>138</v>
      </c>
      <c r="AD43" s="18" t="s">
        <v>10</v>
      </c>
      <c r="AE43" s="18">
        <v>40</v>
      </c>
      <c r="AF43" s="18" t="s">
        <v>153</v>
      </c>
      <c r="AG43" s="18" t="s">
        <v>161</v>
      </c>
      <c r="AH43" s="31">
        <v>14.5</v>
      </c>
      <c r="AI43" s="31">
        <v>15</v>
      </c>
      <c r="AJ43" s="4">
        <v>0.5</v>
      </c>
      <c r="AK43" s="5">
        <v>0.9</v>
      </c>
      <c r="AL43" s="31">
        <v>0.45</v>
      </c>
      <c r="AM43" s="31">
        <v>0.37</v>
      </c>
      <c r="AN43" s="31">
        <v>0.2</v>
      </c>
      <c r="AO43" s="86">
        <v>40</v>
      </c>
      <c r="AP43" s="31">
        <v>4</v>
      </c>
      <c r="AQ43" s="31"/>
      <c r="AR43" s="31">
        <v>4</v>
      </c>
      <c r="AS43" s="31">
        <v>92.5</v>
      </c>
      <c r="AT43" s="67">
        <v>2</v>
      </c>
      <c r="AV43" s="18" t="s">
        <v>6</v>
      </c>
      <c r="AW43" s="18">
        <v>2024</v>
      </c>
      <c r="AX43" s="18" t="s">
        <v>138</v>
      </c>
      <c r="AY43" s="18" t="s">
        <v>10</v>
      </c>
      <c r="AZ43" s="18">
        <v>10</v>
      </c>
      <c r="BA43" s="18" t="s">
        <v>135</v>
      </c>
      <c r="BB43" s="18" t="s">
        <v>163</v>
      </c>
      <c r="BC43" s="31">
        <v>49.6</v>
      </c>
      <c r="BD43" s="31">
        <v>50.15</v>
      </c>
      <c r="BE43" s="4">
        <v>0.54999999999999716</v>
      </c>
      <c r="BF43" s="5">
        <v>1</v>
      </c>
      <c r="BG43" s="31">
        <v>0.54999999999999716</v>
      </c>
      <c r="BH43" s="31">
        <v>0.53</v>
      </c>
      <c r="BI43" s="31">
        <v>0</v>
      </c>
      <c r="BJ43" s="86">
        <v>0</v>
      </c>
      <c r="BK43" s="31">
        <v>10</v>
      </c>
      <c r="BL43" s="31"/>
      <c r="BM43" s="31">
        <v>10</v>
      </c>
      <c r="BN43" s="31">
        <v>53</v>
      </c>
      <c r="BO43" s="67">
        <v>1</v>
      </c>
    </row>
    <row r="44" spans="3:67" x14ac:dyDescent="0.25">
      <c r="C44" s="18" t="s">
        <v>6</v>
      </c>
      <c r="D44" s="18">
        <v>2024</v>
      </c>
      <c r="E44" s="18" t="s">
        <v>138</v>
      </c>
      <c r="F44" s="18" t="s">
        <v>10</v>
      </c>
      <c r="G44" s="18">
        <v>30</v>
      </c>
      <c r="H44" s="18" t="s">
        <v>152</v>
      </c>
      <c r="I44" s="18" t="s">
        <v>161</v>
      </c>
      <c r="J44" s="31">
        <v>19.5</v>
      </c>
      <c r="K44" s="31">
        <v>20</v>
      </c>
      <c r="L44" s="4">
        <v>0.5</v>
      </c>
      <c r="M44" s="5">
        <v>0.3</v>
      </c>
      <c r="N44" s="31">
        <v>0.15</v>
      </c>
      <c r="O44" s="31">
        <v>0.23</v>
      </c>
      <c r="P44" s="31">
        <v>0</v>
      </c>
      <c r="Q44" s="86">
        <v>0</v>
      </c>
      <c r="R44" s="31">
        <v>10</v>
      </c>
      <c r="S44" s="31"/>
      <c r="T44" s="31">
        <v>10</v>
      </c>
      <c r="U44" s="31">
        <v>23</v>
      </c>
      <c r="V44" s="67">
        <v>2</v>
      </c>
      <c r="AA44" s="18" t="s">
        <v>6</v>
      </c>
      <c r="AB44" s="18">
        <v>2024</v>
      </c>
      <c r="AC44" s="18" t="s">
        <v>138</v>
      </c>
      <c r="AD44" s="18" t="s">
        <v>10</v>
      </c>
      <c r="AE44" s="18">
        <v>40</v>
      </c>
      <c r="AF44" s="18" t="s">
        <v>153</v>
      </c>
      <c r="AG44" s="18" t="s">
        <v>161</v>
      </c>
      <c r="AH44" s="31">
        <v>15</v>
      </c>
      <c r="AI44" s="31">
        <v>15.5</v>
      </c>
      <c r="AJ44" s="4">
        <v>0.5</v>
      </c>
      <c r="AK44" s="5">
        <v>0.74</v>
      </c>
      <c r="AL44" s="31">
        <v>0.37</v>
      </c>
      <c r="AM44" s="31">
        <v>0.34</v>
      </c>
      <c r="AN44" s="31">
        <v>0</v>
      </c>
      <c r="AO44" s="86">
        <v>0</v>
      </c>
      <c r="AP44" s="31">
        <v>7</v>
      </c>
      <c r="AQ44" s="31"/>
      <c r="AR44" s="31">
        <v>7</v>
      </c>
      <c r="AS44" s="31">
        <v>48.571428571428569</v>
      </c>
      <c r="AT44" s="67">
        <v>4</v>
      </c>
      <c r="AV44" s="18" t="s">
        <v>6</v>
      </c>
      <c r="AW44" s="18">
        <v>2024</v>
      </c>
      <c r="AX44" s="18" t="s">
        <v>138</v>
      </c>
      <c r="AY44" s="18" t="s">
        <v>10</v>
      </c>
      <c r="AZ44" s="18">
        <v>10</v>
      </c>
      <c r="BA44" s="18" t="s">
        <v>135</v>
      </c>
      <c r="BB44" s="18" t="s">
        <v>163</v>
      </c>
      <c r="BC44" s="31">
        <v>50.15</v>
      </c>
      <c r="BD44" s="31">
        <v>50.85</v>
      </c>
      <c r="BE44" s="4">
        <v>0.70000000000000284</v>
      </c>
      <c r="BF44" s="5">
        <v>1</v>
      </c>
      <c r="BG44" s="31">
        <v>0.70000000000000284</v>
      </c>
      <c r="BH44" s="31">
        <v>0.7</v>
      </c>
      <c r="BI44" s="31">
        <v>0.25</v>
      </c>
      <c r="BJ44" s="86">
        <v>35.714285714285573</v>
      </c>
      <c r="BK44" s="31">
        <v>7</v>
      </c>
      <c r="BL44" s="31"/>
      <c r="BM44" s="31">
        <v>7</v>
      </c>
      <c r="BN44" s="31">
        <v>100</v>
      </c>
      <c r="BO44" s="67">
        <v>2</v>
      </c>
    </row>
    <row r="45" spans="3:67" x14ac:dyDescent="0.25">
      <c r="C45" s="18" t="s">
        <v>6</v>
      </c>
      <c r="D45" s="18">
        <v>2024</v>
      </c>
      <c r="E45" s="18" t="s">
        <v>138</v>
      </c>
      <c r="F45" s="18" t="s">
        <v>10</v>
      </c>
      <c r="G45" s="18">
        <v>30</v>
      </c>
      <c r="H45" s="18" t="s">
        <v>152</v>
      </c>
      <c r="I45" s="18" t="s">
        <v>161</v>
      </c>
      <c r="J45" s="31">
        <v>20</v>
      </c>
      <c r="K45" s="31">
        <v>20.5</v>
      </c>
      <c r="L45" s="4">
        <v>0.5</v>
      </c>
      <c r="M45" s="5">
        <v>0.5</v>
      </c>
      <c r="N45" s="31">
        <v>0.25</v>
      </c>
      <c r="O45" s="31">
        <v>0.17</v>
      </c>
      <c r="P45" s="31">
        <v>0.11</v>
      </c>
      <c r="Q45" s="86">
        <v>22</v>
      </c>
      <c r="R45" s="31">
        <v>5</v>
      </c>
      <c r="S45" s="31"/>
      <c r="T45" s="31">
        <v>5</v>
      </c>
      <c r="U45" s="31">
        <v>34</v>
      </c>
      <c r="V45" s="67">
        <v>7</v>
      </c>
      <c r="AA45" s="18" t="s">
        <v>6</v>
      </c>
      <c r="AB45" s="18">
        <v>2024</v>
      </c>
      <c r="AC45" s="18" t="s">
        <v>138</v>
      </c>
      <c r="AD45" s="18" t="s">
        <v>10</v>
      </c>
      <c r="AE45" s="18">
        <v>40</v>
      </c>
      <c r="AF45" s="18" t="s">
        <v>153</v>
      </c>
      <c r="AG45" s="18" t="s">
        <v>161</v>
      </c>
      <c r="AH45" s="31">
        <v>15.5</v>
      </c>
      <c r="AI45" s="31">
        <v>16</v>
      </c>
      <c r="AJ45" s="4">
        <v>0.5</v>
      </c>
      <c r="AK45" s="5">
        <v>0.7</v>
      </c>
      <c r="AL45" s="31">
        <v>0.35</v>
      </c>
      <c r="AM45" s="31">
        <v>0.49</v>
      </c>
      <c r="AN45" s="31">
        <v>0.27</v>
      </c>
      <c r="AO45" s="86">
        <v>54</v>
      </c>
      <c r="AP45" s="31">
        <v>6</v>
      </c>
      <c r="AQ45" s="31"/>
      <c r="AR45" s="31">
        <v>6</v>
      </c>
      <c r="AS45" s="31">
        <v>81.666666666666671</v>
      </c>
      <c r="AT45" s="67">
        <v>2</v>
      </c>
      <c r="AV45" s="18" t="s">
        <v>6</v>
      </c>
      <c r="AW45" s="18">
        <v>2024</v>
      </c>
      <c r="AX45" s="18" t="s">
        <v>138</v>
      </c>
      <c r="AY45" s="18" t="s">
        <v>10</v>
      </c>
      <c r="AZ45" s="18">
        <v>10</v>
      </c>
      <c r="BA45" s="18" t="s">
        <v>135</v>
      </c>
      <c r="BB45" s="18" t="s">
        <v>163</v>
      </c>
      <c r="BC45" s="31">
        <v>50.85</v>
      </c>
      <c r="BD45" s="31">
        <v>51.85</v>
      </c>
      <c r="BE45" s="4">
        <v>1</v>
      </c>
      <c r="BF45" s="5">
        <v>1</v>
      </c>
      <c r="BG45" s="31">
        <v>1</v>
      </c>
      <c r="BH45" s="31">
        <v>0.97</v>
      </c>
      <c r="BI45" s="31">
        <v>0.81</v>
      </c>
      <c r="BJ45" s="86">
        <v>81</v>
      </c>
      <c r="BK45" s="31">
        <v>2</v>
      </c>
      <c r="BL45" s="31"/>
      <c r="BM45" s="31">
        <v>2</v>
      </c>
      <c r="BN45" s="31">
        <v>485</v>
      </c>
      <c r="BO45" s="67">
        <v>7</v>
      </c>
    </row>
    <row r="46" spans="3:67" x14ac:dyDescent="0.25">
      <c r="C46" s="18" t="s">
        <v>6</v>
      </c>
      <c r="D46" s="18">
        <v>2024</v>
      </c>
      <c r="E46" s="18" t="s">
        <v>138</v>
      </c>
      <c r="F46" s="18" t="s">
        <v>10</v>
      </c>
      <c r="G46" s="18">
        <v>30</v>
      </c>
      <c r="H46" s="18" t="s">
        <v>152</v>
      </c>
      <c r="I46" s="18" t="s">
        <v>161</v>
      </c>
      <c r="J46" s="31">
        <v>20.5</v>
      </c>
      <c r="K46" s="31">
        <v>21</v>
      </c>
      <c r="L46" s="4">
        <v>0.5</v>
      </c>
      <c r="M46" s="5">
        <v>0.38</v>
      </c>
      <c r="N46" s="31">
        <v>0.19</v>
      </c>
      <c r="O46" s="31">
        <v>0.13</v>
      </c>
      <c r="P46" s="31">
        <v>0</v>
      </c>
      <c r="Q46" s="86">
        <v>0</v>
      </c>
      <c r="R46" s="31">
        <v>10</v>
      </c>
      <c r="S46" s="31"/>
      <c r="T46" s="31">
        <v>10</v>
      </c>
      <c r="U46" s="31">
        <v>13</v>
      </c>
      <c r="V46" s="67">
        <v>0</v>
      </c>
      <c r="AA46" s="18" t="s">
        <v>6</v>
      </c>
      <c r="AB46" s="18">
        <v>2024</v>
      </c>
      <c r="AC46" s="18" t="s">
        <v>138</v>
      </c>
      <c r="AD46" s="18" t="s">
        <v>10</v>
      </c>
      <c r="AE46" s="18">
        <v>40</v>
      </c>
      <c r="AF46" s="18" t="s">
        <v>153</v>
      </c>
      <c r="AG46" s="18" t="s">
        <v>161</v>
      </c>
      <c r="AH46" s="31">
        <v>16</v>
      </c>
      <c r="AI46" s="31">
        <v>16.5</v>
      </c>
      <c r="AJ46" s="4">
        <v>0.5</v>
      </c>
      <c r="AK46" s="5">
        <v>1</v>
      </c>
      <c r="AL46" s="31">
        <v>0.5</v>
      </c>
      <c r="AM46" s="31">
        <v>0.28000000000000003</v>
      </c>
      <c r="AN46" s="31">
        <v>0.12</v>
      </c>
      <c r="AO46" s="86">
        <v>24</v>
      </c>
      <c r="AP46" s="31">
        <v>3</v>
      </c>
      <c r="AQ46" s="31"/>
      <c r="AR46" s="31">
        <v>3</v>
      </c>
      <c r="AS46" s="31">
        <v>93.333333333333329</v>
      </c>
      <c r="AT46" s="67">
        <v>2</v>
      </c>
      <c r="AV46" s="18" t="s">
        <v>6</v>
      </c>
      <c r="AW46" s="18">
        <v>2024</v>
      </c>
      <c r="AX46" s="18" t="s">
        <v>138</v>
      </c>
      <c r="AY46" s="18" t="s">
        <v>10</v>
      </c>
      <c r="AZ46" s="18">
        <v>10</v>
      </c>
      <c r="BA46" s="18" t="s">
        <v>135</v>
      </c>
      <c r="BB46" s="18" t="s">
        <v>163</v>
      </c>
      <c r="BC46" s="31">
        <v>51.85</v>
      </c>
      <c r="BD46" s="31">
        <v>52.35</v>
      </c>
      <c r="BE46" s="4">
        <v>0.5</v>
      </c>
      <c r="BF46" s="5">
        <v>1</v>
      </c>
      <c r="BG46" s="31">
        <v>0.5</v>
      </c>
      <c r="BH46" s="31">
        <v>0.5</v>
      </c>
      <c r="BI46" s="31">
        <v>0.14000000000000001</v>
      </c>
      <c r="BJ46" s="86">
        <v>28.000000000000004</v>
      </c>
      <c r="BK46" s="31">
        <v>7</v>
      </c>
      <c r="BL46" s="31"/>
      <c r="BM46" s="31">
        <v>7</v>
      </c>
      <c r="BN46" s="31">
        <v>71.428571428571431</v>
      </c>
      <c r="BO46" s="67">
        <v>2</v>
      </c>
    </row>
    <row r="47" spans="3:67" x14ac:dyDescent="0.25">
      <c r="C47" s="18" t="s">
        <v>6</v>
      </c>
      <c r="D47" s="18">
        <v>2024</v>
      </c>
      <c r="E47" s="18" t="s">
        <v>138</v>
      </c>
      <c r="F47" s="18" t="s">
        <v>10</v>
      </c>
      <c r="G47" s="18">
        <v>30</v>
      </c>
      <c r="H47" s="18" t="s">
        <v>152</v>
      </c>
      <c r="I47" s="18" t="s">
        <v>161</v>
      </c>
      <c r="J47" s="31">
        <v>21</v>
      </c>
      <c r="K47" s="31">
        <v>21.5</v>
      </c>
      <c r="L47" s="4">
        <v>0.5</v>
      </c>
      <c r="M47" s="5">
        <v>0.38</v>
      </c>
      <c r="N47" s="31">
        <v>0.19</v>
      </c>
      <c r="O47" s="31">
        <v>0.31</v>
      </c>
      <c r="P47" s="31">
        <v>0</v>
      </c>
      <c r="Q47" s="86">
        <v>0</v>
      </c>
      <c r="R47" s="31">
        <v>6</v>
      </c>
      <c r="S47" s="31"/>
      <c r="T47" s="31">
        <v>6</v>
      </c>
      <c r="U47" s="31">
        <v>51.666666666666664</v>
      </c>
      <c r="V47" s="67">
        <v>2</v>
      </c>
      <c r="AA47" s="18" t="s">
        <v>6</v>
      </c>
      <c r="AB47" s="18">
        <v>2024</v>
      </c>
      <c r="AC47" s="18" t="s">
        <v>138</v>
      </c>
      <c r="AD47" s="18" t="s">
        <v>10</v>
      </c>
      <c r="AE47" s="18">
        <v>40</v>
      </c>
      <c r="AF47" s="18" t="s">
        <v>153</v>
      </c>
      <c r="AG47" s="18" t="s">
        <v>161</v>
      </c>
      <c r="AH47" s="31">
        <v>16.5</v>
      </c>
      <c r="AI47" s="31">
        <v>17</v>
      </c>
      <c r="AJ47" s="4">
        <v>0.5</v>
      </c>
      <c r="AK47" s="5">
        <v>0.62</v>
      </c>
      <c r="AL47" s="31">
        <v>0.31</v>
      </c>
      <c r="AM47" s="31">
        <v>0.33</v>
      </c>
      <c r="AN47" s="31">
        <v>0</v>
      </c>
      <c r="AO47" s="86">
        <v>0</v>
      </c>
      <c r="AP47" s="31">
        <v>6</v>
      </c>
      <c r="AQ47" s="31"/>
      <c r="AR47" s="31">
        <v>6</v>
      </c>
      <c r="AS47" s="31">
        <v>55</v>
      </c>
      <c r="AT47" s="67">
        <v>2</v>
      </c>
      <c r="AV47" s="18" t="s">
        <v>6</v>
      </c>
      <c r="AW47" s="18">
        <v>2024</v>
      </c>
      <c r="AX47" s="18" t="s">
        <v>138</v>
      </c>
      <c r="AY47" s="18" t="s">
        <v>10</v>
      </c>
      <c r="AZ47" s="18">
        <v>10</v>
      </c>
      <c r="BA47" s="18" t="s">
        <v>135</v>
      </c>
      <c r="BB47" s="18" t="s">
        <v>163</v>
      </c>
      <c r="BC47" s="31">
        <v>52.35</v>
      </c>
      <c r="BD47" s="31">
        <v>52.85</v>
      </c>
      <c r="BE47" s="4">
        <v>0.5</v>
      </c>
      <c r="BF47" s="5">
        <v>0.54</v>
      </c>
      <c r="BG47" s="31">
        <v>0.27</v>
      </c>
      <c r="BH47" s="31">
        <v>0.27</v>
      </c>
      <c r="BI47" s="31">
        <v>0</v>
      </c>
      <c r="BJ47" s="86">
        <v>0</v>
      </c>
      <c r="BK47" s="31">
        <v>10</v>
      </c>
      <c r="BL47" s="31"/>
      <c r="BM47" s="31">
        <v>10</v>
      </c>
      <c r="BN47" s="31">
        <v>27</v>
      </c>
      <c r="BO47" s="67">
        <v>1</v>
      </c>
    </row>
    <row r="48" spans="3:67" x14ac:dyDescent="0.25">
      <c r="C48" s="18" t="s">
        <v>6</v>
      </c>
      <c r="D48" s="18">
        <v>2024</v>
      </c>
      <c r="E48" s="18" t="s">
        <v>138</v>
      </c>
      <c r="F48" s="18" t="s">
        <v>10</v>
      </c>
      <c r="G48" s="18">
        <v>30</v>
      </c>
      <c r="H48" s="18" t="s">
        <v>152</v>
      </c>
      <c r="I48" s="18" t="s">
        <v>162</v>
      </c>
      <c r="J48" s="31">
        <v>21.5</v>
      </c>
      <c r="K48" s="31">
        <v>22</v>
      </c>
      <c r="L48" s="4">
        <v>0.5</v>
      </c>
      <c r="M48" s="5">
        <v>0.6</v>
      </c>
      <c r="N48" s="31">
        <v>0.3</v>
      </c>
      <c r="O48" s="31">
        <v>0.27</v>
      </c>
      <c r="P48" s="31">
        <v>0.26</v>
      </c>
      <c r="Q48" s="86">
        <v>52</v>
      </c>
      <c r="R48" s="31">
        <v>5</v>
      </c>
      <c r="S48" s="31"/>
      <c r="T48" s="31">
        <v>5</v>
      </c>
      <c r="U48" s="31">
        <v>54</v>
      </c>
      <c r="V48" s="67">
        <v>4</v>
      </c>
      <c r="AA48" s="18" t="s">
        <v>6</v>
      </c>
      <c r="AB48" s="18">
        <v>2024</v>
      </c>
      <c r="AC48" s="18" t="s">
        <v>138</v>
      </c>
      <c r="AD48" s="18" t="s">
        <v>10</v>
      </c>
      <c r="AE48" s="18">
        <v>40</v>
      </c>
      <c r="AF48" s="18" t="s">
        <v>153</v>
      </c>
      <c r="AG48" s="18" t="s">
        <v>161</v>
      </c>
      <c r="AH48" s="31">
        <v>17</v>
      </c>
      <c r="AI48" s="31">
        <v>17.5</v>
      </c>
      <c r="AJ48" s="4">
        <v>0.5</v>
      </c>
      <c r="AK48" s="5">
        <v>0.64</v>
      </c>
      <c r="AL48" s="31">
        <v>0.32</v>
      </c>
      <c r="AM48" s="31">
        <v>0.19</v>
      </c>
      <c r="AN48" s="31">
        <v>0</v>
      </c>
      <c r="AO48" s="86">
        <v>0</v>
      </c>
      <c r="AP48" s="31">
        <v>10</v>
      </c>
      <c r="AQ48" s="31"/>
      <c r="AR48" s="31">
        <v>10</v>
      </c>
      <c r="AS48" s="31">
        <v>19</v>
      </c>
      <c r="AT48" s="67">
        <v>2</v>
      </c>
      <c r="AV48" s="18" t="s">
        <v>6</v>
      </c>
      <c r="AW48" s="18">
        <v>2024</v>
      </c>
      <c r="AX48" s="18" t="s">
        <v>138</v>
      </c>
      <c r="AY48" s="18" t="s">
        <v>10</v>
      </c>
      <c r="AZ48" s="18">
        <v>10</v>
      </c>
      <c r="BA48" s="18" t="s">
        <v>135</v>
      </c>
      <c r="BB48" s="18" t="s">
        <v>163</v>
      </c>
      <c r="BC48" s="31">
        <v>52.85</v>
      </c>
      <c r="BD48" s="31">
        <v>53.35</v>
      </c>
      <c r="BE48" s="4">
        <v>0.5</v>
      </c>
      <c r="BF48" s="5">
        <v>0.6</v>
      </c>
      <c r="BG48" s="31">
        <v>0.3</v>
      </c>
      <c r="BH48" s="31">
        <v>0.25</v>
      </c>
      <c r="BI48" s="31">
        <v>0</v>
      </c>
      <c r="BJ48" s="86">
        <v>0</v>
      </c>
      <c r="BK48" s="31">
        <v>10</v>
      </c>
      <c r="BL48" s="31"/>
      <c r="BM48" s="31">
        <v>10</v>
      </c>
      <c r="BN48" s="31">
        <v>25</v>
      </c>
      <c r="BO48" s="67">
        <v>1</v>
      </c>
    </row>
    <row r="49" spans="3:67" x14ac:dyDescent="0.25">
      <c r="C49" s="18" t="s">
        <v>6</v>
      </c>
      <c r="D49" s="18">
        <v>2024</v>
      </c>
      <c r="E49" s="18" t="s">
        <v>138</v>
      </c>
      <c r="F49" s="18" t="s">
        <v>10</v>
      </c>
      <c r="G49" s="18">
        <v>30</v>
      </c>
      <c r="H49" s="18" t="s">
        <v>152</v>
      </c>
      <c r="I49" s="18" t="s">
        <v>162</v>
      </c>
      <c r="J49" s="31">
        <v>22</v>
      </c>
      <c r="K49" s="31">
        <v>22.5</v>
      </c>
      <c r="L49" s="4">
        <v>0.5</v>
      </c>
      <c r="M49" s="5">
        <v>0.6</v>
      </c>
      <c r="N49" s="31">
        <v>0.3</v>
      </c>
      <c r="O49" s="31">
        <v>0.44</v>
      </c>
      <c r="P49" s="31">
        <v>0.18</v>
      </c>
      <c r="Q49" s="86">
        <v>36</v>
      </c>
      <c r="R49" s="31">
        <v>4</v>
      </c>
      <c r="S49" s="31"/>
      <c r="T49" s="31">
        <v>4</v>
      </c>
      <c r="U49" s="31">
        <v>110</v>
      </c>
      <c r="V49" s="67">
        <v>7</v>
      </c>
      <c r="AV49" s="18" t="s">
        <v>6</v>
      </c>
      <c r="AW49" s="18">
        <v>2024</v>
      </c>
      <c r="AX49" s="18" t="s">
        <v>138</v>
      </c>
      <c r="AY49" s="18" t="s">
        <v>10</v>
      </c>
      <c r="AZ49" s="18">
        <v>10</v>
      </c>
      <c r="BA49" s="18" t="s">
        <v>135</v>
      </c>
      <c r="BB49" s="18" t="s">
        <v>163</v>
      </c>
      <c r="BC49" s="31">
        <v>53.35</v>
      </c>
      <c r="BD49" s="31">
        <v>53.85</v>
      </c>
      <c r="BE49" s="4">
        <v>0.5</v>
      </c>
      <c r="BF49" s="5">
        <v>0.8</v>
      </c>
      <c r="BG49" s="31">
        <v>0.4</v>
      </c>
      <c r="BH49" s="84">
        <v>0.4</v>
      </c>
      <c r="BI49" s="31">
        <v>0.27</v>
      </c>
      <c r="BJ49" s="86">
        <v>54</v>
      </c>
      <c r="BK49" s="31">
        <v>4</v>
      </c>
      <c r="BL49" s="31"/>
      <c r="BM49" s="31">
        <v>4</v>
      </c>
      <c r="BN49" s="31">
        <v>100</v>
      </c>
      <c r="BO49" s="67">
        <v>4</v>
      </c>
    </row>
    <row r="50" spans="3:67" x14ac:dyDescent="0.25">
      <c r="C50" s="18" t="s">
        <v>6</v>
      </c>
      <c r="D50" s="18">
        <v>2024</v>
      </c>
      <c r="E50" s="18" t="s">
        <v>138</v>
      </c>
      <c r="F50" s="18" t="s">
        <v>10</v>
      </c>
      <c r="G50" s="18">
        <v>30</v>
      </c>
      <c r="H50" s="18" t="s">
        <v>152</v>
      </c>
      <c r="I50" s="18" t="s">
        <v>162</v>
      </c>
      <c r="J50" s="31">
        <v>22.5</v>
      </c>
      <c r="K50" s="31">
        <v>23</v>
      </c>
      <c r="L50" s="4">
        <v>0.5</v>
      </c>
      <c r="M50" s="5">
        <v>1</v>
      </c>
      <c r="N50" s="31">
        <v>0.5</v>
      </c>
      <c r="O50" s="31">
        <v>0.5</v>
      </c>
      <c r="P50" s="31">
        <v>0.5</v>
      </c>
      <c r="Q50" s="86">
        <v>100</v>
      </c>
      <c r="R50" s="31">
        <v>1</v>
      </c>
      <c r="S50" s="31"/>
      <c r="T50" s="31">
        <v>1</v>
      </c>
      <c r="U50" s="31">
        <v>500</v>
      </c>
      <c r="V50" s="67">
        <v>7</v>
      </c>
      <c r="AV50" s="18" t="s">
        <v>6</v>
      </c>
      <c r="AW50" s="18">
        <v>2024</v>
      </c>
      <c r="AX50" s="18" t="s">
        <v>138</v>
      </c>
      <c r="AY50" s="18" t="s">
        <v>10</v>
      </c>
      <c r="AZ50" s="18">
        <v>10</v>
      </c>
      <c r="BA50" s="18" t="s">
        <v>135</v>
      </c>
      <c r="BB50" s="18" t="s">
        <v>163</v>
      </c>
      <c r="BC50" s="31">
        <v>53.85</v>
      </c>
      <c r="BD50" s="31">
        <v>54.35</v>
      </c>
      <c r="BE50" s="4">
        <v>0.5</v>
      </c>
      <c r="BF50" s="5">
        <v>0.96</v>
      </c>
      <c r="BG50" s="31">
        <v>0.48</v>
      </c>
      <c r="BH50" s="31">
        <v>0.44</v>
      </c>
      <c r="BI50" s="31">
        <v>0.1</v>
      </c>
      <c r="BJ50" s="86">
        <v>20</v>
      </c>
      <c r="BK50" s="31">
        <v>3</v>
      </c>
      <c r="BL50" s="31"/>
      <c r="BM50" s="31">
        <v>3</v>
      </c>
      <c r="BN50" s="31">
        <v>146.66666666666666</v>
      </c>
      <c r="BO50" s="67">
        <v>2</v>
      </c>
    </row>
    <row r="51" spans="3:67" x14ac:dyDescent="0.25">
      <c r="C51" s="18" t="s">
        <v>6</v>
      </c>
      <c r="D51" s="18">
        <v>2024</v>
      </c>
      <c r="E51" s="18" t="s">
        <v>138</v>
      </c>
      <c r="F51" s="18" t="s">
        <v>10</v>
      </c>
      <c r="G51" s="18">
        <v>30</v>
      </c>
      <c r="H51" s="18" t="s">
        <v>152</v>
      </c>
      <c r="I51" s="18" t="s">
        <v>162</v>
      </c>
      <c r="J51" s="31">
        <v>23</v>
      </c>
      <c r="K51" s="31">
        <v>23.5</v>
      </c>
      <c r="L51" s="4">
        <v>0.5</v>
      </c>
      <c r="M51" s="5">
        <v>0.97</v>
      </c>
      <c r="N51" s="31">
        <v>0.48499999999999999</v>
      </c>
      <c r="O51" s="31">
        <v>0.5</v>
      </c>
      <c r="P51" s="31">
        <v>0.31</v>
      </c>
      <c r="Q51" s="86">
        <v>62</v>
      </c>
      <c r="R51" s="31">
        <v>3</v>
      </c>
      <c r="S51" s="31"/>
      <c r="T51" s="31">
        <v>3</v>
      </c>
      <c r="U51" s="31">
        <v>166.66666666666666</v>
      </c>
      <c r="V51" s="67">
        <v>4</v>
      </c>
      <c r="AV51" s="18" t="s">
        <v>6</v>
      </c>
      <c r="AW51" s="18">
        <v>2024</v>
      </c>
      <c r="AX51" s="18" t="s">
        <v>138</v>
      </c>
      <c r="AY51" s="18" t="s">
        <v>10</v>
      </c>
      <c r="AZ51" s="18">
        <v>10</v>
      </c>
      <c r="BA51" s="18" t="s">
        <v>135</v>
      </c>
      <c r="BB51" s="18" t="s">
        <v>163</v>
      </c>
      <c r="BC51" s="31">
        <v>54.35</v>
      </c>
      <c r="BD51" s="31">
        <v>54.85</v>
      </c>
      <c r="BE51" s="4">
        <v>0.5</v>
      </c>
      <c r="BF51" s="5">
        <v>0.8</v>
      </c>
      <c r="BG51" s="31">
        <v>0.4</v>
      </c>
      <c r="BH51" s="31">
        <v>0.4</v>
      </c>
      <c r="BI51" s="31">
        <v>0.16</v>
      </c>
      <c r="BJ51" s="86">
        <v>32</v>
      </c>
      <c r="BK51" s="31">
        <v>4</v>
      </c>
      <c r="BL51" s="31"/>
      <c r="BM51" s="31">
        <v>4</v>
      </c>
      <c r="BN51" s="31">
        <v>100</v>
      </c>
      <c r="BO51" s="67">
        <v>2</v>
      </c>
    </row>
    <row r="52" spans="3:67" ht="60" x14ac:dyDescent="0.25">
      <c r="C52" s="18" t="s">
        <v>6</v>
      </c>
      <c r="D52" s="18">
        <v>2024</v>
      </c>
      <c r="E52" s="18" t="s">
        <v>138</v>
      </c>
      <c r="F52" s="18" t="s">
        <v>10</v>
      </c>
      <c r="G52" s="18">
        <v>30</v>
      </c>
      <c r="H52" s="18" t="s">
        <v>152</v>
      </c>
      <c r="I52" s="18" t="s">
        <v>162</v>
      </c>
      <c r="J52" s="31">
        <v>23.5</v>
      </c>
      <c r="K52" s="31">
        <v>24.83</v>
      </c>
      <c r="L52" s="4">
        <v>1.3299999999999983</v>
      </c>
      <c r="M52" s="5">
        <v>1</v>
      </c>
      <c r="N52" s="31">
        <v>1.3299999999999983</v>
      </c>
      <c r="O52" s="31">
        <v>1.33</v>
      </c>
      <c r="P52" s="31">
        <v>1.26</v>
      </c>
      <c r="Q52" s="86">
        <v>94.736842105263278</v>
      </c>
      <c r="R52" s="31">
        <v>1</v>
      </c>
      <c r="S52" s="31"/>
      <c r="T52" s="31">
        <v>1</v>
      </c>
      <c r="U52" s="31">
        <v>1330</v>
      </c>
      <c r="V52" s="67">
        <v>4</v>
      </c>
      <c r="AA52" s="2" t="s">
        <v>0</v>
      </c>
      <c r="AB52" s="46" t="s">
        <v>1</v>
      </c>
      <c r="AC52" s="46" t="s">
        <v>137</v>
      </c>
      <c r="AD52" s="46" t="s">
        <v>2</v>
      </c>
      <c r="AE52" s="46" t="s">
        <v>131</v>
      </c>
      <c r="AF52" s="30" t="s">
        <v>155</v>
      </c>
      <c r="AG52" s="33" t="s">
        <v>129</v>
      </c>
      <c r="AH52" s="48" t="s">
        <v>3</v>
      </c>
      <c r="AI52" s="48" t="s">
        <v>4</v>
      </c>
      <c r="AJ52" s="46" t="s">
        <v>5</v>
      </c>
      <c r="AK52" s="46" t="s">
        <v>133</v>
      </c>
      <c r="AL52" s="46" t="s">
        <v>345</v>
      </c>
      <c r="AM52" s="83" t="s">
        <v>576</v>
      </c>
      <c r="AN52" s="83" t="s">
        <v>575</v>
      </c>
      <c r="AO52" s="83" t="s">
        <v>11</v>
      </c>
      <c r="AP52" s="83" t="s">
        <v>577</v>
      </c>
      <c r="AQ52" s="83" t="s">
        <v>578</v>
      </c>
      <c r="AR52" s="83" t="s">
        <v>579</v>
      </c>
      <c r="AS52" s="83" t="s">
        <v>285</v>
      </c>
      <c r="AT52" s="74" t="s">
        <v>565</v>
      </c>
      <c r="AV52" s="18" t="s">
        <v>6</v>
      </c>
      <c r="AW52" s="18">
        <v>2024</v>
      </c>
      <c r="AX52" s="18" t="s">
        <v>138</v>
      </c>
      <c r="AY52" s="18" t="s">
        <v>10</v>
      </c>
      <c r="AZ52" s="18">
        <v>10</v>
      </c>
      <c r="BA52" s="18" t="s">
        <v>135</v>
      </c>
      <c r="BB52" s="18" t="s">
        <v>163</v>
      </c>
      <c r="BC52" s="31">
        <v>54.85</v>
      </c>
      <c r="BD52" s="31">
        <v>55.35</v>
      </c>
      <c r="BE52" s="4">
        <v>0.5</v>
      </c>
      <c r="BF52" s="5">
        <v>0.66</v>
      </c>
      <c r="BG52" s="31">
        <v>0.33</v>
      </c>
      <c r="BH52" s="31">
        <v>0.25</v>
      </c>
      <c r="BI52" s="31">
        <v>0.16</v>
      </c>
      <c r="BJ52" s="86">
        <v>32</v>
      </c>
      <c r="BK52" s="31">
        <v>3</v>
      </c>
      <c r="BL52" s="31"/>
      <c r="BM52" s="31">
        <v>3</v>
      </c>
      <c r="BN52" s="31">
        <v>83.333333333333329</v>
      </c>
      <c r="BO52" s="67">
        <v>2</v>
      </c>
    </row>
    <row r="53" spans="3:67" x14ac:dyDescent="0.25">
      <c r="C53" s="18" t="s">
        <v>6</v>
      </c>
      <c r="D53" s="18">
        <v>2024</v>
      </c>
      <c r="E53" s="18" t="s">
        <v>138</v>
      </c>
      <c r="F53" s="18" t="s">
        <v>10</v>
      </c>
      <c r="G53" s="18">
        <v>30</v>
      </c>
      <c r="H53" s="18" t="s">
        <v>152</v>
      </c>
      <c r="I53" s="18" t="s">
        <v>162</v>
      </c>
      <c r="J53" s="31">
        <v>24.83</v>
      </c>
      <c r="K53" s="31">
        <v>25.33</v>
      </c>
      <c r="L53" s="4">
        <v>0.5</v>
      </c>
      <c r="M53" s="5">
        <v>0.68</v>
      </c>
      <c r="N53" s="31">
        <v>0.34</v>
      </c>
      <c r="O53" s="31">
        <v>0.35</v>
      </c>
      <c r="P53" s="31">
        <v>0.17</v>
      </c>
      <c r="Q53" s="86">
        <v>34</v>
      </c>
      <c r="R53" s="31">
        <v>4</v>
      </c>
      <c r="S53" s="31"/>
      <c r="T53" s="31">
        <v>4</v>
      </c>
      <c r="U53" s="31">
        <v>87.5</v>
      </c>
      <c r="V53" s="67">
        <v>2</v>
      </c>
      <c r="AA53" s="18" t="s">
        <v>6</v>
      </c>
      <c r="AB53" s="18">
        <v>2024</v>
      </c>
      <c r="AC53" s="18" t="s">
        <v>138</v>
      </c>
      <c r="AD53" s="18" t="s">
        <v>10</v>
      </c>
      <c r="AE53" s="18">
        <v>50</v>
      </c>
      <c r="AF53" s="18" t="s">
        <v>154</v>
      </c>
      <c r="AG53" s="18" t="s">
        <v>158</v>
      </c>
      <c r="AH53" s="31">
        <v>4.5</v>
      </c>
      <c r="AI53" s="31">
        <v>5</v>
      </c>
      <c r="AJ53" s="4">
        <v>0.5</v>
      </c>
      <c r="AK53" s="5">
        <v>0.38</v>
      </c>
      <c r="AL53" s="31">
        <v>0.19</v>
      </c>
      <c r="AM53" s="31">
        <v>0.36</v>
      </c>
      <c r="AN53" s="31">
        <v>0.3</v>
      </c>
      <c r="AO53" s="86">
        <v>60</v>
      </c>
      <c r="AP53" s="31">
        <v>2</v>
      </c>
      <c r="AQ53" s="31"/>
      <c r="AR53" s="31">
        <v>2</v>
      </c>
      <c r="AS53" s="31">
        <v>180</v>
      </c>
      <c r="AT53" s="67">
        <v>1</v>
      </c>
      <c r="AV53" s="18" t="s">
        <v>6</v>
      </c>
      <c r="AW53" s="18">
        <v>2024</v>
      </c>
      <c r="AX53" s="18" t="s">
        <v>138</v>
      </c>
      <c r="AY53" s="18" t="s">
        <v>10</v>
      </c>
      <c r="AZ53" s="18">
        <v>10</v>
      </c>
      <c r="BA53" s="18" t="s">
        <v>135</v>
      </c>
      <c r="BB53" s="18" t="s">
        <v>163</v>
      </c>
      <c r="BC53" s="31">
        <v>55.35</v>
      </c>
      <c r="BD53" s="31">
        <v>55.85</v>
      </c>
      <c r="BE53" s="4">
        <v>0.5</v>
      </c>
      <c r="BF53" s="5">
        <v>0.92</v>
      </c>
      <c r="BG53" s="31">
        <v>0.46</v>
      </c>
      <c r="BH53" s="31">
        <v>0.45</v>
      </c>
      <c r="BI53" s="31">
        <v>0.15</v>
      </c>
      <c r="BJ53" s="86">
        <v>30</v>
      </c>
      <c r="BK53" s="31">
        <v>5</v>
      </c>
      <c r="BL53" s="31"/>
      <c r="BM53" s="31">
        <v>5</v>
      </c>
      <c r="BN53" s="31">
        <v>90</v>
      </c>
      <c r="BO53" s="67">
        <v>1</v>
      </c>
    </row>
    <row r="54" spans="3:67" x14ac:dyDescent="0.25">
      <c r="C54" s="18" t="s">
        <v>6</v>
      </c>
      <c r="D54" s="18">
        <v>2024</v>
      </c>
      <c r="E54" s="18" t="s">
        <v>138</v>
      </c>
      <c r="F54" s="18" t="s">
        <v>10</v>
      </c>
      <c r="G54" s="18">
        <v>30</v>
      </c>
      <c r="H54" s="18" t="s">
        <v>152</v>
      </c>
      <c r="I54" s="18" t="s">
        <v>162</v>
      </c>
      <c r="J54" s="31">
        <v>25.33</v>
      </c>
      <c r="K54" s="31">
        <v>25.83</v>
      </c>
      <c r="L54" s="4">
        <v>0.5</v>
      </c>
      <c r="M54" s="5">
        <v>0.42</v>
      </c>
      <c r="N54" s="31">
        <v>0.21</v>
      </c>
      <c r="O54" s="31">
        <v>0.19</v>
      </c>
      <c r="P54" s="31">
        <v>0.16</v>
      </c>
      <c r="Q54" s="86">
        <v>32</v>
      </c>
      <c r="R54" s="31">
        <v>4</v>
      </c>
      <c r="S54" s="31"/>
      <c r="T54" s="31">
        <v>4</v>
      </c>
      <c r="U54" s="31">
        <v>47.5</v>
      </c>
      <c r="V54" s="67">
        <v>4</v>
      </c>
      <c r="Y54">
        <v>50</v>
      </c>
      <c r="AA54" s="18" t="s">
        <v>6</v>
      </c>
      <c r="AB54" s="18">
        <v>2024</v>
      </c>
      <c r="AC54" s="18" t="s">
        <v>138</v>
      </c>
      <c r="AD54" s="18" t="s">
        <v>10</v>
      </c>
      <c r="AE54" s="18">
        <v>50</v>
      </c>
      <c r="AF54" s="18" t="s">
        <v>154</v>
      </c>
      <c r="AG54" s="18" t="s">
        <v>158</v>
      </c>
      <c r="AH54" s="31">
        <v>5</v>
      </c>
      <c r="AI54" s="31">
        <v>5.5</v>
      </c>
      <c r="AJ54" s="4">
        <v>0.5</v>
      </c>
      <c r="AK54" s="5">
        <v>0.82</v>
      </c>
      <c r="AL54" s="31">
        <v>0.41</v>
      </c>
      <c r="AM54" s="31">
        <v>0.39</v>
      </c>
      <c r="AN54" s="31">
        <v>0.13</v>
      </c>
      <c r="AO54" s="86">
        <v>26</v>
      </c>
      <c r="AP54" s="31">
        <v>5</v>
      </c>
      <c r="AQ54" s="31"/>
      <c r="AR54" s="31">
        <v>5</v>
      </c>
      <c r="AS54" s="31">
        <v>78</v>
      </c>
      <c r="AT54" s="67">
        <v>1</v>
      </c>
      <c r="AV54" s="18" t="s">
        <v>6</v>
      </c>
      <c r="AW54" s="18">
        <v>2024</v>
      </c>
      <c r="AX54" s="18" t="s">
        <v>138</v>
      </c>
      <c r="AY54" s="18" t="s">
        <v>10</v>
      </c>
      <c r="AZ54" s="18">
        <v>10</v>
      </c>
      <c r="BA54" s="18" t="s">
        <v>135</v>
      </c>
      <c r="BB54" s="18" t="s">
        <v>163</v>
      </c>
      <c r="BC54" s="31">
        <v>55.85</v>
      </c>
      <c r="BD54" s="31">
        <v>56.35</v>
      </c>
      <c r="BE54" s="4">
        <v>0.5</v>
      </c>
      <c r="BF54" s="5">
        <v>0.8</v>
      </c>
      <c r="BG54" s="31">
        <v>0.4</v>
      </c>
      <c r="BH54" s="31">
        <v>0.36</v>
      </c>
      <c r="BI54" s="31">
        <v>0</v>
      </c>
      <c r="BJ54" s="86">
        <v>0</v>
      </c>
      <c r="BK54" s="31">
        <v>6</v>
      </c>
      <c r="BL54" s="31"/>
      <c r="BM54" s="31">
        <v>6</v>
      </c>
      <c r="BN54" s="31">
        <v>60</v>
      </c>
      <c r="BO54" s="67">
        <v>0</v>
      </c>
    </row>
    <row r="55" spans="3:67" x14ac:dyDescent="0.25">
      <c r="C55" s="18" t="s">
        <v>6</v>
      </c>
      <c r="D55" s="18">
        <v>2024</v>
      </c>
      <c r="E55" s="18" t="s">
        <v>138</v>
      </c>
      <c r="F55" s="18" t="s">
        <v>10</v>
      </c>
      <c r="G55" s="18">
        <v>30</v>
      </c>
      <c r="H55" s="18" t="s">
        <v>152</v>
      </c>
      <c r="I55" s="18" t="s">
        <v>162</v>
      </c>
      <c r="J55" s="31">
        <v>25.83</v>
      </c>
      <c r="K55" s="31">
        <v>26.33</v>
      </c>
      <c r="L55" s="4">
        <v>0.5</v>
      </c>
      <c r="M55" s="5">
        <v>0.7</v>
      </c>
      <c r="N55" s="31">
        <v>0.35</v>
      </c>
      <c r="O55" s="31">
        <v>0.31</v>
      </c>
      <c r="P55" s="31">
        <v>0.11</v>
      </c>
      <c r="Q55" s="86">
        <v>22</v>
      </c>
      <c r="R55" s="31">
        <v>3</v>
      </c>
      <c r="S55" s="31"/>
      <c r="T55" s="31">
        <v>3</v>
      </c>
      <c r="U55" s="31">
        <v>103.33333333333333</v>
      </c>
      <c r="V55" s="67">
        <v>4</v>
      </c>
      <c r="AA55" s="18" t="s">
        <v>6</v>
      </c>
      <c r="AB55" s="18">
        <v>2024</v>
      </c>
      <c r="AC55" s="18" t="s">
        <v>138</v>
      </c>
      <c r="AD55" s="18" t="s">
        <v>10</v>
      </c>
      <c r="AE55" s="18">
        <v>50</v>
      </c>
      <c r="AF55" s="18" t="s">
        <v>154</v>
      </c>
      <c r="AG55" s="18" t="s">
        <v>158</v>
      </c>
      <c r="AH55" s="31">
        <v>5.5</v>
      </c>
      <c r="AI55" s="31">
        <v>6</v>
      </c>
      <c r="AJ55" s="4">
        <v>0.5</v>
      </c>
      <c r="AK55" s="5">
        <v>0.82</v>
      </c>
      <c r="AL55" s="31">
        <v>0.41</v>
      </c>
      <c r="AM55" s="31">
        <v>0.35</v>
      </c>
      <c r="AN55" s="31">
        <v>0.16</v>
      </c>
      <c r="AO55" s="86">
        <v>32</v>
      </c>
      <c r="AP55" s="31">
        <v>4</v>
      </c>
      <c r="AQ55" s="31"/>
      <c r="AR55" s="31">
        <v>4</v>
      </c>
      <c r="AS55" s="31">
        <v>87.5</v>
      </c>
      <c r="AT55" s="67">
        <v>1</v>
      </c>
      <c r="AV55" s="18" t="s">
        <v>6</v>
      </c>
      <c r="AW55" s="18">
        <v>2024</v>
      </c>
      <c r="AX55" s="18" t="s">
        <v>138</v>
      </c>
      <c r="AY55" s="18" t="s">
        <v>10</v>
      </c>
      <c r="AZ55" s="18">
        <v>10</v>
      </c>
      <c r="BA55" s="18" t="s">
        <v>135</v>
      </c>
      <c r="BB55" s="18" t="s">
        <v>163</v>
      </c>
      <c r="BC55" s="31">
        <v>56.35</v>
      </c>
      <c r="BD55" s="31">
        <v>56.85</v>
      </c>
      <c r="BE55" s="4">
        <v>0.5</v>
      </c>
      <c r="BF55" s="5">
        <v>0.86</v>
      </c>
      <c r="BG55" s="31">
        <v>0.43</v>
      </c>
      <c r="BH55" s="31">
        <v>0.43</v>
      </c>
      <c r="BI55" s="31">
        <v>0</v>
      </c>
      <c r="BJ55" s="86">
        <v>0</v>
      </c>
      <c r="BK55" s="31">
        <v>5</v>
      </c>
      <c r="BL55" s="31"/>
      <c r="BM55" s="31">
        <v>5</v>
      </c>
      <c r="BN55" s="31">
        <v>86</v>
      </c>
      <c r="BO55" s="67">
        <v>2</v>
      </c>
    </row>
    <row r="56" spans="3:67" x14ac:dyDescent="0.25">
      <c r="C56" s="18" t="s">
        <v>6</v>
      </c>
      <c r="D56" s="18">
        <v>2024</v>
      </c>
      <c r="E56" s="18" t="s">
        <v>138</v>
      </c>
      <c r="F56" s="18" t="s">
        <v>10</v>
      </c>
      <c r="G56" s="18">
        <v>30</v>
      </c>
      <c r="H56" s="18" t="s">
        <v>152</v>
      </c>
      <c r="I56" s="18" t="s">
        <v>162</v>
      </c>
      <c r="J56" s="31">
        <v>26.33</v>
      </c>
      <c r="K56" s="31">
        <v>27.03</v>
      </c>
      <c r="L56" s="4">
        <v>0.70000000000000284</v>
      </c>
      <c r="M56" s="5">
        <v>1</v>
      </c>
      <c r="N56" s="31">
        <v>0.70000000000000284</v>
      </c>
      <c r="O56" s="31">
        <v>0.61</v>
      </c>
      <c r="P56" s="31">
        <v>0.6</v>
      </c>
      <c r="Q56" s="86">
        <v>85.714285714285367</v>
      </c>
      <c r="R56" s="31">
        <v>2</v>
      </c>
      <c r="S56" s="31"/>
      <c r="T56" s="31">
        <v>2</v>
      </c>
      <c r="U56" s="31">
        <v>305</v>
      </c>
      <c r="V56" s="67">
        <v>4</v>
      </c>
      <c r="AA56" s="18" t="s">
        <v>6</v>
      </c>
      <c r="AB56" s="18">
        <v>2024</v>
      </c>
      <c r="AC56" s="18" t="s">
        <v>138</v>
      </c>
      <c r="AD56" s="18" t="s">
        <v>10</v>
      </c>
      <c r="AE56" s="18">
        <v>50</v>
      </c>
      <c r="AF56" s="18" t="s">
        <v>154</v>
      </c>
      <c r="AG56" s="18" t="s">
        <v>158</v>
      </c>
      <c r="AH56" s="31">
        <v>6</v>
      </c>
      <c r="AI56" s="31">
        <v>6.5</v>
      </c>
      <c r="AJ56" s="4">
        <v>0.5</v>
      </c>
      <c r="AK56" s="5">
        <v>0.74</v>
      </c>
      <c r="AL56" s="31">
        <v>0.37</v>
      </c>
      <c r="AM56" s="31">
        <v>0.23</v>
      </c>
      <c r="AN56" s="31">
        <v>0</v>
      </c>
      <c r="AO56" s="86">
        <v>0</v>
      </c>
      <c r="AP56" s="31">
        <v>15</v>
      </c>
      <c r="AQ56" s="31"/>
      <c r="AR56" s="31">
        <v>15</v>
      </c>
      <c r="AS56" s="31">
        <v>15.333333333333334</v>
      </c>
      <c r="AT56" s="67">
        <v>1</v>
      </c>
      <c r="AV56" s="18" t="s">
        <v>6</v>
      </c>
      <c r="AW56" s="18">
        <v>2024</v>
      </c>
      <c r="AX56" s="18" t="s">
        <v>138</v>
      </c>
      <c r="AY56" s="18" t="s">
        <v>10</v>
      </c>
      <c r="AZ56" s="18">
        <v>10</v>
      </c>
      <c r="BA56" s="18" t="s">
        <v>135</v>
      </c>
      <c r="BB56" s="18" t="s">
        <v>163</v>
      </c>
      <c r="BC56" s="31">
        <v>56.85</v>
      </c>
      <c r="BD56" s="31">
        <v>57.35</v>
      </c>
      <c r="BE56" s="4">
        <v>0.5</v>
      </c>
      <c r="BF56" s="5">
        <v>0.6</v>
      </c>
      <c r="BG56" s="31">
        <v>0.3</v>
      </c>
      <c r="BH56" s="31">
        <v>0.28999999999999998</v>
      </c>
      <c r="BI56" s="31">
        <v>0</v>
      </c>
      <c r="BJ56" s="86">
        <v>0</v>
      </c>
      <c r="BK56" s="31">
        <v>10</v>
      </c>
      <c r="BL56" s="31"/>
      <c r="BM56" s="31">
        <v>10</v>
      </c>
      <c r="BN56" s="31">
        <v>29</v>
      </c>
      <c r="BO56" s="67">
        <v>1</v>
      </c>
    </row>
    <row r="57" spans="3:67" x14ac:dyDescent="0.25">
      <c r="C57" s="18" t="s">
        <v>6</v>
      </c>
      <c r="D57" s="18">
        <v>2024</v>
      </c>
      <c r="E57" s="18" t="s">
        <v>138</v>
      </c>
      <c r="F57" s="18" t="s">
        <v>10</v>
      </c>
      <c r="G57" s="18">
        <v>30</v>
      </c>
      <c r="H57" s="18" t="s">
        <v>152</v>
      </c>
      <c r="I57" s="18" t="s">
        <v>162</v>
      </c>
      <c r="J57" s="31">
        <v>27.03</v>
      </c>
      <c r="K57" s="31">
        <v>27.97</v>
      </c>
      <c r="L57" s="4">
        <v>0.93999999999999773</v>
      </c>
      <c r="M57" s="5">
        <v>1</v>
      </c>
      <c r="N57" s="31">
        <v>0.93999999999999773</v>
      </c>
      <c r="O57" s="31">
        <v>0.86</v>
      </c>
      <c r="P57" s="31">
        <v>0.55000000000000004</v>
      </c>
      <c r="Q57" s="86">
        <v>58.510638297872489</v>
      </c>
      <c r="R57" s="31">
        <v>3</v>
      </c>
      <c r="S57" s="31"/>
      <c r="T57" s="31">
        <v>3</v>
      </c>
      <c r="U57" s="31">
        <v>286.66666666666669</v>
      </c>
      <c r="V57" s="67">
        <v>4</v>
      </c>
      <c r="AA57" s="18" t="s">
        <v>6</v>
      </c>
      <c r="AB57" s="18">
        <v>2024</v>
      </c>
      <c r="AC57" s="18" t="s">
        <v>138</v>
      </c>
      <c r="AD57" s="18" t="s">
        <v>10</v>
      </c>
      <c r="AE57" s="18">
        <v>50</v>
      </c>
      <c r="AF57" s="18" t="s">
        <v>154</v>
      </c>
      <c r="AG57" s="18" t="s">
        <v>159</v>
      </c>
      <c r="AH57" s="31">
        <v>10</v>
      </c>
      <c r="AI57" s="31">
        <v>10.5</v>
      </c>
      <c r="AJ57" s="4">
        <v>0.5</v>
      </c>
      <c r="AK57" s="5">
        <v>0.9</v>
      </c>
      <c r="AL57" s="31">
        <v>0.45</v>
      </c>
      <c r="AM57" s="31">
        <v>0.28999999999999998</v>
      </c>
      <c r="AN57" s="31">
        <v>0.11</v>
      </c>
      <c r="AO57" s="86">
        <v>22</v>
      </c>
      <c r="AP57" s="31">
        <v>3</v>
      </c>
      <c r="AQ57" s="31"/>
      <c r="AR57" s="31">
        <v>3</v>
      </c>
      <c r="AS57" s="31">
        <v>96.666666666666671</v>
      </c>
      <c r="AT57" s="67">
        <v>4</v>
      </c>
      <c r="AV57" s="18" t="s">
        <v>6</v>
      </c>
      <c r="AW57" s="18">
        <v>2024</v>
      </c>
      <c r="AX57" s="18" t="s">
        <v>138</v>
      </c>
      <c r="AY57" s="18" t="s">
        <v>10</v>
      </c>
      <c r="AZ57" s="18">
        <v>10</v>
      </c>
      <c r="BA57" s="18" t="s">
        <v>135</v>
      </c>
      <c r="BB57" s="18" t="s">
        <v>163</v>
      </c>
      <c r="BC57" s="31">
        <v>57.35</v>
      </c>
      <c r="BD57" s="31">
        <v>57.85</v>
      </c>
      <c r="BE57" s="4">
        <v>0.5</v>
      </c>
      <c r="BF57" s="5">
        <v>1</v>
      </c>
      <c r="BG57" s="31">
        <v>0.5</v>
      </c>
      <c r="BH57" s="31">
        <v>0.25</v>
      </c>
      <c r="BI57" s="31">
        <v>0</v>
      </c>
      <c r="BJ57" s="86">
        <v>0</v>
      </c>
      <c r="BK57" s="31">
        <v>15</v>
      </c>
      <c r="BL57" s="31"/>
      <c r="BM57" s="31">
        <v>15</v>
      </c>
      <c r="BN57" s="31">
        <v>16.666666666666668</v>
      </c>
      <c r="BO57" s="67">
        <v>1</v>
      </c>
    </row>
    <row r="58" spans="3:67" x14ac:dyDescent="0.25">
      <c r="C58" s="18" t="s">
        <v>6</v>
      </c>
      <c r="D58" s="18">
        <v>2024</v>
      </c>
      <c r="E58" s="18" t="s">
        <v>138</v>
      </c>
      <c r="F58" s="18" t="s">
        <v>10</v>
      </c>
      <c r="G58" s="18">
        <v>10</v>
      </c>
      <c r="H58" s="18" t="s">
        <v>135</v>
      </c>
      <c r="I58" s="18" t="s">
        <v>162</v>
      </c>
      <c r="J58" s="31">
        <v>27.97</v>
      </c>
      <c r="K58" s="31">
        <v>29</v>
      </c>
      <c r="L58" s="4">
        <v>1.0300000000000011</v>
      </c>
      <c r="M58" s="5">
        <v>0.87</v>
      </c>
      <c r="N58" s="31">
        <v>0.89610000000000101</v>
      </c>
      <c r="O58" s="31">
        <v>0.82</v>
      </c>
      <c r="P58" s="31">
        <v>0.54</v>
      </c>
      <c r="Q58" s="86">
        <v>52.427184466019362</v>
      </c>
      <c r="R58" s="31">
        <v>5</v>
      </c>
      <c r="S58" s="31"/>
      <c r="T58" s="31">
        <v>5</v>
      </c>
      <c r="U58" s="31">
        <v>164</v>
      </c>
      <c r="V58" s="67">
        <v>4</v>
      </c>
      <c r="AA58" s="18" t="s">
        <v>6</v>
      </c>
      <c r="AB58" s="18">
        <v>2024</v>
      </c>
      <c r="AC58" s="18" t="s">
        <v>138</v>
      </c>
      <c r="AD58" s="18" t="s">
        <v>10</v>
      </c>
      <c r="AE58" s="18">
        <v>50</v>
      </c>
      <c r="AF58" s="18" t="s">
        <v>154</v>
      </c>
      <c r="AG58" s="18" t="s">
        <v>159</v>
      </c>
      <c r="AH58" s="31">
        <v>10.5</v>
      </c>
      <c r="AI58" s="31">
        <v>11</v>
      </c>
      <c r="AJ58" s="4">
        <v>0.5</v>
      </c>
      <c r="AK58" s="5">
        <v>0.64</v>
      </c>
      <c r="AL58" s="31">
        <v>0.32</v>
      </c>
      <c r="AM58" s="31">
        <v>0.27</v>
      </c>
      <c r="AN58" s="31">
        <v>0</v>
      </c>
      <c r="AO58" s="86">
        <v>0</v>
      </c>
      <c r="AP58" s="31">
        <v>13</v>
      </c>
      <c r="AQ58" s="31"/>
      <c r="AR58" s="31">
        <v>13</v>
      </c>
      <c r="AS58" s="31">
        <v>20.76923076923077</v>
      </c>
      <c r="AT58" s="67">
        <v>2</v>
      </c>
      <c r="AV58" s="18" t="s">
        <v>6</v>
      </c>
      <c r="AW58" s="18">
        <v>2024</v>
      </c>
      <c r="AX58" s="18" t="s">
        <v>138</v>
      </c>
      <c r="AY58" s="18" t="s">
        <v>10</v>
      </c>
      <c r="AZ58" s="18">
        <v>10</v>
      </c>
      <c r="BA58" s="18" t="s">
        <v>135</v>
      </c>
      <c r="BB58" s="18" t="s">
        <v>163</v>
      </c>
      <c r="BC58" s="31">
        <v>57.85</v>
      </c>
      <c r="BD58" s="31">
        <v>58.35</v>
      </c>
      <c r="BE58" s="4">
        <v>0.5</v>
      </c>
      <c r="BF58" s="5">
        <v>1</v>
      </c>
      <c r="BG58" s="31">
        <v>0.5</v>
      </c>
      <c r="BH58" s="31">
        <v>0.47</v>
      </c>
      <c r="BI58" s="31">
        <v>0.4</v>
      </c>
      <c r="BJ58" s="86">
        <v>80</v>
      </c>
      <c r="BK58" s="31">
        <v>2</v>
      </c>
      <c r="BL58" s="31"/>
      <c r="BM58" s="31">
        <v>2</v>
      </c>
      <c r="BN58" s="31">
        <v>235</v>
      </c>
      <c r="BO58" s="67">
        <v>4</v>
      </c>
    </row>
    <row r="59" spans="3:67" x14ac:dyDescent="0.25">
      <c r="C59" s="18" t="s">
        <v>6</v>
      </c>
      <c r="D59" s="18">
        <v>2024</v>
      </c>
      <c r="E59" s="18" t="s">
        <v>138</v>
      </c>
      <c r="F59" s="18" t="s">
        <v>10</v>
      </c>
      <c r="G59" s="18">
        <v>10</v>
      </c>
      <c r="H59" s="18" t="s">
        <v>135</v>
      </c>
      <c r="I59" s="18" t="s">
        <v>162</v>
      </c>
      <c r="J59" s="31">
        <v>29</v>
      </c>
      <c r="K59" s="31">
        <v>29.5</v>
      </c>
      <c r="L59" s="4">
        <v>0.5</v>
      </c>
      <c r="M59" s="5">
        <v>0.96</v>
      </c>
      <c r="N59" s="31">
        <v>0.48</v>
      </c>
      <c r="O59" s="31">
        <v>0.48</v>
      </c>
      <c r="P59" s="31">
        <v>0.4</v>
      </c>
      <c r="Q59" s="86">
        <v>80</v>
      </c>
      <c r="R59" s="31">
        <v>2</v>
      </c>
      <c r="S59" s="31"/>
      <c r="T59" s="31">
        <v>2</v>
      </c>
      <c r="U59" s="31">
        <v>240</v>
      </c>
      <c r="V59" s="67">
        <v>2</v>
      </c>
      <c r="AA59" s="18" t="s">
        <v>6</v>
      </c>
      <c r="AB59" s="18">
        <v>2024</v>
      </c>
      <c r="AC59" s="18" t="s">
        <v>138</v>
      </c>
      <c r="AD59" s="18" t="s">
        <v>10</v>
      </c>
      <c r="AE59" s="18">
        <v>50</v>
      </c>
      <c r="AF59" s="18" t="s">
        <v>154</v>
      </c>
      <c r="AG59" s="18" t="s">
        <v>159</v>
      </c>
      <c r="AH59" s="31">
        <v>11</v>
      </c>
      <c r="AI59" s="31">
        <v>11.5</v>
      </c>
      <c r="AJ59" s="4">
        <v>0.5</v>
      </c>
      <c r="AK59" s="5">
        <v>0.6</v>
      </c>
      <c r="AL59" s="31">
        <v>0.3</v>
      </c>
      <c r="AM59" s="84">
        <v>0.28999999999999998</v>
      </c>
      <c r="AN59" s="31">
        <v>0</v>
      </c>
      <c r="AO59" s="86">
        <v>0</v>
      </c>
      <c r="AP59" s="31">
        <v>10</v>
      </c>
      <c r="AQ59" s="31"/>
      <c r="AR59" s="31">
        <v>10</v>
      </c>
      <c r="AS59" s="31">
        <v>29</v>
      </c>
      <c r="AT59" s="67">
        <v>2</v>
      </c>
      <c r="AV59" s="18" t="s">
        <v>6</v>
      </c>
      <c r="AW59" s="18">
        <v>2024</v>
      </c>
      <c r="AX59" s="18" t="s">
        <v>138</v>
      </c>
      <c r="AY59" s="18" t="s">
        <v>10</v>
      </c>
      <c r="AZ59" s="18">
        <v>10</v>
      </c>
      <c r="BA59" s="18" t="s">
        <v>135</v>
      </c>
      <c r="BB59" s="18" t="s">
        <v>163</v>
      </c>
      <c r="BC59" s="31">
        <v>58.35</v>
      </c>
      <c r="BD59" s="31">
        <v>58.9</v>
      </c>
      <c r="BE59" s="4">
        <v>0.54999999999999716</v>
      </c>
      <c r="BF59" s="5">
        <v>1</v>
      </c>
      <c r="BG59" s="31">
        <v>0.54999999999999716</v>
      </c>
      <c r="BH59" s="31">
        <v>0.51</v>
      </c>
      <c r="BI59" s="31">
        <v>0.3</v>
      </c>
      <c r="BJ59" s="86">
        <v>54.545454545454831</v>
      </c>
      <c r="BK59" s="31">
        <v>3</v>
      </c>
      <c r="BL59" s="31"/>
      <c r="BM59" s="31">
        <v>3</v>
      </c>
      <c r="BN59" s="31">
        <v>170</v>
      </c>
      <c r="BO59" s="67">
        <v>4</v>
      </c>
    </row>
    <row r="60" spans="3:67" x14ac:dyDescent="0.25">
      <c r="C60" s="18" t="s">
        <v>6</v>
      </c>
      <c r="D60" s="18">
        <v>2024</v>
      </c>
      <c r="E60" s="18" t="s">
        <v>138</v>
      </c>
      <c r="F60" s="18" t="s">
        <v>10</v>
      </c>
      <c r="G60" s="18">
        <v>10</v>
      </c>
      <c r="H60" s="18" t="s">
        <v>135</v>
      </c>
      <c r="I60" s="18" t="s">
        <v>162</v>
      </c>
      <c r="J60" s="31">
        <v>29.5</v>
      </c>
      <c r="K60" s="31">
        <v>30.24</v>
      </c>
      <c r="L60" s="4">
        <v>0.73999999999999844</v>
      </c>
      <c r="M60" s="5">
        <v>1</v>
      </c>
      <c r="N60" s="31">
        <v>0.73999999999999844</v>
      </c>
      <c r="O60" s="31">
        <v>0.7</v>
      </c>
      <c r="P60" s="31">
        <v>0.61</v>
      </c>
      <c r="Q60" s="86">
        <v>82.432432432432606</v>
      </c>
      <c r="R60" s="31">
        <v>3</v>
      </c>
      <c r="S60" s="31"/>
      <c r="T60" s="31">
        <v>3</v>
      </c>
      <c r="U60" s="31">
        <v>233.33333333333334</v>
      </c>
      <c r="V60" s="67">
        <v>2</v>
      </c>
      <c r="AA60" s="18" t="s">
        <v>6</v>
      </c>
      <c r="AB60" s="18">
        <v>2024</v>
      </c>
      <c r="AC60" s="18" t="s">
        <v>138</v>
      </c>
      <c r="AD60" s="18" t="s">
        <v>10</v>
      </c>
      <c r="AE60" s="18">
        <v>50</v>
      </c>
      <c r="AF60" s="18" t="s">
        <v>154</v>
      </c>
      <c r="AG60" s="18" t="s">
        <v>159</v>
      </c>
      <c r="AH60" s="31">
        <v>11.5</v>
      </c>
      <c r="AI60" s="31">
        <v>12</v>
      </c>
      <c r="AJ60" s="4">
        <v>0.5</v>
      </c>
      <c r="AK60" s="5">
        <v>0.62</v>
      </c>
      <c r="AL60" s="31">
        <v>0.31</v>
      </c>
      <c r="AM60" s="31">
        <v>0.32</v>
      </c>
      <c r="AN60" s="31">
        <v>0.16</v>
      </c>
      <c r="AO60" s="86">
        <v>32</v>
      </c>
      <c r="AP60" s="31">
        <v>0</v>
      </c>
      <c r="AQ60" s="31"/>
      <c r="AR60" s="31">
        <v>0</v>
      </c>
      <c r="AS60" s="31" t="e">
        <v>#DIV/0!</v>
      </c>
      <c r="AT60" s="67">
        <v>2</v>
      </c>
      <c r="AV60" s="18" t="s">
        <v>6</v>
      </c>
      <c r="AW60" s="18">
        <v>2024</v>
      </c>
      <c r="AX60" s="18" t="s">
        <v>138</v>
      </c>
      <c r="AY60" s="18" t="s">
        <v>10</v>
      </c>
      <c r="AZ60" s="18">
        <v>10</v>
      </c>
      <c r="BA60" s="18" t="s">
        <v>135</v>
      </c>
      <c r="BB60" s="18" t="s">
        <v>163</v>
      </c>
      <c r="BC60" s="31">
        <v>58.9</v>
      </c>
      <c r="BD60" s="31">
        <v>59.5</v>
      </c>
      <c r="BE60" s="4">
        <v>0.60000000000000142</v>
      </c>
      <c r="BF60" s="5">
        <v>1</v>
      </c>
      <c r="BG60" s="31">
        <v>0.60000000000000142</v>
      </c>
      <c r="BH60" s="31">
        <v>0.51</v>
      </c>
      <c r="BI60" s="31">
        <v>0.42</v>
      </c>
      <c r="BJ60" s="86">
        <v>69.999999999999829</v>
      </c>
      <c r="BK60" s="31">
        <v>3</v>
      </c>
      <c r="BL60" s="31"/>
      <c r="BM60" s="31">
        <v>3</v>
      </c>
      <c r="BN60" s="31">
        <v>170</v>
      </c>
      <c r="BO60" s="67">
        <v>4</v>
      </c>
    </row>
    <row r="61" spans="3:67" x14ac:dyDescent="0.25">
      <c r="C61" s="18" t="s">
        <v>6</v>
      </c>
      <c r="D61" s="18">
        <v>2024</v>
      </c>
      <c r="E61" s="18" t="s">
        <v>138</v>
      </c>
      <c r="F61" s="18" t="s">
        <v>10</v>
      </c>
      <c r="G61" s="18">
        <v>10</v>
      </c>
      <c r="H61" s="18" t="s">
        <v>135</v>
      </c>
      <c r="I61" s="18" t="s">
        <v>162</v>
      </c>
      <c r="J61" s="31">
        <v>30.24</v>
      </c>
      <c r="K61" s="31">
        <v>31.04</v>
      </c>
      <c r="L61" s="4">
        <v>0.80000000000000071</v>
      </c>
      <c r="M61" s="5">
        <v>1</v>
      </c>
      <c r="N61" s="31">
        <v>0.80000000000000071</v>
      </c>
      <c r="O61" s="31">
        <v>0.71</v>
      </c>
      <c r="P61" s="31">
        <v>0.6</v>
      </c>
      <c r="Q61" s="86">
        <v>74.999999999999929</v>
      </c>
      <c r="R61" s="31">
        <v>3</v>
      </c>
      <c r="S61" s="31"/>
      <c r="T61" s="31">
        <v>3</v>
      </c>
      <c r="U61" s="31">
        <v>236.66666666666666</v>
      </c>
      <c r="V61" s="67">
        <v>2</v>
      </c>
      <c r="AV61" s="18" t="s">
        <v>6</v>
      </c>
      <c r="AW61" s="18">
        <v>2024</v>
      </c>
      <c r="AX61" s="18" t="s">
        <v>138</v>
      </c>
      <c r="AY61" s="18" t="s">
        <v>10</v>
      </c>
      <c r="AZ61" s="18">
        <v>10</v>
      </c>
      <c r="BA61" s="18" t="s">
        <v>135</v>
      </c>
      <c r="BB61" s="18" t="s">
        <v>163</v>
      </c>
      <c r="BC61" s="31">
        <v>59.5</v>
      </c>
      <c r="BD61" s="31">
        <v>60</v>
      </c>
      <c r="BE61" s="4">
        <v>0.5</v>
      </c>
      <c r="BF61" s="5">
        <v>1</v>
      </c>
      <c r="BG61" s="31">
        <v>0.5</v>
      </c>
      <c r="BH61" s="31">
        <v>0.5</v>
      </c>
      <c r="BI61" s="31">
        <v>0.16</v>
      </c>
      <c r="BJ61" s="86">
        <v>32</v>
      </c>
      <c r="BK61" s="31">
        <v>5</v>
      </c>
      <c r="BL61" s="31"/>
      <c r="BM61" s="31">
        <v>5</v>
      </c>
      <c r="BN61" s="31">
        <v>100</v>
      </c>
      <c r="BO61" s="67">
        <v>2</v>
      </c>
    </row>
    <row r="62" spans="3:67" x14ac:dyDescent="0.25">
      <c r="C62" s="18" t="s">
        <v>6</v>
      </c>
      <c r="D62" s="18">
        <v>2024</v>
      </c>
      <c r="E62" s="18" t="s">
        <v>138</v>
      </c>
      <c r="F62" s="18" t="s">
        <v>10</v>
      </c>
      <c r="G62" s="18">
        <v>10</v>
      </c>
      <c r="H62" s="18" t="s">
        <v>135</v>
      </c>
      <c r="I62" s="18" t="s">
        <v>162</v>
      </c>
      <c r="J62" s="31">
        <v>31.04</v>
      </c>
      <c r="K62" s="31">
        <v>32.04</v>
      </c>
      <c r="L62" s="4">
        <v>1</v>
      </c>
      <c r="M62" s="5">
        <v>1</v>
      </c>
      <c r="N62" s="31">
        <v>1</v>
      </c>
      <c r="O62" s="31">
        <v>0.9</v>
      </c>
      <c r="P62" s="31">
        <v>0.4</v>
      </c>
      <c r="Q62" s="86">
        <v>40</v>
      </c>
      <c r="R62" s="31">
        <v>6</v>
      </c>
      <c r="S62" s="31"/>
      <c r="T62" s="31">
        <v>6</v>
      </c>
      <c r="U62" s="31">
        <v>150</v>
      </c>
      <c r="V62" s="67">
        <v>2</v>
      </c>
      <c r="AV62" s="88" t="s">
        <v>6</v>
      </c>
      <c r="AW62" s="88">
        <v>2024</v>
      </c>
      <c r="AX62" s="88" t="s">
        <v>138</v>
      </c>
      <c r="AY62" s="88" t="s">
        <v>10</v>
      </c>
      <c r="AZ62" s="88">
        <v>30</v>
      </c>
      <c r="BA62" s="88" t="s">
        <v>152</v>
      </c>
      <c r="BB62" s="88" t="s">
        <v>162</v>
      </c>
      <c r="BC62" s="89">
        <v>22.5</v>
      </c>
      <c r="BD62" s="89">
        <v>23</v>
      </c>
      <c r="BE62" s="90">
        <v>0.5</v>
      </c>
      <c r="BF62" s="91">
        <v>1</v>
      </c>
      <c r="BG62" s="89">
        <v>0.5</v>
      </c>
      <c r="BH62" s="89">
        <v>0.5</v>
      </c>
      <c r="BI62" s="89">
        <v>0.5</v>
      </c>
      <c r="BJ62" s="92">
        <v>100</v>
      </c>
      <c r="BK62" s="89">
        <v>1</v>
      </c>
      <c r="BL62" s="89"/>
      <c r="BM62" s="89">
        <v>1</v>
      </c>
      <c r="BN62" s="89">
        <v>500</v>
      </c>
      <c r="BO62" s="90">
        <v>7</v>
      </c>
    </row>
    <row r="63" spans="3:67" x14ac:dyDescent="0.25">
      <c r="C63" s="18" t="s">
        <v>6</v>
      </c>
      <c r="D63" s="18">
        <v>2024</v>
      </c>
      <c r="E63" s="18" t="s">
        <v>138</v>
      </c>
      <c r="F63" s="18" t="s">
        <v>10</v>
      </c>
      <c r="G63" s="18">
        <v>10</v>
      </c>
      <c r="H63" s="18" t="s">
        <v>135</v>
      </c>
      <c r="I63" s="18" t="s">
        <v>162</v>
      </c>
      <c r="J63" s="31">
        <v>32.04</v>
      </c>
      <c r="K63" s="31">
        <v>32.54</v>
      </c>
      <c r="L63" s="4">
        <v>0.5</v>
      </c>
      <c r="M63" s="5">
        <v>0.9</v>
      </c>
      <c r="N63" s="31">
        <v>0.45</v>
      </c>
      <c r="O63" s="31">
        <v>0.36</v>
      </c>
      <c r="P63" s="31">
        <v>0.15</v>
      </c>
      <c r="Q63" s="86">
        <v>30</v>
      </c>
      <c r="R63" s="31">
        <v>5</v>
      </c>
      <c r="S63" s="31"/>
      <c r="T63" s="31">
        <v>5</v>
      </c>
      <c r="U63" s="31">
        <v>72</v>
      </c>
      <c r="V63" s="67">
        <v>4</v>
      </c>
      <c r="AV63" s="88" t="s">
        <v>6</v>
      </c>
      <c r="AW63" s="88">
        <v>2024</v>
      </c>
      <c r="AX63" s="88" t="s">
        <v>138</v>
      </c>
      <c r="AY63" s="88" t="s">
        <v>10</v>
      </c>
      <c r="AZ63" s="88">
        <v>30</v>
      </c>
      <c r="BA63" s="88" t="s">
        <v>152</v>
      </c>
      <c r="BB63" s="88" t="s">
        <v>162</v>
      </c>
      <c r="BC63" s="89">
        <v>23.5</v>
      </c>
      <c r="BD63" s="89">
        <v>24.83</v>
      </c>
      <c r="BE63" s="90">
        <v>1.3299999999999983</v>
      </c>
      <c r="BF63" s="91">
        <v>1</v>
      </c>
      <c r="BG63" s="89">
        <v>1.3299999999999983</v>
      </c>
      <c r="BH63" s="89">
        <v>1.33</v>
      </c>
      <c r="BI63" s="89">
        <v>1.26</v>
      </c>
      <c r="BJ63" s="92">
        <v>94.736842105263278</v>
      </c>
      <c r="BK63" s="89">
        <v>1</v>
      </c>
      <c r="BL63" s="89"/>
      <c r="BM63" s="89">
        <v>1</v>
      </c>
      <c r="BN63" s="89">
        <v>1330</v>
      </c>
      <c r="BO63" s="90">
        <v>4</v>
      </c>
    </row>
    <row r="64" spans="3:67" x14ac:dyDescent="0.25">
      <c r="C64" s="18" t="s">
        <v>6</v>
      </c>
      <c r="D64" s="18">
        <v>2024</v>
      </c>
      <c r="E64" s="18" t="s">
        <v>138</v>
      </c>
      <c r="F64" s="18" t="s">
        <v>10</v>
      </c>
      <c r="G64" s="18">
        <v>10</v>
      </c>
      <c r="H64" s="18" t="s">
        <v>135</v>
      </c>
      <c r="I64" s="18" t="s">
        <v>162</v>
      </c>
      <c r="J64" s="31">
        <v>32.54</v>
      </c>
      <c r="K64" s="31">
        <v>33.29</v>
      </c>
      <c r="L64" s="4">
        <v>0.75</v>
      </c>
      <c r="M64" s="5">
        <v>1</v>
      </c>
      <c r="N64" s="31">
        <v>0.75</v>
      </c>
      <c r="O64" s="31">
        <v>0.74</v>
      </c>
      <c r="P64" s="31">
        <v>0.2</v>
      </c>
      <c r="Q64" s="86">
        <v>26.666666666666668</v>
      </c>
      <c r="R64" s="31">
        <v>7</v>
      </c>
      <c r="S64" s="31"/>
      <c r="T64" s="31">
        <v>7</v>
      </c>
      <c r="U64" s="31">
        <v>105.71428571428571</v>
      </c>
      <c r="V64" s="67">
        <v>2</v>
      </c>
      <c r="AV64" s="88" t="s">
        <v>6</v>
      </c>
      <c r="AW64" s="88">
        <v>2024</v>
      </c>
      <c r="AX64" s="88" t="s">
        <v>138</v>
      </c>
      <c r="AY64" s="88" t="s">
        <v>10</v>
      </c>
      <c r="AZ64" s="88">
        <v>30</v>
      </c>
      <c r="BA64" s="88" t="s">
        <v>152</v>
      </c>
      <c r="BB64" s="88" t="s">
        <v>162</v>
      </c>
      <c r="BC64" s="89">
        <v>26.33</v>
      </c>
      <c r="BD64" s="89">
        <v>27.03</v>
      </c>
      <c r="BE64" s="90">
        <v>0.70000000000000284</v>
      </c>
      <c r="BF64" s="91">
        <v>1</v>
      </c>
      <c r="BG64" s="89">
        <v>0.70000000000000284</v>
      </c>
      <c r="BH64" s="89">
        <v>0.61</v>
      </c>
      <c r="BI64" s="89">
        <v>0.6</v>
      </c>
      <c r="BJ64" s="92">
        <v>85.714285714285367</v>
      </c>
      <c r="BK64" s="89">
        <v>2</v>
      </c>
      <c r="BL64" s="89"/>
      <c r="BM64" s="89">
        <v>2</v>
      </c>
      <c r="BN64" s="89">
        <v>305</v>
      </c>
      <c r="BO64" s="90">
        <v>4</v>
      </c>
    </row>
    <row r="65" spans="3:22" x14ac:dyDescent="0.25">
      <c r="C65" s="18" t="s">
        <v>6</v>
      </c>
      <c r="D65" s="18">
        <v>2024</v>
      </c>
      <c r="E65" s="18" t="s">
        <v>138</v>
      </c>
      <c r="F65" s="18" t="s">
        <v>10</v>
      </c>
      <c r="G65" s="18">
        <v>10</v>
      </c>
      <c r="H65" s="18" t="s">
        <v>135</v>
      </c>
      <c r="I65" s="18" t="s">
        <v>162</v>
      </c>
      <c r="J65" s="31">
        <v>33.29</v>
      </c>
      <c r="K65" s="31">
        <v>33.85</v>
      </c>
      <c r="L65" s="4">
        <v>0.56000000000000227</v>
      </c>
      <c r="M65" s="5">
        <v>1</v>
      </c>
      <c r="N65" s="31">
        <v>0.56000000000000227</v>
      </c>
      <c r="O65" s="31">
        <v>0.52</v>
      </c>
      <c r="P65" s="31">
        <v>0.52</v>
      </c>
      <c r="Q65" s="86">
        <v>92.857142857142478</v>
      </c>
      <c r="R65" s="31">
        <v>1</v>
      </c>
      <c r="S65" s="31"/>
      <c r="T65" s="31">
        <v>1</v>
      </c>
      <c r="U65" s="31">
        <v>520</v>
      </c>
      <c r="V65" s="67">
        <v>4</v>
      </c>
    </row>
    <row r="66" spans="3:22" x14ac:dyDescent="0.25">
      <c r="C66" s="18" t="s">
        <v>6</v>
      </c>
      <c r="D66" s="18">
        <v>2024</v>
      </c>
      <c r="E66" s="18" t="s">
        <v>138</v>
      </c>
      <c r="F66" s="18" t="s">
        <v>10</v>
      </c>
      <c r="G66" s="18">
        <v>10</v>
      </c>
      <c r="H66" s="18" t="s">
        <v>135</v>
      </c>
      <c r="I66" s="18" t="s">
        <v>162</v>
      </c>
      <c r="J66" s="31">
        <v>33.85</v>
      </c>
      <c r="K66" s="31">
        <v>34.35</v>
      </c>
      <c r="L66" s="4">
        <v>0.5</v>
      </c>
      <c r="M66" s="5">
        <v>0.78</v>
      </c>
      <c r="N66" s="31">
        <v>0.39</v>
      </c>
      <c r="O66" s="31">
        <v>0.37</v>
      </c>
      <c r="P66" s="31">
        <v>0.32</v>
      </c>
      <c r="Q66" s="86">
        <v>64</v>
      </c>
      <c r="R66" s="31">
        <v>3</v>
      </c>
      <c r="S66" s="31"/>
      <c r="T66" s="31">
        <v>3</v>
      </c>
      <c r="U66" s="31">
        <v>123.33333333333333</v>
      </c>
      <c r="V66" s="67">
        <v>2</v>
      </c>
    </row>
    <row r="67" spans="3:22" x14ac:dyDescent="0.25">
      <c r="C67" s="18" t="s">
        <v>6</v>
      </c>
      <c r="D67" s="18">
        <v>2024</v>
      </c>
      <c r="E67" s="18" t="s">
        <v>138</v>
      </c>
      <c r="F67" s="18" t="s">
        <v>10</v>
      </c>
      <c r="G67" s="18">
        <v>10</v>
      </c>
      <c r="H67" s="18" t="s">
        <v>135</v>
      </c>
      <c r="I67" s="18" t="s">
        <v>162</v>
      </c>
      <c r="J67" s="31">
        <v>34.35</v>
      </c>
      <c r="K67" s="31">
        <v>34.85</v>
      </c>
      <c r="L67" s="4">
        <v>0.5</v>
      </c>
      <c r="M67" s="5">
        <v>0.94</v>
      </c>
      <c r="N67" s="31">
        <v>0.47</v>
      </c>
      <c r="O67" s="31">
        <v>0.44</v>
      </c>
      <c r="P67" s="31">
        <v>0.2</v>
      </c>
      <c r="Q67" s="86">
        <v>40</v>
      </c>
      <c r="R67" s="31">
        <v>6</v>
      </c>
      <c r="S67" s="31"/>
      <c r="T67" s="31">
        <v>6</v>
      </c>
      <c r="U67" s="31">
        <v>73.333333333333329</v>
      </c>
      <c r="V67" s="67">
        <v>4</v>
      </c>
    </row>
    <row r="68" spans="3:22" x14ac:dyDescent="0.25">
      <c r="C68" s="18" t="s">
        <v>6</v>
      </c>
      <c r="D68" s="18">
        <v>2024</v>
      </c>
      <c r="E68" s="18" t="s">
        <v>138</v>
      </c>
      <c r="F68" s="18" t="s">
        <v>10</v>
      </c>
      <c r="G68" s="18">
        <v>10</v>
      </c>
      <c r="H68" s="18" t="s">
        <v>135</v>
      </c>
      <c r="I68" s="18" t="s">
        <v>163</v>
      </c>
      <c r="J68" s="31">
        <v>34.85</v>
      </c>
      <c r="K68" s="31">
        <v>35.35</v>
      </c>
      <c r="L68" s="4">
        <v>0.5</v>
      </c>
      <c r="M68" s="5">
        <v>1</v>
      </c>
      <c r="N68" s="31">
        <v>0.5</v>
      </c>
      <c r="O68" s="31">
        <v>0.49</v>
      </c>
      <c r="P68" s="31">
        <v>0</v>
      </c>
      <c r="Q68" s="86">
        <v>0</v>
      </c>
      <c r="R68" s="31">
        <v>10</v>
      </c>
      <c r="S68" s="31"/>
      <c r="T68" s="31">
        <v>10</v>
      </c>
      <c r="U68" s="31">
        <v>49</v>
      </c>
      <c r="V68" s="67">
        <v>0</v>
      </c>
    </row>
    <row r="69" spans="3:22" x14ac:dyDescent="0.25">
      <c r="C69" s="18" t="s">
        <v>6</v>
      </c>
      <c r="D69" s="18">
        <v>2024</v>
      </c>
      <c r="E69" s="18" t="s">
        <v>138</v>
      </c>
      <c r="F69" s="18" t="s">
        <v>10</v>
      </c>
      <c r="G69" s="18">
        <v>10</v>
      </c>
      <c r="H69" s="18" t="s">
        <v>135</v>
      </c>
      <c r="I69" s="18" t="s">
        <v>163</v>
      </c>
      <c r="J69" s="31">
        <v>35.35</v>
      </c>
      <c r="K69" s="31">
        <v>35.85</v>
      </c>
      <c r="L69" s="4">
        <v>0.5</v>
      </c>
      <c r="M69" s="5">
        <v>1</v>
      </c>
      <c r="N69" s="31">
        <v>0.5</v>
      </c>
      <c r="O69" s="31">
        <v>0.5</v>
      </c>
      <c r="P69" s="31">
        <v>0.28999999999999998</v>
      </c>
      <c r="Q69" s="86">
        <v>57.999999999999993</v>
      </c>
      <c r="R69" s="31">
        <v>4</v>
      </c>
      <c r="S69" s="31"/>
      <c r="T69" s="31">
        <v>4</v>
      </c>
      <c r="U69" s="31">
        <v>125</v>
      </c>
      <c r="V69" s="67">
        <v>2</v>
      </c>
    </row>
    <row r="70" spans="3:22" x14ac:dyDescent="0.25">
      <c r="C70" s="18" t="s">
        <v>6</v>
      </c>
      <c r="D70" s="18">
        <v>2024</v>
      </c>
      <c r="E70" s="18" t="s">
        <v>138</v>
      </c>
      <c r="F70" s="18" t="s">
        <v>10</v>
      </c>
      <c r="G70" s="18">
        <v>10</v>
      </c>
      <c r="H70" s="18" t="s">
        <v>135</v>
      </c>
      <c r="I70" s="18" t="s">
        <v>163</v>
      </c>
      <c r="J70" s="31">
        <v>35.85</v>
      </c>
      <c r="K70" s="31">
        <v>36.35</v>
      </c>
      <c r="L70" s="4">
        <v>0.5</v>
      </c>
      <c r="M70" s="5">
        <v>1</v>
      </c>
      <c r="N70" s="31">
        <v>0.5</v>
      </c>
      <c r="O70" s="31">
        <v>0.44</v>
      </c>
      <c r="P70" s="31">
        <v>0.18</v>
      </c>
      <c r="Q70" s="86">
        <v>36</v>
      </c>
      <c r="R70" s="31">
        <v>3</v>
      </c>
      <c r="S70" s="31"/>
      <c r="T70" s="31">
        <v>3</v>
      </c>
      <c r="U70" s="31">
        <v>146.66666666666666</v>
      </c>
      <c r="V70" s="67">
        <v>4</v>
      </c>
    </row>
    <row r="71" spans="3:22" x14ac:dyDescent="0.25">
      <c r="C71" s="18" t="s">
        <v>6</v>
      </c>
      <c r="D71" s="18">
        <v>2024</v>
      </c>
      <c r="E71" s="18" t="s">
        <v>138</v>
      </c>
      <c r="F71" s="18" t="s">
        <v>10</v>
      </c>
      <c r="G71" s="18">
        <v>10</v>
      </c>
      <c r="H71" s="18" t="s">
        <v>135</v>
      </c>
      <c r="I71" s="18" t="s">
        <v>163</v>
      </c>
      <c r="J71" s="31">
        <v>36.35</v>
      </c>
      <c r="K71" s="31">
        <v>36.85</v>
      </c>
      <c r="L71" s="4">
        <v>0.5</v>
      </c>
      <c r="M71" s="5">
        <v>1</v>
      </c>
      <c r="N71" s="31">
        <v>0.5</v>
      </c>
      <c r="O71" s="31">
        <v>0.49</v>
      </c>
      <c r="P71" s="31">
        <v>0</v>
      </c>
      <c r="Q71" s="86">
        <v>0</v>
      </c>
      <c r="R71" s="31">
        <v>15</v>
      </c>
      <c r="S71" s="31"/>
      <c r="T71" s="31">
        <v>15</v>
      </c>
      <c r="U71" s="31">
        <v>32.666666666666664</v>
      </c>
      <c r="V71" s="67">
        <v>1</v>
      </c>
    </row>
    <row r="72" spans="3:22" x14ac:dyDescent="0.25">
      <c r="C72" s="18" t="s">
        <v>6</v>
      </c>
      <c r="D72" s="18">
        <v>2024</v>
      </c>
      <c r="E72" s="18" t="s">
        <v>138</v>
      </c>
      <c r="F72" s="18" t="s">
        <v>10</v>
      </c>
      <c r="G72" s="18">
        <v>10</v>
      </c>
      <c r="H72" s="18" t="s">
        <v>135</v>
      </c>
      <c r="I72" s="18" t="s">
        <v>163</v>
      </c>
      <c r="J72" s="31">
        <v>36.85</v>
      </c>
      <c r="K72" s="31">
        <v>37.549999999999997</v>
      </c>
      <c r="L72" s="4">
        <v>0.69999999999999574</v>
      </c>
      <c r="M72" s="5">
        <v>1</v>
      </c>
      <c r="N72" s="31">
        <v>0.69999999999999574</v>
      </c>
      <c r="O72" s="31">
        <v>0.62</v>
      </c>
      <c r="P72" s="31">
        <v>0.23</v>
      </c>
      <c r="Q72" s="86">
        <v>32.85714285714306</v>
      </c>
      <c r="R72" s="31">
        <v>5</v>
      </c>
      <c r="S72" s="31"/>
      <c r="T72" s="31">
        <v>5</v>
      </c>
      <c r="U72" s="31">
        <v>124</v>
      </c>
      <c r="V72" s="67">
        <v>2</v>
      </c>
    </row>
    <row r="73" spans="3:22" x14ac:dyDescent="0.25">
      <c r="C73" s="18" t="s">
        <v>6</v>
      </c>
      <c r="D73" s="18">
        <v>2024</v>
      </c>
      <c r="E73" s="18" t="s">
        <v>138</v>
      </c>
      <c r="F73" s="18" t="s">
        <v>10</v>
      </c>
      <c r="G73" s="18">
        <v>10</v>
      </c>
      <c r="H73" s="18" t="s">
        <v>135</v>
      </c>
      <c r="I73" s="18" t="s">
        <v>163</v>
      </c>
      <c r="J73" s="31">
        <v>37.549999999999997</v>
      </c>
      <c r="K73" s="31">
        <v>38.15</v>
      </c>
      <c r="L73" s="4">
        <v>0.60000000000000142</v>
      </c>
      <c r="M73" s="5">
        <v>1</v>
      </c>
      <c r="N73" s="31">
        <v>0.60000000000000142</v>
      </c>
      <c r="O73" s="31">
        <v>0.49</v>
      </c>
      <c r="P73" s="31">
        <v>0.3</v>
      </c>
      <c r="Q73" s="86">
        <v>49.999999999999879</v>
      </c>
      <c r="R73" s="31">
        <v>5</v>
      </c>
      <c r="S73" s="31"/>
      <c r="T73" s="31">
        <v>5</v>
      </c>
      <c r="U73" s="31">
        <v>98</v>
      </c>
      <c r="V73" s="67">
        <v>2</v>
      </c>
    </row>
    <row r="74" spans="3:22" x14ac:dyDescent="0.25">
      <c r="C74" s="18" t="s">
        <v>6</v>
      </c>
      <c r="D74" s="18">
        <v>2024</v>
      </c>
      <c r="E74" s="18" t="s">
        <v>138</v>
      </c>
      <c r="F74" s="18" t="s">
        <v>10</v>
      </c>
      <c r="G74" s="18">
        <v>10</v>
      </c>
      <c r="H74" s="18" t="s">
        <v>135</v>
      </c>
      <c r="I74" s="18" t="s">
        <v>163</v>
      </c>
      <c r="J74" s="31">
        <v>38.15</v>
      </c>
      <c r="K74" s="31">
        <v>38.65</v>
      </c>
      <c r="L74" s="4">
        <v>0.5</v>
      </c>
      <c r="M74" s="5">
        <v>1</v>
      </c>
      <c r="N74" s="31">
        <v>0.5</v>
      </c>
      <c r="O74" s="31">
        <v>0.48</v>
      </c>
      <c r="P74" s="31">
        <v>0.11</v>
      </c>
      <c r="Q74" s="86">
        <v>22</v>
      </c>
      <c r="R74" s="31">
        <v>4</v>
      </c>
      <c r="S74" s="31"/>
      <c r="T74" s="31">
        <v>4</v>
      </c>
      <c r="U74" s="31">
        <v>120</v>
      </c>
      <c r="V74" s="67">
        <v>2</v>
      </c>
    </row>
    <row r="75" spans="3:22" x14ac:dyDescent="0.25">
      <c r="C75" s="18" t="s">
        <v>6</v>
      </c>
      <c r="D75" s="18">
        <v>2024</v>
      </c>
      <c r="E75" s="18" t="s">
        <v>138</v>
      </c>
      <c r="F75" s="18" t="s">
        <v>10</v>
      </c>
      <c r="G75" s="18">
        <v>10</v>
      </c>
      <c r="H75" s="18" t="s">
        <v>135</v>
      </c>
      <c r="I75" s="18" t="s">
        <v>163</v>
      </c>
      <c r="J75" s="31">
        <v>38.65</v>
      </c>
      <c r="K75" s="31">
        <v>39.15</v>
      </c>
      <c r="L75" s="4">
        <v>0.5</v>
      </c>
      <c r="M75" s="5">
        <v>1</v>
      </c>
      <c r="N75" s="31">
        <v>0.5</v>
      </c>
      <c r="O75" s="31">
        <v>0.49</v>
      </c>
      <c r="P75" s="31">
        <v>0</v>
      </c>
      <c r="Q75" s="86">
        <v>0</v>
      </c>
      <c r="R75" s="31">
        <v>15</v>
      </c>
      <c r="S75" s="31"/>
      <c r="T75" s="31">
        <v>15</v>
      </c>
      <c r="U75" s="31">
        <v>32.666666666666664</v>
      </c>
      <c r="V75" s="67">
        <v>2</v>
      </c>
    </row>
    <row r="76" spans="3:22" x14ac:dyDescent="0.25">
      <c r="C76" s="18" t="s">
        <v>6</v>
      </c>
      <c r="D76" s="18">
        <v>2024</v>
      </c>
      <c r="E76" s="18" t="s">
        <v>138</v>
      </c>
      <c r="F76" s="18" t="s">
        <v>10</v>
      </c>
      <c r="G76" s="18">
        <v>10</v>
      </c>
      <c r="H76" s="18" t="s">
        <v>135</v>
      </c>
      <c r="I76" s="18" t="s">
        <v>163</v>
      </c>
      <c r="J76" s="31">
        <v>39.15</v>
      </c>
      <c r="K76" s="31">
        <v>39.75</v>
      </c>
      <c r="L76" s="4">
        <v>0.60000000000000142</v>
      </c>
      <c r="M76" s="5">
        <v>0.81</v>
      </c>
      <c r="N76" s="31">
        <v>0.48600000000000121</v>
      </c>
      <c r="O76" s="31">
        <v>0.45</v>
      </c>
      <c r="P76" s="31">
        <v>0.24</v>
      </c>
      <c r="Q76" s="86">
        <v>39.999999999999901</v>
      </c>
      <c r="R76" s="31">
        <v>3</v>
      </c>
      <c r="S76" s="31"/>
      <c r="T76" s="31">
        <v>3</v>
      </c>
      <c r="U76" s="31">
        <v>150</v>
      </c>
      <c r="V76" s="67">
        <v>2</v>
      </c>
    </row>
    <row r="77" spans="3:22" x14ac:dyDescent="0.25">
      <c r="C77" s="18" t="s">
        <v>6</v>
      </c>
      <c r="D77" s="18">
        <v>2024</v>
      </c>
      <c r="E77" s="18" t="s">
        <v>138</v>
      </c>
      <c r="F77" s="18" t="s">
        <v>10</v>
      </c>
      <c r="G77" s="18">
        <v>10</v>
      </c>
      <c r="H77" s="18" t="s">
        <v>135</v>
      </c>
      <c r="I77" s="18" t="s">
        <v>163</v>
      </c>
      <c r="J77" s="31">
        <v>39.75</v>
      </c>
      <c r="K77" s="31">
        <v>40</v>
      </c>
      <c r="L77" s="4">
        <v>0.25</v>
      </c>
      <c r="M77" s="5">
        <v>0.91</v>
      </c>
      <c r="N77" s="31">
        <v>0.22750000000000001</v>
      </c>
      <c r="O77" s="31">
        <v>0.38</v>
      </c>
      <c r="P77" s="31">
        <v>0.14000000000000001</v>
      </c>
      <c r="Q77" s="86">
        <v>56.000000000000007</v>
      </c>
      <c r="R77" s="31">
        <v>3</v>
      </c>
      <c r="S77" s="31"/>
      <c r="T77" s="31">
        <v>3</v>
      </c>
      <c r="U77" s="31">
        <v>126.66666666666667</v>
      </c>
      <c r="V77" s="67">
        <v>2</v>
      </c>
    </row>
    <row r="78" spans="3:22" x14ac:dyDescent="0.25">
      <c r="C78" s="18" t="s">
        <v>6</v>
      </c>
      <c r="D78" s="18">
        <v>2024</v>
      </c>
      <c r="E78" s="18" t="s">
        <v>138</v>
      </c>
      <c r="F78" s="18" t="s">
        <v>10</v>
      </c>
      <c r="G78" s="18">
        <v>10</v>
      </c>
      <c r="H78" s="18" t="s">
        <v>135</v>
      </c>
      <c r="I78" s="18" t="s">
        <v>163</v>
      </c>
      <c r="J78" s="31">
        <v>40</v>
      </c>
      <c r="K78" s="31">
        <v>40.450000000000003</v>
      </c>
      <c r="L78" s="4">
        <v>0.45000000000000284</v>
      </c>
      <c r="M78" s="5">
        <v>0.91</v>
      </c>
      <c r="N78" s="31">
        <v>0.40950000000000258</v>
      </c>
      <c r="O78" s="31">
        <v>0.23</v>
      </c>
      <c r="P78" s="31">
        <v>0</v>
      </c>
      <c r="Q78" s="86">
        <v>0</v>
      </c>
      <c r="R78" s="31">
        <v>5</v>
      </c>
      <c r="S78" s="31"/>
      <c r="T78" s="31">
        <v>5</v>
      </c>
      <c r="U78" s="31">
        <v>46</v>
      </c>
      <c r="V78" s="67">
        <v>2</v>
      </c>
    </row>
    <row r="79" spans="3:22" x14ac:dyDescent="0.25">
      <c r="C79" s="18" t="s">
        <v>6</v>
      </c>
      <c r="D79" s="18">
        <v>2024</v>
      </c>
      <c r="E79" s="18" t="s">
        <v>138</v>
      </c>
      <c r="F79" s="18" t="s">
        <v>10</v>
      </c>
      <c r="G79" s="18">
        <v>10</v>
      </c>
      <c r="H79" s="18" t="s">
        <v>135</v>
      </c>
      <c r="I79" s="18" t="s">
        <v>163</v>
      </c>
      <c r="J79" s="31">
        <v>40.450000000000003</v>
      </c>
      <c r="K79" s="31">
        <v>41.25</v>
      </c>
      <c r="L79" s="4">
        <v>0.79999999999999716</v>
      </c>
      <c r="M79" s="5">
        <v>1</v>
      </c>
      <c r="N79" s="31">
        <v>0.79999999999999716</v>
      </c>
      <c r="O79" s="31">
        <v>0.76</v>
      </c>
      <c r="P79" s="31">
        <v>0.38</v>
      </c>
      <c r="Q79" s="86">
        <v>47.500000000000171</v>
      </c>
      <c r="R79" s="31">
        <v>6</v>
      </c>
      <c r="S79" s="31"/>
      <c r="T79" s="31">
        <v>6</v>
      </c>
      <c r="U79" s="31">
        <v>126.66666666666667</v>
      </c>
      <c r="V79" s="67">
        <v>2</v>
      </c>
    </row>
    <row r="80" spans="3:22" x14ac:dyDescent="0.25">
      <c r="C80" s="18" t="s">
        <v>6</v>
      </c>
      <c r="D80" s="18">
        <v>2024</v>
      </c>
      <c r="E80" s="18" t="s">
        <v>138</v>
      </c>
      <c r="F80" s="18" t="s">
        <v>10</v>
      </c>
      <c r="G80" s="18">
        <v>10</v>
      </c>
      <c r="H80" s="18" t="s">
        <v>135</v>
      </c>
      <c r="I80" s="18" t="s">
        <v>163</v>
      </c>
      <c r="J80" s="31">
        <v>41.25</v>
      </c>
      <c r="K80" s="31">
        <v>41.85</v>
      </c>
      <c r="L80" s="4">
        <v>0.60000000000000142</v>
      </c>
      <c r="M80" s="5">
        <v>1</v>
      </c>
      <c r="N80" s="31">
        <v>0.60000000000000142</v>
      </c>
      <c r="O80" s="31">
        <v>0.47</v>
      </c>
      <c r="P80" s="31">
        <v>0.19</v>
      </c>
      <c r="Q80" s="86">
        <v>31.666666666666593</v>
      </c>
      <c r="R80" s="31">
        <v>3</v>
      </c>
      <c r="S80" s="31"/>
      <c r="T80" s="31">
        <v>3</v>
      </c>
      <c r="U80" s="31">
        <v>156.66666666666666</v>
      </c>
      <c r="V80" s="67">
        <v>2</v>
      </c>
    </row>
    <row r="81" spans="3:22" x14ac:dyDescent="0.25">
      <c r="C81" s="18" t="s">
        <v>6</v>
      </c>
      <c r="D81" s="18">
        <v>2024</v>
      </c>
      <c r="E81" s="18" t="s">
        <v>138</v>
      </c>
      <c r="F81" s="18" t="s">
        <v>10</v>
      </c>
      <c r="G81" s="18">
        <v>10</v>
      </c>
      <c r="H81" s="18" t="s">
        <v>135</v>
      </c>
      <c r="I81" s="18" t="s">
        <v>163</v>
      </c>
      <c r="J81" s="31">
        <v>41.85</v>
      </c>
      <c r="K81" s="31">
        <v>42.35</v>
      </c>
      <c r="L81" s="4">
        <v>0.5</v>
      </c>
      <c r="M81" s="5">
        <v>1</v>
      </c>
      <c r="N81" s="31">
        <v>0.5</v>
      </c>
      <c r="O81" s="31">
        <v>0.43</v>
      </c>
      <c r="P81" s="31">
        <v>0.15</v>
      </c>
      <c r="Q81" s="86">
        <v>30</v>
      </c>
      <c r="R81" s="31">
        <v>5</v>
      </c>
      <c r="S81" s="31"/>
      <c r="T81" s="31">
        <v>5</v>
      </c>
      <c r="U81" s="31">
        <v>86</v>
      </c>
      <c r="V81" s="67">
        <v>2</v>
      </c>
    </row>
    <row r="82" spans="3:22" x14ac:dyDescent="0.25">
      <c r="C82" s="18" t="s">
        <v>6</v>
      </c>
      <c r="D82" s="18">
        <v>2024</v>
      </c>
      <c r="E82" s="18" t="s">
        <v>138</v>
      </c>
      <c r="F82" s="18" t="s">
        <v>10</v>
      </c>
      <c r="G82" s="18">
        <v>10</v>
      </c>
      <c r="H82" s="18" t="s">
        <v>135</v>
      </c>
      <c r="I82" s="18" t="s">
        <v>163</v>
      </c>
      <c r="J82" s="31">
        <v>42.35</v>
      </c>
      <c r="K82" s="31">
        <v>43.05</v>
      </c>
      <c r="L82" s="4">
        <v>0.69999999999999574</v>
      </c>
      <c r="M82" s="5">
        <v>1</v>
      </c>
      <c r="N82" s="31">
        <v>0.69999999999999574</v>
      </c>
      <c r="O82" s="31">
        <v>0.5</v>
      </c>
      <c r="P82" s="31">
        <v>0.15</v>
      </c>
      <c r="Q82" s="86">
        <v>21.428571428571558</v>
      </c>
      <c r="R82" s="31">
        <v>4</v>
      </c>
      <c r="S82" s="31"/>
      <c r="T82" s="31">
        <v>4</v>
      </c>
      <c r="U82" s="31">
        <v>125</v>
      </c>
      <c r="V82" s="67">
        <v>2</v>
      </c>
    </row>
    <row r="83" spans="3:22" x14ac:dyDescent="0.25">
      <c r="C83" s="18" t="s">
        <v>6</v>
      </c>
      <c r="D83" s="18">
        <v>2024</v>
      </c>
      <c r="E83" s="18" t="s">
        <v>138</v>
      </c>
      <c r="F83" s="18" t="s">
        <v>10</v>
      </c>
      <c r="G83" s="18">
        <v>10</v>
      </c>
      <c r="H83" s="18" t="s">
        <v>135</v>
      </c>
      <c r="I83" s="18" t="s">
        <v>163</v>
      </c>
      <c r="J83" s="31">
        <v>43.05</v>
      </c>
      <c r="K83" s="31">
        <v>43.55</v>
      </c>
      <c r="L83" s="4">
        <v>0.5</v>
      </c>
      <c r="M83" s="5">
        <v>0.56000000000000005</v>
      </c>
      <c r="N83" s="31">
        <v>0.28000000000000003</v>
      </c>
      <c r="O83" s="31">
        <v>0.25</v>
      </c>
      <c r="P83" s="31">
        <v>0</v>
      </c>
      <c r="Q83" s="86">
        <v>0</v>
      </c>
      <c r="R83" s="31">
        <v>6</v>
      </c>
      <c r="S83" s="31"/>
      <c r="T83" s="31">
        <v>6</v>
      </c>
      <c r="U83" s="31">
        <v>41.666666666666664</v>
      </c>
      <c r="V83" s="67">
        <v>2</v>
      </c>
    </row>
    <row r="84" spans="3:22" x14ac:dyDescent="0.25">
      <c r="C84" s="18" t="s">
        <v>6</v>
      </c>
      <c r="D84" s="18">
        <v>2024</v>
      </c>
      <c r="E84" s="18" t="s">
        <v>138</v>
      </c>
      <c r="F84" s="18" t="s">
        <v>10</v>
      </c>
      <c r="G84" s="18">
        <v>10</v>
      </c>
      <c r="H84" s="18" t="s">
        <v>135</v>
      </c>
      <c r="I84" s="18" t="s">
        <v>163</v>
      </c>
      <c r="J84" s="31">
        <v>43.55</v>
      </c>
      <c r="K84" s="31">
        <v>44.05</v>
      </c>
      <c r="L84" s="4">
        <v>0.5</v>
      </c>
      <c r="M84" s="5">
        <v>0.82</v>
      </c>
      <c r="N84" s="31">
        <v>0.41</v>
      </c>
      <c r="O84" s="31">
        <v>0.22</v>
      </c>
      <c r="P84" s="31">
        <v>0</v>
      </c>
      <c r="Q84" s="86">
        <v>0</v>
      </c>
      <c r="R84" s="31">
        <v>4</v>
      </c>
      <c r="S84" s="31"/>
      <c r="T84" s="31">
        <v>4</v>
      </c>
      <c r="U84" s="31">
        <v>55</v>
      </c>
      <c r="V84" s="67">
        <v>2</v>
      </c>
    </row>
    <row r="85" spans="3:22" x14ac:dyDescent="0.25">
      <c r="C85" s="18" t="s">
        <v>6</v>
      </c>
      <c r="D85" s="18">
        <v>2024</v>
      </c>
      <c r="E85" s="18" t="s">
        <v>138</v>
      </c>
      <c r="F85" s="18" t="s">
        <v>10</v>
      </c>
      <c r="G85" s="18">
        <v>10</v>
      </c>
      <c r="H85" s="18" t="s">
        <v>135</v>
      </c>
      <c r="I85" s="18" t="s">
        <v>163</v>
      </c>
      <c r="J85" s="31">
        <v>44.05</v>
      </c>
      <c r="K85" s="31">
        <v>44.55</v>
      </c>
      <c r="L85" s="4">
        <v>0.5</v>
      </c>
      <c r="M85" s="5">
        <v>0.54</v>
      </c>
      <c r="N85" s="31">
        <v>0.27</v>
      </c>
      <c r="O85" s="31">
        <v>0.26</v>
      </c>
      <c r="P85" s="31">
        <v>0</v>
      </c>
      <c r="Q85" s="86">
        <v>0</v>
      </c>
      <c r="R85" s="31">
        <v>6</v>
      </c>
      <c r="S85" s="31"/>
      <c r="T85" s="31">
        <v>6</v>
      </c>
      <c r="U85" s="31">
        <v>43.333333333333336</v>
      </c>
      <c r="V85" s="67">
        <v>2</v>
      </c>
    </row>
    <row r="86" spans="3:22" x14ac:dyDescent="0.25">
      <c r="C86" s="18" t="s">
        <v>6</v>
      </c>
      <c r="D86" s="18">
        <v>2024</v>
      </c>
      <c r="E86" s="18" t="s">
        <v>138</v>
      </c>
      <c r="F86" s="18" t="s">
        <v>10</v>
      </c>
      <c r="G86" s="18">
        <v>10</v>
      </c>
      <c r="H86" s="18" t="s">
        <v>135</v>
      </c>
      <c r="I86" s="18" t="s">
        <v>163</v>
      </c>
      <c r="J86" s="31">
        <v>44.55</v>
      </c>
      <c r="K86" s="31">
        <v>45.05</v>
      </c>
      <c r="L86" s="4">
        <v>0.5</v>
      </c>
      <c r="M86" s="5">
        <v>0.57999999999999996</v>
      </c>
      <c r="N86" s="31">
        <v>0.28999999999999998</v>
      </c>
      <c r="O86" s="31">
        <v>0.24</v>
      </c>
      <c r="P86" s="31">
        <v>0</v>
      </c>
      <c r="Q86" s="86">
        <v>0</v>
      </c>
      <c r="R86" s="31">
        <v>10</v>
      </c>
      <c r="S86" s="31"/>
      <c r="T86" s="31">
        <v>10</v>
      </c>
      <c r="U86" s="31">
        <v>24</v>
      </c>
      <c r="V86" s="67">
        <v>1</v>
      </c>
    </row>
    <row r="87" spans="3:22" x14ac:dyDescent="0.25">
      <c r="C87" s="18" t="s">
        <v>6</v>
      </c>
      <c r="D87" s="18">
        <v>2024</v>
      </c>
      <c r="E87" s="18" t="s">
        <v>138</v>
      </c>
      <c r="F87" s="18" t="s">
        <v>10</v>
      </c>
      <c r="G87" s="18">
        <v>10</v>
      </c>
      <c r="H87" s="18" t="s">
        <v>135</v>
      </c>
      <c r="I87" s="18" t="s">
        <v>163</v>
      </c>
      <c r="J87" s="31">
        <v>45.05</v>
      </c>
      <c r="K87" s="31">
        <v>45.55</v>
      </c>
      <c r="L87" s="4">
        <v>0.5</v>
      </c>
      <c r="M87" s="5">
        <v>0.62</v>
      </c>
      <c r="N87" s="31">
        <v>0.31</v>
      </c>
      <c r="O87" s="31">
        <v>0.28000000000000003</v>
      </c>
      <c r="P87" s="31">
        <v>0</v>
      </c>
      <c r="Q87" s="86">
        <v>0</v>
      </c>
      <c r="R87" s="31">
        <v>10</v>
      </c>
      <c r="S87" s="31"/>
      <c r="T87" s="31">
        <v>10</v>
      </c>
      <c r="U87" s="31">
        <v>28</v>
      </c>
      <c r="V87" s="67">
        <v>1</v>
      </c>
    </row>
    <row r="88" spans="3:22" x14ac:dyDescent="0.25">
      <c r="C88" s="18" t="s">
        <v>6</v>
      </c>
      <c r="D88" s="18">
        <v>2024</v>
      </c>
      <c r="E88" s="18" t="s">
        <v>138</v>
      </c>
      <c r="F88" s="18" t="s">
        <v>10</v>
      </c>
      <c r="G88" s="18">
        <v>10</v>
      </c>
      <c r="H88" s="18" t="s">
        <v>135</v>
      </c>
      <c r="I88" s="18" t="s">
        <v>163</v>
      </c>
      <c r="J88" s="31">
        <v>45.55</v>
      </c>
      <c r="K88" s="31">
        <v>46.05</v>
      </c>
      <c r="L88" s="4">
        <v>0.5</v>
      </c>
      <c r="M88" s="5">
        <v>0.74</v>
      </c>
      <c r="N88" s="31">
        <v>0.37</v>
      </c>
      <c r="O88" s="31">
        <v>0.27</v>
      </c>
      <c r="P88" s="31">
        <v>0</v>
      </c>
      <c r="Q88" s="86">
        <v>0</v>
      </c>
      <c r="R88" s="31">
        <v>8</v>
      </c>
      <c r="S88" s="31"/>
      <c r="T88" s="31">
        <v>8</v>
      </c>
      <c r="U88" s="31">
        <v>33.75</v>
      </c>
      <c r="V88" s="67">
        <v>1</v>
      </c>
    </row>
    <row r="89" spans="3:22" x14ac:dyDescent="0.25">
      <c r="C89" s="18" t="s">
        <v>6</v>
      </c>
      <c r="D89" s="18">
        <v>2024</v>
      </c>
      <c r="E89" s="18" t="s">
        <v>138</v>
      </c>
      <c r="F89" s="18" t="s">
        <v>10</v>
      </c>
      <c r="G89" s="18">
        <v>10</v>
      </c>
      <c r="H89" s="18" t="s">
        <v>135</v>
      </c>
      <c r="I89" s="18" t="s">
        <v>163</v>
      </c>
      <c r="J89" s="31">
        <v>46.05</v>
      </c>
      <c r="K89" s="31">
        <v>46.55</v>
      </c>
      <c r="L89" s="4">
        <v>0.5</v>
      </c>
      <c r="M89" s="5">
        <v>0.8</v>
      </c>
      <c r="N89" s="31">
        <v>0.4</v>
      </c>
      <c r="O89" s="31">
        <v>0.37</v>
      </c>
      <c r="P89" s="31">
        <v>0</v>
      </c>
      <c r="Q89" s="86">
        <v>0</v>
      </c>
      <c r="R89" s="31">
        <v>5</v>
      </c>
      <c r="S89" s="31"/>
      <c r="T89" s="31">
        <v>5</v>
      </c>
      <c r="U89" s="31">
        <v>74</v>
      </c>
      <c r="V89" s="67">
        <v>2</v>
      </c>
    </row>
    <row r="90" spans="3:22" x14ac:dyDescent="0.25">
      <c r="C90" s="18" t="s">
        <v>6</v>
      </c>
      <c r="D90" s="18">
        <v>2024</v>
      </c>
      <c r="E90" s="18" t="s">
        <v>138</v>
      </c>
      <c r="F90" s="18" t="s">
        <v>10</v>
      </c>
      <c r="G90" s="18">
        <v>10</v>
      </c>
      <c r="H90" s="18" t="s">
        <v>135</v>
      </c>
      <c r="I90" s="18" t="s">
        <v>163</v>
      </c>
      <c r="J90" s="31">
        <v>46.55</v>
      </c>
      <c r="K90" s="31">
        <v>47.05</v>
      </c>
      <c r="L90" s="4">
        <v>0.5</v>
      </c>
      <c r="M90" s="5">
        <v>0.78</v>
      </c>
      <c r="N90" s="31">
        <v>0.39</v>
      </c>
      <c r="O90" s="31">
        <v>0.33</v>
      </c>
      <c r="P90" s="31">
        <v>0</v>
      </c>
      <c r="Q90" s="86">
        <v>0</v>
      </c>
      <c r="R90" s="31">
        <v>7</v>
      </c>
      <c r="S90" s="31"/>
      <c r="T90" s="31">
        <v>7</v>
      </c>
      <c r="U90" s="31">
        <v>47.142857142857146</v>
      </c>
      <c r="V90" s="67">
        <v>2</v>
      </c>
    </row>
    <row r="91" spans="3:22" x14ac:dyDescent="0.25">
      <c r="C91" s="18" t="s">
        <v>6</v>
      </c>
      <c r="D91" s="18">
        <v>2024</v>
      </c>
      <c r="E91" s="18" t="s">
        <v>138</v>
      </c>
      <c r="F91" s="18" t="s">
        <v>10</v>
      </c>
      <c r="G91" s="18">
        <v>10</v>
      </c>
      <c r="H91" s="18" t="s">
        <v>135</v>
      </c>
      <c r="I91" s="18" t="s">
        <v>163</v>
      </c>
      <c r="J91" s="31">
        <v>47.05</v>
      </c>
      <c r="K91" s="31">
        <v>47.55</v>
      </c>
      <c r="L91" s="4">
        <v>0.5</v>
      </c>
      <c r="M91" s="5">
        <v>0.9</v>
      </c>
      <c r="N91" s="31">
        <v>0.45</v>
      </c>
      <c r="O91" s="31">
        <v>0.45</v>
      </c>
      <c r="P91" s="31">
        <v>0.18</v>
      </c>
      <c r="Q91" s="86">
        <v>36</v>
      </c>
      <c r="R91" s="31">
        <v>3</v>
      </c>
      <c r="S91" s="31"/>
      <c r="T91" s="31">
        <v>3</v>
      </c>
      <c r="U91" s="31">
        <v>150</v>
      </c>
      <c r="V91" s="67">
        <v>2</v>
      </c>
    </row>
    <row r="92" spans="3:22" x14ac:dyDescent="0.25">
      <c r="C92" s="18" t="s">
        <v>6</v>
      </c>
      <c r="D92" s="18">
        <v>2024</v>
      </c>
      <c r="E92" s="18" t="s">
        <v>138</v>
      </c>
      <c r="F92" s="18" t="s">
        <v>10</v>
      </c>
      <c r="G92" s="18">
        <v>10</v>
      </c>
      <c r="H92" s="18" t="s">
        <v>135</v>
      </c>
      <c r="I92" s="18" t="s">
        <v>163</v>
      </c>
      <c r="J92" s="31">
        <v>47.55</v>
      </c>
      <c r="K92" s="31">
        <v>48.05</v>
      </c>
      <c r="L92" s="4">
        <v>0.5</v>
      </c>
      <c r="M92" s="5">
        <v>0.86</v>
      </c>
      <c r="N92" s="31">
        <v>0.43</v>
      </c>
      <c r="O92" s="31">
        <v>0.39</v>
      </c>
      <c r="P92" s="31">
        <v>0.14000000000000001</v>
      </c>
      <c r="Q92" s="86">
        <v>28.000000000000004</v>
      </c>
      <c r="R92" s="31">
        <v>6</v>
      </c>
      <c r="S92" s="31"/>
      <c r="T92" s="31">
        <v>6</v>
      </c>
      <c r="U92" s="31">
        <v>65</v>
      </c>
      <c r="V92" s="67">
        <v>1</v>
      </c>
    </row>
    <row r="93" spans="3:22" x14ac:dyDescent="0.25">
      <c r="C93" s="18" t="s">
        <v>6</v>
      </c>
      <c r="D93" s="18">
        <v>2024</v>
      </c>
      <c r="E93" s="18" t="s">
        <v>138</v>
      </c>
      <c r="F93" s="18" t="s">
        <v>10</v>
      </c>
      <c r="G93" s="18">
        <v>10</v>
      </c>
      <c r="H93" s="18" t="s">
        <v>135</v>
      </c>
      <c r="I93" s="18" t="s">
        <v>163</v>
      </c>
      <c r="J93" s="31">
        <v>48.05</v>
      </c>
      <c r="K93" s="31">
        <v>48.55</v>
      </c>
      <c r="L93" s="4">
        <v>0.5</v>
      </c>
      <c r="M93" s="5">
        <v>0.96</v>
      </c>
      <c r="N93" s="31">
        <v>0.48</v>
      </c>
      <c r="O93" s="31">
        <v>0.42</v>
      </c>
      <c r="P93" s="31">
        <v>0.12</v>
      </c>
      <c r="Q93" s="86">
        <v>24</v>
      </c>
      <c r="R93" s="31">
        <v>6</v>
      </c>
      <c r="S93" s="31"/>
      <c r="T93" s="31">
        <v>6</v>
      </c>
      <c r="U93" s="31">
        <v>70</v>
      </c>
      <c r="V93" s="67">
        <v>1</v>
      </c>
    </row>
    <row r="94" spans="3:22" x14ac:dyDescent="0.25">
      <c r="C94" s="18" t="s">
        <v>6</v>
      </c>
      <c r="D94" s="18">
        <v>2024</v>
      </c>
      <c r="E94" s="18" t="s">
        <v>138</v>
      </c>
      <c r="F94" s="18" t="s">
        <v>10</v>
      </c>
      <c r="G94" s="18">
        <v>10</v>
      </c>
      <c r="H94" s="18" t="s">
        <v>135</v>
      </c>
      <c r="I94" s="18" t="s">
        <v>163</v>
      </c>
      <c r="J94" s="31">
        <v>48.55</v>
      </c>
      <c r="K94" s="31">
        <v>49.05</v>
      </c>
      <c r="L94" s="4">
        <v>0.5</v>
      </c>
      <c r="M94" s="5">
        <v>0.9</v>
      </c>
      <c r="N94" s="31">
        <v>0.45</v>
      </c>
      <c r="O94" s="31">
        <v>0.4</v>
      </c>
      <c r="P94" s="31">
        <v>0</v>
      </c>
      <c r="Q94" s="86">
        <v>0</v>
      </c>
      <c r="R94" s="31">
        <v>14</v>
      </c>
      <c r="S94" s="31"/>
      <c r="T94" s="31">
        <v>14</v>
      </c>
      <c r="U94" s="31">
        <v>28.571428571428573</v>
      </c>
      <c r="V94" s="67">
        <v>1</v>
      </c>
    </row>
    <row r="95" spans="3:22" x14ac:dyDescent="0.25">
      <c r="C95" s="18" t="s">
        <v>6</v>
      </c>
      <c r="D95" s="18">
        <v>2024</v>
      </c>
      <c r="E95" s="18" t="s">
        <v>138</v>
      </c>
      <c r="F95" s="18" t="s">
        <v>10</v>
      </c>
      <c r="G95" s="18">
        <v>10</v>
      </c>
      <c r="H95" s="18" t="s">
        <v>135</v>
      </c>
      <c r="I95" s="18" t="s">
        <v>163</v>
      </c>
      <c r="J95" s="31">
        <v>49.05</v>
      </c>
      <c r="K95" s="31">
        <v>49.6</v>
      </c>
      <c r="L95" s="4">
        <v>0.55000000000000426</v>
      </c>
      <c r="M95" s="5">
        <v>1</v>
      </c>
      <c r="N95" s="31">
        <v>0.55000000000000426</v>
      </c>
      <c r="O95" s="31">
        <v>0.43</v>
      </c>
      <c r="P95" s="31">
        <v>0.19</v>
      </c>
      <c r="Q95" s="86">
        <v>34.545454545454277</v>
      </c>
      <c r="R95" s="31">
        <v>6</v>
      </c>
      <c r="S95" s="31"/>
      <c r="T95" s="31">
        <v>6</v>
      </c>
      <c r="U95" s="31">
        <v>71.666666666666671</v>
      </c>
      <c r="V95" s="67">
        <v>1</v>
      </c>
    </row>
    <row r="96" spans="3:22" x14ac:dyDescent="0.25">
      <c r="C96" s="18" t="s">
        <v>6</v>
      </c>
      <c r="D96" s="18">
        <v>2024</v>
      </c>
      <c r="E96" s="18" t="s">
        <v>138</v>
      </c>
      <c r="F96" s="18" t="s">
        <v>10</v>
      </c>
      <c r="G96" s="18">
        <v>10</v>
      </c>
      <c r="H96" s="18" t="s">
        <v>135</v>
      </c>
      <c r="I96" s="18" t="s">
        <v>163</v>
      </c>
      <c r="J96" s="31">
        <v>49.6</v>
      </c>
      <c r="K96" s="31">
        <v>50.15</v>
      </c>
      <c r="L96" s="4">
        <v>0.54999999999999716</v>
      </c>
      <c r="M96" s="5">
        <v>1</v>
      </c>
      <c r="N96" s="31">
        <v>0.54999999999999716</v>
      </c>
      <c r="O96" s="31">
        <v>0.53</v>
      </c>
      <c r="P96" s="31">
        <v>0</v>
      </c>
      <c r="Q96" s="86">
        <v>0</v>
      </c>
      <c r="R96" s="31">
        <v>10</v>
      </c>
      <c r="S96" s="31"/>
      <c r="T96" s="31">
        <v>10</v>
      </c>
      <c r="U96" s="31">
        <v>53</v>
      </c>
      <c r="V96" s="67">
        <v>1</v>
      </c>
    </row>
    <row r="97" spans="3:22" x14ac:dyDescent="0.25">
      <c r="C97" s="18" t="s">
        <v>6</v>
      </c>
      <c r="D97" s="18">
        <v>2024</v>
      </c>
      <c r="E97" s="18" t="s">
        <v>138</v>
      </c>
      <c r="F97" s="18" t="s">
        <v>10</v>
      </c>
      <c r="G97" s="18">
        <v>10</v>
      </c>
      <c r="H97" s="18" t="s">
        <v>135</v>
      </c>
      <c r="I97" s="18" t="s">
        <v>163</v>
      </c>
      <c r="J97" s="31">
        <v>50.15</v>
      </c>
      <c r="K97" s="31">
        <v>50.85</v>
      </c>
      <c r="L97" s="4">
        <v>0.70000000000000284</v>
      </c>
      <c r="M97" s="5">
        <v>1</v>
      </c>
      <c r="N97" s="31">
        <v>0.70000000000000284</v>
      </c>
      <c r="O97" s="31">
        <v>0.7</v>
      </c>
      <c r="P97" s="31">
        <v>0.25</v>
      </c>
      <c r="Q97" s="86">
        <v>35.714285714285573</v>
      </c>
      <c r="R97" s="31">
        <v>7</v>
      </c>
      <c r="S97" s="31"/>
      <c r="T97" s="31">
        <v>7</v>
      </c>
      <c r="U97" s="31">
        <v>100</v>
      </c>
      <c r="V97" s="67">
        <v>2</v>
      </c>
    </row>
    <row r="98" spans="3:22" x14ac:dyDescent="0.25">
      <c r="C98" s="18" t="s">
        <v>6</v>
      </c>
      <c r="D98" s="18">
        <v>2024</v>
      </c>
      <c r="E98" s="18" t="s">
        <v>138</v>
      </c>
      <c r="F98" s="18" t="s">
        <v>10</v>
      </c>
      <c r="G98" s="18">
        <v>10</v>
      </c>
      <c r="H98" s="18" t="s">
        <v>135</v>
      </c>
      <c r="I98" s="18" t="s">
        <v>163</v>
      </c>
      <c r="J98" s="31">
        <v>50.85</v>
      </c>
      <c r="K98" s="31">
        <v>51.85</v>
      </c>
      <c r="L98" s="4">
        <v>1</v>
      </c>
      <c r="M98" s="5">
        <v>1</v>
      </c>
      <c r="N98" s="31">
        <v>1</v>
      </c>
      <c r="O98" s="31">
        <v>0.97</v>
      </c>
      <c r="P98" s="31">
        <v>0.81</v>
      </c>
      <c r="Q98" s="86">
        <v>81</v>
      </c>
      <c r="R98" s="31">
        <v>2</v>
      </c>
      <c r="S98" s="31"/>
      <c r="T98" s="31">
        <v>2</v>
      </c>
      <c r="U98" s="31">
        <v>485</v>
      </c>
      <c r="V98" s="67">
        <v>7</v>
      </c>
    </row>
    <row r="99" spans="3:22" x14ac:dyDescent="0.25">
      <c r="C99" s="18" t="s">
        <v>6</v>
      </c>
      <c r="D99" s="18">
        <v>2024</v>
      </c>
      <c r="E99" s="18" t="s">
        <v>138</v>
      </c>
      <c r="F99" s="18" t="s">
        <v>10</v>
      </c>
      <c r="G99" s="18">
        <v>10</v>
      </c>
      <c r="H99" s="18" t="s">
        <v>135</v>
      </c>
      <c r="I99" s="18" t="s">
        <v>163</v>
      </c>
      <c r="J99" s="31">
        <v>51.85</v>
      </c>
      <c r="K99" s="31">
        <v>52.35</v>
      </c>
      <c r="L99" s="4">
        <v>0.5</v>
      </c>
      <c r="M99" s="5">
        <v>1</v>
      </c>
      <c r="N99" s="31">
        <v>0.5</v>
      </c>
      <c r="O99" s="31">
        <v>0.5</v>
      </c>
      <c r="P99" s="31">
        <v>0.14000000000000001</v>
      </c>
      <c r="Q99" s="86">
        <v>28.000000000000004</v>
      </c>
      <c r="R99" s="31">
        <v>7</v>
      </c>
      <c r="S99" s="31"/>
      <c r="T99" s="31">
        <v>7</v>
      </c>
      <c r="U99" s="31">
        <v>71.428571428571431</v>
      </c>
      <c r="V99" s="67">
        <v>2</v>
      </c>
    </row>
    <row r="100" spans="3:22" x14ac:dyDescent="0.25">
      <c r="C100" s="18" t="s">
        <v>6</v>
      </c>
      <c r="D100" s="18">
        <v>2024</v>
      </c>
      <c r="E100" s="18" t="s">
        <v>138</v>
      </c>
      <c r="F100" s="18" t="s">
        <v>10</v>
      </c>
      <c r="G100" s="18">
        <v>10</v>
      </c>
      <c r="H100" s="18" t="s">
        <v>135</v>
      </c>
      <c r="I100" s="18" t="s">
        <v>163</v>
      </c>
      <c r="J100" s="31">
        <v>52.35</v>
      </c>
      <c r="K100" s="31">
        <v>52.85</v>
      </c>
      <c r="L100" s="4">
        <v>0.5</v>
      </c>
      <c r="M100" s="5">
        <v>0.54</v>
      </c>
      <c r="N100" s="31">
        <v>0.27</v>
      </c>
      <c r="O100" s="31">
        <v>0.27</v>
      </c>
      <c r="P100" s="31">
        <v>0</v>
      </c>
      <c r="Q100" s="86">
        <v>0</v>
      </c>
      <c r="R100" s="31">
        <v>10</v>
      </c>
      <c r="S100" s="31"/>
      <c r="T100" s="31">
        <v>10</v>
      </c>
      <c r="U100" s="31">
        <v>27</v>
      </c>
      <c r="V100" s="67">
        <v>1</v>
      </c>
    </row>
    <row r="101" spans="3:22" x14ac:dyDescent="0.25">
      <c r="C101" s="18" t="s">
        <v>6</v>
      </c>
      <c r="D101" s="18">
        <v>2024</v>
      </c>
      <c r="E101" s="18" t="s">
        <v>138</v>
      </c>
      <c r="F101" s="18" t="s">
        <v>10</v>
      </c>
      <c r="G101" s="18">
        <v>10</v>
      </c>
      <c r="H101" s="18" t="s">
        <v>135</v>
      </c>
      <c r="I101" s="18" t="s">
        <v>163</v>
      </c>
      <c r="J101" s="31">
        <v>52.85</v>
      </c>
      <c r="K101" s="31">
        <v>53.35</v>
      </c>
      <c r="L101" s="4">
        <v>0.5</v>
      </c>
      <c r="M101" s="5">
        <v>0.6</v>
      </c>
      <c r="N101" s="31">
        <v>0.3</v>
      </c>
      <c r="O101" s="31">
        <v>0.25</v>
      </c>
      <c r="P101" s="31">
        <v>0</v>
      </c>
      <c r="Q101" s="86">
        <v>0</v>
      </c>
      <c r="R101" s="31">
        <v>10</v>
      </c>
      <c r="S101" s="31"/>
      <c r="T101" s="31">
        <v>10</v>
      </c>
      <c r="U101" s="31">
        <v>25</v>
      </c>
      <c r="V101" s="67">
        <v>1</v>
      </c>
    </row>
    <row r="102" spans="3:22" x14ac:dyDescent="0.25">
      <c r="C102" s="18" t="s">
        <v>6</v>
      </c>
      <c r="D102" s="18">
        <v>2024</v>
      </c>
      <c r="E102" s="18" t="s">
        <v>138</v>
      </c>
      <c r="F102" s="18" t="s">
        <v>10</v>
      </c>
      <c r="G102" s="18">
        <v>10</v>
      </c>
      <c r="H102" s="18" t="s">
        <v>135</v>
      </c>
      <c r="I102" s="18" t="s">
        <v>163</v>
      </c>
      <c r="J102" s="31">
        <v>53.35</v>
      </c>
      <c r="K102" s="31">
        <v>53.85</v>
      </c>
      <c r="L102" s="4">
        <v>0.5</v>
      </c>
      <c r="M102" s="5">
        <v>0.8</v>
      </c>
      <c r="N102" s="31">
        <v>0.4</v>
      </c>
      <c r="O102" s="84">
        <v>0.4</v>
      </c>
      <c r="P102" s="31">
        <v>0.27</v>
      </c>
      <c r="Q102" s="86">
        <v>54</v>
      </c>
      <c r="R102" s="31">
        <v>4</v>
      </c>
      <c r="S102" s="31"/>
      <c r="T102" s="31">
        <v>4</v>
      </c>
      <c r="U102" s="31">
        <v>100</v>
      </c>
      <c r="V102" s="67">
        <v>4</v>
      </c>
    </row>
    <row r="103" spans="3:22" x14ac:dyDescent="0.25">
      <c r="C103" s="18" t="s">
        <v>6</v>
      </c>
      <c r="D103" s="18">
        <v>2024</v>
      </c>
      <c r="E103" s="18" t="s">
        <v>138</v>
      </c>
      <c r="F103" s="18" t="s">
        <v>10</v>
      </c>
      <c r="G103" s="18">
        <v>10</v>
      </c>
      <c r="H103" s="18" t="s">
        <v>135</v>
      </c>
      <c r="I103" s="18" t="s">
        <v>163</v>
      </c>
      <c r="J103" s="31">
        <v>53.85</v>
      </c>
      <c r="K103" s="31">
        <v>54.35</v>
      </c>
      <c r="L103" s="4">
        <v>0.5</v>
      </c>
      <c r="M103" s="5">
        <v>0.96</v>
      </c>
      <c r="N103" s="31">
        <v>0.48</v>
      </c>
      <c r="O103" s="31">
        <v>0.44</v>
      </c>
      <c r="P103" s="31">
        <v>0.1</v>
      </c>
      <c r="Q103" s="86">
        <v>20</v>
      </c>
      <c r="R103" s="31">
        <v>3</v>
      </c>
      <c r="S103" s="31"/>
      <c r="T103" s="31">
        <v>3</v>
      </c>
      <c r="U103" s="31">
        <v>146.66666666666666</v>
      </c>
      <c r="V103" s="67">
        <v>2</v>
      </c>
    </row>
    <row r="104" spans="3:22" x14ac:dyDescent="0.25">
      <c r="C104" s="18" t="s">
        <v>6</v>
      </c>
      <c r="D104" s="18">
        <v>2024</v>
      </c>
      <c r="E104" s="18" t="s">
        <v>138</v>
      </c>
      <c r="F104" s="18" t="s">
        <v>10</v>
      </c>
      <c r="G104" s="18">
        <v>10</v>
      </c>
      <c r="H104" s="18" t="s">
        <v>135</v>
      </c>
      <c r="I104" s="18" t="s">
        <v>163</v>
      </c>
      <c r="J104" s="31">
        <v>54.35</v>
      </c>
      <c r="K104" s="31">
        <v>54.85</v>
      </c>
      <c r="L104" s="4">
        <v>0.5</v>
      </c>
      <c r="M104" s="5">
        <v>0.8</v>
      </c>
      <c r="N104" s="31">
        <v>0.4</v>
      </c>
      <c r="O104" s="31">
        <v>0.4</v>
      </c>
      <c r="P104" s="31">
        <v>0.16</v>
      </c>
      <c r="Q104" s="86">
        <v>32</v>
      </c>
      <c r="R104" s="31">
        <v>4</v>
      </c>
      <c r="S104" s="31"/>
      <c r="T104" s="31">
        <v>4</v>
      </c>
      <c r="U104" s="31">
        <v>100</v>
      </c>
      <c r="V104" s="67">
        <v>2</v>
      </c>
    </row>
    <row r="105" spans="3:22" x14ac:dyDescent="0.25">
      <c r="C105" s="18" t="s">
        <v>6</v>
      </c>
      <c r="D105" s="18">
        <v>2024</v>
      </c>
      <c r="E105" s="18" t="s">
        <v>138</v>
      </c>
      <c r="F105" s="18" t="s">
        <v>10</v>
      </c>
      <c r="G105" s="18">
        <v>10</v>
      </c>
      <c r="H105" s="18" t="s">
        <v>135</v>
      </c>
      <c r="I105" s="18" t="s">
        <v>163</v>
      </c>
      <c r="J105" s="31">
        <v>54.85</v>
      </c>
      <c r="K105" s="31">
        <v>55.35</v>
      </c>
      <c r="L105" s="4">
        <v>0.5</v>
      </c>
      <c r="M105" s="5">
        <v>0.66</v>
      </c>
      <c r="N105" s="31">
        <v>0.33</v>
      </c>
      <c r="O105" s="31">
        <v>0.25</v>
      </c>
      <c r="P105" s="31">
        <v>0.16</v>
      </c>
      <c r="Q105" s="86">
        <v>32</v>
      </c>
      <c r="R105" s="31">
        <v>3</v>
      </c>
      <c r="S105" s="31"/>
      <c r="T105" s="31">
        <v>3</v>
      </c>
      <c r="U105" s="31">
        <v>83.333333333333329</v>
      </c>
      <c r="V105" s="67">
        <v>2</v>
      </c>
    </row>
    <row r="106" spans="3:22" x14ac:dyDescent="0.25">
      <c r="C106" s="18" t="s">
        <v>6</v>
      </c>
      <c r="D106" s="18">
        <v>2024</v>
      </c>
      <c r="E106" s="18" t="s">
        <v>138</v>
      </c>
      <c r="F106" s="18" t="s">
        <v>10</v>
      </c>
      <c r="G106" s="18">
        <v>10</v>
      </c>
      <c r="H106" s="18" t="s">
        <v>135</v>
      </c>
      <c r="I106" s="18" t="s">
        <v>163</v>
      </c>
      <c r="J106" s="31">
        <v>55.35</v>
      </c>
      <c r="K106" s="31">
        <v>55.85</v>
      </c>
      <c r="L106" s="4">
        <v>0.5</v>
      </c>
      <c r="M106" s="5">
        <v>0.92</v>
      </c>
      <c r="N106" s="31">
        <v>0.46</v>
      </c>
      <c r="O106" s="31">
        <v>0.45</v>
      </c>
      <c r="P106" s="31">
        <v>0.15</v>
      </c>
      <c r="Q106" s="86">
        <v>30</v>
      </c>
      <c r="R106" s="31">
        <v>5</v>
      </c>
      <c r="S106" s="31"/>
      <c r="T106" s="31">
        <v>5</v>
      </c>
      <c r="U106" s="31">
        <v>90</v>
      </c>
      <c r="V106" s="67">
        <v>1</v>
      </c>
    </row>
    <row r="107" spans="3:22" x14ac:dyDescent="0.25">
      <c r="C107" s="18" t="s">
        <v>6</v>
      </c>
      <c r="D107" s="18">
        <v>2024</v>
      </c>
      <c r="E107" s="18" t="s">
        <v>138</v>
      </c>
      <c r="F107" s="18" t="s">
        <v>10</v>
      </c>
      <c r="G107" s="18">
        <v>10</v>
      </c>
      <c r="H107" s="18" t="s">
        <v>135</v>
      </c>
      <c r="I107" s="18" t="s">
        <v>163</v>
      </c>
      <c r="J107" s="31">
        <v>55.85</v>
      </c>
      <c r="K107" s="31">
        <v>56.35</v>
      </c>
      <c r="L107" s="4">
        <v>0.5</v>
      </c>
      <c r="M107" s="5">
        <v>0.8</v>
      </c>
      <c r="N107" s="31">
        <v>0.4</v>
      </c>
      <c r="O107" s="31">
        <v>0.36</v>
      </c>
      <c r="P107" s="31">
        <v>0</v>
      </c>
      <c r="Q107" s="86">
        <v>0</v>
      </c>
      <c r="R107" s="31">
        <v>6</v>
      </c>
      <c r="S107" s="31"/>
      <c r="T107" s="31">
        <v>6</v>
      </c>
      <c r="U107" s="31">
        <v>60</v>
      </c>
      <c r="V107" s="67">
        <v>0</v>
      </c>
    </row>
    <row r="108" spans="3:22" x14ac:dyDescent="0.25">
      <c r="C108" s="18" t="s">
        <v>6</v>
      </c>
      <c r="D108" s="18">
        <v>2024</v>
      </c>
      <c r="E108" s="18" t="s">
        <v>138</v>
      </c>
      <c r="F108" s="18" t="s">
        <v>10</v>
      </c>
      <c r="G108" s="18">
        <v>10</v>
      </c>
      <c r="H108" s="18" t="s">
        <v>135</v>
      </c>
      <c r="I108" s="18" t="s">
        <v>163</v>
      </c>
      <c r="J108" s="31">
        <v>56.35</v>
      </c>
      <c r="K108" s="31">
        <v>56.85</v>
      </c>
      <c r="L108" s="4">
        <v>0.5</v>
      </c>
      <c r="M108" s="5">
        <v>0.86</v>
      </c>
      <c r="N108" s="31">
        <v>0.43</v>
      </c>
      <c r="O108" s="31">
        <v>0.43</v>
      </c>
      <c r="P108" s="31">
        <v>0</v>
      </c>
      <c r="Q108" s="86">
        <v>0</v>
      </c>
      <c r="R108" s="31">
        <v>5</v>
      </c>
      <c r="S108" s="31"/>
      <c r="T108" s="31">
        <v>5</v>
      </c>
      <c r="U108" s="31">
        <v>86</v>
      </c>
      <c r="V108" s="67">
        <v>2</v>
      </c>
    </row>
    <row r="109" spans="3:22" x14ac:dyDescent="0.25">
      <c r="C109" s="18" t="s">
        <v>6</v>
      </c>
      <c r="D109" s="18">
        <v>2024</v>
      </c>
      <c r="E109" s="18" t="s">
        <v>138</v>
      </c>
      <c r="F109" s="18" t="s">
        <v>10</v>
      </c>
      <c r="G109" s="18">
        <v>10</v>
      </c>
      <c r="H109" s="18" t="s">
        <v>135</v>
      </c>
      <c r="I109" s="18" t="s">
        <v>163</v>
      </c>
      <c r="J109" s="31">
        <v>56.85</v>
      </c>
      <c r="K109" s="31">
        <v>57.35</v>
      </c>
      <c r="L109" s="4">
        <v>0.5</v>
      </c>
      <c r="M109" s="5">
        <v>0.6</v>
      </c>
      <c r="N109" s="31">
        <v>0.3</v>
      </c>
      <c r="O109" s="31">
        <v>0.28999999999999998</v>
      </c>
      <c r="P109" s="31">
        <v>0</v>
      </c>
      <c r="Q109" s="86">
        <v>0</v>
      </c>
      <c r="R109" s="31">
        <v>10</v>
      </c>
      <c r="S109" s="31"/>
      <c r="T109" s="31">
        <v>10</v>
      </c>
      <c r="U109" s="31">
        <v>29</v>
      </c>
      <c r="V109" s="67">
        <v>1</v>
      </c>
    </row>
    <row r="110" spans="3:22" x14ac:dyDescent="0.25">
      <c r="C110" s="18" t="s">
        <v>6</v>
      </c>
      <c r="D110" s="18">
        <v>2024</v>
      </c>
      <c r="E110" s="18" t="s">
        <v>138</v>
      </c>
      <c r="F110" s="18" t="s">
        <v>10</v>
      </c>
      <c r="G110" s="18">
        <v>10</v>
      </c>
      <c r="H110" s="18" t="s">
        <v>135</v>
      </c>
      <c r="I110" s="18" t="s">
        <v>163</v>
      </c>
      <c r="J110" s="31">
        <v>57.35</v>
      </c>
      <c r="K110" s="31">
        <v>57.85</v>
      </c>
      <c r="L110" s="4">
        <v>0.5</v>
      </c>
      <c r="M110" s="5">
        <v>1</v>
      </c>
      <c r="N110" s="31">
        <v>0.5</v>
      </c>
      <c r="O110" s="31">
        <v>0.25</v>
      </c>
      <c r="P110" s="31">
        <v>0</v>
      </c>
      <c r="Q110" s="86">
        <v>0</v>
      </c>
      <c r="R110" s="31">
        <v>15</v>
      </c>
      <c r="S110" s="31"/>
      <c r="T110" s="31">
        <v>15</v>
      </c>
      <c r="U110" s="31">
        <v>16.666666666666668</v>
      </c>
      <c r="V110" s="67">
        <v>1</v>
      </c>
    </row>
    <row r="111" spans="3:22" x14ac:dyDescent="0.25">
      <c r="C111" s="18" t="s">
        <v>6</v>
      </c>
      <c r="D111" s="18">
        <v>2024</v>
      </c>
      <c r="E111" s="18" t="s">
        <v>138</v>
      </c>
      <c r="F111" s="18" t="s">
        <v>10</v>
      </c>
      <c r="G111" s="18">
        <v>10</v>
      </c>
      <c r="H111" s="18" t="s">
        <v>135</v>
      </c>
      <c r="I111" s="18" t="s">
        <v>163</v>
      </c>
      <c r="J111" s="31">
        <v>57.85</v>
      </c>
      <c r="K111" s="31">
        <v>58.35</v>
      </c>
      <c r="L111" s="4">
        <v>0.5</v>
      </c>
      <c r="M111" s="5">
        <v>1</v>
      </c>
      <c r="N111" s="31">
        <v>0.5</v>
      </c>
      <c r="O111" s="31">
        <v>0.47</v>
      </c>
      <c r="P111" s="31">
        <v>0.4</v>
      </c>
      <c r="Q111" s="86">
        <v>80</v>
      </c>
      <c r="R111" s="31">
        <v>2</v>
      </c>
      <c r="S111" s="31"/>
      <c r="T111" s="31">
        <v>2</v>
      </c>
      <c r="U111" s="31">
        <v>235</v>
      </c>
      <c r="V111" s="67">
        <v>4</v>
      </c>
    </row>
    <row r="112" spans="3:22" x14ac:dyDescent="0.25">
      <c r="C112" s="18" t="s">
        <v>6</v>
      </c>
      <c r="D112" s="18">
        <v>2024</v>
      </c>
      <c r="E112" s="18" t="s">
        <v>138</v>
      </c>
      <c r="F112" s="18" t="s">
        <v>10</v>
      </c>
      <c r="G112" s="18">
        <v>10</v>
      </c>
      <c r="H112" s="18" t="s">
        <v>135</v>
      </c>
      <c r="I112" s="18" t="s">
        <v>163</v>
      </c>
      <c r="J112" s="31">
        <v>58.35</v>
      </c>
      <c r="K112" s="31">
        <v>58.9</v>
      </c>
      <c r="L112" s="4">
        <v>0.54999999999999716</v>
      </c>
      <c r="M112" s="5">
        <v>1</v>
      </c>
      <c r="N112" s="31">
        <v>0.54999999999999716</v>
      </c>
      <c r="O112" s="31">
        <v>0.51</v>
      </c>
      <c r="P112" s="31">
        <v>0.3</v>
      </c>
      <c r="Q112" s="86">
        <v>54.545454545454831</v>
      </c>
      <c r="R112" s="31">
        <v>3</v>
      </c>
      <c r="S112" s="31"/>
      <c r="T112" s="31">
        <v>3</v>
      </c>
      <c r="U112" s="31">
        <v>170</v>
      </c>
      <c r="V112" s="67">
        <v>4</v>
      </c>
    </row>
    <row r="113" spans="3:22" x14ac:dyDescent="0.25">
      <c r="C113" s="18" t="s">
        <v>6</v>
      </c>
      <c r="D113" s="18">
        <v>2024</v>
      </c>
      <c r="E113" s="18" t="s">
        <v>138</v>
      </c>
      <c r="F113" s="18" t="s">
        <v>10</v>
      </c>
      <c r="G113" s="18">
        <v>10</v>
      </c>
      <c r="H113" s="18" t="s">
        <v>135</v>
      </c>
      <c r="I113" s="18" t="s">
        <v>163</v>
      </c>
      <c r="J113" s="31">
        <v>58.9</v>
      </c>
      <c r="K113" s="31">
        <v>59.5</v>
      </c>
      <c r="L113" s="4">
        <v>0.60000000000000142</v>
      </c>
      <c r="M113" s="5">
        <v>1</v>
      </c>
      <c r="N113" s="31">
        <v>0.60000000000000142</v>
      </c>
      <c r="O113" s="31">
        <v>0.51</v>
      </c>
      <c r="P113" s="31">
        <v>0.42</v>
      </c>
      <c r="Q113" s="86">
        <v>69.999999999999829</v>
      </c>
      <c r="R113" s="31">
        <v>3</v>
      </c>
      <c r="S113" s="31"/>
      <c r="T113" s="31">
        <v>3</v>
      </c>
      <c r="U113" s="31">
        <v>170</v>
      </c>
      <c r="V113" s="67">
        <v>4</v>
      </c>
    </row>
    <row r="114" spans="3:22" x14ac:dyDescent="0.25">
      <c r="C114" s="18" t="s">
        <v>6</v>
      </c>
      <c r="D114" s="18">
        <v>2024</v>
      </c>
      <c r="E114" s="18" t="s">
        <v>138</v>
      </c>
      <c r="F114" s="18" t="s">
        <v>10</v>
      </c>
      <c r="G114" s="18">
        <v>10</v>
      </c>
      <c r="H114" s="18" t="s">
        <v>135</v>
      </c>
      <c r="I114" s="18" t="s">
        <v>163</v>
      </c>
      <c r="J114" s="31">
        <v>59.5</v>
      </c>
      <c r="K114" s="31">
        <v>60</v>
      </c>
      <c r="L114" s="4">
        <v>0.5</v>
      </c>
      <c r="M114" s="5">
        <v>1</v>
      </c>
      <c r="N114" s="31">
        <v>0.5</v>
      </c>
      <c r="O114" s="31">
        <v>0.5</v>
      </c>
      <c r="P114" s="31">
        <v>0.16</v>
      </c>
      <c r="Q114" s="86">
        <v>32</v>
      </c>
      <c r="R114" s="31">
        <v>5</v>
      </c>
      <c r="S114" s="31"/>
      <c r="T114" s="31">
        <v>5</v>
      </c>
      <c r="U114" s="31">
        <v>100</v>
      </c>
      <c r="V114" s="67">
        <v>2</v>
      </c>
    </row>
  </sheetData>
  <autoFilter ref="C4:U114" xr:uid="{A00D5AF9-FA28-4F48-B743-A461C3A3EC0D}"/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9313-7433-4489-8F01-F3233C24F1FC}">
  <sheetPr codeName="Planilha16">
    <tabColor rgb="FF0000FF"/>
  </sheetPr>
  <dimension ref="C2:AN59"/>
  <sheetViews>
    <sheetView topLeftCell="A91" zoomScale="70" zoomScaleNormal="70" workbookViewId="0">
      <selection activeCell="Q116" sqref="Q116"/>
    </sheetView>
  </sheetViews>
  <sheetFormatPr defaultColWidth="8.85546875" defaultRowHeight="15" x14ac:dyDescent="0.25"/>
  <cols>
    <col min="4" max="4" width="14.42578125" customWidth="1"/>
    <col min="5" max="5" width="12.42578125" customWidth="1"/>
    <col min="6" max="6" width="10.7109375" customWidth="1"/>
    <col min="7" max="7" width="11.7109375" customWidth="1"/>
    <col min="8" max="8" width="12.42578125" customWidth="1"/>
    <col min="9" max="9" width="13.7109375" customWidth="1"/>
    <col min="10" max="11" width="14.140625" customWidth="1"/>
    <col min="15" max="15" width="12.7109375" customWidth="1"/>
    <col min="17" max="17" width="12.140625" customWidth="1"/>
    <col min="18" max="18" width="9.85546875" customWidth="1"/>
    <col min="19" max="19" width="11.42578125" customWidth="1"/>
  </cols>
  <sheetData>
    <row r="2" spans="3:40" ht="60" x14ac:dyDescent="0.25">
      <c r="C2" s="46" t="s">
        <v>131</v>
      </c>
      <c r="D2" s="30" t="s">
        <v>155</v>
      </c>
      <c r="E2" s="51" t="s">
        <v>627</v>
      </c>
      <c r="F2" s="51" t="s">
        <v>628</v>
      </c>
      <c r="G2" s="83" t="s">
        <v>575</v>
      </c>
      <c r="H2" s="83" t="s">
        <v>11</v>
      </c>
      <c r="I2" s="83" t="s">
        <v>285</v>
      </c>
      <c r="J2" s="83" t="s">
        <v>626</v>
      </c>
      <c r="K2" s="124" t="s">
        <v>194</v>
      </c>
      <c r="L2" s="46" t="s">
        <v>592</v>
      </c>
      <c r="M2" s="46" t="s">
        <v>593</v>
      </c>
      <c r="N2" s="46" t="s">
        <v>594</v>
      </c>
      <c r="O2" s="46" t="s">
        <v>595</v>
      </c>
      <c r="P2" s="46" t="s">
        <v>596</v>
      </c>
      <c r="Q2" s="46" t="s">
        <v>630</v>
      </c>
      <c r="R2" s="46" t="s">
        <v>629</v>
      </c>
      <c r="S2" s="46" t="s">
        <v>631</v>
      </c>
    </row>
    <row r="3" spans="3:40" x14ac:dyDescent="0.25">
      <c r="C3" s="18">
        <v>10</v>
      </c>
      <c r="D3" s="18" t="s">
        <v>135</v>
      </c>
      <c r="E3" s="31">
        <v>2.6</v>
      </c>
      <c r="F3" s="31">
        <v>25.1</v>
      </c>
      <c r="G3" s="31">
        <v>0.54</v>
      </c>
      <c r="H3" s="86">
        <v>52.427184466019362</v>
      </c>
      <c r="I3" s="31">
        <v>164</v>
      </c>
      <c r="J3" s="31">
        <v>0.16400000000000001</v>
      </c>
      <c r="K3" s="125">
        <v>55</v>
      </c>
      <c r="L3" s="3">
        <v>30</v>
      </c>
      <c r="M3" s="3">
        <v>20</v>
      </c>
      <c r="N3" s="3">
        <v>20</v>
      </c>
      <c r="O3" s="3">
        <v>15</v>
      </c>
      <c r="P3" s="3">
        <v>1.2550000000000001</v>
      </c>
      <c r="Q3" s="3">
        <v>43.127499999999998</v>
      </c>
      <c r="R3" s="18">
        <v>0.17251</v>
      </c>
      <c r="S3" s="18">
        <v>0.44852599999999998</v>
      </c>
    </row>
    <row r="4" spans="3:40" x14ac:dyDescent="0.25">
      <c r="C4" s="18">
        <v>10</v>
      </c>
      <c r="D4" s="18" t="s">
        <v>135</v>
      </c>
      <c r="E4" s="31">
        <v>2.6</v>
      </c>
      <c r="F4" s="31">
        <v>25.1</v>
      </c>
      <c r="G4" s="31">
        <v>0.4</v>
      </c>
      <c r="H4" s="86">
        <v>80</v>
      </c>
      <c r="I4" s="31">
        <v>240</v>
      </c>
      <c r="J4" s="31">
        <v>0.24</v>
      </c>
      <c r="K4" s="125">
        <v>60</v>
      </c>
      <c r="L4" s="3">
        <v>30</v>
      </c>
      <c r="M4" s="3">
        <v>20</v>
      </c>
      <c r="N4" s="3">
        <v>20</v>
      </c>
      <c r="O4" s="3">
        <v>15</v>
      </c>
      <c r="P4" s="3">
        <v>1.2550000000000001</v>
      </c>
      <c r="Q4" s="3">
        <v>43.127499999999998</v>
      </c>
      <c r="R4" s="18">
        <v>0.17251</v>
      </c>
      <c r="S4" s="18">
        <v>0.44852599999999998</v>
      </c>
    </row>
    <row r="5" spans="3:40" x14ac:dyDescent="0.25">
      <c r="C5" s="18">
        <v>10</v>
      </c>
      <c r="D5" s="18" t="s">
        <v>135</v>
      </c>
      <c r="E5" s="31">
        <v>2.6</v>
      </c>
      <c r="F5" s="31">
        <v>25.1</v>
      </c>
      <c r="G5" s="31">
        <v>0.61</v>
      </c>
      <c r="H5" s="86">
        <v>82.432432432432606</v>
      </c>
      <c r="I5" s="31">
        <v>233.33333333333334</v>
      </c>
      <c r="J5" s="31">
        <v>0.23333333333333334</v>
      </c>
      <c r="K5" s="125">
        <v>61</v>
      </c>
      <c r="L5" s="3">
        <v>30</v>
      </c>
      <c r="M5" s="3">
        <v>20</v>
      </c>
      <c r="N5" s="3">
        <v>20</v>
      </c>
      <c r="O5" s="3">
        <v>15</v>
      </c>
      <c r="P5" s="3">
        <v>1.2550000000000001</v>
      </c>
      <c r="Q5" s="3">
        <v>43.127499999999998</v>
      </c>
      <c r="R5" s="18">
        <v>0.17251</v>
      </c>
      <c r="S5" s="18">
        <v>0.44852599999999998</v>
      </c>
    </row>
    <row r="6" spans="3:40" x14ac:dyDescent="0.25">
      <c r="C6" s="18">
        <v>10</v>
      </c>
      <c r="D6" s="18" t="s">
        <v>135</v>
      </c>
      <c r="E6" s="31">
        <v>2.6</v>
      </c>
      <c r="F6" s="31">
        <v>25.1</v>
      </c>
      <c r="G6" s="31">
        <v>0.6</v>
      </c>
      <c r="H6" s="86">
        <v>74.999999999999929</v>
      </c>
      <c r="I6" s="31">
        <v>236.66666666666666</v>
      </c>
      <c r="J6" s="31">
        <v>0.23666666666666666</v>
      </c>
      <c r="K6" s="125">
        <v>59</v>
      </c>
      <c r="L6" s="3">
        <v>30</v>
      </c>
      <c r="M6" s="3">
        <v>20</v>
      </c>
      <c r="N6" s="3">
        <v>20</v>
      </c>
      <c r="O6" s="3">
        <v>15</v>
      </c>
      <c r="P6" s="3">
        <v>1.2550000000000001</v>
      </c>
      <c r="Q6" s="3">
        <v>43.127499999999998</v>
      </c>
      <c r="R6" s="18">
        <v>0.17251</v>
      </c>
      <c r="S6" s="18">
        <v>0.44852599999999998</v>
      </c>
    </row>
    <row r="7" spans="3:40" x14ac:dyDescent="0.25">
      <c r="C7" s="18">
        <v>10</v>
      </c>
      <c r="D7" s="18" t="s">
        <v>135</v>
      </c>
      <c r="E7" s="31">
        <v>2.6</v>
      </c>
      <c r="F7" s="31">
        <v>25.1</v>
      </c>
      <c r="G7" s="31">
        <v>0.4</v>
      </c>
      <c r="H7" s="86">
        <v>40</v>
      </c>
      <c r="I7" s="31">
        <v>150</v>
      </c>
      <c r="J7" s="31">
        <v>0.15</v>
      </c>
      <c r="K7" s="125">
        <v>50</v>
      </c>
      <c r="L7" s="3">
        <v>30</v>
      </c>
      <c r="M7" s="3">
        <v>20</v>
      </c>
      <c r="N7" s="3">
        <v>20</v>
      </c>
      <c r="O7" s="3">
        <v>15</v>
      </c>
      <c r="P7" s="3">
        <v>1.2550000000000001</v>
      </c>
      <c r="Q7" s="3">
        <v>43.127499999999998</v>
      </c>
      <c r="R7" s="18">
        <v>0.17251</v>
      </c>
      <c r="S7" s="18">
        <v>0.44852599999999998</v>
      </c>
    </row>
    <row r="8" spans="3:40" x14ac:dyDescent="0.25">
      <c r="C8" s="18">
        <v>10</v>
      </c>
      <c r="D8" s="18" t="s">
        <v>135</v>
      </c>
      <c r="E8" s="31">
        <v>2.6</v>
      </c>
      <c r="F8" s="31">
        <v>25.1</v>
      </c>
      <c r="G8" s="31">
        <v>0.15</v>
      </c>
      <c r="H8" s="86">
        <v>30</v>
      </c>
      <c r="I8" s="31">
        <v>72</v>
      </c>
      <c r="J8" s="31">
        <v>7.1999999999999995E-2</v>
      </c>
      <c r="K8" s="125">
        <v>45</v>
      </c>
      <c r="L8" s="3">
        <v>30</v>
      </c>
      <c r="M8" s="3">
        <v>10</v>
      </c>
      <c r="N8" s="3">
        <v>20</v>
      </c>
      <c r="O8" s="3">
        <v>15</v>
      </c>
      <c r="P8" s="3">
        <v>1.2550000000000001</v>
      </c>
      <c r="Q8" s="3">
        <v>38.127499999999998</v>
      </c>
      <c r="R8" s="18">
        <v>0.15251000000000001</v>
      </c>
      <c r="S8" s="18">
        <v>0.39652600000000005</v>
      </c>
    </row>
    <row r="9" spans="3:40" x14ac:dyDescent="0.25">
      <c r="C9" s="18">
        <v>10</v>
      </c>
      <c r="D9" s="18" t="s">
        <v>135</v>
      </c>
      <c r="E9" s="31">
        <v>2.6</v>
      </c>
      <c r="F9" s="31">
        <v>25.1</v>
      </c>
      <c r="G9" s="31">
        <v>0.2</v>
      </c>
      <c r="H9" s="86">
        <v>26.666666666666668</v>
      </c>
      <c r="I9" s="31">
        <v>105.71428571428571</v>
      </c>
      <c r="J9" s="31">
        <v>0.10571428571428571</v>
      </c>
      <c r="K9" s="125">
        <v>46</v>
      </c>
      <c r="L9" s="3">
        <v>30</v>
      </c>
      <c r="M9" s="3">
        <v>20</v>
      </c>
      <c r="N9" s="3">
        <v>20</v>
      </c>
      <c r="O9" s="3">
        <v>15</v>
      </c>
      <c r="P9" s="3">
        <v>1.2550000000000001</v>
      </c>
      <c r="Q9" s="3">
        <v>43.127499999999998</v>
      </c>
      <c r="R9" s="18">
        <v>0.17251</v>
      </c>
      <c r="S9" s="18">
        <v>0.44852599999999998</v>
      </c>
    </row>
    <row r="10" spans="3:40" x14ac:dyDescent="0.25">
      <c r="C10" s="18">
        <v>10</v>
      </c>
      <c r="D10" s="18" t="s">
        <v>135</v>
      </c>
      <c r="E10" s="31">
        <v>2.6</v>
      </c>
      <c r="F10" s="31">
        <v>25.1</v>
      </c>
      <c r="G10" s="31">
        <v>0.52</v>
      </c>
      <c r="H10" s="86">
        <v>92.857142857142478</v>
      </c>
      <c r="I10" s="31">
        <v>520</v>
      </c>
      <c r="J10" s="31">
        <v>0.52</v>
      </c>
      <c r="K10" s="125">
        <v>70</v>
      </c>
      <c r="L10" s="3">
        <v>30</v>
      </c>
      <c r="M10" s="3">
        <v>20</v>
      </c>
      <c r="N10" s="3">
        <v>20</v>
      </c>
      <c r="O10" s="3">
        <v>15</v>
      </c>
      <c r="P10" s="3">
        <v>1.2550000000000001</v>
      </c>
      <c r="Q10" s="3">
        <v>43.127499999999998</v>
      </c>
      <c r="R10" s="18">
        <v>0.17251</v>
      </c>
      <c r="S10" s="18">
        <v>0.44852599999999998</v>
      </c>
    </row>
    <row r="11" spans="3:40" x14ac:dyDescent="0.25">
      <c r="C11" s="18">
        <v>10</v>
      </c>
      <c r="D11" s="18" t="s">
        <v>135</v>
      </c>
      <c r="E11" s="31">
        <v>2.6</v>
      </c>
      <c r="F11" s="31">
        <v>25.1</v>
      </c>
      <c r="G11" s="31">
        <v>0.32</v>
      </c>
      <c r="H11" s="86">
        <v>64</v>
      </c>
      <c r="I11" s="31">
        <v>123.33333333333333</v>
      </c>
      <c r="J11" s="31">
        <v>0.12333333333333332</v>
      </c>
      <c r="K11" s="125">
        <v>53</v>
      </c>
      <c r="L11" s="3">
        <v>30</v>
      </c>
      <c r="M11" s="3">
        <v>20</v>
      </c>
      <c r="N11" s="3">
        <v>20</v>
      </c>
      <c r="O11" s="3">
        <v>15</v>
      </c>
      <c r="P11" s="3">
        <v>1.2550000000000001</v>
      </c>
      <c r="Q11" s="3">
        <v>43.127499999999998</v>
      </c>
      <c r="R11" s="18">
        <v>0.17251</v>
      </c>
      <c r="S11" s="18">
        <v>0.44852599999999998</v>
      </c>
    </row>
    <row r="12" spans="3:40" x14ac:dyDescent="0.25">
      <c r="C12" s="18">
        <v>10</v>
      </c>
      <c r="D12" s="18" t="s">
        <v>135</v>
      </c>
      <c r="E12" s="31">
        <v>2.6</v>
      </c>
      <c r="F12" s="31">
        <v>25.1</v>
      </c>
      <c r="G12" s="31">
        <v>0.2</v>
      </c>
      <c r="H12" s="86">
        <v>40</v>
      </c>
      <c r="I12" s="31">
        <v>73.333333333333329</v>
      </c>
      <c r="J12" s="31">
        <v>7.3333333333333334E-2</v>
      </c>
      <c r="K12" s="125">
        <v>47</v>
      </c>
      <c r="L12" s="3">
        <v>30</v>
      </c>
      <c r="M12" s="3">
        <v>10</v>
      </c>
      <c r="N12" s="3">
        <v>20</v>
      </c>
      <c r="O12" s="3">
        <v>15</v>
      </c>
      <c r="P12" s="3">
        <v>1.2550000000000001</v>
      </c>
      <c r="Q12" s="3">
        <v>38.127499999999998</v>
      </c>
      <c r="R12" s="18">
        <v>0.15251000000000001</v>
      </c>
      <c r="S12" s="18">
        <v>0.39652600000000005</v>
      </c>
      <c r="AN12" t="e" vm="6">
        <v>#VALUE!</v>
      </c>
    </row>
    <row r="13" spans="3:40" x14ac:dyDescent="0.25">
      <c r="C13" s="18">
        <v>10</v>
      </c>
      <c r="D13" s="18" t="s">
        <v>135</v>
      </c>
      <c r="E13" s="31">
        <v>2.6</v>
      </c>
      <c r="F13" s="31">
        <v>25.1</v>
      </c>
      <c r="G13" s="31">
        <v>0</v>
      </c>
      <c r="H13" s="86">
        <v>0</v>
      </c>
      <c r="I13" s="31">
        <v>49</v>
      </c>
      <c r="J13" s="31">
        <v>4.9000000000000002E-2</v>
      </c>
      <c r="K13" s="125">
        <v>29</v>
      </c>
      <c r="L13" s="3">
        <v>10</v>
      </c>
      <c r="M13" s="3">
        <v>10</v>
      </c>
      <c r="N13" s="3">
        <v>20</v>
      </c>
      <c r="O13" s="3">
        <v>15</v>
      </c>
      <c r="P13" s="3">
        <v>1.2550000000000001</v>
      </c>
      <c r="Q13" s="3">
        <v>28.127500000000001</v>
      </c>
      <c r="R13" s="18">
        <v>0.11251000000000001</v>
      </c>
      <c r="S13" s="18">
        <v>0.29252600000000006</v>
      </c>
    </row>
    <row r="14" spans="3:40" x14ac:dyDescent="0.25">
      <c r="C14" s="18">
        <v>10</v>
      </c>
      <c r="D14" s="18" t="s">
        <v>135</v>
      </c>
      <c r="E14" s="31">
        <v>2.6</v>
      </c>
      <c r="F14" s="31">
        <v>25.1</v>
      </c>
      <c r="G14" s="31">
        <v>0.28999999999999998</v>
      </c>
      <c r="H14" s="86">
        <v>57.999999999999993</v>
      </c>
      <c r="I14" s="31">
        <v>125</v>
      </c>
      <c r="J14" s="31">
        <v>0.125</v>
      </c>
      <c r="K14" s="125">
        <v>48</v>
      </c>
      <c r="L14" s="3">
        <v>30</v>
      </c>
      <c r="M14" s="3">
        <v>20</v>
      </c>
      <c r="N14" s="3">
        <v>20</v>
      </c>
      <c r="O14" s="3">
        <v>15</v>
      </c>
      <c r="P14" s="3">
        <v>1.2550000000000001</v>
      </c>
      <c r="Q14" s="3">
        <v>43.127499999999998</v>
      </c>
      <c r="R14" s="18">
        <v>0.17251</v>
      </c>
      <c r="S14" s="18">
        <v>0.44852599999999998</v>
      </c>
    </row>
    <row r="15" spans="3:40" x14ac:dyDescent="0.25">
      <c r="C15" s="18">
        <v>10</v>
      </c>
      <c r="D15" s="18" t="s">
        <v>135</v>
      </c>
      <c r="E15" s="31">
        <v>2.6</v>
      </c>
      <c r="F15" s="31">
        <v>25.1</v>
      </c>
      <c r="G15" s="31">
        <v>0.18</v>
      </c>
      <c r="H15" s="86">
        <v>36</v>
      </c>
      <c r="I15" s="31">
        <v>146.66666666666666</v>
      </c>
      <c r="J15" s="31">
        <v>0.14666666666666667</v>
      </c>
      <c r="K15" s="125">
        <v>46</v>
      </c>
      <c r="L15" s="3">
        <v>30</v>
      </c>
      <c r="M15" s="3">
        <v>20</v>
      </c>
      <c r="N15" s="3">
        <v>20</v>
      </c>
      <c r="O15" s="3">
        <v>15</v>
      </c>
      <c r="P15" s="3">
        <v>1.2550000000000001</v>
      </c>
      <c r="Q15" s="3">
        <v>43.127499999999998</v>
      </c>
      <c r="R15" s="18">
        <v>0.17251</v>
      </c>
      <c r="S15" s="18">
        <v>0.44852599999999998</v>
      </c>
    </row>
    <row r="16" spans="3:40" x14ac:dyDescent="0.25">
      <c r="C16" s="18">
        <v>10</v>
      </c>
      <c r="D16" s="18" t="s">
        <v>135</v>
      </c>
      <c r="E16" s="31">
        <v>2.6</v>
      </c>
      <c r="F16" s="31">
        <v>25.1</v>
      </c>
      <c r="G16" s="31">
        <v>0</v>
      </c>
      <c r="H16" s="86">
        <v>0</v>
      </c>
      <c r="I16" s="31">
        <v>32.666666666666664</v>
      </c>
      <c r="J16" s="31">
        <v>3.2666666666666663E-2</v>
      </c>
      <c r="K16" s="125">
        <v>30</v>
      </c>
      <c r="L16" s="3">
        <v>20</v>
      </c>
      <c r="M16" s="3">
        <v>10</v>
      </c>
      <c r="N16" s="3">
        <v>20</v>
      </c>
      <c r="O16" s="3">
        <v>15</v>
      </c>
      <c r="P16" s="3">
        <v>1.2550000000000001</v>
      </c>
      <c r="Q16" s="3">
        <v>33.127499999999998</v>
      </c>
      <c r="R16" s="18">
        <v>0.13250999999999999</v>
      </c>
      <c r="S16" s="18">
        <v>0.344526</v>
      </c>
    </row>
    <row r="17" spans="3:19" x14ac:dyDescent="0.25">
      <c r="C17" s="18">
        <v>10</v>
      </c>
      <c r="D17" s="18" t="s">
        <v>135</v>
      </c>
      <c r="E17" s="31">
        <v>2.6</v>
      </c>
      <c r="F17" s="31">
        <v>25.1</v>
      </c>
      <c r="G17" s="31">
        <v>0.23</v>
      </c>
      <c r="H17" s="86">
        <v>32.85714285714306</v>
      </c>
      <c r="I17" s="31">
        <v>124</v>
      </c>
      <c r="J17" s="31">
        <v>0.124</v>
      </c>
      <c r="K17" s="125">
        <v>42</v>
      </c>
      <c r="L17" s="3">
        <v>30</v>
      </c>
      <c r="M17" s="3">
        <v>20</v>
      </c>
      <c r="N17" s="3">
        <v>20</v>
      </c>
      <c r="O17" s="3">
        <v>15</v>
      </c>
      <c r="P17" s="3">
        <v>1.2550000000000001</v>
      </c>
      <c r="Q17" s="3">
        <v>43.127499999999998</v>
      </c>
      <c r="R17" s="18">
        <v>0.17251</v>
      </c>
      <c r="S17" s="18">
        <v>0.44852599999999998</v>
      </c>
    </row>
    <row r="18" spans="3:19" x14ac:dyDescent="0.25">
      <c r="C18" s="18">
        <v>10</v>
      </c>
      <c r="D18" s="18" t="s">
        <v>135</v>
      </c>
      <c r="E18" s="31">
        <v>2.6</v>
      </c>
      <c r="F18" s="31">
        <v>25.1</v>
      </c>
      <c r="G18" s="31">
        <v>0.3</v>
      </c>
      <c r="H18" s="86">
        <v>49.999999999999879</v>
      </c>
      <c r="I18" s="31">
        <v>98</v>
      </c>
      <c r="J18" s="31">
        <v>9.8000000000000004E-2</v>
      </c>
      <c r="K18" s="125">
        <v>44</v>
      </c>
      <c r="L18" s="3">
        <v>30</v>
      </c>
      <c r="M18" s="3">
        <v>10</v>
      </c>
      <c r="N18" s="3">
        <v>20</v>
      </c>
      <c r="O18" s="3">
        <v>15</v>
      </c>
      <c r="P18" s="3">
        <v>1.2550000000000001</v>
      </c>
      <c r="Q18" s="3">
        <v>38.127499999999998</v>
      </c>
      <c r="R18" s="18">
        <v>0.15251000000000001</v>
      </c>
      <c r="S18" s="18">
        <v>0.39652600000000005</v>
      </c>
    </row>
    <row r="19" spans="3:19" x14ac:dyDescent="0.25">
      <c r="C19" s="18">
        <v>10</v>
      </c>
      <c r="D19" s="18" t="s">
        <v>135</v>
      </c>
      <c r="E19" s="31">
        <v>2.6</v>
      </c>
      <c r="F19" s="31">
        <v>25.1</v>
      </c>
      <c r="G19" s="31">
        <v>0.11</v>
      </c>
      <c r="H19" s="86">
        <v>22</v>
      </c>
      <c r="I19" s="31">
        <v>120</v>
      </c>
      <c r="J19" s="31">
        <v>0.12</v>
      </c>
      <c r="K19" s="125">
        <v>40</v>
      </c>
      <c r="L19" s="3">
        <v>20</v>
      </c>
      <c r="M19" s="3">
        <v>20</v>
      </c>
      <c r="N19" s="3">
        <v>20</v>
      </c>
      <c r="O19" s="3">
        <v>15</v>
      </c>
      <c r="P19" s="3">
        <v>1.2550000000000001</v>
      </c>
      <c r="Q19" s="3">
        <v>38.127499999999998</v>
      </c>
      <c r="R19" s="18">
        <v>0.15251000000000001</v>
      </c>
      <c r="S19" s="18">
        <v>0.39652600000000005</v>
      </c>
    </row>
    <row r="20" spans="3:19" x14ac:dyDescent="0.25">
      <c r="C20" s="18">
        <v>10</v>
      </c>
      <c r="D20" s="18" t="s">
        <v>135</v>
      </c>
      <c r="E20" s="31">
        <v>2.6</v>
      </c>
      <c r="F20" s="31">
        <v>25.1</v>
      </c>
      <c r="G20" s="31">
        <v>0</v>
      </c>
      <c r="H20" s="86">
        <v>0</v>
      </c>
      <c r="I20" s="31">
        <v>32.666666666666664</v>
      </c>
      <c r="J20" s="31">
        <v>3.2666666666666663E-2</v>
      </c>
      <c r="K20" s="125">
        <v>19</v>
      </c>
      <c r="L20" s="3">
        <v>10</v>
      </c>
      <c r="M20" s="3">
        <v>10</v>
      </c>
      <c r="N20" s="3">
        <v>20</v>
      </c>
      <c r="O20" s="3">
        <v>15</v>
      </c>
      <c r="P20" s="3">
        <v>1.2550000000000001</v>
      </c>
      <c r="Q20" s="3">
        <v>28.127500000000001</v>
      </c>
      <c r="R20" s="18">
        <v>0.11251000000000001</v>
      </c>
      <c r="S20" s="18">
        <v>0.29252600000000006</v>
      </c>
    </row>
    <row r="21" spans="3:19" x14ac:dyDescent="0.25">
      <c r="C21" s="18">
        <v>10</v>
      </c>
      <c r="D21" s="18" t="s">
        <v>135</v>
      </c>
      <c r="E21" s="31">
        <v>2.6</v>
      </c>
      <c r="F21" s="31">
        <v>25.1</v>
      </c>
      <c r="G21" s="31">
        <v>0.24</v>
      </c>
      <c r="H21" s="86">
        <v>39.999999999999901</v>
      </c>
      <c r="I21" s="31">
        <v>150</v>
      </c>
      <c r="J21" s="31">
        <v>0.15</v>
      </c>
      <c r="K21" s="125">
        <v>41</v>
      </c>
      <c r="L21" s="3">
        <v>20</v>
      </c>
      <c r="M21" s="3">
        <v>20</v>
      </c>
      <c r="N21" s="3">
        <v>20</v>
      </c>
      <c r="O21" s="3">
        <v>15</v>
      </c>
      <c r="P21" s="3">
        <v>1.2550000000000001</v>
      </c>
      <c r="Q21" s="3">
        <v>38.127499999999998</v>
      </c>
      <c r="R21" s="18">
        <v>0.15251000000000001</v>
      </c>
      <c r="S21" s="18">
        <v>0.39652600000000005</v>
      </c>
    </row>
    <row r="22" spans="3:19" x14ac:dyDescent="0.25">
      <c r="C22" s="18">
        <v>10</v>
      </c>
      <c r="D22" s="18" t="s">
        <v>135</v>
      </c>
      <c r="E22" s="31">
        <v>2.6</v>
      </c>
      <c r="F22" s="31">
        <v>25.1</v>
      </c>
      <c r="G22" s="31">
        <v>0.14000000000000001</v>
      </c>
      <c r="H22" s="86">
        <v>56.000000000000007</v>
      </c>
      <c r="I22" s="31">
        <v>126.66666666666667</v>
      </c>
      <c r="J22" s="31">
        <v>0.12666666666666668</v>
      </c>
      <c r="K22" s="125">
        <v>48</v>
      </c>
      <c r="L22" s="3">
        <v>30</v>
      </c>
      <c r="M22" s="3">
        <v>20</v>
      </c>
      <c r="N22" s="3">
        <v>20</v>
      </c>
      <c r="O22" s="3">
        <v>15</v>
      </c>
      <c r="P22" s="3">
        <v>1.2550000000000001</v>
      </c>
      <c r="Q22" s="3">
        <v>43.127499999999998</v>
      </c>
      <c r="R22" s="18">
        <v>0.17251</v>
      </c>
      <c r="S22" s="18">
        <v>0.44852599999999998</v>
      </c>
    </row>
    <row r="23" spans="3:19" x14ac:dyDescent="0.25">
      <c r="C23" s="18">
        <v>10</v>
      </c>
      <c r="D23" s="18" t="s">
        <v>135</v>
      </c>
      <c r="E23" s="31">
        <v>2.6</v>
      </c>
      <c r="F23" s="31">
        <v>25.1</v>
      </c>
      <c r="G23" s="31">
        <v>0</v>
      </c>
      <c r="H23" s="86">
        <v>0</v>
      </c>
      <c r="I23" s="31">
        <v>46</v>
      </c>
      <c r="J23" s="31">
        <v>4.5999999999999999E-2</v>
      </c>
      <c r="K23" s="125">
        <v>33</v>
      </c>
      <c r="L23" s="3">
        <v>20</v>
      </c>
      <c r="M23" s="3">
        <v>10</v>
      </c>
      <c r="N23" s="3">
        <v>20</v>
      </c>
      <c r="O23" s="3">
        <v>15</v>
      </c>
      <c r="P23" s="3">
        <v>1.2550000000000001</v>
      </c>
      <c r="Q23" s="3">
        <v>33.127499999999998</v>
      </c>
      <c r="R23" s="18">
        <v>0.13250999999999999</v>
      </c>
      <c r="S23" s="18">
        <v>0.344526</v>
      </c>
    </row>
    <row r="24" spans="3:19" x14ac:dyDescent="0.25">
      <c r="C24" s="18">
        <v>10</v>
      </c>
      <c r="D24" s="18" t="s">
        <v>135</v>
      </c>
      <c r="E24" s="31">
        <v>2.6</v>
      </c>
      <c r="F24" s="31">
        <v>25.1</v>
      </c>
      <c r="G24" s="31">
        <v>0.38</v>
      </c>
      <c r="H24" s="86">
        <v>47.500000000000171</v>
      </c>
      <c r="I24" s="31">
        <v>126.66666666666667</v>
      </c>
      <c r="J24" s="31">
        <v>0.12666666666666668</v>
      </c>
      <c r="K24" s="125">
        <v>42</v>
      </c>
      <c r="L24" s="3">
        <v>30</v>
      </c>
      <c r="M24" s="3">
        <v>20</v>
      </c>
      <c r="N24" s="3">
        <v>20</v>
      </c>
      <c r="O24" s="3">
        <v>15</v>
      </c>
      <c r="P24" s="3">
        <v>1.2550000000000001</v>
      </c>
      <c r="Q24" s="3">
        <v>43.127499999999998</v>
      </c>
      <c r="R24" s="18">
        <v>0.17251</v>
      </c>
      <c r="S24" s="18">
        <v>0.44852599999999998</v>
      </c>
    </row>
    <row r="25" spans="3:19" x14ac:dyDescent="0.25">
      <c r="C25" s="18">
        <v>10</v>
      </c>
      <c r="D25" s="18" t="s">
        <v>135</v>
      </c>
      <c r="E25" s="31">
        <v>2.6</v>
      </c>
      <c r="F25" s="31">
        <v>25.1</v>
      </c>
      <c r="G25" s="31">
        <v>0.19</v>
      </c>
      <c r="H25" s="86">
        <v>31.666666666666593</v>
      </c>
      <c r="I25" s="31">
        <v>156.66666666666666</v>
      </c>
      <c r="J25" s="31">
        <v>0.15666666666666665</v>
      </c>
      <c r="K25" s="125">
        <v>44</v>
      </c>
      <c r="L25" s="3">
        <v>30</v>
      </c>
      <c r="M25" s="3">
        <v>20</v>
      </c>
      <c r="N25" s="3">
        <v>20</v>
      </c>
      <c r="O25" s="3">
        <v>15</v>
      </c>
      <c r="P25" s="3">
        <v>1.2550000000000001</v>
      </c>
      <c r="Q25" s="3">
        <v>43.127499999999998</v>
      </c>
      <c r="R25" s="18">
        <v>0.17251</v>
      </c>
      <c r="S25" s="18">
        <v>0.44852599999999998</v>
      </c>
    </row>
    <row r="26" spans="3:19" x14ac:dyDescent="0.25">
      <c r="C26" s="18">
        <v>10</v>
      </c>
      <c r="D26" s="18" t="s">
        <v>135</v>
      </c>
      <c r="E26" s="31">
        <v>2.6</v>
      </c>
      <c r="F26" s="31">
        <v>25.1</v>
      </c>
      <c r="G26" s="31">
        <v>0.15</v>
      </c>
      <c r="H26" s="86">
        <v>30</v>
      </c>
      <c r="I26" s="31">
        <v>86</v>
      </c>
      <c r="J26" s="31">
        <v>8.5999999999999993E-2</v>
      </c>
      <c r="K26" s="125">
        <v>35</v>
      </c>
      <c r="L26" s="3">
        <v>20</v>
      </c>
      <c r="M26" s="3">
        <v>10</v>
      </c>
      <c r="N26" s="3">
        <v>20</v>
      </c>
      <c r="O26" s="3">
        <v>15</v>
      </c>
      <c r="P26" s="3">
        <v>1.2550000000000001</v>
      </c>
      <c r="Q26" s="3">
        <v>33.127499999999998</v>
      </c>
      <c r="R26" s="18">
        <v>0.13250999999999999</v>
      </c>
      <c r="S26" s="18">
        <v>0.344526</v>
      </c>
    </row>
    <row r="27" spans="3:19" x14ac:dyDescent="0.25">
      <c r="C27" s="18">
        <v>10</v>
      </c>
      <c r="D27" s="18" t="s">
        <v>135</v>
      </c>
      <c r="E27" s="31">
        <v>2.6</v>
      </c>
      <c r="F27" s="31">
        <v>25.1</v>
      </c>
      <c r="G27" s="31">
        <v>0.15</v>
      </c>
      <c r="H27" s="86">
        <v>21.428571428571558</v>
      </c>
      <c r="I27" s="31">
        <v>125</v>
      </c>
      <c r="J27" s="31">
        <v>0.125</v>
      </c>
      <c r="K27" s="125">
        <v>41</v>
      </c>
      <c r="L27" s="3">
        <v>20</v>
      </c>
      <c r="M27" s="3">
        <v>20</v>
      </c>
      <c r="N27" s="3">
        <v>20</v>
      </c>
      <c r="O27" s="3">
        <v>15</v>
      </c>
      <c r="P27" s="3">
        <v>1.2550000000000001</v>
      </c>
      <c r="Q27" s="3">
        <v>38.127499999999998</v>
      </c>
      <c r="R27" s="18">
        <v>0.15251000000000001</v>
      </c>
      <c r="S27" s="18">
        <v>0.39652600000000005</v>
      </c>
    </row>
    <row r="28" spans="3:19" x14ac:dyDescent="0.25">
      <c r="C28" s="18">
        <v>10</v>
      </c>
      <c r="D28" s="18" t="s">
        <v>135</v>
      </c>
      <c r="E28" s="31">
        <v>2.6</v>
      </c>
      <c r="F28" s="31">
        <v>25.1</v>
      </c>
      <c r="G28" s="31">
        <v>0</v>
      </c>
      <c r="H28" s="86">
        <v>0</v>
      </c>
      <c r="I28" s="31">
        <v>41.666666666666664</v>
      </c>
      <c r="J28" s="31">
        <v>4.1666666666666664E-2</v>
      </c>
      <c r="K28" s="125">
        <v>29</v>
      </c>
      <c r="L28" s="3">
        <v>10</v>
      </c>
      <c r="M28" s="3">
        <v>10</v>
      </c>
      <c r="N28" s="3">
        <v>20</v>
      </c>
      <c r="O28" s="3">
        <v>15</v>
      </c>
      <c r="P28" s="3">
        <v>1.2550000000000001</v>
      </c>
      <c r="Q28" s="3">
        <v>28.127500000000001</v>
      </c>
      <c r="R28" s="18">
        <v>0.11251000000000001</v>
      </c>
      <c r="S28" s="18">
        <v>0.29252600000000006</v>
      </c>
    </row>
    <row r="29" spans="3:19" x14ac:dyDescent="0.25">
      <c r="C29" s="18">
        <v>10</v>
      </c>
      <c r="D29" s="18" t="s">
        <v>135</v>
      </c>
      <c r="E29" s="31">
        <v>2.6</v>
      </c>
      <c r="F29" s="31">
        <v>25.1</v>
      </c>
      <c r="G29" s="31">
        <v>0</v>
      </c>
      <c r="H29" s="86">
        <v>0</v>
      </c>
      <c r="I29" s="31">
        <v>55</v>
      </c>
      <c r="J29" s="31">
        <v>5.5E-2</v>
      </c>
      <c r="K29" s="125">
        <v>29</v>
      </c>
      <c r="L29" s="3">
        <v>10</v>
      </c>
      <c r="M29" s="3">
        <v>10</v>
      </c>
      <c r="N29" s="3">
        <v>20</v>
      </c>
      <c r="O29" s="3">
        <v>15</v>
      </c>
      <c r="P29" s="3">
        <v>1.2550000000000001</v>
      </c>
      <c r="Q29" s="3">
        <v>28.127500000000001</v>
      </c>
      <c r="R29" s="18">
        <v>0.11251000000000001</v>
      </c>
      <c r="S29" s="18">
        <v>0.29252600000000006</v>
      </c>
    </row>
    <row r="30" spans="3:19" x14ac:dyDescent="0.25">
      <c r="C30" s="18">
        <v>10</v>
      </c>
      <c r="D30" s="18" t="s">
        <v>135</v>
      </c>
      <c r="E30" s="31">
        <v>2.6</v>
      </c>
      <c r="F30" s="31">
        <v>25.1</v>
      </c>
      <c r="G30" s="31">
        <v>0</v>
      </c>
      <c r="H30" s="86">
        <v>0</v>
      </c>
      <c r="I30" s="31">
        <v>43.333333333333336</v>
      </c>
      <c r="J30" s="31">
        <v>4.3333333333333335E-2</v>
      </c>
      <c r="K30" s="125">
        <v>25</v>
      </c>
      <c r="L30" s="3">
        <v>10</v>
      </c>
      <c r="M30" s="3">
        <v>10</v>
      </c>
      <c r="N30" s="3">
        <v>20</v>
      </c>
      <c r="O30" s="3">
        <v>15</v>
      </c>
      <c r="P30" s="3">
        <v>1.2550000000000001</v>
      </c>
      <c r="Q30" s="3">
        <v>28.127500000000001</v>
      </c>
      <c r="R30" s="18">
        <v>0.11251000000000001</v>
      </c>
      <c r="S30" s="18">
        <v>0.29252600000000006</v>
      </c>
    </row>
    <row r="31" spans="3:19" x14ac:dyDescent="0.25">
      <c r="C31" s="18">
        <v>10</v>
      </c>
      <c r="D31" s="18" t="s">
        <v>135</v>
      </c>
      <c r="E31" s="31">
        <v>2.6</v>
      </c>
      <c r="F31" s="31">
        <v>25.1</v>
      </c>
      <c r="G31" s="31">
        <v>0</v>
      </c>
      <c r="H31" s="86">
        <v>0</v>
      </c>
      <c r="I31" s="31">
        <v>24</v>
      </c>
      <c r="J31" s="31">
        <v>2.4E-2</v>
      </c>
      <c r="K31" s="125">
        <v>25</v>
      </c>
      <c r="L31" s="3">
        <v>10</v>
      </c>
      <c r="M31" s="3">
        <v>10</v>
      </c>
      <c r="N31" s="3">
        <v>20</v>
      </c>
      <c r="O31" s="3">
        <v>15</v>
      </c>
      <c r="P31" s="3">
        <v>1.2550000000000001</v>
      </c>
      <c r="Q31" s="3">
        <v>28.127500000000001</v>
      </c>
      <c r="R31" s="18">
        <v>0.11251000000000001</v>
      </c>
      <c r="S31" s="18">
        <v>0.29252600000000006</v>
      </c>
    </row>
    <row r="32" spans="3:19" x14ac:dyDescent="0.25">
      <c r="C32" s="18">
        <v>10</v>
      </c>
      <c r="D32" s="18" t="s">
        <v>135</v>
      </c>
      <c r="E32" s="31">
        <v>2.6</v>
      </c>
      <c r="F32" s="31">
        <v>25.1</v>
      </c>
      <c r="G32" s="31">
        <v>0</v>
      </c>
      <c r="H32" s="86">
        <v>0</v>
      </c>
      <c r="I32" s="31">
        <v>28</v>
      </c>
      <c r="J32" s="31">
        <v>2.8000000000000001E-2</v>
      </c>
      <c r="K32" s="125">
        <v>25</v>
      </c>
      <c r="L32" s="3">
        <v>10</v>
      </c>
      <c r="M32" s="3">
        <v>10</v>
      </c>
      <c r="N32" s="3">
        <v>20</v>
      </c>
      <c r="O32" s="3">
        <v>15</v>
      </c>
      <c r="P32" s="3">
        <v>1.2550000000000001</v>
      </c>
      <c r="Q32" s="3">
        <v>28.127500000000001</v>
      </c>
      <c r="R32" s="18">
        <v>0.11251000000000001</v>
      </c>
      <c r="S32" s="18">
        <v>0.29252600000000006</v>
      </c>
    </row>
    <row r="33" spans="3:19" x14ac:dyDescent="0.25">
      <c r="C33" s="18">
        <v>10</v>
      </c>
      <c r="D33" s="18" t="s">
        <v>135</v>
      </c>
      <c r="E33" s="31">
        <v>2.6</v>
      </c>
      <c r="F33" s="31">
        <v>25.1</v>
      </c>
      <c r="G33" s="31">
        <v>0</v>
      </c>
      <c r="H33" s="86">
        <v>0</v>
      </c>
      <c r="I33" s="31">
        <v>33.75</v>
      </c>
      <c r="J33" s="31">
        <v>3.3750000000000002E-2</v>
      </c>
      <c r="K33" s="125">
        <v>26</v>
      </c>
      <c r="L33" s="3">
        <v>10</v>
      </c>
      <c r="M33" s="3">
        <v>10</v>
      </c>
      <c r="N33" s="3">
        <v>20</v>
      </c>
      <c r="O33" s="3">
        <v>15</v>
      </c>
      <c r="P33" s="3">
        <v>1.2550000000000001</v>
      </c>
      <c r="Q33" s="3">
        <v>28.127500000000001</v>
      </c>
      <c r="R33" s="18">
        <v>0.11251000000000001</v>
      </c>
      <c r="S33" s="18">
        <v>0.29252600000000006</v>
      </c>
    </row>
    <row r="34" spans="3:19" x14ac:dyDescent="0.25">
      <c r="C34" s="18">
        <v>10</v>
      </c>
      <c r="D34" s="18" t="s">
        <v>135</v>
      </c>
      <c r="E34" s="31">
        <v>2.6</v>
      </c>
      <c r="F34" s="31">
        <v>25.1</v>
      </c>
      <c r="G34" s="31">
        <v>0</v>
      </c>
      <c r="H34" s="86">
        <v>0</v>
      </c>
      <c r="I34" s="31">
        <v>74</v>
      </c>
      <c r="J34" s="31">
        <v>7.3999999999999996E-2</v>
      </c>
      <c r="K34" s="125">
        <v>32</v>
      </c>
      <c r="L34" s="3">
        <v>20</v>
      </c>
      <c r="M34" s="3">
        <v>10</v>
      </c>
      <c r="N34" s="3">
        <v>20</v>
      </c>
      <c r="O34" s="3">
        <v>15</v>
      </c>
      <c r="P34" s="3">
        <v>1.2550000000000001</v>
      </c>
      <c r="Q34" s="3">
        <v>33.127499999999998</v>
      </c>
      <c r="R34" s="18">
        <v>0.13250999999999999</v>
      </c>
      <c r="S34" s="18">
        <v>0.344526</v>
      </c>
    </row>
    <row r="35" spans="3:19" x14ac:dyDescent="0.25">
      <c r="C35" s="18">
        <v>10</v>
      </c>
      <c r="D35" s="18" t="s">
        <v>135</v>
      </c>
      <c r="E35" s="31">
        <v>2.6</v>
      </c>
      <c r="F35" s="31">
        <v>25.1</v>
      </c>
      <c r="G35" s="31">
        <v>0</v>
      </c>
      <c r="H35" s="86">
        <v>0</v>
      </c>
      <c r="I35" s="31">
        <v>47.142857142857146</v>
      </c>
      <c r="J35" s="31">
        <v>4.7142857142857146E-2</v>
      </c>
      <c r="K35" s="125">
        <v>27</v>
      </c>
      <c r="L35" s="3">
        <v>10</v>
      </c>
      <c r="M35" s="3">
        <v>10</v>
      </c>
      <c r="N35" s="3">
        <v>20</v>
      </c>
      <c r="O35" s="3">
        <v>15</v>
      </c>
      <c r="P35" s="3">
        <v>1.2550000000000001</v>
      </c>
      <c r="Q35" s="3">
        <v>28.127500000000001</v>
      </c>
      <c r="R35" s="18">
        <v>0.11251000000000001</v>
      </c>
      <c r="S35" s="18">
        <v>0.29252600000000006</v>
      </c>
    </row>
    <row r="36" spans="3:19" x14ac:dyDescent="0.25">
      <c r="C36" s="18">
        <v>10</v>
      </c>
      <c r="D36" s="18" t="s">
        <v>135</v>
      </c>
      <c r="E36" s="31">
        <v>2.6</v>
      </c>
      <c r="F36" s="31">
        <v>25.1</v>
      </c>
      <c r="G36" s="31">
        <v>0.18</v>
      </c>
      <c r="H36" s="86">
        <v>36</v>
      </c>
      <c r="I36" s="31">
        <v>150</v>
      </c>
      <c r="J36" s="31">
        <v>0.15</v>
      </c>
      <c r="K36" s="125">
        <v>47</v>
      </c>
      <c r="L36" s="3">
        <v>30</v>
      </c>
      <c r="M36" s="3">
        <v>20</v>
      </c>
      <c r="N36" s="3">
        <v>20</v>
      </c>
      <c r="O36" s="3">
        <v>15</v>
      </c>
      <c r="P36" s="3">
        <v>1.2550000000000001</v>
      </c>
      <c r="Q36" s="3">
        <v>43.127499999999998</v>
      </c>
      <c r="R36" s="18">
        <v>0.17251</v>
      </c>
      <c r="S36" s="18">
        <v>0.44852599999999998</v>
      </c>
    </row>
    <row r="37" spans="3:19" x14ac:dyDescent="0.25">
      <c r="C37" s="18">
        <v>10</v>
      </c>
      <c r="D37" s="18" t="s">
        <v>135</v>
      </c>
      <c r="E37" s="31">
        <v>2.6</v>
      </c>
      <c r="F37" s="31">
        <v>25.1</v>
      </c>
      <c r="G37" s="31">
        <v>0.14000000000000001</v>
      </c>
      <c r="H37" s="86">
        <v>28.000000000000004</v>
      </c>
      <c r="I37" s="31">
        <v>65</v>
      </c>
      <c r="J37" s="31">
        <v>6.5000000000000002E-2</v>
      </c>
      <c r="K37" s="125">
        <v>33</v>
      </c>
      <c r="L37" s="3">
        <v>20</v>
      </c>
      <c r="M37" s="3">
        <v>10</v>
      </c>
      <c r="N37" s="3">
        <v>20</v>
      </c>
      <c r="O37" s="3">
        <v>15</v>
      </c>
      <c r="P37" s="3">
        <v>1.2550000000000001</v>
      </c>
      <c r="Q37" s="3">
        <v>33.127499999999998</v>
      </c>
      <c r="R37" s="18">
        <v>0.13250999999999999</v>
      </c>
      <c r="S37" s="18">
        <v>0.344526</v>
      </c>
    </row>
    <row r="38" spans="3:19" x14ac:dyDescent="0.25">
      <c r="C38" s="18">
        <v>10</v>
      </c>
      <c r="D38" s="18" t="s">
        <v>135</v>
      </c>
      <c r="E38" s="31">
        <v>2.6</v>
      </c>
      <c r="F38" s="31">
        <v>25.1</v>
      </c>
      <c r="G38" s="31">
        <v>0.12</v>
      </c>
      <c r="H38" s="86">
        <v>24</v>
      </c>
      <c r="I38" s="31">
        <v>70</v>
      </c>
      <c r="J38" s="31">
        <v>7.0000000000000007E-2</v>
      </c>
      <c r="K38" s="125">
        <v>32</v>
      </c>
      <c r="L38" s="3">
        <v>20</v>
      </c>
      <c r="M38" s="3">
        <v>10</v>
      </c>
      <c r="N38" s="3">
        <v>20</v>
      </c>
      <c r="O38" s="3">
        <v>15</v>
      </c>
      <c r="P38" s="3">
        <v>1.2550000000000001</v>
      </c>
      <c r="Q38" s="3">
        <v>33.127499999999998</v>
      </c>
      <c r="R38" s="18">
        <v>0.13250999999999999</v>
      </c>
      <c r="S38" s="18">
        <v>0.344526</v>
      </c>
    </row>
    <row r="39" spans="3:19" x14ac:dyDescent="0.25">
      <c r="C39" s="18">
        <v>10</v>
      </c>
      <c r="D39" s="18" t="s">
        <v>135</v>
      </c>
      <c r="E39" s="31">
        <v>2.6</v>
      </c>
      <c r="F39" s="31">
        <v>25.1</v>
      </c>
      <c r="G39" s="31">
        <v>0</v>
      </c>
      <c r="H39" s="86">
        <v>0</v>
      </c>
      <c r="I39" s="31">
        <v>28.571428571428573</v>
      </c>
      <c r="J39" s="31">
        <v>2.8571428571428574E-2</v>
      </c>
      <c r="K39" s="125">
        <v>25</v>
      </c>
      <c r="L39" s="3">
        <v>10</v>
      </c>
      <c r="M39" s="3">
        <v>10</v>
      </c>
      <c r="N39" s="3">
        <v>20</v>
      </c>
      <c r="O39" s="3">
        <v>15</v>
      </c>
      <c r="P39" s="3">
        <v>1.2550000000000001</v>
      </c>
      <c r="Q39" s="3">
        <v>28.127500000000001</v>
      </c>
      <c r="R39" s="18">
        <v>0.11251000000000001</v>
      </c>
      <c r="S39" s="18">
        <v>0.29252600000000006</v>
      </c>
    </row>
    <row r="40" spans="3:19" x14ac:dyDescent="0.25">
      <c r="C40" s="18">
        <v>10</v>
      </c>
      <c r="D40" s="18" t="s">
        <v>135</v>
      </c>
      <c r="E40" s="31">
        <v>2.6</v>
      </c>
      <c r="F40" s="31">
        <v>25.1</v>
      </c>
      <c r="G40" s="31">
        <v>0.19</v>
      </c>
      <c r="H40" s="86">
        <v>34.545454545454277</v>
      </c>
      <c r="I40" s="31">
        <v>71.666666666666671</v>
      </c>
      <c r="J40" s="31">
        <v>7.166666666666667E-2</v>
      </c>
      <c r="K40" s="125">
        <v>31</v>
      </c>
      <c r="L40" s="3">
        <v>20</v>
      </c>
      <c r="M40" s="3">
        <v>10</v>
      </c>
      <c r="N40" s="3">
        <v>20</v>
      </c>
      <c r="O40" s="3">
        <v>15</v>
      </c>
      <c r="P40" s="3">
        <v>1.2550000000000001</v>
      </c>
      <c r="Q40" s="3">
        <v>33.127499999999998</v>
      </c>
      <c r="R40" s="18">
        <v>0.13250999999999999</v>
      </c>
      <c r="S40" s="18">
        <v>0.344526</v>
      </c>
    </row>
    <row r="41" spans="3:19" x14ac:dyDescent="0.25">
      <c r="C41" s="18">
        <v>10</v>
      </c>
      <c r="D41" s="18" t="s">
        <v>135</v>
      </c>
      <c r="E41" s="31">
        <v>2.6</v>
      </c>
      <c r="F41" s="31">
        <v>25.1</v>
      </c>
      <c r="G41" s="31">
        <v>0</v>
      </c>
      <c r="H41" s="86">
        <v>0</v>
      </c>
      <c r="I41" s="31">
        <v>53</v>
      </c>
      <c r="J41" s="31">
        <v>5.2999999999999999E-2</v>
      </c>
      <c r="K41" s="125">
        <v>25</v>
      </c>
      <c r="L41" s="3">
        <v>10</v>
      </c>
      <c r="M41" s="3">
        <v>10</v>
      </c>
      <c r="N41" s="3">
        <v>20</v>
      </c>
      <c r="O41" s="3">
        <v>15</v>
      </c>
      <c r="P41" s="3">
        <v>1.2550000000000001</v>
      </c>
      <c r="Q41" s="3">
        <v>28.127500000000001</v>
      </c>
      <c r="R41" s="18">
        <v>0.11251000000000001</v>
      </c>
      <c r="S41" s="18">
        <v>0.29252600000000006</v>
      </c>
    </row>
    <row r="42" spans="3:19" x14ac:dyDescent="0.25">
      <c r="C42" s="18">
        <v>10</v>
      </c>
      <c r="D42" s="18" t="s">
        <v>135</v>
      </c>
      <c r="E42" s="31">
        <v>2.6</v>
      </c>
      <c r="F42" s="31">
        <v>25.1</v>
      </c>
      <c r="G42" s="31">
        <v>0.25</v>
      </c>
      <c r="H42" s="86">
        <v>35.714285714285573</v>
      </c>
      <c r="I42" s="31">
        <v>100</v>
      </c>
      <c r="J42" s="31">
        <v>0.1</v>
      </c>
      <c r="K42" s="125">
        <v>38</v>
      </c>
      <c r="L42" s="3">
        <v>20</v>
      </c>
      <c r="M42" s="3">
        <v>50</v>
      </c>
      <c r="N42" s="3">
        <v>20</v>
      </c>
      <c r="O42" s="3">
        <v>15</v>
      </c>
      <c r="P42" s="3">
        <v>1.2550000000000001</v>
      </c>
      <c r="Q42" s="3">
        <v>53.127499999999998</v>
      </c>
      <c r="R42" s="18">
        <v>0.21251</v>
      </c>
      <c r="S42" s="18">
        <v>0.55252600000000007</v>
      </c>
    </row>
    <row r="43" spans="3:19" x14ac:dyDescent="0.25">
      <c r="C43" s="18">
        <v>10</v>
      </c>
      <c r="D43" s="18" t="s">
        <v>135</v>
      </c>
      <c r="E43" s="31">
        <v>2.6</v>
      </c>
      <c r="F43" s="31">
        <v>25.1</v>
      </c>
      <c r="G43" s="31">
        <v>0.81</v>
      </c>
      <c r="H43" s="86">
        <v>81</v>
      </c>
      <c r="I43" s="31">
        <v>485</v>
      </c>
      <c r="J43" s="31">
        <v>0.48499999999999999</v>
      </c>
      <c r="K43" s="125">
        <v>63</v>
      </c>
      <c r="L43" s="3">
        <v>30</v>
      </c>
      <c r="M43" s="3">
        <v>20</v>
      </c>
      <c r="N43" s="3">
        <v>20</v>
      </c>
      <c r="O43" s="3">
        <v>15</v>
      </c>
      <c r="P43" s="3">
        <v>1.2550000000000001</v>
      </c>
      <c r="Q43" s="3">
        <v>43.127499999999998</v>
      </c>
      <c r="R43" s="18">
        <v>0.17251</v>
      </c>
      <c r="S43" s="18">
        <v>0.44852599999999998</v>
      </c>
    </row>
    <row r="44" spans="3:19" x14ac:dyDescent="0.25">
      <c r="C44" s="18">
        <v>10</v>
      </c>
      <c r="D44" s="18" t="s">
        <v>135</v>
      </c>
      <c r="E44" s="31">
        <v>2.6</v>
      </c>
      <c r="F44" s="31">
        <v>25.1</v>
      </c>
      <c r="G44" s="31">
        <v>0.14000000000000001</v>
      </c>
      <c r="H44" s="86">
        <v>28.000000000000004</v>
      </c>
      <c r="I44" s="31">
        <v>71.428571428571431</v>
      </c>
      <c r="J44" s="31">
        <v>7.1428571428571425E-2</v>
      </c>
      <c r="K44" s="125">
        <v>34</v>
      </c>
      <c r="L44" s="3">
        <v>20</v>
      </c>
      <c r="M44" s="3">
        <v>10</v>
      </c>
      <c r="N44" s="3">
        <v>20</v>
      </c>
      <c r="O44" s="3">
        <v>15</v>
      </c>
      <c r="P44" s="3">
        <v>1.2550000000000001</v>
      </c>
      <c r="Q44" s="3">
        <v>33.127499999999998</v>
      </c>
      <c r="R44" s="18">
        <v>0.13250999999999999</v>
      </c>
      <c r="S44" s="18">
        <v>0.344526</v>
      </c>
    </row>
    <row r="45" spans="3:19" x14ac:dyDescent="0.25">
      <c r="C45" s="18">
        <v>10</v>
      </c>
      <c r="D45" s="18" t="s">
        <v>135</v>
      </c>
      <c r="E45" s="31">
        <v>2.6</v>
      </c>
      <c r="F45" s="31">
        <v>25.1</v>
      </c>
      <c r="G45" s="31">
        <v>0</v>
      </c>
      <c r="H45" s="86">
        <v>0</v>
      </c>
      <c r="I45" s="31">
        <v>27</v>
      </c>
      <c r="J45" s="31">
        <v>2.7E-2</v>
      </c>
      <c r="K45" s="125">
        <v>26</v>
      </c>
      <c r="L45" s="3">
        <v>10</v>
      </c>
      <c r="M45" s="3">
        <v>10</v>
      </c>
      <c r="N45" s="3">
        <v>20</v>
      </c>
      <c r="O45" s="3">
        <v>15</v>
      </c>
      <c r="P45" s="3">
        <v>1.2550000000000001</v>
      </c>
      <c r="Q45" s="3">
        <v>28.127500000000001</v>
      </c>
      <c r="R45" s="18">
        <v>0.11251000000000001</v>
      </c>
      <c r="S45" s="18">
        <v>0.29252600000000006</v>
      </c>
    </row>
    <row r="46" spans="3:19" x14ac:dyDescent="0.25">
      <c r="C46" s="18">
        <v>10</v>
      </c>
      <c r="D46" s="18" t="s">
        <v>135</v>
      </c>
      <c r="E46" s="31">
        <v>2.6</v>
      </c>
      <c r="F46" s="31">
        <v>25.1</v>
      </c>
      <c r="G46" s="31">
        <v>0</v>
      </c>
      <c r="H46" s="86">
        <v>0</v>
      </c>
      <c r="I46" s="31">
        <v>25</v>
      </c>
      <c r="J46" s="31">
        <v>2.5000000000000001E-2</v>
      </c>
      <c r="K46" s="125">
        <v>26</v>
      </c>
      <c r="L46" s="3">
        <v>10</v>
      </c>
      <c r="M46" s="3">
        <v>10</v>
      </c>
      <c r="N46" s="3">
        <v>20</v>
      </c>
      <c r="O46" s="3">
        <v>15</v>
      </c>
      <c r="P46" s="3">
        <v>1.2550000000000001</v>
      </c>
      <c r="Q46" s="3">
        <v>28.127500000000001</v>
      </c>
      <c r="R46" s="18">
        <v>0.11251000000000001</v>
      </c>
      <c r="S46" s="18">
        <v>0.29252600000000006</v>
      </c>
    </row>
    <row r="47" spans="3:19" x14ac:dyDescent="0.25">
      <c r="C47" s="18">
        <v>10</v>
      </c>
      <c r="D47" s="18" t="s">
        <v>135</v>
      </c>
      <c r="E47" s="31">
        <v>2.6</v>
      </c>
      <c r="F47" s="31">
        <v>25.1</v>
      </c>
      <c r="G47" s="31">
        <v>0.27</v>
      </c>
      <c r="H47" s="86">
        <v>54</v>
      </c>
      <c r="I47" s="31">
        <v>100</v>
      </c>
      <c r="J47" s="31">
        <v>0.1</v>
      </c>
      <c r="K47" s="125">
        <v>45</v>
      </c>
      <c r="L47" s="3">
        <v>30</v>
      </c>
      <c r="M47" s="3">
        <v>50</v>
      </c>
      <c r="N47" s="3">
        <v>20</v>
      </c>
      <c r="O47" s="3">
        <v>15</v>
      </c>
      <c r="P47" s="3">
        <v>1.2550000000000001</v>
      </c>
      <c r="Q47" s="3">
        <v>58.127499999999998</v>
      </c>
      <c r="R47" s="18">
        <v>0.23250999999999999</v>
      </c>
      <c r="S47" s="18">
        <v>0.60452600000000001</v>
      </c>
    </row>
    <row r="48" spans="3:19" x14ac:dyDescent="0.25">
      <c r="C48" s="18">
        <v>10</v>
      </c>
      <c r="D48" s="18" t="s">
        <v>135</v>
      </c>
      <c r="E48" s="31">
        <v>2.6</v>
      </c>
      <c r="F48" s="31">
        <v>25.1</v>
      </c>
      <c r="G48" s="31">
        <v>0.1</v>
      </c>
      <c r="H48" s="86">
        <v>20</v>
      </c>
      <c r="I48" s="31">
        <v>146.66666666666666</v>
      </c>
      <c r="J48" s="31">
        <v>0.14666666666666667</v>
      </c>
      <c r="K48" s="125">
        <v>36</v>
      </c>
      <c r="L48" s="3">
        <v>20</v>
      </c>
      <c r="M48" s="3">
        <v>20</v>
      </c>
      <c r="N48" s="3">
        <v>20</v>
      </c>
      <c r="O48" s="3">
        <v>15</v>
      </c>
      <c r="P48" s="3">
        <v>1.2550000000000001</v>
      </c>
      <c r="Q48" s="3">
        <v>38.127499999999998</v>
      </c>
      <c r="R48" s="18">
        <v>0.15251000000000001</v>
      </c>
      <c r="S48" s="18">
        <v>0.39652600000000005</v>
      </c>
    </row>
    <row r="49" spans="3:19" x14ac:dyDescent="0.25">
      <c r="C49" s="18">
        <v>10</v>
      </c>
      <c r="D49" s="18" t="s">
        <v>135</v>
      </c>
      <c r="E49" s="31">
        <v>2.6</v>
      </c>
      <c r="F49" s="31">
        <v>25.1</v>
      </c>
      <c r="G49" s="31">
        <v>0.16</v>
      </c>
      <c r="H49" s="86">
        <v>32</v>
      </c>
      <c r="I49" s="31">
        <v>100</v>
      </c>
      <c r="J49" s="31">
        <v>0.1</v>
      </c>
      <c r="K49" s="125">
        <v>36</v>
      </c>
      <c r="L49" s="3">
        <v>20</v>
      </c>
      <c r="M49" s="3">
        <v>50</v>
      </c>
      <c r="N49" s="3">
        <v>20</v>
      </c>
      <c r="O49" s="3">
        <v>15</v>
      </c>
      <c r="P49" s="3">
        <v>1.2550000000000001</v>
      </c>
      <c r="Q49" s="3">
        <v>53.127499999999998</v>
      </c>
      <c r="R49" s="18">
        <v>0.21251</v>
      </c>
      <c r="S49" s="18">
        <v>0.55252600000000007</v>
      </c>
    </row>
    <row r="50" spans="3:19" x14ac:dyDescent="0.25">
      <c r="C50" s="18">
        <v>10</v>
      </c>
      <c r="D50" s="18" t="s">
        <v>135</v>
      </c>
      <c r="E50" s="31">
        <v>2.6</v>
      </c>
      <c r="F50" s="31">
        <v>25.1</v>
      </c>
      <c r="G50" s="31">
        <v>0.16</v>
      </c>
      <c r="H50" s="86">
        <v>32</v>
      </c>
      <c r="I50" s="31">
        <v>83.333333333333329</v>
      </c>
      <c r="J50" s="31">
        <v>8.3333333333333329E-2</v>
      </c>
      <c r="K50" s="125">
        <v>35</v>
      </c>
      <c r="L50" s="3">
        <v>20</v>
      </c>
      <c r="M50" s="3">
        <v>10</v>
      </c>
      <c r="N50" s="3">
        <v>20</v>
      </c>
      <c r="O50" s="3">
        <v>15</v>
      </c>
      <c r="P50" s="3">
        <v>1.2550000000000001</v>
      </c>
      <c r="Q50" s="3">
        <v>33.127499999999998</v>
      </c>
      <c r="R50" s="18">
        <v>0.13250999999999999</v>
      </c>
      <c r="S50" s="18">
        <v>0.344526</v>
      </c>
    </row>
    <row r="51" spans="3:19" x14ac:dyDescent="0.25">
      <c r="C51" s="18">
        <v>10</v>
      </c>
      <c r="D51" s="18" t="s">
        <v>135</v>
      </c>
      <c r="E51" s="31">
        <v>2.6</v>
      </c>
      <c r="F51" s="31">
        <v>25.1</v>
      </c>
      <c r="G51" s="31">
        <v>0.15</v>
      </c>
      <c r="H51" s="86">
        <v>30</v>
      </c>
      <c r="I51" s="31">
        <v>90</v>
      </c>
      <c r="J51" s="31">
        <v>0.09</v>
      </c>
      <c r="K51" s="125">
        <v>31</v>
      </c>
      <c r="L51" s="3">
        <v>20</v>
      </c>
      <c r="M51" s="3">
        <v>10</v>
      </c>
      <c r="N51" s="3">
        <v>20</v>
      </c>
      <c r="O51" s="3">
        <v>15</v>
      </c>
      <c r="P51" s="3">
        <v>1.2550000000000001</v>
      </c>
      <c r="Q51" s="3">
        <v>33.127499999999998</v>
      </c>
      <c r="R51" s="18">
        <v>0.13250999999999999</v>
      </c>
      <c r="S51" s="18">
        <v>0.344526</v>
      </c>
    </row>
    <row r="52" spans="3:19" x14ac:dyDescent="0.25">
      <c r="C52" s="18">
        <v>10</v>
      </c>
      <c r="D52" s="18" t="s">
        <v>135</v>
      </c>
      <c r="E52" s="31">
        <v>2.6</v>
      </c>
      <c r="F52" s="31">
        <v>25.1</v>
      </c>
      <c r="G52" s="31">
        <v>0</v>
      </c>
      <c r="H52" s="86">
        <v>0</v>
      </c>
      <c r="I52" s="31">
        <v>60</v>
      </c>
      <c r="J52" s="31">
        <v>0.06</v>
      </c>
      <c r="K52" s="125">
        <v>23</v>
      </c>
      <c r="L52" s="3">
        <v>10</v>
      </c>
      <c r="M52" s="3">
        <v>10</v>
      </c>
      <c r="N52" s="3">
        <v>20</v>
      </c>
      <c r="O52" s="3">
        <v>15</v>
      </c>
      <c r="P52" s="3">
        <v>1.2550000000000001</v>
      </c>
      <c r="Q52" s="3">
        <v>28.127500000000001</v>
      </c>
      <c r="R52" s="18">
        <v>0.11251000000000001</v>
      </c>
      <c r="S52" s="18">
        <v>0.29252600000000006</v>
      </c>
    </row>
    <row r="53" spans="3:19" x14ac:dyDescent="0.25">
      <c r="C53" s="18">
        <v>10</v>
      </c>
      <c r="D53" s="18" t="s">
        <v>135</v>
      </c>
      <c r="E53" s="31">
        <v>2.6</v>
      </c>
      <c r="F53" s="31">
        <v>25.1</v>
      </c>
      <c r="G53" s="31">
        <v>0</v>
      </c>
      <c r="H53" s="86">
        <v>0</v>
      </c>
      <c r="I53" s="31">
        <v>86</v>
      </c>
      <c r="J53" s="31">
        <v>8.5999999999999993E-2</v>
      </c>
      <c r="K53" s="125">
        <v>29</v>
      </c>
      <c r="L53" s="3">
        <v>10</v>
      </c>
      <c r="M53" s="3">
        <v>10</v>
      </c>
      <c r="N53" s="3">
        <v>20</v>
      </c>
      <c r="O53" s="3">
        <v>15</v>
      </c>
      <c r="P53" s="3">
        <v>1.2550000000000001</v>
      </c>
      <c r="Q53" s="3">
        <v>28.127500000000001</v>
      </c>
      <c r="R53" s="18">
        <v>0.11251000000000001</v>
      </c>
      <c r="S53" s="18">
        <v>0.29252600000000006</v>
      </c>
    </row>
    <row r="54" spans="3:19" x14ac:dyDescent="0.25">
      <c r="C54" s="18">
        <v>10</v>
      </c>
      <c r="D54" s="18" t="s">
        <v>135</v>
      </c>
      <c r="E54" s="31">
        <v>2.6</v>
      </c>
      <c r="F54" s="31">
        <v>25.1</v>
      </c>
      <c r="G54" s="31">
        <v>0</v>
      </c>
      <c r="H54" s="86">
        <v>0</v>
      </c>
      <c r="I54" s="31">
        <v>29</v>
      </c>
      <c r="J54" s="31">
        <v>2.9000000000000001E-2</v>
      </c>
      <c r="K54" s="125">
        <v>18</v>
      </c>
      <c r="L54" s="3">
        <v>10</v>
      </c>
      <c r="M54" s="3">
        <v>10</v>
      </c>
      <c r="N54" s="3">
        <v>20</v>
      </c>
      <c r="O54" s="3">
        <v>15</v>
      </c>
      <c r="P54" s="3">
        <v>1.2550000000000001</v>
      </c>
      <c r="Q54" s="3">
        <v>28.127500000000001</v>
      </c>
      <c r="R54" s="18">
        <v>0.11251000000000001</v>
      </c>
      <c r="S54" s="18">
        <v>0.29252600000000006</v>
      </c>
    </row>
    <row r="55" spans="3:19" x14ac:dyDescent="0.25">
      <c r="C55" s="18">
        <v>10</v>
      </c>
      <c r="D55" s="18" t="s">
        <v>135</v>
      </c>
      <c r="E55" s="31">
        <v>2.6</v>
      </c>
      <c r="F55" s="31">
        <v>25.1</v>
      </c>
      <c r="G55" s="31">
        <v>0</v>
      </c>
      <c r="H55" s="86">
        <v>0</v>
      </c>
      <c r="I55" s="31">
        <v>16.666666666666668</v>
      </c>
      <c r="J55" s="31">
        <v>1.6666666666666666E-2</v>
      </c>
      <c r="K55" s="125">
        <v>18</v>
      </c>
      <c r="L55" s="3">
        <v>10</v>
      </c>
      <c r="M55" s="3">
        <v>10</v>
      </c>
      <c r="N55" s="3">
        <v>20</v>
      </c>
      <c r="O55" s="3">
        <v>15</v>
      </c>
      <c r="P55" s="3">
        <v>1.2550000000000001</v>
      </c>
      <c r="Q55" s="3">
        <v>28.127500000000001</v>
      </c>
      <c r="R55" s="18">
        <v>0.11251000000000001</v>
      </c>
      <c r="S55" s="18">
        <v>0.29252600000000006</v>
      </c>
    </row>
    <row r="56" spans="3:19" x14ac:dyDescent="0.25">
      <c r="C56" s="18">
        <v>10</v>
      </c>
      <c r="D56" s="18" t="s">
        <v>135</v>
      </c>
      <c r="E56" s="31">
        <v>2.6</v>
      </c>
      <c r="F56" s="31">
        <v>25.1</v>
      </c>
      <c r="G56" s="31">
        <v>0.4</v>
      </c>
      <c r="H56" s="86">
        <v>80</v>
      </c>
      <c r="I56" s="31">
        <v>235</v>
      </c>
      <c r="J56" s="31">
        <v>0.23499999999999999</v>
      </c>
      <c r="K56" s="125">
        <v>57</v>
      </c>
      <c r="L56" s="3">
        <v>30</v>
      </c>
      <c r="M56" s="3">
        <v>20</v>
      </c>
      <c r="N56" s="3">
        <v>20</v>
      </c>
      <c r="O56" s="3">
        <v>15</v>
      </c>
      <c r="P56" s="3">
        <v>1.2550000000000001</v>
      </c>
      <c r="Q56" s="3">
        <v>43.127499999999998</v>
      </c>
      <c r="R56" s="18">
        <v>0.17251</v>
      </c>
      <c r="S56" s="18">
        <v>0.44852599999999998</v>
      </c>
    </row>
    <row r="57" spans="3:19" x14ac:dyDescent="0.25">
      <c r="C57" s="18">
        <v>10</v>
      </c>
      <c r="D57" s="18" t="s">
        <v>135</v>
      </c>
      <c r="E57" s="31">
        <v>2.6</v>
      </c>
      <c r="F57" s="31">
        <v>25.1</v>
      </c>
      <c r="G57" s="31">
        <v>0.3</v>
      </c>
      <c r="H57" s="86">
        <v>54.545454545454831</v>
      </c>
      <c r="I57" s="31">
        <v>170</v>
      </c>
      <c r="J57" s="31">
        <v>0.17</v>
      </c>
      <c r="K57" s="125">
        <v>48</v>
      </c>
      <c r="L57" s="3">
        <v>30</v>
      </c>
      <c r="M57" s="3">
        <v>20</v>
      </c>
      <c r="N57" s="3">
        <v>20</v>
      </c>
      <c r="O57" s="3">
        <v>15</v>
      </c>
      <c r="P57" s="3">
        <v>1.2550000000000001</v>
      </c>
      <c r="Q57" s="3">
        <v>43.127499999999998</v>
      </c>
      <c r="R57" s="18">
        <v>0.17251</v>
      </c>
      <c r="S57" s="18">
        <v>0.44852599999999998</v>
      </c>
    </row>
    <row r="58" spans="3:19" x14ac:dyDescent="0.25">
      <c r="C58" s="18">
        <v>10</v>
      </c>
      <c r="D58" s="18" t="s">
        <v>135</v>
      </c>
      <c r="E58" s="31">
        <v>2.6</v>
      </c>
      <c r="F58" s="31">
        <v>25.1</v>
      </c>
      <c r="G58" s="31">
        <v>0.42</v>
      </c>
      <c r="H58" s="86">
        <v>69.999999999999829</v>
      </c>
      <c r="I58" s="31">
        <v>170</v>
      </c>
      <c r="J58" s="31">
        <v>0.17</v>
      </c>
      <c r="K58" s="125">
        <v>53</v>
      </c>
      <c r="L58" s="3">
        <v>30</v>
      </c>
      <c r="M58" s="3">
        <v>20</v>
      </c>
      <c r="N58" s="3">
        <v>20</v>
      </c>
      <c r="O58" s="3">
        <v>15</v>
      </c>
      <c r="P58" s="3">
        <v>1.2550000000000001</v>
      </c>
      <c r="Q58" s="3">
        <v>43.127499999999998</v>
      </c>
      <c r="R58" s="18">
        <v>0.17251</v>
      </c>
      <c r="S58" s="18">
        <v>0.44852599999999998</v>
      </c>
    </row>
    <row r="59" spans="3:19" x14ac:dyDescent="0.25">
      <c r="C59" s="18">
        <v>10</v>
      </c>
      <c r="D59" s="18" t="s">
        <v>135</v>
      </c>
      <c r="E59" s="31">
        <v>2.6</v>
      </c>
      <c r="F59" s="31">
        <v>25.1</v>
      </c>
      <c r="G59" s="31">
        <v>0.16</v>
      </c>
      <c r="H59" s="86">
        <v>32</v>
      </c>
      <c r="I59" s="31">
        <v>100</v>
      </c>
      <c r="J59" s="31">
        <v>0.1</v>
      </c>
      <c r="K59" s="67">
        <v>41</v>
      </c>
      <c r="L59" s="3">
        <v>20</v>
      </c>
      <c r="M59" s="3">
        <v>50</v>
      </c>
      <c r="N59" s="3">
        <v>20</v>
      </c>
      <c r="O59" s="3">
        <v>15</v>
      </c>
      <c r="P59" s="3">
        <v>1.2550000000000001</v>
      </c>
      <c r="Q59" s="3">
        <v>53.127499999999998</v>
      </c>
      <c r="R59" s="18">
        <v>0.21251</v>
      </c>
      <c r="S59" s="18">
        <v>0.55252600000000007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EECC-85B8-4921-B294-4A087A80968B}">
  <sheetPr codeName="Planilha17">
    <tabColor rgb="FFFF0000"/>
  </sheetPr>
  <dimension ref="B3:R64"/>
  <sheetViews>
    <sheetView zoomScale="70" zoomScaleNormal="70" workbookViewId="0">
      <selection activeCell="D4" sqref="D4"/>
    </sheetView>
  </sheetViews>
  <sheetFormatPr defaultColWidth="8.85546875" defaultRowHeight="15" x14ac:dyDescent="0.25"/>
  <sheetData>
    <row r="3" spans="2:18" ht="75" x14ac:dyDescent="0.25">
      <c r="B3" s="46" t="s">
        <v>131</v>
      </c>
      <c r="C3" s="30" t="s">
        <v>155</v>
      </c>
      <c r="D3" s="51" t="s">
        <v>627</v>
      </c>
      <c r="E3" s="51" t="s">
        <v>628</v>
      </c>
      <c r="F3" s="83" t="s">
        <v>575</v>
      </c>
      <c r="G3" s="83" t="s">
        <v>11</v>
      </c>
      <c r="H3" s="83" t="s">
        <v>285</v>
      </c>
      <c r="I3" s="83" t="s">
        <v>626</v>
      </c>
      <c r="J3" s="124" t="s">
        <v>194</v>
      </c>
      <c r="K3" s="46" t="s">
        <v>592</v>
      </c>
      <c r="L3" s="46" t="s">
        <v>593</v>
      </c>
      <c r="M3" s="46" t="s">
        <v>594</v>
      </c>
      <c r="N3" s="46" t="s">
        <v>595</v>
      </c>
      <c r="O3" s="46" t="s">
        <v>596</v>
      </c>
      <c r="P3" s="46" t="s">
        <v>630</v>
      </c>
      <c r="Q3" s="46" t="s">
        <v>629</v>
      </c>
      <c r="R3" s="46" t="s">
        <v>631</v>
      </c>
    </row>
    <row r="4" spans="2:18" x14ac:dyDescent="0.25">
      <c r="B4" s="18">
        <v>30</v>
      </c>
      <c r="C4" s="18" t="s">
        <v>152</v>
      </c>
      <c r="D4" s="3">
        <v>1.9</v>
      </c>
      <c r="E4" s="3">
        <v>10.5</v>
      </c>
      <c r="F4" s="18">
        <v>0</v>
      </c>
      <c r="G4" s="18">
        <v>0</v>
      </c>
      <c r="H4" s="18">
        <v>51.666666666666664</v>
      </c>
      <c r="I4" s="18">
        <v>5.1666666666666666E-2</v>
      </c>
      <c r="J4" s="125">
        <v>22</v>
      </c>
      <c r="K4" s="3">
        <v>10</v>
      </c>
      <c r="L4" s="3">
        <v>10</v>
      </c>
      <c r="M4" s="3">
        <v>20</v>
      </c>
      <c r="N4" s="3">
        <v>-2.5</v>
      </c>
      <c r="O4" s="3">
        <v>0.52500000000000002</v>
      </c>
      <c r="P4" s="3">
        <v>19.012499999999999</v>
      </c>
      <c r="Q4" s="18">
        <v>7.6049999999999993E-2</v>
      </c>
      <c r="R4" s="18">
        <v>0.14449499999999998</v>
      </c>
    </row>
    <row r="5" spans="2:18" x14ac:dyDescent="0.25">
      <c r="B5" s="18">
        <v>30</v>
      </c>
      <c r="C5" s="18" t="s">
        <v>152</v>
      </c>
      <c r="D5" s="3">
        <v>1.9</v>
      </c>
      <c r="E5" s="3">
        <v>10.5</v>
      </c>
      <c r="F5" s="18">
        <v>0</v>
      </c>
      <c r="G5" s="18">
        <v>0</v>
      </c>
      <c r="H5" s="18">
        <v>13</v>
      </c>
      <c r="I5" s="18">
        <v>1.2999999999999999E-2</v>
      </c>
      <c r="J5" s="125">
        <v>23</v>
      </c>
      <c r="K5" s="3">
        <v>10</v>
      </c>
      <c r="L5" s="3">
        <v>10</v>
      </c>
      <c r="M5" s="3">
        <v>20</v>
      </c>
      <c r="N5" s="3">
        <v>-2.5</v>
      </c>
      <c r="O5" s="3">
        <v>0.52500000000000002</v>
      </c>
      <c r="P5" s="3">
        <v>19.012499999999999</v>
      </c>
      <c r="Q5" s="18">
        <v>7.6049999999999993E-2</v>
      </c>
      <c r="R5" s="18">
        <v>0.14449499999999998</v>
      </c>
    </row>
    <row r="6" spans="2:18" x14ac:dyDescent="0.25">
      <c r="B6" s="18">
        <v>30</v>
      </c>
      <c r="C6" s="18" t="s">
        <v>152</v>
      </c>
      <c r="D6" s="3">
        <v>1.9</v>
      </c>
      <c r="E6" s="3">
        <v>10.5</v>
      </c>
      <c r="F6" s="18">
        <v>0</v>
      </c>
      <c r="G6" s="18">
        <v>0</v>
      </c>
      <c r="H6" s="18">
        <v>11</v>
      </c>
      <c r="I6" s="18">
        <v>1.0999999999999999E-2</v>
      </c>
      <c r="J6" s="125">
        <v>26</v>
      </c>
      <c r="K6" s="3">
        <v>10</v>
      </c>
      <c r="L6" s="3">
        <v>10</v>
      </c>
      <c r="M6" s="3">
        <v>20</v>
      </c>
      <c r="N6" s="3">
        <v>-2.5</v>
      </c>
      <c r="O6" s="3">
        <v>0.52500000000000002</v>
      </c>
      <c r="P6" s="3">
        <v>19.012499999999999</v>
      </c>
      <c r="Q6" s="18">
        <v>7.6049999999999993E-2</v>
      </c>
      <c r="R6" s="18">
        <v>0.14449499999999998</v>
      </c>
    </row>
    <row r="7" spans="2:18" x14ac:dyDescent="0.25">
      <c r="B7" s="18">
        <v>30</v>
      </c>
      <c r="C7" s="18" t="s">
        <v>152</v>
      </c>
      <c r="D7" s="3">
        <v>1.9</v>
      </c>
      <c r="E7" s="3">
        <v>10.5</v>
      </c>
      <c r="F7" s="18">
        <v>0</v>
      </c>
      <c r="G7" s="18">
        <v>0</v>
      </c>
      <c r="H7" s="18">
        <v>14</v>
      </c>
      <c r="I7" s="18">
        <v>1.4E-2</v>
      </c>
      <c r="J7" s="125">
        <v>26</v>
      </c>
      <c r="K7" s="3">
        <v>10</v>
      </c>
      <c r="L7" s="3">
        <v>10</v>
      </c>
      <c r="M7" s="3">
        <v>20</v>
      </c>
      <c r="N7" s="3">
        <v>-2.5</v>
      </c>
      <c r="O7" s="3">
        <v>0.52500000000000002</v>
      </c>
      <c r="P7" s="3">
        <v>19.012499999999999</v>
      </c>
      <c r="Q7" s="18">
        <v>7.6049999999999993E-2</v>
      </c>
      <c r="R7" s="18">
        <v>0.14449499999999998</v>
      </c>
    </row>
    <row r="8" spans="2:18" x14ac:dyDescent="0.25">
      <c r="B8" s="18">
        <v>30</v>
      </c>
      <c r="C8" s="18" t="s">
        <v>152</v>
      </c>
      <c r="D8" s="3">
        <v>1.9</v>
      </c>
      <c r="E8" s="3">
        <v>10.5</v>
      </c>
      <c r="F8" s="18">
        <v>0</v>
      </c>
      <c r="G8" s="18">
        <v>0</v>
      </c>
      <c r="H8" s="18">
        <v>23</v>
      </c>
      <c r="I8" s="18">
        <v>2.3E-2</v>
      </c>
      <c r="J8" s="125">
        <v>25</v>
      </c>
      <c r="K8" s="3">
        <v>10</v>
      </c>
      <c r="L8" s="3">
        <v>10</v>
      </c>
      <c r="M8" s="3">
        <v>20</v>
      </c>
      <c r="N8" s="3">
        <v>-2.5</v>
      </c>
      <c r="O8" s="3">
        <v>0.52500000000000002</v>
      </c>
      <c r="P8" s="3">
        <v>19.012499999999999</v>
      </c>
      <c r="Q8" s="18">
        <v>7.6049999999999993E-2</v>
      </c>
      <c r="R8" s="18">
        <v>0.14449499999999998</v>
      </c>
    </row>
    <row r="9" spans="2:18" x14ac:dyDescent="0.25">
      <c r="B9" s="18">
        <v>30</v>
      </c>
      <c r="C9" s="18" t="s">
        <v>152</v>
      </c>
      <c r="D9" s="3">
        <v>1.9</v>
      </c>
      <c r="E9" s="3">
        <v>10.5</v>
      </c>
      <c r="F9" s="18">
        <v>0.11</v>
      </c>
      <c r="G9" s="18">
        <v>22</v>
      </c>
      <c r="H9" s="18">
        <v>34</v>
      </c>
      <c r="I9" s="18">
        <v>3.4000000000000002E-2</v>
      </c>
      <c r="J9" s="125">
        <v>39</v>
      </c>
      <c r="K9" s="3">
        <v>20</v>
      </c>
      <c r="L9" s="3">
        <v>10</v>
      </c>
      <c r="M9" s="3">
        <v>20</v>
      </c>
      <c r="N9" s="3">
        <v>-2.5</v>
      </c>
      <c r="O9" s="3">
        <v>0.52500000000000002</v>
      </c>
      <c r="P9" s="3">
        <v>24.012499999999999</v>
      </c>
      <c r="Q9" s="18">
        <v>9.6049999999999996E-2</v>
      </c>
      <c r="R9" s="18">
        <v>0.18249499999999999</v>
      </c>
    </row>
    <row r="10" spans="2:18" x14ac:dyDescent="0.25">
      <c r="B10" s="18">
        <v>30</v>
      </c>
      <c r="C10" s="18" t="s">
        <v>152</v>
      </c>
      <c r="D10" s="3">
        <v>1.9</v>
      </c>
      <c r="E10" s="3">
        <v>10.5</v>
      </c>
      <c r="F10" s="18">
        <v>0</v>
      </c>
      <c r="G10" s="18">
        <v>0</v>
      </c>
      <c r="H10" s="18">
        <v>13</v>
      </c>
      <c r="I10" s="18">
        <v>1.2999999999999999E-2</v>
      </c>
      <c r="J10" s="125">
        <v>27</v>
      </c>
      <c r="K10" s="3">
        <v>10</v>
      </c>
      <c r="L10" s="3">
        <v>10</v>
      </c>
      <c r="M10" s="3">
        <v>20</v>
      </c>
      <c r="N10" s="3">
        <v>-2.5</v>
      </c>
      <c r="O10" s="3">
        <v>0.52500000000000002</v>
      </c>
      <c r="P10" s="3">
        <v>19.012499999999999</v>
      </c>
      <c r="Q10" s="18">
        <v>7.6049999999999993E-2</v>
      </c>
      <c r="R10" s="18">
        <v>0.14449499999999998</v>
      </c>
    </row>
    <row r="11" spans="2:18" x14ac:dyDescent="0.25">
      <c r="B11" s="18">
        <v>30</v>
      </c>
      <c r="C11" s="18" t="s">
        <v>152</v>
      </c>
      <c r="D11" s="3">
        <v>1.9</v>
      </c>
      <c r="E11" s="3">
        <v>10.5</v>
      </c>
      <c r="F11" s="18">
        <v>0</v>
      </c>
      <c r="G11" s="18">
        <v>0</v>
      </c>
      <c r="H11" s="18">
        <v>51.666666666666664</v>
      </c>
      <c r="I11" s="18">
        <v>5.1666666666666666E-2</v>
      </c>
      <c r="J11" s="125">
        <v>28</v>
      </c>
      <c r="K11" s="3">
        <v>10</v>
      </c>
      <c r="L11" s="3">
        <v>10</v>
      </c>
      <c r="M11" s="3">
        <v>20</v>
      </c>
      <c r="N11" s="3">
        <v>-2.5</v>
      </c>
      <c r="O11" s="3">
        <v>0.52500000000000002</v>
      </c>
      <c r="P11" s="3">
        <v>19.012499999999999</v>
      </c>
      <c r="Q11" s="18">
        <v>7.6049999999999993E-2</v>
      </c>
      <c r="R11" s="18">
        <v>0.14449499999999998</v>
      </c>
    </row>
    <row r="12" spans="2:18" x14ac:dyDescent="0.25">
      <c r="B12" s="18">
        <v>30</v>
      </c>
      <c r="C12" s="18" t="s">
        <v>152</v>
      </c>
      <c r="D12" s="3">
        <v>1.9</v>
      </c>
      <c r="E12" s="3">
        <v>10.5</v>
      </c>
      <c r="F12" s="18">
        <v>0.26</v>
      </c>
      <c r="G12" s="18">
        <v>52</v>
      </c>
      <c r="H12" s="18">
        <v>54</v>
      </c>
      <c r="I12" s="18">
        <v>5.3999999999999999E-2</v>
      </c>
      <c r="J12" s="125">
        <v>47</v>
      </c>
      <c r="K12" s="3">
        <v>30</v>
      </c>
      <c r="L12" s="3">
        <v>10</v>
      </c>
      <c r="M12" s="3">
        <v>20</v>
      </c>
      <c r="N12" s="3">
        <v>-2.5</v>
      </c>
      <c r="O12" s="3">
        <v>0.52500000000000002</v>
      </c>
      <c r="P12" s="3">
        <v>29.012499999999999</v>
      </c>
      <c r="Q12" s="18">
        <v>0.11605</v>
      </c>
      <c r="R12" s="18">
        <v>0.220495</v>
      </c>
    </row>
    <row r="13" spans="2:18" x14ac:dyDescent="0.25">
      <c r="B13" s="18">
        <v>30</v>
      </c>
      <c r="C13" s="18" t="s">
        <v>152</v>
      </c>
      <c r="D13" s="3">
        <v>1.9</v>
      </c>
      <c r="E13" s="3">
        <v>10.5</v>
      </c>
      <c r="F13" s="18">
        <v>0.18</v>
      </c>
      <c r="G13" s="18">
        <v>36</v>
      </c>
      <c r="H13" s="18">
        <v>110</v>
      </c>
      <c r="I13" s="18">
        <v>0.11</v>
      </c>
      <c r="J13" s="125">
        <v>52</v>
      </c>
      <c r="K13" s="3">
        <v>30</v>
      </c>
      <c r="L13" s="3">
        <v>20</v>
      </c>
      <c r="M13" s="3">
        <v>20</v>
      </c>
      <c r="N13" s="3">
        <v>-2.5</v>
      </c>
      <c r="O13" s="3">
        <v>0.52500000000000002</v>
      </c>
      <c r="P13" s="3">
        <v>34.012500000000003</v>
      </c>
      <c r="Q13" s="18">
        <v>0.13605</v>
      </c>
      <c r="R13" s="18">
        <v>0.25849499999999997</v>
      </c>
    </row>
    <row r="14" spans="2:18" x14ac:dyDescent="0.25">
      <c r="B14" s="18">
        <v>30</v>
      </c>
      <c r="C14" s="18" t="s">
        <v>152</v>
      </c>
      <c r="D14" s="3">
        <v>1.9</v>
      </c>
      <c r="E14" s="3">
        <v>10.5</v>
      </c>
      <c r="F14" s="18">
        <v>0.5</v>
      </c>
      <c r="G14" s="18">
        <v>100</v>
      </c>
      <c r="H14" s="18">
        <v>500</v>
      </c>
      <c r="I14" s="18">
        <v>0.5</v>
      </c>
      <c r="J14" s="125">
        <v>74</v>
      </c>
      <c r="K14" s="3">
        <v>30</v>
      </c>
      <c r="L14" s="3">
        <v>20</v>
      </c>
      <c r="M14" s="3">
        <v>20</v>
      </c>
      <c r="N14" s="3">
        <v>-2.5</v>
      </c>
      <c r="O14" s="3">
        <v>0.52500000000000002</v>
      </c>
      <c r="P14" s="3">
        <v>34.012500000000003</v>
      </c>
      <c r="Q14" s="18">
        <v>0.13605</v>
      </c>
      <c r="R14" s="18">
        <v>0.25849499999999997</v>
      </c>
    </row>
    <row r="15" spans="2:18" x14ac:dyDescent="0.25">
      <c r="B15" s="18">
        <v>30</v>
      </c>
      <c r="C15" s="18" t="s">
        <v>152</v>
      </c>
      <c r="D15" s="3">
        <v>1.9</v>
      </c>
      <c r="E15" s="3">
        <v>10.5</v>
      </c>
      <c r="F15" s="18">
        <v>0.31</v>
      </c>
      <c r="G15" s="18">
        <v>62</v>
      </c>
      <c r="H15" s="18">
        <v>166.66666666666666</v>
      </c>
      <c r="I15" s="18">
        <v>0.16666666666666666</v>
      </c>
      <c r="J15" s="125">
        <v>57</v>
      </c>
      <c r="K15" s="3">
        <v>30</v>
      </c>
      <c r="L15" s="3">
        <v>20</v>
      </c>
      <c r="M15" s="3">
        <v>20</v>
      </c>
      <c r="N15" s="3">
        <v>-2.5</v>
      </c>
      <c r="O15" s="3">
        <v>0.52500000000000002</v>
      </c>
      <c r="P15" s="3">
        <v>34.012500000000003</v>
      </c>
      <c r="Q15" s="18">
        <v>0.13605</v>
      </c>
      <c r="R15" s="18">
        <v>0.25849499999999997</v>
      </c>
    </row>
    <row r="16" spans="2:18" x14ac:dyDescent="0.25">
      <c r="B16" s="18">
        <v>30</v>
      </c>
      <c r="C16" s="18" t="s">
        <v>152</v>
      </c>
      <c r="D16" s="3">
        <v>1.9</v>
      </c>
      <c r="E16" s="3">
        <v>10.5</v>
      </c>
      <c r="F16" s="18">
        <v>1.26</v>
      </c>
      <c r="G16" s="18">
        <v>94.736842105263278</v>
      </c>
      <c r="H16" s="18">
        <v>1330</v>
      </c>
      <c r="I16" s="18">
        <v>1.33</v>
      </c>
      <c r="J16" s="125">
        <v>76</v>
      </c>
      <c r="K16" s="3">
        <v>30</v>
      </c>
      <c r="L16" s="3">
        <v>50</v>
      </c>
      <c r="M16" s="3">
        <v>20</v>
      </c>
      <c r="N16" s="3">
        <v>-2.5</v>
      </c>
      <c r="O16" s="3">
        <v>0.52500000000000002</v>
      </c>
      <c r="P16" s="3">
        <v>49.012500000000003</v>
      </c>
      <c r="Q16" s="18">
        <v>0.19605</v>
      </c>
      <c r="R16" s="18">
        <v>0.37249499999999997</v>
      </c>
    </row>
    <row r="17" spans="2:18" x14ac:dyDescent="0.25">
      <c r="B17" s="18">
        <v>30</v>
      </c>
      <c r="C17" s="18" t="s">
        <v>152</v>
      </c>
      <c r="D17" s="3">
        <v>1.9</v>
      </c>
      <c r="E17" s="3">
        <v>10.5</v>
      </c>
      <c r="F17" s="18">
        <v>0.17</v>
      </c>
      <c r="G17" s="18">
        <v>34</v>
      </c>
      <c r="H17" s="18">
        <v>87.5</v>
      </c>
      <c r="I17" s="18">
        <v>8.7499999999999994E-2</v>
      </c>
      <c r="J17" s="125">
        <v>45</v>
      </c>
      <c r="K17" s="3">
        <v>30</v>
      </c>
      <c r="L17" s="3">
        <v>10</v>
      </c>
      <c r="M17" s="3">
        <v>20</v>
      </c>
      <c r="N17" s="3">
        <v>-2.5</v>
      </c>
      <c r="O17" s="3">
        <v>0.52500000000000002</v>
      </c>
      <c r="P17" s="3">
        <v>29.012499999999999</v>
      </c>
      <c r="Q17" s="18">
        <v>0.11605</v>
      </c>
      <c r="R17" s="18">
        <v>0.220495</v>
      </c>
    </row>
    <row r="18" spans="2:18" x14ac:dyDescent="0.25">
      <c r="B18" s="18">
        <v>30</v>
      </c>
      <c r="C18" s="18" t="s">
        <v>152</v>
      </c>
      <c r="D18" s="3">
        <v>1.9</v>
      </c>
      <c r="E18" s="3">
        <v>10.5</v>
      </c>
      <c r="F18" s="18">
        <v>0.16</v>
      </c>
      <c r="G18" s="18">
        <v>32</v>
      </c>
      <c r="H18" s="18">
        <v>47.5</v>
      </c>
      <c r="I18" s="18">
        <v>4.7500000000000001E-2</v>
      </c>
      <c r="J18" s="125">
        <v>45</v>
      </c>
      <c r="K18" s="3">
        <v>30</v>
      </c>
      <c r="L18" s="3">
        <v>10</v>
      </c>
      <c r="M18" s="3">
        <v>20</v>
      </c>
      <c r="N18" s="3">
        <v>-2.5</v>
      </c>
      <c r="O18" s="3">
        <v>0.52500000000000002</v>
      </c>
      <c r="P18" s="3">
        <v>29.012499999999999</v>
      </c>
      <c r="Q18" s="18">
        <v>0.11605</v>
      </c>
      <c r="R18" s="18">
        <v>0.220495</v>
      </c>
    </row>
    <row r="19" spans="2:18" x14ac:dyDescent="0.25">
      <c r="B19" s="18">
        <v>30</v>
      </c>
      <c r="C19" s="18" t="s">
        <v>152</v>
      </c>
      <c r="D19" s="3">
        <v>1.9</v>
      </c>
      <c r="E19" s="3">
        <v>10.5</v>
      </c>
      <c r="F19" s="18">
        <v>0.11</v>
      </c>
      <c r="G19" s="18">
        <v>22</v>
      </c>
      <c r="H19" s="18">
        <v>103.33333333333333</v>
      </c>
      <c r="I19" s="18">
        <v>0.10333333333333333</v>
      </c>
      <c r="J19" s="125">
        <v>46</v>
      </c>
      <c r="K19" s="3">
        <v>30</v>
      </c>
      <c r="L19" s="3">
        <v>20</v>
      </c>
      <c r="M19" s="3">
        <v>20</v>
      </c>
      <c r="N19" s="3">
        <v>-2.5</v>
      </c>
      <c r="O19" s="3">
        <v>0.52500000000000002</v>
      </c>
      <c r="P19" s="3">
        <v>34.012500000000003</v>
      </c>
      <c r="Q19" s="18">
        <v>0.13605</v>
      </c>
      <c r="R19" s="18">
        <v>0.25849499999999997</v>
      </c>
    </row>
    <row r="20" spans="2:18" x14ac:dyDescent="0.25">
      <c r="B20" s="18">
        <v>30</v>
      </c>
      <c r="C20" s="18" t="s">
        <v>152</v>
      </c>
      <c r="D20" s="3">
        <v>1.9</v>
      </c>
      <c r="E20" s="3">
        <v>10.5</v>
      </c>
      <c r="F20" s="18">
        <v>0.6</v>
      </c>
      <c r="G20" s="18">
        <v>85.714285714285367</v>
      </c>
      <c r="H20" s="18">
        <v>305</v>
      </c>
      <c r="I20" s="18">
        <v>0.30499999999999999</v>
      </c>
      <c r="J20" s="125">
        <v>65</v>
      </c>
      <c r="K20" s="3">
        <v>30</v>
      </c>
      <c r="L20" s="3">
        <v>20</v>
      </c>
      <c r="M20" s="3">
        <v>20</v>
      </c>
      <c r="N20" s="3">
        <v>-2.5</v>
      </c>
      <c r="O20" s="3">
        <v>0.52500000000000002</v>
      </c>
      <c r="P20" s="3">
        <v>34.012500000000003</v>
      </c>
      <c r="Q20" s="18">
        <v>0.13605</v>
      </c>
      <c r="R20" s="18">
        <v>0.25849499999999997</v>
      </c>
    </row>
    <row r="21" spans="2:18" x14ac:dyDescent="0.25">
      <c r="B21" s="18">
        <v>30</v>
      </c>
      <c r="C21" s="18" t="s">
        <v>152</v>
      </c>
      <c r="D21" s="3">
        <v>1.9</v>
      </c>
      <c r="E21" s="3">
        <v>10.5</v>
      </c>
      <c r="F21" s="18">
        <v>0.55000000000000004</v>
      </c>
      <c r="G21" s="18">
        <v>58.510638297872489</v>
      </c>
      <c r="H21" s="18">
        <v>286.66666666666669</v>
      </c>
      <c r="I21" s="18">
        <v>0.28666666666666668</v>
      </c>
      <c r="J21" s="125">
        <v>60</v>
      </c>
      <c r="K21" s="3">
        <v>30</v>
      </c>
      <c r="L21" s="3">
        <v>20</v>
      </c>
      <c r="M21" s="3">
        <v>20</v>
      </c>
      <c r="N21" s="3">
        <v>-2.5</v>
      </c>
      <c r="O21" s="3">
        <v>0.52500000000000002</v>
      </c>
      <c r="P21" s="3">
        <v>34.012500000000003</v>
      </c>
      <c r="Q21" s="18">
        <v>0.13605</v>
      </c>
      <c r="R21" s="18">
        <v>0.25849499999999997</v>
      </c>
    </row>
    <row r="22" spans="2:18" x14ac:dyDescent="0.25">
      <c r="B22" s="18">
        <v>30</v>
      </c>
      <c r="C22" s="18" t="s">
        <v>152</v>
      </c>
      <c r="D22" s="3">
        <v>1.9</v>
      </c>
      <c r="E22" s="3">
        <v>10.5</v>
      </c>
      <c r="F22" s="18">
        <v>0</v>
      </c>
      <c r="G22" s="18">
        <v>0</v>
      </c>
      <c r="H22" s="18">
        <v>41</v>
      </c>
      <c r="I22" s="18">
        <v>4.1000000000000002E-2</v>
      </c>
      <c r="J22" s="125">
        <v>18</v>
      </c>
      <c r="K22" s="3">
        <v>10</v>
      </c>
      <c r="L22" s="3">
        <v>10</v>
      </c>
      <c r="M22" s="3">
        <v>20</v>
      </c>
      <c r="N22" s="3">
        <v>-2.5</v>
      </c>
      <c r="O22" s="3">
        <v>0.52500000000000002</v>
      </c>
      <c r="P22" s="3">
        <v>19.012499999999999</v>
      </c>
      <c r="Q22" s="18">
        <v>7.6049999999999993E-2</v>
      </c>
      <c r="R22" s="18">
        <v>0.14449499999999998</v>
      </c>
    </row>
    <row r="23" spans="2:18" x14ac:dyDescent="0.25">
      <c r="B23" s="18">
        <v>30</v>
      </c>
      <c r="C23" s="18" t="s">
        <v>152</v>
      </c>
      <c r="D23" s="3">
        <v>1.9</v>
      </c>
      <c r="E23" s="3">
        <v>10.5</v>
      </c>
      <c r="F23" s="18">
        <v>0</v>
      </c>
      <c r="G23" s="18">
        <v>0</v>
      </c>
      <c r="H23" s="18">
        <v>45</v>
      </c>
      <c r="I23" s="18">
        <v>4.4999999999999998E-2</v>
      </c>
      <c r="J23" s="125">
        <v>16</v>
      </c>
      <c r="K23" s="3">
        <v>10</v>
      </c>
      <c r="L23" s="3">
        <v>10</v>
      </c>
      <c r="M23" s="3">
        <v>20</v>
      </c>
      <c r="N23" s="3">
        <v>-2.5</v>
      </c>
      <c r="O23" s="3">
        <v>0.52500000000000002</v>
      </c>
      <c r="P23" s="3">
        <v>19.012499999999999</v>
      </c>
      <c r="Q23" s="18">
        <v>7.6049999999999993E-2</v>
      </c>
      <c r="R23" s="18">
        <v>0.14449499999999998</v>
      </c>
    </row>
    <row r="24" spans="2:18" x14ac:dyDescent="0.25">
      <c r="B24" s="18">
        <v>30</v>
      </c>
      <c r="C24" s="18" t="s">
        <v>152</v>
      </c>
      <c r="D24" s="3">
        <v>1.9</v>
      </c>
      <c r="E24" s="3">
        <v>10.5</v>
      </c>
      <c r="F24" s="18">
        <v>0</v>
      </c>
      <c r="G24" s="18">
        <v>0</v>
      </c>
      <c r="H24" s="18">
        <v>70</v>
      </c>
      <c r="I24" s="18">
        <v>7.0000000000000007E-2</v>
      </c>
      <c r="J24" s="125">
        <v>17</v>
      </c>
      <c r="K24" s="3">
        <v>10</v>
      </c>
      <c r="L24" s="3">
        <v>10</v>
      </c>
      <c r="M24" s="3">
        <v>20</v>
      </c>
      <c r="N24" s="3">
        <v>-2.5</v>
      </c>
      <c r="O24" s="3">
        <v>0.52500000000000002</v>
      </c>
      <c r="P24" s="3">
        <v>19.012499999999999</v>
      </c>
      <c r="Q24" s="18">
        <v>7.6049999999999993E-2</v>
      </c>
      <c r="R24" s="18">
        <v>0.14449499999999998</v>
      </c>
    </row>
    <row r="25" spans="2:18" x14ac:dyDescent="0.25">
      <c r="B25" s="18">
        <v>30</v>
      </c>
      <c r="C25" s="18" t="s">
        <v>152</v>
      </c>
      <c r="D25" s="3">
        <v>1.9</v>
      </c>
      <c r="E25" s="3">
        <v>10.5</v>
      </c>
      <c r="F25" s="18">
        <v>0</v>
      </c>
      <c r="G25" s="18">
        <v>0</v>
      </c>
      <c r="H25" s="18">
        <v>58.75</v>
      </c>
      <c r="I25" s="18">
        <v>5.8749999999999997E-2</v>
      </c>
      <c r="J25" s="125">
        <v>15</v>
      </c>
      <c r="K25" s="3">
        <v>10</v>
      </c>
      <c r="L25" s="3">
        <v>10</v>
      </c>
      <c r="M25" s="3">
        <v>20</v>
      </c>
      <c r="N25" s="3">
        <v>-2.5</v>
      </c>
      <c r="O25" s="3">
        <v>0.52500000000000002</v>
      </c>
      <c r="P25" s="3">
        <v>19.012499999999999</v>
      </c>
      <c r="Q25" s="18">
        <v>7.6049999999999993E-2</v>
      </c>
      <c r="R25" s="18">
        <v>0.14449499999999998</v>
      </c>
    </row>
    <row r="26" spans="2:18" x14ac:dyDescent="0.25">
      <c r="B26" s="18">
        <v>30</v>
      </c>
      <c r="C26" s="18" t="s">
        <v>152</v>
      </c>
      <c r="D26" s="3">
        <v>1.9</v>
      </c>
      <c r="E26" s="3">
        <v>10.5</v>
      </c>
      <c r="F26" s="18">
        <v>0.14000000000000001</v>
      </c>
      <c r="G26" s="18">
        <v>28.000000000000004</v>
      </c>
      <c r="H26" s="18">
        <v>122.5</v>
      </c>
      <c r="I26" s="18">
        <v>0.1225</v>
      </c>
      <c r="J26" s="125">
        <v>32</v>
      </c>
      <c r="K26" s="3">
        <v>20</v>
      </c>
      <c r="L26" s="3">
        <v>20</v>
      </c>
      <c r="M26" s="3">
        <v>20</v>
      </c>
      <c r="N26" s="3">
        <v>-2.5</v>
      </c>
      <c r="O26" s="3">
        <v>0.52500000000000002</v>
      </c>
      <c r="P26" s="3">
        <v>29.012499999999999</v>
      </c>
      <c r="Q26" s="18">
        <v>0.11605</v>
      </c>
      <c r="R26" s="18">
        <v>0.220495</v>
      </c>
    </row>
    <row r="27" spans="2:18" x14ac:dyDescent="0.25">
      <c r="B27" s="18">
        <v>30</v>
      </c>
      <c r="C27" s="18" t="s">
        <v>152</v>
      </c>
      <c r="D27" s="3">
        <v>1.9</v>
      </c>
      <c r="E27" s="3">
        <v>10.5</v>
      </c>
      <c r="F27" s="18">
        <v>0.14000000000000001</v>
      </c>
      <c r="G27" s="18">
        <v>28.000000000000004</v>
      </c>
      <c r="H27" s="18">
        <v>64.285714285714292</v>
      </c>
      <c r="I27" s="18">
        <v>6.4285714285714293E-2</v>
      </c>
      <c r="J27" s="125">
        <v>31</v>
      </c>
      <c r="K27" s="3">
        <v>20</v>
      </c>
      <c r="L27" s="3">
        <v>10</v>
      </c>
      <c r="M27" s="3">
        <v>20</v>
      </c>
      <c r="N27" s="3">
        <v>-2.5</v>
      </c>
      <c r="O27" s="3">
        <v>0.52500000000000002</v>
      </c>
      <c r="P27" s="3">
        <v>24.012499999999999</v>
      </c>
      <c r="Q27" s="18">
        <v>9.6049999999999996E-2</v>
      </c>
      <c r="R27" s="18">
        <v>0.18249499999999999</v>
      </c>
    </row>
    <row r="28" spans="2:18" x14ac:dyDescent="0.25">
      <c r="B28" s="18">
        <v>30</v>
      </c>
      <c r="C28" s="18" t="s">
        <v>152</v>
      </c>
      <c r="D28" s="3">
        <v>1.9</v>
      </c>
      <c r="E28" s="3">
        <v>10.5</v>
      </c>
      <c r="F28" s="18">
        <v>0</v>
      </c>
      <c r="G28" s="18">
        <v>0</v>
      </c>
      <c r="H28" s="18">
        <v>120</v>
      </c>
      <c r="I28" s="18">
        <v>0.12</v>
      </c>
      <c r="J28" s="125">
        <v>28</v>
      </c>
      <c r="K28" s="3">
        <v>10</v>
      </c>
      <c r="L28" s="3">
        <v>20</v>
      </c>
      <c r="M28" s="3">
        <v>20</v>
      </c>
      <c r="N28" s="3">
        <v>-2.5</v>
      </c>
      <c r="O28" s="3">
        <v>0.52500000000000002</v>
      </c>
      <c r="P28" s="3">
        <v>24.012499999999999</v>
      </c>
      <c r="Q28" s="18">
        <v>9.6049999999999996E-2</v>
      </c>
      <c r="R28" s="18">
        <v>0.18249499999999999</v>
      </c>
    </row>
    <row r="29" spans="2:18" x14ac:dyDescent="0.25">
      <c r="B29" s="18">
        <v>30</v>
      </c>
      <c r="C29" s="18" t="s">
        <v>152</v>
      </c>
      <c r="D29" s="3">
        <v>1.9</v>
      </c>
      <c r="E29" s="3">
        <v>10.5</v>
      </c>
      <c r="F29" s="18">
        <v>0.13</v>
      </c>
      <c r="G29" s="18">
        <v>26</v>
      </c>
      <c r="H29" s="18">
        <v>66.666666666666671</v>
      </c>
      <c r="I29" s="18">
        <v>6.6666666666666666E-2</v>
      </c>
      <c r="J29" s="125">
        <v>30</v>
      </c>
      <c r="K29" s="3">
        <v>20</v>
      </c>
      <c r="L29" s="3">
        <v>10</v>
      </c>
      <c r="M29" s="3">
        <v>20</v>
      </c>
      <c r="N29" s="3">
        <v>-2.5</v>
      </c>
      <c r="O29" s="3">
        <v>0.52500000000000002</v>
      </c>
      <c r="P29" s="3">
        <v>24.012499999999999</v>
      </c>
      <c r="Q29" s="18">
        <v>9.6049999999999996E-2</v>
      </c>
      <c r="R29" s="18">
        <v>0.18249499999999999</v>
      </c>
    </row>
    <row r="30" spans="2:18" x14ac:dyDescent="0.25">
      <c r="B30" s="18">
        <v>30</v>
      </c>
      <c r="C30" s="18" t="s">
        <v>152</v>
      </c>
      <c r="D30" s="3">
        <v>1.9</v>
      </c>
      <c r="E30" s="3">
        <v>10.5</v>
      </c>
      <c r="F30" s="18">
        <v>0.1</v>
      </c>
      <c r="G30" s="18">
        <v>20</v>
      </c>
      <c r="H30" s="18">
        <v>83.333333333333329</v>
      </c>
      <c r="I30" s="18">
        <v>8.3333333333333329E-2</v>
      </c>
      <c r="J30" s="125">
        <v>29</v>
      </c>
      <c r="K30" s="3">
        <v>10</v>
      </c>
      <c r="L30" s="3">
        <v>10</v>
      </c>
      <c r="M30" s="3">
        <v>20</v>
      </c>
      <c r="N30" s="3">
        <v>-2.5</v>
      </c>
      <c r="O30" s="3">
        <v>0.52500000000000002</v>
      </c>
      <c r="P30" s="3">
        <v>19.012499999999999</v>
      </c>
      <c r="Q30" s="18">
        <v>7.6049999999999993E-2</v>
      </c>
      <c r="R30" s="18">
        <v>0.14449499999999998</v>
      </c>
    </row>
    <row r="31" spans="2:18" x14ac:dyDescent="0.25">
      <c r="B31" s="18">
        <v>30</v>
      </c>
      <c r="C31" s="18" t="s">
        <v>152</v>
      </c>
      <c r="D31" s="3">
        <v>1.9</v>
      </c>
      <c r="E31" s="3">
        <v>10.5</v>
      </c>
      <c r="F31" s="18">
        <v>0</v>
      </c>
      <c r="G31" s="18">
        <v>0</v>
      </c>
      <c r="H31" s="18">
        <v>46.25</v>
      </c>
      <c r="I31" s="18">
        <v>4.6249999999999999E-2</v>
      </c>
      <c r="J31" s="125">
        <v>25</v>
      </c>
      <c r="K31" s="3">
        <v>10</v>
      </c>
      <c r="L31" s="3">
        <v>10</v>
      </c>
      <c r="M31" s="3">
        <v>20</v>
      </c>
      <c r="N31" s="3">
        <v>-2.5</v>
      </c>
      <c r="O31" s="3">
        <v>0.52500000000000002</v>
      </c>
      <c r="P31" s="3">
        <v>19.012499999999999</v>
      </c>
      <c r="Q31" s="18">
        <v>7.6049999999999993E-2</v>
      </c>
      <c r="R31" s="18">
        <v>0.14449499999999998</v>
      </c>
    </row>
    <row r="32" spans="2:18" x14ac:dyDescent="0.25">
      <c r="B32" s="18">
        <v>30</v>
      </c>
      <c r="C32" s="18" t="s">
        <v>152</v>
      </c>
      <c r="D32" s="3">
        <v>1.9</v>
      </c>
      <c r="E32" s="3">
        <v>10.5</v>
      </c>
      <c r="F32" s="18">
        <v>0</v>
      </c>
      <c r="G32" s="18">
        <v>0</v>
      </c>
      <c r="H32" s="18">
        <v>54.285714285714285</v>
      </c>
      <c r="I32" s="18">
        <v>5.4285714285714284E-2</v>
      </c>
      <c r="J32" s="125">
        <v>24</v>
      </c>
      <c r="K32" s="3">
        <v>10</v>
      </c>
      <c r="L32" s="3">
        <v>10</v>
      </c>
      <c r="M32" s="3">
        <v>20</v>
      </c>
      <c r="N32" s="3">
        <v>-2.5</v>
      </c>
      <c r="O32" s="3">
        <v>0.52500000000000002</v>
      </c>
      <c r="P32" s="3">
        <v>19.012499999999999</v>
      </c>
      <c r="Q32" s="18">
        <v>7.6049999999999993E-2</v>
      </c>
      <c r="R32" s="18">
        <v>0.14449499999999998</v>
      </c>
    </row>
    <row r="33" spans="2:18" x14ac:dyDescent="0.25">
      <c r="B33" s="18">
        <v>30</v>
      </c>
      <c r="C33" s="18" t="s">
        <v>152</v>
      </c>
      <c r="D33" s="3">
        <v>1.9</v>
      </c>
      <c r="E33" s="3">
        <v>10.5</v>
      </c>
      <c r="F33" s="18">
        <v>0.24</v>
      </c>
      <c r="G33" s="18">
        <v>48</v>
      </c>
      <c r="H33" s="18">
        <v>115</v>
      </c>
      <c r="I33" s="18">
        <v>0.115</v>
      </c>
      <c r="J33" s="125">
        <v>37</v>
      </c>
      <c r="K33" s="3">
        <v>20</v>
      </c>
      <c r="L33" s="3">
        <v>20</v>
      </c>
      <c r="M33" s="3">
        <v>20</v>
      </c>
      <c r="N33" s="3">
        <v>-2.5</v>
      </c>
      <c r="O33" s="3">
        <v>0.52500000000000002</v>
      </c>
      <c r="P33" s="3">
        <v>29.012499999999999</v>
      </c>
      <c r="Q33" s="18">
        <v>0.11605</v>
      </c>
      <c r="R33" s="18">
        <v>0.220495</v>
      </c>
    </row>
    <row r="34" spans="2:18" x14ac:dyDescent="0.25">
      <c r="B34" s="18">
        <v>30</v>
      </c>
      <c r="C34" s="18" t="s">
        <v>152</v>
      </c>
      <c r="D34" s="3">
        <v>1.9</v>
      </c>
      <c r="E34" s="3">
        <v>10.5</v>
      </c>
      <c r="F34" s="18">
        <v>0</v>
      </c>
      <c r="G34" s="18">
        <v>0</v>
      </c>
      <c r="H34" s="18">
        <v>61.666666666666664</v>
      </c>
      <c r="I34" s="18">
        <v>6.1666666666666661E-2</v>
      </c>
      <c r="J34" s="125">
        <v>23</v>
      </c>
      <c r="K34" s="3">
        <v>10</v>
      </c>
      <c r="L34" s="3">
        <v>10</v>
      </c>
      <c r="M34" s="3">
        <v>20</v>
      </c>
      <c r="N34" s="3">
        <v>-2.5</v>
      </c>
      <c r="O34" s="3">
        <v>0.52500000000000002</v>
      </c>
      <c r="P34" s="3">
        <v>19.012499999999999</v>
      </c>
      <c r="Q34" s="18">
        <v>7.6049999999999993E-2</v>
      </c>
      <c r="R34" s="18">
        <v>0.14449499999999998</v>
      </c>
    </row>
    <row r="35" spans="2:18" x14ac:dyDescent="0.25">
      <c r="B35" s="18">
        <v>30</v>
      </c>
      <c r="C35" s="18" t="s">
        <v>152</v>
      </c>
      <c r="D35" s="3">
        <v>1.9</v>
      </c>
      <c r="E35" s="3">
        <v>10.5</v>
      </c>
      <c r="F35" s="18">
        <v>0.22</v>
      </c>
      <c r="G35" s="18">
        <v>44</v>
      </c>
      <c r="H35" s="18">
        <v>153.33333333333334</v>
      </c>
      <c r="I35" s="18">
        <v>0.15333333333333335</v>
      </c>
      <c r="J35" s="125">
        <v>38</v>
      </c>
      <c r="K35" s="3">
        <v>20</v>
      </c>
      <c r="L35" s="3">
        <v>20</v>
      </c>
      <c r="M35" s="3">
        <v>20</v>
      </c>
      <c r="N35" s="3">
        <v>-2.5</v>
      </c>
      <c r="O35" s="3">
        <v>0.52500000000000002</v>
      </c>
      <c r="P35" s="3">
        <v>29.012499999999999</v>
      </c>
      <c r="Q35" s="18">
        <v>0.11605</v>
      </c>
      <c r="R35" s="18">
        <v>0.220495</v>
      </c>
    </row>
    <row r="36" spans="2:18" x14ac:dyDescent="0.25">
      <c r="B36" s="18">
        <v>30</v>
      </c>
      <c r="C36" s="18" t="s">
        <v>152</v>
      </c>
      <c r="D36" s="3">
        <v>1.9</v>
      </c>
      <c r="E36" s="3">
        <v>10.5</v>
      </c>
      <c r="F36" s="18">
        <v>0</v>
      </c>
      <c r="G36" s="18">
        <v>0</v>
      </c>
      <c r="H36" s="18">
        <v>44.444444444444443</v>
      </c>
      <c r="I36" s="18">
        <v>4.4444444444444446E-2</v>
      </c>
      <c r="J36" s="125">
        <v>22</v>
      </c>
      <c r="K36" s="3">
        <v>10</v>
      </c>
      <c r="L36" s="3">
        <v>10</v>
      </c>
      <c r="M36" s="3">
        <v>20</v>
      </c>
      <c r="N36" s="3">
        <v>-2.5</v>
      </c>
      <c r="O36" s="3">
        <v>0.52500000000000002</v>
      </c>
      <c r="P36" s="3">
        <v>19.012499999999999</v>
      </c>
      <c r="Q36" s="18">
        <v>7.6049999999999993E-2</v>
      </c>
      <c r="R36" s="18">
        <v>0.14449499999999998</v>
      </c>
    </row>
    <row r="37" spans="2:18" x14ac:dyDescent="0.25">
      <c r="B37" s="18">
        <v>30</v>
      </c>
      <c r="C37" s="18" t="s">
        <v>152</v>
      </c>
      <c r="D37" s="3">
        <v>1.9</v>
      </c>
      <c r="E37" s="3">
        <v>10.5</v>
      </c>
      <c r="F37" s="18">
        <v>0.15</v>
      </c>
      <c r="G37" s="18">
        <v>30</v>
      </c>
      <c r="H37" s="18">
        <v>60</v>
      </c>
      <c r="I37" s="18">
        <v>0.06</v>
      </c>
      <c r="J37" s="125">
        <v>31</v>
      </c>
      <c r="K37" s="3">
        <v>20</v>
      </c>
      <c r="L37" s="3">
        <v>10</v>
      </c>
      <c r="M37" s="3">
        <v>20</v>
      </c>
      <c r="N37" s="3">
        <v>-2.5</v>
      </c>
      <c r="O37" s="3">
        <v>0.52500000000000002</v>
      </c>
      <c r="P37" s="3">
        <v>24.012499999999999</v>
      </c>
      <c r="Q37" s="18">
        <v>9.6049999999999996E-2</v>
      </c>
      <c r="R37" s="18">
        <v>0.18249499999999999</v>
      </c>
    </row>
    <row r="38" spans="2:18" x14ac:dyDescent="0.25">
      <c r="B38" s="18">
        <v>30</v>
      </c>
      <c r="C38" s="18" t="s">
        <v>152</v>
      </c>
      <c r="D38" s="3">
        <v>1.9</v>
      </c>
      <c r="E38" s="3">
        <v>10.5</v>
      </c>
      <c r="F38" s="18">
        <v>0.13</v>
      </c>
      <c r="G38" s="18">
        <v>26</v>
      </c>
      <c r="H38" s="18">
        <v>83.333333333333329</v>
      </c>
      <c r="I38" s="18">
        <v>8.3333333333333329E-2</v>
      </c>
      <c r="J38" s="125">
        <v>31</v>
      </c>
      <c r="K38" s="3">
        <v>20</v>
      </c>
      <c r="L38" s="3">
        <v>10</v>
      </c>
      <c r="M38" s="3">
        <v>20</v>
      </c>
      <c r="N38" s="3">
        <v>-2.5</v>
      </c>
      <c r="O38" s="3">
        <v>0.52500000000000002</v>
      </c>
      <c r="P38" s="3">
        <v>24.012499999999999</v>
      </c>
      <c r="Q38" s="18">
        <v>9.6049999999999996E-2</v>
      </c>
      <c r="R38" s="18">
        <v>0.18249499999999999</v>
      </c>
    </row>
    <row r="39" spans="2:18" x14ac:dyDescent="0.25">
      <c r="B39" s="18">
        <v>30</v>
      </c>
      <c r="C39" s="18" t="s">
        <v>152</v>
      </c>
      <c r="D39" s="3">
        <v>1.9</v>
      </c>
      <c r="E39" s="3">
        <v>10.5</v>
      </c>
      <c r="F39" s="18">
        <v>0</v>
      </c>
      <c r="G39" s="18">
        <v>0</v>
      </c>
      <c r="H39" s="18">
        <v>42.000000000000007</v>
      </c>
      <c r="I39" s="18">
        <v>4.200000000000001E-2</v>
      </c>
      <c r="J39" s="125">
        <v>22</v>
      </c>
      <c r="K39" s="3">
        <v>10</v>
      </c>
      <c r="L39" s="3">
        <v>10</v>
      </c>
      <c r="M39" s="3">
        <v>20</v>
      </c>
      <c r="N39" s="3">
        <v>-2.5</v>
      </c>
      <c r="O39" s="3">
        <v>0.52500000000000002</v>
      </c>
      <c r="P39" s="3">
        <v>19.012499999999999</v>
      </c>
      <c r="Q39" s="18">
        <v>7.6049999999999993E-2</v>
      </c>
      <c r="R39" s="18">
        <v>0.14449499999999998</v>
      </c>
    </row>
    <row r="40" spans="2:18" x14ac:dyDescent="0.25">
      <c r="B40" s="18">
        <v>30</v>
      </c>
      <c r="C40" s="18" t="s">
        <v>152</v>
      </c>
      <c r="D40" s="3">
        <v>1.9</v>
      </c>
      <c r="E40" s="3">
        <v>10.5</v>
      </c>
      <c r="F40" s="18">
        <v>0</v>
      </c>
      <c r="G40" s="18">
        <v>0</v>
      </c>
      <c r="H40" s="18">
        <v>83.333333333333329</v>
      </c>
      <c r="I40" s="18">
        <v>8.3333333333333329E-2</v>
      </c>
      <c r="J40" s="125">
        <v>25</v>
      </c>
      <c r="K40" s="3">
        <v>10</v>
      </c>
      <c r="L40" s="3">
        <v>10</v>
      </c>
      <c r="M40" s="3">
        <v>20</v>
      </c>
      <c r="N40" s="3">
        <v>-2.5</v>
      </c>
      <c r="O40" s="3">
        <v>0.52500000000000002</v>
      </c>
      <c r="P40" s="3">
        <v>19.012499999999999</v>
      </c>
      <c r="Q40" s="18">
        <v>7.6049999999999993E-2</v>
      </c>
      <c r="R40" s="18">
        <v>0.14449499999999998</v>
      </c>
    </row>
    <row r="41" spans="2:18" x14ac:dyDescent="0.25">
      <c r="B41" s="18">
        <v>30</v>
      </c>
      <c r="C41" s="18" t="s">
        <v>152</v>
      </c>
      <c r="D41" s="3">
        <v>1.9</v>
      </c>
      <c r="E41" s="3">
        <v>10.5</v>
      </c>
      <c r="F41" s="18">
        <v>0.14000000000000001</v>
      </c>
      <c r="G41" s="18">
        <v>28.000000000000004</v>
      </c>
      <c r="H41" s="18">
        <v>146.66666666666666</v>
      </c>
      <c r="I41" s="18">
        <v>0.14666666666666667</v>
      </c>
      <c r="J41" s="125">
        <v>34</v>
      </c>
      <c r="K41" s="3">
        <v>20</v>
      </c>
      <c r="L41" s="3">
        <v>20</v>
      </c>
      <c r="M41" s="3">
        <v>20</v>
      </c>
      <c r="N41" s="3">
        <v>-2.5</v>
      </c>
      <c r="O41" s="3">
        <v>0.52500000000000002</v>
      </c>
      <c r="P41" s="3">
        <v>29.012499999999999</v>
      </c>
      <c r="Q41" s="18">
        <v>0.11605</v>
      </c>
      <c r="R41" s="18">
        <v>0.220495</v>
      </c>
    </row>
    <row r="42" spans="2:18" x14ac:dyDescent="0.25">
      <c r="B42" s="18">
        <v>30</v>
      </c>
      <c r="C42" s="18" t="s">
        <v>152</v>
      </c>
      <c r="D42" s="3">
        <v>1.9</v>
      </c>
      <c r="E42" s="3">
        <v>10.5</v>
      </c>
      <c r="F42" s="18">
        <v>0.25</v>
      </c>
      <c r="G42" s="18">
        <v>50</v>
      </c>
      <c r="H42" s="18">
        <v>160</v>
      </c>
      <c r="I42" s="18">
        <v>0.16</v>
      </c>
      <c r="J42" s="125">
        <v>38</v>
      </c>
      <c r="K42" s="3">
        <v>20</v>
      </c>
      <c r="L42" s="3">
        <v>20</v>
      </c>
      <c r="M42" s="3">
        <v>20</v>
      </c>
      <c r="N42" s="3">
        <v>-2.5</v>
      </c>
      <c r="O42" s="3">
        <v>0.52500000000000002</v>
      </c>
      <c r="P42" s="3">
        <v>29.012499999999999</v>
      </c>
      <c r="Q42" s="18">
        <v>0.11605</v>
      </c>
      <c r="R42" s="18">
        <v>0.220495</v>
      </c>
    </row>
    <row r="43" spans="2:18" x14ac:dyDescent="0.25">
      <c r="B43" s="18">
        <v>30</v>
      </c>
      <c r="C43" s="18" t="s">
        <v>152</v>
      </c>
      <c r="D43" s="3">
        <v>1.9</v>
      </c>
      <c r="E43" s="3">
        <v>10.5</v>
      </c>
      <c r="F43" s="18">
        <v>0</v>
      </c>
      <c r="G43" s="18">
        <v>0</v>
      </c>
      <c r="H43" s="18">
        <v>50</v>
      </c>
      <c r="I43" s="18">
        <v>0.05</v>
      </c>
      <c r="J43" s="125">
        <v>22</v>
      </c>
      <c r="K43" s="3">
        <v>10</v>
      </c>
      <c r="L43" s="3">
        <v>10</v>
      </c>
      <c r="M43" s="3">
        <v>20</v>
      </c>
      <c r="N43" s="3">
        <v>-2.5</v>
      </c>
      <c r="O43" s="3">
        <v>0.52500000000000002</v>
      </c>
      <c r="P43" s="3">
        <v>19.012499999999999</v>
      </c>
      <c r="Q43" s="18">
        <v>7.6049999999999993E-2</v>
      </c>
      <c r="R43" s="18">
        <v>0.14449499999999998</v>
      </c>
    </row>
    <row r="44" spans="2:18" x14ac:dyDescent="0.25">
      <c r="B44" s="18">
        <v>30</v>
      </c>
      <c r="C44" s="18" t="s">
        <v>152</v>
      </c>
      <c r="D44" s="3">
        <v>1.9</v>
      </c>
      <c r="E44" s="3">
        <v>10.5</v>
      </c>
      <c r="F44" s="18">
        <v>0.44</v>
      </c>
      <c r="G44" s="18">
        <v>88</v>
      </c>
      <c r="H44" s="18">
        <v>166.66666666666666</v>
      </c>
      <c r="I44" s="18">
        <v>0.16666666666666666</v>
      </c>
      <c r="J44" s="125">
        <v>48</v>
      </c>
      <c r="K44" s="3">
        <v>30</v>
      </c>
      <c r="L44" s="3">
        <v>20</v>
      </c>
      <c r="M44" s="3">
        <v>20</v>
      </c>
      <c r="N44" s="3">
        <v>-2.5</v>
      </c>
      <c r="O44" s="3">
        <v>0.52500000000000002</v>
      </c>
      <c r="P44" s="3">
        <v>34.012500000000003</v>
      </c>
      <c r="Q44" s="18">
        <v>0.13605</v>
      </c>
      <c r="R44" s="18">
        <v>0.25849499999999997</v>
      </c>
    </row>
    <row r="45" spans="2:18" x14ac:dyDescent="0.25">
      <c r="B45" s="18">
        <v>30</v>
      </c>
      <c r="C45" s="18" t="s">
        <v>152</v>
      </c>
      <c r="D45" s="3">
        <v>1.9</v>
      </c>
      <c r="E45" s="3">
        <v>10.5</v>
      </c>
      <c r="F45" s="18">
        <v>0.27</v>
      </c>
      <c r="G45" s="18">
        <v>54</v>
      </c>
      <c r="H45" s="18">
        <v>125</v>
      </c>
      <c r="I45" s="18">
        <v>0.125</v>
      </c>
      <c r="J45" s="125">
        <v>44</v>
      </c>
      <c r="K45" s="3">
        <v>30</v>
      </c>
      <c r="L45" s="3">
        <v>20</v>
      </c>
      <c r="M45" s="3">
        <v>20</v>
      </c>
      <c r="N45" s="3">
        <v>-2.5</v>
      </c>
      <c r="O45" s="3">
        <v>0.52500000000000002</v>
      </c>
      <c r="P45" s="3">
        <v>34.012500000000003</v>
      </c>
      <c r="Q45" s="18">
        <v>0.13605</v>
      </c>
      <c r="R45" s="18">
        <v>0.25849499999999997</v>
      </c>
    </row>
    <row r="46" spans="2:18" x14ac:dyDescent="0.25">
      <c r="B46" s="18">
        <v>30</v>
      </c>
      <c r="C46" s="18" t="s">
        <v>152</v>
      </c>
      <c r="D46" s="3">
        <v>1.9</v>
      </c>
      <c r="E46" s="3">
        <v>10.5</v>
      </c>
      <c r="F46" s="18">
        <v>0.46</v>
      </c>
      <c r="G46" s="18">
        <v>92</v>
      </c>
      <c r="H46" s="18">
        <v>250</v>
      </c>
      <c r="I46" s="18">
        <v>0.25</v>
      </c>
      <c r="J46" s="125">
        <v>59</v>
      </c>
      <c r="K46" s="3">
        <v>30</v>
      </c>
      <c r="L46" s="3">
        <v>20</v>
      </c>
      <c r="M46" s="3">
        <v>20</v>
      </c>
      <c r="N46" s="3">
        <v>-2.5</v>
      </c>
      <c r="O46" s="3">
        <v>0.52500000000000002</v>
      </c>
      <c r="P46" s="3">
        <v>34.012500000000003</v>
      </c>
      <c r="Q46" s="18">
        <v>0.13605</v>
      </c>
      <c r="R46" s="18">
        <v>0.25849499999999997</v>
      </c>
    </row>
    <row r="47" spans="2:18" x14ac:dyDescent="0.25">
      <c r="B47" s="18">
        <v>30</v>
      </c>
      <c r="C47" s="18" t="s">
        <v>152</v>
      </c>
      <c r="D47" s="3">
        <v>1.9</v>
      </c>
      <c r="E47" s="3">
        <v>10.5</v>
      </c>
      <c r="F47" s="18">
        <v>0.28999999999999998</v>
      </c>
      <c r="G47" s="18">
        <v>57.999999999999993</v>
      </c>
      <c r="H47" s="18">
        <v>125</v>
      </c>
      <c r="I47" s="18">
        <v>0.125</v>
      </c>
      <c r="J47" s="125">
        <v>48</v>
      </c>
      <c r="K47" s="3">
        <v>30</v>
      </c>
      <c r="L47" s="3">
        <v>20</v>
      </c>
      <c r="M47" s="3">
        <v>20</v>
      </c>
      <c r="N47" s="3">
        <v>-2.5</v>
      </c>
      <c r="O47" s="3">
        <v>0.52500000000000002</v>
      </c>
      <c r="P47" s="3">
        <v>34.012500000000003</v>
      </c>
      <c r="Q47" s="18">
        <v>0.13605</v>
      </c>
      <c r="R47" s="18">
        <v>0.25849499999999997</v>
      </c>
    </row>
    <row r="48" spans="2:18" x14ac:dyDescent="0.25">
      <c r="B48" s="18">
        <v>30</v>
      </c>
      <c r="C48" s="18" t="s">
        <v>152</v>
      </c>
      <c r="D48" s="3">
        <v>1.9</v>
      </c>
      <c r="E48" s="3">
        <v>10.5</v>
      </c>
      <c r="F48" s="18">
        <v>0.28000000000000003</v>
      </c>
      <c r="G48" s="18">
        <v>56.000000000000007</v>
      </c>
      <c r="H48" s="18">
        <v>102.5</v>
      </c>
      <c r="I48" s="18">
        <v>0.10249999999999999</v>
      </c>
      <c r="J48" s="125">
        <v>46</v>
      </c>
      <c r="K48" s="3">
        <v>30</v>
      </c>
      <c r="L48" s="3">
        <v>20</v>
      </c>
      <c r="M48" s="3">
        <v>20</v>
      </c>
      <c r="N48" s="3">
        <v>-2.5</v>
      </c>
      <c r="O48" s="3">
        <v>0.52500000000000002</v>
      </c>
      <c r="P48" s="3">
        <v>34.012500000000003</v>
      </c>
      <c r="Q48" s="18">
        <v>0.13605</v>
      </c>
      <c r="R48" s="18">
        <v>0.25849499999999997</v>
      </c>
    </row>
    <row r="49" spans="2:18" x14ac:dyDescent="0.25">
      <c r="B49" s="18">
        <v>30</v>
      </c>
      <c r="C49" s="18" t="s">
        <v>152</v>
      </c>
      <c r="D49" s="3">
        <v>1.9</v>
      </c>
      <c r="E49" s="3">
        <v>10.5</v>
      </c>
      <c r="F49" s="18">
        <v>0.28999999999999998</v>
      </c>
      <c r="G49" s="18">
        <v>57.999999999999993</v>
      </c>
      <c r="H49" s="18">
        <v>100</v>
      </c>
      <c r="I49" s="18">
        <v>0.1</v>
      </c>
      <c r="J49" s="125">
        <v>46</v>
      </c>
      <c r="K49" s="3">
        <v>30</v>
      </c>
      <c r="L49" s="3">
        <v>50</v>
      </c>
      <c r="M49" s="3">
        <v>20</v>
      </c>
      <c r="N49" s="3">
        <v>-2.5</v>
      </c>
      <c r="O49" s="3">
        <v>0.52500000000000002</v>
      </c>
      <c r="P49" s="3">
        <v>49.012500000000003</v>
      </c>
      <c r="Q49" s="18">
        <v>0.19605</v>
      </c>
      <c r="R49" s="18">
        <v>0.37249499999999997</v>
      </c>
    </row>
    <row r="50" spans="2:18" x14ac:dyDescent="0.25">
      <c r="B50" s="18">
        <v>30</v>
      </c>
      <c r="C50" s="18" t="s">
        <v>152</v>
      </c>
      <c r="D50" s="3">
        <v>1.9</v>
      </c>
      <c r="E50" s="3">
        <v>10.5</v>
      </c>
      <c r="F50" s="18">
        <v>0.28999999999999998</v>
      </c>
      <c r="G50" s="18">
        <v>57.999999999999993</v>
      </c>
      <c r="H50" s="18">
        <v>163.33333333333334</v>
      </c>
      <c r="I50" s="18">
        <v>0.16333333333333333</v>
      </c>
      <c r="J50" s="125">
        <v>47</v>
      </c>
      <c r="K50" s="3">
        <v>30</v>
      </c>
      <c r="L50" s="3">
        <v>20</v>
      </c>
      <c r="M50" s="3">
        <v>20</v>
      </c>
      <c r="N50" s="3">
        <v>-2.5</v>
      </c>
      <c r="O50" s="3">
        <v>0.52500000000000002</v>
      </c>
      <c r="P50" s="3">
        <v>34.012500000000003</v>
      </c>
      <c r="Q50" s="18">
        <v>0.13605</v>
      </c>
      <c r="R50" s="18">
        <v>0.25849499999999997</v>
      </c>
    </row>
    <row r="51" spans="2:18" x14ac:dyDescent="0.25">
      <c r="B51" s="18">
        <v>30</v>
      </c>
      <c r="C51" s="18" t="s">
        <v>152</v>
      </c>
      <c r="D51" s="3">
        <v>1.9</v>
      </c>
      <c r="E51" s="3">
        <v>10.5</v>
      </c>
      <c r="F51" s="18">
        <v>0.3</v>
      </c>
      <c r="G51" s="18">
        <v>60</v>
      </c>
      <c r="H51" s="18">
        <v>205</v>
      </c>
      <c r="I51" s="18">
        <v>0.20499999999999999</v>
      </c>
      <c r="J51" s="125">
        <v>49</v>
      </c>
      <c r="K51" s="3">
        <v>30</v>
      </c>
      <c r="L51" s="3">
        <v>20</v>
      </c>
      <c r="M51" s="3">
        <v>20</v>
      </c>
      <c r="N51" s="3">
        <v>-2.5</v>
      </c>
      <c r="O51" s="3">
        <v>0.52500000000000002</v>
      </c>
      <c r="P51" s="3">
        <v>34.012500000000003</v>
      </c>
      <c r="Q51" s="18">
        <v>0.13605</v>
      </c>
      <c r="R51" s="18">
        <v>0.25849499999999997</v>
      </c>
    </row>
    <row r="52" spans="2:18" x14ac:dyDescent="0.25">
      <c r="B52" s="18">
        <v>30</v>
      </c>
      <c r="C52" s="18" t="s">
        <v>152</v>
      </c>
      <c r="D52" s="3">
        <v>1.9</v>
      </c>
      <c r="E52" s="3">
        <v>10.5</v>
      </c>
      <c r="F52" s="18">
        <v>0</v>
      </c>
      <c r="G52" s="18">
        <v>0</v>
      </c>
      <c r="H52" s="18">
        <v>52</v>
      </c>
      <c r="I52" s="18">
        <v>5.1999999999999998E-2</v>
      </c>
      <c r="J52" s="125">
        <v>25</v>
      </c>
      <c r="K52" s="3">
        <v>10</v>
      </c>
      <c r="L52" s="3">
        <v>10</v>
      </c>
      <c r="M52" s="3">
        <v>20</v>
      </c>
      <c r="N52" s="3">
        <v>-2.5</v>
      </c>
      <c r="O52" s="3">
        <v>0.52500000000000002</v>
      </c>
      <c r="P52" s="3">
        <v>19.012499999999999</v>
      </c>
      <c r="Q52" s="18">
        <v>7.6049999999999993E-2</v>
      </c>
      <c r="R52" s="18">
        <v>0.14449499999999998</v>
      </c>
    </row>
    <row r="53" spans="2:18" x14ac:dyDescent="0.25">
      <c r="B53" s="18">
        <v>30</v>
      </c>
      <c r="C53" s="18" t="s">
        <v>152</v>
      </c>
      <c r="D53" s="3">
        <v>1.9</v>
      </c>
      <c r="E53" s="3">
        <v>10.5</v>
      </c>
      <c r="F53" s="18">
        <v>0</v>
      </c>
      <c r="G53" s="18">
        <v>0</v>
      </c>
      <c r="H53" s="18">
        <v>86.666666666666671</v>
      </c>
      <c r="I53" s="18">
        <v>8.666666666666667E-2</v>
      </c>
      <c r="J53" s="125">
        <v>28</v>
      </c>
      <c r="K53" s="3">
        <v>10</v>
      </c>
      <c r="L53" s="3">
        <v>10</v>
      </c>
      <c r="M53" s="3">
        <v>20</v>
      </c>
      <c r="N53" s="3">
        <v>-2.5</v>
      </c>
      <c r="O53" s="3">
        <v>0.52500000000000002</v>
      </c>
      <c r="P53" s="3">
        <v>19.012499999999999</v>
      </c>
      <c r="Q53" s="18">
        <v>7.6049999999999993E-2</v>
      </c>
      <c r="R53" s="18">
        <v>0.14449499999999998</v>
      </c>
    </row>
    <row r="54" spans="2:18" x14ac:dyDescent="0.25">
      <c r="B54" s="18">
        <v>30</v>
      </c>
      <c r="C54" s="18" t="s">
        <v>152</v>
      </c>
      <c r="D54" s="3">
        <v>1.9</v>
      </c>
      <c r="E54" s="3">
        <v>10.5</v>
      </c>
      <c r="F54" s="18">
        <v>0</v>
      </c>
      <c r="G54" s="18">
        <v>0</v>
      </c>
      <c r="H54" s="18">
        <v>60</v>
      </c>
      <c r="I54" s="18">
        <v>0.06</v>
      </c>
      <c r="J54" s="125">
        <v>26</v>
      </c>
      <c r="K54" s="3">
        <v>10</v>
      </c>
      <c r="L54" s="3">
        <v>10</v>
      </c>
      <c r="M54" s="3">
        <v>20</v>
      </c>
      <c r="N54" s="3">
        <v>-2.5</v>
      </c>
      <c r="O54" s="3">
        <v>0.52500000000000002</v>
      </c>
      <c r="P54" s="3">
        <v>19.012499999999999</v>
      </c>
      <c r="Q54" s="18">
        <v>7.6049999999999993E-2</v>
      </c>
      <c r="R54" s="18">
        <v>0.14449499999999998</v>
      </c>
    </row>
    <row r="55" spans="2:18" x14ac:dyDescent="0.25">
      <c r="B55" s="18">
        <v>30</v>
      </c>
      <c r="C55" s="18" t="s">
        <v>152</v>
      </c>
      <c r="D55" s="3">
        <v>1.9</v>
      </c>
      <c r="E55" s="3">
        <v>10.5</v>
      </c>
      <c r="F55" s="18">
        <v>0</v>
      </c>
      <c r="G55" s="18">
        <v>0</v>
      </c>
      <c r="H55" s="18">
        <v>52</v>
      </c>
      <c r="I55" s="18">
        <v>5.1999999999999998E-2</v>
      </c>
      <c r="J55" s="125">
        <v>25</v>
      </c>
      <c r="K55" s="3">
        <v>10</v>
      </c>
      <c r="L55" s="3">
        <v>10</v>
      </c>
      <c r="M55" s="3">
        <v>20</v>
      </c>
      <c r="N55" s="3">
        <v>-2.5</v>
      </c>
      <c r="O55" s="3">
        <v>0.52500000000000002</v>
      </c>
      <c r="P55" s="3">
        <v>19.012499999999999</v>
      </c>
      <c r="Q55" s="18">
        <v>7.6049999999999993E-2</v>
      </c>
      <c r="R55" s="18">
        <v>0.14449499999999998</v>
      </c>
    </row>
    <row r="56" spans="2:18" x14ac:dyDescent="0.25">
      <c r="B56" s="18">
        <v>30</v>
      </c>
      <c r="C56" s="18" t="s">
        <v>152</v>
      </c>
      <c r="D56" s="3">
        <v>1.9</v>
      </c>
      <c r="E56" s="3">
        <v>10.5</v>
      </c>
      <c r="F56" s="18">
        <v>0</v>
      </c>
      <c r="G56" s="18">
        <v>0</v>
      </c>
      <c r="H56" s="18">
        <v>56.666666666666664</v>
      </c>
      <c r="I56" s="18">
        <v>5.6666666666666664E-2</v>
      </c>
      <c r="J56" s="125">
        <v>26</v>
      </c>
      <c r="K56" s="3">
        <v>10</v>
      </c>
      <c r="L56" s="3">
        <v>10</v>
      </c>
      <c r="M56" s="3">
        <v>20</v>
      </c>
      <c r="N56" s="3">
        <v>-2.5</v>
      </c>
      <c r="O56" s="3">
        <v>0.52500000000000002</v>
      </c>
      <c r="P56" s="3">
        <v>19.012499999999999</v>
      </c>
      <c r="Q56" s="18">
        <v>7.6049999999999993E-2</v>
      </c>
      <c r="R56" s="18">
        <v>0.14449499999999998</v>
      </c>
    </row>
    <row r="57" spans="2:18" x14ac:dyDescent="0.25">
      <c r="B57" s="18">
        <v>30</v>
      </c>
      <c r="C57" s="18" t="s">
        <v>152</v>
      </c>
      <c r="D57" s="3">
        <v>1.9</v>
      </c>
      <c r="E57" s="3">
        <v>10.5</v>
      </c>
      <c r="F57" s="18">
        <v>0</v>
      </c>
      <c r="G57" s="18">
        <v>0</v>
      </c>
      <c r="H57" s="18">
        <v>36</v>
      </c>
      <c r="I57" s="18">
        <v>3.5999999999999997E-2</v>
      </c>
      <c r="J57" s="125">
        <v>26</v>
      </c>
      <c r="K57" s="3">
        <v>10</v>
      </c>
      <c r="L57" s="3">
        <v>10</v>
      </c>
      <c r="M57" s="3">
        <v>20</v>
      </c>
      <c r="N57" s="3">
        <v>-2.5</v>
      </c>
      <c r="O57" s="3">
        <v>0.52500000000000002</v>
      </c>
      <c r="P57" s="3">
        <v>19.012499999999999</v>
      </c>
      <c r="Q57" s="18">
        <v>7.6049999999999993E-2</v>
      </c>
      <c r="R57" s="18">
        <v>0.14449499999999998</v>
      </c>
    </row>
    <row r="58" spans="2:18" x14ac:dyDescent="0.25">
      <c r="B58" s="18">
        <v>30</v>
      </c>
      <c r="C58" s="18" t="s">
        <v>152</v>
      </c>
      <c r="D58" s="3">
        <v>1.9</v>
      </c>
      <c r="E58" s="3">
        <v>10.5</v>
      </c>
      <c r="F58" s="18">
        <v>0</v>
      </c>
      <c r="G58" s="18">
        <v>0</v>
      </c>
      <c r="H58" s="18">
        <v>80</v>
      </c>
      <c r="I58" s="18">
        <v>0.08</v>
      </c>
      <c r="J58" s="125">
        <v>29</v>
      </c>
      <c r="K58" s="3">
        <v>10</v>
      </c>
      <c r="L58" s="3">
        <v>10</v>
      </c>
      <c r="M58" s="3">
        <v>20</v>
      </c>
      <c r="N58" s="3">
        <v>-2.5</v>
      </c>
      <c r="O58" s="3">
        <v>0.52500000000000002</v>
      </c>
      <c r="P58" s="3">
        <v>19.012499999999999</v>
      </c>
      <c r="Q58" s="18">
        <v>7.6049999999999993E-2</v>
      </c>
      <c r="R58" s="18">
        <v>0.14449499999999998</v>
      </c>
    </row>
    <row r="59" spans="2:18" x14ac:dyDescent="0.25">
      <c r="B59" s="18">
        <v>30</v>
      </c>
      <c r="C59" s="18" t="s">
        <v>152</v>
      </c>
      <c r="D59" s="3">
        <v>1.9</v>
      </c>
      <c r="E59" s="3">
        <v>10.5</v>
      </c>
      <c r="F59" s="18">
        <v>0</v>
      </c>
      <c r="G59" s="18">
        <v>0</v>
      </c>
      <c r="H59" s="18">
        <v>70</v>
      </c>
      <c r="I59" s="18">
        <v>7.0000000000000007E-2</v>
      </c>
      <c r="J59" s="125">
        <v>28</v>
      </c>
      <c r="K59" s="3">
        <v>10</v>
      </c>
      <c r="L59" s="3">
        <v>10</v>
      </c>
      <c r="M59" s="3">
        <v>20</v>
      </c>
      <c r="N59" s="3">
        <v>-2.5</v>
      </c>
      <c r="O59" s="3">
        <v>0.52500000000000002</v>
      </c>
      <c r="P59" s="3">
        <v>19.012499999999999</v>
      </c>
      <c r="Q59" s="18">
        <v>7.6049999999999993E-2</v>
      </c>
      <c r="R59" s="18">
        <v>0.14449499999999998</v>
      </c>
    </row>
    <row r="60" spans="2:18" x14ac:dyDescent="0.25">
      <c r="B60" s="18">
        <v>30</v>
      </c>
      <c r="C60" s="18" t="s">
        <v>152</v>
      </c>
      <c r="D60" s="3">
        <v>1.9</v>
      </c>
      <c r="E60" s="3">
        <v>10.5</v>
      </c>
      <c r="F60" s="18">
        <v>0</v>
      </c>
      <c r="G60" s="18">
        <v>0</v>
      </c>
      <c r="H60" s="18">
        <v>56</v>
      </c>
      <c r="I60" s="18">
        <v>5.6000000000000001E-2</v>
      </c>
      <c r="J60" s="125">
        <v>26</v>
      </c>
      <c r="K60" s="3">
        <v>10</v>
      </c>
      <c r="L60" s="3">
        <v>10</v>
      </c>
      <c r="M60" s="3">
        <v>20</v>
      </c>
      <c r="N60" s="3">
        <v>-2.5</v>
      </c>
      <c r="O60" s="3">
        <v>0.52500000000000002</v>
      </c>
      <c r="P60" s="3">
        <v>19.012499999999999</v>
      </c>
      <c r="Q60" s="18">
        <v>7.6049999999999993E-2</v>
      </c>
      <c r="R60" s="18">
        <v>0.14449499999999998</v>
      </c>
    </row>
    <row r="61" spans="2:18" x14ac:dyDescent="0.25">
      <c r="B61" s="18">
        <v>30</v>
      </c>
      <c r="C61" s="18" t="s">
        <v>152</v>
      </c>
      <c r="D61" s="3">
        <v>1.9</v>
      </c>
      <c r="E61" s="3">
        <v>10.5</v>
      </c>
      <c r="F61" s="18">
        <v>0</v>
      </c>
      <c r="G61" s="18">
        <v>0</v>
      </c>
      <c r="H61" s="18">
        <v>44</v>
      </c>
      <c r="I61" s="18">
        <v>4.3999999999999997E-2</v>
      </c>
      <c r="J61" s="125">
        <v>26</v>
      </c>
      <c r="K61" s="3">
        <v>10</v>
      </c>
      <c r="L61" s="3">
        <v>10</v>
      </c>
      <c r="M61" s="3">
        <v>20</v>
      </c>
      <c r="N61" s="3">
        <v>-2.5</v>
      </c>
      <c r="O61" s="3">
        <v>0.52500000000000002</v>
      </c>
      <c r="P61" s="3">
        <v>19.012499999999999</v>
      </c>
      <c r="Q61" s="18">
        <v>7.6049999999999993E-2</v>
      </c>
      <c r="R61" s="18">
        <v>0.14449499999999998</v>
      </c>
    </row>
    <row r="62" spans="2:18" x14ac:dyDescent="0.25">
      <c r="B62" s="18">
        <v>30</v>
      </c>
      <c r="C62" s="18" t="s">
        <v>152</v>
      </c>
      <c r="D62" s="3">
        <v>1.9</v>
      </c>
      <c r="E62" s="3">
        <v>10.5</v>
      </c>
      <c r="F62" s="18">
        <v>0</v>
      </c>
      <c r="G62" s="18">
        <v>0</v>
      </c>
      <c r="H62" s="18">
        <v>53.333333333333336</v>
      </c>
      <c r="I62" s="18">
        <v>5.3333333333333337E-2</v>
      </c>
      <c r="J62" s="125">
        <v>26</v>
      </c>
      <c r="K62" s="3">
        <v>10</v>
      </c>
      <c r="L62" s="3">
        <v>10</v>
      </c>
      <c r="M62" s="3">
        <v>20</v>
      </c>
      <c r="N62" s="3">
        <v>-2.5</v>
      </c>
      <c r="O62" s="3">
        <v>0.52500000000000002</v>
      </c>
      <c r="P62" s="3">
        <v>19.012499999999999</v>
      </c>
      <c r="Q62" s="18">
        <v>7.6049999999999993E-2</v>
      </c>
      <c r="R62" s="18">
        <v>0.14449499999999998</v>
      </c>
    </row>
    <row r="63" spans="2:18" x14ac:dyDescent="0.25">
      <c r="B63" s="18">
        <v>30</v>
      </c>
      <c r="C63" s="18" t="s">
        <v>152</v>
      </c>
      <c r="D63" s="3">
        <v>1.9</v>
      </c>
      <c r="E63" s="3">
        <v>10.5</v>
      </c>
      <c r="F63" s="18"/>
      <c r="G63" s="18">
        <v>0</v>
      </c>
      <c r="H63" s="18"/>
      <c r="I63" s="18">
        <v>0</v>
      </c>
      <c r="J63" s="125">
        <v>27</v>
      </c>
      <c r="K63" s="3">
        <v>10</v>
      </c>
      <c r="L63" s="3">
        <v>10</v>
      </c>
      <c r="M63" s="3">
        <v>20</v>
      </c>
      <c r="N63" s="3">
        <v>-2.5</v>
      </c>
      <c r="O63" s="3">
        <v>0.52500000000000002</v>
      </c>
      <c r="P63" s="3">
        <v>19.012499999999999</v>
      </c>
      <c r="Q63" s="18">
        <v>7.6049999999999993E-2</v>
      </c>
      <c r="R63" s="18">
        <v>0.14449499999999998</v>
      </c>
    </row>
    <row r="64" spans="2:18" x14ac:dyDescent="0.25">
      <c r="B64" s="18">
        <v>30</v>
      </c>
      <c r="C64" s="18" t="s">
        <v>152</v>
      </c>
      <c r="D64" s="3">
        <v>1.9</v>
      </c>
      <c r="E64" s="3">
        <v>10.5</v>
      </c>
      <c r="F64" s="18"/>
      <c r="G64" s="18">
        <v>0</v>
      </c>
      <c r="H64" s="18"/>
      <c r="I64" s="18">
        <v>0</v>
      </c>
      <c r="J64" s="125">
        <v>27</v>
      </c>
      <c r="K64" s="3">
        <v>10</v>
      </c>
      <c r="L64" s="3">
        <v>10</v>
      </c>
      <c r="M64" s="3">
        <v>20</v>
      </c>
      <c r="N64" s="3">
        <v>-2.5</v>
      </c>
      <c r="O64" s="3">
        <v>0.52500000000000002</v>
      </c>
      <c r="P64" s="3">
        <v>19.012499999999999</v>
      </c>
      <c r="Q64" s="18">
        <v>7.6049999999999993E-2</v>
      </c>
      <c r="R64" s="18">
        <v>0.14449499999999998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9B7B-5559-4CB0-8FBB-85CDC2864312}">
  <sheetPr codeName="Planilha18">
    <tabColor rgb="FFEEDFAA"/>
  </sheetPr>
  <dimension ref="B3:R184"/>
  <sheetViews>
    <sheetView topLeftCell="A6" zoomScale="85" zoomScaleNormal="85" workbookViewId="0">
      <selection activeCell="V24" sqref="V24"/>
    </sheetView>
  </sheetViews>
  <sheetFormatPr defaultColWidth="8.85546875" defaultRowHeight="15" x14ac:dyDescent="0.25"/>
  <cols>
    <col min="10" max="10" width="12.7109375" bestFit="1" customWidth="1"/>
    <col min="18" max="18" width="15" customWidth="1"/>
  </cols>
  <sheetData>
    <row r="3" spans="2:18" ht="75" x14ac:dyDescent="0.25">
      <c r="B3" s="46" t="s">
        <v>131</v>
      </c>
      <c r="C3" s="30" t="s">
        <v>155</v>
      </c>
      <c r="D3" s="51" t="s">
        <v>627</v>
      </c>
      <c r="E3" s="51" t="s">
        <v>628</v>
      </c>
      <c r="F3" s="83" t="s">
        <v>575</v>
      </c>
      <c r="G3" s="83" t="s">
        <v>11</v>
      </c>
      <c r="H3" s="83" t="s">
        <v>285</v>
      </c>
      <c r="I3" s="83" t="s">
        <v>626</v>
      </c>
      <c r="J3" s="124" t="s">
        <v>194</v>
      </c>
      <c r="K3" s="46" t="s">
        <v>592</v>
      </c>
      <c r="L3" s="46" t="s">
        <v>593</v>
      </c>
      <c r="M3" s="46" t="s">
        <v>594</v>
      </c>
      <c r="N3" s="46" t="s">
        <v>595</v>
      </c>
      <c r="O3" s="46" t="s">
        <v>596</v>
      </c>
      <c r="P3" s="46" t="s">
        <v>630</v>
      </c>
      <c r="Q3" s="46" t="s">
        <v>629</v>
      </c>
      <c r="R3" s="46" t="s">
        <v>631</v>
      </c>
    </row>
    <row r="4" spans="2:18" x14ac:dyDescent="0.25">
      <c r="B4" s="18">
        <v>40</v>
      </c>
      <c r="C4" s="18" t="s">
        <v>153</v>
      </c>
      <c r="D4" s="3">
        <v>2.14</v>
      </c>
      <c r="E4" s="3">
        <v>31.3</v>
      </c>
      <c r="F4" s="18">
        <v>0.3</v>
      </c>
      <c r="G4" s="18">
        <v>60</v>
      </c>
      <c r="H4" s="3">
        <v>126.66666666666667</v>
      </c>
      <c r="I4" s="3">
        <v>0.12666666666666668</v>
      </c>
      <c r="J4" s="126">
        <v>45</v>
      </c>
      <c r="K4" s="3">
        <v>30</v>
      </c>
      <c r="L4" s="3">
        <v>20</v>
      </c>
      <c r="M4" s="3">
        <v>20</v>
      </c>
      <c r="N4" s="3">
        <v>3.5</v>
      </c>
      <c r="O4" s="3">
        <v>1.5650000000000002</v>
      </c>
      <c r="P4" s="3">
        <v>37.532499999999999</v>
      </c>
      <c r="Q4" s="3">
        <v>0.15012999999999999</v>
      </c>
      <c r="R4" s="3">
        <v>0.32127820000000001</v>
      </c>
    </row>
    <row r="5" spans="2:18" x14ac:dyDescent="0.25">
      <c r="B5" s="18">
        <v>40</v>
      </c>
      <c r="C5" s="18" t="s">
        <v>153</v>
      </c>
      <c r="D5" s="3">
        <v>2.14</v>
      </c>
      <c r="E5" s="3">
        <v>31.3</v>
      </c>
      <c r="F5" s="18">
        <v>0.5</v>
      </c>
      <c r="G5" s="18">
        <v>100</v>
      </c>
      <c r="H5" s="3">
        <v>140</v>
      </c>
      <c r="I5" s="3">
        <v>0.14000000000000001</v>
      </c>
      <c r="J5" s="126">
        <v>50</v>
      </c>
      <c r="K5" s="3">
        <v>30</v>
      </c>
      <c r="L5" s="3">
        <v>20</v>
      </c>
      <c r="M5" s="3">
        <v>20</v>
      </c>
      <c r="N5" s="3">
        <v>3.5</v>
      </c>
      <c r="O5" s="3">
        <v>1.5650000000000002</v>
      </c>
      <c r="P5" s="3">
        <v>37.532499999999999</v>
      </c>
      <c r="Q5" s="3">
        <v>0.15012999999999999</v>
      </c>
      <c r="R5" s="3">
        <v>0.32127820000000001</v>
      </c>
    </row>
    <row r="6" spans="2:18" x14ac:dyDescent="0.25">
      <c r="B6" s="18">
        <v>40</v>
      </c>
      <c r="C6" s="18" t="s">
        <v>153</v>
      </c>
      <c r="D6" s="3">
        <v>2.14</v>
      </c>
      <c r="E6" s="3">
        <v>31.3</v>
      </c>
      <c r="F6" s="18">
        <v>0</v>
      </c>
      <c r="G6" s="18">
        <v>0</v>
      </c>
      <c r="H6" s="3">
        <v>19</v>
      </c>
      <c r="I6" s="3">
        <v>1.9E-2</v>
      </c>
      <c r="J6" s="126">
        <v>19</v>
      </c>
      <c r="K6" s="3">
        <v>10</v>
      </c>
      <c r="L6" s="3">
        <v>10</v>
      </c>
      <c r="M6" s="3">
        <v>20</v>
      </c>
      <c r="N6" s="3">
        <v>3.5</v>
      </c>
      <c r="O6" s="3">
        <v>1.5650000000000002</v>
      </c>
      <c r="P6" s="3">
        <v>22.532499999999999</v>
      </c>
      <c r="Q6" s="3">
        <v>9.0130000000000002E-2</v>
      </c>
      <c r="R6" s="3">
        <v>0.19287820000000003</v>
      </c>
    </row>
    <row r="7" spans="2:18" x14ac:dyDescent="0.25">
      <c r="B7" s="18">
        <v>40</v>
      </c>
      <c r="C7" s="18" t="s">
        <v>153</v>
      </c>
      <c r="D7" s="3">
        <v>2.14</v>
      </c>
      <c r="E7" s="3">
        <v>31.3</v>
      </c>
      <c r="F7" s="18">
        <v>0.11</v>
      </c>
      <c r="G7" s="18">
        <v>22</v>
      </c>
      <c r="H7" s="3">
        <v>76.666666666666671</v>
      </c>
      <c r="I7" s="3">
        <v>7.6666666666666675E-2</v>
      </c>
      <c r="J7" s="126">
        <v>32</v>
      </c>
      <c r="K7" s="3">
        <v>20</v>
      </c>
      <c r="L7" s="3">
        <v>10</v>
      </c>
      <c r="M7" s="3">
        <v>20</v>
      </c>
      <c r="N7" s="3">
        <v>3.5</v>
      </c>
      <c r="O7" s="3">
        <v>1.5650000000000002</v>
      </c>
      <c r="P7" s="3">
        <v>27.532499999999999</v>
      </c>
      <c r="Q7" s="3">
        <v>0.11012999999999999</v>
      </c>
      <c r="R7" s="3">
        <v>0.2356782</v>
      </c>
    </row>
    <row r="8" spans="2:18" x14ac:dyDescent="0.25">
      <c r="B8" s="18">
        <v>40</v>
      </c>
      <c r="C8" s="18" t="s">
        <v>153</v>
      </c>
      <c r="D8" s="3">
        <v>2.14</v>
      </c>
      <c r="E8" s="3">
        <v>31.3</v>
      </c>
      <c r="F8" s="18">
        <v>0.21000000000000002</v>
      </c>
      <c r="G8" s="18">
        <v>42.000000000000007</v>
      </c>
      <c r="H8" s="3">
        <v>86</v>
      </c>
      <c r="I8" s="3">
        <v>8.5999999999999993E-2</v>
      </c>
      <c r="J8" s="126">
        <v>36</v>
      </c>
      <c r="K8" s="3">
        <v>20</v>
      </c>
      <c r="L8" s="3">
        <v>10</v>
      </c>
      <c r="M8" s="3">
        <v>20</v>
      </c>
      <c r="N8" s="3">
        <v>3.5</v>
      </c>
      <c r="O8" s="3">
        <v>1.5650000000000002</v>
      </c>
      <c r="P8" s="3">
        <v>27.532499999999999</v>
      </c>
      <c r="Q8" s="3">
        <v>0.11012999999999999</v>
      </c>
      <c r="R8" s="3">
        <v>0.2356782</v>
      </c>
    </row>
    <row r="9" spans="2:18" x14ac:dyDescent="0.25">
      <c r="B9" s="18">
        <v>40</v>
      </c>
      <c r="C9" s="18" t="s">
        <v>153</v>
      </c>
      <c r="D9" s="3">
        <v>2.14</v>
      </c>
      <c r="E9" s="3">
        <v>31.3</v>
      </c>
      <c r="F9" s="18">
        <v>0.28000000000000003</v>
      </c>
      <c r="G9" s="18">
        <v>56.000000000000007</v>
      </c>
      <c r="H9" s="3">
        <v>112.5</v>
      </c>
      <c r="I9" s="3">
        <v>0.1125</v>
      </c>
      <c r="J9" s="126">
        <v>44</v>
      </c>
      <c r="K9" s="3">
        <v>30</v>
      </c>
      <c r="L9" s="3">
        <v>20</v>
      </c>
      <c r="M9" s="3">
        <v>20</v>
      </c>
      <c r="N9" s="3">
        <v>3.5</v>
      </c>
      <c r="O9" s="3">
        <v>1.5650000000000002</v>
      </c>
      <c r="P9" s="3">
        <v>37.532499999999999</v>
      </c>
      <c r="Q9" s="3">
        <v>0.15012999999999999</v>
      </c>
      <c r="R9" s="3">
        <v>0.32127820000000001</v>
      </c>
    </row>
    <row r="10" spans="2:18" x14ac:dyDescent="0.25">
      <c r="B10" s="18">
        <v>40</v>
      </c>
      <c r="C10" s="18" t="s">
        <v>153</v>
      </c>
      <c r="D10" s="3">
        <v>2.14</v>
      </c>
      <c r="E10" s="3">
        <v>31.3</v>
      </c>
      <c r="F10" s="18">
        <v>0.31</v>
      </c>
      <c r="G10" s="18">
        <v>62</v>
      </c>
      <c r="H10" s="3">
        <v>235</v>
      </c>
      <c r="I10" s="3">
        <v>0.23499999999999999</v>
      </c>
      <c r="J10" s="126">
        <v>49</v>
      </c>
      <c r="K10" s="3">
        <v>30</v>
      </c>
      <c r="L10" s="3">
        <v>20</v>
      </c>
      <c r="M10" s="3">
        <v>20</v>
      </c>
      <c r="N10" s="3">
        <v>3.5</v>
      </c>
      <c r="O10" s="3">
        <v>1.5650000000000002</v>
      </c>
      <c r="P10" s="3">
        <v>37.532499999999999</v>
      </c>
      <c r="Q10" s="3">
        <v>0.15012999999999999</v>
      </c>
      <c r="R10" s="3">
        <v>0.32127820000000001</v>
      </c>
    </row>
    <row r="11" spans="2:18" x14ac:dyDescent="0.25">
      <c r="B11" s="18">
        <v>40</v>
      </c>
      <c r="C11" s="18" t="s">
        <v>153</v>
      </c>
      <c r="D11" s="3">
        <v>2.14</v>
      </c>
      <c r="E11" s="3">
        <v>31.3</v>
      </c>
      <c r="F11" s="18">
        <v>0.16</v>
      </c>
      <c r="G11" s="18">
        <v>32</v>
      </c>
      <c r="H11" s="3">
        <v>70</v>
      </c>
      <c r="I11" s="3">
        <v>7.0000000000000007E-2</v>
      </c>
      <c r="J11" s="126">
        <v>31</v>
      </c>
      <c r="K11" s="3">
        <v>20</v>
      </c>
      <c r="L11" s="3">
        <v>10</v>
      </c>
      <c r="M11" s="3">
        <v>20</v>
      </c>
      <c r="N11" s="3">
        <v>3.5</v>
      </c>
      <c r="O11" s="3">
        <v>1.5650000000000002</v>
      </c>
      <c r="P11" s="3">
        <v>27.532499999999999</v>
      </c>
      <c r="Q11" s="3">
        <v>0.11012999999999999</v>
      </c>
      <c r="R11" s="3">
        <v>0.2356782</v>
      </c>
    </row>
    <row r="12" spans="2:18" x14ac:dyDescent="0.25">
      <c r="B12" s="18">
        <v>40</v>
      </c>
      <c r="C12" s="18" t="s">
        <v>153</v>
      </c>
      <c r="D12" s="3">
        <v>2.14</v>
      </c>
      <c r="E12" s="3">
        <v>31.3</v>
      </c>
      <c r="F12" s="18">
        <v>0.21</v>
      </c>
      <c r="G12" s="18">
        <v>42</v>
      </c>
      <c r="H12" s="3">
        <v>102.5</v>
      </c>
      <c r="I12" s="3">
        <v>0.10249999999999999</v>
      </c>
      <c r="J12" s="126">
        <v>39</v>
      </c>
      <c r="K12" s="3">
        <v>20</v>
      </c>
      <c r="L12" s="3">
        <v>20</v>
      </c>
      <c r="M12" s="3">
        <v>20</v>
      </c>
      <c r="N12" s="3">
        <v>3.5</v>
      </c>
      <c r="O12" s="3">
        <v>1.5650000000000002</v>
      </c>
      <c r="P12" s="3">
        <v>32.532499999999999</v>
      </c>
      <c r="Q12" s="3">
        <v>0.13013</v>
      </c>
      <c r="R12" s="3">
        <v>0.27847820000000001</v>
      </c>
    </row>
    <row r="13" spans="2:18" x14ac:dyDescent="0.25">
      <c r="B13" s="18">
        <v>40</v>
      </c>
      <c r="C13" s="18" t="s">
        <v>153</v>
      </c>
      <c r="D13" s="3">
        <v>2.14</v>
      </c>
      <c r="E13" s="3">
        <v>31.3</v>
      </c>
      <c r="F13" s="18">
        <v>0.25</v>
      </c>
      <c r="G13" s="18">
        <v>50</v>
      </c>
      <c r="H13" s="3">
        <v>107.5</v>
      </c>
      <c r="I13" s="3">
        <v>0.1075</v>
      </c>
      <c r="J13" s="126">
        <v>49</v>
      </c>
      <c r="K13" s="3">
        <v>30</v>
      </c>
      <c r="L13" s="3">
        <v>20</v>
      </c>
      <c r="M13" s="3">
        <v>20</v>
      </c>
      <c r="N13" s="3">
        <v>3.5</v>
      </c>
      <c r="O13" s="3">
        <v>1.5650000000000002</v>
      </c>
      <c r="P13" s="3">
        <v>37.532499999999999</v>
      </c>
      <c r="Q13" s="3">
        <v>0.15012999999999999</v>
      </c>
      <c r="R13" s="3">
        <v>0.32127820000000001</v>
      </c>
    </row>
    <row r="14" spans="2:18" x14ac:dyDescent="0.25">
      <c r="B14" s="18">
        <v>40</v>
      </c>
      <c r="C14" s="18" t="s">
        <v>153</v>
      </c>
      <c r="D14" s="3">
        <v>2.14</v>
      </c>
      <c r="E14" s="3">
        <v>31.3</v>
      </c>
      <c r="F14" s="18">
        <v>0.19</v>
      </c>
      <c r="G14" s="18">
        <v>38</v>
      </c>
      <c r="H14" s="3">
        <v>44</v>
      </c>
      <c r="I14" s="3">
        <v>4.3999999999999997E-2</v>
      </c>
      <c r="J14" s="126">
        <v>43</v>
      </c>
      <c r="K14" s="3">
        <v>30</v>
      </c>
      <c r="L14" s="3">
        <v>10</v>
      </c>
      <c r="M14" s="3">
        <v>20</v>
      </c>
      <c r="N14" s="3">
        <v>3.5</v>
      </c>
      <c r="O14" s="3">
        <v>1.5650000000000002</v>
      </c>
      <c r="P14" s="3">
        <v>32.532499999999999</v>
      </c>
      <c r="Q14" s="3">
        <v>0.13013</v>
      </c>
      <c r="R14" s="3">
        <v>0.27847820000000001</v>
      </c>
    </row>
    <row r="15" spans="2:18" x14ac:dyDescent="0.25">
      <c r="B15" s="18">
        <v>40</v>
      </c>
      <c r="C15" s="18" t="s">
        <v>153</v>
      </c>
      <c r="D15" s="3">
        <v>2.14</v>
      </c>
      <c r="E15" s="3">
        <v>31.3</v>
      </c>
      <c r="F15" s="18">
        <v>0.11</v>
      </c>
      <c r="G15" s="18">
        <v>22</v>
      </c>
      <c r="H15" s="3">
        <v>46</v>
      </c>
      <c r="I15" s="3">
        <v>4.5999999999999999E-2</v>
      </c>
      <c r="J15" s="126">
        <v>38</v>
      </c>
      <c r="K15" s="3">
        <v>20</v>
      </c>
      <c r="L15" s="3">
        <v>10</v>
      </c>
      <c r="M15" s="3">
        <v>20</v>
      </c>
      <c r="N15" s="3">
        <v>3.5</v>
      </c>
      <c r="O15" s="3">
        <v>1.5650000000000002</v>
      </c>
      <c r="P15" s="3">
        <v>27.532499999999999</v>
      </c>
      <c r="Q15" s="3">
        <v>0.11012999999999999</v>
      </c>
      <c r="R15" s="3">
        <v>0.2356782</v>
      </c>
    </row>
    <row r="16" spans="2:18" x14ac:dyDescent="0.25">
      <c r="B16" s="18">
        <v>40</v>
      </c>
      <c r="C16" s="18" t="s">
        <v>153</v>
      </c>
      <c r="D16" s="3">
        <v>2.14</v>
      </c>
      <c r="E16" s="3">
        <v>31.3</v>
      </c>
      <c r="F16" s="18">
        <v>0.12</v>
      </c>
      <c r="G16" s="18">
        <v>24</v>
      </c>
      <c r="H16" s="3">
        <v>73.333333333333329</v>
      </c>
      <c r="I16" s="3">
        <v>7.3333333333333334E-2</v>
      </c>
      <c r="J16" s="126">
        <v>25</v>
      </c>
      <c r="K16" s="3">
        <v>10</v>
      </c>
      <c r="L16" s="3">
        <v>10</v>
      </c>
      <c r="M16" s="3">
        <v>20</v>
      </c>
      <c r="N16" s="3">
        <v>3.5</v>
      </c>
      <c r="O16" s="3">
        <v>1.5650000000000002</v>
      </c>
      <c r="P16" s="3">
        <v>22.532499999999999</v>
      </c>
      <c r="Q16" s="3">
        <v>9.0130000000000002E-2</v>
      </c>
      <c r="R16" s="3">
        <v>0.19287820000000003</v>
      </c>
    </row>
    <row r="17" spans="2:18" x14ac:dyDescent="0.25">
      <c r="B17" s="18">
        <v>40</v>
      </c>
      <c r="C17" s="18" t="s">
        <v>153</v>
      </c>
      <c r="D17" s="3">
        <v>2.14</v>
      </c>
      <c r="E17" s="3">
        <v>31.3</v>
      </c>
      <c r="F17" s="18">
        <v>0.14000000000000001</v>
      </c>
      <c r="G17" s="18">
        <v>28.000000000000004</v>
      </c>
      <c r="H17" s="3">
        <v>140</v>
      </c>
      <c r="I17" s="3">
        <v>0.14000000000000001</v>
      </c>
      <c r="J17" s="126">
        <v>30</v>
      </c>
      <c r="K17" s="3">
        <v>20</v>
      </c>
      <c r="L17" s="3">
        <v>20</v>
      </c>
      <c r="M17" s="3">
        <v>20</v>
      </c>
      <c r="N17" s="3">
        <v>3.5</v>
      </c>
      <c r="O17" s="3">
        <v>1.5650000000000002</v>
      </c>
      <c r="P17" s="3">
        <v>32.532499999999999</v>
      </c>
      <c r="Q17" s="3">
        <v>0.13013</v>
      </c>
      <c r="R17" s="3">
        <v>0.27847820000000001</v>
      </c>
    </row>
    <row r="18" spans="2:18" x14ac:dyDescent="0.25">
      <c r="B18" s="18">
        <v>40</v>
      </c>
      <c r="C18" s="18" t="s">
        <v>153</v>
      </c>
      <c r="D18" s="3">
        <v>2.14</v>
      </c>
      <c r="E18" s="3">
        <v>31.3</v>
      </c>
      <c r="F18" s="18">
        <v>0.22</v>
      </c>
      <c r="G18" s="18">
        <v>44</v>
      </c>
      <c r="H18" s="3">
        <v>70</v>
      </c>
      <c r="I18" s="3">
        <v>7.0000000000000007E-2</v>
      </c>
      <c r="J18" s="126">
        <v>40</v>
      </c>
      <c r="K18" s="3">
        <v>20</v>
      </c>
      <c r="L18" s="3">
        <v>10</v>
      </c>
      <c r="M18" s="3">
        <v>20</v>
      </c>
      <c r="N18" s="3">
        <v>3.5</v>
      </c>
      <c r="O18" s="3">
        <v>1.5650000000000002</v>
      </c>
      <c r="P18" s="3">
        <v>27.532499999999999</v>
      </c>
      <c r="Q18" s="3">
        <v>0.11012999999999999</v>
      </c>
      <c r="R18" s="3">
        <v>0.2356782</v>
      </c>
    </row>
    <row r="19" spans="2:18" x14ac:dyDescent="0.25">
      <c r="B19" s="18">
        <v>40</v>
      </c>
      <c r="C19" s="18" t="s">
        <v>153</v>
      </c>
      <c r="D19" s="3">
        <v>2.14</v>
      </c>
      <c r="E19" s="3">
        <v>31.3</v>
      </c>
      <c r="F19" s="18">
        <v>0.2</v>
      </c>
      <c r="G19" s="18">
        <v>40</v>
      </c>
      <c r="H19" s="3">
        <v>92.5</v>
      </c>
      <c r="I19" s="3">
        <v>9.2499999999999999E-2</v>
      </c>
      <c r="J19" s="126">
        <v>43</v>
      </c>
      <c r="K19" s="3">
        <v>30</v>
      </c>
      <c r="L19" s="3">
        <v>10</v>
      </c>
      <c r="M19" s="3">
        <v>20</v>
      </c>
      <c r="N19" s="3">
        <v>3.5</v>
      </c>
      <c r="O19" s="3">
        <v>1.5650000000000002</v>
      </c>
      <c r="P19" s="3">
        <v>32.532499999999999</v>
      </c>
      <c r="Q19" s="3">
        <v>0.13013</v>
      </c>
      <c r="R19" s="3">
        <v>0.27847820000000001</v>
      </c>
    </row>
    <row r="20" spans="2:18" x14ac:dyDescent="0.25">
      <c r="B20" s="18">
        <v>40</v>
      </c>
      <c r="C20" s="18" t="s">
        <v>153</v>
      </c>
      <c r="D20" s="3">
        <v>2.14</v>
      </c>
      <c r="E20" s="3">
        <v>31.3</v>
      </c>
      <c r="F20" s="18">
        <v>0</v>
      </c>
      <c r="G20" s="18">
        <v>0</v>
      </c>
      <c r="H20" s="3">
        <v>48.571428571428569</v>
      </c>
      <c r="I20" s="3">
        <v>4.8571428571428571E-2</v>
      </c>
      <c r="J20" s="126">
        <v>30</v>
      </c>
      <c r="K20" s="3">
        <v>20</v>
      </c>
      <c r="L20" s="3">
        <v>10</v>
      </c>
      <c r="M20" s="3">
        <v>20</v>
      </c>
      <c r="N20" s="3">
        <v>3.5</v>
      </c>
      <c r="O20" s="3">
        <v>1.5650000000000002</v>
      </c>
      <c r="P20" s="3">
        <v>27.532499999999999</v>
      </c>
      <c r="Q20" s="3">
        <v>0.11012999999999999</v>
      </c>
      <c r="R20" s="3">
        <v>0.2356782</v>
      </c>
    </row>
    <row r="21" spans="2:18" x14ac:dyDescent="0.25">
      <c r="B21" s="18">
        <v>40</v>
      </c>
      <c r="C21" s="18" t="s">
        <v>153</v>
      </c>
      <c r="D21" s="3">
        <v>2.14</v>
      </c>
      <c r="E21" s="3">
        <v>31.3</v>
      </c>
      <c r="F21" s="18">
        <v>0.27</v>
      </c>
      <c r="G21" s="18">
        <v>54</v>
      </c>
      <c r="H21" s="3">
        <v>81.666666666666671</v>
      </c>
      <c r="I21" s="3">
        <v>8.1666666666666665E-2</v>
      </c>
      <c r="J21" s="126">
        <v>41</v>
      </c>
      <c r="K21" s="3">
        <v>20</v>
      </c>
      <c r="L21" s="3">
        <v>10</v>
      </c>
      <c r="M21" s="3">
        <v>20</v>
      </c>
      <c r="N21" s="3">
        <v>3.5</v>
      </c>
      <c r="O21" s="3">
        <v>1.5650000000000002</v>
      </c>
      <c r="P21" s="3">
        <v>27.532499999999999</v>
      </c>
      <c r="Q21" s="3">
        <v>0.11012999999999999</v>
      </c>
      <c r="R21" s="3">
        <v>0.2356782</v>
      </c>
    </row>
    <row r="22" spans="2:18" x14ac:dyDescent="0.25">
      <c r="B22" s="18">
        <v>40</v>
      </c>
      <c r="C22" s="18" t="s">
        <v>153</v>
      </c>
      <c r="D22" s="3">
        <v>2.14</v>
      </c>
      <c r="E22" s="3">
        <v>31.3</v>
      </c>
      <c r="F22" s="18">
        <v>0.12</v>
      </c>
      <c r="G22" s="18">
        <v>24</v>
      </c>
      <c r="H22" s="3">
        <v>93.333333333333329</v>
      </c>
      <c r="I22" s="3">
        <v>9.3333333333333324E-2</v>
      </c>
      <c r="J22" s="126">
        <v>33</v>
      </c>
      <c r="K22" s="3">
        <v>20</v>
      </c>
      <c r="L22" s="3">
        <v>10</v>
      </c>
      <c r="M22" s="3">
        <v>20</v>
      </c>
      <c r="N22" s="3">
        <v>3.5</v>
      </c>
      <c r="O22" s="3">
        <v>1.5650000000000002</v>
      </c>
      <c r="P22" s="3">
        <v>27.532499999999999</v>
      </c>
      <c r="Q22" s="3">
        <v>0.11012999999999999</v>
      </c>
      <c r="R22" s="3">
        <v>0.2356782</v>
      </c>
    </row>
    <row r="23" spans="2:18" x14ac:dyDescent="0.25">
      <c r="B23" s="18">
        <v>40</v>
      </c>
      <c r="C23" s="18" t="s">
        <v>153</v>
      </c>
      <c r="D23" s="3">
        <v>2.14</v>
      </c>
      <c r="E23" s="3">
        <v>31.3</v>
      </c>
      <c r="F23" s="18">
        <v>0</v>
      </c>
      <c r="G23" s="18">
        <v>0</v>
      </c>
      <c r="H23" s="3">
        <v>55</v>
      </c>
      <c r="I23" s="3">
        <v>5.5E-2</v>
      </c>
      <c r="J23" s="126">
        <v>24</v>
      </c>
      <c r="K23" s="3">
        <v>10</v>
      </c>
      <c r="L23" s="3">
        <v>10</v>
      </c>
      <c r="M23" s="3">
        <v>20</v>
      </c>
      <c r="N23" s="3">
        <v>3.5</v>
      </c>
      <c r="O23" s="3">
        <v>1.5650000000000002</v>
      </c>
      <c r="P23" s="3">
        <v>22.532499999999999</v>
      </c>
      <c r="Q23" s="3">
        <v>9.0130000000000002E-2</v>
      </c>
      <c r="R23" s="3">
        <v>0.19287820000000003</v>
      </c>
    </row>
    <row r="24" spans="2:18" x14ac:dyDescent="0.25">
      <c r="B24" s="18">
        <v>40</v>
      </c>
      <c r="C24" s="18" t="s">
        <v>153</v>
      </c>
      <c r="D24" s="3">
        <v>2.14</v>
      </c>
      <c r="E24" s="3">
        <v>31.3</v>
      </c>
      <c r="F24" s="18">
        <v>0</v>
      </c>
      <c r="G24" s="18">
        <v>0</v>
      </c>
      <c r="H24" s="3">
        <v>19</v>
      </c>
      <c r="I24" s="3">
        <v>1.9E-2</v>
      </c>
      <c r="J24" s="126">
        <v>23</v>
      </c>
      <c r="K24" s="3">
        <v>10</v>
      </c>
      <c r="L24" s="3">
        <v>10</v>
      </c>
      <c r="M24" s="3">
        <v>20</v>
      </c>
      <c r="N24" s="3">
        <v>3.5</v>
      </c>
      <c r="O24" s="3">
        <v>1.5650000000000002</v>
      </c>
      <c r="P24" s="3">
        <v>22.532499999999999</v>
      </c>
      <c r="Q24" s="3">
        <v>9.0130000000000002E-2</v>
      </c>
      <c r="R24" s="3">
        <v>0.19287820000000003</v>
      </c>
    </row>
    <row r="25" spans="2:18" x14ac:dyDescent="0.25">
      <c r="B25" s="18">
        <v>40</v>
      </c>
      <c r="C25" s="18" t="s">
        <v>153</v>
      </c>
      <c r="D25" s="3">
        <v>2.14</v>
      </c>
      <c r="E25" s="3">
        <v>31.3</v>
      </c>
      <c r="F25" s="18">
        <v>0</v>
      </c>
      <c r="G25" s="18">
        <v>0</v>
      </c>
      <c r="H25" s="3">
        <v>26</v>
      </c>
      <c r="I25" s="3">
        <v>2.5999999999999999E-2</v>
      </c>
      <c r="J25" s="126">
        <v>15</v>
      </c>
      <c r="K25" s="3">
        <v>10</v>
      </c>
      <c r="L25" s="3">
        <v>10</v>
      </c>
      <c r="M25" s="3">
        <v>20</v>
      </c>
      <c r="N25" s="3">
        <v>3.5</v>
      </c>
      <c r="O25" s="3">
        <v>1.5650000000000002</v>
      </c>
      <c r="P25" s="3">
        <v>22.532499999999999</v>
      </c>
      <c r="Q25" s="3">
        <v>9.0130000000000002E-2</v>
      </c>
      <c r="R25" s="3">
        <v>0.19287820000000003</v>
      </c>
    </row>
    <row r="26" spans="2:18" x14ac:dyDescent="0.25">
      <c r="B26" s="18">
        <v>40</v>
      </c>
      <c r="C26" s="18" t="s">
        <v>153</v>
      </c>
      <c r="D26" s="3">
        <v>2.14</v>
      </c>
      <c r="E26" s="3">
        <v>31.3</v>
      </c>
      <c r="F26" s="18">
        <v>0</v>
      </c>
      <c r="G26" s="18">
        <v>0</v>
      </c>
      <c r="H26" s="3">
        <v>26</v>
      </c>
      <c r="I26" s="3">
        <v>2.5999999999999999E-2</v>
      </c>
      <c r="J26" s="126">
        <v>15</v>
      </c>
      <c r="K26" s="3">
        <v>10</v>
      </c>
      <c r="L26" s="3">
        <v>10</v>
      </c>
      <c r="M26" s="3">
        <v>20</v>
      </c>
      <c r="N26" s="3">
        <v>3.5</v>
      </c>
      <c r="O26" s="3">
        <v>1.5650000000000002</v>
      </c>
      <c r="P26" s="3">
        <v>22.532499999999999</v>
      </c>
      <c r="Q26" s="3">
        <v>9.0130000000000002E-2</v>
      </c>
      <c r="R26" s="3">
        <v>0.19287820000000003</v>
      </c>
    </row>
    <row r="27" spans="2:18" x14ac:dyDescent="0.25">
      <c r="B27" s="18">
        <v>40</v>
      </c>
      <c r="C27" s="18" t="s">
        <v>153</v>
      </c>
      <c r="D27" s="3">
        <v>2.14</v>
      </c>
      <c r="E27" s="3">
        <v>31.3</v>
      </c>
      <c r="F27" s="18">
        <v>0</v>
      </c>
      <c r="G27" s="18">
        <v>0</v>
      </c>
      <c r="H27" s="3">
        <v>24</v>
      </c>
      <c r="I27" s="3">
        <v>2.4E-2</v>
      </c>
      <c r="J27" s="126">
        <v>15</v>
      </c>
      <c r="K27" s="3">
        <v>10</v>
      </c>
      <c r="L27" s="3">
        <v>10</v>
      </c>
      <c r="M27" s="3">
        <v>20</v>
      </c>
      <c r="N27" s="3">
        <v>3.5</v>
      </c>
      <c r="O27" s="3">
        <v>1.5650000000000002</v>
      </c>
      <c r="P27" s="3">
        <v>22.532499999999999</v>
      </c>
      <c r="Q27" s="3">
        <v>9.0130000000000002E-2</v>
      </c>
      <c r="R27" s="3">
        <v>0.19287820000000003</v>
      </c>
    </row>
    <row r="28" spans="2:18" x14ac:dyDescent="0.25">
      <c r="B28" s="18">
        <v>40</v>
      </c>
      <c r="C28" s="18" t="s">
        <v>153</v>
      </c>
      <c r="D28" s="3">
        <v>2.14</v>
      </c>
      <c r="E28" s="3">
        <v>31.3</v>
      </c>
      <c r="F28" s="18">
        <v>0</v>
      </c>
      <c r="G28" s="18">
        <v>0</v>
      </c>
      <c r="H28" s="3">
        <v>23</v>
      </c>
      <c r="I28" s="3">
        <v>2.3E-2</v>
      </c>
      <c r="J28" s="126">
        <v>15</v>
      </c>
      <c r="K28" s="3">
        <v>10</v>
      </c>
      <c r="L28" s="3">
        <v>10</v>
      </c>
      <c r="M28" s="3">
        <v>20</v>
      </c>
      <c r="N28" s="3">
        <v>3.5</v>
      </c>
      <c r="O28" s="3">
        <v>1.5650000000000002</v>
      </c>
      <c r="P28" s="3">
        <v>22.532499999999999</v>
      </c>
      <c r="Q28" s="3">
        <v>9.0130000000000002E-2</v>
      </c>
      <c r="R28" s="3">
        <v>0.19287820000000003</v>
      </c>
    </row>
    <row r="29" spans="2:18" x14ac:dyDescent="0.25">
      <c r="B29" s="18">
        <v>40</v>
      </c>
      <c r="C29" s="18" t="s">
        <v>153</v>
      </c>
      <c r="D29" s="3">
        <v>2.14</v>
      </c>
      <c r="E29" s="3">
        <v>31.3</v>
      </c>
      <c r="F29" s="18">
        <v>0</v>
      </c>
      <c r="G29" s="18">
        <v>0</v>
      </c>
      <c r="H29" s="3">
        <v>22</v>
      </c>
      <c r="I29" s="3">
        <v>2.1999999999999999E-2</v>
      </c>
      <c r="J29" s="126">
        <v>15</v>
      </c>
      <c r="K29" s="3">
        <v>10</v>
      </c>
      <c r="L29" s="3">
        <v>10</v>
      </c>
      <c r="M29" s="3">
        <v>20</v>
      </c>
      <c r="N29" s="3">
        <v>3.5</v>
      </c>
      <c r="O29" s="3">
        <v>1.5650000000000002</v>
      </c>
      <c r="P29" s="3">
        <v>22.532499999999999</v>
      </c>
      <c r="Q29" s="3">
        <v>9.0130000000000002E-2</v>
      </c>
      <c r="R29" s="3">
        <v>0.19287820000000003</v>
      </c>
    </row>
    <row r="30" spans="2:18" x14ac:dyDescent="0.25">
      <c r="B30" s="18">
        <v>40</v>
      </c>
      <c r="C30" s="18" t="s">
        <v>153</v>
      </c>
      <c r="D30" s="3">
        <v>2.14</v>
      </c>
      <c r="E30" s="3">
        <v>31.3</v>
      </c>
      <c r="F30" s="18">
        <v>0</v>
      </c>
      <c r="G30" s="18">
        <v>0</v>
      </c>
      <c r="H30" s="3">
        <v>20</v>
      </c>
      <c r="I30" s="3">
        <v>0.02</v>
      </c>
      <c r="J30" s="126">
        <v>16</v>
      </c>
      <c r="K30" s="3">
        <v>10</v>
      </c>
      <c r="L30" s="3">
        <v>10</v>
      </c>
      <c r="M30" s="3">
        <v>20</v>
      </c>
      <c r="N30" s="3">
        <v>3.5</v>
      </c>
      <c r="O30" s="3">
        <v>1.5650000000000002</v>
      </c>
      <c r="P30" s="3">
        <v>22.532499999999999</v>
      </c>
      <c r="Q30" s="3">
        <v>9.0130000000000002E-2</v>
      </c>
      <c r="R30" s="3">
        <v>0.19287820000000003</v>
      </c>
    </row>
    <row r="31" spans="2:18" x14ac:dyDescent="0.25">
      <c r="B31" s="18">
        <v>40</v>
      </c>
      <c r="C31" s="18" t="s">
        <v>153</v>
      </c>
      <c r="D31" s="3">
        <v>2.14</v>
      </c>
      <c r="E31" s="3">
        <v>31.3</v>
      </c>
      <c r="F31" s="18">
        <v>0</v>
      </c>
      <c r="G31" s="18">
        <v>0</v>
      </c>
      <c r="H31" s="3">
        <v>28</v>
      </c>
      <c r="I31" s="3">
        <v>2.8000000000000001E-2</v>
      </c>
      <c r="J31" s="126">
        <v>20</v>
      </c>
      <c r="K31" s="3">
        <v>10</v>
      </c>
      <c r="L31" s="3">
        <v>10</v>
      </c>
      <c r="M31" s="3">
        <v>20</v>
      </c>
      <c r="N31" s="3">
        <v>3.5</v>
      </c>
      <c r="O31" s="3">
        <v>1.5650000000000002</v>
      </c>
      <c r="P31" s="3">
        <v>22.532499999999999</v>
      </c>
      <c r="Q31" s="3">
        <v>9.0130000000000002E-2</v>
      </c>
      <c r="R31" s="3">
        <v>0.19287820000000003</v>
      </c>
    </row>
    <row r="32" spans="2:18" x14ac:dyDescent="0.25">
      <c r="B32" s="18">
        <v>40</v>
      </c>
      <c r="C32" s="18" t="s">
        <v>153</v>
      </c>
      <c r="D32" s="3">
        <v>2.14</v>
      </c>
      <c r="E32" s="3">
        <v>31.3</v>
      </c>
      <c r="F32" s="18">
        <v>0</v>
      </c>
      <c r="G32" s="18">
        <v>0</v>
      </c>
      <c r="H32" s="3">
        <v>2.4</v>
      </c>
      <c r="I32" s="3">
        <v>2.3999999999999998E-3</v>
      </c>
      <c r="J32" s="126">
        <v>20</v>
      </c>
      <c r="K32" s="3">
        <v>10</v>
      </c>
      <c r="L32" s="3">
        <v>10</v>
      </c>
      <c r="M32" s="3">
        <v>20</v>
      </c>
      <c r="N32" s="3">
        <v>3.5</v>
      </c>
      <c r="O32" s="3">
        <v>1.5650000000000002</v>
      </c>
      <c r="P32" s="3">
        <v>22.532499999999999</v>
      </c>
      <c r="Q32" s="3">
        <v>9.0130000000000002E-2</v>
      </c>
      <c r="R32" s="3">
        <v>0.19287820000000003</v>
      </c>
    </row>
    <row r="33" spans="2:18" x14ac:dyDescent="0.25">
      <c r="B33" s="18">
        <v>40</v>
      </c>
      <c r="C33" s="18" t="s">
        <v>153</v>
      </c>
      <c r="D33" s="3">
        <v>2.14</v>
      </c>
      <c r="E33" s="3">
        <v>31.3</v>
      </c>
      <c r="F33" s="18">
        <v>0</v>
      </c>
      <c r="G33" s="18">
        <v>0</v>
      </c>
      <c r="H33" s="3">
        <v>42</v>
      </c>
      <c r="I33" s="3">
        <v>4.2000000000000003E-2</v>
      </c>
      <c r="J33" s="126">
        <v>20</v>
      </c>
      <c r="K33" s="3">
        <v>10</v>
      </c>
      <c r="L33" s="3">
        <v>10</v>
      </c>
      <c r="M33" s="3">
        <v>20</v>
      </c>
      <c r="N33" s="3">
        <v>3.5</v>
      </c>
      <c r="O33" s="3">
        <v>1.5650000000000002</v>
      </c>
      <c r="P33" s="3">
        <v>22.532499999999999</v>
      </c>
      <c r="Q33" s="3">
        <v>9.0130000000000002E-2</v>
      </c>
      <c r="R33" s="3">
        <v>0.19287820000000003</v>
      </c>
    </row>
    <row r="34" spans="2:18" x14ac:dyDescent="0.25">
      <c r="B34" s="18">
        <v>40</v>
      </c>
      <c r="C34" s="18" t="s">
        <v>153</v>
      </c>
      <c r="D34" s="3">
        <v>2.14</v>
      </c>
      <c r="E34" s="3">
        <v>31.3</v>
      </c>
      <c r="F34" s="18">
        <v>0</v>
      </c>
      <c r="G34" s="18">
        <v>0</v>
      </c>
      <c r="H34" s="3">
        <v>20</v>
      </c>
      <c r="I34" s="3">
        <v>0.02</v>
      </c>
      <c r="J34" s="126">
        <v>20</v>
      </c>
      <c r="K34" s="3">
        <v>10</v>
      </c>
      <c r="L34" s="3">
        <v>10</v>
      </c>
      <c r="M34" s="3">
        <v>20</v>
      </c>
      <c r="N34" s="3">
        <v>3.5</v>
      </c>
      <c r="O34" s="3">
        <v>1.5650000000000002</v>
      </c>
      <c r="P34" s="3">
        <v>22.532499999999999</v>
      </c>
      <c r="Q34" s="3">
        <v>9.0130000000000002E-2</v>
      </c>
      <c r="R34" s="3">
        <v>0.19287820000000003</v>
      </c>
    </row>
    <row r="35" spans="2:18" x14ac:dyDescent="0.25">
      <c r="B35" s="18">
        <v>40</v>
      </c>
      <c r="C35" s="18" t="s">
        <v>153</v>
      </c>
      <c r="D35" s="3">
        <v>2.14</v>
      </c>
      <c r="E35" s="3">
        <v>31.3</v>
      </c>
      <c r="F35" s="18">
        <v>0</v>
      </c>
      <c r="G35" s="18">
        <v>0</v>
      </c>
      <c r="H35" s="3"/>
      <c r="I35" s="3">
        <v>0</v>
      </c>
      <c r="J35" s="126">
        <v>20</v>
      </c>
      <c r="K35" s="3">
        <v>10</v>
      </c>
      <c r="L35" s="3">
        <v>10</v>
      </c>
      <c r="M35" s="3">
        <v>20</v>
      </c>
      <c r="N35" s="3">
        <v>3.5</v>
      </c>
      <c r="O35" s="3">
        <v>1.5650000000000002</v>
      </c>
      <c r="P35" s="3">
        <v>22.532499999999999</v>
      </c>
      <c r="Q35" s="3">
        <v>9.0130000000000002E-2</v>
      </c>
      <c r="R35" s="3">
        <v>0.19287820000000003</v>
      </c>
    </row>
    <row r="36" spans="2:18" x14ac:dyDescent="0.25">
      <c r="B36" s="18">
        <v>40</v>
      </c>
      <c r="C36" s="18" t="s">
        <v>153</v>
      </c>
      <c r="D36" s="3">
        <v>2.14</v>
      </c>
      <c r="E36" s="3">
        <v>31.3</v>
      </c>
      <c r="F36" s="18">
        <v>0</v>
      </c>
      <c r="G36" s="18">
        <v>0</v>
      </c>
      <c r="H36" s="3">
        <v>13</v>
      </c>
      <c r="I36" s="3">
        <v>1.2999999999999999E-2</v>
      </c>
      <c r="J36" s="126">
        <v>20</v>
      </c>
      <c r="K36" s="3">
        <v>10</v>
      </c>
      <c r="L36" s="3">
        <v>10</v>
      </c>
      <c r="M36" s="3">
        <v>20</v>
      </c>
      <c r="N36" s="3">
        <v>3.5</v>
      </c>
      <c r="O36" s="3">
        <v>1.5650000000000002</v>
      </c>
      <c r="P36" s="3">
        <v>22.532499999999999</v>
      </c>
      <c r="Q36" s="3">
        <v>9.0130000000000002E-2</v>
      </c>
      <c r="R36" s="3">
        <v>0.19287820000000003</v>
      </c>
    </row>
    <row r="37" spans="2:18" x14ac:dyDescent="0.25">
      <c r="B37" s="18">
        <v>40</v>
      </c>
      <c r="C37" s="18" t="s">
        <v>153</v>
      </c>
      <c r="D37" s="3">
        <v>2.14</v>
      </c>
      <c r="E37" s="3">
        <v>31.3</v>
      </c>
      <c r="F37" s="18">
        <v>0</v>
      </c>
      <c r="G37" s="18">
        <v>0</v>
      </c>
      <c r="H37" s="3">
        <v>17</v>
      </c>
      <c r="I37" s="3">
        <v>1.7000000000000001E-2</v>
      </c>
      <c r="J37" s="126">
        <v>20</v>
      </c>
      <c r="K37" s="3">
        <v>10</v>
      </c>
      <c r="L37" s="3">
        <v>10</v>
      </c>
      <c r="M37" s="3">
        <v>20</v>
      </c>
      <c r="N37" s="3">
        <v>3.5</v>
      </c>
      <c r="O37" s="3">
        <v>1.5650000000000002</v>
      </c>
      <c r="P37" s="3">
        <v>22.532499999999999</v>
      </c>
      <c r="Q37" s="3">
        <v>9.0130000000000002E-2</v>
      </c>
      <c r="R37" s="3">
        <v>0.19287820000000003</v>
      </c>
    </row>
    <row r="38" spans="2:18" x14ac:dyDescent="0.25">
      <c r="B38" s="18">
        <v>40</v>
      </c>
      <c r="C38" s="18" t="s">
        <v>153</v>
      </c>
      <c r="D38" s="3">
        <v>2.14</v>
      </c>
      <c r="E38" s="3">
        <v>31.3</v>
      </c>
      <c r="F38" s="18">
        <v>0</v>
      </c>
      <c r="G38" s="18">
        <v>0</v>
      </c>
      <c r="H38" s="3">
        <v>16</v>
      </c>
      <c r="I38" s="3">
        <v>1.6E-2</v>
      </c>
      <c r="J38" s="126">
        <v>20</v>
      </c>
      <c r="K38" s="3">
        <v>10</v>
      </c>
      <c r="L38" s="3">
        <v>10</v>
      </c>
      <c r="M38" s="3">
        <v>20</v>
      </c>
      <c r="N38" s="3">
        <v>3.5</v>
      </c>
      <c r="O38" s="3">
        <v>1.5650000000000002</v>
      </c>
      <c r="P38" s="3">
        <v>22.532499999999999</v>
      </c>
      <c r="Q38" s="3">
        <v>9.0130000000000002E-2</v>
      </c>
      <c r="R38" s="3">
        <v>0.19287820000000003</v>
      </c>
    </row>
    <row r="39" spans="2:18" x14ac:dyDescent="0.25">
      <c r="B39" s="18">
        <v>40</v>
      </c>
      <c r="C39" s="18" t="s">
        <v>153</v>
      </c>
      <c r="D39" s="3">
        <v>2.14</v>
      </c>
      <c r="E39" s="3">
        <v>31.3</v>
      </c>
      <c r="F39" s="18">
        <v>0</v>
      </c>
      <c r="G39" s="18">
        <v>0</v>
      </c>
      <c r="H39" s="3">
        <v>14</v>
      </c>
      <c r="I39" s="3">
        <v>1.4E-2</v>
      </c>
      <c r="J39" s="126">
        <v>18</v>
      </c>
      <c r="K39" s="3">
        <v>10</v>
      </c>
      <c r="L39" s="3">
        <v>10</v>
      </c>
      <c r="M39" s="3">
        <v>20</v>
      </c>
      <c r="N39" s="3">
        <v>3.5</v>
      </c>
      <c r="O39" s="3">
        <v>1.5650000000000002</v>
      </c>
      <c r="P39" s="3">
        <v>22.532499999999999</v>
      </c>
      <c r="Q39" s="3">
        <v>9.0130000000000002E-2</v>
      </c>
      <c r="R39" s="3">
        <v>0.19287820000000003</v>
      </c>
    </row>
    <row r="40" spans="2:18" x14ac:dyDescent="0.25">
      <c r="B40" s="18">
        <v>40</v>
      </c>
      <c r="C40" s="18" t="s">
        <v>153</v>
      </c>
      <c r="D40" s="3">
        <v>2.14</v>
      </c>
      <c r="E40" s="3">
        <v>31.3</v>
      </c>
      <c r="F40" s="18">
        <v>0</v>
      </c>
      <c r="G40" s="18">
        <v>0</v>
      </c>
      <c r="H40" s="3">
        <v>17</v>
      </c>
      <c r="I40" s="3">
        <v>1.7000000000000001E-2</v>
      </c>
      <c r="J40" s="126">
        <v>18</v>
      </c>
      <c r="K40" s="3">
        <v>10</v>
      </c>
      <c r="L40" s="3">
        <v>10</v>
      </c>
      <c r="M40" s="3">
        <v>20</v>
      </c>
      <c r="N40" s="3">
        <v>3.5</v>
      </c>
      <c r="O40" s="3">
        <v>1.5650000000000002</v>
      </c>
      <c r="P40" s="3">
        <v>22.532499999999999</v>
      </c>
      <c r="Q40" s="3">
        <v>9.0130000000000002E-2</v>
      </c>
      <c r="R40" s="3">
        <v>0.19287820000000003</v>
      </c>
    </row>
    <row r="41" spans="2:18" x14ac:dyDescent="0.25">
      <c r="B41" s="18">
        <v>40</v>
      </c>
      <c r="C41" s="18" t="s">
        <v>153</v>
      </c>
      <c r="D41" s="3">
        <v>2.14</v>
      </c>
      <c r="E41" s="3">
        <v>31.3</v>
      </c>
      <c r="F41" s="18">
        <v>0</v>
      </c>
      <c r="G41" s="18">
        <v>0</v>
      </c>
      <c r="H41" s="3">
        <v>23</v>
      </c>
      <c r="I41" s="3">
        <v>2.3E-2</v>
      </c>
      <c r="J41" s="126">
        <v>18</v>
      </c>
      <c r="K41" s="3">
        <v>10</v>
      </c>
      <c r="L41" s="3">
        <v>10</v>
      </c>
      <c r="M41" s="3">
        <v>20</v>
      </c>
      <c r="N41" s="3">
        <v>3.5</v>
      </c>
      <c r="O41" s="3">
        <v>1.5650000000000002</v>
      </c>
      <c r="P41" s="3">
        <v>22.532499999999999</v>
      </c>
      <c r="Q41" s="3">
        <v>9.0130000000000002E-2</v>
      </c>
      <c r="R41" s="3">
        <v>0.19287820000000003</v>
      </c>
    </row>
    <row r="42" spans="2:18" x14ac:dyDescent="0.25">
      <c r="B42" s="18">
        <v>40</v>
      </c>
      <c r="C42" s="18" t="s">
        <v>153</v>
      </c>
      <c r="D42" s="3">
        <v>2.14</v>
      </c>
      <c r="E42" s="3">
        <v>31.3</v>
      </c>
      <c r="F42" s="18">
        <v>0</v>
      </c>
      <c r="G42" s="18">
        <v>0</v>
      </c>
      <c r="H42" s="3">
        <v>20</v>
      </c>
      <c r="I42" s="3">
        <v>0.02</v>
      </c>
      <c r="J42" s="126">
        <v>18</v>
      </c>
      <c r="K42" s="3">
        <v>10</v>
      </c>
      <c r="L42" s="3">
        <v>10</v>
      </c>
      <c r="M42" s="3">
        <v>20</v>
      </c>
      <c r="N42" s="3">
        <v>3.5</v>
      </c>
      <c r="O42" s="3">
        <v>1.5650000000000002</v>
      </c>
      <c r="P42" s="3">
        <v>22.532499999999999</v>
      </c>
      <c r="Q42" s="3">
        <v>9.0130000000000002E-2</v>
      </c>
      <c r="R42" s="3">
        <v>0.19287820000000003</v>
      </c>
    </row>
    <row r="43" spans="2:18" x14ac:dyDescent="0.25">
      <c r="B43" s="18">
        <v>40</v>
      </c>
      <c r="C43" s="18" t="s">
        <v>153</v>
      </c>
      <c r="D43" s="3">
        <v>2.14</v>
      </c>
      <c r="E43" s="3">
        <v>31.3</v>
      </c>
      <c r="F43" s="18">
        <v>0</v>
      </c>
      <c r="G43" s="18">
        <v>0</v>
      </c>
      <c r="H43" s="3">
        <v>17</v>
      </c>
      <c r="I43" s="3">
        <v>1.7000000000000001E-2</v>
      </c>
      <c r="J43" s="126">
        <v>25</v>
      </c>
      <c r="K43" s="3">
        <v>10</v>
      </c>
      <c r="L43" s="3">
        <v>10</v>
      </c>
      <c r="M43" s="3">
        <v>20</v>
      </c>
      <c r="N43" s="3">
        <v>3.5</v>
      </c>
      <c r="O43" s="3">
        <v>1.5650000000000002</v>
      </c>
      <c r="P43" s="3">
        <v>22.532499999999999</v>
      </c>
      <c r="Q43" s="3">
        <v>9.0130000000000002E-2</v>
      </c>
      <c r="R43" s="3">
        <v>0.19287820000000003</v>
      </c>
    </row>
    <row r="44" spans="2:18" x14ac:dyDescent="0.25">
      <c r="B44" s="18">
        <v>40</v>
      </c>
      <c r="C44" s="18" t="s">
        <v>153</v>
      </c>
      <c r="D44" s="3">
        <v>2.14</v>
      </c>
      <c r="E44" s="3">
        <v>31.3</v>
      </c>
      <c r="F44" s="18">
        <v>0</v>
      </c>
      <c r="G44" s="18">
        <v>0</v>
      </c>
      <c r="H44" s="3">
        <v>18</v>
      </c>
      <c r="I44" s="3">
        <v>1.7999999999999999E-2</v>
      </c>
      <c r="J44" s="126">
        <v>25</v>
      </c>
      <c r="K44" s="3">
        <v>10</v>
      </c>
      <c r="L44" s="3">
        <v>10</v>
      </c>
      <c r="M44" s="3">
        <v>20</v>
      </c>
      <c r="N44" s="3">
        <v>3.5</v>
      </c>
      <c r="O44" s="3">
        <v>1.5650000000000002</v>
      </c>
      <c r="P44" s="3">
        <v>22.532499999999999</v>
      </c>
      <c r="Q44" s="3">
        <v>9.0130000000000002E-2</v>
      </c>
      <c r="R44" s="3">
        <v>0.19287820000000003</v>
      </c>
    </row>
    <row r="45" spans="2:18" x14ac:dyDescent="0.25">
      <c r="B45" s="18">
        <v>40</v>
      </c>
      <c r="C45" s="18" t="s">
        <v>153</v>
      </c>
      <c r="D45" s="3">
        <v>2.14</v>
      </c>
      <c r="E45" s="3">
        <v>31.3</v>
      </c>
      <c r="F45" s="18">
        <v>0</v>
      </c>
      <c r="G45" s="18">
        <v>0</v>
      </c>
      <c r="H45" s="3">
        <v>19</v>
      </c>
      <c r="I45" s="3">
        <v>1.9E-2</v>
      </c>
      <c r="J45" s="126">
        <v>25</v>
      </c>
      <c r="K45" s="3">
        <v>10</v>
      </c>
      <c r="L45" s="3">
        <v>10</v>
      </c>
      <c r="M45" s="3">
        <v>20</v>
      </c>
      <c r="N45" s="3">
        <v>3.5</v>
      </c>
      <c r="O45" s="3">
        <v>1.5650000000000002</v>
      </c>
      <c r="P45" s="3">
        <v>22.532499999999999</v>
      </c>
      <c r="Q45" s="3">
        <v>9.0130000000000002E-2</v>
      </c>
      <c r="R45" s="3">
        <v>0.19287820000000003</v>
      </c>
    </row>
    <row r="46" spans="2:18" x14ac:dyDescent="0.25">
      <c r="B46" s="18">
        <v>40</v>
      </c>
      <c r="C46" s="18" t="s">
        <v>153</v>
      </c>
      <c r="D46" s="3">
        <v>2.14</v>
      </c>
      <c r="E46" s="3">
        <v>31.3</v>
      </c>
      <c r="F46" s="18">
        <v>0</v>
      </c>
      <c r="G46" s="18">
        <v>0</v>
      </c>
      <c r="H46" s="3">
        <v>16.363636363636363</v>
      </c>
      <c r="I46" s="3">
        <v>1.6363636363636365E-2</v>
      </c>
      <c r="J46" s="126">
        <v>25</v>
      </c>
      <c r="K46" s="3">
        <v>10</v>
      </c>
      <c r="L46" s="3">
        <v>10</v>
      </c>
      <c r="M46" s="3">
        <v>20</v>
      </c>
      <c r="N46" s="3">
        <v>3.5</v>
      </c>
      <c r="O46" s="3">
        <v>1.5650000000000002</v>
      </c>
      <c r="P46" s="3">
        <v>22.532499999999999</v>
      </c>
      <c r="Q46" s="3">
        <v>9.0130000000000002E-2</v>
      </c>
      <c r="R46" s="3">
        <v>0.19287820000000003</v>
      </c>
    </row>
    <row r="47" spans="2:18" x14ac:dyDescent="0.25">
      <c r="B47" s="18">
        <v>40</v>
      </c>
      <c r="C47" s="18" t="s">
        <v>153</v>
      </c>
      <c r="D47" s="3">
        <v>2.14</v>
      </c>
      <c r="E47" s="3">
        <v>31.3</v>
      </c>
      <c r="F47" s="18">
        <v>0</v>
      </c>
      <c r="G47" s="18">
        <v>0</v>
      </c>
      <c r="H47" s="3">
        <v>10.909090909090908</v>
      </c>
      <c r="I47" s="3">
        <v>1.0909090909090908E-2</v>
      </c>
      <c r="J47" s="126">
        <v>25</v>
      </c>
      <c r="K47" s="3">
        <v>10</v>
      </c>
      <c r="L47" s="3">
        <v>10</v>
      </c>
      <c r="M47" s="3">
        <v>20</v>
      </c>
      <c r="N47" s="3">
        <v>3.5</v>
      </c>
      <c r="O47" s="3">
        <v>1.5650000000000002</v>
      </c>
      <c r="P47" s="3">
        <v>22.532499999999999</v>
      </c>
      <c r="Q47" s="3">
        <v>9.0130000000000002E-2</v>
      </c>
      <c r="R47" s="3">
        <v>0.19287820000000003</v>
      </c>
    </row>
    <row r="48" spans="2:18" x14ac:dyDescent="0.25">
      <c r="B48" s="18">
        <v>40</v>
      </c>
      <c r="C48" s="18" t="s">
        <v>153</v>
      </c>
      <c r="D48" s="3">
        <v>2.14</v>
      </c>
      <c r="E48" s="3">
        <v>31.3</v>
      </c>
      <c r="F48" s="18">
        <v>0</v>
      </c>
      <c r="G48" s="18">
        <v>0</v>
      </c>
      <c r="H48" s="3"/>
      <c r="I48" s="3">
        <v>0</v>
      </c>
      <c r="J48" s="126">
        <v>25</v>
      </c>
      <c r="K48" s="3">
        <v>10</v>
      </c>
      <c r="L48" s="3">
        <v>10</v>
      </c>
      <c r="M48" s="3">
        <v>20</v>
      </c>
      <c r="N48" s="3">
        <v>3.5</v>
      </c>
      <c r="O48" s="3">
        <v>1.5650000000000002</v>
      </c>
      <c r="P48" s="3">
        <v>22.532499999999999</v>
      </c>
      <c r="Q48" s="3">
        <v>9.0130000000000002E-2</v>
      </c>
      <c r="R48" s="3">
        <v>0.19287820000000003</v>
      </c>
    </row>
    <row r="49" spans="2:18" x14ac:dyDescent="0.25">
      <c r="B49" s="18">
        <v>40</v>
      </c>
      <c r="C49" s="18" t="s">
        <v>153</v>
      </c>
      <c r="D49" s="3">
        <v>2.14</v>
      </c>
      <c r="E49" s="3">
        <v>31.3</v>
      </c>
      <c r="F49" s="18">
        <v>0</v>
      </c>
      <c r="G49" s="18">
        <v>0</v>
      </c>
      <c r="H49" s="3">
        <v>24</v>
      </c>
      <c r="I49" s="3">
        <v>2.4E-2</v>
      </c>
      <c r="J49" s="126">
        <v>25</v>
      </c>
      <c r="K49" s="3">
        <v>10</v>
      </c>
      <c r="L49" s="3">
        <v>10</v>
      </c>
      <c r="M49" s="3">
        <v>20</v>
      </c>
      <c r="N49" s="3">
        <v>3.5</v>
      </c>
      <c r="O49" s="3">
        <v>1.5650000000000002</v>
      </c>
      <c r="P49" s="3">
        <v>22.532499999999999</v>
      </c>
      <c r="Q49" s="3">
        <v>9.0130000000000002E-2</v>
      </c>
      <c r="R49" s="3">
        <v>0.19287820000000003</v>
      </c>
    </row>
    <row r="50" spans="2:18" x14ac:dyDescent="0.25">
      <c r="B50" s="18">
        <v>40</v>
      </c>
      <c r="C50" s="18" t="s">
        <v>153</v>
      </c>
      <c r="D50" s="3">
        <v>2.14</v>
      </c>
      <c r="E50" s="3">
        <v>31.3</v>
      </c>
      <c r="F50" s="18"/>
      <c r="G50" s="18">
        <v>0</v>
      </c>
      <c r="H50" s="3"/>
      <c r="I50" s="3">
        <v>0</v>
      </c>
      <c r="J50" s="126">
        <v>25</v>
      </c>
      <c r="K50" s="3">
        <v>10</v>
      </c>
      <c r="L50" s="3">
        <v>10</v>
      </c>
      <c r="M50" s="3">
        <v>20</v>
      </c>
      <c r="N50" s="3">
        <v>3.5</v>
      </c>
      <c r="O50" s="3">
        <v>1.5650000000000002</v>
      </c>
      <c r="P50" s="3">
        <v>22.532499999999999</v>
      </c>
      <c r="Q50" s="3">
        <v>9.0130000000000002E-2</v>
      </c>
      <c r="R50" s="3">
        <v>0.19287820000000003</v>
      </c>
    </row>
    <row r="51" spans="2:18" x14ac:dyDescent="0.25">
      <c r="B51" s="18">
        <v>40</v>
      </c>
      <c r="C51" s="18" t="s">
        <v>153</v>
      </c>
      <c r="D51" s="3">
        <v>2.14</v>
      </c>
      <c r="E51" s="3">
        <v>31.3</v>
      </c>
      <c r="F51" s="18">
        <v>0</v>
      </c>
      <c r="G51" s="18">
        <v>0</v>
      </c>
      <c r="H51" s="3">
        <v>24</v>
      </c>
      <c r="I51" s="3">
        <v>2.4E-2</v>
      </c>
      <c r="J51" s="126">
        <v>25</v>
      </c>
      <c r="K51" s="3">
        <v>10</v>
      </c>
      <c r="L51" s="3">
        <v>10</v>
      </c>
      <c r="M51" s="3">
        <v>20</v>
      </c>
      <c r="N51" s="3">
        <v>3.5</v>
      </c>
      <c r="O51" s="3">
        <v>1.5650000000000002</v>
      </c>
      <c r="P51" s="3">
        <v>22.532499999999999</v>
      </c>
      <c r="Q51" s="3">
        <v>9.0130000000000002E-2</v>
      </c>
      <c r="R51" s="3">
        <v>0.19287820000000003</v>
      </c>
    </row>
    <row r="52" spans="2:18" x14ac:dyDescent="0.25">
      <c r="B52" s="18">
        <v>40</v>
      </c>
      <c r="C52" s="18" t="s">
        <v>153</v>
      </c>
      <c r="D52" s="3">
        <v>2.14</v>
      </c>
      <c r="E52" s="3">
        <v>31.3</v>
      </c>
      <c r="F52" s="18">
        <v>0</v>
      </c>
      <c r="G52" s="18">
        <v>0</v>
      </c>
      <c r="H52" s="3">
        <v>11</v>
      </c>
      <c r="I52" s="3">
        <v>1.0999999999999999E-2</v>
      </c>
      <c r="J52" s="126">
        <v>25</v>
      </c>
      <c r="K52" s="3">
        <v>10</v>
      </c>
      <c r="L52" s="3">
        <v>10</v>
      </c>
      <c r="M52" s="3">
        <v>20</v>
      </c>
      <c r="N52" s="3">
        <v>3.5</v>
      </c>
      <c r="O52" s="3">
        <v>1.5650000000000002</v>
      </c>
      <c r="P52" s="3">
        <v>22.532499999999999</v>
      </c>
      <c r="Q52" s="3">
        <v>9.0130000000000002E-2</v>
      </c>
      <c r="R52" s="3">
        <v>0.19287820000000003</v>
      </c>
    </row>
    <row r="53" spans="2:18" x14ac:dyDescent="0.25">
      <c r="B53" s="18">
        <v>40</v>
      </c>
      <c r="C53" s="18" t="s">
        <v>153</v>
      </c>
      <c r="D53" s="3">
        <v>2.14</v>
      </c>
      <c r="E53" s="3">
        <v>31.3</v>
      </c>
      <c r="F53" s="18">
        <v>0</v>
      </c>
      <c r="G53" s="18">
        <v>0</v>
      </c>
      <c r="H53" s="3">
        <v>12</v>
      </c>
      <c r="I53" s="3">
        <v>1.2E-2</v>
      </c>
      <c r="J53" s="126">
        <v>25</v>
      </c>
      <c r="K53" s="3">
        <v>10</v>
      </c>
      <c r="L53" s="3">
        <v>10</v>
      </c>
      <c r="M53" s="3">
        <v>20</v>
      </c>
      <c r="N53" s="3">
        <v>3.5</v>
      </c>
      <c r="O53" s="3">
        <v>1.5650000000000002</v>
      </c>
      <c r="P53" s="3">
        <v>22.532499999999999</v>
      </c>
      <c r="Q53" s="3">
        <v>9.0130000000000002E-2</v>
      </c>
      <c r="R53" s="3">
        <v>0.19287820000000003</v>
      </c>
    </row>
    <row r="54" spans="2:18" x14ac:dyDescent="0.25">
      <c r="B54" s="18">
        <v>40</v>
      </c>
      <c r="C54" s="18" t="s">
        <v>153</v>
      </c>
      <c r="D54" s="3">
        <v>2.14</v>
      </c>
      <c r="E54" s="3">
        <v>31.3</v>
      </c>
      <c r="F54" s="18">
        <v>0</v>
      </c>
      <c r="G54" s="18">
        <v>0</v>
      </c>
      <c r="H54" s="3">
        <v>86.666666666666671</v>
      </c>
      <c r="I54" s="3">
        <v>8.666666666666667E-2</v>
      </c>
      <c r="J54" s="126">
        <v>27</v>
      </c>
      <c r="K54" s="3">
        <v>10</v>
      </c>
      <c r="L54" s="3">
        <v>10</v>
      </c>
      <c r="M54" s="3">
        <v>20</v>
      </c>
      <c r="N54" s="3">
        <v>3.5</v>
      </c>
      <c r="O54" s="3">
        <v>1.5650000000000002</v>
      </c>
      <c r="P54" s="3">
        <v>22.532499999999999</v>
      </c>
      <c r="Q54" s="3">
        <v>9.0130000000000002E-2</v>
      </c>
      <c r="R54" s="3">
        <v>0.19287820000000003</v>
      </c>
    </row>
    <row r="55" spans="2:18" x14ac:dyDescent="0.25">
      <c r="B55" s="18">
        <v>40</v>
      </c>
      <c r="C55" s="18" t="s">
        <v>153</v>
      </c>
      <c r="D55" s="3">
        <v>2.14</v>
      </c>
      <c r="E55" s="3">
        <v>31.3</v>
      </c>
      <c r="F55" s="18">
        <v>0</v>
      </c>
      <c r="G55" s="18">
        <v>0</v>
      </c>
      <c r="H55" s="3">
        <v>26</v>
      </c>
      <c r="I55" s="3">
        <v>2.5999999999999999E-2</v>
      </c>
      <c r="J55" s="126">
        <v>19</v>
      </c>
      <c r="K55" s="3">
        <v>10</v>
      </c>
      <c r="L55" s="3">
        <v>10</v>
      </c>
      <c r="M55" s="3">
        <v>20</v>
      </c>
      <c r="N55" s="3">
        <v>3.5</v>
      </c>
      <c r="O55" s="3">
        <v>1.5650000000000002</v>
      </c>
      <c r="P55" s="3">
        <v>22.532499999999999</v>
      </c>
      <c r="Q55" s="3">
        <v>9.0130000000000002E-2</v>
      </c>
      <c r="R55" s="3">
        <v>0.19287820000000003</v>
      </c>
    </row>
    <row r="56" spans="2:18" x14ac:dyDescent="0.25">
      <c r="B56" s="18">
        <v>40</v>
      </c>
      <c r="C56" s="18" t="s">
        <v>153</v>
      </c>
      <c r="D56" s="3">
        <v>2.14</v>
      </c>
      <c r="E56" s="3">
        <v>31.3</v>
      </c>
      <c r="F56" s="18">
        <v>0</v>
      </c>
      <c r="G56" s="18">
        <v>0</v>
      </c>
      <c r="H56" s="3">
        <v>10.666666666666666</v>
      </c>
      <c r="I56" s="3">
        <v>1.0666666666666666E-2</v>
      </c>
      <c r="J56" s="126">
        <v>21</v>
      </c>
      <c r="K56" s="3">
        <v>10</v>
      </c>
      <c r="L56" s="3">
        <v>10</v>
      </c>
      <c r="M56" s="3">
        <v>20</v>
      </c>
      <c r="N56" s="3">
        <v>3.5</v>
      </c>
      <c r="O56" s="3">
        <v>1.5650000000000002</v>
      </c>
      <c r="P56" s="3">
        <v>22.532499999999999</v>
      </c>
      <c r="Q56" s="3">
        <v>9.0130000000000002E-2</v>
      </c>
      <c r="R56" s="3">
        <v>0.19287820000000003</v>
      </c>
    </row>
    <row r="57" spans="2:18" x14ac:dyDescent="0.25">
      <c r="B57" s="18">
        <v>40</v>
      </c>
      <c r="C57" s="18" t="s">
        <v>153</v>
      </c>
      <c r="D57" s="3">
        <v>2.14</v>
      </c>
      <c r="E57" s="3">
        <v>31.3</v>
      </c>
      <c r="F57" s="18">
        <v>0</v>
      </c>
      <c r="G57" s="18">
        <v>0</v>
      </c>
      <c r="H57" s="3">
        <v>12</v>
      </c>
      <c r="I57" s="3">
        <v>1.2E-2</v>
      </c>
      <c r="J57" s="126">
        <v>21</v>
      </c>
      <c r="K57" s="3">
        <v>10</v>
      </c>
      <c r="L57" s="3">
        <v>10</v>
      </c>
      <c r="M57" s="3">
        <v>20</v>
      </c>
      <c r="N57" s="3">
        <v>3.5</v>
      </c>
      <c r="O57" s="3">
        <v>1.5650000000000002</v>
      </c>
      <c r="P57" s="3">
        <v>22.532499999999999</v>
      </c>
      <c r="Q57" s="3">
        <v>9.0130000000000002E-2</v>
      </c>
      <c r="R57" s="3">
        <v>0.19287820000000003</v>
      </c>
    </row>
    <row r="58" spans="2:18" x14ac:dyDescent="0.25">
      <c r="B58" s="18">
        <v>40</v>
      </c>
      <c r="C58" s="18" t="s">
        <v>153</v>
      </c>
      <c r="D58" s="3">
        <v>2.14</v>
      </c>
      <c r="E58" s="3">
        <v>31.3</v>
      </c>
      <c r="F58" s="18">
        <v>0</v>
      </c>
      <c r="G58" s="18">
        <v>0</v>
      </c>
      <c r="H58" s="3">
        <v>45.714285714285715</v>
      </c>
      <c r="I58" s="3">
        <v>4.5714285714285714E-2</v>
      </c>
      <c r="J58" s="126">
        <v>27</v>
      </c>
      <c r="K58" s="3">
        <v>10</v>
      </c>
      <c r="L58" s="3">
        <v>10</v>
      </c>
      <c r="M58" s="3">
        <v>20</v>
      </c>
      <c r="N58" s="3">
        <v>3.5</v>
      </c>
      <c r="O58" s="3">
        <v>1.5650000000000002</v>
      </c>
      <c r="P58" s="3">
        <v>22.532499999999999</v>
      </c>
      <c r="Q58" s="3">
        <v>9.0130000000000002E-2</v>
      </c>
      <c r="R58" s="3">
        <v>0.19287820000000003</v>
      </c>
    </row>
    <row r="59" spans="2:18" x14ac:dyDescent="0.25">
      <c r="B59" s="18">
        <v>40</v>
      </c>
      <c r="C59" s="18" t="s">
        <v>153</v>
      </c>
      <c r="D59" s="3">
        <v>2.14</v>
      </c>
      <c r="E59" s="3">
        <v>31.3</v>
      </c>
      <c r="F59" s="18">
        <v>0</v>
      </c>
      <c r="G59" s="18">
        <v>0</v>
      </c>
      <c r="H59" s="3">
        <v>20</v>
      </c>
      <c r="I59" s="3">
        <v>0.02</v>
      </c>
      <c r="J59" s="126">
        <v>27</v>
      </c>
      <c r="K59" s="3">
        <v>10</v>
      </c>
      <c r="L59" s="3">
        <v>10</v>
      </c>
      <c r="M59" s="3">
        <v>20</v>
      </c>
      <c r="N59" s="3">
        <v>3.5</v>
      </c>
      <c r="O59" s="3">
        <v>1.5650000000000002</v>
      </c>
      <c r="P59" s="3">
        <v>22.532499999999999</v>
      </c>
      <c r="Q59" s="3">
        <v>9.0130000000000002E-2</v>
      </c>
      <c r="R59" s="3">
        <v>0.19287820000000003</v>
      </c>
    </row>
    <row r="60" spans="2:18" x14ac:dyDescent="0.25">
      <c r="B60" s="18">
        <v>40</v>
      </c>
      <c r="C60" s="18" t="s">
        <v>153</v>
      </c>
      <c r="D60" s="3">
        <v>2.14</v>
      </c>
      <c r="E60" s="3">
        <v>31.3</v>
      </c>
      <c r="F60" s="18">
        <v>0</v>
      </c>
      <c r="G60" s="18">
        <v>0</v>
      </c>
      <c r="H60" s="3">
        <v>32</v>
      </c>
      <c r="I60" s="3">
        <v>3.2000000000000001E-2</v>
      </c>
      <c r="J60" s="126">
        <v>27</v>
      </c>
      <c r="K60" s="3">
        <v>10</v>
      </c>
      <c r="L60" s="3">
        <v>10</v>
      </c>
      <c r="M60" s="3">
        <v>20</v>
      </c>
      <c r="N60" s="3">
        <v>3.5</v>
      </c>
      <c r="O60" s="3">
        <v>1.5650000000000002</v>
      </c>
      <c r="P60" s="3">
        <v>22.532499999999999</v>
      </c>
      <c r="Q60" s="3">
        <v>9.0130000000000002E-2</v>
      </c>
      <c r="R60" s="3">
        <v>0.19287820000000003</v>
      </c>
    </row>
    <row r="61" spans="2:18" x14ac:dyDescent="0.25">
      <c r="B61" s="18">
        <v>40</v>
      </c>
      <c r="C61" s="18" t="s">
        <v>153</v>
      </c>
      <c r="D61" s="3">
        <v>2.14</v>
      </c>
      <c r="E61" s="3">
        <v>31.3</v>
      </c>
      <c r="F61" s="18">
        <v>0.11</v>
      </c>
      <c r="G61" s="18">
        <v>22</v>
      </c>
      <c r="H61" s="3">
        <v>44</v>
      </c>
      <c r="I61" s="3">
        <v>4.3999999999999997E-2</v>
      </c>
      <c r="J61" s="126">
        <v>32</v>
      </c>
      <c r="K61" s="3">
        <v>20</v>
      </c>
      <c r="L61" s="3">
        <v>10</v>
      </c>
      <c r="M61" s="3">
        <v>20</v>
      </c>
      <c r="N61" s="3">
        <v>3.5</v>
      </c>
      <c r="O61" s="3">
        <v>1.5650000000000002</v>
      </c>
      <c r="P61" s="3">
        <v>27.532499999999999</v>
      </c>
      <c r="Q61" s="3">
        <v>0.11012999999999999</v>
      </c>
      <c r="R61" s="3">
        <v>0.2356782</v>
      </c>
    </row>
    <row r="62" spans="2:18" x14ac:dyDescent="0.25">
      <c r="B62" s="18">
        <v>40</v>
      </c>
      <c r="C62" s="18" t="s">
        <v>153</v>
      </c>
      <c r="D62" s="3">
        <v>2.14</v>
      </c>
      <c r="E62" s="3">
        <v>31.3</v>
      </c>
      <c r="F62" s="18">
        <v>0</v>
      </c>
      <c r="G62" s="18">
        <v>0</v>
      </c>
      <c r="H62" s="3">
        <v>12</v>
      </c>
      <c r="I62" s="3">
        <v>1.2E-2</v>
      </c>
      <c r="J62" s="126">
        <v>27</v>
      </c>
      <c r="K62" s="3">
        <v>10</v>
      </c>
      <c r="L62" s="3">
        <v>10</v>
      </c>
      <c r="M62" s="3">
        <v>20</v>
      </c>
      <c r="N62" s="3">
        <v>3.5</v>
      </c>
      <c r="O62" s="3">
        <v>1.5650000000000002</v>
      </c>
      <c r="P62" s="3">
        <v>22.532499999999999</v>
      </c>
      <c r="Q62" s="3">
        <v>9.0130000000000002E-2</v>
      </c>
      <c r="R62" s="3">
        <v>0.19287820000000003</v>
      </c>
    </row>
    <row r="63" spans="2:18" x14ac:dyDescent="0.25">
      <c r="B63" s="18">
        <v>40</v>
      </c>
      <c r="C63" s="18" t="s">
        <v>153</v>
      </c>
      <c r="D63" s="3">
        <v>2.14</v>
      </c>
      <c r="E63" s="3">
        <v>31.3</v>
      </c>
      <c r="F63" s="18">
        <v>0</v>
      </c>
      <c r="G63" s="18">
        <v>0</v>
      </c>
      <c r="H63" s="3">
        <v>15</v>
      </c>
      <c r="I63" s="3">
        <v>1.4999999999999999E-2</v>
      </c>
      <c r="J63" s="126">
        <v>27</v>
      </c>
      <c r="K63" s="3">
        <v>10</v>
      </c>
      <c r="L63" s="3">
        <v>10</v>
      </c>
      <c r="M63" s="3">
        <v>20</v>
      </c>
      <c r="N63" s="3">
        <v>3.5</v>
      </c>
      <c r="O63" s="3">
        <v>1.5650000000000002</v>
      </c>
      <c r="P63" s="3">
        <v>22.532499999999999</v>
      </c>
      <c r="Q63" s="3">
        <v>9.0130000000000002E-2</v>
      </c>
      <c r="R63" s="3">
        <v>0.19287820000000003</v>
      </c>
    </row>
    <row r="64" spans="2:18" x14ac:dyDescent="0.25">
      <c r="B64" s="18">
        <v>40</v>
      </c>
      <c r="C64" s="18" t="s">
        <v>153</v>
      </c>
      <c r="D64" s="3">
        <v>2.14</v>
      </c>
      <c r="E64" s="3">
        <v>31.3</v>
      </c>
      <c r="F64" s="18">
        <v>0</v>
      </c>
      <c r="G64" s="18">
        <v>0</v>
      </c>
      <c r="H64" s="3">
        <v>18.571428571428573</v>
      </c>
      <c r="I64" s="3">
        <v>1.8571428571428572E-2</v>
      </c>
      <c r="J64" s="126">
        <v>23</v>
      </c>
      <c r="K64" s="3">
        <v>10</v>
      </c>
      <c r="L64" s="3">
        <v>10</v>
      </c>
      <c r="M64" s="3">
        <v>20</v>
      </c>
      <c r="N64" s="3">
        <v>3.5</v>
      </c>
      <c r="O64" s="3">
        <v>1.5650000000000002</v>
      </c>
      <c r="P64" s="3">
        <v>22.532499999999999</v>
      </c>
      <c r="Q64" s="3">
        <v>9.0130000000000002E-2</v>
      </c>
      <c r="R64" s="3">
        <v>0.19287820000000003</v>
      </c>
    </row>
    <row r="65" spans="2:18" x14ac:dyDescent="0.25">
      <c r="B65" s="18">
        <v>40</v>
      </c>
      <c r="C65" s="18" t="s">
        <v>153</v>
      </c>
      <c r="D65" s="3">
        <v>2.14</v>
      </c>
      <c r="E65" s="3">
        <v>31.3</v>
      </c>
      <c r="F65" s="18">
        <v>0.11</v>
      </c>
      <c r="G65" s="18">
        <v>22</v>
      </c>
      <c r="H65" s="3">
        <v>52</v>
      </c>
      <c r="I65" s="3">
        <v>5.1999999999999998E-2</v>
      </c>
      <c r="J65" s="126">
        <v>23</v>
      </c>
      <c r="K65" s="3">
        <v>10</v>
      </c>
      <c r="L65" s="3">
        <v>10</v>
      </c>
      <c r="M65" s="3">
        <v>20</v>
      </c>
      <c r="N65" s="3">
        <v>3.5</v>
      </c>
      <c r="O65" s="3">
        <v>1.5650000000000002</v>
      </c>
      <c r="P65" s="3">
        <v>22.532499999999999</v>
      </c>
      <c r="Q65" s="3">
        <v>9.0130000000000002E-2</v>
      </c>
      <c r="R65" s="3">
        <v>0.19287820000000003</v>
      </c>
    </row>
    <row r="66" spans="2:18" x14ac:dyDescent="0.25">
      <c r="B66" s="18">
        <v>40</v>
      </c>
      <c r="C66" s="18" t="s">
        <v>153</v>
      </c>
      <c r="D66" s="3">
        <v>2.14</v>
      </c>
      <c r="E66" s="3">
        <v>31.3</v>
      </c>
      <c r="F66" s="18">
        <v>0.14000000000000001</v>
      </c>
      <c r="G66" s="18">
        <v>28.000000000000004</v>
      </c>
      <c r="H66" s="3">
        <v>50</v>
      </c>
      <c r="I66" s="3">
        <v>0.05</v>
      </c>
      <c r="J66" s="126">
        <v>24</v>
      </c>
      <c r="K66" s="3">
        <v>10</v>
      </c>
      <c r="L66" s="3">
        <v>10</v>
      </c>
      <c r="M66" s="3">
        <v>20</v>
      </c>
      <c r="N66" s="3">
        <v>3.5</v>
      </c>
      <c r="O66" s="3">
        <v>1.5650000000000002</v>
      </c>
      <c r="P66" s="3">
        <v>22.532499999999999</v>
      </c>
      <c r="Q66" s="3">
        <v>9.0130000000000002E-2</v>
      </c>
      <c r="R66" s="3">
        <v>0.19287820000000003</v>
      </c>
    </row>
    <row r="67" spans="2:18" x14ac:dyDescent="0.25">
      <c r="B67" s="18">
        <v>40</v>
      </c>
      <c r="C67" s="18" t="s">
        <v>153</v>
      </c>
      <c r="D67" s="3">
        <v>2.14</v>
      </c>
      <c r="E67" s="3">
        <v>31.3</v>
      </c>
      <c r="F67" s="18">
        <v>0.15</v>
      </c>
      <c r="G67" s="18">
        <v>30</v>
      </c>
      <c r="H67" s="3">
        <v>110</v>
      </c>
      <c r="I67" s="3">
        <v>0.11</v>
      </c>
      <c r="J67" s="126">
        <v>29</v>
      </c>
      <c r="K67" s="3">
        <v>10</v>
      </c>
      <c r="L67" s="3">
        <v>20</v>
      </c>
      <c r="M67" s="3">
        <v>20</v>
      </c>
      <c r="N67" s="3">
        <v>3.5</v>
      </c>
      <c r="O67" s="3">
        <v>1.5650000000000002</v>
      </c>
      <c r="P67" s="3">
        <v>27.532499999999999</v>
      </c>
      <c r="Q67" s="3">
        <v>0.11012999999999999</v>
      </c>
      <c r="R67" s="3">
        <v>0.2356782</v>
      </c>
    </row>
    <row r="68" spans="2:18" x14ac:dyDescent="0.25">
      <c r="B68" s="18">
        <v>40</v>
      </c>
      <c r="C68" s="18" t="s">
        <v>153</v>
      </c>
      <c r="D68" s="3">
        <v>2.14</v>
      </c>
      <c r="E68" s="3">
        <v>31.3</v>
      </c>
      <c r="F68" s="18">
        <v>0</v>
      </c>
      <c r="G68" s="18">
        <v>0</v>
      </c>
      <c r="H68" s="3">
        <v>47.142857142857146</v>
      </c>
      <c r="I68" s="3">
        <v>4.7142857142857146E-2</v>
      </c>
      <c r="J68" s="126">
        <v>19</v>
      </c>
      <c r="K68" s="3">
        <v>10</v>
      </c>
      <c r="L68" s="3">
        <v>10</v>
      </c>
      <c r="M68" s="3">
        <v>20</v>
      </c>
      <c r="N68" s="3">
        <v>3.5</v>
      </c>
      <c r="O68" s="3">
        <v>1.5650000000000002</v>
      </c>
      <c r="P68" s="3">
        <v>22.532499999999999</v>
      </c>
      <c r="Q68" s="3">
        <v>9.0130000000000002E-2</v>
      </c>
      <c r="R68" s="3">
        <v>0.19287820000000003</v>
      </c>
    </row>
    <row r="69" spans="2:18" x14ac:dyDescent="0.25">
      <c r="B69" s="18">
        <v>40</v>
      </c>
      <c r="C69" s="18" t="s">
        <v>153</v>
      </c>
      <c r="D69" s="3">
        <v>2.14</v>
      </c>
      <c r="E69" s="3">
        <v>31.3</v>
      </c>
      <c r="F69" s="18">
        <v>0</v>
      </c>
      <c r="G69" s="18">
        <v>0</v>
      </c>
      <c r="H69" s="3">
        <v>41.428571428571431</v>
      </c>
      <c r="I69" s="3">
        <v>4.1428571428571433E-2</v>
      </c>
      <c r="J69" s="126">
        <v>19</v>
      </c>
      <c r="K69" s="3">
        <v>10</v>
      </c>
      <c r="L69" s="3">
        <v>10</v>
      </c>
      <c r="M69" s="3">
        <v>20</v>
      </c>
      <c r="N69" s="3">
        <v>3.5</v>
      </c>
      <c r="O69" s="3">
        <v>1.5650000000000002</v>
      </c>
      <c r="P69" s="3">
        <v>22.532499999999999</v>
      </c>
      <c r="Q69" s="3">
        <v>9.0130000000000002E-2</v>
      </c>
      <c r="R69" s="3">
        <v>0.19287820000000003</v>
      </c>
    </row>
    <row r="70" spans="2:18" x14ac:dyDescent="0.25">
      <c r="B70" s="18">
        <v>40</v>
      </c>
      <c r="C70" s="18" t="s">
        <v>153</v>
      </c>
      <c r="D70" s="3">
        <v>2.14</v>
      </c>
      <c r="E70" s="3">
        <v>31.3</v>
      </c>
      <c r="F70" s="18">
        <v>0.1</v>
      </c>
      <c r="G70" s="18">
        <v>20</v>
      </c>
      <c r="H70" s="3">
        <v>50</v>
      </c>
      <c r="I70" s="3">
        <v>0.05</v>
      </c>
      <c r="J70" s="126">
        <v>22</v>
      </c>
      <c r="K70" s="3">
        <v>10</v>
      </c>
      <c r="L70" s="3">
        <v>10</v>
      </c>
      <c r="M70" s="3">
        <v>20</v>
      </c>
      <c r="N70" s="3">
        <v>3.5</v>
      </c>
      <c r="O70" s="3">
        <v>1.5650000000000002</v>
      </c>
      <c r="P70" s="3">
        <v>22.532499999999999</v>
      </c>
      <c r="Q70" s="3">
        <v>9.0130000000000002E-2</v>
      </c>
      <c r="R70" s="3">
        <v>0.19287820000000003</v>
      </c>
    </row>
    <row r="71" spans="2:18" x14ac:dyDescent="0.25">
      <c r="B71" s="18">
        <v>40</v>
      </c>
      <c r="C71" s="18" t="s">
        <v>153</v>
      </c>
      <c r="D71" s="3">
        <v>2.14</v>
      </c>
      <c r="E71" s="3">
        <v>31.3</v>
      </c>
      <c r="F71" s="18">
        <v>0.13</v>
      </c>
      <c r="G71" s="18">
        <v>26</v>
      </c>
      <c r="H71" s="3">
        <v>51.25</v>
      </c>
      <c r="I71" s="3">
        <v>5.1249999999999997E-2</v>
      </c>
      <c r="J71" s="126">
        <v>24</v>
      </c>
      <c r="K71" s="3">
        <v>10</v>
      </c>
      <c r="L71" s="3">
        <v>10</v>
      </c>
      <c r="M71" s="3">
        <v>20</v>
      </c>
      <c r="N71" s="3">
        <v>3.5</v>
      </c>
      <c r="O71" s="3">
        <v>1.5650000000000002</v>
      </c>
      <c r="P71" s="3">
        <v>22.532499999999999</v>
      </c>
      <c r="Q71" s="3">
        <v>9.0130000000000002E-2</v>
      </c>
      <c r="R71" s="3">
        <v>0.19287820000000003</v>
      </c>
    </row>
    <row r="72" spans="2:18" x14ac:dyDescent="0.25">
      <c r="B72" s="18">
        <v>40</v>
      </c>
      <c r="C72" s="18" t="s">
        <v>153</v>
      </c>
      <c r="D72" s="3">
        <v>2.14</v>
      </c>
      <c r="E72" s="3">
        <v>31.3</v>
      </c>
      <c r="F72" s="18">
        <v>0.15</v>
      </c>
      <c r="G72" s="18">
        <v>30</v>
      </c>
      <c r="H72" s="3">
        <v>86</v>
      </c>
      <c r="I72" s="3">
        <v>8.5999999999999993E-2</v>
      </c>
      <c r="J72" s="126">
        <v>27</v>
      </c>
      <c r="K72" s="3">
        <v>10</v>
      </c>
      <c r="L72" s="3">
        <v>10</v>
      </c>
      <c r="M72" s="3">
        <v>20</v>
      </c>
      <c r="N72" s="3">
        <v>3.5</v>
      </c>
      <c r="O72" s="3">
        <v>1.5650000000000002</v>
      </c>
      <c r="P72" s="3">
        <v>22.532499999999999</v>
      </c>
      <c r="Q72" s="3">
        <v>9.0130000000000002E-2</v>
      </c>
      <c r="R72" s="3">
        <v>0.19287820000000003</v>
      </c>
    </row>
    <row r="73" spans="2:18" x14ac:dyDescent="0.25">
      <c r="B73" s="18">
        <v>40</v>
      </c>
      <c r="C73" s="18" t="s">
        <v>153</v>
      </c>
      <c r="D73" s="3">
        <v>2.14</v>
      </c>
      <c r="E73" s="3">
        <v>31.3</v>
      </c>
      <c r="F73" s="18">
        <v>0.16</v>
      </c>
      <c r="G73" s="18">
        <v>32</v>
      </c>
      <c r="H73" s="3">
        <v>74</v>
      </c>
      <c r="I73" s="3">
        <v>7.3999999999999996E-2</v>
      </c>
      <c r="J73" s="126">
        <v>26</v>
      </c>
      <c r="K73" s="3">
        <v>10</v>
      </c>
      <c r="L73" s="3">
        <v>10</v>
      </c>
      <c r="M73" s="3">
        <v>20</v>
      </c>
      <c r="N73" s="3">
        <v>3.5</v>
      </c>
      <c r="O73" s="3">
        <v>1.5650000000000002</v>
      </c>
      <c r="P73" s="3">
        <v>22.532499999999999</v>
      </c>
      <c r="Q73" s="3">
        <v>9.0130000000000002E-2</v>
      </c>
      <c r="R73" s="3">
        <v>0.19287820000000003</v>
      </c>
    </row>
    <row r="74" spans="2:18" x14ac:dyDescent="0.25">
      <c r="B74" s="18">
        <v>40</v>
      </c>
      <c r="C74" s="18" t="s">
        <v>153</v>
      </c>
      <c r="D74" s="3">
        <v>2.14</v>
      </c>
      <c r="E74" s="3">
        <v>31.3</v>
      </c>
      <c r="F74" s="18">
        <v>0.28000000000000003</v>
      </c>
      <c r="G74" s="18">
        <v>56.000000000000007</v>
      </c>
      <c r="H74" s="3">
        <v>107.5</v>
      </c>
      <c r="I74" s="3">
        <v>0.1075</v>
      </c>
      <c r="J74" s="126">
        <v>35</v>
      </c>
      <c r="K74" s="3">
        <v>20</v>
      </c>
      <c r="L74" s="3">
        <v>20</v>
      </c>
      <c r="M74" s="3">
        <v>20</v>
      </c>
      <c r="N74" s="3">
        <v>3.5</v>
      </c>
      <c r="O74" s="3">
        <v>1.5650000000000002</v>
      </c>
      <c r="P74" s="3">
        <v>32.532499999999999</v>
      </c>
      <c r="Q74" s="3">
        <v>0.13013</v>
      </c>
      <c r="R74" s="3">
        <v>0.27847820000000001</v>
      </c>
    </row>
    <row r="75" spans="2:18" x14ac:dyDescent="0.25">
      <c r="B75" s="18">
        <v>40</v>
      </c>
      <c r="C75" s="18" t="s">
        <v>153</v>
      </c>
      <c r="D75" s="3">
        <v>2.14</v>
      </c>
      <c r="E75" s="3">
        <v>31.3</v>
      </c>
      <c r="F75" s="18">
        <v>0</v>
      </c>
      <c r="G75" s="18">
        <v>0</v>
      </c>
      <c r="H75" s="3">
        <v>60</v>
      </c>
      <c r="I75" s="3">
        <v>0.06</v>
      </c>
      <c r="J75" s="126">
        <v>19</v>
      </c>
      <c r="K75" s="3">
        <v>10</v>
      </c>
      <c r="L75" s="3">
        <v>10</v>
      </c>
      <c r="M75" s="3">
        <v>20</v>
      </c>
      <c r="N75" s="3">
        <v>3.5</v>
      </c>
      <c r="O75" s="3">
        <v>1.5650000000000002</v>
      </c>
      <c r="P75" s="3">
        <v>22.532499999999999</v>
      </c>
      <c r="Q75" s="3">
        <v>9.0130000000000002E-2</v>
      </c>
      <c r="R75" s="3">
        <v>0.19287820000000003</v>
      </c>
    </row>
    <row r="76" spans="2:18" x14ac:dyDescent="0.25">
      <c r="B76" s="18">
        <v>40</v>
      </c>
      <c r="C76" s="18" t="s">
        <v>153</v>
      </c>
      <c r="D76" s="3">
        <v>2.14</v>
      </c>
      <c r="E76" s="3">
        <v>31.3</v>
      </c>
      <c r="F76" s="18">
        <v>0</v>
      </c>
      <c r="G76" s="18">
        <v>0</v>
      </c>
      <c r="H76" s="3">
        <v>34</v>
      </c>
      <c r="I76" s="3">
        <v>3.4000000000000002E-2</v>
      </c>
      <c r="J76" s="126">
        <v>18</v>
      </c>
      <c r="K76" s="3">
        <v>10</v>
      </c>
      <c r="L76" s="3">
        <v>10</v>
      </c>
      <c r="M76" s="3">
        <v>20</v>
      </c>
      <c r="N76" s="3">
        <v>3.5</v>
      </c>
      <c r="O76" s="3">
        <v>1.5650000000000002</v>
      </c>
      <c r="P76" s="3">
        <v>22.532499999999999</v>
      </c>
      <c r="Q76" s="3">
        <v>9.0130000000000002E-2</v>
      </c>
      <c r="R76" s="3">
        <v>0.19287820000000003</v>
      </c>
    </row>
    <row r="77" spans="2:18" x14ac:dyDescent="0.25">
      <c r="B77" s="18">
        <v>40</v>
      </c>
      <c r="C77" s="18" t="s">
        <v>153</v>
      </c>
      <c r="D77" s="3">
        <v>2.14</v>
      </c>
      <c r="E77" s="3">
        <v>31.3</v>
      </c>
      <c r="F77" s="18">
        <v>0</v>
      </c>
      <c r="G77" s="18">
        <v>0</v>
      </c>
      <c r="H77" s="3">
        <v>32</v>
      </c>
      <c r="I77" s="3">
        <v>3.2000000000000001E-2</v>
      </c>
      <c r="J77" s="126">
        <v>18</v>
      </c>
      <c r="K77" s="3">
        <v>10</v>
      </c>
      <c r="L77" s="3">
        <v>10</v>
      </c>
      <c r="M77" s="3">
        <v>20</v>
      </c>
      <c r="N77" s="3">
        <v>3.5</v>
      </c>
      <c r="O77" s="3">
        <v>1.5650000000000002</v>
      </c>
      <c r="P77" s="3">
        <v>22.532499999999999</v>
      </c>
      <c r="Q77" s="3">
        <v>9.0130000000000002E-2</v>
      </c>
      <c r="R77" s="3">
        <v>0.19287820000000003</v>
      </c>
    </row>
    <row r="78" spans="2:18" x14ac:dyDescent="0.25">
      <c r="B78" s="18">
        <v>40</v>
      </c>
      <c r="C78" s="18" t="s">
        <v>153</v>
      </c>
      <c r="D78" s="3">
        <v>2.14</v>
      </c>
      <c r="E78" s="3">
        <v>31.3</v>
      </c>
      <c r="F78" s="18">
        <v>0.1</v>
      </c>
      <c r="G78" s="18">
        <v>20</v>
      </c>
      <c r="H78" s="3">
        <v>70</v>
      </c>
      <c r="I78" s="3">
        <v>7.0000000000000007E-2</v>
      </c>
      <c r="J78" s="126">
        <v>23</v>
      </c>
      <c r="K78" s="3">
        <v>10</v>
      </c>
      <c r="L78" s="3">
        <v>10</v>
      </c>
      <c r="M78" s="3">
        <v>20</v>
      </c>
      <c r="N78" s="3">
        <v>3.5</v>
      </c>
      <c r="O78" s="3">
        <v>1.5650000000000002</v>
      </c>
      <c r="P78" s="3">
        <v>22.532499999999999</v>
      </c>
      <c r="Q78" s="3">
        <v>9.0130000000000002E-2</v>
      </c>
      <c r="R78" s="3">
        <v>0.19287820000000003</v>
      </c>
    </row>
    <row r="79" spans="2:18" x14ac:dyDescent="0.25">
      <c r="B79" s="18">
        <v>40</v>
      </c>
      <c r="C79" s="18" t="s">
        <v>153</v>
      </c>
      <c r="D79" s="3">
        <v>2.14</v>
      </c>
      <c r="E79" s="3">
        <v>31.3</v>
      </c>
      <c r="F79" s="18">
        <v>0</v>
      </c>
      <c r="G79" s="18">
        <v>0</v>
      </c>
      <c r="H79" s="3">
        <v>42</v>
      </c>
      <c r="I79" s="3">
        <v>4.2000000000000003E-2</v>
      </c>
      <c r="J79" s="126">
        <v>17</v>
      </c>
      <c r="K79" s="3">
        <v>10</v>
      </c>
      <c r="L79" s="3">
        <v>10</v>
      </c>
      <c r="M79" s="3">
        <v>20</v>
      </c>
      <c r="N79" s="3">
        <v>3.5</v>
      </c>
      <c r="O79" s="3">
        <v>1.5650000000000002</v>
      </c>
      <c r="P79" s="3">
        <v>22.532499999999999</v>
      </c>
      <c r="Q79" s="3">
        <v>9.0130000000000002E-2</v>
      </c>
      <c r="R79" s="3">
        <v>0.19287820000000003</v>
      </c>
    </row>
    <row r="80" spans="2:18" x14ac:dyDescent="0.25">
      <c r="B80" s="18">
        <v>40</v>
      </c>
      <c r="C80" s="18" t="s">
        <v>153</v>
      </c>
      <c r="D80" s="3">
        <v>2.14</v>
      </c>
      <c r="E80" s="3">
        <v>31.3</v>
      </c>
      <c r="F80" s="18">
        <v>0</v>
      </c>
      <c r="G80" s="18">
        <v>0</v>
      </c>
      <c r="H80" s="3">
        <v>28</v>
      </c>
      <c r="I80" s="3">
        <v>2.8000000000000001E-2</v>
      </c>
      <c r="J80" s="126">
        <v>18</v>
      </c>
      <c r="K80" s="3">
        <v>10</v>
      </c>
      <c r="L80" s="3">
        <v>10</v>
      </c>
      <c r="M80" s="3">
        <v>20</v>
      </c>
      <c r="N80" s="3">
        <v>3.5</v>
      </c>
      <c r="O80" s="3">
        <v>1.5650000000000002</v>
      </c>
      <c r="P80" s="3">
        <v>22.532499999999999</v>
      </c>
      <c r="Q80" s="3">
        <v>9.0130000000000002E-2</v>
      </c>
      <c r="R80" s="3">
        <v>0.19287820000000003</v>
      </c>
    </row>
    <row r="81" spans="2:18" x14ac:dyDescent="0.25">
      <c r="B81" s="18">
        <v>40</v>
      </c>
      <c r="C81" s="18" t="s">
        <v>153</v>
      </c>
      <c r="D81" s="3">
        <v>2.14</v>
      </c>
      <c r="E81" s="3">
        <v>31.3</v>
      </c>
      <c r="F81" s="18">
        <v>0</v>
      </c>
      <c r="G81" s="18">
        <v>0</v>
      </c>
      <c r="H81" s="3">
        <v>62.5</v>
      </c>
      <c r="I81" s="3">
        <v>6.25E-2</v>
      </c>
      <c r="J81" s="126">
        <v>17</v>
      </c>
      <c r="K81" s="3">
        <v>10</v>
      </c>
      <c r="L81" s="3">
        <v>10</v>
      </c>
      <c r="M81" s="3">
        <v>20</v>
      </c>
      <c r="N81" s="3">
        <v>3.5</v>
      </c>
      <c r="O81" s="3">
        <v>1.5650000000000002</v>
      </c>
      <c r="P81" s="3">
        <v>22.532499999999999</v>
      </c>
      <c r="Q81" s="3">
        <v>9.0130000000000002E-2</v>
      </c>
      <c r="R81" s="3">
        <v>0.19287820000000003</v>
      </c>
    </row>
    <row r="82" spans="2:18" x14ac:dyDescent="0.25">
      <c r="B82" s="18">
        <v>40</v>
      </c>
      <c r="C82" s="18" t="s">
        <v>153</v>
      </c>
      <c r="D82" s="3">
        <v>2.14</v>
      </c>
      <c r="E82" s="3">
        <v>31.3</v>
      </c>
      <c r="F82" s="18">
        <v>0</v>
      </c>
      <c r="G82" s="18">
        <v>0</v>
      </c>
      <c r="H82" s="3">
        <v>65</v>
      </c>
      <c r="I82" s="3">
        <v>6.5000000000000002E-2</v>
      </c>
      <c r="J82" s="126">
        <v>18</v>
      </c>
      <c r="K82" s="3">
        <v>10</v>
      </c>
      <c r="L82" s="3">
        <v>10</v>
      </c>
      <c r="M82" s="3">
        <v>20</v>
      </c>
      <c r="N82" s="3">
        <v>3.5</v>
      </c>
      <c r="O82" s="3">
        <v>1.5650000000000002</v>
      </c>
      <c r="P82" s="3">
        <v>22.532499999999999</v>
      </c>
      <c r="Q82" s="3">
        <v>9.0130000000000002E-2</v>
      </c>
      <c r="R82" s="3">
        <v>0.19287820000000003</v>
      </c>
    </row>
    <row r="83" spans="2:18" x14ac:dyDescent="0.25">
      <c r="B83" s="18">
        <v>40</v>
      </c>
      <c r="C83" s="18" t="s">
        <v>153</v>
      </c>
      <c r="D83" s="3">
        <v>2.14</v>
      </c>
      <c r="E83" s="3">
        <v>31.3</v>
      </c>
      <c r="F83" s="18">
        <v>0</v>
      </c>
      <c r="G83" s="18">
        <v>0</v>
      </c>
      <c r="H83" s="3">
        <v>62.5</v>
      </c>
      <c r="I83" s="3">
        <v>6.25E-2</v>
      </c>
      <c r="J83" s="126">
        <v>17</v>
      </c>
      <c r="K83" s="3">
        <v>10</v>
      </c>
      <c r="L83" s="3">
        <v>10</v>
      </c>
      <c r="M83" s="3">
        <v>20</v>
      </c>
      <c r="N83" s="3">
        <v>3.5</v>
      </c>
      <c r="O83" s="3">
        <v>1.5650000000000002</v>
      </c>
      <c r="P83" s="3">
        <v>22.532499999999999</v>
      </c>
      <c r="Q83" s="3">
        <v>9.0130000000000002E-2</v>
      </c>
      <c r="R83" s="3">
        <v>0.19287820000000003</v>
      </c>
    </row>
    <row r="84" spans="2:18" x14ac:dyDescent="0.25">
      <c r="B84" s="18">
        <v>40</v>
      </c>
      <c r="C84" s="18" t="s">
        <v>153</v>
      </c>
      <c r="D84" s="3">
        <v>2.14</v>
      </c>
      <c r="E84" s="3">
        <v>31.3</v>
      </c>
      <c r="F84" s="18">
        <v>0</v>
      </c>
      <c r="G84" s="18">
        <v>0</v>
      </c>
      <c r="H84" s="3">
        <v>83.333333333333329</v>
      </c>
      <c r="I84" s="3">
        <v>8.3333333333333329E-2</v>
      </c>
      <c r="J84" s="126">
        <v>19</v>
      </c>
      <c r="K84" s="3">
        <v>10</v>
      </c>
      <c r="L84" s="3">
        <v>10</v>
      </c>
      <c r="M84" s="3">
        <v>20</v>
      </c>
      <c r="N84" s="3">
        <v>3.5</v>
      </c>
      <c r="O84" s="3">
        <v>1.5650000000000002</v>
      </c>
      <c r="P84" s="3">
        <v>22.532499999999999</v>
      </c>
      <c r="Q84" s="3">
        <v>9.0130000000000002E-2</v>
      </c>
      <c r="R84" s="3">
        <v>0.19287820000000003</v>
      </c>
    </row>
    <row r="85" spans="2:18" x14ac:dyDescent="0.25">
      <c r="B85" s="18">
        <v>40</v>
      </c>
      <c r="C85" s="18" t="s">
        <v>153</v>
      </c>
      <c r="D85" s="3">
        <v>2.14</v>
      </c>
      <c r="E85" s="3">
        <v>31.3</v>
      </c>
      <c r="F85" s="18">
        <v>0</v>
      </c>
      <c r="G85" s="18">
        <v>0</v>
      </c>
      <c r="H85" s="3">
        <v>56</v>
      </c>
      <c r="I85" s="3">
        <v>5.6000000000000001E-2</v>
      </c>
      <c r="J85" s="126">
        <v>17</v>
      </c>
      <c r="K85" s="3">
        <v>10</v>
      </c>
      <c r="L85" s="3">
        <v>10</v>
      </c>
      <c r="M85" s="3">
        <v>20</v>
      </c>
      <c r="N85" s="3">
        <v>3.5</v>
      </c>
      <c r="O85" s="3">
        <v>1.5650000000000002</v>
      </c>
      <c r="P85" s="3">
        <v>22.532499999999999</v>
      </c>
      <c r="Q85" s="3">
        <v>9.0130000000000002E-2</v>
      </c>
      <c r="R85" s="3">
        <v>0.19287820000000003</v>
      </c>
    </row>
    <row r="86" spans="2:18" x14ac:dyDescent="0.25">
      <c r="B86" s="18">
        <v>40</v>
      </c>
      <c r="C86" s="18" t="s">
        <v>153</v>
      </c>
      <c r="D86" s="3">
        <v>2.14</v>
      </c>
      <c r="E86" s="3">
        <v>31.3</v>
      </c>
      <c r="F86" s="18">
        <v>0</v>
      </c>
      <c r="G86" s="18">
        <v>0</v>
      </c>
      <c r="H86" s="3">
        <v>38</v>
      </c>
      <c r="I86" s="3">
        <v>3.7999999999999999E-2</v>
      </c>
      <c r="J86" s="126">
        <v>17</v>
      </c>
      <c r="K86" s="3">
        <v>10</v>
      </c>
      <c r="L86" s="3">
        <v>10</v>
      </c>
      <c r="M86" s="3">
        <v>20</v>
      </c>
      <c r="N86" s="3">
        <v>3.5</v>
      </c>
      <c r="O86" s="3">
        <v>1.5650000000000002</v>
      </c>
      <c r="P86" s="3">
        <v>22.532499999999999</v>
      </c>
      <c r="Q86" s="3">
        <v>9.0130000000000002E-2</v>
      </c>
      <c r="R86" s="3">
        <v>0.19287820000000003</v>
      </c>
    </row>
    <row r="87" spans="2:18" x14ac:dyDescent="0.25">
      <c r="B87" s="18">
        <v>40</v>
      </c>
      <c r="C87" s="18" t="s">
        <v>153</v>
      </c>
      <c r="D87" s="3">
        <v>2.14</v>
      </c>
      <c r="E87" s="3">
        <v>31.3</v>
      </c>
      <c r="F87" s="18">
        <v>0</v>
      </c>
      <c r="G87" s="18">
        <v>0</v>
      </c>
      <c r="H87" s="3">
        <v>46</v>
      </c>
      <c r="I87" s="3">
        <v>4.5999999999999999E-2</v>
      </c>
      <c r="J87" s="126">
        <v>17</v>
      </c>
      <c r="K87" s="3">
        <v>10</v>
      </c>
      <c r="L87" s="3">
        <v>10</v>
      </c>
      <c r="M87" s="3">
        <v>20</v>
      </c>
      <c r="N87" s="3">
        <v>3.5</v>
      </c>
      <c r="O87" s="3">
        <v>1.5650000000000002</v>
      </c>
      <c r="P87" s="3">
        <v>22.532499999999999</v>
      </c>
      <c r="Q87" s="3">
        <v>9.0130000000000002E-2</v>
      </c>
      <c r="R87" s="3">
        <v>0.19287820000000003</v>
      </c>
    </row>
    <row r="88" spans="2:18" x14ac:dyDescent="0.25">
      <c r="B88" s="18">
        <v>40</v>
      </c>
      <c r="C88" s="18" t="s">
        <v>153</v>
      </c>
      <c r="D88" s="3">
        <v>2.14</v>
      </c>
      <c r="E88" s="3">
        <v>31.3</v>
      </c>
      <c r="F88" s="18">
        <v>0.13</v>
      </c>
      <c r="G88" s="18">
        <v>26</v>
      </c>
      <c r="H88" s="3">
        <v>70</v>
      </c>
      <c r="I88" s="3">
        <v>7.0000000000000007E-2</v>
      </c>
      <c r="J88" s="126">
        <v>26</v>
      </c>
      <c r="K88" s="3">
        <v>10</v>
      </c>
      <c r="L88" s="3">
        <v>10</v>
      </c>
      <c r="M88" s="3">
        <v>20</v>
      </c>
      <c r="N88" s="3">
        <v>3.5</v>
      </c>
      <c r="O88" s="3">
        <v>1.5650000000000002</v>
      </c>
      <c r="P88" s="3">
        <v>22.532499999999999</v>
      </c>
      <c r="Q88" s="3">
        <v>9.0130000000000002E-2</v>
      </c>
      <c r="R88" s="3">
        <v>0.19287820000000003</v>
      </c>
    </row>
    <row r="89" spans="2:18" x14ac:dyDescent="0.25">
      <c r="B89" s="18">
        <v>40</v>
      </c>
      <c r="C89" s="18" t="s">
        <v>153</v>
      </c>
      <c r="D89" s="3">
        <v>2.14</v>
      </c>
      <c r="E89" s="3">
        <v>31.3</v>
      </c>
      <c r="F89" s="18">
        <v>0.11</v>
      </c>
      <c r="G89" s="18">
        <v>22</v>
      </c>
      <c r="H89" s="3">
        <v>53.333333333333336</v>
      </c>
      <c r="I89" s="3">
        <v>5.3333333333333337E-2</v>
      </c>
      <c r="J89" s="126">
        <v>23</v>
      </c>
      <c r="K89" s="3">
        <v>10</v>
      </c>
      <c r="L89" s="3">
        <v>10</v>
      </c>
      <c r="M89" s="3">
        <v>20</v>
      </c>
      <c r="N89" s="3">
        <v>3.5</v>
      </c>
      <c r="O89" s="3">
        <v>1.5650000000000002</v>
      </c>
      <c r="P89" s="3">
        <v>22.532499999999999</v>
      </c>
      <c r="Q89" s="3">
        <v>9.0130000000000002E-2</v>
      </c>
      <c r="R89" s="3">
        <v>0.19287820000000003</v>
      </c>
    </row>
    <row r="90" spans="2:18" x14ac:dyDescent="0.25">
      <c r="B90" s="18">
        <v>40</v>
      </c>
      <c r="C90" s="18" t="s">
        <v>153</v>
      </c>
      <c r="D90" s="3">
        <v>2.14</v>
      </c>
      <c r="E90" s="3">
        <v>31.3</v>
      </c>
      <c r="F90" s="18">
        <v>0</v>
      </c>
      <c r="G90" s="18">
        <v>0</v>
      </c>
      <c r="H90" s="3">
        <v>36</v>
      </c>
      <c r="I90" s="3">
        <v>3.5999999999999997E-2</v>
      </c>
      <c r="J90" s="126">
        <v>18</v>
      </c>
      <c r="K90" s="3">
        <v>10</v>
      </c>
      <c r="L90" s="3">
        <v>10</v>
      </c>
      <c r="M90" s="3">
        <v>20</v>
      </c>
      <c r="N90" s="3">
        <v>3.5</v>
      </c>
      <c r="O90" s="3">
        <v>1.5650000000000002</v>
      </c>
      <c r="P90" s="3">
        <v>22.532499999999999</v>
      </c>
      <c r="Q90" s="3">
        <v>9.0130000000000002E-2</v>
      </c>
      <c r="R90" s="3">
        <v>0.19287820000000003</v>
      </c>
    </row>
    <row r="91" spans="2:18" x14ac:dyDescent="0.25">
      <c r="B91" s="18">
        <v>40</v>
      </c>
      <c r="C91" s="18" t="s">
        <v>153</v>
      </c>
      <c r="D91" s="3">
        <v>2.14</v>
      </c>
      <c r="E91" s="3">
        <v>31.3</v>
      </c>
      <c r="F91" s="18">
        <v>0.11</v>
      </c>
      <c r="G91" s="18">
        <v>22</v>
      </c>
      <c r="H91" s="3">
        <v>63.333333333333336</v>
      </c>
      <c r="I91" s="3">
        <v>6.3333333333333339E-2</v>
      </c>
      <c r="J91" s="126">
        <v>24</v>
      </c>
      <c r="K91" s="3">
        <v>10</v>
      </c>
      <c r="L91" s="3">
        <v>10</v>
      </c>
      <c r="M91" s="3">
        <v>20</v>
      </c>
      <c r="N91" s="3">
        <v>3.5</v>
      </c>
      <c r="O91" s="3">
        <v>1.5650000000000002</v>
      </c>
      <c r="P91" s="3">
        <v>22.532499999999999</v>
      </c>
      <c r="Q91" s="3">
        <v>9.0130000000000002E-2</v>
      </c>
      <c r="R91" s="3">
        <v>0.19287820000000003</v>
      </c>
    </row>
    <row r="92" spans="2:18" x14ac:dyDescent="0.25">
      <c r="B92" s="18">
        <v>40</v>
      </c>
      <c r="C92" s="18" t="s">
        <v>153</v>
      </c>
      <c r="D92" s="3">
        <v>2.14</v>
      </c>
      <c r="E92" s="3">
        <v>31.3</v>
      </c>
      <c r="F92" s="18">
        <v>0.11</v>
      </c>
      <c r="G92" s="18">
        <v>22</v>
      </c>
      <c r="H92" s="3">
        <v>63.333333333333336</v>
      </c>
      <c r="I92" s="3">
        <v>6.3333333333333339E-2</v>
      </c>
      <c r="J92" s="126">
        <v>23</v>
      </c>
      <c r="K92" s="3">
        <v>10</v>
      </c>
      <c r="L92" s="3">
        <v>10</v>
      </c>
      <c r="M92" s="3">
        <v>20</v>
      </c>
      <c r="N92" s="3">
        <v>3.5</v>
      </c>
      <c r="O92" s="3">
        <v>1.5650000000000002</v>
      </c>
      <c r="P92" s="3">
        <v>22.532499999999999</v>
      </c>
      <c r="Q92" s="3">
        <v>9.0130000000000002E-2</v>
      </c>
      <c r="R92" s="3">
        <v>0.19287820000000003</v>
      </c>
    </row>
    <row r="93" spans="2:18" x14ac:dyDescent="0.25">
      <c r="B93" s="18">
        <v>40</v>
      </c>
      <c r="C93" s="18" t="s">
        <v>153</v>
      </c>
      <c r="D93" s="3">
        <v>2.14</v>
      </c>
      <c r="E93" s="3">
        <v>31.3</v>
      </c>
      <c r="F93" s="18">
        <v>0</v>
      </c>
      <c r="G93" s="18">
        <v>0</v>
      </c>
      <c r="H93" s="3">
        <v>37.5</v>
      </c>
      <c r="I93" s="3">
        <v>3.7499999999999999E-2</v>
      </c>
      <c r="J93" s="126">
        <v>18</v>
      </c>
      <c r="K93" s="3">
        <v>10</v>
      </c>
      <c r="L93" s="3">
        <v>10</v>
      </c>
      <c r="M93" s="3">
        <v>20</v>
      </c>
      <c r="N93" s="3">
        <v>3.5</v>
      </c>
      <c r="O93" s="3">
        <v>1.5650000000000002</v>
      </c>
      <c r="P93" s="3">
        <v>22.532499999999999</v>
      </c>
      <c r="Q93" s="3">
        <v>9.0130000000000002E-2</v>
      </c>
      <c r="R93" s="3">
        <v>0.19287820000000003</v>
      </c>
    </row>
    <row r="94" spans="2:18" x14ac:dyDescent="0.25">
      <c r="B94" s="18">
        <v>40</v>
      </c>
      <c r="C94" s="18" t="s">
        <v>153</v>
      </c>
      <c r="D94" s="3">
        <v>2.14</v>
      </c>
      <c r="E94" s="3">
        <v>31.3</v>
      </c>
      <c r="F94" s="18">
        <v>0.13</v>
      </c>
      <c r="G94" s="18">
        <v>26</v>
      </c>
      <c r="H94" s="3">
        <v>90</v>
      </c>
      <c r="I94" s="3">
        <v>0.09</v>
      </c>
      <c r="J94" s="126">
        <v>28</v>
      </c>
      <c r="K94" s="3">
        <v>10</v>
      </c>
      <c r="L94" s="3">
        <v>10</v>
      </c>
      <c r="M94" s="3">
        <v>20</v>
      </c>
      <c r="N94" s="3">
        <v>3.5</v>
      </c>
      <c r="O94" s="3">
        <v>1.5650000000000002</v>
      </c>
      <c r="P94" s="3">
        <v>22.532499999999999</v>
      </c>
      <c r="Q94" s="3">
        <v>9.0130000000000002E-2</v>
      </c>
      <c r="R94" s="3">
        <v>0.19287820000000003</v>
      </c>
    </row>
    <row r="95" spans="2:18" x14ac:dyDescent="0.25">
      <c r="B95" s="18">
        <v>40</v>
      </c>
      <c r="C95" s="18" t="s">
        <v>153</v>
      </c>
      <c r="D95" s="3">
        <v>2.14</v>
      </c>
      <c r="E95" s="3">
        <v>31.3</v>
      </c>
      <c r="F95" s="18">
        <v>0</v>
      </c>
      <c r="G95" s="18">
        <v>0</v>
      </c>
      <c r="H95" s="3">
        <v>26</v>
      </c>
      <c r="I95" s="3">
        <v>2.5999999999999999E-2</v>
      </c>
      <c r="J95" s="126">
        <v>17</v>
      </c>
      <c r="K95" s="3">
        <v>10</v>
      </c>
      <c r="L95" s="3">
        <v>10</v>
      </c>
      <c r="M95" s="3">
        <v>20</v>
      </c>
      <c r="N95" s="3">
        <v>3.5</v>
      </c>
      <c r="O95" s="3">
        <v>1.5650000000000002</v>
      </c>
      <c r="P95" s="3">
        <v>22.532499999999999</v>
      </c>
      <c r="Q95" s="3">
        <v>9.0130000000000002E-2</v>
      </c>
      <c r="R95" s="3">
        <v>0.19287820000000003</v>
      </c>
    </row>
    <row r="96" spans="2:18" x14ac:dyDescent="0.25">
      <c r="B96" s="18">
        <v>40</v>
      </c>
      <c r="C96" s="18" t="s">
        <v>153</v>
      </c>
      <c r="D96" s="3">
        <v>2.14</v>
      </c>
      <c r="E96" s="3">
        <v>31.3</v>
      </c>
      <c r="F96" s="18">
        <v>0</v>
      </c>
      <c r="G96" s="18">
        <v>0</v>
      </c>
      <c r="H96" s="3">
        <v>58</v>
      </c>
      <c r="I96" s="3">
        <v>5.8000000000000003E-2</v>
      </c>
      <c r="J96" s="126">
        <v>17</v>
      </c>
      <c r="K96" s="3">
        <v>10</v>
      </c>
      <c r="L96" s="3">
        <v>10</v>
      </c>
      <c r="M96" s="3">
        <v>20</v>
      </c>
      <c r="N96" s="3">
        <v>3.5</v>
      </c>
      <c r="O96" s="3">
        <v>1.5650000000000002</v>
      </c>
      <c r="P96" s="3">
        <v>22.532499999999999</v>
      </c>
      <c r="Q96" s="3">
        <v>9.0130000000000002E-2</v>
      </c>
      <c r="R96" s="3">
        <v>0.19287820000000003</v>
      </c>
    </row>
    <row r="97" spans="2:18" x14ac:dyDescent="0.25">
      <c r="B97" s="18">
        <v>40</v>
      </c>
      <c r="C97" s="18" t="s">
        <v>153</v>
      </c>
      <c r="D97" s="3">
        <v>2.14</v>
      </c>
      <c r="E97" s="3">
        <v>31.3</v>
      </c>
      <c r="F97" s="18">
        <v>0</v>
      </c>
      <c r="G97" s="18">
        <v>0</v>
      </c>
      <c r="H97" s="3">
        <v>20</v>
      </c>
      <c r="I97" s="3">
        <v>0.02</v>
      </c>
      <c r="J97" s="126">
        <v>18</v>
      </c>
      <c r="K97" s="3">
        <v>10</v>
      </c>
      <c r="L97" s="3">
        <v>10</v>
      </c>
      <c r="M97" s="3">
        <v>20</v>
      </c>
      <c r="N97" s="3">
        <v>3.5</v>
      </c>
      <c r="O97" s="3">
        <v>1.5650000000000002</v>
      </c>
      <c r="P97" s="3">
        <v>22.532499999999999</v>
      </c>
      <c r="Q97" s="3">
        <v>9.0130000000000002E-2</v>
      </c>
      <c r="R97" s="3">
        <v>0.19287820000000003</v>
      </c>
    </row>
    <row r="98" spans="2:18" x14ac:dyDescent="0.25">
      <c r="B98" s="18">
        <v>40</v>
      </c>
      <c r="C98" s="18" t="s">
        <v>153</v>
      </c>
      <c r="D98" s="3">
        <v>2.14</v>
      </c>
      <c r="E98" s="3">
        <v>31.3</v>
      </c>
      <c r="F98" s="18">
        <v>0</v>
      </c>
      <c r="G98" s="18">
        <v>0</v>
      </c>
      <c r="H98" s="3">
        <v>16</v>
      </c>
      <c r="I98" s="3">
        <v>1.6E-2</v>
      </c>
      <c r="J98" s="126">
        <v>18</v>
      </c>
      <c r="K98" s="3">
        <v>10</v>
      </c>
      <c r="L98" s="3">
        <v>10</v>
      </c>
      <c r="M98" s="3">
        <v>20</v>
      </c>
      <c r="N98" s="3">
        <v>3.5</v>
      </c>
      <c r="O98" s="3">
        <v>1.5650000000000002</v>
      </c>
      <c r="P98" s="3">
        <v>22.532499999999999</v>
      </c>
      <c r="Q98" s="3">
        <v>9.0130000000000002E-2</v>
      </c>
      <c r="R98" s="3">
        <v>0.19287820000000003</v>
      </c>
    </row>
    <row r="99" spans="2:18" x14ac:dyDescent="0.25">
      <c r="B99" s="18">
        <v>40</v>
      </c>
      <c r="C99" s="18" t="s">
        <v>153</v>
      </c>
      <c r="D99" s="3">
        <v>2.14</v>
      </c>
      <c r="E99" s="3">
        <v>31.3</v>
      </c>
      <c r="F99" s="18">
        <v>0</v>
      </c>
      <c r="G99" s="18">
        <v>0</v>
      </c>
      <c r="H99" s="3">
        <v>28</v>
      </c>
      <c r="I99" s="3">
        <v>2.8000000000000001E-2</v>
      </c>
      <c r="J99" s="126">
        <v>19</v>
      </c>
      <c r="K99" s="3">
        <v>10</v>
      </c>
      <c r="L99" s="3">
        <v>10</v>
      </c>
      <c r="M99" s="3">
        <v>20</v>
      </c>
      <c r="N99" s="3">
        <v>3.5</v>
      </c>
      <c r="O99" s="3">
        <v>1.5650000000000002</v>
      </c>
      <c r="P99" s="3">
        <v>22.532499999999999</v>
      </c>
      <c r="Q99" s="3">
        <v>9.0130000000000002E-2</v>
      </c>
      <c r="R99" s="3">
        <v>0.19287820000000003</v>
      </c>
    </row>
    <row r="100" spans="2:18" x14ac:dyDescent="0.25">
      <c r="B100" s="18">
        <v>40</v>
      </c>
      <c r="C100" s="18" t="s">
        <v>153</v>
      </c>
      <c r="D100" s="3">
        <v>2.14</v>
      </c>
      <c r="E100" s="3">
        <v>31.3</v>
      </c>
      <c r="F100" s="18">
        <v>0.11</v>
      </c>
      <c r="G100" s="18">
        <v>22</v>
      </c>
      <c r="H100" s="3">
        <v>80</v>
      </c>
      <c r="I100" s="3">
        <v>0.08</v>
      </c>
      <c r="J100" s="126">
        <v>24</v>
      </c>
      <c r="K100" s="3">
        <v>10</v>
      </c>
      <c r="L100" s="3">
        <v>10</v>
      </c>
      <c r="M100" s="3">
        <v>20</v>
      </c>
      <c r="N100" s="3">
        <v>3.5</v>
      </c>
      <c r="O100" s="3">
        <v>1.5650000000000002</v>
      </c>
      <c r="P100" s="3">
        <v>22.532499999999999</v>
      </c>
      <c r="Q100" s="3">
        <v>9.0130000000000002E-2</v>
      </c>
      <c r="R100" s="3">
        <v>0.19287820000000003</v>
      </c>
    </row>
    <row r="101" spans="2:18" x14ac:dyDescent="0.25">
      <c r="B101" s="18">
        <v>40</v>
      </c>
      <c r="C101" s="18" t="s">
        <v>153</v>
      </c>
      <c r="D101" s="3">
        <v>2.14</v>
      </c>
      <c r="E101" s="3">
        <v>31.3</v>
      </c>
      <c r="F101" s="18">
        <v>0</v>
      </c>
      <c r="G101" s="18">
        <v>0</v>
      </c>
      <c r="H101" s="3">
        <v>96.666666666666671</v>
      </c>
      <c r="I101" s="3">
        <v>9.6666666666666665E-2</v>
      </c>
      <c r="J101" s="126">
        <v>20</v>
      </c>
      <c r="K101" s="3">
        <v>10</v>
      </c>
      <c r="L101" s="3">
        <v>10</v>
      </c>
      <c r="M101" s="3">
        <v>20</v>
      </c>
      <c r="N101" s="3">
        <v>3.5</v>
      </c>
      <c r="O101" s="3">
        <v>1.5650000000000002</v>
      </c>
      <c r="P101" s="3">
        <v>22.532499999999999</v>
      </c>
      <c r="Q101" s="3">
        <v>9.0130000000000002E-2</v>
      </c>
      <c r="R101" s="3">
        <v>0.19287820000000003</v>
      </c>
    </row>
    <row r="102" spans="2:18" x14ac:dyDescent="0.25">
      <c r="B102" s="18">
        <v>40</v>
      </c>
      <c r="C102" s="18" t="s">
        <v>153</v>
      </c>
      <c r="D102" s="3">
        <v>2.14</v>
      </c>
      <c r="E102" s="3">
        <v>31.3</v>
      </c>
      <c r="F102" s="18">
        <v>0.19</v>
      </c>
      <c r="G102" s="18">
        <v>38</v>
      </c>
      <c r="H102" s="3">
        <v>123.33333333333333</v>
      </c>
      <c r="I102" s="3">
        <v>0.12333333333333332</v>
      </c>
      <c r="J102" s="126">
        <v>29</v>
      </c>
      <c r="K102" s="3">
        <v>10</v>
      </c>
      <c r="L102" s="3">
        <v>20</v>
      </c>
      <c r="M102" s="3">
        <v>20</v>
      </c>
      <c r="N102" s="3">
        <v>3.5</v>
      </c>
      <c r="O102" s="3">
        <v>1.5650000000000002</v>
      </c>
      <c r="P102" s="3">
        <v>27.532499999999999</v>
      </c>
      <c r="Q102" s="3">
        <v>0.11012999999999999</v>
      </c>
      <c r="R102" s="3">
        <v>0.2356782</v>
      </c>
    </row>
    <row r="103" spans="2:18" x14ac:dyDescent="0.25">
      <c r="B103" s="18">
        <v>40</v>
      </c>
      <c r="C103" s="18" t="s">
        <v>153</v>
      </c>
      <c r="D103" s="3">
        <v>2.14</v>
      </c>
      <c r="E103" s="3">
        <v>31.3</v>
      </c>
      <c r="F103" s="18">
        <v>0.14000000000000001</v>
      </c>
      <c r="G103" s="18">
        <v>28.000000000000004</v>
      </c>
      <c r="H103" s="3">
        <v>36</v>
      </c>
      <c r="I103" s="3">
        <v>3.5999999999999997E-2</v>
      </c>
      <c r="J103" s="126">
        <v>23</v>
      </c>
      <c r="K103" s="3">
        <v>10</v>
      </c>
      <c r="L103" s="3">
        <v>10</v>
      </c>
      <c r="M103" s="3">
        <v>20</v>
      </c>
      <c r="N103" s="3">
        <v>3.5</v>
      </c>
      <c r="O103" s="3">
        <v>1.5650000000000002</v>
      </c>
      <c r="P103" s="3">
        <v>22.532499999999999</v>
      </c>
      <c r="Q103" s="3">
        <v>9.0130000000000002E-2</v>
      </c>
      <c r="R103" s="3">
        <v>0.19287820000000003</v>
      </c>
    </row>
    <row r="104" spans="2:18" x14ac:dyDescent="0.25">
      <c r="B104" s="18">
        <v>40</v>
      </c>
      <c r="C104" s="18" t="s">
        <v>153</v>
      </c>
      <c r="D104" s="3">
        <v>2.14</v>
      </c>
      <c r="E104" s="3">
        <v>31.3</v>
      </c>
      <c r="F104" s="18">
        <v>0</v>
      </c>
      <c r="G104" s="18">
        <v>0</v>
      </c>
      <c r="H104" s="3">
        <v>56</v>
      </c>
      <c r="I104" s="3">
        <v>5.6000000000000001E-2</v>
      </c>
      <c r="J104" s="126">
        <v>17</v>
      </c>
      <c r="K104" s="3">
        <v>10</v>
      </c>
      <c r="L104" s="3">
        <v>10</v>
      </c>
      <c r="M104" s="3">
        <v>20</v>
      </c>
      <c r="N104" s="3">
        <v>3.5</v>
      </c>
      <c r="O104" s="3">
        <v>1.5650000000000002</v>
      </c>
      <c r="P104" s="3">
        <v>22.532499999999999</v>
      </c>
      <c r="Q104" s="3">
        <v>9.0130000000000002E-2</v>
      </c>
      <c r="R104" s="3">
        <v>0.19287820000000003</v>
      </c>
    </row>
    <row r="105" spans="2:18" x14ac:dyDescent="0.25">
      <c r="B105" s="18">
        <v>40</v>
      </c>
      <c r="C105" s="18" t="s">
        <v>153</v>
      </c>
      <c r="D105" s="3">
        <v>2.14</v>
      </c>
      <c r="E105" s="3">
        <v>31.3</v>
      </c>
      <c r="F105" s="18">
        <v>0.11</v>
      </c>
      <c r="G105" s="18">
        <v>22</v>
      </c>
      <c r="H105" s="3">
        <v>105</v>
      </c>
      <c r="I105" s="3">
        <v>0.105</v>
      </c>
      <c r="J105" s="126">
        <v>25</v>
      </c>
      <c r="K105" s="3">
        <v>10</v>
      </c>
      <c r="L105" s="3">
        <v>20</v>
      </c>
      <c r="M105" s="3">
        <v>20</v>
      </c>
      <c r="N105" s="3">
        <v>3.5</v>
      </c>
      <c r="O105" s="3">
        <v>1.5650000000000002</v>
      </c>
      <c r="P105" s="3">
        <v>27.532499999999999</v>
      </c>
      <c r="Q105" s="3">
        <v>0.11012999999999999</v>
      </c>
      <c r="R105" s="3">
        <v>0.2356782</v>
      </c>
    </row>
    <row r="106" spans="2:18" x14ac:dyDescent="0.25">
      <c r="B106" s="18">
        <v>40</v>
      </c>
      <c r="C106" s="18" t="s">
        <v>153</v>
      </c>
      <c r="D106" s="3">
        <v>2.14</v>
      </c>
      <c r="E106" s="3">
        <v>31.3</v>
      </c>
      <c r="F106" s="18">
        <v>0.22</v>
      </c>
      <c r="G106" s="18">
        <v>44</v>
      </c>
      <c r="H106" s="3">
        <v>73.333333333333329</v>
      </c>
      <c r="I106" s="3">
        <v>7.3333333333333334E-2</v>
      </c>
      <c r="J106" s="126">
        <v>27</v>
      </c>
      <c r="K106" s="3">
        <v>10</v>
      </c>
      <c r="L106" s="3">
        <v>10</v>
      </c>
      <c r="M106" s="3">
        <v>20</v>
      </c>
      <c r="N106" s="3">
        <v>3.5</v>
      </c>
      <c r="O106" s="3">
        <v>1.5650000000000002</v>
      </c>
      <c r="P106" s="3">
        <v>22.532499999999999</v>
      </c>
      <c r="Q106" s="3">
        <v>9.0130000000000002E-2</v>
      </c>
      <c r="R106" s="3">
        <v>0.19287820000000003</v>
      </c>
    </row>
    <row r="107" spans="2:18" x14ac:dyDescent="0.25">
      <c r="B107" s="18">
        <v>40</v>
      </c>
      <c r="C107" s="18" t="s">
        <v>153</v>
      </c>
      <c r="D107" s="3">
        <v>2.14</v>
      </c>
      <c r="E107" s="3">
        <v>31.3</v>
      </c>
      <c r="F107" s="18">
        <v>0</v>
      </c>
      <c r="G107" s="18">
        <v>0</v>
      </c>
      <c r="H107" s="3">
        <v>66</v>
      </c>
      <c r="I107" s="3">
        <v>6.6000000000000003E-2</v>
      </c>
      <c r="J107" s="126">
        <v>18</v>
      </c>
      <c r="K107" s="3">
        <v>10</v>
      </c>
      <c r="L107" s="3">
        <v>10</v>
      </c>
      <c r="M107" s="3">
        <v>20</v>
      </c>
      <c r="N107" s="3">
        <v>3.5</v>
      </c>
      <c r="O107" s="3">
        <v>1.5650000000000002</v>
      </c>
      <c r="P107" s="3">
        <v>22.532499999999999</v>
      </c>
      <c r="Q107" s="3">
        <v>9.0130000000000002E-2</v>
      </c>
      <c r="R107" s="3">
        <v>0.19287820000000003</v>
      </c>
    </row>
    <row r="108" spans="2:18" x14ac:dyDescent="0.25">
      <c r="B108" s="18">
        <v>40</v>
      </c>
      <c r="C108" s="18" t="s">
        <v>153</v>
      </c>
      <c r="D108" s="3">
        <v>2.14</v>
      </c>
      <c r="E108" s="3">
        <v>31.3</v>
      </c>
      <c r="F108" s="18">
        <v>0</v>
      </c>
      <c r="G108" s="18">
        <v>0</v>
      </c>
      <c r="H108" s="3">
        <v>30</v>
      </c>
      <c r="I108" s="3">
        <v>0.03</v>
      </c>
      <c r="J108" s="126">
        <v>19</v>
      </c>
      <c r="K108" s="3">
        <v>10</v>
      </c>
      <c r="L108" s="3">
        <v>10</v>
      </c>
      <c r="M108" s="3">
        <v>20</v>
      </c>
      <c r="N108" s="3">
        <v>3.5</v>
      </c>
      <c r="O108" s="3">
        <v>1.5650000000000002</v>
      </c>
      <c r="P108" s="3">
        <v>22.532499999999999</v>
      </c>
      <c r="Q108" s="3">
        <v>9.0130000000000002E-2</v>
      </c>
      <c r="R108" s="3">
        <v>0.19287820000000003</v>
      </c>
    </row>
    <row r="109" spans="2:18" x14ac:dyDescent="0.25">
      <c r="B109" s="18">
        <v>40</v>
      </c>
      <c r="C109" s="18" t="s">
        <v>153</v>
      </c>
      <c r="D109" s="3">
        <v>2.14</v>
      </c>
      <c r="E109" s="3">
        <v>31.3</v>
      </c>
      <c r="F109" s="18">
        <v>0</v>
      </c>
      <c r="G109" s="18">
        <v>0</v>
      </c>
      <c r="H109" s="3">
        <v>16</v>
      </c>
      <c r="I109" s="3">
        <v>1.6E-2</v>
      </c>
      <c r="J109" s="126">
        <v>19</v>
      </c>
      <c r="K109" s="3">
        <v>10</v>
      </c>
      <c r="L109" s="3">
        <v>10</v>
      </c>
      <c r="M109" s="3">
        <v>20</v>
      </c>
      <c r="N109" s="3">
        <v>3.5</v>
      </c>
      <c r="O109" s="3">
        <v>1.5650000000000002</v>
      </c>
      <c r="P109" s="3">
        <v>22.532499999999999</v>
      </c>
      <c r="Q109" s="3">
        <v>9.0130000000000002E-2</v>
      </c>
      <c r="R109" s="3">
        <v>0.19287820000000003</v>
      </c>
    </row>
    <row r="110" spans="2:18" x14ac:dyDescent="0.25">
      <c r="B110" s="18">
        <v>40</v>
      </c>
      <c r="C110" s="18" t="s">
        <v>153</v>
      </c>
      <c r="D110" s="3">
        <v>2.14</v>
      </c>
      <c r="E110" s="3">
        <v>31.3</v>
      </c>
      <c r="F110" s="18">
        <v>0</v>
      </c>
      <c r="G110" s="18">
        <v>0</v>
      </c>
      <c r="H110" s="3">
        <v>60</v>
      </c>
      <c r="I110" s="3">
        <v>0.06</v>
      </c>
      <c r="J110" s="126">
        <v>21</v>
      </c>
      <c r="K110" s="3">
        <v>10</v>
      </c>
      <c r="L110" s="3">
        <v>10</v>
      </c>
      <c r="M110" s="3">
        <v>20</v>
      </c>
      <c r="N110" s="3">
        <v>3.5</v>
      </c>
      <c r="O110" s="3">
        <v>1.5650000000000002</v>
      </c>
      <c r="P110" s="3">
        <v>22.532499999999999</v>
      </c>
      <c r="Q110" s="3">
        <v>9.0130000000000002E-2</v>
      </c>
      <c r="R110" s="3">
        <v>0.19287820000000003</v>
      </c>
    </row>
    <row r="111" spans="2:18" x14ac:dyDescent="0.25">
      <c r="B111" s="18">
        <v>40</v>
      </c>
      <c r="C111" s="18" t="s">
        <v>153</v>
      </c>
      <c r="D111" s="3">
        <v>2.14</v>
      </c>
      <c r="E111" s="3">
        <v>31.3</v>
      </c>
      <c r="F111" s="18">
        <v>0.15</v>
      </c>
      <c r="G111" s="18">
        <v>30</v>
      </c>
      <c r="H111" s="3">
        <v>92.5</v>
      </c>
      <c r="I111" s="3">
        <v>9.2499999999999999E-2</v>
      </c>
      <c r="J111" s="126">
        <v>30</v>
      </c>
      <c r="K111" s="3">
        <v>20</v>
      </c>
      <c r="L111" s="3">
        <v>10</v>
      </c>
      <c r="M111" s="3">
        <v>20</v>
      </c>
      <c r="N111" s="3">
        <v>3.5</v>
      </c>
      <c r="O111" s="3">
        <v>1.5650000000000002</v>
      </c>
      <c r="P111" s="3">
        <v>27.532499999999999</v>
      </c>
      <c r="Q111" s="3">
        <v>0.11012999999999999</v>
      </c>
      <c r="R111" s="3">
        <v>0.2356782</v>
      </c>
    </row>
    <row r="112" spans="2:18" x14ac:dyDescent="0.25">
      <c r="B112" s="18">
        <v>40</v>
      </c>
      <c r="C112" s="18" t="s">
        <v>153</v>
      </c>
      <c r="D112" s="3">
        <v>2.14</v>
      </c>
      <c r="E112" s="3">
        <v>31.3</v>
      </c>
      <c r="F112" s="18">
        <v>0.15</v>
      </c>
      <c r="G112" s="18">
        <v>30</v>
      </c>
      <c r="H112" s="3">
        <v>112.5</v>
      </c>
      <c r="I112" s="3">
        <v>0.1125</v>
      </c>
      <c r="J112" s="126">
        <v>31</v>
      </c>
      <c r="K112" s="3">
        <v>20</v>
      </c>
      <c r="L112" s="3">
        <v>20</v>
      </c>
      <c r="M112" s="3">
        <v>20</v>
      </c>
      <c r="N112" s="3">
        <v>3.5</v>
      </c>
      <c r="O112" s="3">
        <v>1.5650000000000002</v>
      </c>
      <c r="P112" s="3">
        <v>32.532499999999999</v>
      </c>
      <c r="Q112" s="3">
        <v>0.13013</v>
      </c>
      <c r="R112" s="3">
        <v>0.27847820000000001</v>
      </c>
    </row>
    <row r="113" spans="2:18" x14ac:dyDescent="0.25">
      <c r="B113" s="18">
        <v>40</v>
      </c>
      <c r="C113" s="18" t="s">
        <v>153</v>
      </c>
      <c r="D113" s="3">
        <v>2.14</v>
      </c>
      <c r="E113" s="3">
        <v>31.3</v>
      </c>
      <c r="F113" s="18">
        <v>0</v>
      </c>
      <c r="G113" s="18">
        <v>0</v>
      </c>
      <c r="H113" s="3">
        <v>63.333333333333336</v>
      </c>
      <c r="I113" s="3">
        <v>6.3333333333333339E-2</v>
      </c>
      <c r="J113" s="126">
        <v>21</v>
      </c>
      <c r="K113" s="3">
        <v>10</v>
      </c>
      <c r="L113" s="3">
        <v>10</v>
      </c>
      <c r="M113" s="3">
        <v>20</v>
      </c>
      <c r="N113" s="3">
        <v>3.5</v>
      </c>
      <c r="O113" s="3">
        <v>1.5650000000000002</v>
      </c>
      <c r="P113" s="3">
        <v>22.532499999999999</v>
      </c>
      <c r="Q113" s="3">
        <v>9.0130000000000002E-2</v>
      </c>
      <c r="R113" s="3">
        <v>0.19287820000000003</v>
      </c>
    </row>
    <row r="114" spans="2:18" x14ac:dyDescent="0.25">
      <c r="B114" s="18">
        <v>40</v>
      </c>
      <c r="C114" s="18" t="s">
        <v>153</v>
      </c>
      <c r="D114" s="3">
        <v>2.14</v>
      </c>
      <c r="E114" s="3">
        <v>31.3</v>
      </c>
      <c r="F114" s="18">
        <v>0.11</v>
      </c>
      <c r="G114" s="18">
        <v>22</v>
      </c>
      <c r="H114" s="3">
        <v>80</v>
      </c>
      <c r="I114" s="3">
        <v>0.08</v>
      </c>
      <c r="J114" s="126">
        <v>26</v>
      </c>
      <c r="K114" s="3">
        <v>10</v>
      </c>
      <c r="L114" s="3">
        <v>10</v>
      </c>
      <c r="M114" s="3">
        <v>20</v>
      </c>
      <c r="N114" s="3">
        <v>3.5</v>
      </c>
      <c r="O114" s="3">
        <v>1.5650000000000002</v>
      </c>
      <c r="P114" s="3">
        <v>22.532499999999999</v>
      </c>
      <c r="Q114" s="3">
        <v>9.0130000000000002E-2</v>
      </c>
      <c r="R114" s="3">
        <v>0.19287820000000003</v>
      </c>
    </row>
    <row r="115" spans="2:18" x14ac:dyDescent="0.25">
      <c r="B115" s="18">
        <v>40</v>
      </c>
      <c r="C115" s="18" t="s">
        <v>153</v>
      </c>
      <c r="D115" s="3">
        <v>2.14</v>
      </c>
      <c r="E115" s="3">
        <v>31.3</v>
      </c>
      <c r="F115" s="18">
        <v>0.1</v>
      </c>
      <c r="G115" s="18">
        <v>20</v>
      </c>
      <c r="H115" s="3">
        <v>50</v>
      </c>
      <c r="I115" s="3">
        <v>0.05</v>
      </c>
      <c r="J115" s="126">
        <v>22</v>
      </c>
      <c r="K115" s="3">
        <v>10</v>
      </c>
      <c r="L115" s="3">
        <v>10</v>
      </c>
      <c r="M115" s="3">
        <v>20</v>
      </c>
      <c r="N115" s="3">
        <v>3.5</v>
      </c>
      <c r="O115" s="3">
        <v>1.5650000000000002</v>
      </c>
      <c r="P115" s="3">
        <v>22.532499999999999</v>
      </c>
      <c r="Q115" s="3">
        <v>9.0130000000000002E-2</v>
      </c>
      <c r="R115" s="3">
        <v>0.19287820000000003</v>
      </c>
    </row>
    <row r="116" spans="2:18" x14ac:dyDescent="0.25">
      <c r="B116" s="18">
        <v>40</v>
      </c>
      <c r="C116" s="18" t="s">
        <v>153</v>
      </c>
      <c r="D116" s="3">
        <v>2.14</v>
      </c>
      <c r="E116" s="3">
        <v>31.3</v>
      </c>
      <c r="F116" s="18">
        <v>0.12</v>
      </c>
      <c r="G116" s="18">
        <v>24</v>
      </c>
      <c r="H116" s="3">
        <v>90</v>
      </c>
      <c r="I116" s="3">
        <v>0.09</v>
      </c>
      <c r="J116" s="126">
        <v>27</v>
      </c>
      <c r="K116" s="3">
        <v>10</v>
      </c>
      <c r="L116" s="3">
        <v>10</v>
      </c>
      <c r="M116" s="3">
        <v>20</v>
      </c>
      <c r="N116" s="3">
        <v>3.5</v>
      </c>
      <c r="O116" s="3">
        <v>1.5650000000000002</v>
      </c>
      <c r="P116" s="3">
        <v>22.532499999999999</v>
      </c>
      <c r="Q116" s="3">
        <v>9.0130000000000002E-2</v>
      </c>
      <c r="R116" s="3">
        <v>0.19287820000000003</v>
      </c>
    </row>
    <row r="117" spans="2:18" x14ac:dyDescent="0.25">
      <c r="B117" s="18">
        <v>40</v>
      </c>
      <c r="C117" s="18" t="s">
        <v>153</v>
      </c>
      <c r="D117" s="3">
        <v>2.14</v>
      </c>
      <c r="E117" s="3">
        <v>31.3</v>
      </c>
      <c r="F117" s="18">
        <v>0</v>
      </c>
      <c r="G117" s="18">
        <v>0</v>
      </c>
      <c r="H117" s="3">
        <v>82.5</v>
      </c>
      <c r="I117" s="3">
        <v>8.2500000000000004E-2</v>
      </c>
      <c r="J117" s="126">
        <v>19</v>
      </c>
      <c r="K117" s="3">
        <v>10</v>
      </c>
      <c r="L117" s="3">
        <v>10</v>
      </c>
      <c r="M117" s="3">
        <v>20</v>
      </c>
      <c r="N117" s="3">
        <v>3.5</v>
      </c>
      <c r="O117" s="3">
        <v>1.5650000000000002</v>
      </c>
      <c r="P117" s="3">
        <v>22.532499999999999</v>
      </c>
      <c r="Q117" s="3">
        <v>9.0130000000000002E-2</v>
      </c>
      <c r="R117" s="3">
        <v>0.19287820000000003</v>
      </c>
    </row>
    <row r="118" spans="2:18" x14ac:dyDescent="0.25">
      <c r="B118" s="18">
        <v>40</v>
      </c>
      <c r="C118" s="18" t="s">
        <v>153</v>
      </c>
      <c r="D118" s="3">
        <v>2.14</v>
      </c>
      <c r="E118" s="3">
        <v>31.3</v>
      </c>
      <c r="F118" s="18">
        <v>0.27</v>
      </c>
      <c r="G118" s="18">
        <v>54</v>
      </c>
      <c r="H118" s="3">
        <v>115</v>
      </c>
      <c r="I118" s="3">
        <v>0.115</v>
      </c>
      <c r="J118" s="126">
        <v>32</v>
      </c>
      <c r="K118" s="3">
        <v>20</v>
      </c>
      <c r="L118" s="3">
        <v>20</v>
      </c>
      <c r="M118" s="3">
        <v>20</v>
      </c>
      <c r="N118" s="3">
        <v>3.5</v>
      </c>
      <c r="O118" s="3">
        <v>1.5650000000000002</v>
      </c>
      <c r="P118" s="3">
        <v>32.532499999999999</v>
      </c>
      <c r="Q118" s="3">
        <v>0.13013</v>
      </c>
      <c r="R118" s="3">
        <v>0.27847820000000001</v>
      </c>
    </row>
    <row r="119" spans="2:18" x14ac:dyDescent="0.25">
      <c r="B119" s="18">
        <v>40</v>
      </c>
      <c r="C119" s="18" t="s">
        <v>153</v>
      </c>
      <c r="D119" s="3">
        <v>2.14</v>
      </c>
      <c r="E119" s="3">
        <v>31.3</v>
      </c>
      <c r="F119" s="18">
        <v>0.26</v>
      </c>
      <c r="G119" s="18">
        <v>52</v>
      </c>
      <c r="H119" s="3">
        <v>90</v>
      </c>
      <c r="I119" s="3">
        <v>0.09</v>
      </c>
      <c r="J119" s="126">
        <v>31</v>
      </c>
      <c r="K119" s="3">
        <v>20</v>
      </c>
      <c r="L119" s="3">
        <v>10</v>
      </c>
      <c r="M119" s="3">
        <v>20</v>
      </c>
      <c r="N119" s="3">
        <v>3.5</v>
      </c>
      <c r="O119" s="3">
        <v>1.5650000000000002</v>
      </c>
      <c r="P119" s="3">
        <v>27.532499999999999</v>
      </c>
      <c r="Q119" s="3">
        <v>0.11012999999999999</v>
      </c>
      <c r="R119" s="3">
        <v>0.2356782</v>
      </c>
    </row>
    <row r="120" spans="2:18" x14ac:dyDescent="0.25">
      <c r="B120" s="18">
        <v>40</v>
      </c>
      <c r="C120" s="18" t="s">
        <v>153</v>
      </c>
      <c r="D120" s="3">
        <v>2.14</v>
      </c>
      <c r="E120" s="3">
        <v>31.3</v>
      </c>
      <c r="F120" s="18">
        <v>0.17</v>
      </c>
      <c r="G120" s="18">
        <v>34</v>
      </c>
      <c r="H120" s="3">
        <v>97.5</v>
      </c>
      <c r="I120" s="3">
        <v>9.7500000000000003E-2</v>
      </c>
      <c r="J120" s="126">
        <v>27</v>
      </c>
      <c r="K120" s="3">
        <v>10</v>
      </c>
      <c r="L120" s="3">
        <v>10</v>
      </c>
      <c r="M120" s="3">
        <v>20</v>
      </c>
      <c r="N120" s="3">
        <v>3.5</v>
      </c>
      <c r="O120" s="3">
        <v>1.5650000000000002</v>
      </c>
      <c r="P120" s="3">
        <v>22.532499999999999</v>
      </c>
      <c r="Q120" s="3">
        <v>9.0130000000000002E-2</v>
      </c>
      <c r="R120" s="3">
        <v>0.19287820000000003</v>
      </c>
    </row>
    <row r="121" spans="2:18" x14ac:dyDescent="0.25">
      <c r="B121" s="18">
        <v>40</v>
      </c>
      <c r="C121" s="18" t="s">
        <v>153</v>
      </c>
      <c r="D121" s="3">
        <v>2.14</v>
      </c>
      <c r="E121" s="3">
        <v>31.3</v>
      </c>
      <c r="F121" s="18">
        <v>0.14000000000000001</v>
      </c>
      <c r="G121" s="18">
        <v>28.000000000000004</v>
      </c>
      <c r="H121" s="3">
        <v>60</v>
      </c>
      <c r="I121" s="3">
        <v>0.06</v>
      </c>
      <c r="J121" s="126">
        <v>23</v>
      </c>
      <c r="K121" s="3">
        <v>10</v>
      </c>
      <c r="L121" s="3">
        <v>10</v>
      </c>
      <c r="M121" s="3">
        <v>20</v>
      </c>
      <c r="N121" s="3">
        <v>3.5</v>
      </c>
      <c r="O121" s="3">
        <v>1.5650000000000002</v>
      </c>
      <c r="P121" s="3">
        <v>22.532499999999999</v>
      </c>
      <c r="Q121" s="3">
        <v>9.0130000000000002E-2</v>
      </c>
      <c r="R121" s="3">
        <v>0.19287820000000003</v>
      </c>
    </row>
    <row r="122" spans="2:18" x14ac:dyDescent="0.25">
      <c r="B122" s="18">
        <v>40</v>
      </c>
      <c r="C122" s="18" t="s">
        <v>153</v>
      </c>
      <c r="D122" s="3">
        <v>2.14</v>
      </c>
      <c r="E122" s="3">
        <v>31.3</v>
      </c>
      <c r="F122" s="18">
        <v>0</v>
      </c>
      <c r="G122" s="18">
        <v>0</v>
      </c>
      <c r="H122" s="3">
        <v>48.75</v>
      </c>
      <c r="I122" s="3">
        <v>4.8750000000000002E-2</v>
      </c>
      <c r="J122" s="126">
        <v>17</v>
      </c>
      <c r="K122" s="3">
        <v>10</v>
      </c>
      <c r="L122" s="3">
        <v>10</v>
      </c>
      <c r="M122" s="3">
        <v>20</v>
      </c>
      <c r="N122" s="3">
        <v>3.5</v>
      </c>
      <c r="O122" s="3">
        <v>1.5650000000000002</v>
      </c>
      <c r="P122" s="3">
        <v>22.532499999999999</v>
      </c>
      <c r="Q122" s="3">
        <v>9.0130000000000002E-2</v>
      </c>
      <c r="R122" s="3">
        <v>0.19287820000000003</v>
      </c>
    </row>
    <row r="123" spans="2:18" x14ac:dyDescent="0.25">
      <c r="B123" s="18">
        <v>40</v>
      </c>
      <c r="C123" s="18" t="s">
        <v>153</v>
      </c>
      <c r="D123" s="3">
        <v>2.14</v>
      </c>
      <c r="E123" s="3">
        <v>31.3</v>
      </c>
      <c r="F123" s="18">
        <v>0.25</v>
      </c>
      <c r="G123" s="18">
        <v>50</v>
      </c>
      <c r="H123" s="3">
        <v>95</v>
      </c>
      <c r="I123" s="3">
        <v>9.5000000000000001E-2</v>
      </c>
      <c r="J123" s="126">
        <v>30</v>
      </c>
      <c r="K123" s="3">
        <v>20</v>
      </c>
      <c r="L123" s="3">
        <v>10</v>
      </c>
      <c r="M123" s="3">
        <v>20</v>
      </c>
      <c r="N123" s="3">
        <v>3.5</v>
      </c>
      <c r="O123" s="3">
        <v>1.5650000000000002</v>
      </c>
      <c r="P123" s="3">
        <v>27.532499999999999</v>
      </c>
      <c r="Q123" s="3">
        <v>0.11012999999999999</v>
      </c>
      <c r="R123" s="3">
        <v>0.2356782</v>
      </c>
    </row>
    <row r="124" spans="2:18" x14ac:dyDescent="0.25">
      <c r="B124" s="18">
        <v>40</v>
      </c>
      <c r="C124" s="18" t="s">
        <v>153</v>
      </c>
      <c r="D124" s="3">
        <v>2.14</v>
      </c>
      <c r="E124" s="3">
        <v>31.3</v>
      </c>
      <c r="F124" s="18">
        <v>0.1</v>
      </c>
      <c r="G124" s="18">
        <v>20</v>
      </c>
      <c r="H124" s="3">
        <v>113.33333333333331</v>
      </c>
      <c r="I124" s="3">
        <v>0.11333333333333331</v>
      </c>
      <c r="J124" s="126"/>
      <c r="K124" s="3">
        <v>10</v>
      </c>
      <c r="L124" s="3">
        <v>20</v>
      </c>
      <c r="M124" s="3">
        <v>20</v>
      </c>
      <c r="N124" s="3">
        <v>3.5</v>
      </c>
      <c r="O124" s="3">
        <v>1.5650000000000002</v>
      </c>
      <c r="P124" s="3">
        <v>27.532499999999999</v>
      </c>
      <c r="Q124" s="3">
        <v>0.11012999999999999</v>
      </c>
      <c r="R124" s="3">
        <v>0.2356782</v>
      </c>
    </row>
    <row r="125" spans="2:18" x14ac:dyDescent="0.25">
      <c r="B125" s="18">
        <v>40</v>
      </c>
      <c r="C125" s="18" t="s">
        <v>153</v>
      </c>
      <c r="D125" s="3">
        <v>2.14</v>
      </c>
      <c r="E125" s="3">
        <v>31.3</v>
      </c>
      <c r="F125" s="18">
        <v>0</v>
      </c>
      <c r="G125" s="18">
        <v>0</v>
      </c>
      <c r="H125" s="3">
        <v>80</v>
      </c>
      <c r="I125" s="3">
        <v>0.08</v>
      </c>
      <c r="J125" s="126">
        <v>19</v>
      </c>
      <c r="K125" s="3">
        <v>10</v>
      </c>
      <c r="L125" s="3">
        <v>10</v>
      </c>
      <c r="M125" s="3">
        <v>20</v>
      </c>
      <c r="N125" s="3">
        <v>3.5</v>
      </c>
      <c r="O125" s="3">
        <v>1.5650000000000002</v>
      </c>
      <c r="P125" s="3">
        <v>22.532499999999999</v>
      </c>
      <c r="Q125" s="3">
        <v>9.0130000000000002E-2</v>
      </c>
      <c r="R125" s="3">
        <v>0.19287820000000003</v>
      </c>
    </row>
    <row r="126" spans="2:18" x14ac:dyDescent="0.25">
      <c r="B126" s="18">
        <v>40</v>
      </c>
      <c r="C126" s="18" t="s">
        <v>153</v>
      </c>
      <c r="D126" s="3">
        <v>2.14</v>
      </c>
      <c r="E126" s="3">
        <v>31.3</v>
      </c>
      <c r="F126" s="18">
        <v>0.22</v>
      </c>
      <c r="G126" s="18">
        <v>44</v>
      </c>
      <c r="H126" s="3">
        <v>105</v>
      </c>
      <c r="I126" s="3">
        <v>0.105</v>
      </c>
      <c r="J126" s="126">
        <v>29</v>
      </c>
      <c r="K126" s="3">
        <v>10</v>
      </c>
      <c r="L126" s="3">
        <v>20</v>
      </c>
      <c r="M126" s="3">
        <v>20</v>
      </c>
      <c r="N126" s="3">
        <v>3.5</v>
      </c>
      <c r="O126" s="3">
        <v>1.5650000000000002</v>
      </c>
      <c r="P126" s="3">
        <v>27.532499999999999</v>
      </c>
      <c r="Q126" s="3">
        <v>0.11012999999999999</v>
      </c>
      <c r="R126" s="3">
        <v>0.2356782</v>
      </c>
    </row>
    <row r="127" spans="2:18" x14ac:dyDescent="0.25">
      <c r="B127" s="18">
        <v>40</v>
      </c>
      <c r="C127" s="18" t="s">
        <v>153</v>
      </c>
      <c r="D127" s="3">
        <v>2.14</v>
      </c>
      <c r="E127" s="3">
        <v>31.3</v>
      </c>
      <c r="F127" s="18">
        <v>0.11</v>
      </c>
      <c r="G127" s="18">
        <v>22</v>
      </c>
      <c r="H127" s="3">
        <v>71.666666666666671</v>
      </c>
      <c r="I127" s="3">
        <v>7.166666666666667E-2</v>
      </c>
      <c r="J127" s="126">
        <v>23</v>
      </c>
      <c r="K127" s="3">
        <v>10</v>
      </c>
      <c r="L127" s="3">
        <v>10</v>
      </c>
      <c r="M127" s="3">
        <v>20</v>
      </c>
      <c r="N127" s="3">
        <v>3.5</v>
      </c>
      <c r="O127" s="3">
        <v>1.5650000000000002</v>
      </c>
      <c r="P127" s="3">
        <v>22.532499999999999</v>
      </c>
      <c r="Q127" s="3">
        <v>9.0130000000000002E-2</v>
      </c>
      <c r="R127" s="3">
        <v>0.19287820000000003</v>
      </c>
    </row>
    <row r="128" spans="2:18" x14ac:dyDescent="0.25">
      <c r="B128" s="18">
        <v>40</v>
      </c>
      <c r="C128" s="18" t="s">
        <v>153</v>
      </c>
      <c r="D128" s="3">
        <v>2.14</v>
      </c>
      <c r="E128" s="3">
        <v>31.3</v>
      </c>
      <c r="F128" s="18">
        <v>0.15</v>
      </c>
      <c r="G128" s="18">
        <v>30</v>
      </c>
      <c r="H128" s="3">
        <v>130</v>
      </c>
      <c r="I128" s="3">
        <v>0.13</v>
      </c>
      <c r="J128" s="126">
        <v>28</v>
      </c>
      <c r="K128" s="3">
        <v>10</v>
      </c>
      <c r="L128" s="3">
        <v>20</v>
      </c>
      <c r="M128" s="3">
        <v>20</v>
      </c>
      <c r="N128" s="3">
        <v>3.5</v>
      </c>
      <c r="O128" s="3">
        <v>1.5650000000000002</v>
      </c>
      <c r="P128" s="3">
        <v>27.532499999999999</v>
      </c>
      <c r="Q128" s="3">
        <v>0.11012999999999999</v>
      </c>
      <c r="R128" s="3">
        <v>0.2356782</v>
      </c>
    </row>
    <row r="129" spans="2:18" x14ac:dyDescent="0.25">
      <c r="B129" s="18">
        <v>40</v>
      </c>
      <c r="C129" s="18" t="s">
        <v>153</v>
      </c>
      <c r="D129" s="3">
        <v>2.14</v>
      </c>
      <c r="E129" s="3">
        <v>31.3</v>
      </c>
      <c r="F129" s="18">
        <v>0.13</v>
      </c>
      <c r="G129" s="18">
        <v>26</v>
      </c>
      <c r="H129" s="3">
        <v>73.333333333333329</v>
      </c>
      <c r="I129" s="3">
        <v>7.3333333333333334E-2</v>
      </c>
      <c r="J129" s="126">
        <v>24</v>
      </c>
      <c r="K129" s="3">
        <v>10</v>
      </c>
      <c r="L129" s="3">
        <v>10</v>
      </c>
      <c r="M129" s="3">
        <v>20</v>
      </c>
      <c r="N129" s="3">
        <v>3.5</v>
      </c>
      <c r="O129" s="3">
        <v>1.5650000000000002</v>
      </c>
      <c r="P129" s="3">
        <v>22.532499999999999</v>
      </c>
      <c r="Q129" s="3">
        <v>9.0130000000000002E-2</v>
      </c>
      <c r="R129" s="3">
        <v>0.19287820000000003</v>
      </c>
    </row>
    <row r="130" spans="2:18" x14ac:dyDescent="0.25">
      <c r="B130" s="18">
        <v>40</v>
      </c>
      <c r="C130" s="18" t="s">
        <v>153</v>
      </c>
      <c r="D130" s="3">
        <v>2.14</v>
      </c>
      <c r="E130" s="3">
        <v>31.3</v>
      </c>
      <c r="F130" s="18">
        <v>0</v>
      </c>
      <c r="G130" s="18">
        <v>0</v>
      </c>
      <c r="H130" s="3">
        <v>64.285714285714292</v>
      </c>
      <c r="I130" s="3">
        <v>6.4285714285714293E-2</v>
      </c>
      <c r="J130" s="126">
        <v>18</v>
      </c>
      <c r="K130" s="3">
        <v>10</v>
      </c>
      <c r="L130" s="3">
        <v>10</v>
      </c>
      <c r="M130" s="3">
        <v>20</v>
      </c>
      <c r="N130" s="3">
        <v>3.5</v>
      </c>
      <c r="O130" s="3">
        <v>1.5650000000000002</v>
      </c>
      <c r="P130" s="3">
        <v>22.532499999999999</v>
      </c>
      <c r="Q130" s="3">
        <v>9.0130000000000002E-2</v>
      </c>
      <c r="R130" s="3">
        <v>0.19287820000000003</v>
      </c>
    </row>
    <row r="131" spans="2:18" x14ac:dyDescent="0.25">
      <c r="B131" s="18">
        <v>40</v>
      </c>
      <c r="C131" s="18" t="s">
        <v>153</v>
      </c>
      <c r="D131" s="3">
        <v>2.14</v>
      </c>
      <c r="E131" s="3">
        <v>31.3</v>
      </c>
      <c r="F131" s="18">
        <v>0.33</v>
      </c>
      <c r="G131" s="18">
        <v>66</v>
      </c>
      <c r="H131" s="3">
        <v>130</v>
      </c>
      <c r="I131" s="3">
        <v>0.13</v>
      </c>
      <c r="J131" s="126">
        <v>36</v>
      </c>
      <c r="K131" s="3">
        <v>20</v>
      </c>
      <c r="L131" s="3">
        <v>20</v>
      </c>
      <c r="M131" s="3">
        <v>20</v>
      </c>
      <c r="N131" s="3">
        <v>3.5</v>
      </c>
      <c r="O131" s="3">
        <v>1.5650000000000002</v>
      </c>
      <c r="P131" s="3">
        <v>32.532499999999999</v>
      </c>
      <c r="Q131" s="3">
        <v>0.13013</v>
      </c>
      <c r="R131" s="3">
        <v>0.27847820000000001</v>
      </c>
    </row>
    <row r="132" spans="2:18" x14ac:dyDescent="0.25">
      <c r="B132" s="18">
        <v>40</v>
      </c>
      <c r="C132" s="18" t="s">
        <v>153</v>
      </c>
      <c r="D132" s="3">
        <v>2.14</v>
      </c>
      <c r="E132" s="3">
        <v>31.3</v>
      </c>
      <c r="F132" s="18">
        <v>0.18</v>
      </c>
      <c r="G132" s="18">
        <v>36</v>
      </c>
      <c r="H132" s="3">
        <v>136.66666666666666</v>
      </c>
      <c r="I132" s="3">
        <v>0.13666666666666666</v>
      </c>
      <c r="J132" s="126">
        <v>30</v>
      </c>
      <c r="K132" s="3">
        <v>20</v>
      </c>
      <c r="L132" s="3">
        <v>20</v>
      </c>
      <c r="M132" s="3">
        <v>20</v>
      </c>
      <c r="N132" s="3">
        <v>3.5</v>
      </c>
      <c r="O132" s="3">
        <v>1.5650000000000002</v>
      </c>
      <c r="P132" s="3">
        <v>32.532499999999999</v>
      </c>
      <c r="Q132" s="3">
        <v>0.13013</v>
      </c>
      <c r="R132" s="3">
        <v>0.27847820000000001</v>
      </c>
    </row>
    <row r="133" spans="2:18" x14ac:dyDescent="0.25">
      <c r="B133" s="18">
        <v>40</v>
      </c>
      <c r="C133" s="18" t="s">
        <v>153</v>
      </c>
      <c r="D133" s="3">
        <v>2.14</v>
      </c>
      <c r="E133" s="3">
        <v>31.3</v>
      </c>
      <c r="F133" s="18">
        <v>0.25</v>
      </c>
      <c r="G133" s="18">
        <v>50</v>
      </c>
      <c r="H133" s="3">
        <v>136.66666666666666</v>
      </c>
      <c r="I133" s="3">
        <v>0.13666666666666666</v>
      </c>
      <c r="J133" s="126">
        <v>32</v>
      </c>
      <c r="K133" s="3">
        <v>20</v>
      </c>
      <c r="L133" s="3">
        <v>20</v>
      </c>
      <c r="M133" s="3">
        <v>20</v>
      </c>
      <c r="N133" s="3">
        <v>3.5</v>
      </c>
      <c r="O133" s="3">
        <v>1.5650000000000002</v>
      </c>
      <c r="P133" s="3">
        <v>32.532499999999999</v>
      </c>
      <c r="Q133" s="3">
        <v>0.13013</v>
      </c>
      <c r="R133" s="3">
        <v>0.27847820000000001</v>
      </c>
    </row>
    <row r="134" spans="2:18" x14ac:dyDescent="0.25">
      <c r="B134" s="18">
        <v>40</v>
      </c>
      <c r="C134" s="18" t="s">
        <v>153</v>
      </c>
      <c r="D134" s="3">
        <v>2.14</v>
      </c>
      <c r="E134" s="3">
        <v>31.3</v>
      </c>
      <c r="F134" s="18">
        <v>0</v>
      </c>
      <c r="G134" s="18">
        <v>0</v>
      </c>
      <c r="H134" s="3">
        <v>40</v>
      </c>
      <c r="I134" s="3">
        <v>0.04</v>
      </c>
      <c r="J134" s="126">
        <v>17</v>
      </c>
      <c r="K134" s="3">
        <v>10</v>
      </c>
      <c r="L134" s="3">
        <v>10</v>
      </c>
      <c r="M134" s="3">
        <v>20</v>
      </c>
      <c r="N134" s="3">
        <v>3.5</v>
      </c>
      <c r="O134" s="3">
        <v>1.5650000000000002</v>
      </c>
      <c r="P134" s="3">
        <v>22.532499999999999</v>
      </c>
      <c r="Q134" s="3">
        <v>9.0130000000000002E-2</v>
      </c>
      <c r="R134" s="3">
        <v>0.19287820000000003</v>
      </c>
    </row>
    <row r="135" spans="2:18" x14ac:dyDescent="0.25">
      <c r="B135" s="18">
        <v>40</v>
      </c>
      <c r="C135" s="18" t="s">
        <v>153</v>
      </c>
      <c r="D135" s="3">
        <v>2.14</v>
      </c>
      <c r="E135" s="3">
        <v>31.3</v>
      </c>
      <c r="F135" s="18">
        <v>0</v>
      </c>
      <c r="G135" s="18">
        <v>0</v>
      </c>
      <c r="H135" s="3">
        <v>57.5</v>
      </c>
      <c r="I135" s="3">
        <v>5.7500000000000002E-2</v>
      </c>
      <c r="J135" s="126">
        <v>17</v>
      </c>
      <c r="K135" s="3">
        <v>10</v>
      </c>
      <c r="L135" s="3">
        <v>10</v>
      </c>
      <c r="M135" s="3">
        <v>20</v>
      </c>
      <c r="N135" s="3">
        <v>3.5</v>
      </c>
      <c r="O135" s="3">
        <v>1.5650000000000002</v>
      </c>
      <c r="P135" s="3">
        <v>22.532499999999999</v>
      </c>
      <c r="Q135" s="3">
        <v>9.0130000000000002E-2</v>
      </c>
      <c r="R135" s="3">
        <v>0.19287820000000003</v>
      </c>
    </row>
    <row r="136" spans="2:18" x14ac:dyDescent="0.25">
      <c r="B136" s="18">
        <v>40</v>
      </c>
      <c r="C136" s="18" t="s">
        <v>153</v>
      </c>
      <c r="D136" s="3">
        <v>2.14</v>
      </c>
      <c r="E136" s="3">
        <v>31.3</v>
      </c>
      <c r="F136" s="18">
        <v>0</v>
      </c>
      <c r="G136" s="18">
        <v>0</v>
      </c>
      <c r="H136" s="3">
        <v>55</v>
      </c>
      <c r="I136" s="3">
        <v>5.5E-2</v>
      </c>
      <c r="J136" s="126">
        <v>18</v>
      </c>
      <c r="K136" s="3">
        <v>10</v>
      </c>
      <c r="L136" s="3">
        <v>10</v>
      </c>
      <c r="M136" s="3">
        <v>20</v>
      </c>
      <c r="N136" s="3">
        <v>3.5</v>
      </c>
      <c r="O136" s="3">
        <v>1.5650000000000002</v>
      </c>
      <c r="P136" s="3">
        <v>22.532499999999999</v>
      </c>
      <c r="Q136" s="3">
        <v>9.0130000000000002E-2</v>
      </c>
      <c r="R136" s="3">
        <v>0.19287820000000003</v>
      </c>
    </row>
    <row r="137" spans="2:18" x14ac:dyDescent="0.25">
      <c r="B137" s="18">
        <v>40</v>
      </c>
      <c r="C137" s="18" t="s">
        <v>153</v>
      </c>
      <c r="D137" s="3">
        <v>2.14</v>
      </c>
      <c r="E137" s="3">
        <v>31.3</v>
      </c>
      <c r="F137" s="18">
        <v>0</v>
      </c>
      <c r="G137" s="18">
        <v>0</v>
      </c>
      <c r="H137" s="3">
        <v>60</v>
      </c>
      <c r="I137" s="3">
        <v>0.06</v>
      </c>
      <c r="J137" s="126">
        <v>19</v>
      </c>
      <c r="K137" s="3">
        <v>10</v>
      </c>
      <c r="L137" s="3">
        <v>10</v>
      </c>
      <c r="M137" s="3">
        <v>20</v>
      </c>
      <c r="N137" s="3">
        <v>3.5</v>
      </c>
      <c r="O137" s="3">
        <v>1.5650000000000002</v>
      </c>
      <c r="P137" s="3">
        <v>22.532499999999999</v>
      </c>
      <c r="Q137" s="3">
        <v>9.0130000000000002E-2</v>
      </c>
      <c r="R137" s="3">
        <v>0.19287820000000003</v>
      </c>
    </row>
    <row r="138" spans="2:18" x14ac:dyDescent="0.25">
      <c r="B138" s="18">
        <v>40</v>
      </c>
      <c r="C138" s="18" t="s">
        <v>153</v>
      </c>
      <c r="D138" s="3">
        <v>2.14</v>
      </c>
      <c r="E138" s="3">
        <v>31.3</v>
      </c>
      <c r="F138" s="18">
        <v>0</v>
      </c>
      <c r="G138" s="18">
        <v>0</v>
      </c>
      <c r="H138" s="3">
        <v>32.5</v>
      </c>
      <c r="I138" s="3">
        <v>3.2500000000000001E-2</v>
      </c>
      <c r="J138" s="126">
        <v>22</v>
      </c>
      <c r="K138" s="3">
        <v>10</v>
      </c>
      <c r="L138" s="3">
        <v>10</v>
      </c>
      <c r="M138" s="3">
        <v>20</v>
      </c>
      <c r="N138" s="3">
        <v>3.5</v>
      </c>
      <c r="O138" s="3">
        <v>1.5650000000000002</v>
      </c>
      <c r="P138" s="3">
        <v>22.532499999999999</v>
      </c>
      <c r="Q138" s="3">
        <v>9.0130000000000002E-2</v>
      </c>
      <c r="R138" s="3">
        <v>0.19287820000000003</v>
      </c>
    </row>
    <row r="139" spans="2:18" x14ac:dyDescent="0.25">
      <c r="B139" s="18">
        <v>40</v>
      </c>
      <c r="C139" s="18" t="s">
        <v>153</v>
      </c>
      <c r="D139" s="3">
        <v>2.14</v>
      </c>
      <c r="E139" s="3">
        <v>31.3</v>
      </c>
      <c r="F139" s="18">
        <v>0</v>
      </c>
      <c r="G139" s="18">
        <v>0</v>
      </c>
      <c r="H139" s="3">
        <v>36.666666666666664</v>
      </c>
      <c r="I139" s="3">
        <v>3.6666666666666667E-2</v>
      </c>
      <c r="J139" s="126">
        <v>22</v>
      </c>
      <c r="K139" s="3">
        <v>10</v>
      </c>
      <c r="L139" s="3">
        <v>10</v>
      </c>
      <c r="M139" s="3">
        <v>20</v>
      </c>
      <c r="N139" s="3">
        <v>3.5</v>
      </c>
      <c r="O139" s="3">
        <v>1.5650000000000002</v>
      </c>
      <c r="P139" s="3">
        <v>22.532499999999999</v>
      </c>
      <c r="Q139" s="3">
        <v>9.0130000000000002E-2</v>
      </c>
      <c r="R139" s="3">
        <v>0.19287820000000003</v>
      </c>
    </row>
    <row r="140" spans="2:18" x14ac:dyDescent="0.25">
      <c r="B140" s="18">
        <v>40</v>
      </c>
      <c r="C140" s="18" t="s">
        <v>153</v>
      </c>
      <c r="D140" s="3">
        <v>2.14</v>
      </c>
      <c r="E140" s="3">
        <v>31.3</v>
      </c>
      <c r="F140" s="18">
        <v>0</v>
      </c>
      <c r="G140" s="18">
        <v>0</v>
      </c>
      <c r="H140" s="3">
        <v>36.666666666666664</v>
      </c>
      <c r="I140" s="3">
        <v>3.6666666666666667E-2</v>
      </c>
      <c r="J140" s="126">
        <v>25</v>
      </c>
      <c r="K140" s="3">
        <v>10</v>
      </c>
      <c r="L140" s="3">
        <v>10</v>
      </c>
      <c r="M140" s="3">
        <v>20</v>
      </c>
      <c r="N140" s="3">
        <v>3.5</v>
      </c>
      <c r="O140" s="3">
        <v>1.5650000000000002</v>
      </c>
      <c r="P140" s="3">
        <v>22.532499999999999</v>
      </c>
      <c r="Q140" s="3">
        <v>9.0130000000000002E-2</v>
      </c>
      <c r="R140" s="3">
        <v>0.19287820000000003</v>
      </c>
    </row>
    <row r="141" spans="2:18" x14ac:dyDescent="0.25">
      <c r="B141" s="18">
        <v>40</v>
      </c>
      <c r="C141" s="18" t="s">
        <v>153</v>
      </c>
      <c r="D141" s="3">
        <v>2.14</v>
      </c>
      <c r="E141" s="3">
        <v>31.3</v>
      </c>
      <c r="F141" s="18">
        <v>0.31</v>
      </c>
      <c r="G141" s="18">
        <v>62</v>
      </c>
      <c r="H141" s="3">
        <v>165</v>
      </c>
      <c r="I141" s="3">
        <v>0.16500000000000001</v>
      </c>
      <c r="J141" s="126">
        <v>38</v>
      </c>
      <c r="K141" s="3">
        <v>20</v>
      </c>
      <c r="L141" s="3">
        <v>20</v>
      </c>
      <c r="M141" s="3">
        <v>20</v>
      </c>
      <c r="N141" s="3">
        <v>3.5</v>
      </c>
      <c r="O141" s="3">
        <v>1.5650000000000002</v>
      </c>
      <c r="P141" s="3">
        <v>32.532499999999999</v>
      </c>
      <c r="Q141" s="3">
        <v>0.13013</v>
      </c>
      <c r="R141" s="3">
        <v>0.27847820000000001</v>
      </c>
    </row>
    <row r="142" spans="2:18" x14ac:dyDescent="0.25">
      <c r="B142" s="18">
        <v>40</v>
      </c>
      <c r="C142" s="18" t="s">
        <v>153</v>
      </c>
      <c r="D142" s="3">
        <v>2.14</v>
      </c>
      <c r="E142" s="3">
        <v>31.3</v>
      </c>
      <c r="F142" s="18">
        <v>0</v>
      </c>
      <c r="G142" s="18">
        <v>0</v>
      </c>
      <c r="H142" s="3">
        <v>20</v>
      </c>
      <c r="I142" s="3">
        <v>0.02</v>
      </c>
      <c r="J142" s="126">
        <v>19</v>
      </c>
      <c r="K142" s="3">
        <v>10</v>
      </c>
      <c r="L142" s="3">
        <v>10</v>
      </c>
      <c r="M142" s="3">
        <v>20</v>
      </c>
      <c r="N142" s="3">
        <v>3.5</v>
      </c>
      <c r="O142" s="3">
        <v>1.5650000000000002</v>
      </c>
      <c r="P142" s="3">
        <v>22.532499999999999</v>
      </c>
      <c r="Q142" s="3">
        <v>9.0130000000000002E-2</v>
      </c>
      <c r="R142" s="3">
        <v>0.19287820000000003</v>
      </c>
    </row>
    <row r="143" spans="2:18" x14ac:dyDescent="0.25">
      <c r="B143" s="18">
        <v>40</v>
      </c>
      <c r="C143" s="18" t="s">
        <v>153</v>
      </c>
      <c r="D143" s="3">
        <v>2.14</v>
      </c>
      <c r="E143" s="3">
        <v>31.3</v>
      </c>
      <c r="F143" s="18">
        <v>0</v>
      </c>
      <c r="G143" s="18">
        <v>0</v>
      </c>
      <c r="H143" s="3">
        <v>50</v>
      </c>
      <c r="I143" s="3">
        <v>0.05</v>
      </c>
      <c r="J143" s="126">
        <v>19</v>
      </c>
      <c r="K143" s="3">
        <v>10</v>
      </c>
      <c r="L143" s="3">
        <v>10</v>
      </c>
      <c r="M143" s="3">
        <v>20</v>
      </c>
      <c r="N143" s="3">
        <v>3.5</v>
      </c>
      <c r="O143" s="3">
        <v>1.5650000000000002</v>
      </c>
      <c r="P143" s="3">
        <v>22.532499999999999</v>
      </c>
      <c r="Q143" s="3">
        <v>9.0130000000000002E-2</v>
      </c>
      <c r="R143" s="3">
        <v>0.19287820000000003</v>
      </c>
    </row>
    <row r="144" spans="2:18" x14ac:dyDescent="0.25">
      <c r="B144" s="18">
        <v>40</v>
      </c>
      <c r="C144" s="18" t="s">
        <v>153</v>
      </c>
      <c r="D144" s="3">
        <v>2.14</v>
      </c>
      <c r="E144" s="3">
        <v>31.3</v>
      </c>
      <c r="F144" s="18">
        <v>0</v>
      </c>
      <c r="G144" s="18">
        <v>0</v>
      </c>
      <c r="H144" s="3">
        <v>33.333333333333336</v>
      </c>
      <c r="I144" s="3">
        <v>3.3333333333333333E-2</v>
      </c>
      <c r="J144" s="126">
        <v>19</v>
      </c>
      <c r="K144" s="3">
        <v>10</v>
      </c>
      <c r="L144" s="3">
        <v>10</v>
      </c>
      <c r="M144" s="3">
        <v>20</v>
      </c>
      <c r="N144" s="3">
        <v>3.5</v>
      </c>
      <c r="O144" s="3">
        <v>1.5650000000000002</v>
      </c>
      <c r="P144" s="3">
        <v>22.532499999999999</v>
      </c>
      <c r="Q144" s="3">
        <v>9.0130000000000002E-2</v>
      </c>
      <c r="R144" s="3">
        <v>0.19287820000000003</v>
      </c>
    </row>
    <row r="145" spans="2:18" x14ac:dyDescent="0.25">
      <c r="B145" s="18">
        <v>40</v>
      </c>
      <c r="C145" s="18" t="s">
        <v>153</v>
      </c>
      <c r="D145" s="3">
        <v>2.14</v>
      </c>
      <c r="E145" s="3">
        <v>31.3</v>
      </c>
      <c r="F145" s="18">
        <v>0</v>
      </c>
      <c r="G145" s="18">
        <v>0</v>
      </c>
      <c r="H145" s="3">
        <v>25</v>
      </c>
      <c r="I145" s="3">
        <v>2.5000000000000001E-2</v>
      </c>
      <c r="J145" s="126">
        <v>23</v>
      </c>
      <c r="K145" s="3">
        <v>10</v>
      </c>
      <c r="L145" s="3">
        <v>10</v>
      </c>
      <c r="M145" s="3">
        <v>20</v>
      </c>
      <c r="N145" s="3">
        <v>3.5</v>
      </c>
      <c r="O145" s="3">
        <v>1.5650000000000002</v>
      </c>
      <c r="P145" s="3">
        <v>22.532499999999999</v>
      </c>
      <c r="Q145" s="3">
        <v>9.0130000000000002E-2</v>
      </c>
      <c r="R145" s="3">
        <v>0.19287820000000003</v>
      </c>
    </row>
    <row r="146" spans="2:18" x14ac:dyDescent="0.25">
      <c r="B146" s="18">
        <v>40</v>
      </c>
      <c r="C146" s="18" t="s">
        <v>153</v>
      </c>
      <c r="D146" s="3">
        <v>2.14</v>
      </c>
      <c r="E146" s="3">
        <v>31.3</v>
      </c>
      <c r="F146" s="18">
        <v>0.2</v>
      </c>
      <c r="G146" s="18">
        <v>40</v>
      </c>
      <c r="H146" s="3">
        <v>120</v>
      </c>
      <c r="I146" s="3">
        <v>0.12</v>
      </c>
      <c r="J146" s="126">
        <v>40</v>
      </c>
      <c r="K146" s="3">
        <v>20</v>
      </c>
      <c r="L146" s="3">
        <v>20</v>
      </c>
      <c r="M146" s="3">
        <v>20</v>
      </c>
      <c r="N146" s="3">
        <v>3.5</v>
      </c>
      <c r="O146" s="3">
        <v>1.5650000000000002</v>
      </c>
      <c r="P146" s="3">
        <v>32.532499999999999</v>
      </c>
      <c r="Q146" s="3">
        <v>0.13013</v>
      </c>
      <c r="R146" s="3">
        <v>0.27847820000000001</v>
      </c>
    </row>
    <row r="147" spans="2:18" x14ac:dyDescent="0.25">
      <c r="B147" s="18">
        <v>40</v>
      </c>
      <c r="C147" s="18" t="s">
        <v>153</v>
      </c>
      <c r="D147" s="3">
        <v>2.14</v>
      </c>
      <c r="E147" s="3">
        <v>31.3</v>
      </c>
      <c r="F147" s="18">
        <v>0.18</v>
      </c>
      <c r="G147" s="18">
        <v>36</v>
      </c>
      <c r="H147" s="3">
        <v>130</v>
      </c>
      <c r="I147" s="3">
        <v>0.13</v>
      </c>
      <c r="J147" s="126">
        <v>38</v>
      </c>
      <c r="K147" s="3">
        <v>20</v>
      </c>
      <c r="L147" s="3">
        <v>20</v>
      </c>
      <c r="M147" s="3">
        <v>20</v>
      </c>
      <c r="N147" s="3">
        <v>3.5</v>
      </c>
      <c r="O147" s="3">
        <v>1.5650000000000002</v>
      </c>
      <c r="P147" s="3">
        <v>32.532499999999999</v>
      </c>
      <c r="Q147" s="3">
        <v>0.13013</v>
      </c>
      <c r="R147" s="3">
        <v>0.27847820000000001</v>
      </c>
    </row>
    <row r="148" spans="2:18" x14ac:dyDescent="0.25">
      <c r="B148" s="18">
        <v>40</v>
      </c>
      <c r="C148" s="18" t="s">
        <v>153</v>
      </c>
      <c r="D148" s="3">
        <v>2.14</v>
      </c>
      <c r="E148" s="3">
        <v>31.3</v>
      </c>
      <c r="F148" s="18">
        <v>0.23</v>
      </c>
      <c r="G148" s="18">
        <v>46</v>
      </c>
      <c r="H148" s="3">
        <v>130</v>
      </c>
      <c r="I148" s="3">
        <v>0.13</v>
      </c>
      <c r="J148" s="126">
        <v>43</v>
      </c>
      <c r="K148" s="3">
        <v>30</v>
      </c>
      <c r="L148" s="3">
        <v>20</v>
      </c>
      <c r="M148" s="3">
        <v>20</v>
      </c>
      <c r="N148" s="3">
        <v>3.5</v>
      </c>
      <c r="O148" s="3">
        <v>1.5650000000000002</v>
      </c>
      <c r="P148" s="3">
        <v>37.532499999999999</v>
      </c>
      <c r="Q148" s="3">
        <v>0.15012999999999999</v>
      </c>
      <c r="R148" s="3">
        <v>0.32127820000000001</v>
      </c>
    </row>
    <row r="149" spans="2:18" x14ac:dyDescent="0.25">
      <c r="B149" s="18">
        <v>40</v>
      </c>
      <c r="C149" s="18" t="s">
        <v>153</v>
      </c>
      <c r="D149" s="3">
        <v>2.14</v>
      </c>
      <c r="E149" s="3">
        <v>31.3</v>
      </c>
      <c r="F149" s="18">
        <v>0.13</v>
      </c>
      <c r="G149" s="18">
        <v>26</v>
      </c>
      <c r="H149" s="3">
        <v>103.33333333333333</v>
      </c>
      <c r="I149" s="3">
        <v>0.10333333333333333</v>
      </c>
      <c r="J149" s="126">
        <v>35</v>
      </c>
      <c r="K149" s="3">
        <v>20</v>
      </c>
      <c r="L149" s="3">
        <v>20</v>
      </c>
      <c r="M149" s="3">
        <v>20</v>
      </c>
      <c r="N149" s="3">
        <v>3.5</v>
      </c>
      <c r="O149" s="3">
        <v>1.5650000000000002</v>
      </c>
      <c r="P149" s="3">
        <v>32.532499999999999</v>
      </c>
      <c r="Q149" s="3">
        <v>0.13013</v>
      </c>
      <c r="R149" s="3">
        <v>0.27847820000000001</v>
      </c>
    </row>
    <row r="150" spans="2:18" x14ac:dyDescent="0.25">
      <c r="B150" s="18">
        <v>40</v>
      </c>
      <c r="C150" s="18" t="s">
        <v>153</v>
      </c>
      <c r="D150" s="3">
        <v>2.14</v>
      </c>
      <c r="E150" s="3">
        <v>31.3</v>
      </c>
      <c r="F150" s="18">
        <v>0</v>
      </c>
      <c r="G150" s="18">
        <v>0</v>
      </c>
      <c r="H150" s="3">
        <v>44</v>
      </c>
      <c r="I150" s="3">
        <v>4.3999999999999997E-2</v>
      </c>
      <c r="J150" s="126">
        <v>21</v>
      </c>
      <c r="K150" s="3">
        <v>10</v>
      </c>
      <c r="L150" s="3">
        <v>10</v>
      </c>
      <c r="M150" s="3">
        <v>20</v>
      </c>
      <c r="N150" s="3">
        <v>3.5</v>
      </c>
      <c r="O150" s="3">
        <v>1.5650000000000002</v>
      </c>
      <c r="P150" s="3">
        <v>22.532499999999999</v>
      </c>
      <c r="Q150" s="3">
        <v>9.0130000000000002E-2</v>
      </c>
      <c r="R150" s="3">
        <v>0.19287820000000003</v>
      </c>
    </row>
    <row r="151" spans="2:18" x14ac:dyDescent="0.25">
      <c r="B151" s="18">
        <v>40</v>
      </c>
      <c r="C151" s="18" t="s">
        <v>153</v>
      </c>
      <c r="D151" s="3">
        <v>2.14</v>
      </c>
      <c r="E151" s="3">
        <v>31.3</v>
      </c>
      <c r="F151" s="18">
        <v>0</v>
      </c>
      <c r="G151" s="18">
        <v>0</v>
      </c>
      <c r="H151" s="3">
        <v>24</v>
      </c>
      <c r="I151" s="3">
        <v>2.4E-2</v>
      </c>
      <c r="J151" s="126">
        <v>21</v>
      </c>
      <c r="K151" s="3">
        <v>10</v>
      </c>
      <c r="L151" s="3">
        <v>10</v>
      </c>
      <c r="M151" s="3">
        <v>20</v>
      </c>
      <c r="N151" s="3">
        <v>3.5</v>
      </c>
      <c r="O151" s="3">
        <v>1.5650000000000002</v>
      </c>
      <c r="P151" s="3">
        <v>22.532499999999999</v>
      </c>
      <c r="Q151" s="3">
        <v>9.0130000000000002E-2</v>
      </c>
      <c r="R151" s="3">
        <v>0.19287820000000003</v>
      </c>
    </row>
    <row r="152" spans="2:18" x14ac:dyDescent="0.25">
      <c r="B152" s="18">
        <v>40</v>
      </c>
      <c r="C152" s="18" t="s">
        <v>153</v>
      </c>
      <c r="D152" s="3">
        <v>2.14</v>
      </c>
      <c r="E152" s="3">
        <v>31.3</v>
      </c>
      <c r="F152" s="18">
        <v>0</v>
      </c>
      <c r="G152" s="18">
        <v>0</v>
      </c>
      <c r="H152" s="3">
        <v>32</v>
      </c>
      <c r="I152" s="3">
        <v>3.2000000000000001E-2</v>
      </c>
      <c r="J152" s="126">
        <v>22</v>
      </c>
      <c r="K152" s="3">
        <v>10</v>
      </c>
      <c r="L152" s="3">
        <v>10</v>
      </c>
      <c r="M152" s="3">
        <v>20</v>
      </c>
      <c r="N152" s="3">
        <v>3.5</v>
      </c>
      <c r="O152" s="3">
        <v>1.5650000000000002</v>
      </c>
      <c r="P152" s="3">
        <v>22.532499999999999</v>
      </c>
      <c r="Q152" s="3">
        <v>9.0130000000000002E-2</v>
      </c>
      <c r="R152" s="3">
        <v>0.19287820000000003</v>
      </c>
    </row>
    <row r="153" spans="2:18" x14ac:dyDescent="0.25">
      <c r="B153" s="18">
        <v>40</v>
      </c>
      <c r="C153" s="18" t="s">
        <v>153</v>
      </c>
      <c r="D153" s="3">
        <v>2.14</v>
      </c>
      <c r="E153" s="3">
        <v>31.3</v>
      </c>
      <c r="F153" s="18">
        <v>0</v>
      </c>
      <c r="G153" s="18">
        <v>0</v>
      </c>
      <c r="H153" s="3">
        <v>46</v>
      </c>
      <c r="I153" s="3">
        <v>4.5999999999999999E-2</v>
      </c>
      <c r="J153" s="126">
        <v>22</v>
      </c>
      <c r="K153" s="3">
        <v>10</v>
      </c>
      <c r="L153" s="3">
        <v>10</v>
      </c>
      <c r="M153" s="3">
        <v>20</v>
      </c>
      <c r="N153" s="3">
        <v>3.5</v>
      </c>
      <c r="O153" s="3">
        <v>1.5650000000000002</v>
      </c>
      <c r="P153" s="3">
        <v>22.532499999999999</v>
      </c>
      <c r="Q153" s="3">
        <v>9.0130000000000002E-2</v>
      </c>
      <c r="R153" s="3">
        <v>0.19287820000000003</v>
      </c>
    </row>
    <row r="154" spans="2:18" x14ac:dyDescent="0.25">
      <c r="B154" s="18">
        <v>40</v>
      </c>
      <c r="C154" s="18" t="s">
        <v>153</v>
      </c>
      <c r="D154" s="3">
        <v>2.14</v>
      </c>
      <c r="E154" s="3">
        <v>31.3</v>
      </c>
      <c r="F154" s="18">
        <v>0</v>
      </c>
      <c r="G154" s="18">
        <v>0</v>
      </c>
      <c r="H154" s="3">
        <v>32</v>
      </c>
      <c r="I154" s="3">
        <v>3.2000000000000001E-2</v>
      </c>
      <c r="J154" s="126">
        <v>18</v>
      </c>
      <c r="K154" s="3">
        <v>10</v>
      </c>
      <c r="L154" s="3">
        <v>10</v>
      </c>
      <c r="M154" s="3">
        <v>20</v>
      </c>
      <c r="N154" s="3">
        <v>3.5</v>
      </c>
      <c r="O154" s="3">
        <v>1.5650000000000002</v>
      </c>
      <c r="P154" s="3">
        <v>22.532499999999999</v>
      </c>
      <c r="Q154" s="3">
        <v>9.0130000000000002E-2</v>
      </c>
      <c r="R154" s="3">
        <v>0.19287820000000003</v>
      </c>
    </row>
    <row r="155" spans="2:18" x14ac:dyDescent="0.25">
      <c r="B155" s="18">
        <v>40</v>
      </c>
      <c r="C155" s="18" t="s">
        <v>153</v>
      </c>
      <c r="D155" s="3">
        <v>2.14</v>
      </c>
      <c r="E155" s="3">
        <v>31.3</v>
      </c>
      <c r="F155" s="18">
        <v>0.11</v>
      </c>
      <c r="G155" s="18">
        <v>22</v>
      </c>
      <c r="H155" s="3">
        <v>40</v>
      </c>
      <c r="I155" s="3">
        <v>0.04</v>
      </c>
      <c r="J155" s="126">
        <v>26</v>
      </c>
      <c r="K155" s="3">
        <v>10</v>
      </c>
      <c r="L155" s="3">
        <v>10</v>
      </c>
      <c r="M155" s="3">
        <v>20</v>
      </c>
      <c r="N155" s="3">
        <v>3.5</v>
      </c>
      <c r="O155" s="3">
        <v>1.5650000000000002</v>
      </c>
      <c r="P155" s="3">
        <v>22.532499999999999</v>
      </c>
      <c r="Q155" s="3">
        <v>9.0130000000000002E-2</v>
      </c>
      <c r="R155" s="3">
        <v>0.19287820000000003</v>
      </c>
    </row>
    <row r="156" spans="2:18" x14ac:dyDescent="0.25">
      <c r="B156" s="18">
        <v>40</v>
      </c>
      <c r="C156" s="18" t="s">
        <v>153</v>
      </c>
      <c r="D156" s="3">
        <v>2.14</v>
      </c>
      <c r="E156" s="3">
        <v>31.3</v>
      </c>
      <c r="F156" s="18">
        <v>0</v>
      </c>
      <c r="G156" s="18">
        <v>0</v>
      </c>
      <c r="H156" s="3">
        <v>105</v>
      </c>
      <c r="I156" s="3">
        <v>0.105</v>
      </c>
      <c r="J156" s="126">
        <v>24</v>
      </c>
      <c r="K156" s="3">
        <v>10</v>
      </c>
      <c r="L156" s="3">
        <v>20</v>
      </c>
      <c r="M156" s="3">
        <v>20</v>
      </c>
      <c r="N156" s="3">
        <v>3.5</v>
      </c>
      <c r="O156" s="3">
        <v>1.5650000000000002</v>
      </c>
      <c r="P156" s="3">
        <v>27.532499999999999</v>
      </c>
      <c r="Q156" s="3">
        <v>0.11012999999999999</v>
      </c>
      <c r="R156" s="3">
        <v>0.2356782</v>
      </c>
    </row>
    <row r="157" spans="2:18" x14ac:dyDescent="0.25">
      <c r="B157" s="18">
        <v>40</v>
      </c>
      <c r="C157" s="18" t="s">
        <v>153</v>
      </c>
      <c r="D157" s="3">
        <v>2.14</v>
      </c>
      <c r="E157" s="3">
        <v>31.3</v>
      </c>
      <c r="F157" s="18">
        <v>0</v>
      </c>
      <c r="G157" s="18">
        <v>0</v>
      </c>
      <c r="H157" s="3">
        <v>38</v>
      </c>
      <c r="I157" s="3">
        <v>3.7999999999999999E-2</v>
      </c>
      <c r="J157" s="126">
        <v>19</v>
      </c>
      <c r="K157" s="3">
        <v>10</v>
      </c>
      <c r="L157" s="3">
        <v>10</v>
      </c>
      <c r="M157" s="3">
        <v>20</v>
      </c>
      <c r="N157" s="3">
        <v>3.5</v>
      </c>
      <c r="O157" s="3">
        <v>1.5650000000000002</v>
      </c>
      <c r="P157" s="3">
        <v>22.532499999999999</v>
      </c>
      <c r="Q157" s="3">
        <v>9.0130000000000002E-2</v>
      </c>
      <c r="R157" s="3">
        <v>0.19287820000000003</v>
      </c>
    </row>
    <row r="158" spans="2:18" x14ac:dyDescent="0.25">
      <c r="B158" s="18">
        <v>40</v>
      </c>
      <c r="C158" s="18" t="s">
        <v>153</v>
      </c>
      <c r="D158" s="3">
        <v>2.14</v>
      </c>
      <c r="E158" s="3">
        <v>31.3</v>
      </c>
      <c r="F158" s="18">
        <v>0.1</v>
      </c>
      <c r="G158" s="18">
        <v>20</v>
      </c>
      <c r="H158" s="3">
        <v>53.333333333333336</v>
      </c>
      <c r="I158" s="3">
        <v>5.3333333333333337E-2</v>
      </c>
      <c r="J158" s="126">
        <v>23</v>
      </c>
      <c r="K158" s="3">
        <v>10</v>
      </c>
      <c r="L158" s="3">
        <v>10</v>
      </c>
      <c r="M158" s="3">
        <v>20</v>
      </c>
      <c r="N158" s="3">
        <v>3.5</v>
      </c>
      <c r="O158" s="3">
        <v>1.5650000000000002</v>
      </c>
      <c r="P158" s="3">
        <v>22.532499999999999</v>
      </c>
      <c r="Q158" s="3">
        <v>9.0130000000000002E-2</v>
      </c>
      <c r="R158" s="3">
        <v>0.19287820000000003</v>
      </c>
    </row>
    <row r="159" spans="2:18" x14ac:dyDescent="0.25">
      <c r="B159" s="18">
        <v>40</v>
      </c>
      <c r="C159" s="18" t="s">
        <v>153</v>
      </c>
      <c r="D159" s="3">
        <v>2.14</v>
      </c>
      <c r="E159" s="3">
        <v>31.3</v>
      </c>
      <c r="F159" s="18">
        <v>0.15</v>
      </c>
      <c r="G159" s="18">
        <v>30</v>
      </c>
      <c r="H159" s="3">
        <v>75</v>
      </c>
      <c r="I159" s="3">
        <v>7.4999999999999997E-2</v>
      </c>
      <c r="J159" s="126">
        <v>27</v>
      </c>
      <c r="K159" s="3">
        <v>10</v>
      </c>
      <c r="L159" s="3">
        <v>10</v>
      </c>
      <c r="M159" s="3">
        <v>20</v>
      </c>
      <c r="N159" s="3">
        <v>3.5</v>
      </c>
      <c r="O159" s="3">
        <v>1.5650000000000002</v>
      </c>
      <c r="P159" s="3">
        <v>22.532499999999999</v>
      </c>
      <c r="Q159" s="3">
        <v>9.0130000000000002E-2</v>
      </c>
      <c r="R159" s="3">
        <v>0.19287820000000003</v>
      </c>
    </row>
    <row r="160" spans="2:18" x14ac:dyDescent="0.25">
      <c r="B160" s="18">
        <v>40</v>
      </c>
      <c r="C160" s="18" t="s">
        <v>153</v>
      </c>
      <c r="D160" s="3">
        <v>2.14</v>
      </c>
      <c r="E160" s="3">
        <v>31.3</v>
      </c>
      <c r="F160" s="18">
        <v>0</v>
      </c>
      <c r="G160" s="18">
        <v>0</v>
      </c>
      <c r="H160" s="3">
        <v>53.333333333333336</v>
      </c>
      <c r="I160" s="3">
        <v>5.3333333333333337E-2</v>
      </c>
      <c r="J160" s="126">
        <v>16</v>
      </c>
      <c r="K160" s="3">
        <v>10</v>
      </c>
      <c r="L160" s="3">
        <v>10</v>
      </c>
      <c r="M160" s="3">
        <v>20</v>
      </c>
      <c r="N160" s="3">
        <v>3.5</v>
      </c>
      <c r="O160" s="3">
        <v>1.5650000000000002</v>
      </c>
      <c r="P160" s="3">
        <v>22.532499999999999</v>
      </c>
      <c r="Q160" s="3">
        <v>9.0130000000000002E-2</v>
      </c>
      <c r="R160" s="3">
        <v>0.19287820000000003</v>
      </c>
    </row>
    <row r="161" spans="2:18" x14ac:dyDescent="0.25">
      <c r="B161" s="18">
        <v>40</v>
      </c>
      <c r="C161" s="18" t="s">
        <v>153</v>
      </c>
      <c r="D161" s="3">
        <v>2.14</v>
      </c>
      <c r="E161" s="3">
        <v>31.3</v>
      </c>
      <c r="F161" s="18">
        <v>0</v>
      </c>
      <c r="G161" s="18">
        <v>0</v>
      </c>
      <c r="H161" s="3">
        <v>36</v>
      </c>
      <c r="I161" s="3">
        <v>3.5999999999999997E-2</v>
      </c>
      <c r="J161" s="126">
        <v>17</v>
      </c>
      <c r="K161" s="3">
        <v>10</v>
      </c>
      <c r="L161" s="3">
        <v>10</v>
      </c>
      <c r="M161" s="3">
        <v>20</v>
      </c>
      <c r="N161" s="3">
        <v>3.5</v>
      </c>
      <c r="O161" s="3">
        <v>1.5650000000000002</v>
      </c>
      <c r="P161" s="3">
        <v>22.532499999999999</v>
      </c>
      <c r="Q161" s="3">
        <v>9.0130000000000002E-2</v>
      </c>
      <c r="R161" s="3">
        <v>0.19287820000000003</v>
      </c>
    </row>
    <row r="162" spans="2:18" x14ac:dyDescent="0.25">
      <c r="B162" s="18">
        <v>40</v>
      </c>
      <c r="C162" s="18" t="s">
        <v>153</v>
      </c>
      <c r="D162" s="3">
        <v>2.14</v>
      </c>
      <c r="E162" s="3">
        <v>31.3</v>
      </c>
      <c r="F162" s="18">
        <v>0</v>
      </c>
      <c r="G162" s="18">
        <v>0</v>
      </c>
      <c r="H162" s="3">
        <v>38</v>
      </c>
      <c r="I162" s="3">
        <v>3.7999999999999999E-2</v>
      </c>
      <c r="J162" s="126">
        <v>20</v>
      </c>
      <c r="K162" s="3">
        <v>10</v>
      </c>
      <c r="L162" s="3">
        <v>10</v>
      </c>
      <c r="M162" s="3">
        <v>20</v>
      </c>
      <c r="N162" s="3">
        <v>3.5</v>
      </c>
      <c r="O162" s="3">
        <v>1.5650000000000002</v>
      </c>
      <c r="P162" s="3">
        <v>22.532499999999999</v>
      </c>
      <c r="Q162" s="3">
        <v>9.0130000000000002E-2</v>
      </c>
      <c r="R162" s="3">
        <v>0.19287820000000003</v>
      </c>
    </row>
    <row r="163" spans="2:18" x14ac:dyDescent="0.25">
      <c r="B163" s="18">
        <v>40</v>
      </c>
      <c r="C163" s="18" t="s">
        <v>153</v>
      </c>
      <c r="D163" s="3">
        <v>2.14</v>
      </c>
      <c r="E163" s="3">
        <v>31.3</v>
      </c>
      <c r="F163" s="18">
        <v>0</v>
      </c>
      <c r="G163" s="18">
        <v>0</v>
      </c>
      <c r="H163" s="3">
        <v>36</v>
      </c>
      <c r="I163" s="3">
        <v>3.5999999999999997E-2</v>
      </c>
      <c r="J163" s="126">
        <v>27</v>
      </c>
      <c r="K163" s="3">
        <v>10</v>
      </c>
      <c r="L163" s="3">
        <v>10</v>
      </c>
      <c r="M163" s="3">
        <v>20</v>
      </c>
      <c r="N163" s="3">
        <v>3.5</v>
      </c>
      <c r="O163" s="3">
        <v>1.5650000000000002</v>
      </c>
      <c r="P163" s="3">
        <v>22.532499999999999</v>
      </c>
      <c r="Q163" s="3">
        <v>9.0130000000000002E-2</v>
      </c>
      <c r="R163" s="3">
        <v>0.19287820000000003</v>
      </c>
    </row>
    <row r="164" spans="2:18" x14ac:dyDescent="0.25">
      <c r="B164" s="18">
        <v>40</v>
      </c>
      <c r="C164" s="18" t="s">
        <v>153</v>
      </c>
      <c r="D164" s="3">
        <v>2.14</v>
      </c>
      <c r="E164" s="3">
        <v>31.3</v>
      </c>
      <c r="F164" s="18">
        <v>0</v>
      </c>
      <c r="G164" s="18">
        <v>0</v>
      </c>
      <c r="H164" s="3">
        <v>62.5</v>
      </c>
      <c r="I164" s="3">
        <v>6.25E-2</v>
      </c>
      <c r="J164" s="126">
        <v>26</v>
      </c>
      <c r="K164" s="3">
        <v>10</v>
      </c>
      <c r="L164" s="3">
        <v>10</v>
      </c>
      <c r="M164" s="3">
        <v>20</v>
      </c>
      <c r="N164" s="3">
        <v>3.5</v>
      </c>
      <c r="O164" s="3">
        <v>1.5650000000000002</v>
      </c>
      <c r="P164" s="3">
        <v>22.532499999999999</v>
      </c>
      <c r="Q164" s="3">
        <v>9.0130000000000002E-2</v>
      </c>
      <c r="R164" s="3">
        <v>0.19287820000000003</v>
      </c>
    </row>
    <row r="165" spans="2:18" x14ac:dyDescent="0.25">
      <c r="B165" s="18">
        <v>40</v>
      </c>
      <c r="C165" s="18" t="s">
        <v>153</v>
      </c>
      <c r="D165" s="3">
        <v>2.14</v>
      </c>
      <c r="E165" s="3">
        <v>31.3</v>
      </c>
      <c r="F165" s="18">
        <v>0.1</v>
      </c>
      <c r="G165" s="18">
        <v>20</v>
      </c>
      <c r="H165" s="3">
        <v>90</v>
      </c>
      <c r="I165" s="3">
        <v>0.09</v>
      </c>
      <c r="J165" s="126">
        <v>33</v>
      </c>
      <c r="K165" s="3">
        <v>20</v>
      </c>
      <c r="L165" s="3">
        <v>10</v>
      </c>
      <c r="M165" s="3">
        <v>20</v>
      </c>
      <c r="N165" s="3">
        <v>3.5</v>
      </c>
      <c r="O165" s="3">
        <v>1.5650000000000002</v>
      </c>
      <c r="P165" s="3">
        <v>27.532499999999999</v>
      </c>
      <c r="Q165" s="3">
        <v>0.11012999999999999</v>
      </c>
      <c r="R165" s="3">
        <v>0.2356782</v>
      </c>
    </row>
    <row r="166" spans="2:18" x14ac:dyDescent="0.25">
      <c r="B166" s="18">
        <v>40</v>
      </c>
      <c r="C166" s="18" t="s">
        <v>153</v>
      </c>
      <c r="D166" s="3">
        <v>2.14</v>
      </c>
      <c r="E166" s="3">
        <v>31.3</v>
      </c>
      <c r="F166" s="18">
        <v>0.12</v>
      </c>
      <c r="G166" s="18">
        <v>24</v>
      </c>
      <c r="H166" s="3">
        <v>90</v>
      </c>
      <c r="I166" s="3">
        <v>0.09</v>
      </c>
      <c r="J166" s="126">
        <v>34</v>
      </c>
      <c r="K166" s="3">
        <v>20</v>
      </c>
      <c r="L166" s="3">
        <v>10</v>
      </c>
      <c r="M166" s="3">
        <v>20</v>
      </c>
      <c r="N166" s="3">
        <v>3.5</v>
      </c>
      <c r="O166" s="3">
        <v>1.5650000000000002</v>
      </c>
      <c r="P166" s="3">
        <v>27.532499999999999</v>
      </c>
      <c r="Q166" s="3">
        <v>0.11012999999999999</v>
      </c>
      <c r="R166" s="3">
        <v>0.2356782</v>
      </c>
    </row>
    <row r="167" spans="2:18" x14ac:dyDescent="0.25">
      <c r="B167" s="18">
        <v>40</v>
      </c>
      <c r="C167" s="18" t="s">
        <v>153</v>
      </c>
      <c r="D167" s="3">
        <v>2.14</v>
      </c>
      <c r="E167" s="3">
        <v>31.3</v>
      </c>
      <c r="F167" s="18">
        <v>0.27</v>
      </c>
      <c r="G167" s="18">
        <v>54</v>
      </c>
      <c r="H167" s="3">
        <v>175</v>
      </c>
      <c r="I167" s="3">
        <v>0.17499999999999999</v>
      </c>
      <c r="J167" s="126">
        <v>47</v>
      </c>
      <c r="K167" s="3">
        <v>30</v>
      </c>
      <c r="L167" s="3">
        <v>20</v>
      </c>
      <c r="M167" s="3">
        <v>20</v>
      </c>
      <c r="N167" s="3">
        <v>3.5</v>
      </c>
      <c r="O167" s="3">
        <v>1.5650000000000002</v>
      </c>
      <c r="P167" s="3">
        <v>37.532499999999999</v>
      </c>
      <c r="Q167" s="3">
        <v>0.15012999999999999</v>
      </c>
      <c r="R167" s="3">
        <v>0.32127820000000001</v>
      </c>
    </row>
    <row r="168" spans="2:18" x14ac:dyDescent="0.25">
      <c r="B168" s="18">
        <v>40</v>
      </c>
      <c r="C168" s="18" t="s">
        <v>153</v>
      </c>
      <c r="D168" s="3">
        <v>2.14</v>
      </c>
      <c r="E168" s="3">
        <v>31.3</v>
      </c>
      <c r="F168" s="18">
        <v>0.26</v>
      </c>
      <c r="G168" s="18">
        <v>52</v>
      </c>
      <c r="H168" s="3">
        <v>140</v>
      </c>
      <c r="I168" s="3">
        <v>0.14000000000000001</v>
      </c>
      <c r="J168" s="126">
        <v>45</v>
      </c>
      <c r="K168" s="3">
        <v>30</v>
      </c>
      <c r="L168" s="3">
        <v>20</v>
      </c>
      <c r="M168" s="3">
        <v>20</v>
      </c>
      <c r="N168" s="3">
        <v>3.5</v>
      </c>
      <c r="O168" s="3">
        <v>1.5650000000000002</v>
      </c>
      <c r="P168" s="3">
        <v>37.532499999999999</v>
      </c>
      <c r="Q168" s="3">
        <v>0.15012999999999999</v>
      </c>
      <c r="R168" s="3">
        <v>0.32127820000000001</v>
      </c>
    </row>
    <row r="169" spans="2:18" x14ac:dyDescent="0.25">
      <c r="B169" s="18">
        <v>40</v>
      </c>
      <c r="C169" s="18" t="s">
        <v>153</v>
      </c>
      <c r="D169" s="3">
        <v>2.14</v>
      </c>
      <c r="E169" s="3">
        <v>31.3</v>
      </c>
      <c r="F169" s="18">
        <v>0.12</v>
      </c>
      <c r="G169" s="18">
        <v>24</v>
      </c>
      <c r="H169" s="3">
        <v>106.66666666666667</v>
      </c>
      <c r="I169" s="3">
        <v>0.10666666666666667</v>
      </c>
      <c r="J169" s="126">
        <v>40</v>
      </c>
      <c r="K169" s="3">
        <v>20</v>
      </c>
      <c r="L169" s="3">
        <v>20</v>
      </c>
      <c r="M169" s="3">
        <v>20</v>
      </c>
      <c r="N169" s="3">
        <v>3.5</v>
      </c>
      <c r="O169" s="3">
        <v>1.5650000000000002</v>
      </c>
      <c r="P169" s="3">
        <v>32.532499999999999</v>
      </c>
      <c r="Q169" s="3">
        <v>0.13013</v>
      </c>
      <c r="R169" s="3">
        <v>0.27847820000000001</v>
      </c>
    </row>
    <row r="170" spans="2:18" x14ac:dyDescent="0.25">
      <c r="B170" s="18">
        <v>40</v>
      </c>
      <c r="C170" s="18" t="s">
        <v>153</v>
      </c>
      <c r="D170" s="3">
        <v>2.14</v>
      </c>
      <c r="E170" s="3">
        <v>31.3</v>
      </c>
      <c r="F170" s="18">
        <v>0.32</v>
      </c>
      <c r="G170" s="18">
        <v>64</v>
      </c>
      <c r="H170" s="3">
        <v>106.66666666666667</v>
      </c>
      <c r="I170" s="3">
        <v>0.10666666666666667</v>
      </c>
      <c r="J170" s="126">
        <v>48</v>
      </c>
      <c r="K170" s="3">
        <v>30</v>
      </c>
      <c r="L170" s="3">
        <v>20</v>
      </c>
      <c r="M170" s="3">
        <v>20</v>
      </c>
      <c r="N170" s="3">
        <v>3.5</v>
      </c>
      <c r="O170" s="3">
        <v>1.5650000000000002</v>
      </c>
      <c r="P170" s="3">
        <v>37.532499999999999</v>
      </c>
      <c r="Q170" s="3">
        <v>0.15012999999999999</v>
      </c>
      <c r="R170" s="3">
        <v>0.32127820000000001</v>
      </c>
    </row>
    <row r="171" spans="2:18" x14ac:dyDescent="0.25">
      <c r="B171" s="18">
        <v>40</v>
      </c>
      <c r="C171" s="18" t="s">
        <v>153</v>
      </c>
      <c r="D171" s="3">
        <v>2.14</v>
      </c>
      <c r="E171" s="3">
        <v>31.3</v>
      </c>
      <c r="F171" s="18">
        <v>0.1</v>
      </c>
      <c r="G171" s="18">
        <v>20</v>
      </c>
      <c r="H171" s="3">
        <v>75</v>
      </c>
      <c r="I171" s="3">
        <v>7.4999999999999997E-2</v>
      </c>
      <c r="J171" s="126">
        <v>34</v>
      </c>
      <c r="K171" s="3">
        <v>20</v>
      </c>
      <c r="L171" s="3">
        <v>10</v>
      </c>
      <c r="M171" s="3">
        <v>20</v>
      </c>
      <c r="N171" s="3">
        <v>3.5</v>
      </c>
      <c r="O171" s="3">
        <v>1.5650000000000002</v>
      </c>
      <c r="P171" s="3">
        <v>27.532499999999999</v>
      </c>
      <c r="Q171" s="3">
        <v>0.11012999999999999</v>
      </c>
      <c r="R171" s="3">
        <v>0.2356782</v>
      </c>
    </row>
    <row r="172" spans="2:18" x14ac:dyDescent="0.25">
      <c r="B172" s="18">
        <v>40</v>
      </c>
      <c r="C172" s="18" t="s">
        <v>153</v>
      </c>
      <c r="D172" s="3">
        <v>2.14</v>
      </c>
      <c r="E172" s="3">
        <v>31.3</v>
      </c>
      <c r="F172" s="18">
        <v>0</v>
      </c>
      <c r="G172" s="18">
        <v>0</v>
      </c>
      <c r="H172" s="3">
        <v>63.333333333333336</v>
      </c>
      <c r="I172" s="3">
        <v>6.3333333333333339E-2</v>
      </c>
      <c r="J172" s="126">
        <v>24</v>
      </c>
      <c r="K172" s="3">
        <v>10</v>
      </c>
      <c r="L172" s="3">
        <v>10</v>
      </c>
      <c r="M172" s="3">
        <v>20</v>
      </c>
      <c r="N172" s="3">
        <v>3.5</v>
      </c>
      <c r="O172" s="3">
        <v>1.5650000000000002</v>
      </c>
      <c r="P172" s="3">
        <v>22.532499999999999</v>
      </c>
      <c r="Q172" s="3">
        <v>9.0130000000000002E-2</v>
      </c>
      <c r="R172" s="3">
        <v>0.19287820000000003</v>
      </c>
    </row>
    <row r="173" spans="2:18" x14ac:dyDescent="0.25">
      <c r="B173" s="18">
        <v>40</v>
      </c>
      <c r="C173" s="18" t="s">
        <v>153</v>
      </c>
      <c r="D173" s="3">
        <v>2.14</v>
      </c>
      <c r="E173" s="3">
        <v>31.3</v>
      </c>
      <c r="F173" s="18">
        <v>0.11</v>
      </c>
      <c r="G173" s="18">
        <v>22</v>
      </c>
      <c r="H173" s="3">
        <v>70</v>
      </c>
      <c r="I173" s="3">
        <v>7.0000000000000007E-2</v>
      </c>
      <c r="J173" s="126">
        <v>23</v>
      </c>
      <c r="K173" s="3">
        <v>10</v>
      </c>
      <c r="L173" s="3">
        <v>10</v>
      </c>
      <c r="M173" s="3">
        <v>20</v>
      </c>
      <c r="N173" s="3">
        <v>3.5</v>
      </c>
      <c r="O173" s="3">
        <v>1.5650000000000002</v>
      </c>
      <c r="P173" s="3">
        <v>22.532499999999999</v>
      </c>
      <c r="Q173" s="3">
        <v>9.0130000000000002E-2</v>
      </c>
      <c r="R173" s="3">
        <v>0.19287820000000003</v>
      </c>
    </row>
    <row r="174" spans="2:18" x14ac:dyDescent="0.25">
      <c r="B174" s="18">
        <v>40</v>
      </c>
      <c r="C174" s="18" t="s">
        <v>153</v>
      </c>
      <c r="D174" s="3">
        <v>2.14</v>
      </c>
      <c r="E174" s="3">
        <v>31.3</v>
      </c>
      <c r="F174" s="18">
        <v>0</v>
      </c>
      <c r="G174" s="18">
        <v>0</v>
      </c>
      <c r="H174" s="3">
        <v>67.5</v>
      </c>
      <c r="I174" s="3">
        <v>6.7500000000000004E-2</v>
      </c>
      <c r="J174" s="126">
        <v>18</v>
      </c>
      <c r="K174" s="3">
        <v>10</v>
      </c>
      <c r="L174" s="3">
        <v>10</v>
      </c>
      <c r="M174" s="3">
        <v>20</v>
      </c>
      <c r="N174" s="3">
        <v>3.5</v>
      </c>
      <c r="O174" s="3">
        <v>1.5650000000000002</v>
      </c>
      <c r="P174" s="3">
        <v>22.532499999999999</v>
      </c>
      <c r="Q174" s="3">
        <v>9.0130000000000002E-2</v>
      </c>
      <c r="R174" s="3">
        <v>0.19287820000000003</v>
      </c>
    </row>
    <row r="175" spans="2:18" x14ac:dyDescent="0.25">
      <c r="B175" s="18">
        <v>40</v>
      </c>
      <c r="C175" s="18" t="s">
        <v>153</v>
      </c>
      <c r="D175" s="3">
        <v>2.14</v>
      </c>
      <c r="E175" s="3">
        <v>31.3</v>
      </c>
      <c r="F175" s="18">
        <v>0</v>
      </c>
      <c r="G175" s="18">
        <v>0</v>
      </c>
      <c r="H175" s="3">
        <v>40</v>
      </c>
      <c r="I175" s="3">
        <v>0.04</v>
      </c>
      <c r="J175" s="126">
        <v>26</v>
      </c>
      <c r="K175" s="3">
        <v>10</v>
      </c>
      <c r="L175" s="3">
        <v>10</v>
      </c>
      <c r="M175" s="3">
        <v>20</v>
      </c>
      <c r="N175" s="3">
        <v>3.5</v>
      </c>
      <c r="O175" s="3">
        <v>1.5650000000000002</v>
      </c>
      <c r="P175" s="3">
        <v>22.532499999999999</v>
      </c>
      <c r="Q175" s="3">
        <v>9.0130000000000002E-2</v>
      </c>
      <c r="R175" s="3">
        <v>0.19287820000000003</v>
      </c>
    </row>
    <row r="176" spans="2:18" x14ac:dyDescent="0.25">
      <c r="B176" s="18">
        <v>40</v>
      </c>
      <c r="C176" s="18" t="s">
        <v>153</v>
      </c>
      <c r="D176" s="3">
        <v>2.14</v>
      </c>
      <c r="E176" s="3">
        <v>31.3</v>
      </c>
      <c r="F176" s="18">
        <v>0</v>
      </c>
      <c r="G176" s="18">
        <v>0</v>
      </c>
      <c r="H176" s="3">
        <v>34</v>
      </c>
      <c r="I176" s="3">
        <v>3.4000000000000002E-2</v>
      </c>
      <c r="J176" s="126">
        <v>26</v>
      </c>
      <c r="K176" s="3">
        <v>10</v>
      </c>
      <c r="L176" s="3">
        <v>10</v>
      </c>
      <c r="M176" s="3">
        <v>20</v>
      </c>
      <c r="N176" s="3">
        <v>3.5</v>
      </c>
      <c r="O176" s="3">
        <v>1.5650000000000002</v>
      </c>
      <c r="P176" s="3">
        <v>22.532499999999999</v>
      </c>
      <c r="Q176" s="3">
        <v>9.0130000000000002E-2</v>
      </c>
      <c r="R176" s="3">
        <v>0.19287820000000003</v>
      </c>
    </row>
    <row r="177" spans="2:18" x14ac:dyDescent="0.25">
      <c r="B177" s="18">
        <v>40</v>
      </c>
      <c r="C177" s="18" t="s">
        <v>153</v>
      </c>
      <c r="D177" s="3">
        <v>2.14</v>
      </c>
      <c r="E177" s="3">
        <v>31.3</v>
      </c>
      <c r="F177" s="18">
        <v>0</v>
      </c>
      <c r="G177" s="18">
        <v>0</v>
      </c>
      <c r="H177" s="3">
        <v>33.333333333333336</v>
      </c>
      <c r="I177" s="3">
        <v>3.3333333333333333E-2</v>
      </c>
      <c r="J177" s="126">
        <v>17</v>
      </c>
      <c r="K177" s="3">
        <v>10</v>
      </c>
      <c r="L177" s="3">
        <v>10</v>
      </c>
      <c r="M177" s="3">
        <v>20</v>
      </c>
      <c r="N177" s="3">
        <v>3.5</v>
      </c>
      <c r="O177" s="3">
        <v>1.5650000000000002</v>
      </c>
      <c r="P177" s="3">
        <v>22.532499999999999</v>
      </c>
      <c r="Q177" s="3">
        <v>9.0130000000000002E-2</v>
      </c>
      <c r="R177" s="3">
        <v>0.19287820000000003</v>
      </c>
    </row>
    <row r="178" spans="2:18" x14ac:dyDescent="0.25">
      <c r="B178" s="18">
        <v>40</v>
      </c>
      <c r="C178" s="18" t="s">
        <v>153</v>
      </c>
      <c r="D178" s="3">
        <v>2.14</v>
      </c>
      <c r="E178" s="3">
        <v>31.3</v>
      </c>
      <c r="F178" s="18">
        <v>0</v>
      </c>
      <c r="G178" s="18">
        <v>0</v>
      </c>
      <c r="H178" s="3">
        <v>40</v>
      </c>
      <c r="I178" s="3">
        <v>0.04</v>
      </c>
      <c r="J178" s="126">
        <v>17</v>
      </c>
      <c r="K178" s="3">
        <v>10</v>
      </c>
      <c r="L178" s="3">
        <v>10</v>
      </c>
      <c r="M178" s="3">
        <v>20</v>
      </c>
      <c r="N178" s="3">
        <v>3.5</v>
      </c>
      <c r="O178" s="3">
        <v>1.5650000000000002</v>
      </c>
      <c r="P178" s="3">
        <v>22.532499999999999</v>
      </c>
      <c r="Q178" s="3">
        <v>9.0130000000000002E-2</v>
      </c>
      <c r="R178" s="3">
        <v>0.19287820000000003</v>
      </c>
    </row>
    <row r="179" spans="2:18" x14ac:dyDescent="0.25">
      <c r="B179" s="18">
        <v>40</v>
      </c>
      <c r="C179" s="18" t="s">
        <v>153</v>
      </c>
      <c r="D179" s="3">
        <v>2.14</v>
      </c>
      <c r="E179" s="3">
        <v>31.3</v>
      </c>
      <c r="F179" s="18">
        <v>0</v>
      </c>
      <c r="G179" s="18">
        <v>0</v>
      </c>
      <c r="H179" s="3">
        <v>72</v>
      </c>
      <c r="I179" s="3">
        <v>7.1999999999999995E-2</v>
      </c>
      <c r="J179" s="126">
        <v>30</v>
      </c>
      <c r="K179" s="3">
        <v>20</v>
      </c>
      <c r="L179" s="3">
        <v>10</v>
      </c>
      <c r="M179" s="3">
        <v>20</v>
      </c>
      <c r="N179" s="3">
        <v>3.5</v>
      </c>
      <c r="O179" s="3">
        <v>1.5650000000000002</v>
      </c>
      <c r="P179" s="3">
        <v>27.532499999999999</v>
      </c>
      <c r="Q179" s="3">
        <v>0.11012999999999999</v>
      </c>
      <c r="R179" s="3">
        <v>0.2356782</v>
      </c>
    </row>
    <row r="180" spans="2:18" x14ac:dyDescent="0.25">
      <c r="B180" s="18">
        <v>40</v>
      </c>
      <c r="C180" s="18" t="s">
        <v>153</v>
      </c>
      <c r="D180" s="3">
        <v>2.14</v>
      </c>
      <c r="E180" s="3">
        <v>31.3</v>
      </c>
      <c r="F180" s="18">
        <v>0.24</v>
      </c>
      <c r="G180" s="18">
        <v>48</v>
      </c>
      <c r="H180" s="3">
        <v>133.33333333333334</v>
      </c>
      <c r="I180" s="3">
        <v>0.13333333333333333</v>
      </c>
      <c r="J180" s="126">
        <v>38</v>
      </c>
      <c r="K180" s="3">
        <v>20</v>
      </c>
      <c r="L180" s="3">
        <v>20</v>
      </c>
      <c r="M180" s="3">
        <v>20</v>
      </c>
      <c r="N180" s="3">
        <v>3.5</v>
      </c>
      <c r="O180" s="3">
        <v>1.5650000000000002</v>
      </c>
      <c r="P180" s="3">
        <v>32.532499999999999</v>
      </c>
      <c r="Q180" s="3">
        <v>0.13013</v>
      </c>
      <c r="R180" s="3">
        <v>0.27847820000000001</v>
      </c>
    </row>
    <row r="181" spans="2:18" x14ac:dyDescent="0.25">
      <c r="B181" s="18">
        <v>40</v>
      </c>
      <c r="C181" s="18" t="s">
        <v>153</v>
      </c>
      <c r="D181" s="3">
        <v>2.14</v>
      </c>
      <c r="E181" s="3">
        <v>31.3</v>
      </c>
      <c r="F181" s="18">
        <v>0</v>
      </c>
      <c r="G181" s="18">
        <v>0</v>
      </c>
      <c r="H181" s="3">
        <v>115</v>
      </c>
      <c r="I181" s="3">
        <v>0.115</v>
      </c>
      <c r="J181" s="126">
        <v>21</v>
      </c>
      <c r="K181" s="3">
        <v>10</v>
      </c>
      <c r="L181" s="3">
        <v>20</v>
      </c>
      <c r="M181" s="3">
        <v>20</v>
      </c>
      <c r="N181" s="3">
        <v>3.5</v>
      </c>
      <c r="O181" s="3">
        <v>1.5650000000000002</v>
      </c>
      <c r="P181" s="3">
        <v>27.532499999999999</v>
      </c>
      <c r="Q181" s="3">
        <v>0.11012999999999999</v>
      </c>
      <c r="R181" s="3">
        <v>0.2356782</v>
      </c>
    </row>
    <row r="182" spans="2:18" x14ac:dyDescent="0.25">
      <c r="B182" s="18">
        <v>40</v>
      </c>
      <c r="C182" s="18" t="s">
        <v>153</v>
      </c>
      <c r="D182" s="3">
        <v>2.14</v>
      </c>
      <c r="E182" s="3">
        <v>31.3</v>
      </c>
      <c r="F182" s="18">
        <v>0.18</v>
      </c>
      <c r="G182" s="18">
        <v>36</v>
      </c>
      <c r="H182" s="3">
        <v>107.5</v>
      </c>
      <c r="I182" s="3">
        <v>0.1075</v>
      </c>
      <c r="J182" s="126">
        <v>37</v>
      </c>
      <c r="K182" s="3">
        <v>20</v>
      </c>
      <c r="L182" s="3">
        <v>20</v>
      </c>
      <c r="M182" s="3">
        <v>20</v>
      </c>
      <c r="N182" s="3">
        <v>3.5</v>
      </c>
      <c r="O182" s="3">
        <v>1.5650000000000002</v>
      </c>
      <c r="P182" s="3">
        <v>32.532499999999999</v>
      </c>
      <c r="Q182" s="3">
        <v>0.13013</v>
      </c>
      <c r="R182" s="3">
        <v>0.27847820000000001</v>
      </c>
    </row>
    <row r="183" spans="2:18" x14ac:dyDescent="0.25">
      <c r="B183" s="18">
        <v>40</v>
      </c>
      <c r="C183" s="18" t="s">
        <v>153</v>
      </c>
      <c r="D183" s="3">
        <v>2.14</v>
      </c>
      <c r="E183" s="3">
        <v>31.3</v>
      </c>
      <c r="F183" s="18">
        <v>0.1</v>
      </c>
      <c r="G183" s="18">
        <v>20</v>
      </c>
      <c r="H183" s="3">
        <v>90</v>
      </c>
      <c r="I183" s="3">
        <v>0.09</v>
      </c>
      <c r="J183" s="126">
        <v>32</v>
      </c>
      <c r="K183" s="3">
        <v>20</v>
      </c>
      <c r="L183" s="3">
        <v>10</v>
      </c>
      <c r="M183" s="3">
        <v>20</v>
      </c>
      <c r="N183" s="3">
        <v>3.5</v>
      </c>
      <c r="O183" s="3">
        <v>1.5650000000000002</v>
      </c>
      <c r="P183" s="3">
        <v>27.532499999999999</v>
      </c>
      <c r="Q183" s="3">
        <v>0.11012999999999999</v>
      </c>
      <c r="R183" s="3">
        <v>0.2356782</v>
      </c>
    </row>
    <row r="184" spans="2:18" x14ac:dyDescent="0.25">
      <c r="B184" s="18">
        <v>40</v>
      </c>
      <c r="C184" s="18" t="s">
        <v>153</v>
      </c>
      <c r="D184" s="3">
        <v>2.14</v>
      </c>
      <c r="E184" s="3">
        <v>31.3</v>
      </c>
      <c r="F184" s="18">
        <v>0.18</v>
      </c>
      <c r="G184" s="18">
        <v>36</v>
      </c>
      <c r="H184" s="3">
        <v>100</v>
      </c>
      <c r="I184" s="3">
        <v>0.1</v>
      </c>
      <c r="J184" s="126">
        <v>36</v>
      </c>
      <c r="K184" s="3">
        <v>20</v>
      </c>
      <c r="L184" s="3">
        <v>50</v>
      </c>
      <c r="M184" s="3">
        <v>20</v>
      </c>
      <c r="N184" s="3">
        <v>3.5</v>
      </c>
      <c r="O184" s="3">
        <v>1.5650000000000002</v>
      </c>
      <c r="P184" s="3">
        <v>47.532499999999999</v>
      </c>
      <c r="Q184" s="3">
        <v>0.19012999999999999</v>
      </c>
      <c r="R184" s="3">
        <v>0.40687820000000002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D552-7187-463B-9CC7-7AE4185BEB43}">
  <sheetPr codeName="Planilha15">
    <tabColor rgb="FF00B0F0"/>
  </sheetPr>
  <dimension ref="D2:N23"/>
  <sheetViews>
    <sheetView zoomScale="55" zoomScaleNormal="55" workbookViewId="0">
      <selection activeCell="U34" sqref="U34"/>
    </sheetView>
  </sheetViews>
  <sheetFormatPr defaultColWidth="8.85546875" defaultRowHeight="15" x14ac:dyDescent="0.25"/>
  <cols>
    <col min="5" max="5" width="33.85546875" bestFit="1" customWidth="1"/>
  </cols>
  <sheetData>
    <row r="2" spans="4:14" ht="15.75" thickBot="1" x14ac:dyDescent="0.3"/>
    <row r="3" spans="4:14" x14ac:dyDescent="0.25">
      <c r="D3" s="99">
        <v>1</v>
      </c>
      <c r="E3" s="100" t="s">
        <v>604</v>
      </c>
      <c r="F3" t="s">
        <v>592</v>
      </c>
      <c r="I3" t="s">
        <v>194</v>
      </c>
      <c r="J3" t="s">
        <v>592</v>
      </c>
      <c r="N3" t="e" vm="7">
        <v>#VALUE!</v>
      </c>
    </row>
    <row r="4" spans="4:14" x14ac:dyDescent="0.25">
      <c r="D4" s="101" t="s">
        <v>601</v>
      </c>
      <c r="E4" s="102" t="s">
        <v>605</v>
      </c>
      <c r="F4">
        <v>10</v>
      </c>
      <c r="I4">
        <v>30</v>
      </c>
    </row>
    <row r="5" spans="4:14" x14ac:dyDescent="0.25">
      <c r="D5" s="101" t="s">
        <v>602</v>
      </c>
      <c r="E5" s="102" t="s">
        <v>606</v>
      </c>
      <c r="F5">
        <v>20</v>
      </c>
    </row>
    <row r="6" spans="4:14" ht="15.75" thickBot="1" x14ac:dyDescent="0.3">
      <c r="D6" s="103" t="s">
        <v>603</v>
      </c>
      <c r="E6" s="104" t="s">
        <v>607</v>
      </c>
      <c r="F6">
        <v>50</v>
      </c>
    </row>
    <row r="7" spans="4:14" ht="15.75" thickBot="1" x14ac:dyDescent="0.3"/>
    <row r="8" spans="4:14" x14ac:dyDescent="0.25">
      <c r="D8" s="99">
        <v>2</v>
      </c>
      <c r="E8" s="100" t="s">
        <v>608</v>
      </c>
      <c r="F8" t="s">
        <v>593</v>
      </c>
    </row>
    <row r="9" spans="4:14" x14ac:dyDescent="0.25">
      <c r="D9" s="101" t="s">
        <v>609</v>
      </c>
      <c r="E9" s="102" t="s">
        <v>610</v>
      </c>
      <c r="F9">
        <v>10</v>
      </c>
    </row>
    <row r="10" spans="4:14" x14ac:dyDescent="0.25">
      <c r="D10" s="101" t="s">
        <v>612</v>
      </c>
      <c r="E10" s="102" t="s">
        <v>611</v>
      </c>
      <c r="F10">
        <v>20</v>
      </c>
    </row>
    <row r="11" spans="4:14" ht="15.75" thickBot="1" x14ac:dyDescent="0.3">
      <c r="D11" s="103" t="s">
        <v>613</v>
      </c>
      <c r="E11" s="104" t="s">
        <v>614</v>
      </c>
      <c r="F11">
        <v>50</v>
      </c>
    </row>
    <row r="12" spans="4:14" ht="15.75" thickBot="1" x14ac:dyDescent="0.3"/>
    <row r="13" spans="4:14" x14ac:dyDescent="0.25">
      <c r="D13" s="99">
        <v>3</v>
      </c>
      <c r="E13" s="100" t="s">
        <v>615</v>
      </c>
      <c r="F13" t="s">
        <v>594</v>
      </c>
    </row>
    <row r="14" spans="4:14" x14ac:dyDescent="0.25">
      <c r="D14" s="101" t="s">
        <v>616</v>
      </c>
      <c r="E14" s="102" t="s">
        <v>620</v>
      </c>
      <c r="F14">
        <v>10</v>
      </c>
    </row>
    <row r="15" spans="4:14" x14ac:dyDescent="0.25">
      <c r="D15" s="101" t="s">
        <v>617</v>
      </c>
      <c r="E15" s="102" t="s">
        <v>621</v>
      </c>
      <c r="F15">
        <v>20</v>
      </c>
    </row>
    <row r="16" spans="4:14" ht="15.75" thickBot="1" x14ac:dyDescent="0.3">
      <c r="D16" s="103" t="s">
        <v>618</v>
      </c>
      <c r="E16" s="104" t="s">
        <v>622</v>
      </c>
      <c r="F16">
        <v>30</v>
      </c>
    </row>
    <row r="17" spans="4:6" ht="15.75" thickBot="1" x14ac:dyDescent="0.3">
      <c r="D17" s="103" t="s">
        <v>619</v>
      </c>
      <c r="E17" s="104" t="s">
        <v>623</v>
      </c>
      <c r="F17">
        <v>40</v>
      </c>
    </row>
    <row r="18" spans="4:6" ht="15.75" thickBot="1" x14ac:dyDescent="0.3"/>
    <row r="19" spans="4:6" x14ac:dyDescent="0.25">
      <c r="D19" s="99">
        <v>4</v>
      </c>
      <c r="E19" s="100" t="s">
        <v>624</v>
      </c>
    </row>
    <row r="20" spans="4:6" x14ac:dyDescent="0.25">
      <c r="D20" s="101"/>
      <c r="E20" s="102"/>
    </row>
    <row r="21" spans="4:6" ht="15.75" thickBot="1" x14ac:dyDescent="0.3"/>
    <row r="22" spans="4:6" x14ac:dyDescent="0.25">
      <c r="D22" s="99">
        <v>5</v>
      </c>
      <c r="E22" s="100" t="s">
        <v>625</v>
      </c>
    </row>
    <row r="23" spans="4:6" x14ac:dyDescent="0.25">
      <c r="D23" s="101"/>
      <c r="E23" s="102"/>
    </row>
  </sheetData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59C4-25E8-4CA3-82E0-FD548F5AEDD7}">
  <sheetPr codeName="Planilha19"/>
  <dimension ref="F7:AB14"/>
  <sheetViews>
    <sheetView zoomScale="55" zoomScaleNormal="55" workbookViewId="0">
      <selection activeCell="U28" sqref="U28"/>
    </sheetView>
  </sheetViews>
  <sheetFormatPr defaultColWidth="8.85546875" defaultRowHeight="15" x14ac:dyDescent="0.25"/>
  <cols>
    <col min="6" max="6" width="10.42578125" bestFit="1" customWidth="1"/>
    <col min="7" max="7" width="11.42578125" bestFit="1" customWidth="1"/>
    <col min="11" max="11" width="12.7109375" bestFit="1" customWidth="1"/>
    <col min="12" max="12" width="11.42578125" bestFit="1" customWidth="1"/>
    <col min="16" max="16" width="9.85546875" bestFit="1" customWidth="1"/>
    <col min="17" max="17" width="8.42578125" bestFit="1" customWidth="1"/>
    <col min="21" max="21" width="10.42578125" bestFit="1" customWidth="1"/>
    <col min="22" max="22" width="11.42578125" bestFit="1" customWidth="1"/>
    <col min="26" max="26" width="13.28515625" bestFit="1" customWidth="1"/>
    <col min="27" max="27" width="11.42578125" bestFit="1" customWidth="1"/>
  </cols>
  <sheetData>
    <row r="7" spans="6:28" x14ac:dyDescent="0.25">
      <c r="F7" s="80" t="s">
        <v>58</v>
      </c>
      <c r="G7" s="80" t="s">
        <v>261</v>
      </c>
      <c r="H7" s="80" t="s">
        <v>17</v>
      </c>
      <c r="K7" s="80" t="s">
        <v>584</v>
      </c>
      <c r="L7" s="80" t="s">
        <v>261</v>
      </c>
      <c r="M7" s="80" t="s">
        <v>17</v>
      </c>
      <c r="P7" s="80" t="s">
        <v>14</v>
      </c>
      <c r="Q7" s="80" t="s">
        <v>15</v>
      </c>
      <c r="R7" s="80" t="s">
        <v>17</v>
      </c>
      <c r="U7" s="81" t="s">
        <v>290</v>
      </c>
      <c r="V7" s="81" t="s">
        <v>261</v>
      </c>
      <c r="W7" s="81" t="s">
        <v>17</v>
      </c>
      <c r="Z7" s="127" t="s">
        <v>572</v>
      </c>
      <c r="AA7" s="127" t="s">
        <v>261</v>
      </c>
      <c r="AB7" s="127" t="s">
        <v>17</v>
      </c>
    </row>
    <row r="8" spans="6:28" ht="45" customHeight="1" x14ac:dyDescent="0.25">
      <c r="F8" s="61" t="s">
        <v>60</v>
      </c>
      <c r="G8" s="76" t="s">
        <v>59</v>
      </c>
      <c r="H8" s="77">
        <v>5</v>
      </c>
      <c r="K8" s="75" t="s">
        <v>85</v>
      </c>
      <c r="L8" s="75">
        <v>0</v>
      </c>
      <c r="M8" s="77">
        <v>5</v>
      </c>
      <c r="P8" s="61" t="s">
        <v>19</v>
      </c>
      <c r="Q8" s="62" t="s">
        <v>20</v>
      </c>
      <c r="R8" s="75">
        <v>15</v>
      </c>
      <c r="U8" s="75" t="s">
        <v>103</v>
      </c>
      <c r="V8" s="75" t="s">
        <v>600</v>
      </c>
      <c r="W8" s="49">
        <v>5</v>
      </c>
      <c r="Z8" s="75" t="s">
        <v>114</v>
      </c>
      <c r="AA8" s="75" t="s">
        <v>115</v>
      </c>
      <c r="AB8" s="49">
        <v>5</v>
      </c>
    </row>
    <row r="9" spans="6:28" x14ac:dyDescent="0.25">
      <c r="F9" s="61" t="s">
        <v>62</v>
      </c>
      <c r="G9" s="62" t="s">
        <v>61</v>
      </c>
      <c r="H9" s="77">
        <v>4</v>
      </c>
      <c r="K9" s="75" t="s">
        <v>88</v>
      </c>
      <c r="L9" s="75" t="s">
        <v>87</v>
      </c>
      <c r="M9" s="77">
        <v>4</v>
      </c>
      <c r="P9" s="61" t="s">
        <v>22</v>
      </c>
      <c r="Q9" s="62" t="s">
        <v>23</v>
      </c>
      <c r="R9" s="75">
        <v>14</v>
      </c>
      <c r="U9" s="75" t="s">
        <v>105</v>
      </c>
      <c r="V9" s="75" t="s">
        <v>106</v>
      </c>
      <c r="W9" s="49">
        <v>4</v>
      </c>
      <c r="Z9" s="75" t="s">
        <v>116</v>
      </c>
      <c r="AA9" s="75" t="s">
        <v>117</v>
      </c>
      <c r="AB9" s="75">
        <v>4</v>
      </c>
    </row>
    <row r="10" spans="6:28" x14ac:dyDescent="0.25">
      <c r="F10" s="61" t="s">
        <v>64</v>
      </c>
      <c r="G10" s="62" t="s">
        <v>63</v>
      </c>
      <c r="H10" s="77">
        <v>3</v>
      </c>
      <c r="K10" s="75" t="s">
        <v>92</v>
      </c>
      <c r="L10" s="79" t="s">
        <v>91</v>
      </c>
      <c r="M10" s="77">
        <v>3</v>
      </c>
      <c r="P10" s="61" t="s">
        <v>24</v>
      </c>
      <c r="Q10" s="62" t="s">
        <v>25</v>
      </c>
      <c r="R10" s="75">
        <v>7</v>
      </c>
      <c r="U10" s="75" t="s">
        <v>107</v>
      </c>
      <c r="V10" s="75" t="s">
        <v>108</v>
      </c>
      <c r="W10" s="49">
        <v>3</v>
      </c>
      <c r="Z10" s="75" t="s">
        <v>118</v>
      </c>
      <c r="AA10" s="75" t="s">
        <v>119</v>
      </c>
      <c r="AB10" s="49">
        <v>3</v>
      </c>
    </row>
    <row r="11" spans="6:28" x14ac:dyDescent="0.25">
      <c r="F11" s="61" t="s">
        <v>66</v>
      </c>
      <c r="G11" s="62" t="s">
        <v>65</v>
      </c>
      <c r="H11" s="77">
        <v>1</v>
      </c>
      <c r="K11" s="75" t="s">
        <v>96</v>
      </c>
      <c r="L11" s="75" t="s">
        <v>95</v>
      </c>
      <c r="M11" s="77">
        <v>1</v>
      </c>
      <c r="P11" s="61" t="s">
        <v>27</v>
      </c>
      <c r="Q11" s="62" t="s">
        <v>28</v>
      </c>
      <c r="R11" s="75">
        <v>4</v>
      </c>
      <c r="U11" s="75" t="s">
        <v>109</v>
      </c>
      <c r="V11" s="75" t="s">
        <v>110</v>
      </c>
      <c r="W11" s="49">
        <v>1</v>
      </c>
      <c r="Z11" s="75" t="s">
        <v>120</v>
      </c>
      <c r="AA11" s="75" t="s">
        <v>597</v>
      </c>
      <c r="AB11" s="49">
        <v>2</v>
      </c>
    </row>
    <row r="12" spans="6:28" x14ac:dyDescent="0.25">
      <c r="F12" s="61" t="s">
        <v>69</v>
      </c>
      <c r="G12" s="62" t="s">
        <v>68</v>
      </c>
      <c r="H12" s="77">
        <v>0</v>
      </c>
      <c r="K12" s="75" t="s">
        <v>100</v>
      </c>
      <c r="L12" s="75" t="s">
        <v>99</v>
      </c>
      <c r="M12" s="77">
        <v>0</v>
      </c>
      <c r="P12" s="61" t="s">
        <v>29</v>
      </c>
      <c r="Q12" s="62" t="s">
        <v>30</v>
      </c>
      <c r="R12" s="75">
        <v>2</v>
      </c>
      <c r="U12" s="75" t="s">
        <v>111</v>
      </c>
      <c r="V12" s="75" t="s">
        <v>599</v>
      </c>
      <c r="W12" s="49">
        <v>0</v>
      </c>
      <c r="Z12" s="75" t="s">
        <v>122</v>
      </c>
      <c r="AA12" s="75" t="s">
        <v>598</v>
      </c>
      <c r="AB12" s="49">
        <v>0</v>
      </c>
    </row>
    <row r="13" spans="6:28" x14ac:dyDescent="0.25">
      <c r="P13" s="61" t="s">
        <v>32</v>
      </c>
      <c r="Q13" s="62" t="s">
        <v>33</v>
      </c>
      <c r="R13" s="75">
        <v>1</v>
      </c>
    </row>
    <row r="14" spans="6:28" x14ac:dyDescent="0.25">
      <c r="P14" s="61" t="s">
        <v>34</v>
      </c>
      <c r="Q14" s="62" t="s">
        <v>35</v>
      </c>
      <c r="R14" s="7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12</vt:i4>
      </vt:variant>
    </vt:vector>
  </HeadingPairs>
  <TitlesOfParts>
    <vt:vector size="34" baseType="lpstr">
      <vt:lpstr>1. Collar_survey_assay</vt:lpstr>
      <vt:lpstr>2. Logging Brejo Seco</vt:lpstr>
      <vt:lpstr>3. Validacion QAQC</vt:lpstr>
      <vt:lpstr>4. Regresion Lineal</vt:lpstr>
      <vt:lpstr>5. Litologia 40 Geotec</vt:lpstr>
      <vt:lpstr>6. Litologia 30 Geotec</vt:lpstr>
      <vt:lpstr>7. Lithology 50 Geotec</vt:lpstr>
      <vt:lpstr>8. Lithology 20 Geotec</vt:lpstr>
      <vt:lpstr>10. Lithology 10 Geotec</vt:lpstr>
      <vt:lpstr>11. Statis Brejo Seco Geotec</vt:lpstr>
      <vt:lpstr>Leyenda</vt:lpstr>
      <vt:lpstr>0 . Blasting Model</vt:lpstr>
      <vt:lpstr>1. Structures</vt:lpstr>
      <vt:lpstr>2. Resistencia Rocha Desmonte</vt:lpstr>
      <vt:lpstr>3. Blasting</vt:lpstr>
      <vt:lpstr>40. BLASTING LITHOLOGY 40-50</vt:lpstr>
      <vt:lpstr>5. Quantificación de DESMONTE</vt:lpstr>
      <vt:lpstr>10</vt:lpstr>
      <vt:lpstr>30</vt:lpstr>
      <vt:lpstr>40</vt:lpstr>
      <vt:lpstr>Legend Blasting</vt:lpstr>
      <vt:lpstr>Planilha4</vt:lpstr>
      <vt:lpstr>Ape_osi</vt:lpstr>
      <vt:lpstr>Apertura</vt:lpstr>
      <vt:lpstr>Met_osi</vt:lpstr>
      <vt:lpstr>Meteorizacion</vt:lpstr>
      <vt:lpstr>Per_osi</vt:lpstr>
      <vt:lpstr>Persistencia</vt:lpstr>
      <vt:lpstr>Rell_osi</vt:lpstr>
      <vt:lpstr>Relleno</vt:lpstr>
      <vt:lpstr>Resistencia</vt:lpstr>
      <vt:lpstr>RQD</vt:lpstr>
      <vt:lpstr>Rug_osi</vt:lpstr>
      <vt:lpstr>Rugosidad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Vergara</dc:creator>
  <cp:lastModifiedBy>Victor Vergara</cp:lastModifiedBy>
  <cp:lastPrinted>2024-05-26T23:48:27Z</cp:lastPrinted>
  <dcterms:created xsi:type="dcterms:W3CDTF">2024-04-29T18:30:07Z</dcterms:created>
  <dcterms:modified xsi:type="dcterms:W3CDTF">2025-07-10T16:02:55Z</dcterms:modified>
</cp:coreProperties>
</file>